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04"/>
  <workbookPr/>
  <mc:AlternateContent xmlns:mc="http://schemas.openxmlformats.org/markup-compatibility/2006">
    <mc:Choice Requires="x15">
      <x15ac:absPath xmlns:x15ac="http://schemas.microsoft.com/office/spreadsheetml/2010/11/ac" url="https://sdpgovco.sharepoint.com/sites/DirecciondeParticipacionyComunicacionparalaPlaneacion/Documentos compartidos/PROCESOS_OPDC_VIGENCIA 2024-2027/PROCESOS_OPDC_2024/DRIVE OPERATIVO/"/>
    </mc:Choice>
  </mc:AlternateContent>
  <xr:revisionPtr revIDLastSave="0" documentId="8_{034782DB-9589-4CAA-A71F-0D294B77C612}" xr6:coauthVersionLast="47" xr6:coauthVersionMax="47" xr10:uidLastSave="{00000000-0000-0000-0000-000000000000}"/>
  <bookViews>
    <workbookView xWindow="-108" yWindow="-108" windowWidth="23256" windowHeight="12576" xr2:uid="{00000000-000D-0000-FFFF-FFFF00000000}"/>
  </bookViews>
  <sheets>
    <sheet name="MATRIZ_MACRO" sheetId="1" r:id="rId1"/>
    <sheet name="CALCULADOR" sheetId="3" r:id="rId2"/>
    <sheet name="BASE" sheetId="4" r:id="rId3"/>
    <sheet name="BETA_COMPR_TABLERO" sheetId="5" state="hidden" r:id="rId4"/>
    <sheet name="SEGUIMIENTO FINANCIERO" sheetId="7" r:id="rId5"/>
    <sheet name="APLHA_TABLERO" sheetId="6" r:id="rId6"/>
  </sheets>
  <definedNames>
    <definedName name="_xlnm._FilterDatabase" localSheetId="3" hidden="1">BETA_COMPR_TABLERO!$A$1:$S$172</definedName>
    <definedName name="_xlnm._FilterDatabase" localSheetId="0" hidden="1">MATRIZ_MACRO!$A$4:$HG$1018</definedName>
    <definedName name="DATA_MATRIZ">MATRIZ_MACRO!$1:$935</definedName>
    <definedName name="Z_0998E86F_EB22_41C7_A1D3_C8C85B32BEC2_.wvu.FilterData" localSheetId="0" hidden="1">MATRIZ_MACRO!$A$1</definedName>
    <definedName name="Z_0F980F3B_FC52_411A_9C4E_30DAD32635C3_.wvu.FilterData" localSheetId="0" hidden="1">MATRIZ_MACRO!$A$4:$EY$935</definedName>
    <definedName name="Z_10335018_B213_4583_B860_A2ED9FA89826_.wvu.FilterData" localSheetId="0" hidden="1">MATRIZ_MACRO!$A$4:$EY$935</definedName>
    <definedName name="Z_12F61020_C29E_4891_86AF_EBD94397FC8C_.wvu.FilterData" localSheetId="0" hidden="1">MATRIZ_MACRO!$A$4:$EY$935</definedName>
    <definedName name="Z_1C6E979F_94BD_493C_9F19_8937AE64D7E1_.wvu.FilterData" localSheetId="0" hidden="1">MATRIZ_MACRO!$A$4:$BU$502</definedName>
    <definedName name="Z_1D80E054_8872_4587_8092_5126ED9B2C4B_.wvu.FilterData" localSheetId="0" hidden="1">MATRIZ_MACRO!$A$4:$BU$454</definedName>
    <definedName name="Z_253283F9_E5CB_4C67_93C5_53EF811F1E90_.wvu.FilterData" localSheetId="0" hidden="1">MATRIZ_MACRO!$A$1</definedName>
    <definedName name="Z_264C30CD_2A1D_4EBD_9AE9_8EE0725F3114_.wvu.FilterData" localSheetId="0" hidden="1">MATRIZ_MACRO!$DF$4:$EE$935</definedName>
    <definedName name="Z_3D5A39F8_0DD4_4B25_A53F_A5DB6C4E662B_.wvu.FilterData" localSheetId="0" hidden="1">MATRIZ_MACRO!$A$4:$EY$935</definedName>
    <definedName name="Z_3E49DF13_D92F_42AC_803F_C870D81917C4_.wvu.FilterData" localSheetId="0" hidden="1">MATRIZ_MACRO!$A$4:$BU$503</definedName>
    <definedName name="Z_4A375B5A_2715_418E_AD29_BFA430B9FE6C_.wvu.FilterData" localSheetId="0" hidden="1">MATRIZ_MACRO!$A$4:$EY$935</definedName>
    <definedName name="Z_5FD45068_0A1C_44A6_A614_A34DE3DECE97_.wvu.FilterData" localSheetId="0" hidden="1">MATRIZ_MACRO!$A$4:$EY$935</definedName>
    <definedName name="Z_62837B04_76B7_445E_8034_C8F314ECEA35_.wvu.FilterData" localSheetId="0" hidden="1">MATRIZ_MACRO!$BZ$4:$CG$935</definedName>
    <definedName name="Z_6A4AEF36_C92F_4F39_A925_7F67CE5CC19A_.wvu.FilterData" localSheetId="0" hidden="1">MATRIZ_MACRO!$A$4:$BU$502</definedName>
    <definedName name="Z_726EDFFB_547F_488A_B5AE_FD7F070447E1_.wvu.FilterData" localSheetId="0" hidden="1">MATRIZ_MACRO!$A$4:$EY$935</definedName>
    <definedName name="Z_745E0385_25C6_4B57_AEA1_95F6DAC2421E_.wvu.FilterData" localSheetId="0" hidden="1">MATRIZ_MACRO!$A$4:$EY$935</definedName>
    <definedName name="Z_78543D8B_3BB7_4AB1_97C5_49806AD6926A_.wvu.FilterData" localSheetId="0" hidden="1">MATRIZ_MACRO!$A$4:$EY$935</definedName>
    <definedName name="Z_8BCE3E66_1F1F_4548_AA61_8B2E0394C9F6_.wvu.FilterData" localSheetId="0" hidden="1">MATRIZ_MACRO!$B$333:$C$656</definedName>
    <definedName name="Z_8E70848B_C6C0_46E7_A6AA_32B94CD34856_.wvu.FilterData" localSheetId="0" hidden="1">MATRIZ_MACRO!$A$4:$BU$503</definedName>
    <definedName name="Z_94A8EDBB_3FF4_4079_ACF9_CEFACFEF5D8F_.wvu.FilterData" localSheetId="0" hidden="1">MATRIZ_MACRO!$A$4:$BU$502</definedName>
    <definedName name="Z_9687CA5C_EF2D_4064_A3A2_C09F9C373055_.wvu.FilterData" localSheetId="0" hidden="1">MATRIZ_MACRO!$A$4:$EY$935</definedName>
    <definedName name="Z_9B8DC269_B1B4_4EA3_99A1_B76D8B572F17_.wvu.FilterData" localSheetId="0" hidden="1">MATRIZ_MACRO!$CI$4:$CI$223</definedName>
    <definedName name="Z_9B97F165_352D_4CA7_BE1D_F0786A1DC505_.wvu.FilterData" localSheetId="0" hidden="1">MATRIZ_MACRO!$A$4:$BU$502</definedName>
    <definedName name="Z_9E4BD9BF_01F1_44D6_9113_4C8E2917A20A_.wvu.FilterData" localSheetId="0" hidden="1">MATRIZ_MACRO!$A$4:$EY$935</definedName>
    <definedName name="Z_A7C48391_0F75_4E97_8287_A91DE15525A1_.wvu.FilterData" localSheetId="0" hidden="1">MATRIZ_MACRO!$A$4:$EY$935</definedName>
    <definedName name="Z_B63B5A75_C675_41A3_A66E_A2E8A1326B7A_.wvu.FilterData" localSheetId="0" hidden="1">MATRIZ_MACRO!$A$4:$BU$569</definedName>
    <definedName name="Z_B838C755_11C7_416C_89B7_1D0E6FE1B654_.wvu.FilterData" localSheetId="0" hidden="1">MATRIZ_MACRO!$DF$4:$EE$495</definedName>
    <definedName name="Z_C3C76A01_D58E_4C4A_94DD_A5FAB0448A3E_.wvu.FilterData" localSheetId="0" hidden="1">MATRIZ_MACRO!$A$4:$BU$502</definedName>
    <definedName name="Z_CBC98601_95B6_43EB_8DB2_B24D9B914D67_.wvu.FilterData" localSheetId="0" hidden="1">MATRIZ_MACRO!$BW$4:$BX$651</definedName>
    <definedName name="Z_D13C2B98_9F48_44AE_86E6_B20A4A8B9EA4_.wvu.FilterData" localSheetId="0" hidden="1">MATRIZ_MACRO!$A$4:$EY$935</definedName>
    <definedName name="Z_E57E0A82_D9BB_485F_91DF_63724D5593A2_.wvu.FilterData" localSheetId="0" hidden="1">MATRIZ_MACRO!$A$4:$EY$935</definedName>
    <definedName name="Z_E6A6FB97_928F_42AC_960F_BFEC30593C6F_.wvu.FilterData" localSheetId="0" hidden="1">MATRIZ_MACRO!$A$4:$EY$935</definedName>
    <definedName name="Z_EAE5B8B2_5B54_4026_97DB_8A1758914250_.wvu.FilterData" localSheetId="0" hidden="1">MATRIZ_MACRO!$A$4:$EY$935</definedName>
    <definedName name="Z_EEB1B4B4_D11B_426F_9EAD_4C73EDCF2511_.wvu.FilterData" localSheetId="0" hidden="1">MATRIZ_MACRO!$A$4:$EY$935</definedName>
    <definedName name="Z_F207C096_1E65_49CC_AE0F_C4623D794CD5_.wvu.FilterData" localSheetId="0" hidden="1">MATRIZ_MACRO!$A$4:$BU$502</definedName>
  </definedNames>
  <calcPr calcId="191028"/>
  <customWorkbookViews>
    <customWorkbookView name="Filtro 19" guid="{1C6E979F-94BD-493C-9F19-8937AE64D7E1}" maximized="1" windowWidth="0" windowHeight="0" activeSheetId="0"/>
    <customWorkbookView name="Filtro 21" guid="{8BCE3E66-1F1F-4548-AA61-8B2E0394C9F6}" maximized="1" windowWidth="0" windowHeight="0" activeSheetId="0"/>
    <customWorkbookView name="Filtro 20" guid="{F207C096-1E65-49CC-AE0F-C4623D794CD5}" maximized="1" windowWidth="0" windowHeight="0" activeSheetId="0"/>
    <customWorkbookView name="Filtro 23" guid="{8E70848B-C6C0-46E7-A6AA-32B94CD34856}" maximized="1" windowWidth="0" windowHeight="0" activeSheetId="0"/>
    <customWorkbookView name="Filtro 22" guid="{3E49DF13-D92F-42AC-803F-C870D81917C4}" maximized="1" windowWidth="0" windowHeight="0" activeSheetId="0"/>
    <customWorkbookView name="Filtro 9" guid="{78543D8B-3BB7-4AB1-97C5-49806AD6926A}" maximized="1" windowWidth="0" windowHeight="0" activeSheetId="0"/>
    <customWorkbookView name="Filtro 25" guid="{745E0385-25C6-4B57-AEA1-95F6DAC2421E}" maximized="1" windowWidth="0" windowHeight="0" activeSheetId="0"/>
    <customWorkbookView name="Filtro 8" guid="{12F61020-C29E-4891-86AF-EBD94397FC8C}" maximized="1" windowWidth="0" windowHeight="0" activeSheetId="0"/>
    <customWorkbookView name="Filtro 24" guid="{9687CA5C-EF2D-4064-A3A2-C09F9C373055}" maximized="1" windowWidth="0" windowHeight="0" activeSheetId="0"/>
    <customWorkbookView name="Filtro 27" guid="{B838C755-11C7-416C-89B7-1D0E6FE1B654}" maximized="1" windowWidth="0" windowHeight="0" activeSheetId="0"/>
    <customWorkbookView name="Filtro 26" guid="{9B8DC269-B1B4-4EA3-99A1-B76D8B572F17}" maximized="1" windowWidth="0" windowHeight="0" activeSheetId="0"/>
    <customWorkbookView name="Filtro 29" guid="{CBC98601-95B6-43EB-8DB2-B24D9B914D67}" maximized="1" windowWidth="0" windowHeight="0" activeSheetId="0"/>
    <customWorkbookView name="Filtro 28" guid="{B63B5A75-C675-41A3-A66E-A2E8A1326B7A}" maximized="1" windowWidth="0" windowHeight="0" activeSheetId="0"/>
    <customWorkbookView name="Filtro 3" guid="{62837B04-76B7-445E-8034-C8F314ECEA35}" maximized="1" windowWidth="0" windowHeight="0" activeSheetId="0"/>
    <customWorkbookView name="Filtro 2" guid="{9E4BD9BF-01F1-44D6-9113-4C8E2917A20A}" maximized="1" windowWidth="0" windowHeight="0" activeSheetId="0"/>
    <customWorkbookView name="Filtro 7" guid="{4A375B5A-2715-418E-AD29-BFA430B9FE6C}" maximized="1" windowWidth="0" windowHeight="0" activeSheetId="0"/>
    <customWorkbookView name="Filtro 6" guid="{10335018-B213-4583-B860-A2ED9FA89826}" maximized="1" windowWidth="0" windowHeight="0" activeSheetId="0"/>
    <customWorkbookView name="Filtro 5" guid="{1D80E054-8872-4587-8092-5126ED9B2C4B}" maximized="1" windowWidth="0" windowHeight="0" activeSheetId="0"/>
    <customWorkbookView name="Filtro 4" guid="{E6A6FB97-928F-42AC-960F-BFEC30593C6F}" maximized="1" windowWidth="0" windowHeight="0" activeSheetId="0"/>
    <customWorkbookView name="Filtro 30" guid="{726EDFFB-547F-488A-B5AE-FD7F070447E1}" maximized="1" windowWidth="0" windowHeight="0" activeSheetId="0"/>
    <customWorkbookView name="Filtro 32" guid="{A7C48391-0F75-4E97-8287-A91DE15525A1}" maximized="1" windowWidth="0" windowHeight="0" activeSheetId="0"/>
    <customWorkbookView name="Filtro 10" guid="{D13C2B98-9F48-44AE-86E6-B20A4A8B9EA4}" maximized="1" windowWidth="0" windowHeight="0" activeSheetId="0"/>
    <customWorkbookView name="Filtro 31" guid="{5FD45068-0A1C-44A6-A614-A34DE3DECE97}" maximized="1" windowWidth="0" windowHeight="0" activeSheetId="0"/>
    <customWorkbookView name="Filtro 12" guid="{EAE5B8B2-5B54-4026-97DB-8A1758914250}" maximized="1" windowWidth="0" windowHeight="0" activeSheetId="0"/>
    <customWorkbookView name="Filtro 34" guid="{3D5A39F8-0DD4-4B25-A53F-A5DB6C4E662B}" maximized="1" windowWidth="0" windowHeight="0" activeSheetId="0"/>
    <customWorkbookView name="Filtro 11" guid="{6A4AEF36-C92F-4F39-A925-7F67CE5CC19A}" maximized="1" windowWidth="0" windowHeight="0" activeSheetId="0"/>
    <customWorkbookView name="Filtro 33" guid="{E57E0A82-D9BB-485F-91DF-63724D5593A2}" maximized="1" windowWidth="0" windowHeight="0" activeSheetId="0"/>
    <customWorkbookView name="Filtro 14" guid="{253283F9-E5CB-4C67-93C5-53EF811F1E90}" maximized="1" windowWidth="0" windowHeight="0" activeSheetId="0"/>
    <customWorkbookView name="Filtro 36" guid="{0F980F3B-FC52-411A-9C4E-30DAD32635C3}" maximized="1" windowWidth="0" windowHeight="0" activeSheetId="0"/>
    <customWorkbookView name="Filtro 13" guid="{0998E86F-EB22-41C7-A1D3-C8C85B32BEC2}" maximized="1" windowWidth="0" windowHeight="0" activeSheetId="0"/>
    <customWorkbookView name="Filtro 35" guid="{EEB1B4B4-D11B-426F-9EAD-4C73EDCF2511}" maximized="1" windowWidth="0" windowHeight="0" activeSheetId="0"/>
    <customWorkbookView name="Filtro 16" guid="{C3C76A01-D58E-4C4A-94DD-A5FAB0448A3E}" maximized="1" windowWidth="0" windowHeight="0" activeSheetId="0"/>
    <customWorkbookView name="Filtro 15" guid="{9B97F165-352D-4CA7-BE1D-F0786A1DC505}" maximized="1" windowWidth="0" windowHeight="0" activeSheetId="0"/>
    <customWorkbookView name="Filtro 18" guid="{264C30CD-2A1D-4EBD-9AE9-8EE0725F3114}" maximized="1" windowWidth="0" windowHeight="0" activeSheetId="0"/>
    <customWorkbookView name="Filtro 17" guid="{94A8EDBB-3FF4-4079-ACF9-CEFACFEF5D8F}"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W904" i="1" l="1"/>
  <c r="EU904" i="1"/>
  <c r="EV904" i="1"/>
  <c r="EP904" i="1"/>
  <c r="EM904" i="1"/>
  <c r="EL904" i="1"/>
  <c r="EE904" i="1"/>
  <c r="DU904" i="1"/>
  <c r="EQ904" i="1"/>
  <c r="DR904" i="1"/>
  <c r="ET904" i="1"/>
  <c r="DH904" i="1"/>
  <c r="DA904" i="1"/>
  <c r="CY904" i="1"/>
  <c r="CK904" i="1"/>
  <c r="CC904" i="1"/>
  <c r="EN904" i="1"/>
  <c r="CB904" i="1"/>
  <c r="BH904" i="1"/>
  <c r="BA904" i="1"/>
  <c r="AT904" i="1"/>
  <c r="O904" i="1"/>
  <c r="EW907" i="1"/>
  <c r="EU907" i="1"/>
  <c r="EV907" i="1"/>
  <c r="EP907" i="1"/>
  <c r="EM907" i="1"/>
  <c r="EL907" i="1"/>
  <c r="EE907" i="1"/>
  <c r="DU907" i="1"/>
  <c r="EQ907" i="1"/>
  <c r="DR907" i="1"/>
  <c r="ET907" i="1"/>
  <c r="DH907" i="1"/>
  <c r="DA907" i="1"/>
  <c r="CY907" i="1"/>
  <c r="CK907" i="1"/>
  <c r="CC907" i="1"/>
  <c r="EN907" i="1"/>
  <c r="CB907" i="1"/>
  <c r="BH907" i="1"/>
  <c r="BA907" i="1"/>
  <c r="AT907" i="1"/>
  <c r="O907" i="1"/>
  <c r="BH920" i="1"/>
  <c r="BA920" i="1"/>
  <c r="AT920" i="1"/>
  <c r="O920" i="1"/>
  <c r="BH917" i="1"/>
  <c r="BA917" i="1"/>
  <c r="AT917" i="1"/>
  <c r="O917" i="1"/>
  <c r="EW901" i="1"/>
  <c r="EU901" i="1"/>
  <c r="EV901" i="1"/>
  <c r="ET901" i="1"/>
  <c r="EQ901" i="1"/>
  <c r="EP901" i="1"/>
  <c r="EN901" i="1"/>
  <c r="EM901" i="1"/>
  <c r="EL901" i="1"/>
  <c r="EE901" i="1"/>
  <c r="DH901" i="1"/>
  <c r="CB901" i="1"/>
  <c r="BH901" i="1"/>
  <c r="BA901" i="1"/>
  <c r="AT901" i="1"/>
  <c r="O901" i="1"/>
  <c r="EW893" i="1"/>
  <c r="EU893" i="1"/>
  <c r="EV893" i="1"/>
  <c r="EP893" i="1"/>
  <c r="EM893" i="1"/>
  <c r="EL893" i="1"/>
  <c r="EE893" i="1"/>
  <c r="DU893" i="1"/>
  <c r="EQ893" i="1"/>
  <c r="DR893" i="1"/>
  <c r="ET893" i="1"/>
  <c r="DH893" i="1"/>
  <c r="DA893" i="1"/>
  <c r="CY893" i="1"/>
  <c r="CK893" i="1"/>
  <c r="CC893" i="1"/>
  <c r="EN893" i="1"/>
  <c r="CB893" i="1"/>
  <c r="O893" i="1"/>
  <c r="EW892" i="1"/>
  <c r="EU892" i="1"/>
  <c r="EV892" i="1"/>
  <c r="EP892" i="1"/>
  <c r="EM892" i="1"/>
  <c r="EL892" i="1"/>
  <c r="EE892" i="1"/>
  <c r="DU892" i="1"/>
  <c r="EQ892" i="1"/>
  <c r="DR892" i="1"/>
  <c r="ET892" i="1"/>
  <c r="DH892" i="1"/>
  <c r="DA892" i="1"/>
  <c r="CY892" i="1"/>
  <c r="CK892" i="1"/>
  <c r="CC892" i="1"/>
  <c r="EN892" i="1"/>
  <c r="CB892" i="1"/>
  <c r="BH892" i="1"/>
  <c r="BA892" i="1"/>
  <c r="AT892" i="1"/>
  <c r="O892" i="1"/>
  <c r="EW926" i="1"/>
  <c r="EU926" i="1"/>
  <c r="EV926" i="1"/>
  <c r="EP926" i="1"/>
  <c r="EM926" i="1"/>
  <c r="EL926" i="1"/>
  <c r="EE926" i="1"/>
  <c r="DU926" i="1"/>
  <c r="EQ926" i="1"/>
  <c r="DR926" i="1"/>
  <c r="ET926" i="1"/>
  <c r="DH926" i="1"/>
  <c r="DA926" i="1"/>
  <c r="CY926" i="1"/>
  <c r="CK926" i="1"/>
  <c r="CC926" i="1"/>
  <c r="EN926" i="1"/>
  <c r="CB926" i="1"/>
  <c r="BH926" i="1"/>
  <c r="BA926" i="1"/>
  <c r="AT926" i="1"/>
  <c r="O926" i="1"/>
  <c r="EW911" i="1"/>
  <c r="EU911" i="1"/>
  <c r="EV911" i="1"/>
  <c r="EP911" i="1"/>
  <c r="EM911" i="1"/>
  <c r="EL911" i="1"/>
  <c r="EE911" i="1"/>
  <c r="DU911" i="1"/>
  <c r="EQ911" i="1"/>
  <c r="DR911" i="1"/>
  <c r="ET911" i="1"/>
  <c r="DH911" i="1"/>
  <c r="DA911" i="1"/>
  <c r="CY911" i="1"/>
  <c r="CK911" i="1"/>
  <c r="CC911" i="1"/>
  <c r="EN911" i="1"/>
  <c r="CB911" i="1"/>
  <c r="BH911" i="1"/>
  <c r="BA911" i="1"/>
  <c r="AT911" i="1"/>
  <c r="O911" i="1"/>
  <c r="EW918" i="1"/>
  <c r="EU918" i="1"/>
  <c r="EV918" i="1"/>
  <c r="EP918" i="1"/>
  <c r="EM918" i="1"/>
  <c r="EL918" i="1"/>
  <c r="EE918" i="1"/>
  <c r="DU918" i="1"/>
  <c r="EQ918" i="1"/>
  <c r="DR918" i="1"/>
  <c r="ET918" i="1"/>
  <c r="DH918" i="1"/>
  <c r="DA918" i="1"/>
  <c r="CY918" i="1"/>
  <c r="CK918" i="1"/>
  <c r="CC918" i="1"/>
  <c r="EN918" i="1"/>
  <c r="CB918" i="1"/>
  <c r="BH918" i="1"/>
  <c r="BA918" i="1"/>
  <c r="AT918" i="1"/>
  <c r="O918" i="1"/>
  <c r="EW899" i="1"/>
  <c r="EU899" i="1"/>
  <c r="EV899" i="1"/>
  <c r="EP899" i="1"/>
  <c r="EM899" i="1"/>
  <c r="EL899" i="1"/>
  <c r="EE899" i="1"/>
  <c r="DU899" i="1"/>
  <c r="EQ899" i="1"/>
  <c r="DR899" i="1"/>
  <c r="ET899" i="1"/>
  <c r="DH899" i="1"/>
  <c r="DA899" i="1"/>
  <c r="CY899" i="1"/>
  <c r="CK899" i="1"/>
  <c r="CC899" i="1"/>
  <c r="EN899" i="1"/>
  <c r="CB899" i="1"/>
  <c r="BH899" i="1"/>
  <c r="BA899" i="1"/>
  <c r="AT899" i="1"/>
  <c r="O899" i="1"/>
  <c r="EL894" i="1"/>
  <c r="EM894" i="1"/>
  <c r="EP894" i="1"/>
  <c r="EU894" i="1"/>
  <c r="EV894" i="1"/>
  <c r="EW894" i="1"/>
  <c r="EE894" i="1"/>
  <c r="DU894" i="1"/>
  <c r="EQ894" i="1"/>
  <c r="DR894" i="1"/>
  <c r="ET894" i="1"/>
  <c r="DH894" i="1"/>
  <c r="CY894" i="1"/>
  <c r="DA894" i="1"/>
  <c r="CK894" i="1"/>
  <c r="DB894" i="1"/>
  <c r="CB894" i="1"/>
  <c r="CC894" i="1"/>
  <c r="EN894" i="1"/>
  <c r="BA894" i="1"/>
  <c r="AT894" i="1"/>
  <c r="O894" i="1"/>
  <c r="EW891" i="1"/>
  <c r="EU891" i="1"/>
  <c r="EV891" i="1"/>
  <c r="EP891" i="1"/>
  <c r="EM891" i="1"/>
  <c r="EL891" i="1"/>
  <c r="EE891" i="1"/>
  <c r="DU891" i="1"/>
  <c r="EQ891" i="1"/>
  <c r="DR891" i="1"/>
  <c r="ET891" i="1"/>
  <c r="DH891" i="1"/>
  <c r="DA891" i="1"/>
  <c r="CY891" i="1"/>
  <c r="CK891" i="1"/>
  <c r="CC891" i="1"/>
  <c r="EN891" i="1"/>
  <c r="CB891" i="1"/>
  <c r="O891" i="1"/>
  <c r="EL887" i="1"/>
  <c r="EM887" i="1"/>
  <c r="EP887" i="1"/>
  <c r="EU887" i="1"/>
  <c r="EV887" i="1"/>
  <c r="EW887" i="1"/>
  <c r="EE887" i="1"/>
  <c r="DU887" i="1"/>
  <c r="EQ887" i="1"/>
  <c r="DR887" i="1"/>
  <c r="ET887" i="1"/>
  <c r="DH887" i="1"/>
  <c r="CY887" i="1"/>
  <c r="DA887" i="1"/>
  <c r="CK887" i="1"/>
  <c r="DB887" i="1"/>
  <c r="CB887" i="1"/>
  <c r="CC887" i="1"/>
  <c r="EN887" i="1"/>
  <c r="BH887" i="1"/>
  <c r="BA887" i="1"/>
  <c r="AT887" i="1"/>
  <c r="O887" i="1"/>
  <c r="BH889" i="1"/>
  <c r="BA889" i="1"/>
  <c r="AT889" i="1"/>
  <c r="EW889" i="1"/>
  <c r="EU889" i="1"/>
  <c r="EV889" i="1"/>
  <c r="EP889" i="1"/>
  <c r="EM889" i="1"/>
  <c r="EL889" i="1"/>
  <c r="EE889" i="1"/>
  <c r="DU889" i="1"/>
  <c r="EQ889" i="1"/>
  <c r="DR889" i="1"/>
  <c r="ET889" i="1"/>
  <c r="DH889" i="1"/>
  <c r="DA889" i="1"/>
  <c r="CY889" i="1"/>
  <c r="CK889" i="1"/>
  <c r="CC889" i="1"/>
  <c r="EN889" i="1"/>
  <c r="CB889" i="1"/>
  <c r="O889" i="1"/>
  <c r="BH890" i="1"/>
  <c r="BA890" i="1"/>
  <c r="AT890" i="1"/>
  <c r="DR890" i="1"/>
  <c r="DU890" i="1"/>
  <c r="EE890" i="1"/>
  <c r="DH890" i="1"/>
  <c r="EL890" i="1"/>
  <c r="EM890" i="1"/>
  <c r="EN890" i="1"/>
  <c r="EP890" i="1"/>
  <c r="EQ890" i="1"/>
  <c r="ET890" i="1"/>
  <c r="EU890" i="1"/>
  <c r="EV890" i="1"/>
  <c r="EW890" i="1"/>
  <c r="CC909" i="1"/>
  <c r="CC908" i="1"/>
  <c r="CC906" i="1"/>
  <c r="CC888" i="1"/>
  <c r="CC886" i="1"/>
  <c r="CC885" i="1"/>
  <c r="CC884" i="1"/>
  <c r="CC879" i="1"/>
  <c r="EL886" i="1"/>
  <c r="EM886" i="1"/>
  <c r="EP886" i="1"/>
  <c r="EU886" i="1"/>
  <c r="EV886" i="1"/>
  <c r="EW886" i="1"/>
  <c r="EE886" i="1"/>
  <c r="DU886" i="1"/>
  <c r="EQ886" i="1"/>
  <c r="DR886" i="1"/>
  <c r="ET886" i="1"/>
  <c r="DH886" i="1"/>
  <c r="CY886" i="1"/>
  <c r="DA886" i="1"/>
  <c r="CK886" i="1"/>
  <c r="DB886" i="1"/>
  <c r="CB886" i="1"/>
  <c r="EN886" i="1"/>
  <c r="BH886" i="1"/>
  <c r="BA886" i="1"/>
  <c r="AT886" i="1"/>
  <c r="O886" i="1"/>
  <c r="EL884" i="1"/>
  <c r="EM884" i="1"/>
  <c r="EP884" i="1"/>
  <c r="EU884" i="1"/>
  <c r="EV884" i="1"/>
  <c r="EW884" i="1"/>
  <c r="EE884" i="1"/>
  <c r="DU884" i="1"/>
  <c r="EQ884" i="1"/>
  <c r="DR884" i="1"/>
  <c r="ET884" i="1"/>
  <c r="DH884" i="1"/>
  <c r="CY884" i="1"/>
  <c r="DA884" i="1"/>
  <c r="CK884" i="1"/>
  <c r="DB884" i="1"/>
  <c r="CB884" i="1"/>
  <c r="EN884" i="1"/>
  <c r="BH884" i="1"/>
  <c r="BA884" i="1"/>
  <c r="AT884" i="1"/>
  <c r="O884" i="1"/>
  <c r="AT882" i="1"/>
  <c r="BA882" i="1"/>
  <c r="BH882" i="1"/>
  <c r="O895" i="1"/>
  <c r="EW882" i="1"/>
  <c r="EU882" i="1"/>
  <c r="EV882" i="1"/>
  <c r="EP882" i="1"/>
  <c r="EM882" i="1"/>
  <c r="EL882" i="1"/>
  <c r="EE882" i="1"/>
  <c r="DU882" i="1"/>
  <c r="EQ882" i="1"/>
  <c r="DR882" i="1"/>
  <c r="ET882" i="1"/>
  <c r="DH882" i="1"/>
  <c r="DA882" i="1"/>
  <c r="CY882" i="1"/>
  <c r="CK882" i="1"/>
  <c r="CC882" i="1"/>
  <c r="EN882" i="1"/>
  <c r="CB882" i="1"/>
  <c r="O882" i="1"/>
  <c r="BH881" i="1"/>
  <c r="BA881" i="1"/>
  <c r="AT881" i="1"/>
  <c r="EL881" i="1"/>
  <c r="EM881" i="1"/>
  <c r="EP881" i="1"/>
  <c r="EU881" i="1"/>
  <c r="EV881" i="1"/>
  <c r="EW881" i="1"/>
  <c r="EE881" i="1"/>
  <c r="DU881" i="1"/>
  <c r="EQ881" i="1"/>
  <c r="DR881" i="1"/>
  <c r="ET881" i="1"/>
  <c r="DH881" i="1"/>
  <c r="CY881" i="1"/>
  <c r="DA881" i="1"/>
  <c r="CK881" i="1"/>
  <c r="DB881" i="1"/>
  <c r="CB881" i="1"/>
  <c r="CC881" i="1"/>
  <c r="EN881" i="1"/>
  <c r="O881" i="1"/>
  <c r="CC859" i="1"/>
  <c r="CC862" i="1"/>
  <c r="CC858" i="1"/>
  <c r="CC857" i="1"/>
  <c r="CC855" i="1"/>
  <c r="CC854" i="1"/>
  <c r="CC853" i="1"/>
  <c r="CC852" i="1"/>
  <c r="CC851" i="1"/>
  <c r="CC850" i="1"/>
  <c r="CC849" i="1"/>
  <c r="CC848" i="1"/>
  <c r="CC847" i="1"/>
  <c r="CC846" i="1"/>
  <c r="CC845" i="1"/>
  <c r="CC843" i="1"/>
  <c r="CC842" i="1"/>
  <c r="CC841" i="1"/>
  <c r="CC839" i="1"/>
  <c r="CC838" i="1"/>
  <c r="CC836" i="1"/>
  <c r="CC834" i="1"/>
  <c r="CC835" i="1"/>
  <c r="CC837" i="1"/>
  <c r="CC840" i="1"/>
  <c r="CC844" i="1"/>
  <c r="CC832" i="1"/>
  <c r="CC833" i="1"/>
  <c r="CC831" i="1"/>
  <c r="CC802" i="1"/>
  <c r="CC803" i="1"/>
  <c r="CC804" i="1"/>
  <c r="CC805" i="1"/>
  <c r="CC806" i="1"/>
  <c r="CC807" i="1"/>
  <c r="CC808" i="1"/>
  <c r="CC809" i="1"/>
  <c r="CC810" i="1"/>
  <c r="CC811" i="1"/>
  <c r="CC812" i="1"/>
  <c r="CC813" i="1"/>
  <c r="CC814" i="1"/>
  <c r="CC815" i="1"/>
  <c r="CC816" i="1"/>
  <c r="CC817" i="1"/>
  <c r="CC818" i="1"/>
  <c r="CC819" i="1"/>
  <c r="CC820" i="1"/>
  <c r="CC821" i="1"/>
  <c r="CC822" i="1"/>
  <c r="CC823" i="1"/>
  <c r="CC824" i="1"/>
  <c r="CC825" i="1"/>
  <c r="CC826" i="1"/>
  <c r="CC827" i="1"/>
  <c r="CC828" i="1"/>
  <c r="CC829" i="1"/>
  <c r="CC830" i="1"/>
  <c r="CC801" i="1"/>
  <c r="CC800" i="1"/>
  <c r="CC798" i="1"/>
  <c r="CC799" i="1"/>
  <c r="CC883" i="1"/>
  <c r="CC880" i="1"/>
  <c r="CC877" i="1"/>
  <c r="CC875" i="1"/>
  <c r="EL844" i="1"/>
  <c r="EM844" i="1"/>
  <c r="EN844" i="1"/>
  <c r="EP844" i="1"/>
  <c r="EQ844" i="1"/>
  <c r="ET844" i="1"/>
  <c r="EU844" i="1"/>
  <c r="EV844" i="1"/>
  <c r="EW844" i="1"/>
  <c r="EE844" i="1"/>
  <c r="DU844" i="1"/>
  <c r="DR844" i="1"/>
  <c r="DH844" i="1"/>
  <c r="CY844" i="1"/>
  <c r="DA844" i="1"/>
  <c r="CK844" i="1"/>
  <c r="DB844" i="1"/>
  <c r="CB844" i="1"/>
  <c r="BH844" i="1"/>
  <c r="BA844" i="1"/>
  <c r="AT844" i="1"/>
  <c r="O844" i="1"/>
  <c r="BH878" i="1"/>
  <c r="BA878" i="1"/>
  <c r="AT878" i="1"/>
  <c r="EW878" i="1"/>
  <c r="EU878" i="1"/>
  <c r="EV878" i="1"/>
  <c r="EP878" i="1"/>
  <c r="EM878" i="1"/>
  <c r="EL878" i="1"/>
  <c r="EE878" i="1"/>
  <c r="DU878" i="1"/>
  <c r="EQ878" i="1"/>
  <c r="DR878" i="1"/>
  <c r="ET878" i="1"/>
  <c r="DH878" i="1"/>
  <c r="DA878" i="1"/>
  <c r="CY878" i="1"/>
  <c r="CK878" i="1"/>
  <c r="CC878" i="1"/>
  <c r="EN878" i="1"/>
  <c r="CB878" i="1"/>
  <c r="O878" i="1"/>
  <c r="CC876" i="1"/>
  <c r="CC874" i="1"/>
  <c r="CC873" i="1"/>
  <c r="CC872" i="1"/>
  <c r="CC871" i="1"/>
  <c r="CC870" i="1"/>
  <c r="CC869" i="1"/>
  <c r="CC868" i="1"/>
  <c r="CC867" i="1"/>
  <c r="CC866" i="1"/>
  <c r="CC863" i="1"/>
  <c r="EW903" i="1"/>
  <c r="EU903" i="1"/>
  <c r="EV903" i="1"/>
  <c r="ET903" i="1"/>
  <c r="EQ903" i="1"/>
  <c r="EP903" i="1"/>
  <c r="EN903" i="1"/>
  <c r="EM903" i="1"/>
  <c r="EL903" i="1"/>
  <c r="EE903" i="1"/>
  <c r="DH903" i="1"/>
  <c r="CB903" i="1"/>
  <c r="BH903" i="1"/>
  <c r="BA903" i="1"/>
  <c r="AT903" i="1"/>
  <c r="O903" i="1"/>
  <c r="EW876" i="1"/>
  <c r="EU876" i="1"/>
  <c r="EV876" i="1"/>
  <c r="ET876" i="1"/>
  <c r="EQ876" i="1"/>
  <c r="EP876" i="1"/>
  <c r="EN876" i="1"/>
  <c r="EM876" i="1"/>
  <c r="EL876" i="1"/>
  <c r="EE876" i="1"/>
  <c r="DU876" i="1"/>
  <c r="DR876" i="1"/>
  <c r="DH876" i="1"/>
  <c r="CB876" i="1"/>
  <c r="BH876" i="1"/>
  <c r="BA876" i="1"/>
  <c r="AT876" i="1"/>
  <c r="O876" i="1"/>
  <c r="O874" i="1"/>
  <c r="EE861" i="1"/>
  <c r="EW874" i="1"/>
  <c r="EU874" i="1"/>
  <c r="EV874" i="1"/>
  <c r="ET874" i="1"/>
  <c r="EQ874" i="1"/>
  <c r="EP874" i="1"/>
  <c r="EN874" i="1"/>
  <c r="EM874" i="1"/>
  <c r="EL874" i="1"/>
  <c r="EE874" i="1"/>
  <c r="DH874" i="1"/>
  <c r="CB874" i="1"/>
  <c r="BH874" i="1"/>
  <c r="BA874" i="1"/>
  <c r="AT874" i="1"/>
  <c r="EQ906" i="1"/>
  <c r="EP906" i="1"/>
  <c r="EN906" i="1"/>
  <c r="EM906" i="1"/>
  <c r="EL906" i="1"/>
  <c r="DU824" i="1"/>
  <c r="DU825" i="1"/>
  <c r="DU826" i="1"/>
  <c r="DU827" i="1"/>
  <c r="DU828" i="1"/>
  <c r="DU829" i="1"/>
  <c r="DU830" i="1"/>
  <c r="DU831" i="1"/>
  <c r="DU832" i="1"/>
  <c r="DU833" i="1"/>
  <c r="DU834" i="1"/>
  <c r="DU835" i="1"/>
  <c r="DU836" i="1"/>
  <c r="DU837" i="1"/>
  <c r="DU838" i="1"/>
  <c r="DU839" i="1"/>
  <c r="DU840" i="1"/>
  <c r="DU841" i="1"/>
  <c r="DU842" i="1"/>
  <c r="DU843" i="1"/>
  <c r="DU845" i="1"/>
  <c r="DU846" i="1"/>
  <c r="DU847" i="1"/>
  <c r="DU848" i="1"/>
  <c r="DU849" i="1"/>
  <c r="DU850" i="1"/>
  <c r="DU851" i="1"/>
  <c r="DU852" i="1"/>
  <c r="DU853" i="1"/>
  <c r="DU854" i="1"/>
  <c r="DU855" i="1"/>
  <c r="DU856" i="1"/>
  <c r="DU857" i="1"/>
  <c r="DU858" i="1"/>
  <c r="DU859" i="1"/>
  <c r="DU860" i="1"/>
  <c r="DU861" i="1"/>
  <c r="DU862" i="1"/>
  <c r="DU863" i="1"/>
  <c r="DU864" i="1"/>
  <c r="DU865" i="1"/>
  <c r="DU866" i="1"/>
  <c r="DU867" i="1"/>
  <c r="DU868" i="1"/>
  <c r="DU869" i="1"/>
  <c r="DU870" i="1"/>
  <c r="DU871" i="1"/>
  <c r="DU872" i="1"/>
  <c r="DU873" i="1"/>
  <c r="DU875" i="1"/>
  <c r="DU877" i="1"/>
  <c r="DU879" i="1"/>
  <c r="DU880" i="1"/>
  <c r="DU916" i="1"/>
  <c r="DU906" i="1"/>
  <c r="DU883" i="1"/>
  <c r="DU908" i="1"/>
  <c r="DU909" i="1"/>
  <c r="DU885" i="1"/>
  <c r="DU910" i="1"/>
  <c r="DU912" i="1"/>
  <c r="DU888" i="1"/>
  <c r="DU913" i="1"/>
  <c r="DU915" i="1"/>
  <c r="DU895" i="1"/>
  <c r="DU896" i="1"/>
  <c r="DR862" i="1"/>
  <c r="DR863" i="1"/>
  <c r="DR864" i="1"/>
  <c r="DR865" i="1"/>
  <c r="DR866" i="1"/>
  <c r="DR867" i="1"/>
  <c r="DR868" i="1"/>
  <c r="DR869" i="1"/>
  <c r="DR870" i="1"/>
  <c r="DR871" i="1"/>
  <c r="DR872" i="1"/>
  <c r="DR873" i="1"/>
  <c r="DR875" i="1"/>
  <c r="DR877" i="1"/>
  <c r="DR879" i="1"/>
  <c r="DR880" i="1"/>
  <c r="DR916" i="1"/>
  <c r="DR906" i="1"/>
  <c r="EW885" i="1"/>
  <c r="EU885" i="1"/>
  <c r="EV885" i="1"/>
  <c r="ET885" i="1"/>
  <c r="EQ885" i="1"/>
  <c r="EQ883" i="1"/>
  <c r="EP885" i="1"/>
  <c r="EP883" i="1"/>
  <c r="EN885" i="1"/>
  <c r="EM885" i="1"/>
  <c r="EL885" i="1"/>
  <c r="EE885" i="1"/>
  <c r="EE883" i="1"/>
  <c r="DR885" i="1"/>
  <c r="DR883" i="1"/>
  <c r="DR855" i="1"/>
  <c r="DR845" i="1"/>
  <c r="DH885" i="1"/>
  <c r="CB885" i="1"/>
  <c r="BH885" i="1"/>
  <c r="BH883" i="1"/>
  <c r="BA885" i="1"/>
  <c r="AT885" i="1"/>
  <c r="O885" i="1"/>
  <c r="EW896" i="1"/>
  <c r="EU895" i="1"/>
  <c r="EU896" i="1"/>
  <c r="EV896" i="1"/>
  <c r="ET896" i="1"/>
  <c r="EQ896" i="1"/>
  <c r="EP896" i="1"/>
  <c r="EN908" i="1"/>
  <c r="EN909" i="1"/>
  <c r="EN910" i="1"/>
  <c r="EN912" i="1"/>
  <c r="EN888" i="1"/>
  <c r="EN913" i="1"/>
  <c r="EN915" i="1"/>
  <c r="EN896" i="1"/>
  <c r="EM908" i="1"/>
  <c r="EM909" i="1"/>
  <c r="EM910" i="1"/>
  <c r="EM912" i="1"/>
  <c r="EM888" i="1"/>
  <c r="EM913" i="1"/>
  <c r="EM915" i="1"/>
  <c r="EM895" i="1"/>
  <c r="EM896" i="1"/>
  <c r="EL908" i="1"/>
  <c r="EL909" i="1"/>
  <c r="EL910" i="1"/>
  <c r="EL912" i="1"/>
  <c r="EL888" i="1"/>
  <c r="EL913" i="1"/>
  <c r="EL915" i="1"/>
  <c r="EL895" i="1"/>
  <c r="EL896" i="1"/>
  <c r="EE896" i="1"/>
  <c r="DR896" i="1"/>
  <c r="DH896" i="1"/>
  <c r="CB896" i="1"/>
  <c r="BH896" i="1"/>
  <c r="BA896" i="1"/>
  <c r="AT896" i="1"/>
  <c r="O896" i="1"/>
  <c r="EU919" i="1"/>
  <c r="EV919" i="1"/>
  <c r="EW919" i="1"/>
  <c r="ET919" i="1"/>
  <c r="EQ919" i="1"/>
  <c r="EP919" i="1"/>
  <c r="EN919" i="1"/>
  <c r="EM919" i="1"/>
  <c r="EL919" i="1"/>
  <c r="EE919" i="1"/>
  <c r="DH919" i="1"/>
  <c r="CB919" i="1"/>
  <c r="BH919" i="1"/>
  <c r="BA919" i="1"/>
  <c r="AT919" i="1"/>
  <c r="O919" i="1"/>
  <c r="EW857" i="1"/>
  <c r="EW858" i="1"/>
  <c r="EW859" i="1"/>
  <c r="EW860" i="1"/>
  <c r="EW861" i="1"/>
  <c r="EW862" i="1"/>
  <c r="EW863" i="1"/>
  <c r="EW864" i="1"/>
  <c r="EW865" i="1"/>
  <c r="EW866" i="1"/>
  <c r="EW867" i="1"/>
  <c r="EW868" i="1"/>
  <c r="EW869" i="1"/>
  <c r="EW870" i="1"/>
  <c r="EW871" i="1"/>
  <c r="EW872" i="1"/>
  <c r="EW873" i="1"/>
  <c r="EW875" i="1"/>
  <c r="EW877" i="1"/>
  <c r="EW879" i="1"/>
  <c r="EW880" i="1"/>
  <c r="EW916" i="1"/>
  <c r="EU857" i="1"/>
  <c r="EV857" i="1"/>
  <c r="EU858" i="1"/>
  <c r="EV858" i="1"/>
  <c r="EU859" i="1"/>
  <c r="EV859" i="1"/>
  <c r="EU860" i="1"/>
  <c r="EV860" i="1"/>
  <c r="EU861" i="1"/>
  <c r="EV861" i="1"/>
  <c r="EU862" i="1"/>
  <c r="EV862" i="1"/>
  <c r="EU863" i="1"/>
  <c r="EV863" i="1"/>
  <c r="EU864" i="1"/>
  <c r="EV864" i="1"/>
  <c r="EU865" i="1"/>
  <c r="EV865" i="1"/>
  <c r="EU866" i="1"/>
  <c r="EV866" i="1"/>
  <c r="EU867" i="1"/>
  <c r="EV867" i="1"/>
  <c r="EU868" i="1"/>
  <c r="EV868" i="1"/>
  <c r="EU869" i="1"/>
  <c r="EV869" i="1"/>
  <c r="EU870" i="1"/>
  <c r="EV870" i="1"/>
  <c r="EU871" i="1"/>
  <c r="EV871" i="1"/>
  <c r="EU872" i="1"/>
  <c r="EV872" i="1"/>
  <c r="EU873" i="1"/>
  <c r="EV873" i="1"/>
  <c r="EU875" i="1"/>
  <c r="EV875" i="1"/>
  <c r="EU877" i="1"/>
  <c r="EV877" i="1"/>
  <c r="EU879" i="1"/>
  <c r="EV879" i="1"/>
  <c r="EU880" i="1"/>
  <c r="EV880" i="1"/>
  <c r="EU916" i="1"/>
  <c r="EV916" i="1"/>
  <c r="ET857" i="1"/>
  <c r="ET858" i="1"/>
  <c r="ET859" i="1"/>
  <c r="ET860" i="1"/>
  <c r="ET861" i="1"/>
  <c r="ET862" i="1"/>
  <c r="ET863" i="1"/>
  <c r="ET864" i="1"/>
  <c r="ET865" i="1"/>
  <c r="ET866" i="1"/>
  <c r="ET867" i="1"/>
  <c r="ET868" i="1"/>
  <c r="ET869" i="1"/>
  <c r="ET870" i="1"/>
  <c r="ET871" i="1"/>
  <c r="ET872" i="1"/>
  <c r="ET873" i="1"/>
  <c r="ET875" i="1"/>
  <c r="ET877" i="1"/>
  <c r="ET879" i="1"/>
  <c r="ET880" i="1"/>
  <c r="ET916" i="1"/>
  <c r="EQ793" i="1"/>
  <c r="EQ794" i="1"/>
  <c r="EQ795" i="1"/>
  <c r="EQ796" i="1"/>
  <c r="EQ797" i="1"/>
  <c r="EQ798" i="1"/>
  <c r="EQ799" i="1"/>
  <c r="EQ800" i="1"/>
  <c r="EQ801" i="1"/>
  <c r="EQ802" i="1"/>
  <c r="EQ803" i="1"/>
  <c r="EQ804" i="1"/>
  <c r="EQ805" i="1"/>
  <c r="EQ806" i="1"/>
  <c r="EQ807" i="1"/>
  <c r="EQ808" i="1"/>
  <c r="EQ809" i="1"/>
  <c r="EQ810" i="1"/>
  <c r="EQ811" i="1"/>
  <c r="EQ812" i="1"/>
  <c r="EQ813" i="1"/>
  <c r="EQ814" i="1"/>
  <c r="EQ815" i="1"/>
  <c r="EQ816" i="1"/>
  <c r="EQ817" i="1"/>
  <c r="EQ818" i="1"/>
  <c r="EQ819" i="1"/>
  <c r="EQ820" i="1"/>
  <c r="EQ821" i="1"/>
  <c r="EQ822" i="1"/>
  <c r="EQ823" i="1"/>
  <c r="EQ824" i="1"/>
  <c r="EQ825" i="1"/>
  <c r="EQ826" i="1"/>
  <c r="EQ827" i="1"/>
  <c r="EQ828" i="1"/>
  <c r="EQ829" i="1"/>
  <c r="EQ830" i="1"/>
  <c r="EQ831" i="1"/>
  <c r="EQ832" i="1"/>
  <c r="EQ833" i="1"/>
  <c r="EQ834" i="1"/>
  <c r="EQ835" i="1"/>
  <c r="EQ836" i="1"/>
  <c r="EQ837" i="1"/>
  <c r="EQ838" i="1"/>
  <c r="EQ839" i="1"/>
  <c r="EQ840" i="1"/>
  <c r="EQ841" i="1"/>
  <c r="EQ842" i="1"/>
  <c r="EQ843" i="1"/>
  <c r="EQ845" i="1"/>
  <c r="EQ846" i="1"/>
  <c r="EQ847" i="1"/>
  <c r="EQ848" i="1"/>
  <c r="EQ849" i="1"/>
  <c r="EQ850" i="1"/>
  <c r="EQ851" i="1"/>
  <c r="EQ852" i="1"/>
  <c r="EQ853" i="1"/>
  <c r="EQ854" i="1"/>
  <c r="EQ855" i="1"/>
  <c r="EQ856" i="1"/>
  <c r="EQ857" i="1"/>
  <c r="EQ858" i="1"/>
  <c r="EQ859" i="1"/>
  <c r="EQ860" i="1"/>
  <c r="EQ861" i="1"/>
  <c r="EQ862" i="1"/>
  <c r="EQ863" i="1"/>
  <c r="EQ864" i="1"/>
  <c r="EQ865" i="1"/>
  <c r="EQ866" i="1"/>
  <c r="EQ867" i="1"/>
  <c r="EQ868" i="1"/>
  <c r="EQ869" i="1"/>
  <c r="EQ870" i="1"/>
  <c r="EQ871" i="1"/>
  <c r="EQ872" i="1"/>
  <c r="EQ873" i="1"/>
  <c r="EQ875" i="1"/>
  <c r="EQ877" i="1"/>
  <c r="EQ879" i="1"/>
  <c r="EQ880" i="1"/>
  <c r="EQ916" i="1"/>
  <c r="EP793" i="1"/>
  <c r="EP794" i="1"/>
  <c r="EP795" i="1"/>
  <c r="EP796" i="1"/>
  <c r="EP797" i="1"/>
  <c r="EP798" i="1"/>
  <c r="EP799" i="1"/>
  <c r="EP800" i="1"/>
  <c r="EP801" i="1"/>
  <c r="EP802" i="1"/>
  <c r="EP803" i="1"/>
  <c r="EP804" i="1"/>
  <c r="EP805" i="1"/>
  <c r="EP806" i="1"/>
  <c r="EP807" i="1"/>
  <c r="EP808" i="1"/>
  <c r="EP809" i="1"/>
  <c r="EP810" i="1"/>
  <c r="EP811" i="1"/>
  <c r="EP812" i="1"/>
  <c r="EP813" i="1"/>
  <c r="EP814" i="1"/>
  <c r="EP815" i="1"/>
  <c r="EP816" i="1"/>
  <c r="EP817" i="1"/>
  <c r="EP818" i="1"/>
  <c r="EP819" i="1"/>
  <c r="EP820" i="1"/>
  <c r="EP821" i="1"/>
  <c r="EP822" i="1"/>
  <c r="EP823" i="1"/>
  <c r="EP824" i="1"/>
  <c r="EP825" i="1"/>
  <c r="EP826" i="1"/>
  <c r="EP827" i="1"/>
  <c r="EP828" i="1"/>
  <c r="EP829" i="1"/>
  <c r="EP830" i="1"/>
  <c r="EP831" i="1"/>
  <c r="EP832" i="1"/>
  <c r="EP833" i="1"/>
  <c r="EP834" i="1"/>
  <c r="EP835" i="1"/>
  <c r="EP836" i="1"/>
  <c r="EP837" i="1"/>
  <c r="EP838" i="1"/>
  <c r="EP839" i="1"/>
  <c r="EP840" i="1"/>
  <c r="EP841" i="1"/>
  <c r="EP842" i="1"/>
  <c r="EP843" i="1"/>
  <c r="EP845" i="1"/>
  <c r="EP846" i="1"/>
  <c r="EP847" i="1"/>
  <c r="EP848" i="1"/>
  <c r="EP849" i="1"/>
  <c r="EP850" i="1"/>
  <c r="EP851" i="1"/>
  <c r="EP852" i="1"/>
  <c r="EP853" i="1"/>
  <c r="EP854" i="1"/>
  <c r="EP855" i="1"/>
  <c r="EP856" i="1"/>
  <c r="EP857" i="1"/>
  <c r="EP858" i="1"/>
  <c r="EP859" i="1"/>
  <c r="EP860" i="1"/>
  <c r="EP861" i="1"/>
  <c r="EP862" i="1"/>
  <c r="EP863" i="1"/>
  <c r="EP864" i="1"/>
  <c r="EP865" i="1"/>
  <c r="EP866" i="1"/>
  <c r="EP867" i="1"/>
  <c r="EP868" i="1"/>
  <c r="EP869" i="1"/>
  <c r="EP870" i="1"/>
  <c r="EP871" i="1"/>
  <c r="EP872" i="1"/>
  <c r="EP873" i="1"/>
  <c r="EP875" i="1"/>
  <c r="EP877" i="1"/>
  <c r="EP879" i="1"/>
  <c r="EP880" i="1"/>
  <c r="EP916" i="1"/>
  <c r="EN841" i="1"/>
  <c r="EN842" i="1"/>
  <c r="EN843" i="1"/>
  <c r="EN845" i="1"/>
  <c r="EN846" i="1"/>
  <c r="EN847" i="1"/>
  <c r="EN848" i="1"/>
  <c r="EN849" i="1"/>
  <c r="EN850" i="1"/>
  <c r="EN851" i="1"/>
  <c r="EN852" i="1"/>
  <c r="EN853" i="1"/>
  <c r="EN854" i="1"/>
  <c r="EN855" i="1"/>
  <c r="EN856" i="1"/>
  <c r="EN857" i="1"/>
  <c r="EN858" i="1"/>
  <c r="EN859" i="1"/>
  <c r="EN860" i="1"/>
  <c r="EN861" i="1"/>
  <c r="EN862" i="1"/>
  <c r="EN863" i="1"/>
  <c r="EN864" i="1"/>
  <c r="EN865" i="1"/>
  <c r="EN866" i="1"/>
  <c r="EN867" i="1"/>
  <c r="EN868" i="1"/>
  <c r="EN869" i="1"/>
  <c r="EN870" i="1"/>
  <c r="EN871" i="1"/>
  <c r="EN872" i="1"/>
  <c r="EN873" i="1"/>
  <c r="EN875" i="1"/>
  <c r="EN877" i="1"/>
  <c r="EN879" i="1"/>
  <c r="EN880" i="1"/>
  <c r="EN916" i="1"/>
  <c r="EN793" i="1"/>
  <c r="EN794" i="1"/>
  <c r="EN795" i="1"/>
  <c r="EN796" i="1"/>
  <c r="EN797" i="1"/>
  <c r="EN798" i="1"/>
  <c r="EN799" i="1"/>
  <c r="EN800" i="1"/>
  <c r="EN801" i="1"/>
  <c r="EN802" i="1"/>
  <c r="EN803" i="1"/>
  <c r="EN804" i="1"/>
  <c r="EN805" i="1"/>
  <c r="EN806" i="1"/>
  <c r="EN807" i="1"/>
  <c r="EN808" i="1"/>
  <c r="EN809" i="1"/>
  <c r="EN810" i="1"/>
  <c r="EN811" i="1"/>
  <c r="EN812" i="1"/>
  <c r="EN813" i="1"/>
  <c r="EN814" i="1"/>
  <c r="EN815" i="1"/>
  <c r="EN816" i="1"/>
  <c r="EN817" i="1"/>
  <c r="EN818" i="1"/>
  <c r="EN819" i="1"/>
  <c r="EN820" i="1"/>
  <c r="EN821" i="1"/>
  <c r="EN822" i="1"/>
  <c r="EN823" i="1"/>
  <c r="EN824" i="1"/>
  <c r="EN825" i="1"/>
  <c r="EN826" i="1"/>
  <c r="EN827" i="1"/>
  <c r="EN828" i="1"/>
  <c r="EN829" i="1"/>
  <c r="EN830" i="1"/>
  <c r="EN831" i="1"/>
  <c r="EN832" i="1"/>
  <c r="EN833" i="1"/>
  <c r="EN834" i="1"/>
  <c r="EN835" i="1"/>
  <c r="EN836" i="1"/>
  <c r="EN837" i="1"/>
  <c r="EN838" i="1"/>
  <c r="EN839" i="1"/>
  <c r="EN840" i="1"/>
  <c r="EM793" i="1"/>
  <c r="EM794" i="1"/>
  <c r="EM795" i="1"/>
  <c r="EM796" i="1"/>
  <c r="EM797" i="1"/>
  <c r="EM798" i="1"/>
  <c r="EM799" i="1"/>
  <c r="EM800" i="1"/>
  <c r="EM801" i="1"/>
  <c r="EM802" i="1"/>
  <c r="EM803" i="1"/>
  <c r="EM804" i="1"/>
  <c r="EM805" i="1"/>
  <c r="EM806" i="1"/>
  <c r="EM807" i="1"/>
  <c r="EM808" i="1"/>
  <c r="EM809" i="1"/>
  <c r="EM810" i="1"/>
  <c r="EM811" i="1"/>
  <c r="EM812" i="1"/>
  <c r="EM813" i="1"/>
  <c r="EM814" i="1"/>
  <c r="EM815" i="1"/>
  <c r="EM816" i="1"/>
  <c r="EM817" i="1"/>
  <c r="EM818" i="1"/>
  <c r="EM819" i="1"/>
  <c r="EM820" i="1"/>
  <c r="EM821" i="1"/>
  <c r="EM822" i="1"/>
  <c r="EM823" i="1"/>
  <c r="EM824" i="1"/>
  <c r="EM825" i="1"/>
  <c r="EM826" i="1"/>
  <c r="EM827" i="1"/>
  <c r="EM828" i="1"/>
  <c r="EM829" i="1"/>
  <c r="EM830" i="1"/>
  <c r="EM831" i="1"/>
  <c r="EM832" i="1"/>
  <c r="EM833" i="1"/>
  <c r="EM834" i="1"/>
  <c r="EM835" i="1"/>
  <c r="EM836" i="1"/>
  <c r="EM837" i="1"/>
  <c r="EM838" i="1"/>
  <c r="EM839" i="1"/>
  <c r="EM840" i="1"/>
  <c r="EM841" i="1"/>
  <c r="EM842" i="1"/>
  <c r="EM843" i="1"/>
  <c r="EM845" i="1"/>
  <c r="EM846" i="1"/>
  <c r="EM847" i="1"/>
  <c r="EM848" i="1"/>
  <c r="EM849" i="1"/>
  <c r="EM850" i="1"/>
  <c r="EM851" i="1"/>
  <c r="EM852" i="1"/>
  <c r="EM853" i="1"/>
  <c r="EM854" i="1"/>
  <c r="EM855" i="1"/>
  <c r="EM856" i="1"/>
  <c r="EM857" i="1"/>
  <c r="EM858" i="1"/>
  <c r="EM859" i="1"/>
  <c r="EM860" i="1"/>
  <c r="EM861" i="1"/>
  <c r="EM862" i="1"/>
  <c r="EM863" i="1"/>
  <c r="EM864" i="1"/>
  <c r="EM865" i="1"/>
  <c r="EM866" i="1"/>
  <c r="EM867" i="1"/>
  <c r="EM868" i="1"/>
  <c r="EM869" i="1"/>
  <c r="EM870" i="1"/>
  <c r="EM871" i="1"/>
  <c r="EM872" i="1"/>
  <c r="EM873" i="1"/>
  <c r="EM875" i="1"/>
  <c r="EM877" i="1"/>
  <c r="EM879" i="1"/>
  <c r="EM880" i="1"/>
  <c r="EM916" i="1"/>
  <c r="EL793" i="1"/>
  <c r="EL794" i="1"/>
  <c r="EL795" i="1"/>
  <c r="EL796" i="1"/>
  <c r="EL797" i="1"/>
  <c r="EL798" i="1"/>
  <c r="EL799" i="1"/>
  <c r="EL800" i="1"/>
  <c r="EL801" i="1"/>
  <c r="EL802" i="1"/>
  <c r="EL803" i="1"/>
  <c r="EL804" i="1"/>
  <c r="EL805" i="1"/>
  <c r="EL806" i="1"/>
  <c r="EL807" i="1"/>
  <c r="EL808" i="1"/>
  <c r="EL809" i="1"/>
  <c r="EL810" i="1"/>
  <c r="EL811" i="1"/>
  <c r="EL812" i="1"/>
  <c r="EL813" i="1"/>
  <c r="EL814" i="1"/>
  <c r="EL815" i="1"/>
  <c r="EL816" i="1"/>
  <c r="EL817" i="1"/>
  <c r="EL818" i="1"/>
  <c r="EL819" i="1"/>
  <c r="EL820" i="1"/>
  <c r="EL821" i="1"/>
  <c r="EL822" i="1"/>
  <c r="EL823" i="1"/>
  <c r="EL824" i="1"/>
  <c r="EL825" i="1"/>
  <c r="EL826" i="1"/>
  <c r="EL827" i="1"/>
  <c r="EL828" i="1"/>
  <c r="EL829" i="1"/>
  <c r="EL830" i="1"/>
  <c r="EL831" i="1"/>
  <c r="EL832" i="1"/>
  <c r="EL833" i="1"/>
  <c r="EL834" i="1"/>
  <c r="EL835" i="1"/>
  <c r="EL836" i="1"/>
  <c r="EL837" i="1"/>
  <c r="EL838" i="1"/>
  <c r="EL839" i="1"/>
  <c r="EL840" i="1"/>
  <c r="EL841" i="1"/>
  <c r="EL842" i="1"/>
  <c r="EL843" i="1"/>
  <c r="EL845" i="1"/>
  <c r="EL846" i="1"/>
  <c r="EL847" i="1"/>
  <c r="EL848" i="1"/>
  <c r="EL849" i="1"/>
  <c r="EL850" i="1"/>
  <c r="EL851" i="1"/>
  <c r="EL852" i="1"/>
  <c r="EL853" i="1"/>
  <c r="EL854" i="1"/>
  <c r="EL855" i="1"/>
  <c r="EL856" i="1"/>
  <c r="EL857" i="1"/>
  <c r="EL858" i="1"/>
  <c r="EL859" i="1"/>
  <c r="EL860" i="1"/>
  <c r="EL861" i="1"/>
  <c r="EL862" i="1"/>
  <c r="EL863" i="1"/>
  <c r="EL864" i="1"/>
  <c r="EL865" i="1"/>
  <c r="EL866" i="1"/>
  <c r="EL867" i="1"/>
  <c r="EL868" i="1"/>
  <c r="EL869" i="1"/>
  <c r="EL870" i="1"/>
  <c r="EL871" i="1"/>
  <c r="EL872" i="1"/>
  <c r="EL873" i="1"/>
  <c r="EL875" i="1"/>
  <c r="EL877" i="1"/>
  <c r="EL879" i="1"/>
  <c r="EL880" i="1"/>
  <c r="EL916" i="1"/>
  <c r="EE857" i="1"/>
  <c r="EE858" i="1"/>
  <c r="EE859" i="1"/>
  <c r="EE860" i="1"/>
  <c r="EE862" i="1"/>
  <c r="EE863" i="1"/>
  <c r="EE864" i="1"/>
  <c r="EE865" i="1"/>
  <c r="EE866" i="1"/>
  <c r="EE867" i="1"/>
  <c r="EE868" i="1"/>
  <c r="EE869" i="1"/>
  <c r="EE870" i="1"/>
  <c r="EE871" i="1"/>
  <c r="EE872" i="1"/>
  <c r="EE873" i="1"/>
  <c r="EE875" i="1"/>
  <c r="EE877" i="1"/>
  <c r="EE879" i="1"/>
  <c r="EE880" i="1"/>
  <c r="EE916" i="1"/>
  <c r="DH857" i="1"/>
  <c r="DH858" i="1"/>
  <c r="DH859" i="1"/>
  <c r="DH860" i="1"/>
  <c r="DH861" i="1"/>
  <c r="DH862" i="1"/>
  <c r="DH863" i="1"/>
  <c r="DH864" i="1"/>
  <c r="DH865" i="1"/>
  <c r="DH866" i="1"/>
  <c r="DH867" i="1"/>
  <c r="DH868" i="1"/>
  <c r="DH869" i="1"/>
  <c r="DH870" i="1"/>
  <c r="DH871" i="1"/>
  <c r="DH872" i="1"/>
  <c r="DH873" i="1"/>
  <c r="DH875" i="1"/>
  <c r="DH877" i="1"/>
  <c r="DH879" i="1"/>
  <c r="DH880" i="1"/>
  <c r="DH916" i="1"/>
  <c r="CB857" i="1"/>
  <c r="CB858" i="1"/>
  <c r="CB859" i="1"/>
  <c r="CB860" i="1"/>
  <c r="CB861" i="1"/>
  <c r="CB862" i="1"/>
  <c r="CB863" i="1"/>
  <c r="CB864" i="1"/>
  <c r="CB865" i="1"/>
  <c r="CB866" i="1"/>
  <c r="CB867" i="1"/>
  <c r="CB868" i="1"/>
  <c r="CB869" i="1"/>
  <c r="CB870" i="1"/>
  <c r="CB871" i="1"/>
  <c r="CB872" i="1"/>
  <c r="CB873" i="1"/>
  <c r="CB875" i="1"/>
  <c r="CB877" i="1"/>
  <c r="CB879" i="1"/>
  <c r="CB880" i="1"/>
  <c r="CB916" i="1"/>
  <c r="BH857" i="1"/>
  <c r="BH858" i="1"/>
  <c r="BH859" i="1"/>
  <c r="BH860" i="1"/>
  <c r="BH861" i="1"/>
  <c r="BH862" i="1"/>
  <c r="BH863" i="1"/>
  <c r="BH864" i="1"/>
  <c r="BH865" i="1"/>
  <c r="BH866" i="1"/>
  <c r="BH867" i="1"/>
  <c r="BH868" i="1"/>
  <c r="BH869" i="1"/>
  <c r="BH870" i="1"/>
  <c r="BH871" i="1"/>
  <c r="BH872" i="1"/>
  <c r="BH873" i="1"/>
  <c r="BH875" i="1"/>
  <c r="BH877" i="1"/>
  <c r="BH879" i="1"/>
  <c r="BH880" i="1"/>
  <c r="BH916" i="1"/>
  <c r="BA857" i="1"/>
  <c r="BA858" i="1"/>
  <c r="BA859" i="1"/>
  <c r="BA860" i="1"/>
  <c r="BA861" i="1"/>
  <c r="BA862" i="1"/>
  <c r="BA863" i="1"/>
  <c r="BA864" i="1"/>
  <c r="BA865" i="1"/>
  <c r="BA866" i="1"/>
  <c r="BA867" i="1"/>
  <c r="BA868" i="1"/>
  <c r="BA869" i="1"/>
  <c r="BA870" i="1"/>
  <c r="BA871" i="1"/>
  <c r="BA872" i="1"/>
  <c r="BA873" i="1"/>
  <c r="BA875" i="1"/>
  <c r="BA877" i="1"/>
  <c r="BA879" i="1"/>
  <c r="BA880" i="1"/>
  <c r="BA916" i="1"/>
  <c r="AT857" i="1"/>
  <c r="AT858" i="1"/>
  <c r="AT859" i="1"/>
  <c r="AT860" i="1"/>
  <c r="AT861" i="1"/>
  <c r="AT862" i="1"/>
  <c r="AT863" i="1"/>
  <c r="AT864" i="1"/>
  <c r="AT865" i="1"/>
  <c r="AT866" i="1"/>
  <c r="AT867" i="1"/>
  <c r="AT868" i="1"/>
  <c r="AT869" i="1"/>
  <c r="AT870" i="1"/>
  <c r="AT871" i="1"/>
  <c r="AT872" i="1"/>
  <c r="AT873" i="1"/>
  <c r="AT875" i="1"/>
  <c r="AT877" i="1"/>
  <c r="AT879" i="1"/>
  <c r="AT880" i="1"/>
  <c r="AT916" i="1"/>
  <c r="O916" i="1"/>
  <c r="O856" i="1"/>
  <c r="O880" i="1"/>
  <c r="O864" i="1"/>
  <c r="O867" i="1"/>
  <c r="ET849" i="1"/>
  <c r="O862" i="1"/>
  <c r="CC860" i="1"/>
  <c r="EW883" i="1"/>
  <c r="EU883" i="1"/>
  <c r="EV883" i="1"/>
  <c r="ET883" i="1"/>
  <c r="EN883" i="1"/>
  <c r="EM883" i="1"/>
  <c r="EL883" i="1"/>
  <c r="DH883" i="1"/>
  <c r="CB883" i="1"/>
  <c r="BA883" i="1"/>
  <c r="AT883" i="1"/>
  <c r="O883" i="1"/>
  <c r="O855" i="1"/>
  <c r="EW905" i="1"/>
  <c r="EU905" i="1"/>
  <c r="EV905" i="1"/>
  <c r="ET905" i="1"/>
  <c r="EQ905" i="1"/>
  <c r="EP905" i="1"/>
  <c r="EN905" i="1"/>
  <c r="EM905" i="1"/>
  <c r="EL905" i="1"/>
  <c r="EE905" i="1"/>
  <c r="DH905" i="1"/>
  <c r="CB902" i="1"/>
  <c r="CB905" i="1"/>
  <c r="BH905" i="1"/>
  <c r="BA905" i="1"/>
  <c r="AT905" i="1"/>
  <c r="O905" i="1"/>
  <c r="EW902" i="1"/>
  <c r="EU902" i="1"/>
  <c r="EV902" i="1"/>
  <c r="ET902" i="1"/>
  <c r="EQ902" i="1"/>
  <c r="EP902" i="1"/>
  <c r="EN902" i="1"/>
  <c r="EM902" i="1"/>
  <c r="EL902" i="1"/>
  <c r="EE902" i="1"/>
  <c r="DH902" i="1"/>
  <c r="BH902" i="1"/>
  <c r="BA902" i="1"/>
  <c r="AT902" i="1"/>
  <c r="O902" i="1"/>
  <c r="EW900" i="1"/>
  <c r="EU900" i="1"/>
  <c r="EV900" i="1"/>
  <c r="ET900" i="1"/>
  <c r="EQ900" i="1"/>
  <c r="EP900" i="1"/>
  <c r="EN900" i="1"/>
  <c r="EM900" i="1"/>
  <c r="EL900" i="1"/>
  <c r="EE898" i="1"/>
  <c r="EE900" i="1"/>
  <c r="DH900" i="1"/>
  <c r="CB900" i="1"/>
  <c r="BH900" i="1"/>
  <c r="BA900" i="1"/>
  <c r="AT900" i="1"/>
  <c r="O900" i="1"/>
  <c r="EU898" i="1"/>
  <c r="EV898" i="1"/>
  <c r="EW898" i="1"/>
  <c r="ET898" i="1"/>
  <c r="EQ898" i="1"/>
  <c r="EP898" i="1"/>
  <c r="EN898" i="1"/>
  <c r="EM898" i="1"/>
  <c r="EL898" i="1"/>
  <c r="DH898" i="1"/>
  <c r="CY898" i="1"/>
  <c r="CB898" i="1"/>
  <c r="BH898" i="1"/>
  <c r="BA898" i="1"/>
  <c r="AT898" i="1"/>
  <c r="O898" i="1"/>
  <c r="EW831" i="1"/>
  <c r="EW832" i="1"/>
  <c r="EW833" i="1"/>
  <c r="EW834" i="1"/>
  <c r="EW835" i="1"/>
  <c r="EW836" i="1"/>
  <c r="EW837" i="1"/>
  <c r="EW838" i="1"/>
  <c r="EW839" i="1"/>
  <c r="EW840" i="1"/>
  <c r="EW841" i="1"/>
  <c r="EW842" i="1"/>
  <c r="EW843" i="1"/>
  <c r="EW845" i="1"/>
  <c r="EW846" i="1"/>
  <c r="EW847" i="1"/>
  <c r="EW848" i="1"/>
  <c r="EW849" i="1"/>
  <c r="EW850" i="1"/>
  <c r="EW851" i="1"/>
  <c r="EW852" i="1"/>
  <c r="EW853" i="1"/>
  <c r="EW854" i="1"/>
  <c r="EW855" i="1"/>
  <c r="EW856" i="1"/>
  <c r="EW906" i="1"/>
  <c r="EW908" i="1"/>
  <c r="EW909" i="1"/>
  <c r="EW910" i="1"/>
  <c r="EW912" i="1"/>
  <c r="EW888" i="1"/>
  <c r="EW913" i="1"/>
  <c r="EW915" i="1"/>
  <c r="EW895" i="1"/>
  <c r="EW897" i="1"/>
  <c r="EW914" i="1"/>
  <c r="EU831" i="1"/>
  <c r="EV831" i="1"/>
  <c r="EU832" i="1"/>
  <c r="EV832" i="1"/>
  <c r="EU833" i="1"/>
  <c r="EV833" i="1"/>
  <c r="EU834" i="1"/>
  <c r="EV834" i="1"/>
  <c r="EU835" i="1"/>
  <c r="EV835" i="1"/>
  <c r="EU836" i="1"/>
  <c r="EV836" i="1"/>
  <c r="EU837" i="1"/>
  <c r="EV837" i="1"/>
  <c r="EU838" i="1"/>
  <c r="EV838" i="1"/>
  <c r="EU839" i="1"/>
  <c r="EV839" i="1"/>
  <c r="EU840" i="1"/>
  <c r="EV840" i="1"/>
  <c r="EU841" i="1"/>
  <c r="EV841" i="1"/>
  <c r="EU842" i="1"/>
  <c r="EV842" i="1"/>
  <c r="EU843" i="1"/>
  <c r="EV843" i="1"/>
  <c r="EU845" i="1"/>
  <c r="EV845" i="1"/>
  <c r="EU846" i="1"/>
  <c r="EV846" i="1"/>
  <c r="EU847" i="1"/>
  <c r="EV847" i="1"/>
  <c r="EU848" i="1"/>
  <c r="EV848" i="1"/>
  <c r="EU849" i="1"/>
  <c r="EV849" i="1"/>
  <c r="EU850" i="1"/>
  <c r="EV850" i="1"/>
  <c r="EU851" i="1"/>
  <c r="EV851" i="1"/>
  <c r="EU852" i="1"/>
  <c r="EV852" i="1"/>
  <c r="EU853" i="1"/>
  <c r="EV853" i="1"/>
  <c r="EU854" i="1"/>
  <c r="EV854" i="1"/>
  <c r="EU855" i="1"/>
  <c r="EV855" i="1"/>
  <c r="EU856" i="1"/>
  <c r="EV856" i="1"/>
  <c r="EU906" i="1"/>
  <c r="EV906" i="1"/>
  <c r="EU908" i="1"/>
  <c r="EV908" i="1"/>
  <c r="EU909" i="1"/>
  <c r="EV909" i="1"/>
  <c r="EU910" i="1"/>
  <c r="EV910" i="1"/>
  <c r="EU912" i="1"/>
  <c r="EV912" i="1"/>
  <c r="EU888" i="1"/>
  <c r="EV888" i="1"/>
  <c r="EU913" i="1"/>
  <c r="EV913" i="1"/>
  <c r="EU915" i="1"/>
  <c r="EV915" i="1"/>
  <c r="EV895" i="1"/>
  <c r="EU897" i="1"/>
  <c r="EV897" i="1"/>
  <c r="ET831" i="1"/>
  <c r="ET832" i="1"/>
  <c r="ET833" i="1"/>
  <c r="ET834" i="1"/>
  <c r="ET835" i="1"/>
  <c r="ET836" i="1"/>
  <c r="ET837" i="1"/>
  <c r="ET838" i="1"/>
  <c r="ET839" i="1"/>
  <c r="ET840" i="1"/>
  <c r="ET841" i="1"/>
  <c r="ET842" i="1"/>
  <c r="ET843" i="1"/>
  <c r="ET845" i="1"/>
  <c r="ET846" i="1"/>
  <c r="ET847" i="1"/>
  <c r="ET848" i="1"/>
  <c r="ET850" i="1"/>
  <c r="ET851" i="1"/>
  <c r="ET852" i="1"/>
  <c r="ET853" i="1"/>
  <c r="ET854" i="1"/>
  <c r="ET855" i="1"/>
  <c r="ET856" i="1"/>
  <c r="ET906" i="1"/>
  <c r="ET908" i="1"/>
  <c r="ET909" i="1"/>
  <c r="ET910" i="1"/>
  <c r="ET912" i="1"/>
  <c r="ET888" i="1"/>
  <c r="ET913" i="1"/>
  <c r="ET915" i="1"/>
  <c r="ET897" i="1"/>
  <c r="EQ897" i="1"/>
  <c r="EN897" i="1"/>
  <c r="EM897" i="1"/>
  <c r="EL897" i="1"/>
  <c r="EK897" i="1"/>
  <c r="EK914" i="1"/>
  <c r="EL914" i="1"/>
  <c r="EM914" i="1"/>
  <c r="EP897" i="1"/>
  <c r="EE897" i="1"/>
  <c r="DU897" i="1"/>
  <c r="DR897" i="1"/>
  <c r="DH897" i="1"/>
  <c r="DA897" i="1"/>
  <c r="CY897" i="1"/>
  <c r="CK897" i="1"/>
  <c r="CB897" i="1"/>
  <c r="BH897" i="1"/>
  <c r="BA897" i="1"/>
  <c r="AT897" i="1"/>
  <c r="O897" i="1"/>
  <c r="EE915" i="1"/>
  <c r="DH915" i="1"/>
  <c r="CB915" i="1"/>
  <c r="BH915" i="1"/>
  <c r="BA915" i="1"/>
  <c r="AT915" i="1"/>
  <c r="O915" i="1"/>
  <c r="EE912" i="1"/>
  <c r="DH912" i="1"/>
  <c r="EE888" i="1"/>
  <c r="EE913" i="1"/>
  <c r="DH913" i="1"/>
  <c r="CB910" i="1"/>
  <c r="CB912" i="1"/>
  <c r="CB888" i="1"/>
  <c r="CB913" i="1"/>
  <c r="BH913" i="1"/>
  <c r="BA913" i="1"/>
  <c r="AT913" i="1"/>
  <c r="O913" i="1"/>
  <c r="BH912" i="1"/>
  <c r="BA912" i="1"/>
  <c r="AT912" i="1"/>
  <c r="O912" i="1"/>
  <c r="EE910" i="1"/>
  <c r="DH910" i="1"/>
  <c r="BH910" i="1"/>
  <c r="BA910" i="1"/>
  <c r="AT910" i="1"/>
  <c r="O910" i="1"/>
  <c r="O875" i="1"/>
  <c r="EE909" i="1"/>
  <c r="DH909" i="1"/>
  <c r="CB909" i="1"/>
  <c r="BH909" i="1"/>
  <c r="BA909" i="1"/>
  <c r="AT909" i="1"/>
  <c r="O909" i="1"/>
  <c r="EE908" i="1"/>
  <c r="DH908" i="1"/>
  <c r="CB908" i="1"/>
  <c r="BH908" i="1"/>
  <c r="BA908" i="1"/>
  <c r="AT908" i="1"/>
  <c r="O866" i="1"/>
  <c r="O908" i="1"/>
  <c r="EE906" i="1"/>
  <c r="DH906" i="1"/>
  <c r="CB906" i="1"/>
  <c r="BH906" i="1"/>
  <c r="BA906" i="1"/>
  <c r="AT906" i="1"/>
  <c r="O906" i="1"/>
  <c r="O879" i="1"/>
  <c r="O877" i="1"/>
  <c r="O873" i="1"/>
  <c r="O872" i="1"/>
  <c r="O888" i="1"/>
  <c r="O870" i="1"/>
  <c r="O871" i="1"/>
  <c r="O869" i="1"/>
  <c r="O868" i="1"/>
  <c r="DR861" i="1"/>
  <c r="CY861" i="1"/>
  <c r="DA861" i="1"/>
  <c r="CK861" i="1"/>
  <c r="DB861" i="1"/>
  <c r="CC861" i="1"/>
  <c r="O861" i="1"/>
  <c r="O865" i="1"/>
  <c r="EE854" i="1"/>
  <c r="O858" i="1"/>
  <c r="O857" i="1"/>
  <c r="O854" i="1"/>
  <c r="O852" i="1"/>
  <c r="O860" i="1"/>
  <c r="O837" i="1"/>
  <c r="CB856" i="1"/>
  <c r="DH847" i="1"/>
  <c r="CB847" i="1"/>
  <c r="CB848" i="1"/>
  <c r="BH847" i="1"/>
  <c r="BA847" i="1"/>
  <c r="AT847" i="1"/>
  <c r="DH848" i="1"/>
  <c r="BH848" i="1"/>
  <c r="BA848" i="1"/>
  <c r="AT848" i="1"/>
  <c r="DH843" i="1"/>
  <c r="CB843" i="1"/>
  <c r="CB842" i="1"/>
  <c r="BH843" i="1"/>
  <c r="BA843" i="1"/>
  <c r="AT843" i="1"/>
  <c r="DH842" i="1"/>
  <c r="CB841" i="1"/>
  <c r="CB840" i="1"/>
  <c r="BH842" i="1"/>
  <c r="BA842" i="1"/>
  <c r="AT842" i="1"/>
  <c r="DH841" i="1"/>
  <c r="BH841" i="1"/>
  <c r="BA841" i="1"/>
  <c r="AT841" i="1"/>
  <c r="DH888" i="1"/>
  <c r="BH888" i="1"/>
  <c r="BA888" i="1"/>
  <c r="AT888" i="1"/>
  <c r="DH837" i="1"/>
  <c r="BH837" i="1"/>
  <c r="BA837" i="1"/>
  <c r="AT837" i="1"/>
  <c r="CB837" i="1"/>
  <c r="EE839" i="1"/>
  <c r="EE840" i="1"/>
  <c r="EE845" i="1"/>
  <c r="EE846" i="1"/>
  <c r="EE849" i="1"/>
  <c r="EE850" i="1"/>
  <c r="EE851" i="1"/>
  <c r="EE852" i="1"/>
  <c r="EE853" i="1"/>
  <c r="EE855" i="1"/>
  <c r="EE856" i="1"/>
  <c r="DH856" i="1"/>
  <c r="BH856" i="1"/>
  <c r="BA856" i="1"/>
  <c r="AT856" i="1"/>
  <c r="AK2" i="7"/>
  <c r="AG2" i="7"/>
  <c r="EE801" i="1"/>
  <c r="EE802" i="1"/>
  <c r="EE803" i="1"/>
  <c r="EE800" i="1"/>
  <c r="EE799" i="1"/>
  <c r="AG3" i="7"/>
  <c r="AG4" i="7"/>
  <c r="AG5" i="7"/>
  <c r="AG6" i="7"/>
  <c r="AG7" i="7"/>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CB854" i="1"/>
  <c r="DH854" i="1"/>
  <c r="BH854" i="1"/>
  <c r="BA854" i="1"/>
  <c r="AT854" i="1"/>
  <c r="CB852" i="1"/>
  <c r="CB853" i="1"/>
  <c r="CB855" i="1"/>
  <c r="DH855" i="1"/>
  <c r="BH855" i="1"/>
  <c r="BA855" i="1"/>
  <c r="AT855" i="1"/>
  <c r="DH852" i="1"/>
  <c r="BH852" i="1"/>
  <c r="BA852" i="1"/>
  <c r="AT852" i="1"/>
  <c r="CB850"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8" i="1"/>
  <c r="O839" i="1"/>
  <c r="O840" i="1"/>
  <c r="O845" i="1"/>
  <c r="O846" i="1"/>
  <c r="O849" i="1"/>
  <c r="O850" i="1"/>
  <c r="O851" i="1"/>
  <c r="O853" i="1"/>
  <c r="O863" i="1"/>
  <c r="O922" i="1"/>
  <c r="O914" i="1"/>
  <c r="O921" i="1"/>
  <c r="O923" i="1"/>
  <c r="O924" i="1"/>
  <c r="O925" i="1"/>
  <c r="DH853" i="1"/>
  <c r="BH853" i="1"/>
  <c r="BA853" i="1"/>
  <c r="AT853" i="1"/>
  <c r="DH850" i="1"/>
  <c r="BH850" i="1"/>
  <c r="BA850" i="1"/>
  <c r="AT850" i="1"/>
  <c r="CB851" i="1"/>
  <c r="CB849" i="1"/>
  <c r="DH851" i="1"/>
  <c r="BH851" i="1"/>
  <c r="BA851" i="1"/>
  <c r="AT851" i="1"/>
  <c r="DH849" i="1"/>
  <c r="BH849" i="1"/>
  <c r="BA849" i="1"/>
  <c r="AT849" i="1"/>
  <c r="EE833" i="1"/>
  <c r="EE834" i="1"/>
  <c r="EE835" i="1"/>
  <c r="EE836" i="1"/>
  <c r="EE838" i="1"/>
  <c r="EE832" i="1"/>
  <c r="EE831" i="1"/>
  <c r="CB846" i="1"/>
  <c r="DH846" i="1"/>
  <c r="BH846" i="1"/>
  <c r="BA846" i="1"/>
  <c r="AT846" i="1"/>
  <c r="DH922" i="1"/>
  <c r="CB839" i="1"/>
  <c r="DH839" i="1"/>
  <c r="BH839" i="1"/>
  <c r="BA839" i="1"/>
  <c r="AT839" i="1"/>
  <c r="EE798" i="1"/>
  <c r="CB845" i="1"/>
  <c r="CB922" i="1"/>
  <c r="CB838" i="1"/>
  <c r="CB834" i="1"/>
  <c r="CB831" i="1"/>
  <c r="BH922" i="1"/>
  <c r="BA922" i="1"/>
  <c r="AT922" i="1"/>
  <c r="DH845" i="1"/>
  <c r="BH845" i="1"/>
  <c r="BA845" i="1"/>
  <c r="AT845" i="1"/>
  <c r="DH838" i="1"/>
  <c r="BH838" i="1"/>
  <c r="BA838" i="1"/>
  <c r="AT838" i="1"/>
  <c r="DH834" i="1"/>
  <c r="BH834" i="1"/>
  <c r="BA834" i="1"/>
  <c r="AT834" i="1"/>
  <c r="DH831" i="1"/>
  <c r="BH831" i="1"/>
  <c r="BA831" i="1"/>
  <c r="AT831" i="1"/>
  <c r="CB835" i="1"/>
  <c r="CB836" i="1"/>
  <c r="DH840" i="1"/>
  <c r="DH836" i="1"/>
  <c r="DH798" i="1"/>
  <c r="DH799" i="1"/>
  <c r="DH800" i="1"/>
  <c r="DH833" i="1"/>
  <c r="DH835" i="1"/>
  <c r="DH832" i="1"/>
  <c r="CB820" i="1"/>
  <c r="CB821" i="1"/>
  <c r="CB822" i="1"/>
  <c r="CB823" i="1"/>
  <c r="CB824" i="1"/>
  <c r="CB825" i="1"/>
  <c r="CB826" i="1"/>
  <c r="CB827" i="1"/>
  <c r="CB828" i="1"/>
  <c r="CB829" i="1"/>
  <c r="CB830" i="1"/>
  <c r="CB832" i="1"/>
  <c r="CB833" i="1"/>
  <c r="CB802" i="1"/>
  <c r="CB803" i="1"/>
  <c r="CB804" i="1"/>
  <c r="CB805" i="1"/>
  <c r="CB806" i="1"/>
  <c r="CB807" i="1"/>
  <c r="CB808" i="1"/>
  <c r="CB809" i="1"/>
  <c r="CB810" i="1"/>
  <c r="CB811" i="1"/>
  <c r="CB812" i="1"/>
  <c r="CB813" i="1"/>
  <c r="CB814" i="1"/>
  <c r="CB815" i="1"/>
  <c r="CB816" i="1"/>
  <c r="CB817" i="1"/>
  <c r="CB818" i="1"/>
  <c r="CB819" i="1"/>
  <c r="CB801" i="1"/>
  <c r="CB800" i="1"/>
  <c r="CB799" i="1"/>
  <c r="BH836" i="1"/>
  <c r="BA836" i="1"/>
  <c r="AT836" i="1"/>
  <c r="BH832" i="1"/>
  <c r="BH799" i="1"/>
  <c r="AT799" i="1"/>
  <c r="AT832" i="1"/>
  <c r="BA799" i="1"/>
  <c r="BA832" i="1"/>
  <c r="CB798" i="1"/>
  <c r="BH798" i="1"/>
  <c r="BA798" i="1"/>
  <c r="AT798" i="1"/>
  <c r="BH800" i="1"/>
  <c r="BA800" i="1"/>
  <c r="AT800" i="1"/>
  <c r="CC797" i="1"/>
  <c r="EW797" i="1"/>
  <c r="EU797" i="1"/>
  <c r="EV797" i="1"/>
  <c r="EE797" i="1"/>
  <c r="DU797" i="1"/>
  <c r="DR797" i="1"/>
  <c r="ET797" i="1"/>
  <c r="DH797" i="1"/>
  <c r="DA797" i="1"/>
  <c r="CY797" i="1"/>
  <c r="CK797" i="1"/>
  <c r="CB797" i="1"/>
  <c r="BH797" i="1"/>
  <c r="BA797" i="1"/>
  <c r="AT797" i="1"/>
  <c r="BA796" i="1"/>
  <c r="BH796" i="1"/>
  <c r="EW796" i="1"/>
  <c r="EU796" i="1"/>
  <c r="EV796" i="1"/>
  <c r="EE796" i="1"/>
  <c r="DU796" i="1"/>
  <c r="DR796" i="1"/>
  <c r="ET796" i="1"/>
  <c r="DH796" i="1"/>
  <c r="DA796" i="1"/>
  <c r="CY796" i="1"/>
  <c r="CK796" i="1"/>
  <c r="CC796" i="1"/>
  <c r="CB796" i="1"/>
  <c r="AT796" i="1"/>
  <c r="BH840" i="1"/>
  <c r="BA840" i="1"/>
  <c r="AT840" i="1"/>
  <c r="BH835" i="1"/>
  <c r="BA835" i="1"/>
  <c r="AT835" i="1"/>
  <c r="BH833" i="1"/>
  <c r="BA833" i="1"/>
  <c r="AT833" i="1"/>
  <c r="EU794" i="1"/>
  <c r="EV794" i="1"/>
  <c r="EW794" i="1"/>
  <c r="EE794" i="1"/>
  <c r="DU794" i="1"/>
  <c r="DR794" i="1"/>
  <c r="ET794" i="1"/>
  <c r="DH794" i="1"/>
  <c r="CY794" i="1"/>
  <c r="DA794" i="1"/>
  <c r="CK794" i="1"/>
  <c r="DB794" i="1"/>
  <c r="CB794" i="1"/>
  <c r="CC794" i="1"/>
  <c r="BH794" i="1"/>
  <c r="BA794" i="1"/>
  <c r="AT794" i="1"/>
  <c r="AT795" i="1"/>
  <c r="EU795" i="1"/>
  <c r="EV795" i="1"/>
  <c r="EW795" i="1"/>
  <c r="EE795" i="1"/>
  <c r="DU795" i="1"/>
  <c r="DR795" i="1"/>
  <c r="ET795" i="1"/>
  <c r="DH795" i="1"/>
  <c r="CY795" i="1"/>
  <c r="DA795" i="1"/>
  <c r="CK795" i="1"/>
  <c r="DB795" i="1"/>
  <c r="CB795" i="1"/>
  <c r="CC795" i="1"/>
  <c r="BH795" i="1"/>
  <c r="BA795" i="1"/>
  <c r="EE678" i="1"/>
  <c r="EE659" i="1"/>
  <c r="EW786" i="1"/>
  <c r="EU786" i="1"/>
  <c r="EV786" i="1"/>
  <c r="EP786" i="1"/>
  <c r="EM786" i="1"/>
  <c r="EL786" i="1"/>
  <c r="EE786" i="1"/>
  <c r="DU786" i="1"/>
  <c r="EQ786" i="1"/>
  <c r="DR786" i="1"/>
  <c r="ET786" i="1"/>
  <c r="DH786" i="1"/>
  <c r="DA786" i="1"/>
  <c r="CY786" i="1"/>
  <c r="CK786" i="1"/>
  <c r="CC786" i="1"/>
  <c r="EN786" i="1"/>
  <c r="CB786" i="1"/>
  <c r="BH786" i="1"/>
  <c r="BA786" i="1"/>
  <c r="AT786" i="1"/>
  <c r="O786" i="1"/>
  <c r="BH788" i="1"/>
  <c r="BA788" i="1"/>
  <c r="AT788" i="1"/>
  <c r="EW788" i="1"/>
  <c r="EU788" i="1"/>
  <c r="EV788" i="1"/>
  <c r="EP788" i="1"/>
  <c r="EM788" i="1"/>
  <c r="EL788" i="1"/>
  <c r="EE788" i="1"/>
  <c r="DU788" i="1"/>
  <c r="EQ788" i="1"/>
  <c r="DR788" i="1"/>
  <c r="ET788" i="1"/>
  <c r="DH788" i="1"/>
  <c r="DA788" i="1"/>
  <c r="CY788" i="1"/>
  <c r="CK788" i="1"/>
  <c r="CC788" i="1"/>
  <c r="EN788" i="1"/>
  <c r="CB788" i="1"/>
  <c r="O788" i="1"/>
  <c r="EW791" i="1"/>
  <c r="EU791" i="1"/>
  <c r="EV791" i="1"/>
  <c r="EP791" i="1"/>
  <c r="EM791" i="1"/>
  <c r="EL791" i="1"/>
  <c r="EE791" i="1"/>
  <c r="DU791" i="1"/>
  <c r="EQ791" i="1"/>
  <c r="DR791" i="1"/>
  <c r="ET791" i="1"/>
  <c r="DH791" i="1"/>
  <c r="DA791" i="1"/>
  <c r="CY791" i="1"/>
  <c r="CC791" i="1"/>
  <c r="EN791" i="1"/>
  <c r="CB791" i="1"/>
  <c r="BH791" i="1"/>
  <c r="BA791" i="1"/>
  <c r="AT791" i="1"/>
  <c r="O791" i="1"/>
  <c r="EW787" i="1"/>
  <c r="EU787" i="1"/>
  <c r="EV787" i="1"/>
  <c r="EP787" i="1"/>
  <c r="EM787" i="1"/>
  <c r="EL787" i="1"/>
  <c r="EE787" i="1"/>
  <c r="DU787" i="1"/>
  <c r="EQ787" i="1"/>
  <c r="DR787" i="1"/>
  <c r="ET787" i="1"/>
  <c r="DH787" i="1"/>
  <c r="DA787" i="1"/>
  <c r="CY787" i="1"/>
  <c r="CC787" i="1"/>
  <c r="EN787" i="1"/>
  <c r="CB787" i="1"/>
  <c r="BH787" i="1"/>
  <c r="BA787" i="1"/>
  <c r="AT787" i="1"/>
  <c r="O787" i="1"/>
  <c r="EE541" i="1"/>
  <c r="EW776" i="1"/>
  <c r="EU776" i="1"/>
  <c r="EV776" i="1"/>
  <c r="EP776" i="1"/>
  <c r="EM776" i="1"/>
  <c r="EL776" i="1"/>
  <c r="EE776" i="1"/>
  <c r="DU776" i="1"/>
  <c r="EQ776" i="1"/>
  <c r="DR776" i="1"/>
  <c r="ET776" i="1"/>
  <c r="DH776" i="1"/>
  <c r="DA776" i="1"/>
  <c r="CY776" i="1"/>
  <c r="CK776" i="1"/>
  <c r="CC776" i="1"/>
  <c r="EN776" i="1"/>
  <c r="CB776" i="1"/>
  <c r="BH776" i="1"/>
  <c r="BA776" i="1"/>
  <c r="AT776" i="1"/>
  <c r="O776" i="1"/>
  <c r="EW921" i="1"/>
  <c r="EU921" i="1"/>
  <c r="EV921" i="1"/>
  <c r="EP921" i="1"/>
  <c r="EM921" i="1"/>
  <c r="EL921" i="1"/>
  <c r="EE921" i="1"/>
  <c r="DU921" i="1"/>
  <c r="EQ921" i="1"/>
  <c r="DR921" i="1"/>
  <c r="ET921" i="1"/>
  <c r="DH921" i="1"/>
  <c r="DA921" i="1"/>
  <c r="CY921" i="1"/>
  <c r="CK921" i="1"/>
  <c r="CC921" i="1"/>
  <c r="EN921" i="1"/>
  <c r="CB921" i="1"/>
  <c r="BH921" i="1"/>
  <c r="BA921" i="1"/>
  <c r="AT921" i="1"/>
  <c r="BH783" i="1"/>
  <c r="BA783" i="1"/>
  <c r="AT783" i="1"/>
  <c r="EW783" i="1"/>
  <c r="EU783" i="1"/>
  <c r="EV783" i="1"/>
  <c r="EP783" i="1"/>
  <c r="EM783" i="1"/>
  <c r="EL783" i="1"/>
  <c r="EE783" i="1"/>
  <c r="DU783" i="1"/>
  <c r="EQ783" i="1"/>
  <c r="DR783" i="1"/>
  <c r="ET783" i="1"/>
  <c r="DH783" i="1"/>
  <c r="DA783" i="1"/>
  <c r="CY783" i="1"/>
  <c r="CK783" i="1"/>
  <c r="CC783" i="1"/>
  <c r="EN783" i="1"/>
  <c r="CB783" i="1"/>
  <c r="O783" i="1"/>
  <c r="EW793" i="1"/>
  <c r="EU793" i="1"/>
  <c r="EV793" i="1"/>
  <c r="EE793" i="1"/>
  <c r="DU793" i="1"/>
  <c r="DR793" i="1"/>
  <c r="ET793" i="1"/>
  <c r="DH793" i="1"/>
  <c r="DA793" i="1"/>
  <c r="CY793" i="1"/>
  <c r="CK793" i="1"/>
  <c r="CC793" i="1"/>
  <c r="CB793" i="1"/>
  <c r="BH793" i="1"/>
  <c r="BA793" i="1"/>
  <c r="AT793" i="1"/>
  <c r="BH775" i="1"/>
  <c r="BA775" i="1"/>
  <c r="AT775" i="1"/>
  <c r="O775" i="1"/>
  <c r="EW775" i="1"/>
  <c r="EU775" i="1"/>
  <c r="EV775" i="1"/>
  <c r="EP775" i="1"/>
  <c r="EM775" i="1"/>
  <c r="EL775" i="1"/>
  <c r="EE775" i="1"/>
  <c r="DU775" i="1"/>
  <c r="EQ775" i="1"/>
  <c r="DR775" i="1"/>
  <c r="ET775" i="1"/>
  <c r="DH775" i="1"/>
  <c r="DA775" i="1"/>
  <c r="CY775" i="1"/>
  <c r="CK775" i="1"/>
  <c r="CC775" i="1"/>
  <c r="EN775" i="1"/>
  <c r="CB775" i="1"/>
  <c r="BA773" i="1"/>
  <c r="AT773" i="1"/>
  <c r="EL773" i="1"/>
  <c r="EM773" i="1"/>
  <c r="EP773" i="1"/>
  <c r="EU773" i="1"/>
  <c r="EV773" i="1"/>
  <c r="EW773" i="1"/>
  <c r="EE773" i="1"/>
  <c r="DU773" i="1"/>
  <c r="EQ773" i="1"/>
  <c r="DR773" i="1"/>
  <c r="ET773" i="1"/>
  <c r="DH773" i="1"/>
  <c r="CY773" i="1"/>
  <c r="DA773" i="1"/>
  <c r="CK773" i="1"/>
  <c r="DB773" i="1"/>
  <c r="CB773" i="1"/>
  <c r="CC773" i="1"/>
  <c r="EN773" i="1"/>
  <c r="BH773" i="1"/>
  <c r="ET830" i="1"/>
  <c r="EU830" i="1"/>
  <c r="EV830" i="1"/>
  <c r="EW830" i="1"/>
  <c r="EE830" i="1"/>
  <c r="DR830" i="1"/>
  <c r="DH830" i="1"/>
  <c r="CY830" i="1"/>
  <c r="DA830" i="1"/>
  <c r="CK830" i="1"/>
  <c r="DB830" i="1"/>
  <c r="BH830" i="1"/>
  <c r="BA830" i="1"/>
  <c r="AT830" i="1"/>
  <c r="EW829" i="1"/>
  <c r="EU829" i="1"/>
  <c r="EV829" i="1"/>
  <c r="EE829" i="1"/>
  <c r="DR829" i="1"/>
  <c r="ET829" i="1"/>
  <c r="DH829" i="1"/>
  <c r="DA829" i="1"/>
  <c r="CY829" i="1"/>
  <c r="CK829" i="1"/>
  <c r="BH829" i="1"/>
  <c r="BA829" i="1"/>
  <c r="AT829" i="1"/>
  <c r="EW828" i="1"/>
  <c r="EU828" i="1"/>
  <c r="EV828" i="1"/>
  <c r="EE828" i="1"/>
  <c r="DR828" i="1"/>
  <c r="ET828" i="1"/>
  <c r="DH828" i="1"/>
  <c r="DA828" i="1"/>
  <c r="CY828" i="1"/>
  <c r="CK828" i="1"/>
  <c r="BH828" i="1"/>
  <c r="BA828" i="1"/>
  <c r="AT828" i="1"/>
  <c r="EW827" i="1"/>
  <c r="EU827" i="1"/>
  <c r="EV827" i="1"/>
  <c r="EE827" i="1"/>
  <c r="DR827" i="1"/>
  <c r="ET827" i="1"/>
  <c r="DH827" i="1"/>
  <c r="DA827" i="1"/>
  <c r="CY827" i="1"/>
  <c r="CK827" i="1"/>
  <c r="BH827" i="1"/>
  <c r="BA827" i="1"/>
  <c r="AT827" i="1"/>
  <c r="BA826" i="1"/>
  <c r="EW826" i="1"/>
  <c r="EU826" i="1"/>
  <c r="EV826" i="1"/>
  <c r="EE826" i="1"/>
  <c r="DR826" i="1"/>
  <c r="ET826" i="1"/>
  <c r="DH826" i="1"/>
  <c r="DA826" i="1"/>
  <c r="CY826" i="1"/>
  <c r="CK826" i="1"/>
  <c r="BH826" i="1"/>
  <c r="AT826" i="1"/>
  <c r="EW825" i="1"/>
  <c r="EU825" i="1"/>
  <c r="EV825" i="1"/>
  <c r="EE825" i="1"/>
  <c r="DR825" i="1"/>
  <c r="ET825" i="1"/>
  <c r="DH825" i="1"/>
  <c r="DA825" i="1"/>
  <c r="CY825" i="1"/>
  <c r="CK825" i="1"/>
  <c r="BH825" i="1"/>
  <c r="BA825" i="1"/>
  <c r="AT825" i="1"/>
  <c r="BA824" i="1"/>
  <c r="EW824" i="1"/>
  <c r="EU824" i="1"/>
  <c r="EV824" i="1"/>
  <c r="EE824" i="1"/>
  <c r="DR824" i="1"/>
  <c r="ET824" i="1"/>
  <c r="DH824" i="1"/>
  <c r="DA824" i="1"/>
  <c r="CY824" i="1"/>
  <c r="CK824" i="1"/>
  <c r="BH824" i="1"/>
  <c r="AT824" i="1"/>
  <c r="EW823" i="1"/>
  <c r="EU823" i="1"/>
  <c r="EV823" i="1"/>
  <c r="EE823" i="1"/>
  <c r="DU823" i="1"/>
  <c r="DR823" i="1"/>
  <c r="ET823" i="1"/>
  <c r="DH823" i="1"/>
  <c r="DA823" i="1"/>
  <c r="CY823" i="1"/>
  <c r="CK823" i="1"/>
  <c r="BH823" i="1"/>
  <c r="BA823" i="1"/>
  <c r="AT823" i="1"/>
  <c r="EW822" i="1"/>
  <c r="EU822" i="1"/>
  <c r="EV822" i="1"/>
  <c r="EE822" i="1"/>
  <c r="DU822" i="1"/>
  <c r="DR822" i="1"/>
  <c r="ET822" i="1"/>
  <c r="DH822" i="1"/>
  <c r="DA822" i="1"/>
  <c r="CY822" i="1"/>
  <c r="CK822" i="1"/>
  <c r="BH822" i="1"/>
  <c r="BA822" i="1"/>
  <c r="AT822" i="1"/>
  <c r="EW821" i="1"/>
  <c r="EU821" i="1"/>
  <c r="EV821" i="1"/>
  <c r="EE821" i="1"/>
  <c r="DH821" i="1"/>
  <c r="DU821" i="1"/>
  <c r="DR821" i="1"/>
  <c r="ET821" i="1"/>
  <c r="DA821" i="1"/>
  <c r="CY821" i="1"/>
  <c r="CK821" i="1"/>
  <c r="BH821" i="1"/>
  <c r="BA821" i="1"/>
  <c r="AT821" i="1"/>
  <c r="EW820" i="1"/>
  <c r="EU820" i="1"/>
  <c r="EV820" i="1"/>
  <c r="EE820" i="1"/>
  <c r="DU820" i="1"/>
  <c r="DR820" i="1"/>
  <c r="ET820" i="1"/>
  <c r="DH820" i="1"/>
  <c r="DA820" i="1"/>
  <c r="CY820" i="1"/>
  <c r="CK820" i="1"/>
  <c r="BH820" i="1"/>
  <c r="BA820" i="1"/>
  <c r="AT820" i="1"/>
  <c r="EW819" i="1"/>
  <c r="EU819" i="1"/>
  <c r="EV819" i="1"/>
  <c r="EE819" i="1"/>
  <c r="DU819" i="1"/>
  <c r="DR819" i="1"/>
  <c r="ET819" i="1"/>
  <c r="DH819" i="1"/>
  <c r="DA819" i="1"/>
  <c r="CY819" i="1"/>
  <c r="CK819" i="1"/>
  <c r="BH819" i="1"/>
  <c r="BA819" i="1"/>
  <c r="AT819" i="1"/>
  <c r="BH818" i="1"/>
  <c r="EW818" i="1"/>
  <c r="EU818" i="1"/>
  <c r="EV818" i="1"/>
  <c r="EE818" i="1"/>
  <c r="DU818" i="1"/>
  <c r="DR818" i="1"/>
  <c r="ET818" i="1"/>
  <c r="DH818" i="1"/>
  <c r="DA818" i="1"/>
  <c r="CY818" i="1"/>
  <c r="CK818" i="1"/>
  <c r="BA818" i="1"/>
  <c r="AT818" i="1"/>
  <c r="EW817" i="1"/>
  <c r="EU817" i="1"/>
  <c r="EV817" i="1"/>
  <c r="EE817" i="1"/>
  <c r="DU817" i="1"/>
  <c r="DR817" i="1"/>
  <c r="ET817" i="1"/>
  <c r="DH817" i="1"/>
  <c r="DA817" i="1"/>
  <c r="CY817" i="1"/>
  <c r="CK817" i="1"/>
  <c r="BH817" i="1"/>
  <c r="BA817" i="1"/>
  <c r="AT817" i="1"/>
  <c r="EW816" i="1"/>
  <c r="EU816" i="1"/>
  <c r="EV816" i="1"/>
  <c r="EE816" i="1"/>
  <c r="DH816" i="1"/>
  <c r="DU816" i="1"/>
  <c r="DR816" i="1"/>
  <c r="ET816" i="1"/>
  <c r="DA816" i="1"/>
  <c r="CY816" i="1"/>
  <c r="CK816" i="1"/>
  <c r="BH816" i="1"/>
  <c r="BA816" i="1"/>
  <c r="AT816" i="1"/>
  <c r="BA815" i="1"/>
  <c r="EW815" i="1"/>
  <c r="EU815" i="1"/>
  <c r="EV815" i="1"/>
  <c r="EE815" i="1"/>
  <c r="DU815" i="1"/>
  <c r="DR815" i="1"/>
  <c r="ET815" i="1"/>
  <c r="DH815" i="1"/>
  <c r="DA815" i="1"/>
  <c r="CY815" i="1"/>
  <c r="CK815" i="1"/>
  <c r="BH815" i="1"/>
  <c r="AT815" i="1"/>
  <c r="EW814" i="1"/>
  <c r="EU814" i="1"/>
  <c r="EV814" i="1"/>
  <c r="EE814" i="1"/>
  <c r="DU814" i="1"/>
  <c r="DR814" i="1"/>
  <c r="ET814" i="1"/>
  <c r="DH814" i="1"/>
  <c r="DA814" i="1"/>
  <c r="CY814" i="1"/>
  <c r="CK814" i="1"/>
  <c r="BH814" i="1"/>
  <c r="BA814" i="1"/>
  <c r="AT814" i="1"/>
  <c r="BH813" i="1"/>
  <c r="BA813" i="1"/>
  <c r="EW813" i="1"/>
  <c r="EU813" i="1"/>
  <c r="EV813" i="1"/>
  <c r="EE813" i="1"/>
  <c r="DU813" i="1"/>
  <c r="DR813" i="1"/>
  <c r="ET813" i="1"/>
  <c r="DH813" i="1"/>
  <c r="DA813" i="1"/>
  <c r="CY813" i="1"/>
  <c r="CK813" i="1"/>
  <c r="AT813" i="1"/>
  <c r="BH812" i="1"/>
  <c r="BA812" i="1"/>
  <c r="EW812" i="1"/>
  <c r="EU812" i="1"/>
  <c r="EV812" i="1"/>
  <c r="EE812" i="1"/>
  <c r="DU812" i="1"/>
  <c r="DR812" i="1"/>
  <c r="ET812" i="1"/>
  <c r="DH812" i="1"/>
  <c r="DA812" i="1"/>
  <c r="CY812" i="1"/>
  <c r="CK812" i="1"/>
  <c r="AT812" i="1"/>
  <c r="BH811" i="1"/>
  <c r="BA811" i="1"/>
  <c r="EW811" i="1"/>
  <c r="EU811" i="1"/>
  <c r="EV811" i="1"/>
  <c r="EE811" i="1"/>
  <c r="DU811" i="1"/>
  <c r="DR811" i="1"/>
  <c r="ET811" i="1"/>
  <c r="DH811" i="1"/>
  <c r="DA811" i="1"/>
  <c r="CY811" i="1"/>
  <c r="CK811" i="1"/>
  <c r="AT811" i="1"/>
  <c r="BH810" i="1"/>
  <c r="EW810" i="1"/>
  <c r="EU810" i="1"/>
  <c r="EV810" i="1"/>
  <c r="EE810" i="1"/>
  <c r="DU810" i="1"/>
  <c r="DR810" i="1"/>
  <c r="ET810" i="1"/>
  <c r="DH810" i="1"/>
  <c r="DA810" i="1"/>
  <c r="CY810" i="1"/>
  <c r="CK810" i="1"/>
  <c r="BA810" i="1"/>
  <c r="AT810" i="1"/>
  <c r="BA809" i="1"/>
  <c r="EW809" i="1"/>
  <c r="EU809" i="1"/>
  <c r="EV809" i="1"/>
  <c r="EE809" i="1"/>
  <c r="DU809" i="1"/>
  <c r="DR809" i="1"/>
  <c r="ET809" i="1"/>
  <c r="DH809" i="1"/>
  <c r="DA809" i="1"/>
  <c r="CY809" i="1"/>
  <c r="CK809" i="1"/>
  <c r="BH809" i="1"/>
  <c r="AT809" i="1"/>
  <c r="BH808" i="1"/>
  <c r="BA808" i="1"/>
  <c r="EW808" i="1"/>
  <c r="EU808" i="1"/>
  <c r="EV808" i="1"/>
  <c r="EE808" i="1"/>
  <c r="DU808" i="1"/>
  <c r="DR808" i="1"/>
  <c r="ET808" i="1"/>
  <c r="DH808" i="1"/>
  <c r="DA808" i="1"/>
  <c r="CY808" i="1"/>
  <c r="CK808" i="1"/>
  <c r="AT808" i="1"/>
  <c r="AT806" i="1"/>
  <c r="AT807" i="1"/>
  <c r="AT805" i="1"/>
  <c r="BH807" i="1"/>
  <c r="BA807" i="1"/>
  <c r="EW807" i="1"/>
  <c r="EU807" i="1"/>
  <c r="EV807" i="1"/>
  <c r="EE807" i="1"/>
  <c r="DU807" i="1"/>
  <c r="DR807" i="1"/>
  <c r="ET807" i="1"/>
  <c r="DH807" i="1"/>
  <c r="DA807" i="1"/>
  <c r="CY807" i="1"/>
  <c r="CK807" i="1"/>
  <c r="EW806" i="1"/>
  <c r="EU806" i="1"/>
  <c r="EV806" i="1"/>
  <c r="EE806" i="1"/>
  <c r="DU806" i="1"/>
  <c r="DR806" i="1"/>
  <c r="ET806" i="1"/>
  <c r="DH806" i="1"/>
  <c r="DA806" i="1"/>
  <c r="CY806" i="1"/>
  <c r="CK806" i="1"/>
  <c r="BA806" i="1"/>
  <c r="AT771" i="1"/>
  <c r="O771" i="1"/>
  <c r="EL771" i="1"/>
  <c r="EM771" i="1"/>
  <c r="EN771" i="1"/>
  <c r="EP771" i="1"/>
  <c r="EQ771" i="1"/>
  <c r="ET771" i="1"/>
  <c r="EU771" i="1"/>
  <c r="EV771" i="1"/>
  <c r="EW771" i="1"/>
  <c r="EE771" i="1"/>
  <c r="DU771" i="1"/>
  <c r="DR771" i="1"/>
  <c r="DH771" i="1"/>
  <c r="CY771" i="1"/>
  <c r="DA771" i="1"/>
  <c r="CK771" i="1"/>
  <c r="DB771" i="1"/>
  <c r="CB771" i="1"/>
  <c r="CC771" i="1"/>
  <c r="BH771" i="1"/>
  <c r="BA771" i="1"/>
  <c r="EW805" i="1"/>
  <c r="EU805" i="1"/>
  <c r="EV805" i="1"/>
  <c r="EE805" i="1"/>
  <c r="DU805" i="1"/>
  <c r="DR805" i="1"/>
  <c r="ET805" i="1"/>
  <c r="DH805" i="1"/>
  <c r="DA805" i="1"/>
  <c r="CY805" i="1"/>
  <c r="CK805" i="1"/>
  <c r="EW804" i="1"/>
  <c r="EU804" i="1"/>
  <c r="EV804" i="1"/>
  <c r="EE804" i="1"/>
  <c r="DU804" i="1"/>
  <c r="DR804" i="1"/>
  <c r="ET804" i="1"/>
  <c r="DH804" i="1"/>
  <c r="DA804" i="1"/>
  <c r="CY804" i="1"/>
  <c r="CK804" i="1"/>
  <c r="BH804" i="1"/>
  <c r="BA804" i="1"/>
  <c r="AT804" i="1"/>
  <c r="BA803" i="1"/>
  <c r="EW803" i="1"/>
  <c r="EU803" i="1"/>
  <c r="EV803" i="1"/>
  <c r="DU803" i="1"/>
  <c r="DR803" i="1"/>
  <c r="ET803" i="1"/>
  <c r="DH803" i="1"/>
  <c r="DA803" i="1"/>
  <c r="CY803" i="1"/>
  <c r="CK803" i="1"/>
  <c r="AT803" i="1"/>
  <c r="BA802" i="1"/>
  <c r="AT802" i="1"/>
  <c r="EU802" i="1"/>
  <c r="EV802" i="1"/>
  <c r="EW802" i="1"/>
  <c r="DU802" i="1"/>
  <c r="DR802" i="1"/>
  <c r="ET802" i="1"/>
  <c r="DH802" i="1"/>
  <c r="DA802" i="1"/>
  <c r="CY802" i="1"/>
  <c r="CK802" i="1"/>
  <c r="BH802" i="1"/>
  <c r="BH801" i="1"/>
  <c r="EW801" i="1"/>
  <c r="EU801" i="1"/>
  <c r="EV801" i="1"/>
  <c r="DU801" i="1"/>
  <c r="DR801" i="1"/>
  <c r="ET801" i="1"/>
  <c r="DH801" i="1"/>
  <c r="DA801" i="1"/>
  <c r="CY801" i="1"/>
  <c r="CK801" i="1"/>
  <c r="BA801" i="1"/>
  <c r="AT801" i="1"/>
  <c r="EW769" i="1"/>
  <c r="EU769" i="1"/>
  <c r="EV769" i="1"/>
  <c r="EP769" i="1"/>
  <c r="EM769" i="1"/>
  <c r="EL769" i="1"/>
  <c r="EE769" i="1"/>
  <c r="DU769" i="1"/>
  <c r="EQ769" i="1"/>
  <c r="DR769" i="1"/>
  <c r="ET769" i="1"/>
  <c r="DH769" i="1"/>
  <c r="DA769" i="1"/>
  <c r="CY769" i="1"/>
  <c r="CK769" i="1"/>
  <c r="CC769" i="1"/>
  <c r="EN769" i="1"/>
  <c r="CB769" i="1"/>
  <c r="BH769" i="1"/>
  <c r="BA769" i="1"/>
  <c r="AT769" i="1"/>
  <c r="O769" i="1"/>
  <c r="CC764" i="1"/>
  <c r="EW765" i="1"/>
  <c r="EU765" i="1"/>
  <c r="EV765" i="1"/>
  <c r="EP765" i="1"/>
  <c r="EM765" i="1"/>
  <c r="EL765" i="1"/>
  <c r="EE765" i="1"/>
  <c r="DU765" i="1"/>
  <c r="EQ765" i="1"/>
  <c r="DR765" i="1"/>
  <c r="ET765" i="1"/>
  <c r="DH765" i="1"/>
  <c r="DA765" i="1"/>
  <c r="CY765" i="1"/>
  <c r="CK765" i="1"/>
  <c r="CC765" i="1"/>
  <c r="EN765" i="1"/>
  <c r="CB765" i="1"/>
  <c r="BH765" i="1"/>
  <c r="BA765" i="1"/>
  <c r="AT765" i="1"/>
  <c r="O765" i="1"/>
  <c r="EW763" i="1"/>
  <c r="EU763" i="1"/>
  <c r="EV763" i="1"/>
  <c r="EP763" i="1"/>
  <c r="EM763" i="1"/>
  <c r="EL763" i="1"/>
  <c r="EE763" i="1"/>
  <c r="DU763" i="1"/>
  <c r="EQ763" i="1"/>
  <c r="DR763" i="1"/>
  <c r="ET763" i="1"/>
  <c r="DH763" i="1"/>
  <c r="DA763" i="1"/>
  <c r="CY763" i="1"/>
  <c r="CK763" i="1"/>
  <c r="CC763" i="1"/>
  <c r="EN763" i="1"/>
  <c r="CB763" i="1"/>
  <c r="BH763" i="1"/>
  <c r="BA763" i="1"/>
  <c r="AT763" i="1"/>
  <c r="O763" i="1"/>
  <c r="EW770" i="1"/>
  <c r="EU770" i="1"/>
  <c r="EV770" i="1"/>
  <c r="EP770" i="1"/>
  <c r="EM770" i="1"/>
  <c r="EL770" i="1"/>
  <c r="EE770" i="1"/>
  <c r="DU770" i="1"/>
  <c r="EQ770" i="1"/>
  <c r="DR770" i="1"/>
  <c r="ET770" i="1"/>
  <c r="DH770" i="1"/>
  <c r="DA770" i="1"/>
  <c r="CY770" i="1"/>
  <c r="CK770" i="1"/>
  <c r="CC770" i="1"/>
  <c r="EN770" i="1"/>
  <c r="CB770" i="1"/>
  <c r="BH770" i="1"/>
  <c r="BA770" i="1"/>
  <c r="AT770" i="1"/>
  <c r="O770" i="1"/>
  <c r="EW766" i="1"/>
  <c r="EU766" i="1"/>
  <c r="EV766" i="1"/>
  <c r="EP766" i="1"/>
  <c r="EM766" i="1"/>
  <c r="EL766" i="1"/>
  <c r="EE766" i="1"/>
  <c r="DU766" i="1"/>
  <c r="EQ766" i="1"/>
  <c r="DR766" i="1"/>
  <c r="ET766" i="1"/>
  <c r="DH766" i="1"/>
  <c r="DA766" i="1"/>
  <c r="CY766" i="1"/>
  <c r="CC766" i="1"/>
  <c r="EN766" i="1"/>
  <c r="CB766" i="1"/>
  <c r="BH766" i="1"/>
  <c r="BA766" i="1"/>
  <c r="AT766" i="1"/>
  <c r="O766" i="1"/>
  <c r="EW779" i="1"/>
  <c r="EU779" i="1"/>
  <c r="EV779" i="1"/>
  <c r="EP779" i="1"/>
  <c r="EM779" i="1"/>
  <c r="EL779" i="1"/>
  <c r="EE779" i="1"/>
  <c r="DU779" i="1"/>
  <c r="EQ779" i="1"/>
  <c r="DR779" i="1"/>
  <c r="ET779" i="1"/>
  <c r="DH779" i="1"/>
  <c r="DA779" i="1"/>
  <c r="CY779" i="1"/>
  <c r="CK779" i="1"/>
  <c r="CC779" i="1"/>
  <c r="EN779" i="1"/>
  <c r="CB779" i="1"/>
  <c r="BH779" i="1"/>
  <c r="BA779" i="1"/>
  <c r="AT779" i="1"/>
  <c r="O779" i="1"/>
  <c r="EW542" i="1"/>
  <c r="DU542" i="1"/>
  <c r="BH761" i="1"/>
  <c r="BA761" i="1"/>
  <c r="AT761" i="1"/>
  <c r="EW761" i="1"/>
  <c r="EU761" i="1"/>
  <c r="EV761" i="1"/>
  <c r="EP761" i="1"/>
  <c r="EM761" i="1"/>
  <c r="EL761" i="1"/>
  <c r="EE761" i="1"/>
  <c r="DU761" i="1"/>
  <c r="EQ761" i="1"/>
  <c r="DR761" i="1"/>
  <c r="ET761" i="1"/>
  <c r="DH761" i="1"/>
  <c r="DA761" i="1"/>
  <c r="CY761" i="1"/>
  <c r="CK761" i="1"/>
  <c r="CC761" i="1"/>
  <c r="EN761" i="1"/>
  <c r="CB761" i="1"/>
  <c r="O761" i="1"/>
  <c r="EW764" i="1"/>
  <c r="EU764" i="1"/>
  <c r="EV764" i="1"/>
  <c r="EP764" i="1"/>
  <c r="EM764" i="1"/>
  <c r="EL764" i="1"/>
  <c r="EE764" i="1"/>
  <c r="DU764" i="1"/>
  <c r="EQ764" i="1"/>
  <c r="DR764" i="1"/>
  <c r="ET764" i="1"/>
  <c r="DH764" i="1"/>
  <c r="DA764" i="1"/>
  <c r="CY764" i="1"/>
  <c r="CK764" i="1"/>
  <c r="EN764" i="1"/>
  <c r="CB764" i="1"/>
  <c r="BH764" i="1"/>
  <c r="BA764" i="1"/>
  <c r="AT764" i="1"/>
  <c r="O764" i="1"/>
  <c r="BH758" i="1"/>
  <c r="BA758" i="1"/>
  <c r="AT758" i="1"/>
  <c r="EW758" i="1"/>
  <c r="EU758" i="1"/>
  <c r="EV758" i="1"/>
  <c r="EP758" i="1"/>
  <c r="EM758" i="1"/>
  <c r="EL758" i="1"/>
  <c r="EE758" i="1"/>
  <c r="DU758" i="1"/>
  <c r="EQ758" i="1"/>
  <c r="DR758" i="1"/>
  <c r="ET758" i="1"/>
  <c r="DH758" i="1"/>
  <c r="DA758" i="1"/>
  <c r="CY758" i="1"/>
  <c r="CK758" i="1"/>
  <c r="CC758" i="1"/>
  <c r="EN758" i="1"/>
  <c r="CB758" i="1"/>
  <c r="O758" i="1"/>
  <c r="BH762" i="1"/>
  <c r="BA762" i="1"/>
  <c r="AT762" i="1"/>
  <c r="EW762" i="1"/>
  <c r="EU762" i="1"/>
  <c r="EV762" i="1"/>
  <c r="EP762" i="1"/>
  <c r="EM762" i="1"/>
  <c r="EL762" i="1"/>
  <c r="EE762" i="1"/>
  <c r="DU762" i="1"/>
  <c r="EQ762" i="1"/>
  <c r="DR762" i="1"/>
  <c r="ET762" i="1"/>
  <c r="DH762" i="1"/>
  <c r="DA762" i="1"/>
  <c r="CY762" i="1"/>
  <c r="CK762" i="1"/>
  <c r="CC762" i="1"/>
  <c r="EN762" i="1"/>
  <c r="CB762" i="1"/>
  <c r="O762" i="1"/>
  <c r="EW760" i="1"/>
  <c r="EU760" i="1"/>
  <c r="EV760" i="1"/>
  <c r="EP760" i="1"/>
  <c r="EM760" i="1"/>
  <c r="EL760" i="1"/>
  <c r="EE760" i="1"/>
  <c r="DU760" i="1"/>
  <c r="EQ760" i="1"/>
  <c r="DR760" i="1"/>
  <c r="ET760" i="1"/>
  <c r="DH760" i="1"/>
  <c r="DA760" i="1"/>
  <c r="CY760" i="1"/>
  <c r="CK760" i="1"/>
  <c r="CC760" i="1"/>
  <c r="EN760" i="1"/>
  <c r="CB760" i="1"/>
  <c r="BH760" i="1"/>
  <c r="BA760" i="1"/>
  <c r="AT760" i="1"/>
  <c r="O760" i="1"/>
  <c r="EW752" i="1"/>
  <c r="EU752" i="1"/>
  <c r="EV752" i="1"/>
  <c r="EP752" i="1"/>
  <c r="EM752" i="1"/>
  <c r="EL752" i="1"/>
  <c r="EE752" i="1"/>
  <c r="DU752" i="1"/>
  <c r="EQ752" i="1"/>
  <c r="DR752" i="1"/>
  <c r="ET752" i="1"/>
  <c r="DH752" i="1"/>
  <c r="DA752" i="1"/>
  <c r="CY752" i="1"/>
  <c r="CK752" i="1"/>
  <c r="CC752" i="1"/>
  <c r="EN752" i="1"/>
  <c r="CB752" i="1"/>
  <c r="BH752" i="1"/>
  <c r="BA752" i="1"/>
  <c r="AT752" i="1"/>
  <c r="O752" i="1"/>
  <c r="EW759" i="1"/>
  <c r="EU759" i="1"/>
  <c r="EV759" i="1"/>
  <c r="EP759" i="1"/>
  <c r="EM759" i="1"/>
  <c r="EL759" i="1"/>
  <c r="EE759" i="1"/>
  <c r="DU759" i="1"/>
  <c r="EQ759" i="1"/>
  <c r="DR759" i="1"/>
  <c r="ET759" i="1"/>
  <c r="DH759" i="1"/>
  <c r="DA759" i="1"/>
  <c r="CY759" i="1"/>
  <c r="CK759" i="1"/>
  <c r="CC759" i="1"/>
  <c r="EN759" i="1"/>
  <c r="CB759" i="1"/>
  <c r="BH759" i="1"/>
  <c r="BA759" i="1"/>
  <c r="AT759" i="1"/>
  <c r="O759" i="1"/>
  <c r="O768" i="1"/>
  <c r="EL780" i="1"/>
  <c r="EM780" i="1"/>
  <c r="EP780" i="1"/>
  <c r="EU780" i="1"/>
  <c r="EV780" i="1"/>
  <c r="EW780" i="1"/>
  <c r="EE780" i="1"/>
  <c r="DU780" i="1"/>
  <c r="EQ780" i="1"/>
  <c r="DR780" i="1"/>
  <c r="ET780" i="1"/>
  <c r="DH780" i="1"/>
  <c r="CY780" i="1"/>
  <c r="DA780" i="1"/>
  <c r="CK780" i="1"/>
  <c r="DB780" i="1"/>
  <c r="CB780" i="1"/>
  <c r="CC780" i="1"/>
  <c r="EN780" i="1"/>
  <c r="BH780" i="1"/>
  <c r="BA780" i="1"/>
  <c r="AT780" i="1"/>
  <c r="O780" i="1"/>
  <c r="EW782" i="1"/>
  <c r="EU782" i="1"/>
  <c r="EV782" i="1"/>
  <c r="EP782" i="1"/>
  <c r="EM782" i="1"/>
  <c r="EL782" i="1"/>
  <c r="EE782" i="1"/>
  <c r="DU782" i="1"/>
  <c r="EQ782" i="1"/>
  <c r="DR782" i="1"/>
  <c r="ET782" i="1"/>
  <c r="DH782" i="1"/>
  <c r="DA782" i="1"/>
  <c r="CY782" i="1"/>
  <c r="CK782" i="1"/>
  <c r="CC782" i="1"/>
  <c r="EN782" i="1"/>
  <c r="CB782" i="1"/>
  <c r="BH782" i="1"/>
  <c r="BA782" i="1"/>
  <c r="AT782" i="1"/>
  <c r="O782" i="1"/>
  <c r="EW785" i="1"/>
  <c r="EU785" i="1"/>
  <c r="EV785" i="1"/>
  <c r="EP785" i="1"/>
  <c r="EM785" i="1"/>
  <c r="EL785" i="1"/>
  <c r="EE785" i="1"/>
  <c r="DU785" i="1"/>
  <c r="EQ785" i="1"/>
  <c r="DR785" i="1"/>
  <c r="ET785" i="1"/>
  <c r="DH785" i="1"/>
  <c r="DA785" i="1"/>
  <c r="CY785" i="1"/>
  <c r="CK785" i="1"/>
  <c r="CC785" i="1"/>
  <c r="EN785" i="1"/>
  <c r="CB785" i="1"/>
  <c r="BH785" i="1"/>
  <c r="BA785" i="1"/>
  <c r="AT785" i="1"/>
  <c r="O785" i="1"/>
  <c r="EW784" i="1"/>
  <c r="EU784" i="1"/>
  <c r="EV784" i="1"/>
  <c r="EP784" i="1"/>
  <c r="EM784" i="1"/>
  <c r="EL784" i="1"/>
  <c r="EE784" i="1"/>
  <c r="DU784" i="1"/>
  <c r="EQ784" i="1"/>
  <c r="DR784" i="1"/>
  <c r="ET784" i="1"/>
  <c r="DH784" i="1"/>
  <c r="DA784" i="1"/>
  <c r="CY784" i="1"/>
  <c r="CK784" i="1"/>
  <c r="CC784" i="1"/>
  <c r="EN784" i="1"/>
  <c r="CB784" i="1"/>
  <c r="BH784" i="1"/>
  <c r="BA784" i="1"/>
  <c r="AT784" i="1"/>
  <c r="O784" i="1"/>
  <c r="AT768" i="1"/>
  <c r="BA768" i="1"/>
  <c r="BH768" i="1"/>
  <c r="EW768" i="1"/>
  <c r="EU768" i="1"/>
  <c r="EV768" i="1"/>
  <c r="EP768" i="1"/>
  <c r="EM768" i="1"/>
  <c r="EL768" i="1"/>
  <c r="EE768" i="1"/>
  <c r="DU768" i="1"/>
  <c r="EQ768" i="1"/>
  <c r="DR768" i="1"/>
  <c r="ET768" i="1"/>
  <c r="DH768" i="1"/>
  <c r="DA768" i="1"/>
  <c r="CY768" i="1"/>
  <c r="CK768" i="1"/>
  <c r="CC768" i="1"/>
  <c r="EN768" i="1"/>
  <c r="CB768" i="1"/>
  <c r="AH59" i="7"/>
  <c r="AR3" i="7"/>
  <c r="AS3" i="7"/>
  <c r="AH60" i="7"/>
  <c r="AK60" i="7"/>
  <c r="AK59" i="7"/>
  <c r="CB741" i="1"/>
  <c r="AT754" i="1"/>
  <c r="BA754" i="1"/>
  <c r="BH754" i="1"/>
  <c r="EW754" i="1"/>
  <c r="EU754" i="1"/>
  <c r="EV754" i="1"/>
  <c r="EP754" i="1"/>
  <c r="EM754" i="1"/>
  <c r="EL754" i="1"/>
  <c r="EE754" i="1"/>
  <c r="DU754" i="1"/>
  <c r="EQ754" i="1"/>
  <c r="DR754" i="1"/>
  <c r="ET754" i="1"/>
  <c r="DH754" i="1"/>
  <c r="DA754" i="1"/>
  <c r="CY754" i="1"/>
  <c r="CK754" i="1"/>
  <c r="CC754" i="1"/>
  <c r="EN754" i="1"/>
  <c r="CB754" i="1"/>
  <c r="O754" i="1"/>
  <c r="BH748" i="1"/>
  <c r="BA748" i="1"/>
  <c r="AT748" i="1"/>
  <c r="EL748" i="1"/>
  <c r="EM748" i="1"/>
  <c r="EP748" i="1"/>
  <c r="EU748" i="1"/>
  <c r="EV748" i="1"/>
  <c r="EW748" i="1"/>
  <c r="EE748" i="1"/>
  <c r="DU748" i="1"/>
  <c r="EQ748" i="1"/>
  <c r="DR748" i="1"/>
  <c r="ET748" i="1"/>
  <c r="DH748" i="1"/>
  <c r="CY748" i="1"/>
  <c r="DA748" i="1"/>
  <c r="CK748" i="1"/>
  <c r="DB748" i="1"/>
  <c r="CB748" i="1"/>
  <c r="CC748" i="1"/>
  <c r="EN748" i="1"/>
  <c r="O748" i="1"/>
  <c r="BH751" i="1"/>
  <c r="BA751" i="1"/>
  <c r="AT751" i="1"/>
  <c r="EW751" i="1"/>
  <c r="EU751" i="1"/>
  <c r="EV751" i="1"/>
  <c r="EP751" i="1"/>
  <c r="EM751" i="1"/>
  <c r="EL751" i="1"/>
  <c r="EE751" i="1"/>
  <c r="DU751" i="1"/>
  <c r="EQ751" i="1"/>
  <c r="DR751" i="1"/>
  <c r="ET751" i="1"/>
  <c r="DH751" i="1"/>
  <c r="DA751" i="1"/>
  <c r="CY751" i="1"/>
  <c r="CK751" i="1"/>
  <c r="CC751" i="1"/>
  <c r="EN751" i="1"/>
  <c r="CB751" i="1"/>
  <c r="O751" i="1"/>
  <c r="EW756" i="1"/>
  <c r="EU756" i="1"/>
  <c r="EV756" i="1"/>
  <c r="EP756" i="1"/>
  <c r="EM756" i="1"/>
  <c r="EL756" i="1"/>
  <c r="EE756" i="1"/>
  <c r="DU756" i="1"/>
  <c r="EQ756" i="1"/>
  <c r="DR756" i="1"/>
  <c r="ET756" i="1"/>
  <c r="DH756" i="1"/>
  <c r="DA756" i="1"/>
  <c r="CY756" i="1"/>
  <c r="CK756" i="1"/>
  <c r="CC756" i="1"/>
  <c r="EN756" i="1"/>
  <c r="CB756" i="1"/>
  <c r="BH756" i="1"/>
  <c r="BA756" i="1"/>
  <c r="AT756" i="1"/>
  <c r="O756" i="1"/>
  <c r="BH755" i="1"/>
  <c r="BA755" i="1"/>
  <c r="AT755" i="1"/>
  <c r="EW755" i="1"/>
  <c r="EU755" i="1"/>
  <c r="EV755" i="1"/>
  <c r="EP755" i="1"/>
  <c r="EM755" i="1"/>
  <c r="EL755" i="1"/>
  <c r="EE755" i="1"/>
  <c r="DU755" i="1"/>
  <c r="EQ755" i="1"/>
  <c r="DR755" i="1"/>
  <c r="ET755" i="1"/>
  <c r="DH755" i="1"/>
  <c r="DA755" i="1"/>
  <c r="CY755" i="1"/>
  <c r="CK755" i="1"/>
  <c r="CC755" i="1"/>
  <c r="EN755" i="1"/>
  <c r="CB755" i="1"/>
  <c r="O755" i="1"/>
  <c r="BH749" i="1"/>
  <c r="BA749" i="1"/>
  <c r="AT749" i="1"/>
  <c r="EW749" i="1"/>
  <c r="EU749" i="1"/>
  <c r="EV749" i="1"/>
  <c r="EP749" i="1"/>
  <c r="EM749" i="1"/>
  <c r="EL749" i="1"/>
  <c r="EE749" i="1"/>
  <c r="DU749" i="1"/>
  <c r="EQ749" i="1"/>
  <c r="DR749" i="1"/>
  <c r="ET749" i="1"/>
  <c r="DH749" i="1"/>
  <c r="DA749" i="1"/>
  <c r="CY749" i="1"/>
  <c r="CK749" i="1"/>
  <c r="CC749" i="1"/>
  <c r="EN749" i="1"/>
  <c r="CB749" i="1"/>
  <c r="O749" i="1"/>
  <c r="BH774" i="1"/>
  <c r="BA774" i="1"/>
  <c r="AT774" i="1"/>
  <c r="BH772" i="1"/>
  <c r="BA772" i="1"/>
  <c r="AT772" i="1"/>
  <c r="EW774" i="1"/>
  <c r="EP774" i="1"/>
  <c r="EM774" i="1"/>
  <c r="EL774" i="1"/>
  <c r="EE774" i="1"/>
  <c r="DU774" i="1"/>
  <c r="EQ774" i="1"/>
  <c r="DR774" i="1"/>
  <c r="ET774" i="1"/>
  <c r="DH774" i="1"/>
  <c r="DA774" i="1"/>
  <c r="CY774" i="1"/>
  <c r="EU774" i="1"/>
  <c r="EV774" i="1"/>
  <c r="CC774" i="1"/>
  <c r="EN774" i="1"/>
  <c r="CB774" i="1"/>
  <c r="O774" i="1"/>
  <c r="EW772" i="1"/>
  <c r="EP772" i="1"/>
  <c r="EM772" i="1"/>
  <c r="EL772" i="1"/>
  <c r="EE772" i="1"/>
  <c r="DU772" i="1"/>
  <c r="EQ772" i="1"/>
  <c r="DR772" i="1"/>
  <c r="ET772" i="1"/>
  <c r="DH772" i="1"/>
  <c r="DA772" i="1"/>
  <c r="CY772" i="1"/>
  <c r="CK772" i="1"/>
  <c r="EU772" i="1"/>
  <c r="EV772" i="1"/>
  <c r="CC772" i="1"/>
  <c r="EN772" i="1"/>
  <c r="CB772" i="1"/>
  <c r="O772" i="1"/>
  <c r="BH744" i="1"/>
  <c r="BA744" i="1"/>
  <c r="AT744" i="1"/>
  <c r="EW744" i="1"/>
  <c r="EU744" i="1"/>
  <c r="EV744" i="1"/>
  <c r="EP744" i="1"/>
  <c r="EM744" i="1"/>
  <c r="EL744" i="1"/>
  <c r="EE744" i="1"/>
  <c r="DU744" i="1"/>
  <c r="EQ744" i="1"/>
  <c r="DR744" i="1"/>
  <c r="ET744" i="1"/>
  <c r="DH744" i="1"/>
  <c r="DA744" i="1"/>
  <c r="CY744" i="1"/>
  <c r="CK744" i="1"/>
  <c r="CC744" i="1"/>
  <c r="EN744" i="1"/>
  <c r="CB744" i="1"/>
  <c r="O744" i="1"/>
  <c r="EE531" i="1"/>
  <c r="CC730" i="1"/>
  <c r="EW747" i="1"/>
  <c r="EU747" i="1"/>
  <c r="EV747" i="1"/>
  <c r="EP747" i="1"/>
  <c r="EM747" i="1"/>
  <c r="EL747" i="1"/>
  <c r="EE747" i="1"/>
  <c r="DU747" i="1"/>
  <c r="EQ747" i="1"/>
  <c r="DR747" i="1"/>
  <c r="ET747" i="1"/>
  <c r="DH747" i="1"/>
  <c r="DA747" i="1"/>
  <c r="CY747" i="1"/>
  <c r="CK747" i="1"/>
  <c r="CC747" i="1"/>
  <c r="EN747" i="1"/>
  <c r="CB747" i="1"/>
  <c r="BH747" i="1"/>
  <c r="BA747" i="1"/>
  <c r="AT747" i="1"/>
  <c r="O747" i="1"/>
  <c r="EW757" i="1"/>
  <c r="EU757" i="1"/>
  <c r="EV757" i="1"/>
  <c r="EP757" i="1"/>
  <c r="EM757" i="1"/>
  <c r="EL757" i="1"/>
  <c r="EE757" i="1"/>
  <c r="DU757" i="1"/>
  <c r="EQ757" i="1"/>
  <c r="DR757" i="1"/>
  <c r="ET757" i="1"/>
  <c r="DH757" i="1"/>
  <c r="DA757" i="1"/>
  <c r="CY757" i="1"/>
  <c r="CK757" i="1"/>
  <c r="CC757" i="1"/>
  <c r="EN757" i="1"/>
  <c r="CB757" i="1"/>
  <c r="BH757" i="1"/>
  <c r="BA757" i="1"/>
  <c r="AT757" i="1"/>
  <c r="O757" i="1"/>
  <c r="EW750" i="1"/>
  <c r="EU750" i="1"/>
  <c r="EV750" i="1"/>
  <c r="EP750" i="1"/>
  <c r="EM750" i="1"/>
  <c r="EL750" i="1"/>
  <c r="EE750" i="1"/>
  <c r="DU750" i="1"/>
  <c r="EQ750" i="1"/>
  <c r="DR750" i="1"/>
  <c r="ET750" i="1"/>
  <c r="DH750" i="1"/>
  <c r="DA750" i="1"/>
  <c r="CY750" i="1"/>
  <c r="CK750" i="1"/>
  <c r="CC750" i="1"/>
  <c r="EN750" i="1"/>
  <c r="CB750" i="1"/>
  <c r="BH750" i="1"/>
  <c r="BA750" i="1"/>
  <c r="AT750" i="1"/>
  <c r="O750" i="1"/>
  <c r="BH742" i="1"/>
  <c r="BA742" i="1"/>
  <c r="AT742" i="1"/>
  <c r="EW742" i="1"/>
  <c r="EU742" i="1"/>
  <c r="EV742" i="1"/>
  <c r="EP742" i="1"/>
  <c r="EM742" i="1"/>
  <c r="EL742" i="1"/>
  <c r="EE742" i="1"/>
  <c r="DU742" i="1"/>
  <c r="EQ742" i="1"/>
  <c r="DR742" i="1"/>
  <c r="ET742" i="1"/>
  <c r="DH742" i="1"/>
  <c r="DA742" i="1"/>
  <c r="CY742" i="1"/>
  <c r="CK742" i="1"/>
  <c r="CC742" i="1"/>
  <c r="EN742" i="1"/>
  <c r="CB742" i="1"/>
  <c r="O742" i="1"/>
  <c r="BH739" i="1"/>
  <c r="BA739" i="1"/>
  <c r="AT739" i="1"/>
  <c r="EW739" i="1"/>
  <c r="EU739" i="1"/>
  <c r="EV739" i="1"/>
  <c r="EP739" i="1"/>
  <c r="EM739" i="1"/>
  <c r="EL739" i="1"/>
  <c r="EE739" i="1"/>
  <c r="DU739" i="1"/>
  <c r="EQ739" i="1"/>
  <c r="DR739" i="1"/>
  <c r="ET739" i="1"/>
  <c r="DH739" i="1"/>
  <c r="DA739" i="1"/>
  <c r="CY739" i="1"/>
  <c r="CK739" i="1"/>
  <c r="CC739" i="1"/>
  <c r="EN739" i="1"/>
  <c r="CB739" i="1"/>
  <c r="O739" i="1"/>
  <c r="AH3" i="7"/>
  <c r="AH4" i="7"/>
  <c r="AH5" i="7"/>
  <c r="AH6" i="7"/>
  <c r="AH7" i="7"/>
  <c r="AH8" i="7"/>
  <c r="AH9" i="7"/>
  <c r="AH10" i="7"/>
  <c r="AH11" i="7"/>
  <c r="AH12" i="7"/>
  <c r="AH13" i="7"/>
  <c r="AH14" i="7"/>
  <c r="AH15" i="7"/>
  <c r="AH16" i="7"/>
  <c r="AH17" i="7"/>
  <c r="AH18" i="7"/>
  <c r="AH19" i="7"/>
  <c r="AH20" i="7"/>
  <c r="AH21" i="7"/>
  <c r="AH22" i="7"/>
  <c r="AH23" i="7"/>
  <c r="AH24" i="7"/>
  <c r="AH25" i="7"/>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2" i="7"/>
  <c r="AM2" i="7"/>
  <c r="DA708" i="1"/>
  <c r="CY708" i="1"/>
  <c r="EW745" i="1"/>
  <c r="EU745" i="1"/>
  <c r="EV745" i="1"/>
  <c r="EP745" i="1"/>
  <c r="EM745" i="1"/>
  <c r="EL745" i="1"/>
  <c r="EE745" i="1"/>
  <c r="DU745" i="1"/>
  <c r="EQ745" i="1"/>
  <c r="DR745" i="1"/>
  <c r="ET745" i="1"/>
  <c r="DH745" i="1"/>
  <c r="DA745" i="1"/>
  <c r="CY745" i="1"/>
  <c r="CK745" i="1"/>
  <c r="CC745" i="1"/>
  <c r="EN745" i="1"/>
  <c r="CB745" i="1"/>
  <c r="BH745" i="1"/>
  <c r="BA745" i="1"/>
  <c r="AT745" i="1"/>
  <c r="O745" i="1"/>
  <c r="EW740" i="1"/>
  <c r="EU740" i="1"/>
  <c r="EV740" i="1"/>
  <c r="EP740" i="1"/>
  <c r="EM740" i="1"/>
  <c r="EL740" i="1"/>
  <c r="EE740" i="1"/>
  <c r="DU740" i="1"/>
  <c r="EQ740" i="1"/>
  <c r="DR740" i="1"/>
  <c r="ET740" i="1"/>
  <c r="DH740" i="1"/>
  <c r="DA740" i="1"/>
  <c r="CY740" i="1"/>
  <c r="CK740" i="1"/>
  <c r="CC740" i="1"/>
  <c r="EN740" i="1"/>
  <c r="CB740" i="1"/>
  <c r="BH740" i="1"/>
  <c r="BA740" i="1"/>
  <c r="AT740" i="1"/>
  <c r="O740" i="1"/>
  <c r="EW738" i="1"/>
  <c r="EU738" i="1"/>
  <c r="EV738" i="1"/>
  <c r="EP738" i="1"/>
  <c r="EM738" i="1"/>
  <c r="EL738" i="1"/>
  <c r="EE738" i="1"/>
  <c r="DU738" i="1"/>
  <c r="EQ738" i="1"/>
  <c r="DR738" i="1"/>
  <c r="ET738" i="1"/>
  <c r="DH738" i="1"/>
  <c r="DA738" i="1"/>
  <c r="CY738" i="1"/>
  <c r="CK738" i="1"/>
  <c r="CC738" i="1"/>
  <c r="EN738" i="1"/>
  <c r="CB738" i="1"/>
  <c r="BH738" i="1"/>
  <c r="BA738" i="1"/>
  <c r="AT738" i="1"/>
  <c r="O738" i="1"/>
  <c r="EW727" i="1"/>
  <c r="EU727" i="1"/>
  <c r="EV727" i="1"/>
  <c r="EP727" i="1"/>
  <c r="EM727" i="1"/>
  <c r="EL727" i="1"/>
  <c r="EE727" i="1"/>
  <c r="DU727" i="1"/>
  <c r="EQ727" i="1"/>
  <c r="DR727" i="1"/>
  <c r="ET727" i="1"/>
  <c r="DH727" i="1"/>
  <c r="DA727" i="1"/>
  <c r="CY727" i="1"/>
  <c r="CK727" i="1"/>
  <c r="CC727" i="1"/>
  <c r="EN727" i="1"/>
  <c r="CB727" i="1"/>
  <c r="BH727" i="1"/>
  <c r="BA727" i="1"/>
  <c r="AT727" i="1"/>
  <c r="O727" i="1"/>
  <c r="EW724" i="1"/>
  <c r="EU724" i="1"/>
  <c r="EV724" i="1"/>
  <c r="EP724" i="1"/>
  <c r="EM724" i="1"/>
  <c r="EL724" i="1"/>
  <c r="EE724" i="1"/>
  <c r="DU724" i="1"/>
  <c r="EQ724" i="1"/>
  <c r="DR724" i="1"/>
  <c r="ET724" i="1"/>
  <c r="DH724" i="1"/>
  <c r="DA724" i="1"/>
  <c r="CY724" i="1"/>
  <c r="CK724" i="1"/>
  <c r="CC724" i="1"/>
  <c r="EN724" i="1"/>
  <c r="CB724" i="1"/>
  <c r="BH724" i="1"/>
  <c r="BA724" i="1"/>
  <c r="AT724" i="1"/>
  <c r="O724" i="1"/>
  <c r="EW729" i="1"/>
  <c r="EU729" i="1"/>
  <c r="EV729" i="1"/>
  <c r="EP729" i="1"/>
  <c r="EM729" i="1"/>
  <c r="EL729" i="1"/>
  <c r="EE729" i="1"/>
  <c r="DU729" i="1"/>
  <c r="EQ729" i="1"/>
  <c r="DR729" i="1"/>
  <c r="ET729" i="1"/>
  <c r="DH729" i="1"/>
  <c r="DA729" i="1"/>
  <c r="CY729" i="1"/>
  <c r="CK729" i="1"/>
  <c r="CC729" i="1"/>
  <c r="EN729" i="1"/>
  <c r="CB729" i="1"/>
  <c r="BH729" i="1"/>
  <c r="BA729" i="1"/>
  <c r="AT729" i="1"/>
  <c r="O729" i="1"/>
  <c r="EW778" i="1"/>
  <c r="EP778" i="1"/>
  <c r="EM778" i="1"/>
  <c r="EL778" i="1"/>
  <c r="EE778" i="1"/>
  <c r="DU778" i="1"/>
  <c r="EQ778" i="1"/>
  <c r="DR778" i="1"/>
  <c r="ET778" i="1"/>
  <c r="DH778" i="1"/>
  <c r="DA778" i="1"/>
  <c r="CY778" i="1"/>
  <c r="EU778" i="1"/>
  <c r="EV778" i="1"/>
  <c r="CC778" i="1"/>
  <c r="EN778" i="1"/>
  <c r="CB778" i="1"/>
  <c r="BH778" i="1"/>
  <c r="BA778" i="1"/>
  <c r="AT778" i="1"/>
  <c r="O778" i="1"/>
  <c r="BH709" i="1"/>
  <c r="BA709" i="1"/>
  <c r="EW709" i="1"/>
  <c r="EU709" i="1"/>
  <c r="EV709" i="1"/>
  <c r="EP709" i="1"/>
  <c r="EM709" i="1"/>
  <c r="EL709" i="1"/>
  <c r="EE709" i="1"/>
  <c r="DU709" i="1"/>
  <c r="EQ709" i="1"/>
  <c r="DR709" i="1"/>
  <c r="ET709" i="1"/>
  <c r="DH709" i="1"/>
  <c r="DA709" i="1"/>
  <c r="CY709" i="1"/>
  <c r="CK709" i="1"/>
  <c r="CC709" i="1"/>
  <c r="EN709" i="1"/>
  <c r="CB709" i="1"/>
  <c r="AT709" i="1"/>
  <c r="O709" i="1"/>
  <c r="EW728" i="1"/>
  <c r="EU728" i="1"/>
  <c r="EV728" i="1"/>
  <c r="EP728" i="1"/>
  <c r="EM728" i="1"/>
  <c r="EL728" i="1"/>
  <c r="EE728" i="1"/>
  <c r="DU728" i="1"/>
  <c r="EQ728" i="1"/>
  <c r="DR728" i="1"/>
  <c r="ET728" i="1"/>
  <c r="DH728" i="1"/>
  <c r="DA728" i="1"/>
  <c r="CY728" i="1"/>
  <c r="CK728" i="1"/>
  <c r="CC728" i="1"/>
  <c r="EN728" i="1"/>
  <c r="CB728" i="1"/>
  <c r="BH728" i="1"/>
  <c r="BA728" i="1"/>
  <c r="AT728" i="1"/>
  <c r="O728" i="1"/>
  <c r="BH781" i="1"/>
  <c r="BA781" i="1"/>
  <c r="AT781" i="1"/>
  <c r="EL743" i="1"/>
  <c r="EM743" i="1"/>
  <c r="EP743" i="1"/>
  <c r="EU743" i="1"/>
  <c r="EV743" i="1"/>
  <c r="EW743" i="1"/>
  <c r="EE743" i="1"/>
  <c r="DU743" i="1"/>
  <c r="EQ743" i="1"/>
  <c r="DR743" i="1"/>
  <c r="ET743" i="1"/>
  <c r="DH743" i="1"/>
  <c r="CY743" i="1"/>
  <c r="DA743" i="1"/>
  <c r="CK743" i="1"/>
  <c r="DB743" i="1"/>
  <c r="CB743" i="1"/>
  <c r="CC743" i="1"/>
  <c r="EN743" i="1"/>
  <c r="BH743" i="1"/>
  <c r="BA743" i="1"/>
  <c r="AT743" i="1"/>
  <c r="O743" i="1"/>
  <c r="EW734" i="1"/>
  <c r="EU734" i="1"/>
  <c r="EV734" i="1"/>
  <c r="EP734" i="1"/>
  <c r="EM734" i="1"/>
  <c r="EL734" i="1"/>
  <c r="EE734" i="1"/>
  <c r="DU734" i="1"/>
  <c r="EQ734" i="1"/>
  <c r="DR734" i="1"/>
  <c r="ET734" i="1"/>
  <c r="DH734" i="1"/>
  <c r="DA734" i="1"/>
  <c r="CY734" i="1"/>
  <c r="CK734" i="1"/>
  <c r="CC734" i="1"/>
  <c r="EN734" i="1"/>
  <c r="CB734" i="1"/>
  <c r="BH734" i="1"/>
  <c r="BA734" i="1"/>
  <c r="AT734" i="1"/>
  <c r="O734" i="1"/>
  <c r="EW753" i="1"/>
  <c r="EU753" i="1"/>
  <c r="EV753" i="1"/>
  <c r="EP753" i="1"/>
  <c r="EM753" i="1"/>
  <c r="EL753" i="1"/>
  <c r="EE753" i="1"/>
  <c r="DU753" i="1"/>
  <c r="EQ753" i="1"/>
  <c r="DR753" i="1"/>
  <c r="ET753" i="1"/>
  <c r="DH753" i="1"/>
  <c r="DA753" i="1"/>
  <c r="CY753" i="1"/>
  <c r="CK753" i="1"/>
  <c r="CC753" i="1"/>
  <c r="EN753" i="1"/>
  <c r="CB753" i="1"/>
  <c r="BH753" i="1"/>
  <c r="BA753" i="1"/>
  <c r="AT753" i="1"/>
  <c r="O753" i="1"/>
  <c r="EW741" i="1"/>
  <c r="EU741" i="1"/>
  <c r="EV741" i="1"/>
  <c r="EP741" i="1"/>
  <c r="EM741" i="1"/>
  <c r="EL741" i="1"/>
  <c r="EE741" i="1"/>
  <c r="DU741" i="1"/>
  <c r="EQ741" i="1"/>
  <c r="DR741" i="1"/>
  <c r="ET741" i="1"/>
  <c r="DH741" i="1"/>
  <c r="DA741" i="1"/>
  <c r="CY741" i="1"/>
  <c r="CK741" i="1"/>
  <c r="CC741" i="1"/>
  <c r="EN741" i="1"/>
  <c r="BH741" i="1"/>
  <c r="BA741" i="1"/>
  <c r="AT741" i="1"/>
  <c r="O741" i="1"/>
  <c r="EW781" i="1"/>
  <c r="EU781" i="1"/>
  <c r="EV781" i="1"/>
  <c r="EP781" i="1"/>
  <c r="EM781" i="1"/>
  <c r="EL781" i="1"/>
  <c r="EE781" i="1"/>
  <c r="DU781" i="1"/>
  <c r="EQ781" i="1"/>
  <c r="DR781" i="1"/>
  <c r="ET781" i="1"/>
  <c r="DH781" i="1"/>
  <c r="DA781" i="1"/>
  <c r="CY781" i="1"/>
  <c r="CK781" i="1"/>
  <c r="CC781" i="1"/>
  <c r="EN781" i="1"/>
  <c r="CB781" i="1"/>
  <c r="O781" i="1"/>
  <c r="BH790" i="1"/>
  <c r="BA790" i="1"/>
  <c r="AT790" i="1"/>
  <c r="EW790" i="1"/>
  <c r="EP790" i="1"/>
  <c r="EM790" i="1"/>
  <c r="EL790" i="1"/>
  <c r="EE790" i="1"/>
  <c r="DU790" i="1"/>
  <c r="EQ790" i="1"/>
  <c r="DR790" i="1"/>
  <c r="ET790" i="1"/>
  <c r="DH790" i="1"/>
  <c r="DA790" i="1"/>
  <c r="CY790" i="1"/>
  <c r="EU790" i="1"/>
  <c r="EV790" i="1"/>
  <c r="CC790" i="1"/>
  <c r="EN790" i="1"/>
  <c r="CB790" i="1"/>
  <c r="O790" i="1"/>
  <c r="AT721" i="1"/>
  <c r="BA721" i="1"/>
  <c r="BH721" i="1"/>
  <c r="EW721" i="1"/>
  <c r="EU721" i="1"/>
  <c r="EV721" i="1"/>
  <c r="EP721" i="1"/>
  <c r="EM721" i="1"/>
  <c r="EL721" i="1"/>
  <c r="EE721" i="1"/>
  <c r="DU721" i="1"/>
  <c r="EQ721" i="1"/>
  <c r="DR721" i="1"/>
  <c r="ET721" i="1"/>
  <c r="DH721" i="1"/>
  <c r="DA721" i="1"/>
  <c r="CY721" i="1"/>
  <c r="CK721" i="1"/>
  <c r="CC721" i="1"/>
  <c r="EN721" i="1"/>
  <c r="CB721" i="1"/>
  <c r="O721" i="1"/>
  <c r="EW719" i="1"/>
  <c r="EU719" i="1"/>
  <c r="EV719" i="1"/>
  <c r="EP719" i="1"/>
  <c r="EM719" i="1"/>
  <c r="EL719" i="1"/>
  <c r="EE719" i="1"/>
  <c r="DU719" i="1"/>
  <c r="EQ719" i="1"/>
  <c r="DR719" i="1"/>
  <c r="ET719" i="1"/>
  <c r="DH719" i="1"/>
  <c r="DA719" i="1"/>
  <c r="CY719" i="1"/>
  <c r="CK719" i="1"/>
  <c r="CC719" i="1"/>
  <c r="EN719" i="1"/>
  <c r="CB719" i="1"/>
  <c r="BH719" i="1"/>
  <c r="BA719" i="1"/>
  <c r="AT719" i="1"/>
  <c r="O719" i="1"/>
  <c r="BA716" i="1"/>
  <c r="BH716" i="1"/>
  <c r="AT716" i="1"/>
  <c r="EW716" i="1"/>
  <c r="EU716" i="1"/>
  <c r="EV716" i="1"/>
  <c r="EP716" i="1"/>
  <c r="EM716" i="1"/>
  <c r="EL716" i="1"/>
  <c r="EE716" i="1"/>
  <c r="DU716" i="1"/>
  <c r="EQ716" i="1"/>
  <c r="DR716" i="1"/>
  <c r="ET716" i="1"/>
  <c r="DH716" i="1"/>
  <c r="DA716" i="1"/>
  <c r="CY716" i="1"/>
  <c r="CK716" i="1"/>
  <c r="CC716" i="1"/>
  <c r="EN716" i="1"/>
  <c r="CB716" i="1"/>
  <c r="O716" i="1"/>
  <c r="BH699" i="1"/>
  <c r="BA699" i="1"/>
  <c r="AT699" i="1"/>
  <c r="EW699" i="1"/>
  <c r="EU699" i="1"/>
  <c r="EV699" i="1"/>
  <c r="EP699" i="1"/>
  <c r="EM699" i="1"/>
  <c r="EL699" i="1"/>
  <c r="EE699" i="1"/>
  <c r="DU699" i="1"/>
  <c r="EQ699" i="1"/>
  <c r="DR699" i="1"/>
  <c r="ET699" i="1"/>
  <c r="DH699" i="1"/>
  <c r="DA699" i="1"/>
  <c r="CY699" i="1"/>
  <c r="CK699" i="1"/>
  <c r="CC699" i="1"/>
  <c r="EN699" i="1"/>
  <c r="CB699" i="1"/>
  <c r="O699" i="1"/>
  <c r="BA718" i="1"/>
  <c r="EW718" i="1"/>
  <c r="EU718" i="1"/>
  <c r="EV718" i="1"/>
  <c r="EP718" i="1"/>
  <c r="EM718" i="1"/>
  <c r="EL718" i="1"/>
  <c r="EE718" i="1"/>
  <c r="DU718" i="1"/>
  <c r="EQ718" i="1"/>
  <c r="DR718" i="1"/>
  <c r="ET718" i="1"/>
  <c r="DH718" i="1"/>
  <c r="DA718" i="1"/>
  <c r="CY718" i="1"/>
  <c r="CK718" i="1"/>
  <c r="CC718" i="1"/>
  <c r="EN718" i="1"/>
  <c r="CB718" i="1"/>
  <c r="BH718" i="1"/>
  <c r="AT718" i="1"/>
  <c r="O718" i="1"/>
  <c r="CK720" i="1"/>
  <c r="CK705" i="1"/>
  <c r="CK681" i="1"/>
  <c r="CK677" i="1"/>
  <c r="CK648" i="1"/>
  <c r="CK602" i="1"/>
  <c r="CK582" i="1"/>
  <c r="CK571" i="1"/>
  <c r="CK565" i="1"/>
  <c r="CK567" i="1"/>
  <c r="CK548" i="1"/>
  <c r="CK542" i="1"/>
  <c r="CK543" i="1"/>
  <c r="CK539" i="1"/>
  <c r="CK521" i="1"/>
  <c r="AT713" i="1"/>
  <c r="BA713" i="1"/>
  <c r="BH713" i="1"/>
  <c r="EW713" i="1"/>
  <c r="EU713" i="1"/>
  <c r="EV713" i="1"/>
  <c r="EP713" i="1"/>
  <c r="EM713" i="1"/>
  <c r="EL713" i="1"/>
  <c r="EE713" i="1"/>
  <c r="DU713" i="1"/>
  <c r="EQ713" i="1"/>
  <c r="DR713" i="1"/>
  <c r="ET713" i="1"/>
  <c r="DH713" i="1"/>
  <c r="DA713" i="1"/>
  <c r="CY713" i="1"/>
  <c r="CK713" i="1"/>
  <c r="CC713" i="1"/>
  <c r="EN713" i="1"/>
  <c r="CB713" i="1"/>
  <c r="O713" i="1"/>
  <c r="BA707" i="1"/>
  <c r="BH707" i="1"/>
  <c r="EW707" i="1"/>
  <c r="EU707" i="1"/>
  <c r="EV707" i="1"/>
  <c r="EP707" i="1"/>
  <c r="EM707" i="1"/>
  <c r="EL707" i="1"/>
  <c r="EE707" i="1"/>
  <c r="DU707" i="1"/>
  <c r="EQ707" i="1"/>
  <c r="DR707" i="1"/>
  <c r="ET707" i="1"/>
  <c r="DH707" i="1"/>
  <c r="DA707" i="1"/>
  <c r="CY707" i="1"/>
  <c r="CK707" i="1"/>
  <c r="CC707" i="1"/>
  <c r="EN707" i="1"/>
  <c r="CB707" i="1"/>
  <c r="AT707" i="1"/>
  <c r="O707" i="1"/>
  <c r="BH767" i="1"/>
  <c r="BA767" i="1"/>
  <c r="AT767" i="1"/>
  <c r="EW767" i="1"/>
  <c r="EP767" i="1"/>
  <c r="EM767" i="1"/>
  <c r="EL767" i="1"/>
  <c r="EE767" i="1"/>
  <c r="DU767" i="1"/>
  <c r="EQ767" i="1"/>
  <c r="DR767" i="1"/>
  <c r="ET767" i="1"/>
  <c r="DH767" i="1"/>
  <c r="DA767" i="1"/>
  <c r="CY767" i="1"/>
  <c r="CK767" i="1"/>
  <c r="EU767" i="1"/>
  <c r="EV767" i="1"/>
  <c r="CC767" i="1"/>
  <c r="EN767" i="1"/>
  <c r="CB767" i="1"/>
  <c r="AT715" i="1"/>
  <c r="BA715" i="1"/>
  <c r="BH715" i="1"/>
  <c r="O715" i="1"/>
  <c r="EW715" i="1"/>
  <c r="EU715" i="1"/>
  <c r="EV715" i="1"/>
  <c r="EP715" i="1"/>
  <c r="EM715" i="1"/>
  <c r="EL715" i="1"/>
  <c r="EE715" i="1"/>
  <c r="DU715" i="1"/>
  <c r="EQ715" i="1"/>
  <c r="DR715" i="1"/>
  <c r="ET715" i="1"/>
  <c r="DH715" i="1"/>
  <c r="DA715" i="1"/>
  <c r="CY715" i="1"/>
  <c r="CK715" i="1"/>
  <c r="CC715" i="1"/>
  <c r="EN715" i="1"/>
  <c r="CB715" i="1"/>
  <c r="EW723" i="1"/>
  <c r="EU723" i="1"/>
  <c r="EV723" i="1"/>
  <c r="EP723" i="1"/>
  <c r="EM723" i="1"/>
  <c r="EL723" i="1"/>
  <c r="EE723" i="1"/>
  <c r="DU723" i="1"/>
  <c r="EQ723" i="1"/>
  <c r="DR723" i="1"/>
  <c r="ET723" i="1"/>
  <c r="DH723" i="1"/>
  <c r="DA723" i="1"/>
  <c r="CY723" i="1"/>
  <c r="CK723" i="1"/>
  <c r="CC723" i="1"/>
  <c r="EN723" i="1"/>
  <c r="CB723" i="1"/>
  <c r="BH723" i="1"/>
  <c r="BA723" i="1"/>
  <c r="AT723" i="1"/>
  <c r="O723" i="1"/>
  <c r="EW726" i="1"/>
  <c r="EU726" i="1"/>
  <c r="EV726" i="1"/>
  <c r="EP726" i="1"/>
  <c r="EM726" i="1"/>
  <c r="EL726" i="1"/>
  <c r="EE726" i="1"/>
  <c r="DU726" i="1"/>
  <c r="EQ726" i="1"/>
  <c r="DR726" i="1"/>
  <c r="ET726" i="1"/>
  <c r="DH726" i="1"/>
  <c r="DA726" i="1"/>
  <c r="CY726" i="1"/>
  <c r="CK726" i="1"/>
  <c r="CC726" i="1"/>
  <c r="EN726" i="1"/>
  <c r="CB726" i="1"/>
  <c r="BH726" i="1"/>
  <c r="BA726" i="1"/>
  <c r="AT726" i="1"/>
  <c r="O726" i="1"/>
  <c r="BH737" i="1"/>
  <c r="BA737" i="1"/>
  <c r="EW737" i="1"/>
  <c r="EU737" i="1"/>
  <c r="EV737" i="1"/>
  <c r="EP737" i="1"/>
  <c r="EM737" i="1"/>
  <c r="EL737" i="1"/>
  <c r="EE737" i="1"/>
  <c r="DU737" i="1"/>
  <c r="EQ737" i="1"/>
  <c r="DR737" i="1"/>
  <c r="ET737" i="1"/>
  <c r="DH737" i="1"/>
  <c r="DA737" i="1"/>
  <c r="CY737" i="1"/>
  <c r="CK737" i="1"/>
  <c r="CC737" i="1"/>
  <c r="EN737" i="1"/>
  <c r="CB737" i="1"/>
  <c r="AT737" i="1"/>
  <c r="O737" i="1"/>
  <c r="AT722" i="1"/>
  <c r="BA722" i="1"/>
  <c r="BH722" i="1"/>
  <c r="EW722" i="1"/>
  <c r="EU722" i="1"/>
  <c r="EV722" i="1"/>
  <c r="EP722" i="1"/>
  <c r="EM722" i="1"/>
  <c r="EL722" i="1"/>
  <c r="EE722" i="1"/>
  <c r="DU722" i="1"/>
  <c r="EQ722" i="1"/>
  <c r="DR722" i="1"/>
  <c r="ET722" i="1"/>
  <c r="DH722" i="1"/>
  <c r="DA722" i="1"/>
  <c r="CY722" i="1"/>
  <c r="CK722" i="1"/>
  <c r="CC722" i="1"/>
  <c r="EN722" i="1"/>
  <c r="CB722" i="1"/>
  <c r="O722" i="1"/>
  <c r="EW735" i="1"/>
  <c r="EU735" i="1"/>
  <c r="EV735" i="1"/>
  <c r="EP735" i="1"/>
  <c r="EM735" i="1"/>
  <c r="EL735" i="1"/>
  <c r="EE735" i="1"/>
  <c r="DU735" i="1"/>
  <c r="EQ735" i="1"/>
  <c r="DR735" i="1"/>
  <c r="ET735" i="1"/>
  <c r="DH735" i="1"/>
  <c r="DA735" i="1"/>
  <c r="CY735" i="1"/>
  <c r="CK735" i="1"/>
  <c r="CC735" i="1"/>
  <c r="EN735" i="1"/>
  <c r="CB735" i="1"/>
  <c r="BH735" i="1"/>
  <c r="BA735" i="1"/>
  <c r="AT735" i="1"/>
  <c r="O735" i="1"/>
  <c r="EW736" i="1"/>
  <c r="EU736" i="1"/>
  <c r="EV736" i="1"/>
  <c r="EP736" i="1"/>
  <c r="EM736" i="1"/>
  <c r="EL736" i="1"/>
  <c r="EE736" i="1"/>
  <c r="DU736" i="1"/>
  <c r="EQ736" i="1"/>
  <c r="DR736" i="1"/>
  <c r="ET736" i="1"/>
  <c r="DH736" i="1"/>
  <c r="DA736" i="1"/>
  <c r="CY736" i="1"/>
  <c r="CK736" i="1"/>
  <c r="CC736" i="1"/>
  <c r="EN736" i="1"/>
  <c r="CB736" i="1"/>
  <c r="BH736" i="1"/>
  <c r="BA736" i="1"/>
  <c r="AT736" i="1"/>
  <c r="O736" i="1"/>
  <c r="EW670" i="1"/>
  <c r="EU670" i="1"/>
  <c r="EV670" i="1"/>
  <c r="EP670" i="1"/>
  <c r="EM670" i="1"/>
  <c r="EL670" i="1"/>
  <c r="EE670" i="1"/>
  <c r="DU670" i="1"/>
  <c r="EQ670" i="1"/>
  <c r="DR670" i="1"/>
  <c r="ET670" i="1"/>
  <c r="DA670" i="1"/>
  <c r="CY670" i="1"/>
  <c r="CC670" i="1"/>
  <c r="EN670" i="1"/>
  <c r="CB670" i="1"/>
  <c r="BH670" i="1"/>
  <c r="BA670" i="1"/>
  <c r="AT670" i="1"/>
  <c r="O670" i="1"/>
  <c r="EW711" i="1"/>
  <c r="EU711" i="1"/>
  <c r="EV711" i="1"/>
  <c r="EP711" i="1"/>
  <c r="EM711" i="1"/>
  <c r="EL711" i="1"/>
  <c r="EE711" i="1"/>
  <c r="DU711" i="1"/>
  <c r="EQ711" i="1"/>
  <c r="DR711" i="1"/>
  <c r="ET711" i="1"/>
  <c r="DH711" i="1"/>
  <c r="DA711" i="1"/>
  <c r="CY711" i="1"/>
  <c r="CK711" i="1"/>
  <c r="CC711" i="1"/>
  <c r="EN711" i="1"/>
  <c r="CB711" i="1"/>
  <c r="BH711" i="1"/>
  <c r="BA711" i="1"/>
  <c r="AT711" i="1"/>
  <c r="O711" i="1"/>
  <c r="AT708" i="1"/>
  <c r="BA708" i="1"/>
  <c r="BH708" i="1"/>
  <c r="EW708" i="1"/>
  <c r="EU708" i="1"/>
  <c r="EV708" i="1"/>
  <c r="EP708" i="1"/>
  <c r="EM708" i="1"/>
  <c r="EL708" i="1"/>
  <c r="EE708" i="1"/>
  <c r="DU708" i="1"/>
  <c r="EQ708" i="1"/>
  <c r="DR708" i="1"/>
  <c r="ET708" i="1"/>
  <c r="DH708" i="1"/>
  <c r="CK708" i="1"/>
  <c r="CC708" i="1"/>
  <c r="EN708" i="1"/>
  <c r="CB708" i="1"/>
  <c r="O708" i="1"/>
  <c r="EW665" i="1"/>
  <c r="EU665" i="1"/>
  <c r="EV665" i="1"/>
  <c r="EP665" i="1"/>
  <c r="EM665" i="1"/>
  <c r="EL665" i="1"/>
  <c r="EE665" i="1"/>
  <c r="DU665" i="1"/>
  <c r="EQ665" i="1"/>
  <c r="DR665" i="1"/>
  <c r="ET665" i="1"/>
  <c r="DH665" i="1"/>
  <c r="DA665" i="1"/>
  <c r="CY665" i="1"/>
  <c r="CK665" i="1"/>
  <c r="CC665" i="1"/>
  <c r="EN665" i="1"/>
  <c r="CB665" i="1"/>
  <c r="BH665" i="1"/>
  <c r="BA665" i="1"/>
  <c r="AT665" i="1"/>
  <c r="O665" i="1"/>
  <c r="BH686" i="1"/>
  <c r="BA688" i="1"/>
  <c r="BA689" i="1"/>
  <c r="BA690" i="1"/>
  <c r="BA686" i="1"/>
  <c r="EW690" i="1"/>
  <c r="EU690" i="1"/>
  <c r="EV690" i="1"/>
  <c r="EP690" i="1"/>
  <c r="EM690" i="1"/>
  <c r="EL690" i="1"/>
  <c r="EE690" i="1"/>
  <c r="DU690" i="1"/>
  <c r="EQ690" i="1"/>
  <c r="DR690" i="1"/>
  <c r="ET690" i="1"/>
  <c r="DH690" i="1"/>
  <c r="DA690" i="1"/>
  <c r="CY690" i="1"/>
  <c r="CK690" i="1"/>
  <c r="CC690" i="1"/>
  <c r="EN690" i="1"/>
  <c r="CB690" i="1"/>
  <c r="BH690" i="1"/>
  <c r="AT690" i="1"/>
  <c r="O690" i="1"/>
  <c r="EW686" i="1"/>
  <c r="EU686" i="1"/>
  <c r="EV686" i="1"/>
  <c r="EP686" i="1"/>
  <c r="EM686" i="1"/>
  <c r="EL686" i="1"/>
  <c r="EE686" i="1"/>
  <c r="DU686" i="1"/>
  <c r="EQ686" i="1"/>
  <c r="DR686" i="1"/>
  <c r="ET686" i="1"/>
  <c r="DH686" i="1"/>
  <c r="DA686" i="1"/>
  <c r="CY686" i="1"/>
  <c r="CK686" i="1"/>
  <c r="CC686" i="1"/>
  <c r="EN686" i="1"/>
  <c r="CB686" i="1"/>
  <c r="AT686" i="1"/>
  <c r="O686" i="1"/>
  <c r="AT703" i="1"/>
  <c r="BA703" i="1"/>
  <c r="BH703" i="1"/>
  <c r="EW703" i="1"/>
  <c r="EU703" i="1"/>
  <c r="EV703" i="1"/>
  <c r="EP703" i="1"/>
  <c r="EM703" i="1"/>
  <c r="EL703" i="1"/>
  <c r="EE703" i="1"/>
  <c r="DU703" i="1"/>
  <c r="EQ703" i="1"/>
  <c r="DR703" i="1"/>
  <c r="ET703" i="1"/>
  <c r="DH703" i="1"/>
  <c r="DA703" i="1"/>
  <c r="CY703" i="1"/>
  <c r="CK703" i="1"/>
  <c r="CC703" i="1"/>
  <c r="EN703" i="1"/>
  <c r="CB703" i="1"/>
  <c r="O703" i="1"/>
  <c r="BH706" i="1"/>
  <c r="BA706" i="1"/>
  <c r="AT706" i="1"/>
  <c r="EW706" i="1"/>
  <c r="EU706" i="1"/>
  <c r="EV706" i="1"/>
  <c r="EP706" i="1"/>
  <c r="EM706" i="1"/>
  <c r="EL706" i="1"/>
  <c r="EE706" i="1"/>
  <c r="DU706" i="1"/>
  <c r="EQ706" i="1"/>
  <c r="DR706" i="1"/>
  <c r="ET706" i="1"/>
  <c r="DH706" i="1"/>
  <c r="DA706" i="1"/>
  <c r="CY706" i="1"/>
  <c r="CK706" i="1"/>
  <c r="CC706" i="1"/>
  <c r="EN706" i="1"/>
  <c r="CB706" i="1"/>
  <c r="O706" i="1"/>
  <c r="EL705" i="1"/>
  <c r="EM705" i="1"/>
  <c r="EP705" i="1"/>
  <c r="EU705" i="1"/>
  <c r="EV705" i="1"/>
  <c r="EW705" i="1"/>
  <c r="EE705" i="1"/>
  <c r="DU705" i="1"/>
  <c r="EQ705" i="1"/>
  <c r="DR705" i="1"/>
  <c r="ET705" i="1"/>
  <c r="DH705" i="1"/>
  <c r="CY705" i="1"/>
  <c r="DA705" i="1"/>
  <c r="DB705" i="1"/>
  <c r="CB705" i="1"/>
  <c r="CC705" i="1"/>
  <c r="EN705" i="1"/>
  <c r="BH705" i="1"/>
  <c r="BA705" i="1"/>
  <c r="AT705" i="1"/>
  <c r="O705" i="1"/>
  <c r="EL714" i="1"/>
  <c r="EM714" i="1"/>
  <c r="EP714" i="1"/>
  <c r="EU714" i="1"/>
  <c r="EV714" i="1"/>
  <c r="EW714" i="1"/>
  <c r="EE714" i="1"/>
  <c r="DU714" i="1"/>
  <c r="EQ714" i="1"/>
  <c r="DR714" i="1"/>
  <c r="ET714" i="1"/>
  <c r="DH714" i="1"/>
  <c r="CY714" i="1"/>
  <c r="DA714" i="1"/>
  <c r="CK714" i="1"/>
  <c r="DB714" i="1"/>
  <c r="CB714" i="1"/>
  <c r="CC714" i="1"/>
  <c r="EN714" i="1"/>
  <c r="BH714" i="1"/>
  <c r="BA714" i="1"/>
  <c r="AT714" i="1"/>
  <c r="O714" i="1"/>
  <c r="EW710" i="1"/>
  <c r="EU710" i="1"/>
  <c r="EV710" i="1"/>
  <c r="EP710" i="1"/>
  <c r="EM710" i="1"/>
  <c r="EL710" i="1"/>
  <c r="EE710" i="1"/>
  <c r="DU710" i="1"/>
  <c r="EQ710" i="1"/>
  <c r="DR710" i="1"/>
  <c r="ET710" i="1"/>
  <c r="DH710" i="1"/>
  <c r="DA710" i="1"/>
  <c r="CY710" i="1"/>
  <c r="CK710" i="1"/>
  <c r="CC710" i="1"/>
  <c r="EN710" i="1"/>
  <c r="CB710" i="1"/>
  <c r="BH710" i="1"/>
  <c r="BA710" i="1"/>
  <c r="AT710" i="1"/>
  <c r="O710" i="1"/>
  <c r="EW712" i="1"/>
  <c r="EU712" i="1"/>
  <c r="EV712" i="1"/>
  <c r="EP712" i="1"/>
  <c r="EM712" i="1"/>
  <c r="EL712" i="1"/>
  <c r="EE712" i="1"/>
  <c r="DU712" i="1"/>
  <c r="EQ712" i="1"/>
  <c r="DR712" i="1"/>
  <c r="ET712" i="1"/>
  <c r="DH712" i="1"/>
  <c r="DA712" i="1"/>
  <c r="CY712" i="1"/>
  <c r="CK712" i="1"/>
  <c r="CC712" i="1"/>
  <c r="EN712" i="1"/>
  <c r="CB712" i="1"/>
  <c r="BH712" i="1"/>
  <c r="BA712" i="1"/>
  <c r="AT712" i="1"/>
  <c r="O712" i="1"/>
  <c r="EW698" i="1"/>
  <c r="EU698" i="1"/>
  <c r="EV698" i="1"/>
  <c r="EP698" i="1"/>
  <c r="EM698" i="1"/>
  <c r="EL698" i="1"/>
  <c r="EE698" i="1"/>
  <c r="DU698" i="1"/>
  <c r="EQ698" i="1"/>
  <c r="DR698" i="1"/>
  <c r="ET698" i="1"/>
  <c r="DH698" i="1"/>
  <c r="DA698" i="1"/>
  <c r="CY698" i="1"/>
  <c r="CK698" i="1"/>
  <c r="CC698" i="1"/>
  <c r="EN698" i="1"/>
  <c r="CB698" i="1"/>
  <c r="BH698" i="1"/>
  <c r="BA698" i="1"/>
  <c r="AT698" i="1"/>
  <c r="O698" i="1"/>
  <c r="EL697" i="1"/>
  <c r="EM697" i="1"/>
  <c r="EP697" i="1"/>
  <c r="EU697" i="1"/>
  <c r="EV697" i="1"/>
  <c r="EW697" i="1"/>
  <c r="EE697" i="1"/>
  <c r="DU697" i="1"/>
  <c r="EQ697" i="1"/>
  <c r="DR697" i="1"/>
  <c r="ET697" i="1"/>
  <c r="DH697" i="1"/>
  <c r="CY697" i="1"/>
  <c r="DA697" i="1"/>
  <c r="CK697" i="1"/>
  <c r="DB697" i="1"/>
  <c r="CB697" i="1"/>
  <c r="CC697" i="1"/>
  <c r="EN697" i="1"/>
  <c r="BH697" i="1"/>
  <c r="BA697" i="1"/>
  <c r="AT697" i="1"/>
  <c r="O697" i="1"/>
  <c r="BH704" i="1"/>
  <c r="BA704" i="1"/>
  <c r="AT704" i="1"/>
  <c r="O704" i="1"/>
  <c r="EW704" i="1"/>
  <c r="EU704" i="1"/>
  <c r="EV704" i="1"/>
  <c r="EP704" i="1"/>
  <c r="EM704" i="1"/>
  <c r="EL704" i="1"/>
  <c r="EE704" i="1"/>
  <c r="DU704" i="1"/>
  <c r="EQ704" i="1"/>
  <c r="DR704" i="1"/>
  <c r="ET704" i="1"/>
  <c r="DH704" i="1"/>
  <c r="DA704" i="1"/>
  <c r="CY704" i="1"/>
  <c r="CK704" i="1"/>
  <c r="CC704" i="1"/>
  <c r="EN704" i="1"/>
  <c r="CB704" i="1"/>
  <c r="AT696" i="1"/>
  <c r="BA696" i="1"/>
  <c r="BH696" i="1"/>
  <c r="EW696" i="1"/>
  <c r="EU696" i="1"/>
  <c r="EV696" i="1"/>
  <c r="EP696" i="1"/>
  <c r="EM696" i="1"/>
  <c r="EL696" i="1"/>
  <c r="EE696" i="1"/>
  <c r="DU696" i="1"/>
  <c r="EQ696" i="1"/>
  <c r="DR696" i="1"/>
  <c r="ET696" i="1"/>
  <c r="DH696" i="1"/>
  <c r="DA696" i="1"/>
  <c r="CY696" i="1"/>
  <c r="CK696" i="1"/>
  <c r="CC696" i="1"/>
  <c r="EN696" i="1"/>
  <c r="CB696" i="1"/>
  <c r="O696" i="1"/>
  <c r="EW695" i="1"/>
  <c r="EU695" i="1"/>
  <c r="EV695" i="1"/>
  <c r="EP695" i="1"/>
  <c r="EM695" i="1"/>
  <c r="EL695" i="1"/>
  <c r="EE695" i="1"/>
  <c r="DU695" i="1"/>
  <c r="EQ695" i="1"/>
  <c r="DR695" i="1"/>
  <c r="ET695" i="1"/>
  <c r="DH695" i="1"/>
  <c r="DA695" i="1"/>
  <c r="CY695" i="1"/>
  <c r="CK695" i="1"/>
  <c r="CC695" i="1"/>
  <c r="EN695" i="1"/>
  <c r="CB695" i="1"/>
  <c r="BH695" i="1"/>
  <c r="BA695" i="1"/>
  <c r="AT695" i="1"/>
  <c r="O695" i="1"/>
  <c r="BA694" i="1"/>
  <c r="BH694" i="1"/>
  <c r="EW694" i="1"/>
  <c r="EU694" i="1"/>
  <c r="EV694" i="1"/>
  <c r="EP694" i="1"/>
  <c r="EM694" i="1"/>
  <c r="EL694" i="1"/>
  <c r="EE694" i="1"/>
  <c r="DU694" i="1"/>
  <c r="EQ694" i="1"/>
  <c r="DR694" i="1"/>
  <c r="ET694" i="1"/>
  <c r="DH694" i="1"/>
  <c r="DA694" i="1"/>
  <c r="CY694" i="1"/>
  <c r="CK694" i="1"/>
  <c r="CC694" i="1"/>
  <c r="EN694" i="1"/>
  <c r="CB694" i="1"/>
  <c r="AT694" i="1"/>
  <c r="O694" i="1"/>
  <c r="BH693" i="1"/>
  <c r="BA693" i="1"/>
  <c r="EW693" i="1"/>
  <c r="EU693" i="1"/>
  <c r="EV693" i="1"/>
  <c r="EP693" i="1"/>
  <c r="EM693" i="1"/>
  <c r="EL693" i="1"/>
  <c r="EE693" i="1"/>
  <c r="DU693" i="1"/>
  <c r="EQ693" i="1"/>
  <c r="DR693" i="1"/>
  <c r="ET693" i="1"/>
  <c r="DH693" i="1"/>
  <c r="DA693" i="1"/>
  <c r="CY693" i="1"/>
  <c r="CC693" i="1"/>
  <c r="EN693" i="1"/>
  <c r="CB693" i="1"/>
  <c r="AT693" i="1"/>
  <c r="O693" i="1"/>
  <c r="EW725" i="1"/>
  <c r="EU725" i="1"/>
  <c r="EV725" i="1"/>
  <c r="EP725" i="1"/>
  <c r="EM725" i="1"/>
  <c r="EL725" i="1"/>
  <c r="EE725" i="1"/>
  <c r="DU725" i="1"/>
  <c r="EQ725" i="1"/>
  <c r="DR725" i="1"/>
  <c r="ET725" i="1"/>
  <c r="DH725" i="1"/>
  <c r="DA725" i="1"/>
  <c r="CY725" i="1"/>
  <c r="CK725" i="1"/>
  <c r="CC725" i="1"/>
  <c r="EN725" i="1"/>
  <c r="CB725" i="1"/>
  <c r="BH725" i="1"/>
  <c r="BA725" i="1"/>
  <c r="AT725" i="1"/>
  <c r="O725" i="1"/>
  <c r="EW689" i="1"/>
  <c r="EU689" i="1"/>
  <c r="EV689" i="1"/>
  <c r="EP689" i="1"/>
  <c r="EM689" i="1"/>
  <c r="EL689" i="1"/>
  <c r="EE689" i="1"/>
  <c r="DU689" i="1"/>
  <c r="EQ689" i="1"/>
  <c r="DR689" i="1"/>
  <c r="ET689" i="1"/>
  <c r="DH689" i="1"/>
  <c r="DA689" i="1"/>
  <c r="CY689" i="1"/>
  <c r="CK689" i="1"/>
  <c r="CC689" i="1"/>
  <c r="EN689" i="1"/>
  <c r="CB689" i="1"/>
  <c r="BH689" i="1"/>
  <c r="AT689" i="1"/>
  <c r="O689" i="1"/>
  <c r="EW685" i="1"/>
  <c r="EU685" i="1"/>
  <c r="EV685" i="1"/>
  <c r="EP685" i="1"/>
  <c r="EM685" i="1"/>
  <c r="EL685" i="1"/>
  <c r="EE685" i="1"/>
  <c r="DU685" i="1"/>
  <c r="EQ685" i="1"/>
  <c r="DR685" i="1"/>
  <c r="ET685" i="1"/>
  <c r="DH685" i="1"/>
  <c r="DA685" i="1"/>
  <c r="CY685" i="1"/>
  <c r="CK685" i="1"/>
  <c r="CC685" i="1"/>
  <c r="EN685" i="1"/>
  <c r="CB685" i="1"/>
  <c r="BH685" i="1"/>
  <c r="BA685" i="1"/>
  <c r="AT685" i="1"/>
  <c r="O685" i="1"/>
  <c r="O733" i="1"/>
  <c r="CC678" i="1"/>
  <c r="EL700" i="1"/>
  <c r="EM700" i="1"/>
  <c r="EP700" i="1"/>
  <c r="EU700" i="1"/>
  <c r="EV700" i="1"/>
  <c r="EW700" i="1"/>
  <c r="EE700" i="1"/>
  <c r="DU700" i="1"/>
  <c r="EQ700" i="1"/>
  <c r="DR700" i="1"/>
  <c r="ET700" i="1"/>
  <c r="DH700" i="1"/>
  <c r="CY700" i="1"/>
  <c r="DA700" i="1"/>
  <c r="CK700" i="1"/>
  <c r="DB700" i="1"/>
  <c r="CB700" i="1"/>
  <c r="CC700" i="1"/>
  <c r="EN700" i="1"/>
  <c r="BH700" i="1"/>
  <c r="BA700" i="1"/>
  <c r="AT700" i="1"/>
  <c r="O700" i="1"/>
  <c r="BH717" i="1"/>
  <c r="BA717" i="1"/>
  <c r="EW717" i="1"/>
  <c r="EU717" i="1"/>
  <c r="EV717" i="1"/>
  <c r="EP717" i="1"/>
  <c r="EM717" i="1"/>
  <c r="EL717" i="1"/>
  <c r="EE717" i="1"/>
  <c r="DU717" i="1"/>
  <c r="EQ717" i="1"/>
  <c r="DR717" i="1"/>
  <c r="ET717" i="1"/>
  <c r="DH717" i="1"/>
  <c r="DA717" i="1"/>
  <c r="CY717" i="1"/>
  <c r="CK717" i="1"/>
  <c r="CC717" i="1"/>
  <c r="EN717" i="1"/>
  <c r="CB717" i="1"/>
  <c r="AT717" i="1"/>
  <c r="O717" i="1"/>
  <c r="BH746" i="1"/>
  <c r="BA746" i="1"/>
  <c r="AT746" i="1"/>
  <c r="EW746" i="1"/>
  <c r="EU746" i="1"/>
  <c r="EV746" i="1"/>
  <c r="EP746" i="1"/>
  <c r="EM746" i="1"/>
  <c r="EL746" i="1"/>
  <c r="EE746" i="1"/>
  <c r="DU746" i="1"/>
  <c r="EQ746" i="1"/>
  <c r="DR746" i="1"/>
  <c r="ET746" i="1"/>
  <c r="DH746" i="1"/>
  <c r="DA746" i="1"/>
  <c r="CY746" i="1"/>
  <c r="CK746" i="1"/>
  <c r="CC746" i="1"/>
  <c r="EN746" i="1"/>
  <c r="CB746" i="1"/>
  <c r="O746" i="1"/>
  <c r="EW681" i="1"/>
  <c r="EU681" i="1"/>
  <c r="EV681" i="1"/>
  <c r="EP681" i="1"/>
  <c r="EM681" i="1"/>
  <c r="EL681" i="1"/>
  <c r="EE681" i="1"/>
  <c r="DU681" i="1"/>
  <c r="EQ681" i="1"/>
  <c r="DR681" i="1"/>
  <c r="ET681" i="1"/>
  <c r="DH681" i="1"/>
  <c r="DA681" i="1"/>
  <c r="CY681" i="1"/>
  <c r="CC681" i="1"/>
  <c r="EN681" i="1"/>
  <c r="CB681" i="1"/>
  <c r="BH681" i="1"/>
  <c r="BA681" i="1"/>
  <c r="AT681" i="1"/>
  <c r="O681" i="1"/>
  <c r="DH678" i="1"/>
  <c r="BH678" i="1"/>
  <c r="BA678" i="1"/>
  <c r="AT678" i="1"/>
  <c r="EW687" i="1"/>
  <c r="EU687" i="1"/>
  <c r="EV687" i="1"/>
  <c r="EP687" i="1"/>
  <c r="EM687" i="1"/>
  <c r="EL687" i="1"/>
  <c r="EE687" i="1"/>
  <c r="DU687" i="1"/>
  <c r="EQ687" i="1"/>
  <c r="DR687" i="1"/>
  <c r="ET687" i="1"/>
  <c r="DH687" i="1"/>
  <c r="DA687" i="1"/>
  <c r="CY687" i="1"/>
  <c r="CK687" i="1"/>
  <c r="CC687" i="1"/>
  <c r="EN687" i="1"/>
  <c r="CB687" i="1"/>
  <c r="BH687" i="1"/>
  <c r="BA687" i="1"/>
  <c r="AT687" i="1"/>
  <c r="O687" i="1"/>
  <c r="EW701" i="1"/>
  <c r="EU701" i="1"/>
  <c r="EV701" i="1"/>
  <c r="EP701" i="1"/>
  <c r="EM701" i="1"/>
  <c r="EL701" i="1"/>
  <c r="EE701" i="1"/>
  <c r="DU701" i="1"/>
  <c r="EQ701" i="1"/>
  <c r="DR701" i="1"/>
  <c r="ET701" i="1"/>
  <c r="DH701" i="1"/>
  <c r="DA701" i="1"/>
  <c r="CY701" i="1"/>
  <c r="CK701" i="1"/>
  <c r="CC701" i="1"/>
  <c r="EN701" i="1"/>
  <c r="CB701" i="1"/>
  <c r="BH701" i="1"/>
  <c r="BA701" i="1"/>
  <c r="AT701" i="1"/>
  <c r="O701" i="1"/>
  <c r="EW675" i="1"/>
  <c r="EU675" i="1"/>
  <c r="EV675" i="1"/>
  <c r="EP675" i="1"/>
  <c r="EM675" i="1"/>
  <c r="EL675" i="1"/>
  <c r="EE675" i="1"/>
  <c r="DU675" i="1"/>
  <c r="EQ675" i="1"/>
  <c r="DR675" i="1"/>
  <c r="ET675" i="1"/>
  <c r="DH675" i="1"/>
  <c r="DA675" i="1"/>
  <c r="CY675" i="1"/>
  <c r="CK675" i="1"/>
  <c r="CC675" i="1"/>
  <c r="EN675" i="1"/>
  <c r="CB675" i="1"/>
  <c r="BH675" i="1"/>
  <c r="BA675" i="1"/>
  <c r="AT675" i="1"/>
  <c r="O675" i="1"/>
  <c r="AT669" i="1"/>
  <c r="EW671" i="1"/>
  <c r="EU671" i="1"/>
  <c r="EV671" i="1"/>
  <c r="EP671" i="1"/>
  <c r="EM671" i="1"/>
  <c r="EL671" i="1"/>
  <c r="EE671" i="1"/>
  <c r="DU671" i="1"/>
  <c r="EQ671" i="1"/>
  <c r="DR671" i="1"/>
  <c r="ET671" i="1"/>
  <c r="DH671" i="1"/>
  <c r="DA671" i="1"/>
  <c r="CY671" i="1"/>
  <c r="CK671" i="1"/>
  <c r="CC671" i="1"/>
  <c r="EN671" i="1"/>
  <c r="CB671" i="1"/>
  <c r="BH671" i="1"/>
  <c r="BA671" i="1"/>
  <c r="AT671" i="1"/>
  <c r="O671" i="1"/>
  <c r="EW674" i="1"/>
  <c r="EU674" i="1"/>
  <c r="EV674" i="1"/>
  <c r="EP674" i="1"/>
  <c r="EM674" i="1"/>
  <c r="EL674" i="1"/>
  <c r="EE674" i="1"/>
  <c r="DU674" i="1"/>
  <c r="EQ674" i="1"/>
  <c r="DR674" i="1"/>
  <c r="ET674" i="1"/>
  <c r="DH674" i="1"/>
  <c r="DA674" i="1"/>
  <c r="CY674" i="1"/>
  <c r="CK674" i="1"/>
  <c r="CC674" i="1"/>
  <c r="EN674" i="1"/>
  <c r="CB674" i="1"/>
  <c r="BH674" i="1"/>
  <c r="BA674" i="1"/>
  <c r="AT674" i="1"/>
  <c r="O674" i="1"/>
  <c r="EW664" i="1"/>
  <c r="EU664" i="1"/>
  <c r="EV664" i="1"/>
  <c r="EP664" i="1"/>
  <c r="EM664" i="1"/>
  <c r="EL664" i="1"/>
  <c r="EE664" i="1"/>
  <c r="DH664" i="1"/>
  <c r="DU664" i="1"/>
  <c r="EQ664" i="1"/>
  <c r="DR664" i="1"/>
  <c r="ET664" i="1"/>
  <c r="DA664" i="1"/>
  <c r="CY664" i="1"/>
  <c r="CK664" i="1"/>
  <c r="CC664" i="1"/>
  <c r="EN664" i="1"/>
  <c r="CB664" i="1"/>
  <c r="BH664" i="1"/>
  <c r="BA664" i="1"/>
  <c r="AT664" i="1"/>
  <c r="O664" i="1"/>
  <c r="DR543" i="1"/>
  <c r="EL667" i="1"/>
  <c r="EM667" i="1"/>
  <c r="EP667" i="1"/>
  <c r="EU667" i="1"/>
  <c r="EV667" i="1"/>
  <c r="EW667" i="1"/>
  <c r="EE667" i="1"/>
  <c r="DU667" i="1"/>
  <c r="EQ667" i="1"/>
  <c r="DR667" i="1"/>
  <c r="ET667" i="1"/>
  <c r="DH667" i="1"/>
  <c r="CY667" i="1"/>
  <c r="DA667" i="1"/>
  <c r="CK667" i="1"/>
  <c r="DB667" i="1"/>
  <c r="CB667" i="1"/>
  <c r="CC667" i="1"/>
  <c r="EN667" i="1"/>
  <c r="BH667" i="1"/>
  <c r="BA667" i="1"/>
  <c r="AT667" i="1"/>
  <c r="O667" i="1"/>
  <c r="EW668" i="1"/>
  <c r="EU668" i="1"/>
  <c r="EV668" i="1"/>
  <c r="EP668" i="1"/>
  <c r="EM668" i="1"/>
  <c r="EL668" i="1"/>
  <c r="EE668" i="1"/>
  <c r="DU668" i="1"/>
  <c r="EQ668" i="1"/>
  <c r="DR668" i="1"/>
  <c r="ET668" i="1"/>
  <c r="DH668" i="1"/>
  <c r="DA668" i="1"/>
  <c r="CY668" i="1"/>
  <c r="CK668" i="1"/>
  <c r="CC668" i="1"/>
  <c r="EN668" i="1"/>
  <c r="CB668" i="1"/>
  <c r="BH668" i="1"/>
  <c r="BA668" i="1"/>
  <c r="AT668" i="1"/>
  <c r="O668" i="1"/>
  <c r="EW680" i="1"/>
  <c r="EU680" i="1"/>
  <c r="EV680" i="1"/>
  <c r="EP680" i="1"/>
  <c r="EM680" i="1"/>
  <c r="EL680" i="1"/>
  <c r="EE680" i="1"/>
  <c r="DU680" i="1"/>
  <c r="EQ680" i="1"/>
  <c r="DR680" i="1"/>
  <c r="ET680" i="1"/>
  <c r="DH680" i="1"/>
  <c r="DA680" i="1"/>
  <c r="CY680" i="1"/>
  <c r="CK680" i="1"/>
  <c r="CC680" i="1"/>
  <c r="EN680" i="1"/>
  <c r="CB680" i="1"/>
  <c r="BH680" i="1"/>
  <c r="BA680" i="1"/>
  <c r="AT680" i="1"/>
  <c r="O680" i="1"/>
  <c r="EE516" i="1"/>
  <c r="EE477" i="1"/>
  <c r="EL676" i="1"/>
  <c r="EM676" i="1"/>
  <c r="EP676" i="1"/>
  <c r="EU676" i="1"/>
  <c r="EV676" i="1"/>
  <c r="EW676" i="1"/>
  <c r="EE676" i="1"/>
  <c r="DU676" i="1"/>
  <c r="EQ676" i="1"/>
  <c r="DR676" i="1"/>
  <c r="ET676" i="1"/>
  <c r="DH676" i="1"/>
  <c r="CY676" i="1"/>
  <c r="DA676" i="1"/>
  <c r="CK676" i="1"/>
  <c r="DB676" i="1"/>
  <c r="CB676" i="1"/>
  <c r="CC676" i="1"/>
  <c r="EN676" i="1"/>
  <c r="BH676" i="1"/>
  <c r="BA676" i="1"/>
  <c r="AT676" i="1"/>
  <c r="O676" i="1"/>
  <c r="CY570" i="1"/>
  <c r="EW672" i="1"/>
  <c r="EU672" i="1"/>
  <c r="EV672" i="1"/>
  <c r="EP672" i="1"/>
  <c r="EM672" i="1"/>
  <c r="EL672" i="1"/>
  <c r="EE672" i="1"/>
  <c r="DU672" i="1"/>
  <c r="EQ672" i="1"/>
  <c r="DR672" i="1"/>
  <c r="ET672" i="1"/>
  <c r="DH672" i="1"/>
  <c r="DA672" i="1"/>
  <c r="CY672" i="1"/>
  <c r="CK672" i="1"/>
  <c r="CC672" i="1"/>
  <c r="EN672" i="1"/>
  <c r="CB672" i="1"/>
  <c r="BH672" i="1"/>
  <c r="BA672" i="1"/>
  <c r="AT672" i="1"/>
  <c r="O672" i="1"/>
  <c r="EW666" i="1"/>
  <c r="EU666" i="1"/>
  <c r="EV666" i="1"/>
  <c r="EP666" i="1"/>
  <c r="EM666" i="1"/>
  <c r="EL666" i="1"/>
  <c r="EE666" i="1"/>
  <c r="DU666" i="1"/>
  <c r="EQ666" i="1"/>
  <c r="DR666" i="1"/>
  <c r="ET666" i="1"/>
  <c r="DH666" i="1"/>
  <c r="DA666" i="1"/>
  <c r="CY666" i="1"/>
  <c r="CK666" i="1"/>
  <c r="CC666" i="1"/>
  <c r="EN666" i="1"/>
  <c r="CB666" i="1"/>
  <c r="BH666" i="1"/>
  <c r="BA666" i="1"/>
  <c r="AT666" i="1"/>
  <c r="O666" i="1"/>
  <c r="EW669" i="1"/>
  <c r="EU669" i="1"/>
  <c r="EV669" i="1"/>
  <c r="EP669" i="1"/>
  <c r="EM669" i="1"/>
  <c r="EL669" i="1"/>
  <c r="EE669" i="1"/>
  <c r="DU669" i="1"/>
  <c r="EQ669" i="1"/>
  <c r="DR669" i="1"/>
  <c r="ET669" i="1"/>
  <c r="DH669" i="1"/>
  <c r="DA669" i="1"/>
  <c r="CY669" i="1"/>
  <c r="CK669" i="1"/>
  <c r="CC669" i="1"/>
  <c r="EN669" i="1"/>
  <c r="CB669" i="1"/>
  <c r="BH669" i="1"/>
  <c r="BA669" i="1"/>
  <c r="O669" i="1"/>
  <c r="EW663" i="1"/>
  <c r="EU663" i="1"/>
  <c r="EV663" i="1"/>
  <c r="EP663" i="1"/>
  <c r="EM663" i="1"/>
  <c r="EL663" i="1"/>
  <c r="EE663" i="1"/>
  <c r="DU663" i="1"/>
  <c r="EQ663" i="1"/>
  <c r="DR663" i="1"/>
  <c r="ET663" i="1"/>
  <c r="DH663" i="1"/>
  <c r="DA663" i="1"/>
  <c r="CY663" i="1"/>
  <c r="CK663" i="1"/>
  <c r="CC663" i="1"/>
  <c r="EN663" i="1"/>
  <c r="CB663" i="1"/>
  <c r="BH663" i="1"/>
  <c r="BA663" i="1"/>
  <c r="AT663" i="1"/>
  <c r="O663" i="1"/>
  <c r="EW658" i="1"/>
  <c r="EU658" i="1"/>
  <c r="EV658" i="1"/>
  <c r="EP658" i="1"/>
  <c r="EM658" i="1"/>
  <c r="EL658" i="1"/>
  <c r="EE658" i="1"/>
  <c r="DU658" i="1"/>
  <c r="EQ658" i="1"/>
  <c r="DR658" i="1"/>
  <c r="ET658" i="1"/>
  <c r="DH658" i="1"/>
  <c r="DA658" i="1"/>
  <c r="CY658" i="1"/>
  <c r="CK658" i="1"/>
  <c r="CC658" i="1"/>
  <c r="EN658" i="1"/>
  <c r="CB658" i="1"/>
  <c r="BH658" i="1"/>
  <c r="BA658" i="1"/>
  <c r="AT658" i="1"/>
  <c r="O658" i="1"/>
  <c r="AT653" i="1"/>
  <c r="BA653" i="1"/>
  <c r="BH653" i="1"/>
  <c r="AT654" i="1"/>
  <c r="BA654" i="1"/>
  <c r="BH654" i="1"/>
  <c r="AT655" i="1"/>
  <c r="BA655" i="1"/>
  <c r="BH655" i="1"/>
  <c r="AT652" i="1"/>
  <c r="EW655" i="1"/>
  <c r="EU655" i="1"/>
  <c r="EV655" i="1"/>
  <c r="EP655" i="1"/>
  <c r="EM655" i="1"/>
  <c r="EL655" i="1"/>
  <c r="EE655" i="1"/>
  <c r="DU655" i="1"/>
  <c r="EQ655" i="1"/>
  <c r="DR655" i="1"/>
  <c r="ET655" i="1"/>
  <c r="DH655" i="1"/>
  <c r="DA655" i="1"/>
  <c r="CY655" i="1"/>
  <c r="CK655" i="1"/>
  <c r="CC655" i="1"/>
  <c r="EN655" i="1"/>
  <c r="O655" i="1"/>
  <c r="EW654" i="1"/>
  <c r="EU654" i="1"/>
  <c r="EV654" i="1"/>
  <c r="EP654" i="1"/>
  <c r="EM654" i="1"/>
  <c r="EL654" i="1"/>
  <c r="EE654" i="1"/>
  <c r="DU654" i="1"/>
  <c r="EQ654" i="1"/>
  <c r="DR654" i="1"/>
  <c r="ET654" i="1"/>
  <c r="DH654" i="1"/>
  <c r="DA654" i="1"/>
  <c r="CY654" i="1"/>
  <c r="CK654" i="1"/>
  <c r="CC654" i="1"/>
  <c r="EN654" i="1"/>
  <c r="CB654" i="1"/>
  <c r="O654" i="1"/>
  <c r="EW653" i="1"/>
  <c r="EU653" i="1"/>
  <c r="EV653" i="1"/>
  <c r="EP653" i="1"/>
  <c r="EM653" i="1"/>
  <c r="EL653" i="1"/>
  <c r="EE653" i="1"/>
  <c r="DU653" i="1"/>
  <c r="EQ653" i="1"/>
  <c r="DR653" i="1"/>
  <c r="ET653" i="1"/>
  <c r="DH653" i="1"/>
  <c r="DA653" i="1"/>
  <c r="CY653" i="1"/>
  <c r="CK653" i="1"/>
  <c r="CC653" i="1"/>
  <c r="EN653" i="1"/>
  <c r="CB653" i="1"/>
  <c r="O653" i="1"/>
  <c r="EW652" i="1"/>
  <c r="EU652" i="1"/>
  <c r="EV652" i="1"/>
  <c r="EP652" i="1"/>
  <c r="EM652" i="1"/>
  <c r="EL652" i="1"/>
  <c r="EE652" i="1"/>
  <c r="DU652" i="1"/>
  <c r="EQ652" i="1"/>
  <c r="DR652" i="1"/>
  <c r="ET652" i="1"/>
  <c r="DH652" i="1"/>
  <c r="DA652" i="1"/>
  <c r="CY652" i="1"/>
  <c r="CK652" i="1"/>
  <c r="CC652" i="1"/>
  <c r="EN652" i="1"/>
  <c r="CB652" i="1"/>
  <c r="BH652" i="1"/>
  <c r="BA652" i="1"/>
  <c r="O652" i="1"/>
  <c r="EW702" i="1"/>
  <c r="EU702" i="1"/>
  <c r="EV702" i="1"/>
  <c r="EP702" i="1"/>
  <c r="EM702" i="1"/>
  <c r="EL702" i="1"/>
  <c r="EE702" i="1"/>
  <c r="DU702" i="1"/>
  <c r="EQ702" i="1"/>
  <c r="DR702" i="1"/>
  <c r="ET702" i="1"/>
  <c r="DH702" i="1"/>
  <c r="DA702" i="1"/>
  <c r="CY702" i="1"/>
  <c r="CK702" i="1"/>
  <c r="CC702" i="1"/>
  <c r="EN702" i="1"/>
  <c r="CB702" i="1"/>
  <c r="BH702" i="1"/>
  <c r="BA702" i="1"/>
  <c r="AT702" i="1"/>
  <c r="O702" i="1"/>
  <c r="BH692" i="1"/>
  <c r="EW692" i="1"/>
  <c r="EU692" i="1"/>
  <c r="EV692" i="1"/>
  <c r="EP692" i="1"/>
  <c r="EM692" i="1"/>
  <c r="EL692" i="1"/>
  <c r="EE692" i="1"/>
  <c r="DU692" i="1"/>
  <c r="EQ692" i="1"/>
  <c r="DR692" i="1"/>
  <c r="ET692" i="1"/>
  <c r="DH692" i="1"/>
  <c r="DA692" i="1"/>
  <c r="CY692" i="1"/>
  <c r="CK692" i="1"/>
  <c r="CC692" i="1"/>
  <c r="EN692" i="1"/>
  <c r="CB692" i="1"/>
  <c r="BA692" i="1"/>
  <c r="AT692" i="1"/>
  <c r="O692" i="1"/>
  <c r="EW720" i="1"/>
  <c r="EU720" i="1"/>
  <c r="EV720" i="1"/>
  <c r="EP720" i="1"/>
  <c r="EM720" i="1"/>
  <c r="EL720" i="1"/>
  <c r="EE720" i="1"/>
  <c r="DU720" i="1"/>
  <c r="EQ720" i="1"/>
  <c r="DR720" i="1"/>
  <c r="ET720" i="1"/>
  <c r="DH720" i="1"/>
  <c r="DA720" i="1"/>
  <c r="CY720" i="1"/>
  <c r="CC720" i="1"/>
  <c r="EN720" i="1"/>
  <c r="CB720" i="1"/>
  <c r="BH720" i="1"/>
  <c r="BA720" i="1"/>
  <c r="AT720" i="1"/>
  <c r="O720" i="1"/>
  <c r="EE523" i="1"/>
  <c r="EE488" i="1"/>
  <c r="EW641" i="1"/>
  <c r="EU641" i="1"/>
  <c r="EV641" i="1"/>
  <c r="EP641" i="1"/>
  <c r="EM641" i="1"/>
  <c r="EL641" i="1"/>
  <c r="EE641" i="1"/>
  <c r="DU641" i="1"/>
  <c r="EQ641" i="1"/>
  <c r="DR641" i="1"/>
  <c r="ET641" i="1"/>
  <c r="DH641" i="1"/>
  <c r="DA641" i="1"/>
  <c r="CY641" i="1"/>
  <c r="CK641" i="1"/>
  <c r="CC641" i="1"/>
  <c r="EN641" i="1"/>
  <c r="CB641" i="1"/>
  <c r="BH641" i="1"/>
  <c r="BA641" i="1"/>
  <c r="AT641" i="1"/>
  <c r="O641" i="1"/>
  <c r="EW657" i="1"/>
  <c r="EU657" i="1"/>
  <c r="EV657" i="1"/>
  <c r="EP657" i="1"/>
  <c r="EM657" i="1"/>
  <c r="EL657" i="1"/>
  <c r="EE657" i="1"/>
  <c r="DU657" i="1"/>
  <c r="EQ657" i="1"/>
  <c r="DR657" i="1"/>
  <c r="ET657" i="1"/>
  <c r="DH657" i="1"/>
  <c r="DA657" i="1"/>
  <c r="CY657" i="1"/>
  <c r="CK657" i="1"/>
  <c r="CC657" i="1"/>
  <c r="EN657" i="1"/>
  <c r="CB657" i="1"/>
  <c r="BH657" i="1"/>
  <c r="BA657" i="1"/>
  <c r="AT657" i="1"/>
  <c r="O657" i="1"/>
  <c r="EW616" i="1"/>
  <c r="EU616" i="1"/>
  <c r="EV616" i="1"/>
  <c r="EP616" i="1"/>
  <c r="EM616" i="1"/>
  <c r="EL616" i="1"/>
  <c r="EE616" i="1"/>
  <c r="DU616" i="1"/>
  <c r="EQ616" i="1"/>
  <c r="DR616" i="1"/>
  <c r="ET616" i="1"/>
  <c r="DH616" i="1"/>
  <c r="DA616" i="1"/>
  <c r="CY616" i="1"/>
  <c r="CK616" i="1"/>
  <c r="CC616" i="1"/>
  <c r="EN616" i="1"/>
  <c r="CB616" i="1"/>
  <c r="BH616" i="1"/>
  <c r="BA616" i="1"/>
  <c r="AT616" i="1"/>
  <c r="O616" i="1"/>
  <c r="EW644" i="1"/>
  <c r="EU644" i="1"/>
  <c r="EV644" i="1"/>
  <c r="EP644" i="1"/>
  <c r="EM644" i="1"/>
  <c r="EL644" i="1"/>
  <c r="EE644" i="1"/>
  <c r="DU644" i="1"/>
  <c r="EQ644" i="1"/>
  <c r="DR644" i="1"/>
  <c r="ET644" i="1"/>
  <c r="DH644" i="1"/>
  <c r="DA644" i="1"/>
  <c r="CY644" i="1"/>
  <c r="CK644" i="1"/>
  <c r="CC644" i="1"/>
  <c r="EN644" i="1"/>
  <c r="CB644" i="1"/>
  <c r="BA644" i="1"/>
  <c r="AT644" i="1"/>
  <c r="O644" i="1"/>
  <c r="EW650" i="1"/>
  <c r="EU650" i="1"/>
  <c r="EV650" i="1"/>
  <c r="EP650" i="1"/>
  <c r="EM650" i="1"/>
  <c r="EL650" i="1"/>
  <c r="EE650" i="1"/>
  <c r="DU650" i="1"/>
  <c r="EQ650" i="1"/>
  <c r="DR650" i="1"/>
  <c r="ET650" i="1"/>
  <c r="DH650" i="1"/>
  <c r="DA650" i="1"/>
  <c r="CY650" i="1"/>
  <c r="CK650" i="1"/>
  <c r="CC650" i="1"/>
  <c r="EN650" i="1"/>
  <c r="CB650" i="1"/>
  <c r="BH650" i="1"/>
  <c r="BA650" i="1"/>
  <c r="AT650" i="1"/>
  <c r="O650" i="1"/>
  <c r="BH642" i="1"/>
  <c r="BA642" i="1"/>
  <c r="AT642" i="1"/>
  <c r="EW642" i="1"/>
  <c r="EU642" i="1"/>
  <c r="EV642" i="1"/>
  <c r="EP642" i="1"/>
  <c r="EM642" i="1"/>
  <c r="EL642" i="1"/>
  <c r="EE642" i="1"/>
  <c r="DU642" i="1"/>
  <c r="EQ642" i="1"/>
  <c r="DR642" i="1"/>
  <c r="ET642" i="1"/>
  <c r="DH642" i="1"/>
  <c r="DA642" i="1"/>
  <c r="CY642" i="1"/>
  <c r="CK642" i="1"/>
  <c r="CC642" i="1"/>
  <c r="EN642" i="1"/>
  <c r="CB642" i="1"/>
  <c r="O642" i="1"/>
  <c r="EW691" i="1"/>
  <c r="EU691" i="1"/>
  <c r="EV691" i="1"/>
  <c r="EP691" i="1"/>
  <c r="EM691" i="1"/>
  <c r="EL691" i="1"/>
  <c r="EE691" i="1"/>
  <c r="DU691" i="1"/>
  <c r="EQ691" i="1"/>
  <c r="DR691" i="1"/>
  <c r="ET691" i="1"/>
  <c r="DH691" i="1"/>
  <c r="DA691" i="1"/>
  <c r="CY691" i="1"/>
  <c r="CK691" i="1"/>
  <c r="CC691" i="1"/>
  <c r="EN691" i="1"/>
  <c r="CB691" i="1"/>
  <c r="BH691" i="1"/>
  <c r="BA691" i="1"/>
  <c r="AT691" i="1"/>
  <c r="O691" i="1"/>
  <c r="EW643" i="1"/>
  <c r="EU643" i="1"/>
  <c r="EV643" i="1"/>
  <c r="EP643" i="1"/>
  <c r="EM643" i="1"/>
  <c r="EL643" i="1"/>
  <c r="EE643" i="1"/>
  <c r="DU643" i="1"/>
  <c r="EQ643" i="1"/>
  <c r="DR643" i="1"/>
  <c r="ET643" i="1"/>
  <c r="DH643" i="1"/>
  <c r="DA643" i="1"/>
  <c r="CY643" i="1"/>
  <c r="CK643" i="1"/>
  <c r="CC643" i="1"/>
  <c r="EN643" i="1"/>
  <c r="CB643" i="1"/>
  <c r="BH643" i="1"/>
  <c r="BA643" i="1"/>
  <c r="AT643" i="1"/>
  <c r="O643" i="1"/>
  <c r="EW662" i="1"/>
  <c r="EU662" i="1"/>
  <c r="EV662" i="1"/>
  <c r="EP662" i="1"/>
  <c r="EM662" i="1"/>
  <c r="EL662" i="1"/>
  <c r="EE662" i="1"/>
  <c r="DU662" i="1"/>
  <c r="EQ662" i="1"/>
  <c r="DR662" i="1"/>
  <c r="ET662" i="1"/>
  <c r="DH662" i="1"/>
  <c r="DA662" i="1"/>
  <c r="CY662" i="1"/>
  <c r="CK662" i="1"/>
  <c r="CC662" i="1"/>
  <c r="EN662" i="1"/>
  <c r="CB662" i="1"/>
  <c r="BH662" i="1"/>
  <c r="BA662" i="1"/>
  <c r="AT662" i="1"/>
  <c r="O662" i="1"/>
  <c r="EW673" i="1"/>
  <c r="EU673" i="1"/>
  <c r="EV673" i="1"/>
  <c r="EP673" i="1"/>
  <c r="EM673" i="1"/>
  <c r="EL673" i="1"/>
  <c r="EE673" i="1"/>
  <c r="DU673" i="1"/>
  <c r="EQ673" i="1"/>
  <c r="DR673" i="1"/>
  <c r="ET673" i="1"/>
  <c r="DH673" i="1"/>
  <c r="DA673" i="1"/>
  <c r="CY673" i="1"/>
  <c r="CK673" i="1"/>
  <c r="CC673" i="1"/>
  <c r="EN673" i="1"/>
  <c r="CB673" i="1"/>
  <c r="BH673" i="1"/>
  <c r="BA673" i="1"/>
  <c r="AT673" i="1"/>
  <c r="O673" i="1"/>
  <c r="EW636" i="1"/>
  <c r="EU636" i="1"/>
  <c r="EV636" i="1"/>
  <c r="EP636" i="1"/>
  <c r="EM636" i="1"/>
  <c r="EL636" i="1"/>
  <c r="EE636" i="1"/>
  <c r="DU636" i="1"/>
  <c r="EQ636" i="1"/>
  <c r="DR636" i="1"/>
  <c r="ET636" i="1"/>
  <c r="DH636" i="1"/>
  <c r="DA636" i="1"/>
  <c r="CY636" i="1"/>
  <c r="CK636" i="1"/>
  <c r="CC636" i="1"/>
  <c r="EN636" i="1"/>
  <c r="BH636" i="1"/>
  <c r="BA636" i="1"/>
  <c r="AT636" i="1"/>
  <c r="O636" i="1"/>
  <c r="CB580" i="1"/>
  <c r="CC580" i="1"/>
  <c r="EL639" i="1"/>
  <c r="EM639" i="1"/>
  <c r="EP639" i="1"/>
  <c r="EU639" i="1"/>
  <c r="EV639" i="1"/>
  <c r="EW639" i="1"/>
  <c r="EE639" i="1"/>
  <c r="DU639" i="1"/>
  <c r="EQ639" i="1"/>
  <c r="DR639" i="1"/>
  <c r="ET639" i="1"/>
  <c r="DH639" i="1"/>
  <c r="CY639" i="1"/>
  <c r="DA639" i="1"/>
  <c r="CK639" i="1"/>
  <c r="DB639" i="1"/>
  <c r="CB639" i="1"/>
  <c r="CC639" i="1"/>
  <c r="EN639" i="1"/>
  <c r="BH639" i="1"/>
  <c r="BA639" i="1"/>
  <c r="AT639" i="1"/>
  <c r="O639" i="1"/>
  <c r="EW638" i="1"/>
  <c r="EU638" i="1"/>
  <c r="EV638" i="1"/>
  <c r="EP638" i="1"/>
  <c r="EM638" i="1"/>
  <c r="EL638" i="1"/>
  <c r="EE638" i="1"/>
  <c r="DU638" i="1"/>
  <c r="EQ638" i="1"/>
  <c r="DR638" i="1"/>
  <c r="ET638" i="1"/>
  <c r="DH638" i="1"/>
  <c r="DA638" i="1"/>
  <c r="CY638" i="1"/>
  <c r="CK638" i="1"/>
  <c r="CC638" i="1"/>
  <c r="EN638" i="1"/>
  <c r="CB638" i="1"/>
  <c r="BH638" i="1"/>
  <c r="BA638" i="1"/>
  <c r="AT638" i="1"/>
  <c r="O638" i="1"/>
  <c r="EW640" i="1"/>
  <c r="EU640" i="1"/>
  <c r="EV640" i="1"/>
  <c r="EP640" i="1"/>
  <c r="EM640" i="1"/>
  <c r="EL640" i="1"/>
  <c r="EE640" i="1"/>
  <c r="DU640" i="1"/>
  <c r="EQ640" i="1"/>
  <c r="DR640" i="1"/>
  <c r="ET640" i="1"/>
  <c r="DH640" i="1"/>
  <c r="DA640" i="1"/>
  <c r="CY640" i="1"/>
  <c r="CK640" i="1"/>
  <c r="CC640" i="1"/>
  <c r="EN640" i="1"/>
  <c r="CB640" i="1"/>
  <c r="BH640" i="1"/>
  <c r="BA640" i="1"/>
  <c r="AT640" i="1"/>
  <c r="O640" i="1"/>
  <c r="EW648" i="1"/>
  <c r="EP648" i="1"/>
  <c r="EM648" i="1"/>
  <c r="EL648" i="1"/>
  <c r="EE648" i="1"/>
  <c r="DH648" i="1"/>
  <c r="DU648" i="1"/>
  <c r="EQ648" i="1"/>
  <c r="DR648" i="1"/>
  <c r="ET648" i="1"/>
  <c r="DA648" i="1"/>
  <c r="CY648" i="1"/>
  <c r="EU648" i="1"/>
  <c r="EV648" i="1"/>
  <c r="CC648" i="1"/>
  <c r="EN648" i="1"/>
  <c r="CB648" i="1"/>
  <c r="BH648" i="1"/>
  <c r="BA648" i="1"/>
  <c r="AT648" i="1"/>
  <c r="O648" i="1"/>
  <c r="EW627" i="1"/>
  <c r="EU627" i="1"/>
  <c r="EV627" i="1"/>
  <c r="EP627" i="1"/>
  <c r="EM627" i="1"/>
  <c r="EL627" i="1"/>
  <c r="EE627" i="1"/>
  <c r="DU627" i="1"/>
  <c r="EQ627" i="1"/>
  <c r="DR627" i="1"/>
  <c r="ET627" i="1"/>
  <c r="DH627" i="1"/>
  <c r="DA627" i="1"/>
  <c r="CY627" i="1"/>
  <c r="CK627" i="1"/>
  <c r="CC627" i="1"/>
  <c r="EN627" i="1"/>
  <c r="CB627" i="1"/>
  <c r="BH627" i="1"/>
  <c r="BA627" i="1"/>
  <c r="AT627" i="1"/>
  <c r="O627" i="1"/>
  <c r="EW632" i="1"/>
  <c r="EU632" i="1"/>
  <c r="EV632" i="1"/>
  <c r="EP632" i="1"/>
  <c r="EM632" i="1"/>
  <c r="EL632" i="1"/>
  <c r="EE632" i="1"/>
  <c r="DU632" i="1"/>
  <c r="EQ632" i="1"/>
  <c r="DR632" i="1"/>
  <c r="ET632" i="1"/>
  <c r="DH632" i="1"/>
  <c r="DA632" i="1"/>
  <c r="CY632" i="1"/>
  <c r="CK632" i="1"/>
  <c r="CC632" i="1"/>
  <c r="EN632" i="1"/>
  <c r="CB632" i="1"/>
  <c r="BH632" i="1"/>
  <c r="BA632" i="1"/>
  <c r="AT632" i="1"/>
  <c r="O632" i="1"/>
  <c r="BA629" i="1"/>
  <c r="EW629" i="1"/>
  <c r="EU629" i="1"/>
  <c r="EV629" i="1"/>
  <c r="EP629" i="1"/>
  <c r="EM629" i="1"/>
  <c r="EL629" i="1"/>
  <c r="EE629" i="1"/>
  <c r="DU629" i="1"/>
  <c r="EQ629" i="1"/>
  <c r="DR629" i="1"/>
  <c r="ET629" i="1"/>
  <c r="DH629" i="1"/>
  <c r="DA629" i="1"/>
  <c r="CY629" i="1"/>
  <c r="CK629" i="1"/>
  <c r="CC629" i="1"/>
  <c r="EN629" i="1"/>
  <c r="CB629" i="1"/>
  <c r="BH629" i="1"/>
  <c r="AT629" i="1"/>
  <c r="O629" i="1"/>
  <c r="EW625" i="1"/>
  <c r="EU625" i="1"/>
  <c r="EV625" i="1"/>
  <c r="EP625" i="1"/>
  <c r="EM625" i="1"/>
  <c r="EL625" i="1"/>
  <c r="EE625" i="1"/>
  <c r="DU625" i="1"/>
  <c r="EQ625" i="1"/>
  <c r="DR625" i="1"/>
  <c r="ET625" i="1"/>
  <c r="DH625" i="1"/>
  <c r="DA625" i="1"/>
  <c r="CY625" i="1"/>
  <c r="CK625" i="1"/>
  <c r="CC625" i="1"/>
  <c r="EN625" i="1"/>
  <c r="CB625" i="1"/>
  <c r="BH625" i="1"/>
  <c r="BA625" i="1"/>
  <c r="AT625" i="1"/>
  <c r="O625" i="1"/>
  <c r="BA647" i="1"/>
  <c r="AT647" i="1"/>
  <c r="O647" i="1"/>
  <c r="EW647" i="1"/>
  <c r="EU647" i="1"/>
  <c r="EV647" i="1"/>
  <c r="EP647" i="1"/>
  <c r="EM647" i="1"/>
  <c r="EL647" i="1"/>
  <c r="EE647" i="1"/>
  <c r="DU647" i="1"/>
  <c r="EQ647" i="1"/>
  <c r="DR647" i="1"/>
  <c r="ET647" i="1"/>
  <c r="DH647" i="1"/>
  <c r="DA647" i="1"/>
  <c r="CY647" i="1"/>
  <c r="CC647" i="1"/>
  <c r="EN647" i="1"/>
  <c r="CB647" i="1"/>
  <c r="EW645" i="1"/>
  <c r="EU645" i="1"/>
  <c r="EV645" i="1"/>
  <c r="EP645" i="1"/>
  <c r="EM645" i="1"/>
  <c r="EL645" i="1"/>
  <c r="EE645" i="1"/>
  <c r="DU645" i="1"/>
  <c r="EQ645" i="1"/>
  <c r="DR645" i="1"/>
  <c r="ET645" i="1"/>
  <c r="DH645" i="1"/>
  <c r="CC645" i="1"/>
  <c r="EN645" i="1"/>
  <c r="CB645" i="1"/>
  <c r="BA645" i="1"/>
  <c r="AT645" i="1"/>
  <c r="O645" i="1"/>
  <c r="EW628" i="1"/>
  <c r="EU628" i="1"/>
  <c r="EV628" i="1"/>
  <c r="EP628" i="1"/>
  <c r="EM628" i="1"/>
  <c r="EL628" i="1"/>
  <c r="EE628" i="1"/>
  <c r="DU628" i="1"/>
  <c r="EQ628" i="1"/>
  <c r="DR628" i="1"/>
  <c r="ET628" i="1"/>
  <c r="DH628" i="1"/>
  <c r="DA628" i="1"/>
  <c r="CY628" i="1"/>
  <c r="CK628" i="1"/>
  <c r="CC628" i="1"/>
  <c r="EN628" i="1"/>
  <c r="CB628" i="1"/>
  <c r="BH628" i="1"/>
  <c r="BA628" i="1"/>
  <c r="AT628" i="1"/>
  <c r="O628" i="1"/>
  <c r="BH679" i="1"/>
  <c r="EW679" i="1"/>
  <c r="EU679" i="1"/>
  <c r="EV679" i="1"/>
  <c r="EP679" i="1"/>
  <c r="EM679" i="1"/>
  <c r="EL679" i="1"/>
  <c r="EE679" i="1"/>
  <c r="DU679" i="1"/>
  <c r="EQ679" i="1"/>
  <c r="DR679" i="1"/>
  <c r="ET679" i="1"/>
  <c r="DH679" i="1"/>
  <c r="DA679" i="1"/>
  <c r="CY679" i="1"/>
  <c r="CK679" i="1"/>
  <c r="CC679" i="1"/>
  <c r="EN679" i="1"/>
  <c r="CB679" i="1"/>
  <c r="BA679" i="1"/>
  <c r="AT679" i="1"/>
  <c r="O679" i="1"/>
  <c r="EW634" i="1"/>
  <c r="EU634" i="1"/>
  <c r="EV634" i="1"/>
  <c r="EP634" i="1"/>
  <c r="EM634" i="1"/>
  <c r="EL634" i="1"/>
  <c r="EE634" i="1"/>
  <c r="DU634" i="1"/>
  <c r="EQ634" i="1"/>
  <c r="DR634" i="1"/>
  <c r="ET634" i="1"/>
  <c r="DH634" i="1"/>
  <c r="DA634" i="1"/>
  <c r="CY634" i="1"/>
  <c r="CK634" i="1"/>
  <c r="CC634" i="1"/>
  <c r="EN634" i="1"/>
  <c r="CB634" i="1"/>
  <c r="BH634" i="1"/>
  <c r="BA634" i="1"/>
  <c r="AT634" i="1"/>
  <c r="O634" i="1"/>
  <c r="BH635" i="1"/>
  <c r="O635" i="1"/>
  <c r="EL635" i="1"/>
  <c r="EM635" i="1"/>
  <c r="EN635" i="1"/>
  <c r="EP635" i="1"/>
  <c r="EQ635" i="1"/>
  <c r="ET635" i="1"/>
  <c r="EU635" i="1"/>
  <c r="EV635" i="1"/>
  <c r="EW635" i="1"/>
  <c r="EE635" i="1"/>
  <c r="DU635" i="1"/>
  <c r="DR635" i="1"/>
  <c r="DH635" i="1"/>
  <c r="CY635" i="1"/>
  <c r="DA635" i="1"/>
  <c r="CK635" i="1"/>
  <c r="DB635" i="1"/>
  <c r="CB635" i="1"/>
  <c r="CC635" i="1"/>
  <c r="BA635" i="1"/>
  <c r="AT635" i="1"/>
  <c r="BH633" i="1"/>
  <c r="BA633" i="1"/>
  <c r="EL633" i="1"/>
  <c r="EM633" i="1"/>
  <c r="EN633" i="1"/>
  <c r="EP633" i="1"/>
  <c r="EQ633" i="1"/>
  <c r="ET633" i="1"/>
  <c r="EU633" i="1"/>
  <c r="EV633" i="1"/>
  <c r="EW633" i="1"/>
  <c r="EE633" i="1"/>
  <c r="DU633" i="1"/>
  <c r="DR633" i="1"/>
  <c r="DH633" i="1"/>
  <c r="CY633" i="1"/>
  <c r="DA633" i="1"/>
  <c r="CK633" i="1"/>
  <c r="DB633" i="1"/>
  <c r="CB633" i="1"/>
  <c r="CC633" i="1"/>
  <c r="AT633" i="1"/>
  <c r="O633" i="1"/>
  <c r="EW623" i="1"/>
  <c r="EU623" i="1"/>
  <c r="EV623" i="1"/>
  <c r="EP623" i="1"/>
  <c r="EM623" i="1"/>
  <c r="EL623" i="1"/>
  <c r="EE623" i="1"/>
  <c r="DU623" i="1"/>
  <c r="EQ623" i="1"/>
  <c r="DR623" i="1"/>
  <c r="ET623" i="1"/>
  <c r="DH623" i="1"/>
  <c r="DA623" i="1"/>
  <c r="CY623" i="1"/>
  <c r="CK623" i="1"/>
  <c r="CC623" i="1"/>
  <c r="EN623" i="1"/>
  <c r="CB623" i="1"/>
  <c r="BH623" i="1"/>
  <c r="BA623" i="1"/>
  <c r="AT623" i="1"/>
  <c r="O623" i="1"/>
  <c r="EW637" i="1"/>
  <c r="EU637" i="1"/>
  <c r="EV637" i="1"/>
  <c r="EP637" i="1"/>
  <c r="EM637" i="1"/>
  <c r="EL637" i="1"/>
  <c r="EE637" i="1"/>
  <c r="DU637" i="1"/>
  <c r="EQ637" i="1"/>
  <c r="DR637" i="1"/>
  <c r="ET637" i="1"/>
  <c r="DH637" i="1"/>
  <c r="DA637" i="1"/>
  <c r="CY637" i="1"/>
  <c r="CK637" i="1"/>
  <c r="CC637" i="1"/>
  <c r="EN637" i="1"/>
  <c r="CB637" i="1"/>
  <c r="BH637" i="1"/>
  <c r="BA637" i="1"/>
  <c r="AT637" i="1"/>
  <c r="O637" i="1"/>
  <c r="CC582" i="1"/>
  <c r="CB582" i="1"/>
  <c r="EW777" i="1"/>
  <c r="EP777" i="1"/>
  <c r="EM777" i="1"/>
  <c r="EL777" i="1"/>
  <c r="EE777" i="1"/>
  <c r="DU777" i="1"/>
  <c r="EQ777" i="1"/>
  <c r="DR777" i="1"/>
  <c r="ET777" i="1"/>
  <c r="DH777" i="1"/>
  <c r="DA777" i="1"/>
  <c r="CY777" i="1"/>
  <c r="EU777" i="1"/>
  <c r="EV777" i="1"/>
  <c r="CC777" i="1"/>
  <c r="EN777" i="1"/>
  <c r="CB777" i="1"/>
  <c r="BH777" i="1"/>
  <c r="BA777" i="1"/>
  <c r="AT777" i="1"/>
  <c r="O777" i="1"/>
  <c r="EW661" i="1"/>
  <c r="EU661" i="1"/>
  <c r="EV661" i="1"/>
  <c r="EP661" i="1"/>
  <c r="EM661" i="1"/>
  <c r="EL661" i="1"/>
  <c r="EE661" i="1"/>
  <c r="DU661" i="1"/>
  <c r="EQ661" i="1"/>
  <c r="DR661" i="1"/>
  <c r="ET661" i="1"/>
  <c r="DH661" i="1"/>
  <c r="DA661" i="1"/>
  <c r="CY661" i="1"/>
  <c r="CK661" i="1"/>
  <c r="CC661" i="1"/>
  <c r="EN661" i="1"/>
  <c r="CB661" i="1"/>
  <c r="BH661" i="1"/>
  <c r="BA661" i="1"/>
  <c r="AT661" i="1"/>
  <c r="O661" i="1"/>
  <c r="EW688" i="1"/>
  <c r="EU688" i="1"/>
  <c r="EV688" i="1"/>
  <c r="EP688" i="1"/>
  <c r="EM688" i="1"/>
  <c r="EL688" i="1"/>
  <c r="EE688" i="1"/>
  <c r="DU688" i="1"/>
  <c r="EQ688" i="1"/>
  <c r="DR688" i="1"/>
  <c r="ET688" i="1"/>
  <c r="DH688" i="1"/>
  <c r="DA688" i="1"/>
  <c r="CY688" i="1"/>
  <c r="CK688" i="1"/>
  <c r="CC688" i="1"/>
  <c r="EN688" i="1"/>
  <c r="CB688" i="1"/>
  <c r="BH688" i="1"/>
  <c r="AT688" i="1"/>
  <c r="O688" i="1"/>
  <c r="EW646" i="1"/>
  <c r="EU646" i="1"/>
  <c r="EV646" i="1"/>
  <c r="EP646" i="1"/>
  <c r="EM646" i="1"/>
  <c r="EL646" i="1"/>
  <c r="EE646" i="1"/>
  <c r="DU646" i="1"/>
  <c r="EQ646" i="1"/>
  <c r="DR646" i="1"/>
  <c r="ET646" i="1"/>
  <c r="DH646" i="1"/>
  <c r="DA646" i="1"/>
  <c r="CY646" i="1"/>
  <c r="CC646" i="1"/>
  <c r="EN646" i="1"/>
  <c r="CB646" i="1"/>
  <c r="BH646" i="1"/>
  <c r="BA646" i="1"/>
  <c r="AT646" i="1"/>
  <c r="O646" i="1"/>
  <c r="EW621" i="1"/>
  <c r="EU621" i="1"/>
  <c r="EV621" i="1"/>
  <c r="EP621" i="1"/>
  <c r="EM621" i="1"/>
  <c r="EL621" i="1"/>
  <c r="EE621" i="1"/>
  <c r="DU621" i="1"/>
  <c r="EQ621" i="1"/>
  <c r="DR621" i="1"/>
  <c r="ET621" i="1"/>
  <c r="DH621" i="1"/>
  <c r="DA621" i="1"/>
  <c r="CY621" i="1"/>
  <c r="CK621" i="1"/>
  <c r="CC621" i="1"/>
  <c r="EN621" i="1"/>
  <c r="CB621" i="1"/>
  <c r="BH621" i="1"/>
  <c r="BA621" i="1"/>
  <c r="AT621" i="1"/>
  <c r="O621" i="1"/>
  <c r="EW649" i="1"/>
  <c r="EU649" i="1"/>
  <c r="EV649" i="1"/>
  <c r="EP649" i="1"/>
  <c r="EM649" i="1"/>
  <c r="EL649" i="1"/>
  <c r="EE649" i="1"/>
  <c r="DH649" i="1"/>
  <c r="DU649" i="1"/>
  <c r="EQ649" i="1"/>
  <c r="DR649" i="1"/>
  <c r="ET649" i="1"/>
  <c r="DA649" i="1"/>
  <c r="CY649" i="1"/>
  <c r="CK649" i="1"/>
  <c r="CC649" i="1"/>
  <c r="EN649" i="1"/>
  <c r="CB649" i="1"/>
  <c r="BH649" i="1"/>
  <c r="BA649" i="1"/>
  <c r="AT649" i="1"/>
  <c r="O649" i="1"/>
  <c r="EW618" i="1"/>
  <c r="EU618" i="1"/>
  <c r="EV618" i="1"/>
  <c r="EP618" i="1"/>
  <c r="EM618" i="1"/>
  <c r="EL618" i="1"/>
  <c r="EE618" i="1"/>
  <c r="DU618" i="1"/>
  <c r="EQ618" i="1"/>
  <c r="DR618" i="1"/>
  <c r="ET618" i="1"/>
  <c r="DH618" i="1"/>
  <c r="DA618" i="1"/>
  <c r="CY618" i="1"/>
  <c r="CK618" i="1"/>
  <c r="CC618" i="1"/>
  <c r="EN618" i="1"/>
  <c r="CB618" i="1"/>
  <c r="BH618" i="1"/>
  <c r="BA618" i="1"/>
  <c r="AT618" i="1"/>
  <c r="O618" i="1"/>
  <c r="EW614" i="1"/>
  <c r="EU614" i="1"/>
  <c r="EV614" i="1"/>
  <c r="EP614" i="1"/>
  <c r="EM614" i="1"/>
  <c r="EL614" i="1"/>
  <c r="EE614" i="1"/>
  <c r="DU614" i="1"/>
  <c r="EQ614" i="1"/>
  <c r="DR614" i="1"/>
  <c r="ET614" i="1"/>
  <c r="DH614" i="1"/>
  <c r="DA614" i="1"/>
  <c r="CY614" i="1"/>
  <c r="CC614" i="1"/>
  <c r="EN614" i="1"/>
  <c r="CB614" i="1"/>
  <c r="BH614" i="1"/>
  <c r="BA614" i="1"/>
  <c r="AT614" i="1"/>
  <c r="O614" i="1"/>
  <c r="BH617" i="1"/>
  <c r="BA617" i="1"/>
  <c r="AT617" i="1"/>
  <c r="EW617" i="1"/>
  <c r="EU617" i="1"/>
  <c r="EV617" i="1"/>
  <c r="EP617" i="1"/>
  <c r="EM617" i="1"/>
  <c r="EL617" i="1"/>
  <c r="EE617" i="1"/>
  <c r="DU617" i="1"/>
  <c r="EQ617" i="1"/>
  <c r="DR617" i="1"/>
  <c r="ET617" i="1"/>
  <c r="DH617" i="1"/>
  <c r="DA617" i="1"/>
  <c r="CY617" i="1"/>
  <c r="CK617" i="1"/>
  <c r="CC617" i="1"/>
  <c r="EN617" i="1"/>
  <c r="CB617" i="1"/>
  <c r="O617" i="1"/>
  <c r="EW659" i="1"/>
  <c r="EU659" i="1"/>
  <c r="EV659" i="1"/>
  <c r="EP659" i="1"/>
  <c r="EM659" i="1"/>
  <c r="EL659" i="1"/>
  <c r="DU659" i="1"/>
  <c r="EQ659" i="1"/>
  <c r="DR659" i="1"/>
  <c r="ET659" i="1"/>
  <c r="DH659" i="1"/>
  <c r="DA659" i="1"/>
  <c r="CY659" i="1"/>
  <c r="CK659" i="1"/>
  <c r="CC659" i="1"/>
  <c r="EN659" i="1"/>
  <c r="CB659" i="1"/>
  <c r="BH659" i="1"/>
  <c r="BA659" i="1"/>
  <c r="AT659" i="1"/>
  <c r="O659" i="1"/>
  <c r="EW626" i="1"/>
  <c r="EU626" i="1"/>
  <c r="EV626" i="1"/>
  <c r="EP626" i="1"/>
  <c r="EM626" i="1"/>
  <c r="EL626" i="1"/>
  <c r="EE626" i="1"/>
  <c r="DU626" i="1"/>
  <c r="EQ626" i="1"/>
  <c r="DR626" i="1"/>
  <c r="ET626" i="1"/>
  <c r="DH626" i="1"/>
  <c r="DA626" i="1"/>
  <c r="CY626" i="1"/>
  <c r="CK626" i="1"/>
  <c r="CC626" i="1"/>
  <c r="EN626" i="1"/>
  <c r="CB626" i="1"/>
  <c r="BH626" i="1"/>
  <c r="BA626" i="1"/>
  <c r="AT626" i="1"/>
  <c r="O626" i="1"/>
  <c r="EW580" i="1"/>
  <c r="EU580" i="1"/>
  <c r="EV580" i="1"/>
  <c r="EP580" i="1"/>
  <c r="EM580" i="1"/>
  <c r="EL580" i="1"/>
  <c r="EE580" i="1"/>
  <c r="DU580" i="1"/>
  <c r="EQ580" i="1"/>
  <c r="DR580" i="1"/>
  <c r="ET580" i="1"/>
  <c r="DH580" i="1"/>
  <c r="DA580" i="1"/>
  <c r="CY580" i="1"/>
  <c r="CK580" i="1"/>
  <c r="EN580" i="1"/>
  <c r="BH580" i="1"/>
  <c r="BA580" i="1"/>
  <c r="AT580" i="1"/>
  <c r="O580" i="1"/>
  <c r="EW622" i="1"/>
  <c r="EU622" i="1"/>
  <c r="EV622" i="1"/>
  <c r="EP622" i="1"/>
  <c r="EM622" i="1"/>
  <c r="EL622" i="1"/>
  <c r="EE622" i="1"/>
  <c r="DU622" i="1"/>
  <c r="EQ622" i="1"/>
  <c r="DR622" i="1"/>
  <c r="ET622" i="1"/>
  <c r="DH622" i="1"/>
  <c r="DA622" i="1"/>
  <c r="CY622" i="1"/>
  <c r="CK622" i="1"/>
  <c r="CC622" i="1"/>
  <c r="EN622" i="1"/>
  <c r="CB622" i="1"/>
  <c r="BH622" i="1"/>
  <c r="BA622" i="1"/>
  <c r="AT622" i="1"/>
  <c r="O622" i="1"/>
  <c r="EW677" i="1"/>
  <c r="EP677" i="1"/>
  <c r="EM677" i="1"/>
  <c r="EL677" i="1"/>
  <c r="EE677" i="1"/>
  <c r="DU677" i="1"/>
  <c r="EQ677" i="1"/>
  <c r="DR677" i="1"/>
  <c r="ET677" i="1"/>
  <c r="DH677" i="1"/>
  <c r="DA677" i="1"/>
  <c r="CY677" i="1"/>
  <c r="EU677" i="1"/>
  <c r="EV677" i="1"/>
  <c r="CC677" i="1"/>
  <c r="EN677" i="1"/>
  <c r="CB677" i="1"/>
  <c r="BH677" i="1"/>
  <c r="BA677" i="1"/>
  <c r="AT677" i="1"/>
  <c r="O677" i="1"/>
  <c r="EW630" i="1"/>
  <c r="EU630" i="1"/>
  <c r="EV630" i="1"/>
  <c r="EP630" i="1"/>
  <c r="EM630" i="1"/>
  <c r="EL630" i="1"/>
  <c r="EE630" i="1"/>
  <c r="DU630" i="1"/>
  <c r="EQ630" i="1"/>
  <c r="DR630" i="1"/>
  <c r="ET630" i="1"/>
  <c r="DH630" i="1"/>
  <c r="DA630" i="1"/>
  <c r="CY630" i="1"/>
  <c r="CK630" i="1"/>
  <c r="CC630" i="1"/>
  <c r="EN630" i="1"/>
  <c r="CB630" i="1"/>
  <c r="BH630" i="1"/>
  <c r="BA630" i="1"/>
  <c r="AT630" i="1"/>
  <c r="O630" i="1"/>
  <c r="CC546" i="1"/>
  <c r="EL613" i="1"/>
  <c r="EM613" i="1"/>
  <c r="EP613" i="1"/>
  <c r="EU613" i="1"/>
  <c r="EV613" i="1"/>
  <c r="EW613" i="1"/>
  <c r="EE613" i="1"/>
  <c r="DU613" i="1"/>
  <c r="EQ613" i="1"/>
  <c r="DR613" i="1"/>
  <c r="ET613" i="1"/>
  <c r="DH613" i="1"/>
  <c r="CY613" i="1"/>
  <c r="DA613" i="1"/>
  <c r="CK613" i="1"/>
  <c r="DB613" i="1"/>
  <c r="CB613" i="1"/>
  <c r="CC613" i="1"/>
  <c r="EN613" i="1"/>
  <c r="BH613" i="1"/>
  <c r="BA613" i="1"/>
  <c r="AT613" i="1"/>
  <c r="O613" i="1"/>
  <c r="DR427" i="1"/>
  <c r="EW611" i="1"/>
  <c r="EU611" i="1"/>
  <c r="EV611" i="1"/>
  <c r="EP611" i="1"/>
  <c r="EM611" i="1"/>
  <c r="EL611" i="1"/>
  <c r="EE611" i="1"/>
  <c r="DU611" i="1"/>
  <c r="EQ611" i="1"/>
  <c r="DR611" i="1"/>
  <c r="ET611" i="1"/>
  <c r="DH611" i="1"/>
  <c r="DA611" i="1"/>
  <c r="CY611" i="1"/>
  <c r="CC611" i="1"/>
  <c r="EN611" i="1"/>
  <c r="CB611" i="1"/>
  <c r="BH611" i="1"/>
  <c r="BA611" i="1"/>
  <c r="AT611" i="1"/>
  <c r="O611" i="1"/>
  <c r="DH427" i="1"/>
  <c r="DU427" i="1"/>
  <c r="EL427" i="1"/>
  <c r="EM427" i="1"/>
  <c r="EN427" i="1"/>
  <c r="EP427" i="1"/>
  <c r="EQ427" i="1"/>
  <c r="ET427" i="1"/>
  <c r="EU427" i="1"/>
  <c r="EV427" i="1"/>
  <c r="EW427" i="1"/>
  <c r="CY427" i="1"/>
  <c r="DA427" i="1"/>
  <c r="CK427" i="1"/>
  <c r="DB427" i="1"/>
  <c r="CB427" i="1"/>
  <c r="CC427" i="1"/>
  <c r="BH427" i="1"/>
  <c r="BA427" i="1"/>
  <c r="AT427" i="1"/>
  <c r="O427" i="1"/>
  <c r="AT615" i="1"/>
  <c r="EL615" i="1"/>
  <c r="EM615" i="1"/>
  <c r="EP615" i="1"/>
  <c r="EU615" i="1"/>
  <c r="EV615" i="1"/>
  <c r="EW615" i="1"/>
  <c r="EE615" i="1"/>
  <c r="DU615" i="1"/>
  <c r="EQ615" i="1"/>
  <c r="DR615" i="1"/>
  <c r="ET615" i="1"/>
  <c r="DH615" i="1"/>
  <c r="CY615" i="1"/>
  <c r="DA615" i="1"/>
  <c r="CK615" i="1"/>
  <c r="DB615" i="1"/>
  <c r="CB615" i="1"/>
  <c r="CC615" i="1"/>
  <c r="EN615" i="1"/>
  <c r="BH615" i="1"/>
  <c r="BA615" i="1"/>
  <c r="O615" i="1"/>
  <c r="EW608" i="1"/>
  <c r="EU608" i="1"/>
  <c r="EV608" i="1"/>
  <c r="EP608" i="1"/>
  <c r="EM608" i="1"/>
  <c r="EL608" i="1"/>
  <c r="EE608" i="1"/>
  <c r="DU608" i="1"/>
  <c r="EQ608" i="1"/>
  <c r="DR608" i="1"/>
  <c r="ET608" i="1"/>
  <c r="DH608" i="1"/>
  <c r="DA608" i="1"/>
  <c r="CY608" i="1"/>
  <c r="CK608" i="1"/>
  <c r="CC608" i="1"/>
  <c r="EN608" i="1"/>
  <c r="CB608" i="1"/>
  <c r="BH608" i="1"/>
  <c r="BA608" i="1"/>
  <c r="AT608" i="1"/>
  <c r="O608" i="1"/>
  <c r="EW599" i="1"/>
  <c r="EU599" i="1"/>
  <c r="EV599" i="1"/>
  <c r="EP599" i="1"/>
  <c r="EM599" i="1"/>
  <c r="EL599" i="1"/>
  <c r="EE599" i="1"/>
  <c r="DU599" i="1"/>
  <c r="EQ599" i="1"/>
  <c r="DR599" i="1"/>
  <c r="ET599" i="1"/>
  <c r="DH599" i="1"/>
  <c r="DA599" i="1"/>
  <c r="CY599" i="1"/>
  <c r="CK599" i="1"/>
  <c r="CC599" i="1"/>
  <c r="EN599" i="1"/>
  <c r="CB599" i="1"/>
  <c r="BH599" i="1"/>
  <c r="BA599" i="1"/>
  <c r="AT599" i="1"/>
  <c r="O599" i="1"/>
  <c r="CC602" i="1"/>
  <c r="CC603" i="1"/>
  <c r="EW612" i="1"/>
  <c r="EU612" i="1"/>
  <c r="EV612" i="1"/>
  <c r="EP612" i="1"/>
  <c r="EM612" i="1"/>
  <c r="EL612" i="1"/>
  <c r="EE612" i="1"/>
  <c r="DU612" i="1"/>
  <c r="EQ612" i="1"/>
  <c r="DR612" i="1"/>
  <c r="ET612" i="1"/>
  <c r="DH612" i="1"/>
  <c r="DA612" i="1"/>
  <c r="CY612" i="1"/>
  <c r="CC612" i="1"/>
  <c r="EN612" i="1"/>
  <c r="CB612" i="1"/>
  <c r="BH612" i="1"/>
  <c r="BA612" i="1"/>
  <c r="AT612" i="1"/>
  <c r="O612" i="1"/>
  <c r="EW604" i="1"/>
  <c r="EU604" i="1"/>
  <c r="EV604" i="1"/>
  <c r="EP604" i="1"/>
  <c r="EM604" i="1"/>
  <c r="EL604" i="1"/>
  <c r="EE604" i="1"/>
  <c r="DU604" i="1"/>
  <c r="EQ604" i="1"/>
  <c r="DR604" i="1"/>
  <c r="ET604" i="1"/>
  <c r="DH604" i="1"/>
  <c r="DA604" i="1"/>
  <c r="CY604" i="1"/>
  <c r="CK604" i="1"/>
  <c r="CC604" i="1"/>
  <c r="EN604" i="1"/>
  <c r="CB604" i="1"/>
  <c r="BH604" i="1"/>
  <c r="BA604" i="1"/>
  <c r="AT604" i="1"/>
  <c r="O604" i="1"/>
  <c r="EW684" i="1"/>
  <c r="EU684" i="1"/>
  <c r="EV684" i="1"/>
  <c r="EP684" i="1"/>
  <c r="EM684" i="1"/>
  <c r="EL684" i="1"/>
  <c r="EE684" i="1"/>
  <c r="DU684" i="1"/>
  <c r="EQ684" i="1"/>
  <c r="DR684" i="1"/>
  <c r="ET684" i="1"/>
  <c r="DH684" i="1"/>
  <c r="DA684" i="1"/>
  <c r="CY684" i="1"/>
  <c r="CK684" i="1"/>
  <c r="CC684" i="1"/>
  <c r="EN684" i="1"/>
  <c r="CB684" i="1"/>
  <c r="BH684" i="1"/>
  <c r="BA684" i="1"/>
  <c r="AT684" i="1"/>
  <c r="O684" i="1"/>
  <c r="EW582" i="1"/>
  <c r="EU582" i="1"/>
  <c r="EV582" i="1"/>
  <c r="EP582" i="1"/>
  <c r="EM582" i="1"/>
  <c r="EL582" i="1"/>
  <c r="EE582" i="1"/>
  <c r="DU582" i="1"/>
  <c r="EQ582" i="1"/>
  <c r="DR582" i="1"/>
  <c r="ET582" i="1"/>
  <c r="DH582" i="1"/>
  <c r="DA582" i="1"/>
  <c r="CY582" i="1"/>
  <c r="EN582" i="1"/>
  <c r="BH582" i="1"/>
  <c r="BA582" i="1"/>
  <c r="AT582" i="1"/>
  <c r="O582" i="1"/>
  <c r="EW730" i="1"/>
  <c r="EP730" i="1"/>
  <c r="EM730" i="1"/>
  <c r="EL730" i="1"/>
  <c r="EE730" i="1"/>
  <c r="DU730" i="1"/>
  <c r="EQ730" i="1"/>
  <c r="DR730" i="1"/>
  <c r="ET730" i="1"/>
  <c r="DH730" i="1"/>
  <c r="DA730" i="1"/>
  <c r="CY730" i="1"/>
  <c r="EU730" i="1"/>
  <c r="EV730" i="1"/>
  <c r="EN730" i="1"/>
  <c r="CB730" i="1"/>
  <c r="BH730" i="1"/>
  <c r="BA730" i="1"/>
  <c r="AT730" i="1"/>
  <c r="O730" i="1"/>
  <c r="EW609" i="1"/>
  <c r="EU609" i="1"/>
  <c r="EV609" i="1"/>
  <c r="EP609" i="1"/>
  <c r="EM609" i="1"/>
  <c r="EL609" i="1"/>
  <c r="EE609" i="1"/>
  <c r="DU609" i="1"/>
  <c r="EQ609" i="1"/>
  <c r="DR609" i="1"/>
  <c r="ET609" i="1"/>
  <c r="DH609" i="1"/>
  <c r="DA609" i="1"/>
  <c r="CY609" i="1"/>
  <c r="CK609" i="1"/>
  <c r="CC609" i="1"/>
  <c r="EN609" i="1"/>
  <c r="CB609" i="1"/>
  <c r="BH609" i="1"/>
  <c r="BA609" i="1"/>
  <c r="AT609" i="1"/>
  <c r="O609" i="1"/>
  <c r="DR542" i="1"/>
  <c r="O600" i="1"/>
  <c r="O601" i="1"/>
  <c r="EW601" i="1"/>
  <c r="EU601" i="1"/>
  <c r="EV601" i="1"/>
  <c r="EP601" i="1"/>
  <c r="EM601" i="1"/>
  <c r="EL601" i="1"/>
  <c r="EE601" i="1"/>
  <c r="DU601" i="1"/>
  <c r="EQ601" i="1"/>
  <c r="DR601" i="1"/>
  <c r="ET601" i="1"/>
  <c r="DA601" i="1"/>
  <c r="CY601" i="1"/>
  <c r="CK601" i="1"/>
  <c r="CC601" i="1"/>
  <c r="EN601" i="1"/>
  <c r="CB601" i="1"/>
  <c r="BH601" i="1"/>
  <c r="BA601" i="1"/>
  <c r="AT601" i="1"/>
  <c r="EW600" i="1"/>
  <c r="EU600" i="1"/>
  <c r="EV600" i="1"/>
  <c r="EP600" i="1"/>
  <c r="EM600" i="1"/>
  <c r="EL600" i="1"/>
  <c r="EE600" i="1"/>
  <c r="DU600" i="1"/>
  <c r="EQ600" i="1"/>
  <c r="DR600" i="1"/>
  <c r="ET600" i="1"/>
  <c r="DH600" i="1"/>
  <c r="DA600" i="1"/>
  <c r="CY600" i="1"/>
  <c r="CK600" i="1"/>
  <c r="CC600" i="1"/>
  <c r="EN600" i="1"/>
  <c r="CB600" i="1"/>
  <c r="BH600" i="1"/>
  <c r="BA600" i="1"/>
  <c r="AT600" i="1"/>
  <c r="EW620" i="1"/>
  <c r="EU620" i="1"/>
  <c r="EV620" i="1"/>
  <c r="EP620" i="1"/>
  <c r="EM620" i="1"/>
  <c r="EL620" i="1"/>
  <c r="EE620" i="1"/>
  <c r="DU620" i="1"/>
  <c r="EQ620" i="1"/>
  <c r="DR620" i="1"/>
  <c r="ET620" i="1"/>
  <c r="DH620" i="1"/>
  <c r="DA620" i="1"/>
  <c r="CY620" i="1"/>
  <c r="CK620" i="1"/>
  <c r="CC620" i="1"/>
  <c r="EN620" i="1"/>
  <c r="CB620" i="1"/>
  <c r="BH620" i="1"/>
  <c r="BA620" i="1"/>
  <c r="AT620" i="1"/>
  <c r="O620" i="1"/>
  <c r="CK487" i="1"/>
  <c r="DB487" i="1"/>
  <c r="EQ436" i="1"/>
  <c r="CC589" i="1"/>
  <c r="EE436" i="1"/>
  <c r="EE429" i="1"/>
  <c r="DH436" i="1"/>
  <c r="DH429" i="1"/>
  <c r="AT607" i="1"/>
  <c r="BA607" i="1"/>
  <c r="BH607" i="1"/>
  <c r="EW607" i="1"/>
  <c r="EU607" i="1"/>
  <c r="EV607" i="1"/>
  <c r="EP607" i="1"/>
  <c r="EM607" i="1"/>
  <c r="EL607" i="1"/>
  <c r="EE607" i="1"/>
  <c r="DU607" i="1"/>
  <c r="EQ607" i="1"/>
  <c r="DR607" i="1"/>
  <c r="ET607" i="1"/>
  <c r="DH607" i="1"/>
  <c r="DA607" i="1"/>
  <c r="CY607" i="1"/>
  <c r="CK607" i="1"/>
  <c r="CC607" i="1"/>
  <c r="EN607" i="1"/>
  <c r="CB607" i="1"/>
  <c r="O607" i="1"/>
  <c r="EW594" i="1"/>
  <c r="EU594" i="1"/>
  <c r="EV594" i="1"/>
  <c r="EP594" i="1"/>
  <c r="EM594" i="1"/>
  <c r="EL594" i="1"/>
  <c r="EE594" i="1"/>
  <c r="DU594" i="1"/>
  <c r="EQ594" i="1"/>
  <c r="DR594" i="1"/>
  <c r="ET594" i="1"/>
  <c r="DH594" i="1"/>
  <c r="DA594" i="1"/>
  <c r="CY594" i="1"/>
  <c r="CK594" i="1"/>
  <c r="CC594" i="1"/>
  <c r="EN594" i="1"/>
  <c r="CB594" i="1"/>
  <c r="BH594" i="1"/>
  <c r="BA594" i="1"/>
  <c r="AT594" i="1"/>
  <c r="O594" i="1"/>
  <c r="EW595" i="1"/>
  <c r="EU595" i="1"/>
  <c r="EV595" i="1"/>
  <c r="EP595" i="1"/>
  <c r="EM595" i="1"/>
  <c r="EL595" i="1"/>
  <c r="EE595" i="1"/>
  <c r="DU595" i="1"/>
  <c r="EQ595" i="1"/>
  <c r="DR595" i="1"/>
  <c r="ET595" i="1"/>
  <c r="DH595" i="1"/>
  <c r="DA595" i="1"/>
  <c r="CY595" i="1"/>
  <c r="CK595" i="1"/>
  <c r="CC595" i="1"/>
  <c r="EN595" i="1"/>
  <c r="CB595" i="1"/>
  <c r="BH595" i="1"/>
  <c r="BA595" i="1"/>
  <c r="AT595" i="1"/>
  <c r="O595" i="1"/>
  <c r="EW591" i="1"/>
  <c r="EU591" i="1"/>
  <c r="EV591" i="1"/>
  <c r="EP591" i="1"/>
  <c r="EM591" i="1"/>
  <c r="EL591" i="1"/>
  <c r="EE591" i="1"/>
  <c r="DU591" i="1"/>
  <c r="EQ591" i="1"/>
  <c r="DR591" i="1"/>
  <c r="ET591" i="1"/>
  <c r="DH591" i="1"/>
  <c r="DA591" i="1"/>
  <c r="CY591" i="1"/>
  <c r="CK591" i="1"/>
  <c r="CC591" i="1"/>
  <c r="EN591" i="1"/>
  <c r="CB591" i="1"/>
  <c r="BH591" i="1"/>
  <c r="BA591" i="1"/>
  <c r="AT591" i="1"/>
  <c r="O591" i="1"/>
  <c r="EW624" i="1"/>
  <c r="EU624" i="1"/>
  <c r="EV624" i="1"/>
  <c r="EP624" i="1"/>
  <c r="EM624" i="1"/>
  <c r="EL624" i="1"/>
  <c r="EE624" i="1"/>
  <c r="DU624" i="1"/>
  <c r="EQ624" i="1"/>
  <c r="DR624" i="1"/>
  <c r="ET624" i="1"/>
  <c r="DH624" i="1"/>
  <c r="DA624" i="1"/>
  <c r="CY624" i="1"/>
  <c r="CC624" i="1"/>
  <c r="EN624" i="1"/>
  <c r="CB624" i="1"/>
  <c r="BH624" i="1"/>
  <c r="BA624" i="1"/>
  <c r="AT624" i="1"/>
  <c r="O624" i="1"/>
  <c r="EU914" i="1"/>
  <c r="EV914" i="1"/>
  <c r="EP914" i="1"/>
  <c r="EE914" i="1"/>
  <c r="DH914" i="1"/>
  <c r="DU914" i="1"/>
  <c r="EQ914" i="1"/>
  <c r="DR914" i="1"/>
  <c r="ET914" i="1"/>
  <c r="DA914" i="1"/>
  <c r="CY914" i="1"/>
  <c r="CK914" i="1"/>
  <c r="CC914" i="1"/>
  <c r="EN914" i="1"/>
  <c r="CB914" i="1"/>
  <c r="BH914" i="1"/>
  <c r="BA914" i="1"/>
  <c r="AT914" i="1"/>
  <c r="EW733" i="1"/>
  <c r="EP733" i="1"/>
  <c r="EM733" i="1"/>
  <c r="EL733" i="1"/>
  <c r="EE733" i="1"/>
  <c r="DU733" i="1"/>
  <c r="EQ733" i="1"/>
  <c r="DR733" i="1"/>
  <c r="ET733" i="1"/>
  <c r="DH733" i="1"/>
  <c r="DA733" i="1"/>
  <c r="CY733" i="1"/>
  <c r="EU733" i="1"/>
  <c r="EV733" i="1"/>
  <c r="CC733" i="1"/>
  <c r="EN733" i="1"/>
  <c r="BH733" i="1"/>
  <c r="BA733" i="1"/>
  <c r="AT733" i="1"/>
  <c r="EW732" i="1"/>
  <c r="EP732" i="1"/>
  <c r="EM732" i="1"/>
  <c r="EL732" i="1"/>
  <c r="EE732" i="1"/>
  <c r="DU732" i="1"/>
  <c r="EQ732" i="1"/>
  <c r="DR732" i="1"/>
  <c r="ET732" i="1"/>
  <c r="DH732" i="1"/>
  <c r="DA732" i="1"/>
  <c r="CY732" i="1"/>
  <c r="EU732" i="1"/>
  <c r="EV732" i="1"/>
  <c r="CC732" i="1"/>
  <c r="EN732" i="1"/>
  <c r="CB732" i="1"/>
  <c r="BH732" i="1"/>
  <c r="BA732" i="1"/>
  <c r="AT732" i="1"/>
  <c r="O732" i="1"/>
  <c r="EW923" i="1"/>
  <c r="EU923" i="1"/>
  <c r="EV923" i="1"/>
  <c r="EP923" i="1"/>
  <c r="EM923" i="1"/>
  <c r="EL923" i="1"/>
  <c r="EE923" i="1"/>
  <c r="DU923" i="1"/>
  <c r="EQ923" i="1"/>
  <c r="DR923" i="1"/>
  <c r="ET923" i="1"/>
  <c r="DH923" i="1"/>
  <c r="DA923" i="1"/>
  <c r="CY923" i="1"/>
  <c r="CK923" i="1"/>
  <c r="CC923" i="1"/>
  <c r="EN923" i="1"/>
  <c r="CB923" i="1"/>
  <c r="BH923" i="1"/>
  <c r="BA923" i="1"/>
  <c r="AT923" i="1"/>
  <c r="BH596" i="1"/>
  <c r="BH597" i="1"/>
  <c r="O596" i="1"/>
  <c r="AT596" i="1"/>
  <c r="BA596" i="1"/>
  <c r="CB596" i="1"/>
  <c r="CC596" i="1"/>
  <c r="CK596" i="1"/>
  <c r="CY596" i="1"/>
  <c r="DA596" i="1"/>
  <c r="DB596" i="1"/>
  <c r="DR596" i="1"/>
  <c r="DU596" i="1"/>
  <c r="EE596" i="1"/>
  <c r="DH596" i="1"/>
  <c r="EL596" i="1"/>
  <c r="EM596" i="1"/>
  <c r="EN596" i="1"/>
  <c r="EP596" i="1"/>
  <c r="EQ596" i="1"/>
  <c r="ET596" i="1"/>
  <c r="EU596" i="1"/>
  <c r="EV596" i="1"/>
  <c r="EW596" i="1"/>
  <c r="O597" i="1"/>
  <c r="AT597" i="1"/>
  <c r="BA597" i="1"/>
  <c r="CB597" i="1"/>
  <c r="CC597" i="1"/>
  <c r="CK597" i="1"/>
  <c r="CY597" i="1"/>
  <c r="DA597" i="1"/>
  <c r="DB597" i="1"/>
  <c r="DR597" i="1"/>
  <c r="DU597" i="1"/>
  <c r="EE597" i="1"/>
  <c r="DH597" i="1"/>
  <c r="EL597" i="1"/>
  <c r="EM597" i="1"/>
  <c r="EN597" i="1"/>
  <c r="EP597" i="1"/>
  <c r="EQ597" i="1"/>
  <c r="ET597" i="1"/>
  <c r="EU597" i="1"/>
  <c r="EV597" i="1"/>
  <c r="EW597" i="1"/>
  <c r="EW602" i="1"/>
  <c r="EU602" i="1"/>
  <c r="EV602" i="1"/>
  <c r="EP602" i="1"/>
  <c r="EM602" i="1"/>
  <c r="EL602" i="1"/>
  <c r="EE602" i="1"/>
  <c r="DU602" i="1"/>
  <c r="EQ602" i="1"/>
  <c r="DR602" i="1"/>
  <c r="ET602" i="1"/>
  <c r="DH602" i="1"/>
  <c r="DA602" i="1"/>
  <c r="CY602" i="1"/>
  <c r="EN602" i="1"/>
  <c r="CB602" i="1"/>
  <c r="BH602" i="1"/>
  <c r="BA602" i="1"/>
  <c r="AT602" i="1"/>
  <c r="O602" i="1"/>
  <c r="EW558" i="1"/>
  <c r="EU558" i="1"/>
  <c r="EV558" i="1"/>
  <c r="EP558" i="1"/>
  <c r="EM558" i="1"/>
  <c r="EL558" i="1"/>
  <c r="EE558" i="1"/>
  <c r="DU558" i="1"/>
  <c r="EQ558" i="1"/>
  <c r="DR558" i="1"/>
  <c r="ET558" i="1"/>
  <c r="DH558" i="1"/>
  <c r="DA558" i="1"/>
  <c r="CY558" i="1"/>
  <c r="CK558" i="1"/>
  <c r="CC558" i="1"/>
  <c r="EN558" i="1"/>
  <c r="CB558" i="1"/>
  <c r="BH558" i="1"/>
  <c r="BA558" i="1"/>
  <c r="AT558" i="1"/>
  <c r="O558" i="1"/>
  <c r="EW603" i="1"/>
  <c r="EU603" i="1"/>
  <c r="EV603" i="1"/>
  <c r="EP603" i="1"/>
  <c r="EM603" i="1"/>
  <c r="EL603" i="1"/>
  <c r="EE603" i="1"/>
  <c r="DU603" i="1"/>
  <c r="EQ603" i="1"/>
  <c r="DR603" i="1"/>
  <c r="ET603" i="1"/>
  <c r="DH603" i="1"/>
  <c r="DA603" i="1"/>
  <c r="CY603" i="1"/>
  <c r="CK603" i="1"/>
  <c r="EN603" i="1"/>
  <c r="CB603" i="1"/>
  <c r="BH603" i="1"/>
  <c r="BA603" i="1"/>
  <c r="AT603" i="1"/>
  <c r="O603" i="1"/>
  <c r="EL619" i="1"/>
  <c r="EM619" i="1"/>
  <c r="EN619" i="1"/>
  <c r="EP619" i="1"/>
  <c r="EQ619" i="1"/>
  <c r="ET619" i="1"/>
  <c r="EU619" i="1"/>
  <c r="EV619" i="1"/>
  <c r="EW619" i="1"/>
  <c r="EE619" i="1"/>
  <c r="DU619" i="1"/>
  <c r="DR619" i="1"/>
  <c r="DH619" i="1"/>
  <c r="CY619" i="1"/>
  <c r="DA619" i="1"/>
  <c r="CK619" i="1"/>
  <c r="DB619" i="1"/>
  <c r="CB619" i="1"/>
  <c r="CC619" i="1"/>
  <c r="BH619" i="1"/>
  <c r="BA619" i="1"/>
  <c r="AT619" i="1"/>
  <c r="O619" i="1"/>
  <c r="AT589" i="1"/>
  <c r="EW589" i="1"/>
  <c r="EU589" i="1"/>
  <c r="EV589" i="1"/>
  <c r="EP589" i="1"/>
  <c r="EM589" i="1"/>
  <c r="EL589" i="1"/>
  <c r="EE589" i="1"/>
  <c r="DU589" i="1"/>
  <c r="EQ589" i="1"/>
  <c r="DR589" i="1"/>
  <c r="ET589" i="1"/>
  <c r="DH589" i="1"/>
  <c r="DA589" i="1"/>
  <c r="CY589" i="1"/>
  <c r="EN589" i="1"/>
  <c r="CB589" i="1"/>
  <c r="BH589" i="1"/>
  <c r="BA589" i="1"/>
  <c r="BH592" i="1"/>
  <c r="BA592" i="1"/>
  <c r="AT592" i="1"/>
  <c r="EW592" i="1"/>
  <c r="EU592" i="1"/>
  <c r="EV592" i="1"/>
  <c r="EP592" i="1"/>
  <c r="EM592" i="1"/>
  <c r="EL592" i="1"/>
  <c r="EE592" i="1"/>
  <c r="DU592" i="1"/>
  <c r="EQ592" i="1"/>
  <c r="DR592" i="1"/>
  <c r="ET592" i="1"/>
  <c r="DH592" i="1"/>
  <c r="DA592" i="1"/>
  <c r="CY592" i="1"/>
  <c r="CK592" i="1"/>
  <c r="CC592" i="1"/>
  <c r="EN592" i="1"/>
  <c r="CB592" i="1"/>
  <c r="O592" i="1"/>
  <c r="AT576" i="1"/>
  <c r="EL576" i="1"/>
  <c r="EM576" i="1"/>
  <c r="EP576" i="1"/>
  <c r="EU576" i="1"/>
  <c r="EV576" i="1"/>
  <c r="EW576" i="1"/>
  <c r="EE576" i="1"/>
  <c r="DU576" i="1"/>
  <c r="EQ576" i="1"/>
  <c r="DR576" i="1"/>
  <c r="ET576" i="1"/>
  <c r="DH576" i="1"/>
  <c r="CY576" i="1"/>
  <c r="DA576" i="1"/>
  <c r="CK576" i="1"/>
  <c r="DB576" i="1"/>
  <c r="CB576" i="1"/>
  <c r="CC576" i="1"/>
  <c r="EN576" i="1"/>
  <c r="BH576" i="1"/>
  <c r="BA576" i="1"/>
  <c r="O576" i="1"/>
  <c r="EW583" i="1"/>
  <c r="EU583" i="1"/>
  <c r="EV583" i="1"/>
  <c r="EP583" i="1"/>
  <c r="EM583" i="1"/>
  <c r="EL583" i="1"/>
  <c r="EE583" i="1"/>
  <c r="DU583" i="1"/>
  <c r="EQ583" i="1"/>
  <c r="DR583" i="1"/>
  <c r="ET583" i="1"/>
  <c r="DH583" i="1"/>
  <c r="DA583" i="1"/>
  <c r="CY583" i="1"/>
  <c r="CK583" i="1"/>
  <c r="CC583" i="1"/>
  <c r="EN583" i="1"/>
  <c r="CB583" i="1"/>
  <c r="BH583" i="1"/>
  <c r="BA583" i="1"/>
  <c r="AT583" i="1"/>
  <c r="O583" i="1"/>
  <c r="EW575" i="1"/>
  <c r="EU575" i="1"/>
  <c r="EV575" i="1"/>
  <c r="EP575" i="1"/>
  <c r="EM575" i="1"/>
  <c r="EL575" i="1"/>
  <c r="EE575" i="1"/>
  <c r="DU575" i="1"/>
  <c r="EQ575" i="1"/>
  <c r="DR575" i="1"/>
  <c r="ET575" i="1"/>
  <c r="DH575" i="1"/>
  <c r="DA575" i="1"/>
  <c r="CY575" i="1"/>
  <c r="CK575" i="1"/>
  <c r="CC575" i="1"/>
  <c r="EN575" i="1"/>
  <c r="CB575" i="1"/>
  <c r="BH575" i="1"/>
  <c r="BA575" i="1"/>
  <c r="AT575" i="1"/>
  <c r="O575" i="1"/>
  <c r="EW731" i="1"/>
  <c r="EP731" i="1"/>
  <c r="EM731" i="1"/>
  <c r="EL731" i="1"/>
  <c r="EE731" i="1"/>
  <c r="DU731" i="1"/>
  <c r="EQ731" i="1"/>
  <c r="DR731" i="1"/>
  <c r="ET731" i="1"/>
  <c r="DH731" i="1"/>
  <c r="DA731" i="1"/>
  <c r="CY731" i="1"/>
  <c r="EU731" i="1"/>
  <c r="EV731" i="1"/>
  <c r="CC731" i="1"/>
  <c r="EN731" i="1"/>
  <c r="CB731" i="1"/>
  <c r="BH731" i="1"/>
  <c r="BA731" i="1"/>
  <c r="AT731" i="1"/>
  <c r="O731" i="1"/>
  <c r="EW925" i="1"/>
  <c r="EU925" i="1"/>
  <c r="EV925" i="1"/>
  <c r="EP925" i="1"/>
  <c r="EM925" i="1"/>
  <c r="EL925" i="1"/>
  <c r="EE925" i="1"/>
  <c r="DU925" i="1"/>
  <c r="EQ925" i="1"/>
  <c r="DR925" i="1"/>
  <c r="ET925" i="1"/>
  <c r="DH925" i="1"/>
  <c r="DA925" i="1"/>
  <c r="CY925" i="1"/>
  <c r="CK925" i="1"/>
  <c r="CC925" i="1"/>
  <c r="EN925" i="1"/>
  <c r="CB925" i="1"/>
  <c r="BH925" i="1"/>
  <c r="BA925" i="1"/>
  <c r="AT925" i="1"/>
  <c r="EW924" i="1"/>
  <c r="EU924" i="1"/>
  <c r="EV924" i="1"/>
  <c r="EP924" i="1"/>
  <c r="EM924" i="1"/>
  <c r="EL924" i="1"/>
  <c r="EE924" i="1"/>
  <c r="DU924" i="1"/>
  <c r="EQ924" i="1"/>
  <c r="DR924" i="1"/>
  <c r="ET924" i="1"/>
  <c r="DH924" i="1"/>
  <c r="DA924" i="1"/>
  <c r="CY924" i="1"/>
  <c r="CK924" i="1"/>
  <c r="CC924" i="1"/>
  <c r="EN924" i="1"/>
  <c r="CB924" i="1"/>
  <c r="BH924" i="1"/>
  <c r="BA924" i="1"/>
  <c r="AT924" i="1"/>
  <c r="AT792" i="1"/>
  <c r="AT789" i="1"/>
  <c r="EW789" i="1"/>
  <c r="EP789" i="1"/>
  <c r="EM789" i="1"/>
  <c r="EL789" i="1"/>
  <c r="EE789" i="1"/>
  <c r="DU789" i="1"/>
  <c r="EQ789" i="1"/>
  <c r="DR789" i="1"/>
  <c r="ET789" i="1"/>
  <c r="DH789" i="1"/>
  <c r="DA789" i="1"/>
  <c r="CY789" i="1"/>
  <c r="EU789" i="1"/>
  <c r="EV789" i="1"/>
  <c r="CC789" i="1"/>
  <c r="EN789" i="1"/>
  <c r="CB789" i="1"/>
  <c r="BH789" i="1"/>
  <c r="BA789" i="1"/>
  <c r="O789" i="1"/>
  <c r="EW792" i="1"/>
  <c r="EU792" i="1"/>
  <c r="EV792" i="1"/>
  <c r="EP792" i="1"/>
  <c r="EM792" i="1"/>
  <c r="EL792" i="1"/>
  <c r="EE792" i="1"/>
  <c r="DU792" i="1"/>
  <c r="EQ792" i="1"/>
  <c r="DR792" i="1"/>
  <c r="ET792" i="1"/>
  <c r="DH792" i="1"/>
  <c r="DA792" i="1"/>
  <c r="CY792" i="1"/>
  <c r="CK792" i="1"/>
  <c r="CC792" i="1"/>
  <c r="EN792" i="1"/>
  <c r="CB792" i="1"/>
  <c r="BH792" i="1"/>
  <c r="BA792" i="1"/>
  <c r="O792" i="1"/>
  <c r="EW581" i="1"/>
  <c r="EU581" i="1"/>
  <c r="EV581" i="1"/>
  <c r="EP581" i="1"/>
  <c r="EM581" i="1"/>
  <c r="EL581" i="1"/>
  <c r="EE581" i="1"/>
  <c r="DU581" i="1"/>
  <c r="EQ581" i="1"/>
  <c r="DR581" i="1"/>
  <c r="ET581" i="1"/>
  <c r="DH581" i="1"/>
  <c r="DA581" i="1"/>
  <c r="CY581" i="1"/>
  <c r="CK581" i="1"/>
  <c r="CC581" i="1"/>
  <c r="EN581" i="1"/>
  <c r="CB581" i="1"/>
  <c r="BH581" i="1"/>
  <c r="BA581" i="1"/>
  <c r="AT581" i="1"/>
  <c r="O581" i="1"/>
  <c r="EW588" i="1"/>
  <c r="EU588" i="1"/>
  <c r="EV588" i="1"/>
  <c r="EP588" i="1"/>
  <c r="EM588" i="1"/>
  <c r="EL588" i="1"/>
  <c r="EE588" i="1"/>
  <c r="DU588" i="1"/>
  <c r="EQ588" i="1"/>
  <c r="DR588" i="1"/>
  <c r="ET588" i="1"/>
  <c r="DH588" i="1"/>
  <c r="DA588" i="1"/>
  <c r="CY588" i="1"/>
  <c r="CK588" i="1"/>
  <c r="CC588" i="1"/>
  <c r="EN588" i="1"/>
  <c r="CB588" i="1"/>
  <c r="BH588" i="1"/>
  <c r="BA588" i="1"/>
  <c r="AT588" i="1"/>
  <c r="O588" i="1"/>
  <c r="BH578" i="1"/>
  <c r="BA578" i="1"/>
  <c r="EW578" i="1"/>
  <c r="EU578" i="1"/>
  <c r="EV578" i="1"/>
  <c r="EP578" i="1"/>
  <c r="EM578" i="1"/>
  <c r="EL578" i="1"/>
  <c r="EE578" i="1"/>
  <c r="DU578" i="1"/>
  <c r="EQ578" i="1"/>
  <c r="DR578" i="1"/>
  <c r="ET578" i="1"/>
  <c r="DH578" i="1"/>
  <c r="DA578" i="1"/>
  <c r="CY578" i="1"/>
  <c r="CK578" i="1"/>
  <c r="CC578" i="1"/>
  <c r="EN578" i="1"/>
  <c r="CB578" i="1"/>
  <c r="AT578" i="1"/>
  <c r="O578" i="1"/>
  <c r="BH593" i="1"/>
  <c r="BA593" i="1"/>
  <c r="AT593" i="1"/>
  <c r="BH585" i="1"/>
  <c r="BA585" i="1"/>
  <c r="EW585" i="1"/>
  <c r="EU585" i="1"/>
  <c r="EV585" i="1"/>
  <c r="EP585" i="1"/>
  <c r="EM585" i="1"/>
  <c r="EL585" i="1"/>
  <c r="EE585" i="1"/>
  <c r="DU585" i="1"/>
  <c r="EQ585" i="1"/>
  <c r="DR585" i="1"/>
  <c r="ET585" i="1"/>
  <c r="DH585" i="1"/>
  <c r="DA585" i="1"/>
  <c r="CY585" i="1"/>
  <c r="CK585" i="1"/>
  <c r="CC585" i="1"/>
  <c r="EN585" i="1"/>
  <c r="CB585" i="1"/>
  <c r="AT585" i="1"/>
  <c r="O585" i="1"/>
  <c r="AT587" i="1"/>
  <c r="BA587" i="1"/>
  <c r="BH587" i="1"/>
  <c r="EW587" i="1"/>
  <c r="EU587" i="1"/>
  <c r="EV587" i="1"/>
  <c r="EP587" i="1"/>
  <c r="EM587" i="1"/>
  <c r="EL587" i="1"/>
  <c r="EE587" i="1"/>
  <c r="DU587" i="1"/>
  <c r="EQ587" i="1"/>
  <c r="DR587" i="1"/>
  <c r="ET587" i="1"/>
  <c r="DH587" i="1"/>
  <c r="DA587" i="1"/>
  <c r="CY587" i="1"/>
  <c r="CK587" i="1"/>
  <c r="CC587" i="1"/>
  <c r="EN587" i="1"/>
  <c r="CB587" i="1"/>
  <c r="O587" i="1"/>
  <c r="EE357" i="1"/>
  <c r="EE358" i="1"/>
  <c r="EW593" i="1"/>
  <c r="EU593" i="1"/>
  <c r="EV593" i="1"/>
  <c r="EP593" i="1"/>
  <c r="EM593" i="1"/>
  <c r="EL593" i="1"/>
  <c r="EE593" i="1"/>
  <c r="DU593" i="1"/>
  <c r="EQ593" i="1"/>
  <c r="DR593" i="1"/>
  <c r="ET593" i="1"/>
  <c r="DH593" i="1"/>
  <c r="DA593" i="1"/>
  <c r="CY593" i="1"/>
  <c r="CK593" i="1"/>
  <c r="CC593" i="1"/>
  <c r="EN593" i="1"/>
  <c r="CB593" i="1"/>
  <c r="O593" i="1"/>
  <c r="BH579" i="1"/>
  <c r="BH584" i="1"/>
  <c r="BA579" i="1"/>
  <c r="BA584" i="1"/>
  <c r="EW579" i="1"/>
  <c r="EU579" i="1"/>
  <c r="EV579" i="1"/>
  <c r="EP579" i="1"/>
  <c r="EM579" i="1"/>
  <c r="EL579" i="1"/>
  <c r="EE579" i="1"/>
  <c r="DU579" i="1"/>
  <c r="EQ579" i="1"/>
  <c r="DR579" i="1"/>
  <c r="ET579" i="1"/>
  <c r="DH579" i="1"/>
  <c r="DA579" i="1"/>
  <c r="CY579" i="1"/>
  <c r="CK579" i="1"/>
  <c r="CC579" i="1"/>
  <c r="EN579" i="1"/>
  <c r="CB579" i="1"/>
  <c r="AT579" i="1"/>
  <c r="O579" i="1"/>
  <c r="EW584" i="1"/>
  <c r="EU584" i="1"/>
  <c r="EV584" i="1"/>
  <c r="EP584" i="1"/>
  <c r="EM584" i="1"/>
  <c r="EL584" i="1"/>
  <c r="EE584" i="1"/>
  <c r="DU584" i="1"/>
  <c r="EQ584" i="1"/>
  <c r="DR584" i="1"/>
  <c r="ET584" i="1"/>
  <c r="DH584" i="1"/>
  <c r="DA584" i="1"/>
  <c r="CY584" i="1"/>
  <c r="CK584" i="1"/>
  <c r="CC584" i="1"/>
  <c r="EN584" i="1"/>
  <c r="CB584" i="1"/>
  <c r="AT584" i="1"/>
  <c r="O584" i="1"/>
  <c r="BH598" i="1"/>
  <c r="EW598" i="1"/>
  <c r="EU598" i="1"/>
  <c r="EV598" i="1"/>
  <c r="EP598" i="1"/>
  <c r="EM598" i="1"/>
  <c r="EL598" i="1"/>
  <c r="EE598" i="1"/>
  <c r="DU598" i="1"/>
  <c r="EQ598" i="1"/>
  <c r="DR598" i="1"/>
  <c r="ET598" i="1"/>
  <c r="DH598" i="1"/>
  <c r="DA598" i="1"/>
  <c r="CY598" i="1"/>
  <c r="CK598" i="1"/>
  <c r="CC598" i="1"/>
  <c r="EN598" i="1"/>
  <c r="CB598" i="1"/>
  <c r="BA598" i="1"/>
  <c r="AT598" i="1"/>
  <c r="O598" i="1"/>
  <c r="BA895" i="1"/>
  <c r="EP895" i="1"/>
  <c r="EE895" i="1"/>
  <c r="DH895" i="1"/>
  <c r="EQ895" i="1"/>
  <c r="DR895" i="1"/>
  <c r="ET895" i="1"/>
  <c r="DA895" i="1"/>
  <c r="CY895" i="1"/>
  <c r="CK895" i="1"/>
  <c r="CC895" i="1"/>
  <c r="EN895" i="1"/>
  <c r="CB895" i="1"/>
  <c r="BH895" i="1"/>
  <c r="AT895" i="1"/>
  <c r="AT573" i="1"/>
  <c r="EW573" i="1"/>
  <c r="EU573" i="1"/>
  <c r="EV573" i="1"/>
  <c r="EP573" i="1"/>
  <c r="EM573" i="1"/>
  <c r="EL573" i="1"/>
  <c r="EE573" i="1"/>
  <c r="DU573" i="1"/>
  <c r="EQ573" i="1"/>
  <c r="DR573" i="1"/>
  <c r="ET573" i="1"/>
  <c r="DH573" i="1"/>
  <c r="DA573" i="1"/>
  <c r="CY573" i="1"/>
  <c r="CK573" i="1"/>
  <c r="CC573" i="1"/>
  <c r="EN573" i="1"/>
  <c r="CB573" i="1"/>
  <c r="BH573" i="1"/>
  <c r="BA573" i="1"/>
  <c r="O573" i="1"/>
  <c r="EW660" i="1"/>
  <c r="EU660" i="1"/>
  <c r="EV660" i="1"/>
  <c r="EP660" i="1"/>
  <c r="EM660" i="1"/>
  <c r="EL660" i="1"/>
  <c r="EE660" i="1"/>
  <c r="DU660" i="1"/>
  <c r="EQ660" i="1"/>
  <c r="DR660" i="1"/>
  <c r="ET660" i="1"/>
  <c r="DH660" i="1"/>
  <c r="DA660" i="1"/>
  <c r="CY660" i="1"/>
  <c r="CC660" i="1"/>
  <c r="EN660" i="1"/>
  <c r="CB660" i="1"/>
  <c r="BH660" i="1"/>
  <c r="BA660" i="1"/>
  <c r="AT660" i="1"/>
  <c r="O660" i="1"/>
  <c r="BH586" i="1"/>
  <c r="BA586" i="1"/>
  <c r="AT586" i="1"/>
  <c r="EW586" i="1"/>
  <c r="EU586" i="1"/>
  <c r="EV586" i="1"/>
  <c r="EP586" i="1"/>
  <c r="EM586" i="1"/>
  <c r="EL586" i="1"/>
  <c r="EE586" i="1"/>
  <c r="DU586" i="1"/>
  <c r="EQ586" i="1"/>
  <c r="DR586" i="1"/>
  <c r="ET586" i="1"/>
  <c r="DH586" i="1"/>
  <c r="DA586" i="1"/>
  <c r="CY586" i="1"/>
  <c r="CK586" i="1"/>
  <c r="CC586" i="1"/>
  <c r="EN586" i="1"/>
  <c r="CB586" i="1"/>
  <c r="O586" i="1"/>
  <c r="EE545" i="1"/>
  <c r="EE543" i="1"/>
  <c r="EE539" i="1"/>
  <c r="EE504" i="1"/>
  <c r="DH504" i="1"/>
  <c r="BH236" i="1"/>
  <c r="EW236" i="1"/>
  <c r="EU236" i="1"/>
  <c r="EV236" i="1"/>
  <c r="EP236" i="1"/>
  <c r="EM236" i="1"/>
  <c r="EL236" i="1"/>
  <c r="EE236" i="1"/>
  <c r="DU236" i="1"/>
  <c r="EQ236" i="1"/>
  <c r="DR236" i="1"/>
  <c r="ET236" i="1"/>
  <c r="DH236" i="1"/>
  <c r="DA236" i="1"/>
  <c r="CY236" i="1"/>
  <c r="CK236" i="1"/>
  <c r="CC236" i="1"/>
  <c r="EN236" i="1"/>
  <c r="CB236" i="1"/>
  <c r="BA236" i="1"/>
  <c r="AT236" i="1"/>
  <c r="O236" i="1"/>
  <c r="AT574" i="1"/>
  <c r="BA574" i="1"/>
  <c r="BH574" i="1"/>
  <c r="EW574" i="1"/>
  <c r="EU574" i="1"/>
  <c r="EV574" i="1"/>
  <c r="EP574" i="1"/>
  <c r="EM574" i="1"/>
  <c r="EL574" i="1"/>
  <c r="EE574" i="1"/>
  <c r="DU574" i="1"/>
  <c r="EQ574" i="1"/>
  <c r="DR574" i="1"/>
  <c r="ET574" i="1"/>
  <c r="DH574" i="1"/>
  <c r="DA574" i="1"/>
  <c r="CY574" i="1"/>
  <c r="CK574" i="1"/>
  <c r="CC574" i="1"/>
  <c r="EN574" i="1"/>
  <c r="CB574" i="1"/>
  <c r="O574" i="1"/>
  <c r="EW572" i="1"/>
  <c r="EU572" i="1"/>
  <c r="EV572" i="1"/>
  <c r="EP572" i="1"/>
  <c r="EM572" i="1"/>
  <c r="EL572" i="1"/>
  <c r="EE572" i="1"/>
  <c r="DU572" i="1"/>
  <c r="EQ572" i="1"/>
  <c r="DR572" i="1"/>
  <c r="ET572" i="1"/>
  <c r="DH572" i="1"/>
  <c r="DA572" i="1"/>
  <c r="CY572" i="1"/>
  <c r="CK572" i="1"/>
  <c r="CC572" i="1"/>
  <c r="EN572" i="1"/>
  <c r="CB572" i="1"/>
  <c r="BH572" i="1"/>
  <c r="BA572" i="1"/>
  <c r="AT572" i="1"/>
  <c r="O572" i="1"/>
  <c r="EW610" i="1"/>
  <c r="EP610" i="1"/>
  <c r="EM610" i="1"/>
  <c r="EL610" i="1"/>
  <c r="EE610" i="1"/>
  <c r="DU610" i="1"/>
  <c r="EQ610" i="1"/>
  <c r="DR610" i="1"/>
  <c r="ET610" i="1"/>
  <c r="DH610" i="1"/>
  <c r="DA610" i="1"/>
  <c r="CY610" i="1"/>
  <c r="EU610" i="1"/>
  <c r="EV610" i="1"/>
  <c r="CC610" i="1"/>
  <c r="EN610" i="1"/>
  <c r="CB610" i="1"/>
  <c r="BH610" i="1"/>
  <c r="BA610" i="1"/>
  <c r="AT610" i="1"/>
  <c r="O610" i="1"/>
  <c r="AT605" i="1"/>
  <c r="EW605" i="1"/>
  <c r="EU605" i="1"/>
  <c r="EV605" i="1"/>
  <c r="EP605" i="1"/>
  <c r="EM605" i="1"/>
  <c r="EL605" i="1"/>
  <c r="EE605" i="1"/>
  <c r="DU605" i="1"/>
  <c r="EQ605" i="1"/>
  <c r="DR605" i="1"/>
  <c r="ET605" i="1"/>
  <c r="DH605" i="1"/>
  <c r="DA605" i="1"/>
  <c r="CY605" i="1"/>
  <c r="CK605" i="1"/>
  <c r="CC605" i="1"/>
  <c r="EN605" i="1"/>
  <c r="CB605" i="1"/>
  <c r="BH605" i="1"/>
  <c r="BA605" i="1"/>
  <c r="O605" i="1"/>
  <c r="EW606" i="1"/>
  <c r="EU606" i="1"/>
  <c r="EV606" i="1"/>
  <c r="EP606" i="1"/>
  <c r="EM606" i="1"/>
  <c r="EL606" i="1"/>
  <c r="EE606" i="1"/>
  <c r="DU606" i="1"/>
  <c r="EQ606" i="1"/>
  <c r="DR606" i="1"/>
  <c r="ET606" i="1"/>
  <c r="DH606" i="1"/>
  <c r="DA606" i="1"/>
  <c r="CY606" i="1"/>
  <c r="CK606" i="1"/>
  <c r="CC606" i="1"/>
  <c r="EN606" i="1"/>
  <c r="CB606" i="1"/>
  <c r="BH606" i="1"/>
  <c r="BA606" i="1"/>
  <c r="AT606" i="1"/>
  <c r="O606" i="1"/>
  <c r="BA133" i="1"/>
  <c r="BH133" i="1"/>
  <c r="AT133" i="1"/>
  <c r="EW133" i="1"/>
  <c r="EU133" i="1"/>
  <c r="EV133" i="1"/>
  <c r="EP133" i="1"/>
  <c r="EM133" i="1"/>
  <c r="EL133" i="1"/>
  <c r="EE133" i="1"/>
  <c r="DU133" i="1"/>
  <c r="EQ133" i="1"/>
  <c r="DR133" i="1"/>
  <c r="ET133" i="1"/>
  <c r="DH133" i="1"/>
  <c r="DA133" i="1"/>
  <c r="CY133" i="1"/>
  <c r="CK133" i="1"/>
  <c r="CC133" i="1"/>
  <c r="EN133" i="1"/>
  <c r="CB133" i="1"/>
  <c r="O133" i="1"/>
  <c r="BH564" i="1"/>
  <c r="BA564" i="1"/>
  <c r="EW564" i="1"/>
  <c r="EU564" i="1"/>
  <c r="EV564" i="1"/>
  <c r="EP564" i="1"/>
  <c r="EM564" i="1"/>
  <c r="EL564" i="1"/>
  <c r="EE564" i="1"/>
  <c r="DU564" i="1"/>
  <c r="EQ564" i="1"/>
  <c r="DR564" i="1"/>
  <c r="ET564" i="1"/>
  <c r="DH564" i="1"/>
  <c r="DA564" i="1"/>
  <c r="CY564" i="1"/>
  <c r="CK564" i="1"/>
  <c r="CC564" i="1"/>
  <c r="EN564" i="1"/>
  <c r="CB564" i="1"/>
  <c r="AT564" i="1"/>
  <c r="O564" i="1"/>
  <c r="O527" i="1"/>
  <c r="EE368" i="1"/>
  <c r="O562" i="1"/>
  <c r="EW562" i="1"/>
  <c r="EU562" i="1"/>
  <c r="EV562" i="1"/>
  <c r="EP562" i="1"/>
  <c r="EM562" i="1"/>
  <c r="EL562" i="1"/>
  <c r="EE562" i="1"/>
  <c r="DU562" i="1"/>
  <c r="EQ562" i="1"/>
  <c r="DR562" i="1"/>
  <c r="ET562" i="1"/>
  <c r="DH562" i="1"/>
  <c r="DA562" i="1"/>
  <c r="CY562" i="1"/>
  <c r="CK562" i="1"/>
  <c r="CC562" i="1"/>
  <c r="EN562" i="1"/>
  <c r="CB562" i="1"/>
  <c r="BH562" i="1"/>
  <c r="BA562" i="1"/>
  <c r="AT562" i="1"/>
  <c r="EW168" i="1"/>
  <c r="EU168" i="1"/>
  <c r="EV168" i="1"/>
  <c r="EP168" i="1"/>
  <c r="EM168" i="1"/>
  <c r="EL168" i="1"/>
  <c r="DU168" i="1"/>
  <c r="EQ168" i="1"/>
  <c r="DR168" i="1"/>
  <c r="ET168" i="1"/>
  <c r="DH168" i="1"/>
  <c r="DA168" i="1"/>
  <c r="CY168" i="1"/>
  <c r="CK168" i="1"/>
  <c r="CC168" i="1"/>
  <c r="EN168" i="1"/>
  <c r="CB168" i="1"/>
  <c r="BH168" i="1"/>
  <c r="BA168" i="1"/>
  <c r="AT168" i="1"/>
  <c r="O168" i="1"/>
  <c r="EW154" i="1"/>
  <c r="EU154" i="1"/>
  <c r="EV154" i="1"/>
  <c r="EP154" i="1"/>
  <c r="EM154" i="1"/>
  <c r="EL154" i="1"/>
  <c r="EE154" i="1"/>
  <c r="DU154" i="1"/>
  <c r="EQ154" i="1"/>
  <c r="DR154" i="1"/>
  <c r="ET154" i="1"/>
  <c r="DH154" i="1"/>
  <c r="DA154" i="1"/>
  <c r="CY154" i="1"/>
  <c r="CK154" i="1"/>
  <c r="CC154" i="1"/>
  <c r="EN154" i="1"/>
  <c r="CB154" i="1"/>
  <c r="BH154" i="1"/>
  <c r="BA154" i="1"/>
  <c r="AT154" i="1"/>
  <c r="O154" i="1"/>
  <c r="EW216" i="1"/>
  <c r="EU216" i="1"/>
  <c r="EV216" i="1"/>
  <c r="EP216" i="1"/>
  <c r="EM216" i="1"/>
  <c r="EL216" i="1"/>
  <c r="EE216" i="1"/>
  <c r="DU216" i="1"/>
  <c r="EQ216" i="1"/>
  <c r="DR216" i="1"/>
  <c r="ET216" i="1"/>
  <c r="DH216" i="1"/>
  <c r="DA216" i="1"/>
  <c r="CY216" i="1"/>
  <c r="CK216" i="1"/>
  <c r="CC216" i="1"/>
  <c r="EN216" i="1"/>
  <c r="CB216" i="1"/>
  <c r="BH216" i="1"/>
  <c r="BA216" i="1"/>
  <c r="AT216" i="1"/>
  <c r="O216" i="1"/>
  <c r="AT563" i="1"/>
  <c r="BA563" i="1"/>
  <c r="BH563" i="1"/>
  <c r="EW563" i="1"/>
  <c r="EU563" i="1"/>
  <c r="EV563" i="1"/>
  <c r="EP563" i="1"/>
  <c r="EM563" i="1"/>
  <c r="EL563" i="1"/>
  <c r="EE563" i="1"/>
  <c r="DU563" i="1"/>
  <c r="EQ563" i="1"/>
  <c r="DR563" i="1"/>
  <c r="ET563" i="1"/>
  <c r="DH563" i="1"/>
  <c r="DA563" i="1"/>
  <c r="CY563" i="1"/>
  <c r="CK563" i="1"/>
  <c r="CC563" i="1"/>
  <c r="EN563" i="1"/>
  <c r="CB563" i="1"/>
  <c r="O563" i="1"/>
  <c r="EW568" i="1"/>
  <c r="EU568" i="1"/>
  <c r="EV568" i="1"/>
  <c r="EP568" i="1"/>
  <c r="EM568" i="1"/>
  <c r="EL568" i="1"/>
  <c r="EE568" i="1"/>
  <c r="DU568" i="1"/>
  <c r="EQ568" i="1"/>
  <c r="DR568" i="1"/>
  <c r="ET568" i="1"/>
  <c r="DH568" i="1"/>
  <c r="DA568" i="1"/>
  <c r="CY568" i="1"/>
  <c r="CK568" i="1"/>
  <c r="CC568" i="1"/>
  <c r="EN568" i="1"/>
  <c r="CB568" i="1"/>
  <c r="BH568" i="1"/>
  <c r="BA568" i="1"/>
  <c r="AT568" i="1"/>
  <c r="O568" i="1"/>
  <c r="EE487" i="1"/>
  <c r="DH487" i="1"/>
  <c r="DU570" i="1"/>
  <c r="EE468" i="1"/>
  <c r="EL570" i="1"/>
  <c r="EM570" i="1"/>
  <c r="EP570" i="1"/>
  <c r="EU570" i="1"/>
  <c r="EV570" i="1"/>
  <c r="EW570" i="1"/>
  <c r="EE570" i="1"/>
  <c r="EQ570" i="1"/>
  <c r="DR570" i="1"/>
  <c r="ET570" i="1"/>
  <c r="DH570" i="1"/>
  <c r="DA570" i="1"/>
  <c r="DB570" i="1"/>
  <c r="CB570" i="1"/>
  <c r="CC570" i="1"/>
  <c r="EN570" i="1"/>
  <c r="BH570" i="1"/>
  <c r="BA570" i="1"/>
  <c r="AT570" i="1"/>
  <c r="O570" i="1"/>
  <c r="EW571" i="1"/>
  <c r="EU571" i="1"/>
  <c r="EV571" i="1"/>
  <c r="EP571" i="1"/>
  <c r="EM571" i="1"/>
  <c r="EL571" i="1"/>
  <c r="EE571" i="1"/>
  <c r="DU571" i="1"/>
  <c r="EQ571" i="1"/>
  <c r="DR571" i="1"/>
  <c r="ET571" i="1"/>
  <c r="DH571" i="1"/>
  <c r="DA571" i="1"/>
  <c r="CY571" i="1"/>
  <c r="CC571" i="1"/>
  <c r="EN571" i="1"/>
  <c r="CB571" i="1"/>
  <c r="BH571" i="1"/>
  <c r="BA571" i="1"/>
  <c r="AT571" i="1"/>
  <c r="O571" i="1"/>
  <c r="BH683" i="1"/>
  <c r="BA683" i="1"/>
  <c r="AT683" i="1"/>
  <c r="EE443" i="1"/>
  <c r="AT682" i="1"/>
  <c r="CB560" i="1"/>
  <c r="CC560" i="1"/>
  <c r="EL554" i="1"/>
  <c r="EM554" i="1"/>
  <c r="EP554" i="1"/>
  <c r="EU554" i="1"/>
  <c r="EV554" i="1"/>
  <c r="EW554" i="1"/>
  <c r="EE554" i="1"/>
  <c r="DU554" i="1"/>
  <c r="EQ554" i="1"/>
  <c r="DR554" i="1"/>
  <c r="ET554" i="1"/>
  <c r="DH554" i="1"/>
  <c r="CY554" i="1"/>
  <c r="DA554" i="1"/>
  <c r="CK554" i="1"/>
  <c r="DB554" i="1"/>
  <c r="CB554" i="1"/>
  <c r="CC554" i="1"/>
  <c r="EN554" i="1"/>
  <c r="BH554" i="1"/>
  <c r="BA554" i="1"/>
  <c r="AT554" i="1"/>
  <c r="O554" i="1"/>
  <c r="EL590" i="1"/>
  <c r="EM590" i="1"/>
  <c r="EP590" i="1"/>
  <c r="EU590" i="1"/>
  <c r="EV590" i="1"/>
  <c r="EW590" i="1"/>
  <c r="EE590" i="1"/>
  <c r="DU590" i="1"/>
  <c r="EQ590" i="1"/>
  <c r="DR590" i="1"/>
  <c r="ET590" i="1"/>
  <c r="DH590" i="1"/>
  <c r="CY590" i="1"/>
  <c r="DA590" i="1"/>
  <c r="CK590" i="1"/>
  <c r="DB590" i="1"/>
  <c r="CB590" i="1"/>
  <c r="CC590" i="1"/>
  <c r="EN590" i="1"/>
  <c r="BH590" i="1"/>
  <c r="BA590" i="1"/>
  <c r="AT590" i="1"/>
  <c r="O590" i="1"/>
  <c r="EE382" i="1"/>
  <c r="EW556" i="1"/>
  <c r="EU556" i="1"/>
  <c r="EV556" i="1"/>
  <c r="EP556" i="1"/>
  <c r="EM556" i="1"/>
  <c r="EL556" i="1"/>
  <c r="EE556" i="1"/>
  <c r="DU556" i="1"/>
  <c r="EQ556" i="1"/>
  <c r="DR556" i="1"/>
  <c r="ET556" i="1"/>
  <c r="DH556" i="1"/>
  <c r="DA556" i="1"/>
  <c r="CY556" i="1"/>
  <c r="CK556" i="1"/>
  <c r="CC556" i="1"/>
  <c r="EN556" i="1"/>
  <c r="CB556" i="1"/>
  <c r="BH556" i="1"/>
  <c r="BA556" i="1"/>
  <c r="AT556" i="1"/>
  <c r="O556" i="1"/>
  <c r="BH547" i="1"/>
  <c r="BA547" i="1"/>
  <c r="EW547" i="1"/>
  <c r="EU547" i="1"/>
  <c r="EV547" i="1"/>
  <c r="EP547" i="1"/>
  <c r="EM547" i="1"/>
  <c r="EL547" i="1"/>
  <c r="EE547" i="1"/>
  <c r="DU547" i="1"/>
  <c r="EQ547" i="1"/>
  <c r="DR547" i="1"/>
  <c r="ET547" i="1"/>
  <c r="DH547" i="1"/>
  <c r="DA547" i="1"/>
  <c r="CY547" i="1"/>
  <c r="CK547" i="1"/>
  <c r="CC547" i="1"/>
  <c r="EN547" i="1"/>
  <c r="CB547" i="1"/>
  <c r="AT547" i="1"/>
  <c r="O547" i="1"/>
  <c r="O545" i="1"/>
  <c r="CB545" i="1"/>
  <c r="CC540" i="1"/>
  <c r="CC541" i="1"/>
  <c r="CC543" i="1"/>
  <c r="CC544" i="1"/>
  <c r="CC545" i="1"/>
  <c r="CC548" i="1"/>
  <c r="CC549" i="1"/>
  <c r="CC550" i="1"/>
  <c r="CC551" i="1"/>
  <c r="CC552" i="1"/>
  <c r="CC553" i="1"/>
  <c r="CC555" i="1"/>
  <c r="CC557" i="1"/>
  <c r="CC559" i="1"/>
  <c r="CC542" i="1"/>
  <c r="EN542" i="1"/>
  <c r="EW551" i="1"/>
  <c r="EU551" i="1"/>
  <c r="EV551" i="1"/>
  <c r="EP551" i="1"/>
  <c r="EM551" i="1"/>
  <c r="EL551" i="1"/>
  <c r="EE551" i="1"/>
  <c r="DU551" i="1"/>
  <c r="EQ551" i="1"/>
  <c r="DR551" i="1"/>
  <c r="ET551" i="1"/>
  <c r="DH551" i="1"/>
  <c r="DA551" i="1"/>
  <c r="CY551" i="1"/>
  <c r="CK551" i="1"/>
  <c r="EN551" i="1"/>
  <c r="CB551" i="1"/>
  <c r="BH551" i="1"/>
  <c r="BA551" i="1"/>
  <c r="O551" i="1"/>
  <c r="AX3" i="3"/>
  <c r="AX4" i="3"/>
  <c r="AX5" i="3"/>
  <c r="AX6" i="3"/>
  <c r="AX7" i="3"/>
  <c r="AX8" i="3"/>
  <c r="AX9" i="3"/>
  <c r="AX10" i="3"/>
  <c r="AX11" i="3"/>
  <c r="AX12" i="3"/>
  <c r="AX13" i="3"/>
  <c r="AT13" i="3"/>
  <c r="AV13" i="3"/>
  <c r="AR13" i="3"/>
  <c r="AT12" i="3"/>
  <c r="AV12" i="3"/>
  <c r="AR12" i="3"/>
  <c r="AT11" i="3"/>
  <c r="AV11" i="3"/>
  <c r="AR11" i="3"/>
  <c r="AT10" i="3"/>
  <c r="AV10" i="3"/>
  <c r="AR10" i="3"/>
  <c r="AT9" i="3"/>
  <c r="AV9" i="3"/>
  <c r="AR9" i="3"/>
  <c r="AJ3" i="3"/>
  <c r="AK3" i="3"/>
  <c r="AL3" i="3"/>
  <c r="AM3" i="3"/>
  <c r="AN3" i="3"/>
  <c r="AI4" i="3"/>
  <c r="AJ4" i="3"/>
  <c r="AK4" i="3"/>
  <c r="AL4" i="3"/>
  <c r="AM4" i="3"/>
  <c r="AN4" i="3"/>
  <c r="AI5" i="3"/>
  <c r="AJ5" i="3"/>
  <c r="AK5" i="3"/>
  <c r="AL5" i="3"/>
  <c r="AM5" i="3"/>
  <c r="AN5" i="3"/>
  <c r="AI6" i="3"/>
  <c r="AJ6" i="3"/>
  <c r="AK6" i="3"/>
  <c r="AL6" i="3"/>
  <c r="AM6" i="3"/>
  <c r="AN6" i="3"/>
  <c r="AI7" i="3"/>
  <c r="AJ7" i="3"/>
  <c r="AK7" i="3"/>
  <c r="AL7" i="3"/>
  <c r="AM7" i="3"/>
  <c r="AN7" i="3"/>
  <c r="AI8" i="3"/>
  <c r="AJ8" i="3"/>
  <c r="AK8" i="3"/>
  <c r="AL8" i="3"/>
  <c r="AM8" i="3"/>
  <c r="AN8" i="3"/>
  <c r="AI9" i="3"/>
  <c r="AJ9" i="3"/>
  <c r="AK9" i="3"/>
  <c r="AL9" i="3"/>
  <c r="AM9" i="3"/>
  <c r="AN9" i="3"/>
  <c r="AI10" i="3"/>
  <c r="AJ10" i="3"/>
  <c r="AK10" i="3"/>
  <c r="AL10" i="3"/>
  <c r="AM10" i="3"/>
  <c r="AN10" i="3"/>
  <c r="AI11" i="3"/>
  <c r="AJ11" i="3"/>
  <c r="AK11" i="3"/>
  <c r="AL11" i="3"/>
  <c r="AM11" i="3"/>
  <c r="AN11" i="3"/>
  <c r="AI12" i="3"/>
  <c r="AJ12" i="3"/>
  <c r="AK12" i="3"/>
  <c r="AL12" i="3"/>
  <c r="AM12" i="3"/>
  <c r="AN12" i="3"/>
  <c r="AI13" i="3"/>
  <c r="AJ13" i="3"/>
  <c r="AK13" i="3"/>
  <c r="AL13" i="3"/>
  <c r="AM13" i="3"/>
  <c r="AN13" i="3"/>
  <c r="AI3" i="3"/>
  <c r="AE13" i="3"/>
  <c r="AE12" i="3"/>
  <c r="AE11" i="3"/>
  <c r="AE10" i="3"/>
  <c r="AE9" i="3"/>
  <c r="AE3" i="3"/>
  <c r="I3" i="3"/>
  <c r="H3" i="3"/>
  <c r="G3" i="3"/>
  <c r="F3" i="3"/>
  <c r="E3" i="3"/>
  <c r="D3" i="3"/>
  <c r="AE8" i="3"/>
  <c r="E7" i="3"/>
  <c r="F7" i="3"/>
  <c r="G7" i="3"/>
  <c r="H7" i="3"/>
  <c r="I7" i="3"/>
  <c r="AE7" i="3"/>
  <c r="D7" i="3"/>
  <c r="AE6" i="3"/>
  <c r="AE5" i="3"/>
  <c r="AE4" i="3"/>
  <c r="ET6" i="1"/>
  <c r="EU6" i="1"/>
  <c r="EV6" i="1"/>
  <c r="EW6" i="1"/>
  <c r="ET7" i="1"/>
  <c r="EU7" i="1"/>
  <c r="EV7" i="1"/>
  <c r="EW7" i="1"/>
  <c r="ET8" i="1"/>
  <c r="EU8" i="1"/>
  <c r="EV8" i="1"/>
  <c r="EW8" i="1"/>
  <c r="ET9" i="1"/>
  <c r="EU9" i="1"/>
  <c r="EV9" i="1"/>
  <c r="EW9" i="1"/>
  <c r="ET10" i="1"/>
  <c r="EU10" i="1"/>
  <c r="EV10" i="1"/>
  <c r="EW10" i="1"/>
  <c r="ET11" i="1"/>
  <c r="EU11" i="1"/>
  <c r="EV11" i="1"/>
  <c r="EW11" i="1"/>
  <c r="ET12" i="1"/>
  <c r="EU12" i="1"/>
  <c r="EV12" i="1"/>
  <c r="EW12" i="1"/>
  <c r="ET13" i="1"/>
  <c r="EU13" i="1"/>
  <c r="EV13" i="1"/>
  <c r="EW13" i="1"/>
  <c r="ET14" i="1"/>
  <c r="EU14" i="1"/>
  <c r="EV14" i="1"/>
  <c r="EW14" i="1"/>
  <c r="ET15" i="1"/>
  <c r="EU15" i="1"/>
  <c r="EV15" i="1"/>
  <c r="EW15" i="1"/>
  <c r="ET16" i="1"/>
  <c r="EU16" i="1"/>
  <c r="EV16" i="1"/>
  <c r="EW16" i="1"/>
  <c r="ET17" i="1"/>
  <c r="EU17" i="1"/>
  <c r="EV17" i="1"/>
  <c r="EW17" i="1"/>
  <c r="ET18" i="1"/>
  <c r="EU18" i="1"/>
  <c r="EV18" i="1"/>
  <c r="EW18" i="1"/>
  <c r="ET19" i="1"/>
  <c r="EU19" i="1"/>
  <c r="EV19" i="1"/>
  <c r="EW19" i="1"/>
  <c r="ET20" i="1"/>
  <c r="EU20" i="1"/>
  <c r="EV20" i="1"/>
  <c r="EW20" i="1"/>
  <c r="ET21" i="1"/>
  <c r="EU21" i="1"/>
  <c r="EV21" i="1"/>
  <c r="EW21" i="1"/>
  <c r="ET22" i="1"/>
  <c r="EU22" i="1"/>
  <c r="EV22" i="1"/>
  <c r="EW22" i="1"/>
  <c r="ET23" i="1"/>
  <c r="EU23" i="1"/>
  <c r="EV23" i="1"/>
  <c r="EW23" i="1"/>
  <c r="ET24" i="1"/>
  <c r="EU24" i="1"/>
  <c r="EV24" i="1"/>
  <c r="EW24" i="1"/>
  <c r="ET25" i="1"/>
  <c r="EU25" i="1"/>
  <c r="EV25" i="1"/>
  <c r="EW25" i="1"/>
  <c r="ET26" i="1"/>
  <c r="EU26" i="1"/>
  <c r="EV26" i="1"/>
  <c r="EW26" i="1"/>
  <c r="ET27" i="1"/>
  <c r="EU27" i="1"/>
  <c r="EV27" i="1"/>
  <c r="EW27" i="1"/>
  <c r="ET28" i="1"/>
  <c r="EU28" i="1"/>
  <c r="EV28" i="1"/>
  <c r="EW28" i="1"/>
  <c r="EW29" i="1"/>
  <c r="ET30" i="1"/>
  <c r="EU30" i="1"/>
  <c r="EV30" i="1"/>
  <c r="EW30" i="1"/>
  <c r="EW31" i="1"/>
  <c r="EW32" i="1"/>
  <c r="ET33" i="1"/>
  <c r="EU33" i="1"/>
  <c r="EV33" i="1"/>
  <c r="EW33" i="1"/>
  <c r="ET34" i="1"/>
  <c r="EU34" i="1"/>
  <c r="EV34" i="1"/>
  <c r="EW34" i="1"/>
  <c r="ET35" i="1"/>
  <c r="EU35" i="1"/>
  <c r="EV35" i="1"/>
  <c r="EW35" i="1"/>
  <c r="ET36" i="1"/>
  <c r="EU36" i="1"/>
  <c r="EV36" i="1"/>
  <c r="EW36" i="1"/>
  <c r="ET37" i="1"/>
  <c r="EU37" i="1"/>
  <c r="EV37" i="1"/>
  <c r="EW37" i="1"/>
  <c r="ET38" i="1"/>
  <c r="EU38" i="1"/>
  <c r="EV38" i="1"/>
  <c r="EW38" i="1"/>
  <c r="ET39" i="1"/>
  <c r="EU39" i="1"/>
  <c r="EV39" i="1"/>
  <c r="EW39" i="1"/>
  <c r="ET40" i="1"/>
  <c r="EU40" i="1"/>
  <c r="EV40" i="1"/>
  <c r="EW40" i="1"/>
  <c r="ET41" i="1"/>
  <c r="EU41" i="1"/>
  <c r="EV41" i="1"/>
  <c r="EW41" i="1"/>
  <c r="ET42" i="1"/>
  <c r="EU42" i="1"/>
  <c r="EV42" i="1"/>
  <c r="EW42" i="1"/>
  <c r="ET43" i="1"/>
  <c r="EU43" i="1"/>
  <c r="EV43" i="1"/>
  <c r="EW43" i="1"/>
  <c r="ET44" i="1"/>
  <c r="EU44" i="1"/>
  <c r="EV44" i="1"/>
  <c r="EW44" i="1"/>
  <c r="ET45" i="1"/>
  <c r="EU45" i="1"/>
  <c r="EV45" i="1"/>
  <c r="EW45" i="1"/>
  <c r="ET46" i="1"/>
  <c r="EU46" i="1"/>
  <c r="EV46" i="1"/>
  <c r="EW46" i="1"/>
  <c r="ET47" i="1"/>
  <c r="EU47" i="1"/>
  <c r="EV47" i="1"/>
  <c r="EW47" i="1"/>
  <c r="ET48" i="1"/>
  <c r="EU48" i="1"/>
  <c r="EV48" i="1"/>
  <c r="EW48" i="1"/>
  <c r="ET49" i="1"/>
  <c r="EU49" i="1"/>
  <c r="EV49" i="1"/>
  <c r="EW49" i="1"/>
  <c r="ET50" i="1"/>
  <c r="EU50" i="1"/>
  <c r="EV50" i="1"/>
  <c r="EW50" i="1"/>
  <c r="ET51" i="1"/>
  <c r="EU51" i="1"/>
  <c r="EV51" i="1"/>
  <c r="EW51" i="1"/>
  <c r="EW52" i="1"/>
  <c r="ET53" i="1"/>
  <c r="EU53" i="1"/>
  <c r="EV53" i="1"/>
  <c r="EW53" i="1"/>
  <c r="ET54" i="1"/>
  <c r="EU54" i="1"/>
  <c r="EV54" i="1"/>
  <c r="EW54" i="1"/>
  <c r="ET55" i="1"/>
  <c r="EU55" i="1"/>
  <c r="EV55" i="1"/>
  <c r="EW55" i="1"/>
  <c r="ET56" i="1"/>
  <c r="EU56" i="1"/>
  <c r="EV56" i="1"/>
  <c r="EW56" i="1"/>
  <c r="ET57" i="1"/>
  <c r="EU57" i="1"/>
  <c r="EV57" i="1"/>
  <c r="EW57" i="1"/>
  <c r="EW58" i="1"/>
  <c r="ET59" i="1"/>
  <c r="EU59" i="1"/>
  <c r="EV59" i="1"/>
  <c r="EW59" i="1"/>
  <c r="ET60" i="1"/>
  <c r="EU60" i="1"/>
  <c r="EV60" i="1"/>
  <c r="EW60" i="1"/>
  <c r="EW61" i="1"/>
  <c r="EW62" i="1"/>
  <c r="ET63" i="1"/>
  <c r="EU63" i="1"/>
  <c r="EV63" i="1"/>
  <c r="EW63" i="1"/>
  <c r="EW64" i="1"/>
  <c r="ET65" i="1"/>
  <c r="EU65" i="1"/>
  <c r="EV65" i="1"/>
  <c r="EW65" i="1"/>
  <c r="EW66" i="1"/>
  <c r="ET67" i="1"/>
  <c r="EU67" i="1"/>
  <c r="EV67" i="1"/>
  <c r="EW67" i="1"/>
  <c r="ET68" i="1"/>
  <c r="EU68" i="1"/>
  <c r="EV68" i="1"/>
  <c r="EW68" i="1"/>
  <c r="ET69" i="1"/>
  <c r="EU69" i="1"/>
  <c r="EV69" i="1"/>
  <c r="EW69" i="1"/>
  <c r="ET70" i="1"/>
  <c r="EU70" i="1"/>
  <c r="EV70" i="1"/>
  <c r="EW70" i="1"/>
  <c r="ET71" i="1"/>
  <c r="EU71" i="1"/>
  <c r="EV71" i="1"/>
  <c r="EW71" i="1"/>
  <c r="ET72" i="1"/>
  <c r="EU72" i="1"/>
  <c r="EV72" i="1"/>
  <c r="EW72" i="1"/>
  <c r="ET73" i="1"/>
  <c r="EU73" i="1"/>
  <c r="EV73" i="1"/>
  <c r="EW73" i="1"/>
  <c r="EW74" i="1"/>
  <c r="ET75" i="1"/>
  <c r="EU75" i="1"/>
  <c r="EV75" i="1"/>
  <c r="EW75" i="1"/>
  <c r="ET76" i="1"/>
  <c r="EU76" i="1"/>
  <c r="EV76" i="1"/>
  <c r="EW76" i="1"/>
  <c r="ET77" i="1"/>
  <c r="EU77" i="1"/>
  <c r="EV77" i="1"/>
  <c r="EW77" i="1"/>
  <c r="ET78" i="1"/>
  <c r="EU78" i="1"/>
  <c r="EV78" i="1"/>
  <c r="EW78" i="1"/>
  <c r="ET79" i="1"/>
  <c r="EU79" i="1"/>
  <c r="EV79" i="1"/>
  <c r="EW79" i="1"/>
  <c r="ET80" i="1"/>
  <c r="EU80" i="1"/>
  <c r="EV80" i="1"/>
  <c r="EW80" i="1"/>
  <c r="ET81" i="1"/>
  <c r="EU81" i="1"/>
  <c r="EV81" i="1"/>
  <c r="EW81" i="1"/>
  <c r="ET82" i="1"/>
  <c r="EU82" i="1"/>
  <c r="EV82" i="1"/>
  <c r="EW82" i="1"/>
  <c r="ET83" i="1"/>
  <c r="EU83" i="1"/>
  <c r="EV83" i="1"/>
  <c r="EW83" i="1"/>
  <c r="ET84" i="1"/>
  <c r="EU84" i="1"/>
  <c r="EV84" i="1"/>
  <c r="EW84" i="1"/>
  <c r="ET85" i="1"/>
  <c r="EU85" i="1"/>
  <c r="EV85" i="1"/>
  <c r="EW85" i="1"/>
  <c r="EW86" i="1"/>
  <c r="ET87" i="1"/>
  <c r="EU87" i="1"/>
  <c r="EV87" i="1"/>
  <c r="EW87" i="1"/>
  <c r="ET88" i="1"/>
  <c r="EU88" i="1"/>
  <c r="EV88" i="1"/>
  <c r="EW88" i="1"/>
  <c r="ET89" i="1"/>
  <c r="EU89" i="1"/>
  <c r="EV89" i="1"/>
  <c r="EW89" i="1"/>
  <c r="ET90" i="1"/>
  <c r="EU90" i="1"/>
  <c r="EV90" i="1"/>
  <c r="EW90" i="1"/>
  <c r="EW91" i="1"/>
  <c r="EW92" i="1"/>
  <c r="ET93" i="1"/>
  <c r="EU93" i="1"/>
  <c r="EV93" i="1"/>
  <c r="EW93" i="1"/>
  <c r="ET94" i="1"/>
  <c r="EU94" i="1"/>
  <c r="EV94" i="1"/>
  <c r="EW94" i="1"/>
  <c r="ET95" i="1"/>
  <c r="EU95" i="1"/>
  <c r="EV95" i="1"/>
  <c r="EW95" i="1"/>
  <c r="ET96" i="1"/>
  <c r="EU96" i="1"/>
  <c r="EV96" i="1"/>
  <c r="EW96" i="1"/>
  <c r="ET97" i="1"/>
  <c r="EU97" i="1"/>
  <c r="EV97" i="1"/>
  <c r="EW97" i="1"/>
  <c r="ET98" i="1"/>
  <c r="EU98" i="1"/>
  <c r="EV98" i="1"/>
  <c r="EW98" i="1"/>
  <c r="ET99" i="1"/>
  <c r="EU99" i="1"/>
  <c r="EV99" i="1"/>
  <c r="EW99" i="1"/>
  <c r="ET100" i="1"/>
  <c r="EU100" i="1"/>
  <c r="EV100" i="1"/>
  <c r="EW100" i="1"/>
  <c r="EW101" i="1"/>
  <c r="ET102" i="1"/>
  <c r="EU102" i="1"/>
  <c r="EV102" i="1"/>
  <c r="EW102" i="1"/>
  <c r="ET103" i="1"/>
  <c r="EU103" i="1"/>
  <c r="EV103" i="1"/>
  <c r="EW103" i="1"/>
  <c r="ET104" i="1"/>
  <c r="EU104" i="1"/>
  <c r="EV104" i="1"/>
  <c r="EW104" i="1"/>
  <c r="EW105" i="1"/>
  <c r="ET106" i="1"/>
  <c r="EU106" i="1"/>
  <c r="EV106" i="1"/>
  <c r="EW106" i="1"/>
  <c r="ET107" i="1"/>
  <c r="EU107" i="1"/>
  <c r="EV107" i="1"/>
  <c r="EW107" i="1"/>
  <c r="ET108" i="1"/>
  <c r="EU108" i="1"/>
  <c r="EV108" i="1"/>
  <c r="EW108" i="1"/>
  <c r="ET109" i="1"/>
  <c r="EU109" i="1"/>
  <c r="EV109" i="1"/>
  <c r="EW109" i="1"/>
  <c r="ET110" i="1"/>
  <c r="EU110" i="1"/>
  <c r="EV110" i="1"/>
  <c r="EW110" i="1"/>
  <c r="ET111" i="1"/>
  <c r="EU111" i="1"/>
  <c r="EV111" i="1"/>
  <c r="EW111" i="1"/>
  <c r="ET112" i="1"/>
  <c r="EU112" i="1"/>
  <c r="EV112" i="1"/>
  <c r="EW112" i="1"/>
  <c r="ET113" i="1"/>
  <c r="EU113" i="1"/>
  <c r="EV113" i="1"/>
  <c r="EW113" i="1"/>
  <c r="ET114" i="1"/>
  <c r="EU114" i="1"/>
  <c r="EV114" i="1"/>
  <c r="EW114" i="1"/>
  <c r="EW115" i="1"/>
  <c r="ET116" i="1"/>
  <c r="EU116" i="1"/>
  <c r="EV116" i="1"/>
  <c r="EW116" i="1"/>
  <c r="ET117" i="1"/>
  <c r="EU117" i="1"/>
  <c r="EV117" i="1"/>
  <c r="EW117" i="1"/>
  <c r="ET118" i="1"/>
  <c r="EU118" i="1"/>
  <c r="EV118" i="1"/>
  <c r="EW118" i="1"/>
  <c r="ET119" i="1"/>
  <c r="EU119" i="1"/>
  <c r="EV119" i="1"/>
  <c r="EW119" i="1"/>
  <c r="ET120" i="1"/>
  <c r="EU120" i="1"/>
  <c r="EV120" i="1"/>
  <c r="EW120" i="1"/>
  <c r="ET121" i="1"/>
  <c r="EU121" i="1"/>
  <c r="EV121" i="1"/>
  <c r="EW121" i="1"/>
  <c r="ET122" i="1"/>
  <c r="EU122" i="1"/>
  <c r="EV122" i="1"/>
  <c r="EW122" i="1"/>
  <c r="ET123" i="1"/>
  <c r="EU123" i="1"/>
  <c r="EV123" i="1"/>
  <c r="EW123" i="1"/>
  <c r="ET124" i="1"/>
  <c r="EU124" i="1"/>
  <c r="EV124" i="1"/>
  <c r="EW124" i="1"/>
  <c r="EW125" i="1"/>
  <c r="ET126" i="1"/>
  <c r="EU126" i="1"/>
  <c r="EV126" i="1"/>
  <c r="EW126" i="1"/>
  <c r="ET127" i="1"/>
  <c r="EU127" i="1"/>
  <c r="EV127" i="1"/>
  <c r="EW127" i="1"/>
  <c r="ET128" i="1"/>
  <c r="EU128" i="1"/>
  <c r="EV128" i="1"/>
  <c r="EW128" i="1"/>
  <c r="ET129" i="1"/>
  <c r="EU129" i="1"/>
  <c r="EV129" i="1"/>
  <c r="EW129" i="1"/>
  <c r="ET130" i="1"/>
  <c r="EU130" i="1"/>
  <c r="EV130" i="1"/>
  <c r="EW130" i="1"/>
  <c r="ET131" i="1"/>
  <c r="EU131" i="1"/>
  <c r="EV131" i="1"/>
  <c r="EW131" i="1"/>
  <c r="ET132" i="1"/>
  <c r="EU132" i="1"/>
  <c r="EV132" i="1"/>
  <c r="EW132" i="1"/>
  <c r="EW134" i="1"/>
  <c r="EW135" i="1"/>
  <c r="EW136" i="1"/>
  <c r="ET137" i="1"/>
  <c r="EU137" i="1"/>
  <c r="EV137" i="1"/>
  <c r="EW137" i="1"/>
  <c r="ET138" i="1"/>
  <c r="EU138" i="1"/>
  <c r="EV138" i="1"/>
  <c r="EW138" i="1"/>
  <c r="ET139" i="1"/>
  <c r="EU139" i="1"/>
  <c r="EV139" i="1"/>
  <c r="EW139" i="1"/>
  <c r="ET140" i="1"/>
  <c r="EU140" i="1"/>
  <c r="EV140" i="1"/>
  <c r="EW140" i="1"/>
  <c r="ET141" i="1"/>
  <c r="EU141" i="1"/>
  <c r="EV141" i="1"/>
  <c r="EW141" i="1"/>
  <c r="ET142" i="1"/>
  <c r="EU142" i="1"/>
  <c r="EV142" i="1"/>
  <c r="EW142" i="1"/>
  <c r="ET143" i="1"/>
  <c r="EU143" i="1"/>
  <c r="EV143" i="1"/>
  <c r="EW143" i="1"/>
  <c r="ET144" i="1"/>
  <c r="EU144" i="1"/>
  <c r="EV144" i="1"/>
  <c r="EW144" i="1"/>
  <c r="EW145" i="1"/>
  <c r="ET146" i="1"/>
  <c r="EU146" i="1"/>
  <c r="EV146" i="1"/>
  <c r="EW146" i="1"/>
  <c r="ET147" i="1"/>
  <c r="EU147" i="1"/>
  <c r="EV147" i="1"/>
  <c r="EW147" i="1"/>
  <c r="ET148" i="1"/>
  <c r="EU148" i="1"/>
  <c r="EV148" i="1"/>
  <c r="EW148" i="1"/>
  <c r="ET149" i="1"/>
  <c r="EU149" i="1"/>
  <c r="EV149" i="1"/>
  <c r="EW149" i="1"/>
  <c r="ET150" i="1"/>
  <c r="EU150" i="1"/>
  <c r="EV150" i="1"/>
  <c r="EW150" i="1"/>
  <c r="ET151" i="1"/>
  <c r="EU151" i="1"/>
  <c r="EV151" i="1"/>
  <c r="EW151" i="1"/>
  <c r="EW152" i="1"/>
  <c r="EW153" i="1"/>
  <c r="ET155" i="1"/>
  <c r="EU155" i="1"/>
  <c r="EV155" i="1"/>
  <c r="EW155" i="1"/>
  <c r="ET156" i="1"/>
  <c r="EU156" i="1"/>
  <c r="EV156" i="1"/>
  <c r="EW156" i="1"/>
  <c r="ET157" i="1"/>
  <c r="EU157" i="1"/>
  <c r="EV157" i="1"/>
  <c r="EW157" i="1"/>
  <c r="ET158" i="1"/>
  <c r="EU158" i="1"/>
  <c r="EV158" i="1"/>
  <c r="EW158" i="1"/>
  <c r="EW159" i="1"/>
  <c r="ET160" i="1"/>
  <c r="EU160" i="1"/>
  <c r="EV160" i="1"/>
  <c r="EW160" i="1"/>
  <c r="ET161" i="1"/>
  <c r="EU161" i="1"/>
  <c r="EV161" i="1"/>
  <c r="EW161" i="1"/>
  <c r="ET162" i="1"/>
  <c r="EU162" i="1"/>
  <c r="EV162" i="1"/>
  <c r="EW162" i="1"/>
  <c r="ET163" i="1"/>
  <c r="EU163" i="1"/>
  <c r="EV163" i="1"/>
  <c r="EW163" i="1"/>
  <c r="ET164" i="1"/>
  <c r="EU164" i="1"/>
  <c r="EV164" i="1"/>
  <c r="EW164" i="1"/>
  <c r="ET165" i="1"/>
  <c r="EU165" i="1"/>
  <c r="EV165" i="1"/>
  <c r="EW165" i="1"/>
  <c r="ET166" i="1"/>
  <c r="EU166" i="1"/>
  <c r="EV166" i="1"/>
  <c r="EW166" i="1"/>
  <c r="ET167" i="1"/>
  <c r="EU167" i="1"/>
  <c r="EV167" i="1"/>
  <c r="EW167" i="1"/>
  <c r="EW169" i="1"/>
  <c r="ET170" i="1"/>
  <c r="EU170" i="1"/>
  <c r="EV170" i="1"/>
  <c r="EW170" i="1"/>
  <c r="ET171" i="1"/>
  <c r="EU171" i="1"/>
  <c r="EV171" i="1"/>
  <c r="EW171" i="1"/>
  <c r="ET172" i="1"/>
  <c r="EU172" i="1"/>
  <c r="EV172" i="1"/>
  <c r="EW172" i="1"/>
  <c r="ET173" i="1"/>
  <c r="EU173" i="1"/>
  <c r="EV173" i="1"/>
  <c r="EW173" i="1"/>
  <c r="ET174" i="1"/>
  <c r="EU174" i="1"/>
  <c r="EV174" i="1"/>
  <c r="EW174" i="1"/>
  <c r="EW175" i="1"/>
  <c r="ET176" i="1"/>
  <c r="EU176" i="1"/>
  <c r="EV176" i="1"/>
  <c r="EW176" i="1"/>
  <c r="ET177" i="1"/>
  <c r="EU177" i="1"/>
  <c r="EV177" i="1"/>
  <c r="EW177" i="1"/>
  <c r="EW178" i="1"/>
  <c r="ET179" i="1"/>
  <c r="EU179" i="1"/>
  <c r="EV179" i="1"/>
  <c r="EW179" i="1"/>
  <c r="EW180" i="1"/>
  <c r="ET181" i="1"/>
  <c r="EU181" i="1"/>
  <c r="EV181" i="1"/>
  <c r="EW181" i="1"/>
  <c r="EW182" i="1"/>
  <c r="ET183" i="1"/>
  <c r="EU183" i="1"/>
  <c r="EV183" i="1"/>
  <c r="EW183" i="1"/>
  <c r="ET184" i="1"/>
  <c r="EU184" i="1"/>
  <c r="EV184" i="1"/>
  <c r="EW184" i="1"/>
  <c r="ET185" i="1"/>
  <c r="EU185" i="1"/>
  <c r="EV185" i="1"/>
  <c r="EW185" i="1"/>
  <c r="ET186" i="1"/>
  <c r="EU186" i="1"/>
  <c r="EV186" i="1"/>
  <c r="EW186" i="1"/>
  <c r="ET187" i="1"/>
  <c r="EU187" i="1"/>
  <c r="EV187" i="1"/>
  <c r="EW187" i="1"/>
  <c r="ET188" i="1"/>
  <c r="EU188" i="1"/>
  <c r="EV188" i="1"/>
  <c r="EW188" i="1"/>
  <c r="ET189" i="1"/>
  <c r="EU189" i="1"/>
  <c r="EV189" i="1"/>
  <c r="EW189" i="1"/>
  <c r="ET190" i="1"/>
  <c r="EU190" i="1"/>
  <c r="EV190" i="1"/>
  <c r="EW190" i="1"/>
  <c r="ET191" i="1"/>
  <c r="EU191" i="1"/>
  <c r="EV191" i="1"/>
  <c r="EW191" i="1"/>
  <c r="EW192" i="1"/>
  <c r="ET193" i="1"/>
  <c r="EU193" i="1"/>
  <c r="EV193" i="1"/>
  <c r="EW193" i="1"/>
  <c r="ET194" i="1"/>
  <c r="EU194" i="1"/>
  <c r="EV194" i="1"/>
  <c r="EW194" i="1"/>
  <c r="ET195" i="1"/>
  <c r="EU195" i="1"/>
  <c r="EV195" i="1"/>
  <c r="EW195" i="1"/>
  <c r="ET196" i="1"/>
  <c r="EU196" i="1"/>
  <c r="EV196" i="1"/>
  <c r="EW196" i="1"/>
  <c r="ET197" i="1"/>
  <c r="EU197" i="1"/>
  <c r="EV197" i="1"/>
  <c r="EW197" i="1"/>
  <c r="ET198" i="1"/>
  <c r="EU198" i="1"/>
  <c r="EV198" i="1"/>
  <c r="EW198" i="1"/>
  <c r="ET199" i="1"/>
  <c r="EU199" i="1"/>
  <c r="EV199" i="1"/>
  <c r="EW199" i="1"/>
  <c r="ET200" i="1"/>
  <c r="EU200" i="1"/>
  <c r="EV200" i="1"/>
  <c r="EW200" i="1"/>
  <c r="ET201" i="1"/>
  <c r="EU201" i="1"/>
  <c r="EV201" i="1"/>
  <c r="EW201" i="1"/>
  <c r="ET202" i="1"/>
  <c r="EU202" i="1"/>
  <c r="EV202" i="1"/>
  <c r="EW202" i="1"/>
  <c r="EW203" i="1"/>
  <c r="ET204" i="1"/>
  <c r="EU204" i="1"/>
  <c r="EV204" i="1"/>
  <c r="EW204" i="1"/>
  <c r="ET205" i="1"/>
  <c r="EU205" i="1"/>
  <c r="EV205" i="1"/>
  <c r="EW205" i="1"/>
  <c r="ET206" i="1"/>
  <c r="EU206" i="1"/>
  <c r="EV206" i="1"/>
  <c r="EW206" i="1"/>
  <c r="ET207" i="1"/>
  <c r="EU207" i="1"/>
  <c r="EV207" i="1"/>
  <c r="EW207" i="1"/>
  <c r="ET208" i="1"/>
  <c r="EU208" i="1"/>
  <c r="EV208" i="1"/>
  <c r="EW208" i="1"/>
  <c r="ET209" i="1"/>
  <c r="EU209" i="1"/>
  <c r="EV209" i="1"/>
  <c r="EW209" i="1"/>
  <c r="ET210" i="1"/>
  <c r="EU210" i="1"/>
  <c r="EV210" i="1"/>
  <c r="EW210" i="1"/>
  <c r="ET211" i="1"/>
  <c r="EU211" i="1"/>
  <c r="EV211" i="1"/>
  <c r="EW211" i="1"/>
  <c r="ET212" i="1"/>
  <c r="EU212" i="1"/>
  <c r="EV212" i="1"/>
  <c r="EW212" i="1"/>
  <c r="ET213" i="1"/>
  <c r="EU213" i="1"/>
  <c r="EV213" i="1"/>
  <c r="EW213" i="1"/>
  <c r="ET214" i="1"/>
  <c r="EU214" i="1"/>
  <c r="EV214" i="1"/>
  <c r="EW214" i="1"/>
  <c r="ET215" i="1"/>
  <c r="EU215" i="1"/>
  <c r="EV215" i="1"/>
  <c r="EW215" i="1"/>
  <c r="EW217" i="1"/>
  <c r="ET218" i="1"/>
  <c r="EU218" i="1"/>
  <c r="EV218" i="1"/>
  <c r="EW218" i="1"/>
  <c r="ET219" i="1"/>
  <c r="EU219" i="1"/>
  <c r="EV219" i="1"/>
  <c r="EW219" i="1"/>
  <c r="ET220" i="1"/>
  <c r="EU220" i="1"/>
  <c r="EV220" i="1"/>
  <c r="EW220" i="1"/>
  <c r="ET221" i="1"/>
  <c r="EU221" i="1"/>
  <c r="EV221" i="1"/>
  <c r="EW221" i="1"/>
  <c r="ET222" i="1"/>
  <c r="EU222" i="1"/>
  <c r="EV222" i="1"/>
  <c r="EW222" i="1"/>
  <c r="ET223" i="1"/>
  <c r="EU223" i="1"/>
  <c r="EV223" i="1"/>
  <c r="EW223" i="1"/>
  <c r="ET224" i="1"/>
  <c r="EU224" i="1"/>
  <c r="EV224" i="1"/>
  <c r="EW224" i="1"/>
  <c r="ET225" i="1"/>
  <c r="EU225" i="1"/>
  <c r="EV225" i="1"/>
  <c r="EW225" i="1"/>
  <c r="ET226" i="1"/>
  <c r="EU226" i="1"/>
  <c r="EV226" i="1"/>
  <c r="EW226" i="1"/>
  <c r="ET227" i="1"/>
  <c r="EU227" i="1"/>
  <c r="EV227" i="1"/>
  <c r="EW227" i="1"/>
  <c r="EW228" i="1"/>
  <c r="EW229" i="1"/>
  <c r="ET230" i="1"/>
  <c r="EU230" i="1"/>
  <c r="EV230" i="1"/>
  <c r="EW230" i="1"/>
  <c r="EW231" i="1"/>
  <c r="ET232" i="1"/>
  <c r="EU232" i="1"/>
  <c r="EV232" i="1"/>
  <c r="EW232" i="1"/>
  <c r="ET233" i="1"/>
  <c r="EU233" i="1"/>
  <c r="EV233" i="1"/>
  <c r="EW233" i="1"/>
  <c r="EW234" i="1"/>
  <c r="EW235" i="1"/>
  <c r="EW237" i="1"/>
  <c r="ET238" i="1"/>
  <c r="EU238" i="1"/>
  <c r="EV238" i="1"/>
  <c r="EW238" i="1"/>
  <c r="EW239" i="1"/>
  <c r="ET240" i="1"/>
  <c r="EU240" i="1"/>
  <c r="EV240" i="1"/>
  <c r="EW240" i="1"/>
  <c r="ET241" i="1"/>
  <c r="EU241" i="1"/>
  <c r="EV241" i="1"/>
  <c r="EW241" i="1"/>
  <c r="EW242" i="1"/>
  <c r="EW243" i="1"/>
  <c r="ET244" i="1"/>
  <c r="EU244" i="1"/>
  <c r="EV244" i="1"/>
  <c r="EW244" i="1"/>
  <c r="EW245" i="1"/>
  <c r="ET246" i="1"/>
  <c r="EU246" i="1"/>
  <c r="EV246" i="1"/>
  <c r="EW246" i="1"/>
  <c r="ET247" i="1"/>
  <c r="EU247" i="1"/>
  <c r="EV247" i="1"/>
  <c r="EW247" i="1"/>
  <c r="ET248" i="1"/>
  <c r="EU248" i="1"/>
  <c r="EV248" i="1"/>
  <c r="EW248" i="1"/>
  <c r="ET249" i="1"/>
  <c r="EU249" i="1"/>
  <c r="EV249" i="1"/>
  <c r="EW249" i="1"/>
  <c r="ET250" i="1"/>
  <c r="EU250" i="1"/>
  <c r="EV250" i="1"/>
  <c r="EW250" i="1"/>
  <c r="EW251" i="1"/>
  <c r="EW252" i="1"/>
  <c r="ET253" i="1"/>
  <c r="EU253" i="1"/>
  <c r="EV253" i="1"/>
  <c r="EW253" i="1"/>
  <c r="ET254" i="1"/>
  <c r="EU254" i="1"/>
  <c r="EV254" i="1"/>
  <c r="EW254" i="1"/>
  <c r="ET255" i="1"/>
  <c r="EU255" i="1"/>
  <c r="EV255" i="1"/>
  <c r="EW255" i="1"/>
  <c r="ET256" i="1"/>
  <c r="EU256" i="1"/>
  <c r="EV256" i="1"/>
  <c r="EW256" i="1"/>
  <c r="ET257" i="1"/>
  <c r="EU257" i="1"/>
  <c r="EV257" i="1"/>
  <c r="EW257" i="1"/>
  <c r="ET258" i="1"/>
  <c r="EU258" i="1"/>
  <c r="EV258" i="1"/>
  <c r="EW258" i="1"/>
  <c r="ET259" i="1"/>
  <c r="EU259" i="1"/>
  <c r="EV259" i="1"/>
  <c r="EW259" i="1"/>
  <c r="EW260" i="1"/>
  <c r="EW261" i="1"/>
  <c r="ET262" i="1"/>
  <c r="EU262" i="1"/>
  <c r="EV262" i="1"/>
  <c r="EW262" i="1"/>
  <c r="ET263" i="1"/>
  <c r="EU263" i="1"/>
  <c r="EV263" i="1"/>
  <c r="EW263" i="1"/>
  <c r="ET264" i="1"/>
  <c r="EU264" i="1"/>
  <c r="EV264" i="1"/>
  <c r="EW264" i="1"/>
  <c r="ET265" i="1"/>
  <c r="EU265" i="1"/>
  <c r="EV265" i="1"/>
  <c r="EW265" i="1"/>
  <c r="ET266" i="1"/>
  <c r="EU266" i="1"/>
  <c r="EV266" i="1"/>
  <c r="EW266" i="1"/>
  <c r="EW267" i="1"/>
  <c r="ET268" i="1"/>
  <c r="EU268" i="1"/>
  <c r="EV268" i="1"/>
  <c r="EW268" i="1"/>
  <c r="ET269" i="1"/>
  <c r="EU269" i="1"/>
  <c r="EV269" i="1"/>
  <c r="EW269" i="1"/>
  <c r="ET270" i="1"/>
  <c r="EU270" i="1"/>
  <c r="EV270" i="1"/>
  <c r="EW270" i="1"/>
  <c r="ET271" i="1"/>
  <c r="EU271" i="1"/>
  <c r="EV271" i="1"/>
  <c r="EW271" i="1"/>
  <c r="ET272" i="1"/>
  <c r="EU272" i="1"/>
  <c r="EV272" i="1"/>
  <c r="EW272" i="1"/>
  <c r="ET273" i="1"/>
  <c r="EU273" i="1"/>
  <c r="EV273" i="1"/>
  <c r="EW273" i="1"/>
  <c r="EU274" i="1"/>
  <c r="EV274" i="1"/>
  <c r="EW274" i="1"/>
  <c r="ET275" i="1"/>
  <c r="EU275" i="1"/>
  <c r="EV275" i="1"/>
  <c r="EW275" i="1"/>
  <c r="ET276" i="1"/>
  <c r="EU276" i="1"/>
  <c r="EV276" i="1"/>
  <c r="EW276" i="1"/>
  <c r="ET277" i="1"/>
  <c r="EU277" i="1"/>
  <c r="EV277" i="1"/>
  <c r="EW277" i="1"/>
  <c r="ET278" i="1"/>
  <c r="EU278" i="1"/>
  <c r="EV278" i="1"/>
  <c r="EW278" i="1"/>
  <c r="ET279" i="1"/>
  <c r="EU279" i="1"/>
  <c r="EV279" i="1"/>
  <c r="EW279" i="1"/>
  <c r="ET280" i="1"/>
  <c r="EU280" i="1"/>
  <c r="EV280" i="1"/>
  <c r="EW280" i="1"/>
  <c r="ET281" i="1"/>
  <c r="EU281" i="1"/>
  <c r="EV281" i="1"/>
  <c r="EW281" i="1"/>
  <c r="ET282" i="1"/>
  <c r="EU282" i="1"/>
  <c r="EV282" i="1"/>
  <c r="EW282" i="1"/>
  <c r="ET283" i="1"/>
  <c r="EU283" i="1"/>
  <c r="EV283" i="1"/>
  <c r="EW283" i="1"/>
  <c r="ET284" i="1"/>
  <c r="EU284" i="1"/>
  <c r="EV284" i="1"/>
  <c r="EW284" i="1"/>
  <c r="ET285" i="1"/>
  <c r="EU285" i="1"/>
  <c r="EV285" i="1"/>
  <c r="EW285" i="1"/>
  <c r="ET286" i="1"/>
  <c r="EU286" i="1"/>
  <c r="EV286" i="1"/>
  <c r="EW286" i="1"/>
  <c r="ET287" i="1"/>
  <c r="EU287" i="1"/>
  <c r="EV287" i="1"/>
  <c r="EW287" i="1"/>
  <c r="ET288" i="1"/>
  <c r="EU288" i="1"/>
  <c r="EV288" i="1"/>
  <c r="EW288" i="1"/>
  <c r="ET289" i="1"/>
  <c r="EU289" i="1"/>
  <c r="EV289" i="1"/>
  <c r="EW289" i="1"/>
  <c r="ET290" i="1"/>
  <c r="EU290" i="1"/>
  <c r="EV290" i="1"/>
  <c r="EW290" i="1"/>
  <c r="ET291" i="1"/>
  <c r="EU291" i="1"/>
  <c r="EV291" i="1"/>
  <c r="EW291" i="1"/>
  <c r="ET292" i="1"/>
  <c r="EU292" i="1"/>
  <c r="EV292" i="1"/>
  <c r="EW292" i="1"/>
  <c r="ET293" i="1"/>
  <c r="EU293" i="1"/>
  <c r="EV293" i="1"/>
  <c r="EW293" i="1"/>
  <c r="ET294" i="1"/>
  <c r="EU294" i="1"/>
  <c r="EV294" i="1"/>
  <c r="EW294" i="1"/>
  <c r="ET295" i="1"/>
  <c r="EU295" i="1"/>
  <c r="EV295" i="1"/>
  <c r="EW295" i="1"/>
  <c r="ET296" i="1"/>
  <c r="EU296" i="1"/>
  <c r="EV296" i="1"/>
  <c r="EW296" i="1"/>
  <c r="ET297" i="1"/>
  <c r="EU297" i="1"/>
  <c r="EV297" i="1"/>
  <c r="EW297" i="1"/>
  <c r="ET298" i="1"/>
  <c r="EU298" i="1"/>
  <c r="EV298" i="1"/>
  <c r="EW298" i="1"/>
  <c r="ET299" i="1"/>
  <c r="EU299" i="1"/>
  <c r="EV299" i="1"/>
  <c r="EW299" i="1"/>
  <c r="ET300" i="1"/>
  <c r="EU300" i="1"/>
  <c r="EV300" i="1"/>
  <c r="EW300" i="1"/>
  <c r="ET301" i="1"/>
  <c r="EU301" i="1"/>
  <c r="EV301" i="1"/>
  <c r="EW301" i="1"/>
  <c r="ET302" i="1"/>
  <c r="EU302" i="1"/>
  <c r="EV302" i="1"/>
  <c r="EW302" i="1"/>
  <c r="ET303" i="1"/>
  <c r="EU303" i="1"/>
  <c r="EV303" i="1"/>
  <c r="EW303" i="1"/>
  <c r="ET304" i="1"/>
  <c r="EU304" i="1"/>
  <c r="EV304" i="1"/>
  <c r="EW304" i="1"/>
  <c r="ET305" i="1"/>
  <c r="EU305" i="1"/>
  <c r="EV305" i="1"/>
  <c r="EW305" i="1"/>
  <c r="ET306" i="1"/>
  <c r="EU306" i="1"/>
  <c r="EV306" i="1"/>
  <c r="EW306" i="1"/>
  <c r="ET307" i="1"/>
  <c r="EU307" i="1"/>
  <c r="EV307" i="1"/>
  <c r="EW307" i="1"/>
  <c r="ET308" i="1"/>
  <c r="EU308" i="1"/>
  <c r="EV308" i="1"/>
  <c r="EW308" i="1"/>
  <c r="ET309" i="1"/>
  <c r="EU309" i="1"/>
  <c r="EV309" i="1"/>
  <c r="EW309" i="1"/>
  <c r="ET310" i="1"/>
  <c r="EU310" i="1"/>
  <c r="EV310" i="1"/>
  <c r="EW310" i="1"/>
  <c r="ET311" i="1"/>
  <c r="EU311" i="1"/>
  <c r="EV311" i="1"/>
  <c r="EW311" i="1"/>
  <c r="ET312" i="1"/>
  <c r="EU312" i="1"/>
  <c r="EV312" i="1"/>
  <c r="EW312" i="1"/>
  <c r="ET313" i="1"/>
  <c r="EU313" i="1"/>
  <c r="EV313" i="1"/>
  <c r="EW313" i="1"/>
  <c r="ET314" i="1"/>
  <c r="EU314" i="1"/>
  <c r="EV314" i="1"/>
  <c r="EW314" i="1"/>
  <c r="ET315" i="1"/>
  <c r="EU315" i="1"/>
  <c r="EV315" i="1"/>
  <c r="EW315" i="1"/>
  <c r="ET316" i="1"/>
  <c r="EU316" i="1"/>
  <c r="EV316" i="1"/>
  <c r="EW316" i="1"/>
  <c r="ET317" i="1"/>
  <c r="EU317" i="1"/>
  <c r="EV317" i="1"/>
  <c r="EW317" i="1"/>
  <c r="ET318" i="1"/>
  <c r="EU318" i="1"/>
  <c r="EV318" i="1"/>
  <c r="EW318" i="1"/>
  <c r="ET319" i="1"/>
  <c r="EU319" i="1"/>
  <c r="EV319" i="1"/>
  <c r="EW319" i="1"/>
  <c r="EW320" i="1"/>
  <c r="EW321" i="1"/>
  <c r="EW322" i="1"/>
  <c r="EW323" i="1"/>
  <c r="EW324" i="1"/>
  <c r="EW325" i="1"/>
  <c r="EW326" i="1"/>
  <c r="EW327" i="1"/>
  <c r="EW328" i="1"/>
  <c r="EW329" i="1"/>
  <c r="EW330" i="1"/>
  <c r="EW331" i="1"/>
  <c r="EW332" i="1"/>
  <c r="EW333" i="1"/>
  <c r="EW334" i="1"/>
  <c r="EW335" i="1"/>
  <c r="EW336" i="1"/>
  <c r="EW337" i="1"/>
  <c r="EW338" i="1"/>
  <c r="ET339" i="1"/>
  <c r="EU339" i="1"/>
  <c r="EV339" i="1"/>
  <c r="EW339" i="1"/>
  <c r="EW340" i="1"/>
  <c r="EW341" i="1"/>
  <c r="ET342" i="1"/>
  <c r="EU342" i="1"/>
  <c r="EV342" i="1"/>
  <c r="EW342" i="1"/>
  <c r="ET343" i="1"/>
  <c r="EU343" i="1"/>
  <c r="EV343" i="1"/>
  <c r="EW343" i="1"/>
  <c r="ET344" i="1"/>
  <c r="EU344" i="1"/>
  <c r="EV344" i="1"/>
  <c r="EW344" i="1"/>
  <c r="ET345" i="1"/>
  <c r="EU345" i="1"/>
  <c r="EV345" i="1"/>
  <c r="EW345" i="1"/>
  <c r="ET346" i="1"/>
  <c r="EU346" i="1"/>
  <c r="EV346" i="1"/>
  <c r="EW346" i="1"/>
  <c r="ET347" i="1"/>
  <c r="EU347" i="1"/>
  <c r="EV347" i="1"/>
  <c r="EW347" i="1"/>
  <c r="EW348" i="1"/>
  <c r="ET349" i="1"/>
  <c r="EU349" i="1"/>
  <c r="EV349" i="1"/>
  <c r="EW349" i="1"/>
  <c r="ET350" i="1"/>
  <c r="EU350" i="1"/>
  <c r="EV350" i="1"/>
  <c r="EW350" i="1"/>
  <c r="ET351" i="1"/>
  <c r="EU351" i="1"/>
  <c r="EV351" i="1"/>
  <c r="EW351" i="1"/>
  <c r="ET352" i="1"/>
  <c r="EU352" i="1"/>
  <c r="EV352" i="1"/>
  <c r="EW352" i="1"/>
  <c r="ET353" i="1"/>
  <c r="EU353" i="1"/>
  <c r="EV353" i="1"/>
  <c r="EW353" i="1"/>
  <c r="EW354" i="1"/>
  <c r="ET355" i="1"/>
  <c r="EU355" i="1"/>
  <c r="EV355" i="1"/>
  <c r="EW355" i="1"/>
  <c r="ET356" i="1"/>
  <c r="EU356" i="1"/>
  <c r="EV356" i="1"/>
  <c r="EW356" i="1"/>
  <c r="ET357" i="1"/>
  <c r="EU357" i="1"/>
  <c r="EV357" i="1"/>
  <c r="EW357" i="1"/>
  <c r="EW358" i="1"/>
  <c r="ET359" i="1"/>
  <c r="EU359" i="1"/>
  <c r="EV359" i="1"/>
  <c r="EW359" i="1"/>
  <c r="ET360" i="1"/>
  <c r="EU360" i="1"/>
  <c r="EV360" i="1"/>
  <c r="EW360" i="1"/>
  <c r="ET361" i="1"/>
  <c r="EU361" i="1"/>
  <c r="EV361" i="1"/>
  <c r="EW361" i="1"/>
  <c r="ET362" i="1"/>
  <c r="EU362" i="1"/>
  <c r="EV362" i="1"/>
  <c r="EW362" i="1"/>
  <c r="ET363" i="1"/>
  <c r="EU363" i="1"/>
  <c r="EV363" i="1"/>
  <c r="EW363" i="1"/>
  <c r="ET364" i="1"/>
  <c r="EU364" i="1"/>
  <c r="EV364" i="1"/>
  <c r="EW364" i="1"/>
  <c r="EW365" i="1"/>
  <c r="ET366" i="1"/>
  <c r="EU366" i="1"/>
  <c r="EV366" i="1"/>
  <c r="EW366" i="1"/>
  <c r="ET367" i="1"/>
  <c r="EU367" i="1"/>
  <c r="EV367" i="1"/>
  <c r="EW367" i="1"/>
  <c r="ET368" i="1"/>
  <c r="EU368" i="1"/>
  <c r="EV368" i="1"/>
  <c r="EW368" i="1"/>
  <c r="ET369" i="1"/>
  <c r="EU369" i="1"/>
  <c r="EV369" i="1"/>
  <c r="EW369" i="1"/>
  <c r="EW370" i="1"/>
  <c r="ET371" i="1"/>
  <c r="EU371" i="1"/>
  <c r="EV371" i="1"/>
  <c r="EW371" i="1"/>
  <c r="ET372" i="1"/>
  <c r="EU372" i="1"/>
  <c r="EV372" i="1"/>
  <c r="EW372" i="1"/>
  <c r="ET373" i="1"/>
  <c r="EU373" i="1"/>
  <c r="EV373" i="1"/>
  <c r="EW373" i="1"/>
  <c r="ET374" i="1"/>
  <c r="EU374" i="1"/>
  <c r="EV374" i="1"/>
  <c r="EW374" i="1"/>
  <c r="ET375" i="1"/>
  <c r="EU375" i="1"/>
  <c r="EV375" i="1"/>
  <c r="EW375" i="1"/>
  <c r="EW376" i="1"/>
  <c r="ET377" i="1"/>
  <c r="EU377" i="1"/>
  <c r="EV377" i="1"/>
  <c r="EW377" i="1"/>
  <c r="EW378" i="1"/>
  <c r="ET379" i="1"/>
  <c r="EU379" i="1"/>
  <c r="EV379" i="1"/>
  <c r="EW379" i="1"/>
  <c r="EW380" i="1"/>
  <c r="ET381" i="1"/>
  <c r="EU381" i="1"/>
  <c r="EV381" i="1"/>
  <c r="EW381" i="1"/>
  <c r="ET382" i="1"/>
  <c r="EU382" i="1"/>
  <c r="EV382" i="1"/>
  <c r="EW382" i="1"/>
  <c r="ET383" i="1"/>
  <c r="EU383" i="1"/>
  <c r="EV383" i="1"/>
  <c r="EW383" i="1"/>
  <c r="EW384" i="1"/>
  <c r="ET385" i="1"/>
  <c r="EU385" i="1"/>
  <c r="EV385" i="1"/>
  <c r="EW385" i="1"/>
  <c r="ET386" i="1"/>
  <c r="EU386" i="1"/>
  <c r="EV386" i="1"/>
  <c r="EW386" i="1"/>
  <c r="ET387" i="1"/>
  <c r="EU387" i="1"/>
  <c r="EV387" i="1"/>
  <c r="EW387" i="1"/>
  <c r="ET388" i="1"/>
  <c r="EU388" i="1"/>
  <c r="EV388" i="1"/>
  <c r="EW388" i="1"/>
  <c r="ET389" i="1"/>
  <c r="EU389" i="1"/>
  <c r="EV389" i="1"/>
  <c r="EW389" i="1"/>
  <c r="ET390" i="1"/>
  <c r="EU390" i="1"/>
  <c r="EV390" i="1"/>
  <c r="EW390" i="1"/>
  <c r="ET391" i="1"/>
  <c r="EU391" i="1"/>
  <c r="EV391" i="1"/>
  <c r="EW391" i="1"/>
  <c r="EW392" i="1"/>
  <c r="ET393" i="1"/>
  <c r="EU393" i="1"/>
  <c r="EV393" i="1"/>
  <c r="EW393" i="1"/>
  <c r="ET394" i="1"/>
  <c r="EU394" i="1"/>
  <c r="EV394" i="1"/>
  <c r="EW394" i="1"/>
  <c r="ET395" i="1"/>
  <c r="EU395" i="1"/>
  <c r="EV395" i="1"/>
  <c r="EW395" i="1"/>
  <c r="ET396" i="1"/>
  <c r="EU396" i="1"/>
  <c r="EV396" i="1"/>
  <c r="EW396" i="1"/>
  <c r="EW397" i="1"/>
  <c r="ET398" i="1"/>
  <c r="EU398" i="1"/>
  <c r="EV398" i="1"/>
  <c r="EW398" i="1"/>
  <c r="ET399" i="1"/>
  <c r="EU399" i="1"/>
  <c r="EV399" i="1"/>
  <c r="EW399" i="1"/>
  <c r="ET400" i="1"/>
  <c r="EU400" i="1"/>
  <c r="EV400" i="1"/>
  <c r="EW400" i="1"/>
  <c r="ET401" i="1"/>
  <c r="EU401" i="1"/>
  <c r="EV401" i="1"/>
  <c r="EW401" i="1"/>
  <c r="ET402" i="1"/>
  <c r="EU402" i="1"/>
  <c r="EV402" i="1"/>
  <c r="EW402" i="1"/>
  <c r="EU403" i="1"/>
  <c r="EV403" i="1"/>
  <c r="EW403" i="1"/>
  <c r="ET404" i="1"/>
  <c r="EU404" i="1"/>
  <c r="EV404" i="1"/>
  <c r="EW404" i="1"/>
  <c r="ET405" i="1"/>
  <c r="EU405" i="1"/>
  <c r="EV405" i="1"/>
  <c r="EW405" i="1"/>
  <c r="ET406" i="1"/>
  <c r="EU406" i="1"/>
  <c r="EV406" i="1"/>
  <c r="EW406" i="1"/>
  <c r="ET407" i="1"/>
  <c r="EU407" i="1"/>
  <c r="EV407" i="1"/>
  <c r="EW407" i="1"/>
  <c r="ET408" i="1"/>
  <c r="EU408" i="1"/>
  <c r="EV408" i="1"/>
  <c r="EW408" i="1"/>
  <c r="ET409" i="1"/>
  <c r="EU409" i="1"/>
  <c r="EV409" i="1"/>
  <c r="EW409" i="1"/>
  <c r="EW410" i="1"/>
  <c r="ET411" i="1"/>
  <c r="EU411" i="1"/>
  <c r="EV411" i="1"/>
  <c r="EW411" i="1"/>
  <c r="ET412" i="1"/>
  <c r="EU412" i="1"/>
  <c r="EV412" i="1"/>
  <c r="EW412" i="1"/>
  <c r="ET413" i="1"/>
  <c r="EU413" i="1"/>
  <c r="EV413" i="1"/>
  <c r="EW413" i="1"/>
  <c r="ET414" i="1"/>
  <c r="EU414" i="1"/>
  <c r="EV414" i="1"/>
  <c r="EW414" i="1"/>
  <c r="ET415" i="1"/>
  <c r="EU415" i="1"/>
  <c r="EV415" i="1"/>
  <c r="EW415" i="1"/>
  <c r="ET416" i="1"/>
  <c r="EU416" i="1"/>
  <c r="EV416" i="1"/>
  <c r="EW416" i="1"/>
  <c r="ET417" i="1"/>
  <c r="EU417" i="1"/>
  <c r="EV417" i="1"/>
  <c r="EW417" i="1"/>
  <c r="EW418" i="1"/>
  <c r="ET419" i="1"/>
  <c r="EU419" i="1"/>
  <c r="EV419" i="1"/>
  <c r="EW419" i="1"/>
  <c r="ET420" i="1"/>
  <c r="EU420" i="1"/>
  <c r="EV420" i="1"/>
  <c r="EW420" i="1"/>
  <c r="ET421" i="1"/>
  <c r="EU421" i="1"/>
  <c r="EV421" i="1"/>
  <c r="EW421" i="1"/>
  <c r="ET422" i="1"/>
  <c r="EU422" i="1"/>
  <c r="EV422" i="1"/>
  <c r="EW422" i="1"/>
  <c r="ET423" i="1"/>
  <c r="EU423" i="1"/>
  <c r="EV423" i="1"/>
  <c r="EW423" i="1"/>
  <c r="ET424" i="1"/>
  <c r="EU424" i="1"/>
  <c r="EV424" i="1"/>
  <c r="EW424" i="1"/>
  <c r="ET425" i="1"/>
  <c r="EU425" i="1"/>
  <c r="EV425" i="1"/>
  <c r="EW425" i="1"/>
  <c r="ET426" i="1"/>
  <c r="EU426" i="1"/>
  <c r="EV426" i="1"/>
  <c r="EW426" i="1"/>
  <c r="ET428" i="1"/>
  <c r="EU428" i="1"/>
  <c r="EV428" i="1"/>
  <c r="EW428" i="1"/>
  <c r="EW429" i="1"/>
  <c r="ET430" i="1"/>
  <c r="EU430" i="1"/>
  <c r="EV430" i="1"/>
  <c r="EW430" i="1"/>
  <c r="ET431" i="1"/>
  <c r="EU431" i="1"/>
  <c r="EV431" i="1"/>
  <c r="EW431" i="1"/>
  <c r="ET432" i="1"/>
  <c r="EU432" i="1"/>
  <c r="EV432" i="1"/>
  <c r="EW432" i="1"/>
  <c r="ET433" i="1"/>
  <c r="EU433" i="1"/>
  <c r="EV433" i="1"/>
  <c r="EW433" i="1"/>
  <c r="ET434" i="1"/>
  <c r="EU434" i="1"/>
  <c r="EV434" i="1"/>
  <c r="EW434" i="1"/>
  <c r="ET435" i="1"/>
  <c r="EU435" i="1"/>
  <c r="EV435" i="1"/>
  <c r="EW435" i="1"/>
  <c r="EW436" i="1"/>
  <c r="ET437" i="1"/>
  <c r="EU437" i="1"/>
  <c r="EV437" i="1"/>
  <c r="EW437" i="1"/>
  <c r="ET438" i="1"/>
  <c r="EU438" i="1"/>
  <c r="EV438" i="1"/>
  <c r="EW438" i="1"/>
  <c r="ET439" i="1"/>
  <c r="EU439" i="1"/>
  <c r="EV439" i="1"/>
  <c r="EW439" i="1"/>
  <c r="ET440" i="1"/>
  <c r="EU440" i="1"/>
  <c r="EV440" i="1"/>
  <c r="EW440" i="1"/>
  <c r="ET441" i="1"/>
  <c r="EU441" i="1"/>
  <c r="EV441" i="1"/>
  <c r="EW441" i="1"/>
  <c r="ET442" i="1"/>
  <c r="EU442" i="1"/>
  <c r="EV442" i="1"/>
  <c r="EW442" i="1"/>
  <c r="EW443" i="1"/>
  <c r="ET444" i="1"/>
  <c r="EU444" i="1"/>
  <c r="EV444" i="1"/>
  <c r="EW444" i="1"/>
  <c r="EW445" i="1"/>
  <c r="ET446" i="1"/>
  <c r="EU446" i="1"/>
  <c r="EV446" i="1"/>
  <c r="EW446" i="1"/>
  <c r="ET447" i="1"/>
  <c r="EU447" i="1"/>
  <c r="EV447" i="1"/>
  <c r="EW447" i="1"/>
  <c r="ET448" i="1"/>
  <c r="EU448" i="1"/>
  <c r="EV448" i="1"/>
  <c r="EW448" i="1"/>
  <c r="ET449" i="1"/>
  <c r="EU449" i="1"/>
  <c r="EV449" i="1"/>
  <c r="EW449" i="1"/>
  <c r="ET450" i="1"/>
  <c r="EU450" i="1"/>
  <c r="EV450" i="1"/>
  <c r="EW450" i="1"/>
  <c r="ET451" i="1"/>
  <c r="EU451" i="1"/>
  <c r="EV451" i="1"/>
  <c r="EW451" i="1"/>
  <c r="ET452" i="1"/>
  <c r="EU452" i="1"/>
  <c r="EV452" i="1"/>
  <c r="EW452" i="1"/>
  <c r="ET453" i="1"/>
  <c r="EU453" i="1"/>
  <c r="EV453" i="1"/>
  <c r="EW453" i="1"/>
  <c r="ET454" i="1"/>
  <c r="EU454" i="1"/>
  <c r="EV454" i="1"/>
  <c r="EW454" i="1"/>
  <c r="ET455" i="1"/>
  <c r="EU455" i="1"/>
  <c r="EV455" i="1"/>
  <c r="EW455" i="1"/>
  <c r="ET456" i="1"/>
  <c r="EU456" i="1"/>
  <c r="EV456" i="1"/>
  <c r="EW456" i="1"/>
  <c r="ET457" i="1"/>
  <c r="EU457" i="1"/>
  <c r="EV457" i="1"/>
  <c r="EW457" i="1"/>
  <c r="ET458" i="1"/>
  <c r="EU458" i="1"/>
  <c r="EV458" i="1"/>
  <c r="EW458" i="1"/>
  <c r="ET459" i="1"/>
  <c r="EU459" i="1"/>
  <c r="EV459" i="1"/>
  <c r="EW459" i="1"/>
  <c r="ET460" i="1"/>
  <c r="EU460" i="1"/>
  <c r="EV460" i="1"/>
  <c r="EW460" i="1"/>
  <c r="ET461" i="1"/>
  <c r="EU461" i="1"/>
  <c r="EV461" i="1"/>
  <c r="EW461" i="1"/>
  <c r="ET462" i="1"/>
  <c r="EU462" i="1"/>
  <c r="EV462" i="1"/>
  <c r="EW462" i="1"/>
  <c r="ET463" i="1"/>
  <c r="EU463" i="1"/>
  <c r="EV463" i="1"/>
  <c r="EW463" i="1"/>
  <c r="ET464" i="1"/>
  <c r="EU464" i="1"/>
  <c r="EV464" i="1"/>
  <c r="EW464" i="1"/>
  <c r="ET465" i="1"/>
  <c r="EU465" i="1"/>
  <c r="EV465" i="1"/>
  <c r="EW465" i="1"/>
  <c r="ET466" i="1"/>
  <c r="EU466" i="1"/>
  <c r="EV466" i="1"/>
  <c r="EW466" i="1"/>
  <c r="ET467" i="1"/>
  <c r="EU467" i="1"/>
  <c r="EV467" i="1"/>
  <c r="EW467" i="1"/>
  <c r="EW468" i="1"/>
  <c r="ET469" i="1"/>
  <c r="EU469" i="1"/>
  <c r="EV469" i="1"/>
  <c r="EW469" i="1"/>
  <c r="ET470" i="1"/>
  <c r="EU470" i="1"/>
  <c r="EV470" i="1"/>
  <c r="EW470" i="1"/>
  <c r="ET471" i="1"/>
  <c r="EU471" i="1"/>
  <c r="EV471" i="1"/>
  <c r="EW471" i="1"/>
  <c r="ET472" i="1"/>
  <c r="EU472" i="1"/>
  <c r="EV472" i="1"/>
  <c r="EW472" i="1"/>
  <c r="ET473" i="1"/>
  <c r="EU473" i="1"/>
  <c r="EV473" i="1"/>
  <c r="EW473" i="1"/>
  <c r="ET474" i="1"/>
  <c r="EU474" i="1"/>
  <c r="EV474" i="1"/>
  <c r="EW474" i="1"/>
  <c r="ET475" i="1"/>
  <c r="EU475" i="1"/>
  <c r="EV475" i="1"/>
  <c r="EW475" i="1"/>
  <c r="ET476" i="1"/>
  <c r="EU476" i="1"/>
  <c r="EV476" i="1"/>
  <c r="EW476" i="1"/>
  <c r="ET477" i="1"/>
  <c r="EU477" i="1"/>
  <c r="EV477" i="1"/>
  <c r="EW477" i="1"/>
  <c r="ET478" i="1"/>
  <c r="EU478" i="1"/>
  <c r="EV478" i="1"/>
  <c r="EW478" i="1"/>
  <c r="ET479" i="1"/>
  <c r="EU479" i="1"/>
  <c r="EV479" i="1"/>
  <c r="EW479" i="1"/>
  <c r="ET480" i="1"/>
  <c r="EU480" i="1"/>
  <c r="EV480" i="1"/>
  <c r="EW480" i="1"/>
  <c r="ET481" i="1"/>
  <c r="EU481" i="1"/>
  <c r="EV481" i="1"/>
  <c r="EW481" i="1"/>
  <c r="ET482" i="1"/>
  <c r="EU482" i="1"/>
  <c r="EV482" i="1"/>
  <c r="EW482" i="1"/>
  <c r="ET483" i="1"/>
  <c r="EU483" i="1"/>
  <c r="EV483" i="1"/>
  <c r="EW483" i="1"/>
  <c r="ET484" i="1"/>
  <c r="EU484" i="1"/>
  <c r="EV484" i="1"/>
  <c r="EW484" i="1"/>
  <c r="ET485" i="1"/>
  <c r="EU485" i="1"/>
  <c r="EV485" i="1"/>
  <c r="EW485" i="1"/>
  <c r="ET486" i="1"/>
  <c r="EU486" i="1"/>
  <c r="EV486" i="1"/>
  <c r="EW486" i="1"/>
  <c r="EU487" i="1"/>
  <c r="EV487" i="1"/>
  <c r="EW487" i="1"/>
  <c r="ET488" i="1"/>
  <c r="EU488" i="1"/>
  <c r="EV488" i="1"/>
  <c r="EW488" i="1"/>
  <c r="ET489" i="1"/>
  <c r="EU489" i="1"/>
  <c r="EV489" i="1"/>
  <c r="EW489" i="1"/>
  <c r="ET490" i="1"/>
  <c r="EU490" i="1"/>
  <c r="EV490" i="1"/>
  <c r="EW490" i="1"/>
  <c r="ET491" i="1"/>
  <c r="EU491" i="1"/>
  <c r="EV491" i="1"/>
  <c r="EW491" i="1"/>
  <c r="ET492" i="1"/>
  <c r="EU492" i="1"/>
  <c r="EV492" i="1"/>
  <c r="EW492" i="1"/>
  <c r="ET493" i="1"/>
  <c r="EU493" i="1"/>
  <c r="EV493" i="1"/>
  <c r="EW493" i="1"/>
  <c r="ET494" i="1"/>
  <c r="EU494" i="1"/>
  <c r="EV494" i="1"/>
  <c r="EW494" i="1"/>
  <c r="ET495" i="1"/>
  <c r="EU495" i="1"/>
  <c r="EV495" i="1"/>
  <c r="EW495" i="1"/>
  <c r="ET496" i="1"/>
  <c r="EU496" i="1"/>
  <c r="EV496" i="1"/>
  <c r="EW496" i="1"/>
  <c r="ET497" i="1"/>
  <c r="EU497" i="1"/>
  <c r="EV497" i="1"/>
  <c r="EW497" i="1"/>
  <c r="ET498" i="1"/>
  <c r="EU498" i="1"/>
  <c r="EV498" i="1"/>
  <c r="EW498" i="1"/>
  <c r="ET499" i="1"/>
  <c r="EU499" i="1"/>
  <c r="EV499" i="1"/>
  <c r="EW499" i="1"/>
  <c r="ET500" i="1"/>
  <c r="EU500" i="1"/>
  <c r="EV500" i="1"/>
  <c r="EW500" i="1"/>
  <c r="ET501" i="1"/>
  <c r="EU501" i="1"/>
  <c r="EV501" i="1"/>
  <c r="EW501" i="1"/>
  <c r="ET502" i="1"/>
  <c r="EU502" i="1"/>
  <c r="EV502" i="1"/>
  <c r="EW502" i="1"/>
  <c r="EW503" i="1"/>
  <c r="ET504" i="1"/>
  <c r="EU504" i="1"/>
  <c r="EV504" i="1"/>
  <c r="EW504" i="1"/>
  <c r="ET505" i="1"/>
  <c r="EU505" i="1"/>
  <c r="EV505" i="1"/>
  <c r="EW505" i="1"/>
  <c r="ET506" i="1"/>
  <c r="EU506" i="1"/>
  <c r="EV506" i="1"/>
  <c r="EW506" i="1"/>
  <c r="ET507" i="1"/>
  <c r="EU507" i="1"/>
  <c r="EV507" i="1"/>
  <c r="EW507" i="1"/>
  <c r="ET508" i="1"/>
  <c r="EU508" i="1"/>
  <c r="EV508" i="1"/>
  <c r="EW508" i="1"/>
  <c r="ET509" i="1"/>
  <c r="EU509" i="1"/>
  <c r="EV509" i="1"/>
  <c r="EW509" i="1"/>
  <c r="ET510" i="1"/>
  <c r="EU510" i="1"/>
  <c r="EV510" i="1"/>
  <c r="EW510" i="1"/>
  <c r="ET511" i="1"/>
  <c r="EU511" i="1"/>
  <c r="EV511" i="1"/>
  <c r="EW511" i="1"/>
  <c r="ET512" i="1"/>
  <c r="EU512" i="1"/>
  <c r="EV512" i="1"/>
  <c r="EW512" i="1"/>
  <c r="ET513" i="1"/>
  <c r="EU513" i="1"/>
  <c r="EV513" i="1"/>
  <c r="EW513" i="1"/>
  <c r="ET514" i="1"/>
  <c r="EU514" i="1"/>
  <c r="EV514" i="1"/>
  <c r="EW514" i="1"/>
  <c r="ET515" i="1"/>
  <c r="EU515" i="1"/>
  <c r="EV515" i="1"/>
  <c r="EW515" i="1"/>
  <c r="ET516" i="1"/>
  <c r="EU516" i="1"/>
  <c r="EV516" i="1"/>
  <c r="EW516" i="1"/>
  <c r="ET517" i="1"/>
  <c r="EU517" i="1"/>
  <c r="EV517" i="1"/>
  <c r="EW517" i="1"/>
  <c r="ET518" i="1"/>
  <c r="EU518" i="1"/>
  <c r="EV518" i="1"/>
  <c r="EW518" i="1"/>
  <c r="ET519" i="1"/>
  <c r="EU519" i="1"/>
  <c r="EV519" i="1"/>
  <c r="EW519" i="1"/>
  <c r="ET520" i="1"/>
  <c r="EU520" i="1"/>
  <c r="EV520" i="1"/>
  <c r="EW520" i="1"/>
  <c r="ET521" i="1"/>
  <c r="EU521" i="1"/>
  <c r="EV521" i="1"/>
  <c r="EW521" i="1"/>
  <c r="ET522" i="1"/>
  <c r="EU522" i="1"/>
  <c r="EV522" i="1"/>
  <c r="EW522" i="1"/>
  <c r="ET523" i="1"/>
  <c r="EU523" i="1"/>
  <c r="EV523" i="1"/>
  <c r="EW523" i="1"/>
  <c r="ET524" i="1"/>
  <c r="EU524" i="1"/>
  <c r="EV524" i="1"/>
  <c r="EW524" i="1"/>
  <c r="ET525" i="1"/>
  <c r="EU525" i="1"/>
  <c r="EV525" i="1"/>
  <c r="EW525" i="1"/>
  <c r="ET526" i="1"/>
  <c r="EU526" i="1"/>
  <c r="EV526" i="1"/>
  <c r="EW526" i="1"/>
  <c r="ET527" i="1"/>
  <c r="EU527" i="1"/>
  <c r="EV527" i="1"/>
  <c r="EW527" i="1"/>
  <c r="ET528" i="1"/>
  <c r="EU528" i="1"/>
  <c r="EV528" i="1"/>
  <c r="EW528" i="1"/>
  <c r="ET529" i="1"/>
  <c r="EU529" i="1"/>
  <c r="EV529" i="1"/>
  <c r="EW529" i="1"/>
  <c r="ET530" i="1"/>
  <c r="EU530" i="1"/>
  <c r="EV530" i="1"/>
  <c r="EW530" i="1"/>
  <c r="ET531" i="1"/>
  <c r="EU531" i="1"/>
  <c r="EV531" i="1"/>
  <c r="EW531" i="1"/>
  <c r="ET532" i="1"/>
  <c r="EU532" i="1"/>
  <c r="EV532" i="1"/>
  <c r="EW532" i="1"/>
  <c r="ET533" i="1"/>
  <c r="EU533" i="1"/>
  <c r="EV533" i="1"/>
  <c r="EW533" i="1"/>
  <c r="ET534" i="1"/>
  <c r="EU534" i="1"/>
  <c r="EV534" i="1"/>
  <c r="EW534" i="1"/>
  <c r="ET535" i="1"/>
  <c r="EU535" i="1"/>
  <c r="EV535" i="1"/>
  <c r="EW535" i="1"/>
  <c r="ET536" i="1"/>
  <c r="EU536" i="1"/>
  <c r="EV536" i="1"/>
  <c r="EW536" i="1"/>
  <c r="ET537" i="1"/>
  <c r="EU537" i="1"/>
  <c r="EV537" i="1"/>
  <c r="EW537" i="1"/>
  <c r="ET538" i="1"/>
  <c r="EU538" i="1"/>
  <c r="EV538" i="1"/>
  <c r="EW538" i="1"/>
  <c r="EW539" i="1"/>
  <c r="ET540" i="1"/>
  <c r="EU540" i="1"/>
  <c r="EV540" i="1"/>
  <c r="EW540" i="1"/>
  <c r="ET541" i="1"/>
  <c r="EU541" i="1"/>
  <c r="EV541" i="1"/>
  <c r="EW541" i="1"/>
  <c r="EW543" i="1"/>
  <c r="ET544" i="1"/>
  <c r="EU544" i="1"/>
  <c r="EV544" i="1"/>
  <c r="EW544" i="1"/>
  <c r="ET545" i="1"/>
  <c r="EU545" i="1"/>
  <c r="EV545" i="1"/>
  <c r="EW545" i="1"/>
  <c r="ET546" i="1"/>
  <c r="EU546" i="1"/>
  <c r="EV546" i="1"/>
  <c r="EW546" i="1"/>
  <c r="ET548" i="1"/>
  <c r="EU548" i="1"/>
  <c r="EV548" i="1"/>
  <c r="EW548" i="1"/>
  <c r="ET549" i="1"/>
  <c r="EU549" i="1"/>
  <c r="EV549" i="1"/>
  <c r="EW549" i="1"/>
  <c r="ET550" i="1"/>
  <c r="EU550" i="1"/>
  <c r="EV550" i="1"/>
  <c r="EW550" i="1"/>
  <c r="ET552" i="1"/>
  <c r="EU552" i="1"/>
  <c r="EV552" i="1"/>
  <c r="EW552" i="1"/>
  <c r="ET553" i="1"/>
  <c r="EU553" i="1"/>
  <c r="EV553" i="1"/>
  <c r="EW553" i="1"/>
  <c r="ET555" i="1"/>
  <c r="EU555" i="1"/>
  <c r="EV555" i="1"/>
  <c r="EW555" i="1"/>
  <c r="ET557" i="1"/>
  <c r="EU557" i="1"/>
  <c r="EV557" i="1"/>
  <c r="EW557" i="1"/>
  <c r="ET559" i="1"/>
  <c r="EU559" i="1"/>
  <c r="EV559" i="1"/>
  <c r="EW559" i="1"/>
  <c r="ET560" i="1"/>
  <c r="EU560" i="1"/>
  <c r="EV560" i="1"/>
  <c r="EW560" i="1"/>
  <c r="ET561" i="1"/>
  <c r="EU561" i="1"/>
  <c r="EV561" i="1"/>
  <c r="EW561" i="1"/>
  <c r="EW565" i="1"/>
  <c r="EW566" i="1"/>
  <c r="EW567" i="1"/>
  <c r="ET569" i="1"/>
  <c r="EU569" i="1"/>
  <c r="EV569" i="1"/>
  <c r="EW569" i="1"/>
  <c r="ET577" i="1"/>
  <c r="EU577" i="1"/>
  <c r="EV577" i="1"/>
  <c r="EW577" i="1"/>
  <c r="ET631" i="1"/>
  <c r="EU631" i="1"/>
  <c r="EV631" i="1"/>
  <c r="EW631" i="1"/>
  <c r="ET651" i="1"/>
  <c r="EU651" i="1"/>
  <c r="EV651" i="1"/>
  <c r="EW651" i="1"/>
  <c r="ET656" i="1"/>
  <c r="EU656" i="1"/>
  <c r="EV656" i="1"/>
  <c r="EW656" i="1"/>
  <c r="EL7" i="1"/>
  <c r="EM7" i="1"/>
  <c r="EN7" i="1"/>
  <c r="EP7" i="1"/>
  <c r="EQ7" i="1"/>
  <c r="EL8" i="1"/>
  <c r="EM8" i="1"/>
  <c r="EN8" i="1"/>
  <c r="EP8" i="1"/>
  <c r="EQ8" i="1"/>
  <c r="EL9" i="1"/>
  <c r="EM9" i="1"/>
  <c r="EN9" i="1"/>
  <c r="EP9" i="1"/>
  <c r="EQ9" i="1"/>
  <c r="EL10" i="1"/>
  <c r="EM10" i="1"/>
  <c r="EN10" i="1"/>
  <c r="EP10" i="1"/>
  <c r="EQ10" i="1"/>
  <c r="EL11" i="1"/>
  <c r="EM11" i="1"/>
  <c r="EN11" i="1"/>
  <c r="EP11" i="1"/>
  <c r="EQ11" i="1"/>
  <c r="EL12" i="1"/>
  <c r="EM12" i="1"/>
  <c r="EN12" i="1"/>
  <c r="EP12" i="1"/>
  <c r="EQ12" i="1"/>
  <c r="EL13" i="1"/>
  <c r="EM13" i="1"/>
  <c r="EN13" i="1"/>
  <c r="EP13" i="1"/>
  <c r="EQ13" i="1"/>
  <c r="EL14" i="1"/>
  <c r="EM14" i="1"/>
  <c r="EN14" i="1"/>
  <c r="EP14" i="1"/>
  <c r="EQ14" i="1"/>
  <c r="EL15" i="1"/>
  <c r="EM15" i="1"/>
  <c r="EN15" i="1"/>
  <c r="EP15" i="1"/>
  <c r="EQ15" i="1"/>
  <c r="EL16" i="1"/>
  <c r="EM16" i="1"/>
  <c r="EN16" i="1"/>
  <c r="EP16" i="1"/>
  <c r="EQ16" i="1"/>
  <c r="EL17" i="1"/>
  <c r="EM17" i="1"/>
  <c r="EN17" i="1"/>
  <c r="EP17" i="1"/>
  <c r="EQ17" i="1"/>
  <c r="EL18" i="1"/>
  <c r="EM18" i="1"/>
  <c r="EN18" i="1"/>
  <c r="EP18" i="1"/>
  <c r="EQ18" i="1"/>
  <c r="EL19" i="1"/>
  <c r="EM19" i="1"/>
  <c r="EN19" i="1"/>
  <c r="EP19" i="1"/>
  <c r="EQ19" i="1"/>
  <c r="EL20" i="1"/>
  <c r="EM20" i="1"/>
  <c r="EN20" i="1"/>
  <c r="EP20" i="1"/>
  <c r="EQ20" i="1"/>
  <c r="EL21" i="1"/>
  <c r="EM21" i="1"/>
  <c r="EN21" i="1"/>
  <c r="EP21" i="1"/>
  <c r="EQ21" i="1"/>
  <c r="EL22" i="1"/>
  <c r="EM22" i="1"/>
  <c r="EN22" i="1"/>
  <c r="EP22" i="1"/>
  <c r="EQ22" i="1"/>
  <c r="EL23" i="1"/>
  <c r="EM23" i="1"/>
  <c r="EN23" i="1"/>
  <c r="EP23" i="1"/>
  <c r="EQ23" i="1"/>
  <c r="EL24" i="1"/>
  <c r="EM24" i="1"/>
  <c r="EN24" i="1"/>
  <c r="EP24" i="1"/>
  <c r="EQ24" i="1"/>
  <c r="EL25" i="1"/>
  <c r="EM25" i="1"/>
  <c r="EN25" i="1"/>
  <c r="EP25" i="1"/>
  <c r="EQ25" i="1"/>
  <c r="EL26" i="1"/>
  <c r="EM26" i="1"/>
  <c r="EN26" i="1"/>
  <c r="EP26" i="1"/>
  <c r="EQ26" i="1"/>
  <c r="EL27" i="1"/>
  <c r="EM27" i="1"/>
  <c r="EN27" i="1"/>
  <c r="EP27" i="1"/>
  <c r="EQ27" i="1"/>
  <c r="EL28" i="1"/>
  <c r="EM28" i="1"/>
  <c r="EN28" i="1"/>
  <c r="EP28" i="1"/>
  <c r="EQ28" i="1"/>
  <c r="EL29" i="1"/>
  <c r="EM29" i="1"/>
  <c r="EP29" i="1"/>
  <c r="EL30" i="1"/>
  <c r="EM30" i="1"/>
  <c r="EN30" i="1"/>
  <c r="EP30" i="1"/>
  <c r="EQ30" i="1"/>
  <c r="EL31" i="1"/>
  <c r="EM31" i="1"/>
  <c r="EP31" i="1"/>
  <c r="EL32" i="1"/>
  <c r="EM32" i="1"/>
  <c r="EP32" i="1"/>
  <c r="EL33" i="1"/>
  <c r="EM33" i="1"/>
  <c r="EN33" i="1"/>
  <c r="EP33" i="1"/>
  <c r="EQ33" i="1"/>
  <c r="EL34" i="1"/>
  <c r="EM34" i="1"/>
  <c r="EN34" i="1"/>
  <c r="EP34" i="1"/>
  <c r="EQ34" i="1"/>
  <c r="EL35" i="1"/>
  <c r="EM35" i="1"/>
  <c r="EN35" i="1"/>
  <c r="EP35" i="1"/>
  <c r="EQ35" i="1"/>
  <c r="EL36" i="1"/>
  <c r="EM36" i="1"/>
  <c r="EN36" i="1"/>
  <c r="EP36" i="1"/>
  <c r="EQ36" i="1"/>
  <c r="EL37" i="1"/>
  <c r="EM37" i="1"/>
  <c r="EN37" i="1"/>
  <c r="EP37" i="1"/>
  <c r="EQ37" i="1"/>
  <c r="EL38" i="1"/>
  <c r="EM38" i="1"/>
  <c r="EN38" i="1"/>
  <c r="EP38" i="1"/>
  <c r="EQ38" i="1"/>
  <c r="EL39" i="1"/>
  <c r="EM39" i="1"/>
  <c r="EN39" i="1"/>
  <c r="EP39" i="1"/>
  <c r="EQ39" i="1"/>
  <c r="EL40" i="1"/>
  <c r="EM40" i="1"/>
  <c r="EN40" i="1"/>
  <c r="EP40" i="1"/>
  <c r="EQ40" i="1"/>
  <c r="EL41" i="1"/>
  <c r="EM41" i="1"/>
  <c r="EN41" i="1"/>
  <c r="EP41" i="1"/>
  <c r="EQ41" i="1"/>
  <c r="EL42" i="1"/>
  <c r="EM42" i="1"/>
  <c r="EN42" i="1"/>
  <c r="EP42" i="1"/>
  <c r="EQ42" i="1"/>
  <c r="EL43" i="1"/>
  <c r="EM43" i="1"/>
  <c r="EN43" i="1"/>
  <c r="EP43" i="1"/>
  <c r="EQ43" i="1"/>
  <c r="EL44" i="1"/>
  <c r="EM44" i="1"/>
  <c r="EN44" i="1"/>
  <c r="EP44" i="1"/>
  <c r="EQ44" i="1"/>
  <c r="EL45" i="1"/>
  <c r="EM45" i="1"/>
  <c r="EN45" i="1"/>
  <c r="EP45" i="1"/>
  <c r="EQ45" i="1"/>
  <c r="EL46" i="1"/>
  <c r="EM46" i="1"/>
  <c r="EN46" i="1"/>
  <c r="EP46" i="1"/>
  <c r="EQ46" i="1"/>
  <c r="EL47" i="1"/>
  <c r="EM47" i="1"/>
  <c r="EN47" i="1"/>
  <c r="EP47" i="1"/>
  <c r="EQ47" i="1"/>
  <c r="EL48" i="1"/>
  <c r="EM48" i="1"/>
  <c r="EN48" i="1"/>
  <c r="EP48" i="1"/>
  <c r="EQ48" i="1"/>
  <c r="EL49" i="1"/>
  <c r="EM49" i="1"/>
  <c r="EN49" i="1"/>
  <c r="EP49" i="1"/>
  <c r="EQ49" i="1"/>
  <c r="EL50" i="1"/>
  <c r="EM50" i="1"/>
  <c r="EN50" i="1"/>
  <c r="EP50" i="1"/>
  <c r="EQ50" i="1"/>
  <c r="EL51" i="1"/>
  <c r="EM51" i="1"/>
  <c r="EN51" i="1"/>
  <c r="EP51" i="1"/>
  <c r="EQ51" i="1"/>
  <c r="EL52" i="1"/>
  <c r="EM52" i="1"/>
  <c r="EP52" i="1"/>
  <c r="EL53" i="1"/>
  <c r="EM53" i="1"/>
  <c r="EN53" i="1"/>
  <c r="EP53" i="1"/>
  <c r="EQ53" i="1"/>
  <c r="EL54" i="1"/>
  <c r="EM54" i="1"/>
  <c r="EN54" i="1"/>
  <c r="EP54" i="1"/>
  <c r="EQ54" i="1"/>
  <c r="EL55" i="1"/>
  <c r="EM55" i="1"/>
  <c r="EN55" i="1"/>
  <c r="EP55" i="1"/>
  <c r="EQ55" i="1"/>
  <c r="EL56" i="1"/>
  <c r="EM56" i="1"/>
  <c r="EN56" i="1"/>
  <c r="EP56" i="1"/>
  <c r="EQ56" i="1"/>
  <c r="EL57" i="1"/>
  <c r="EM57" i="1"/>
  <c r="EN57" i="1"/>
  <c r="EP57" i="1"/>
  <c r="EQ57" i="1"/>
  <c r="EL58" i="1"/>
  <c r="EM58" i="1"/>
  <c r="EP58" i="1"/>
  <c r="EL59" i="1"/>
  <c r="EM59" i="1"/>
  <c r="EN59" i="1"/>
  <c r="EP59" i="1"/>
  <c r="EQ59" i="1"/>
  <c r="EL60" i="1"/>
  <c r="EM60" i="1"/>
  <c r="EN60" i="1"/>
  <c r="EP60" i="1"/>
  <c r="EQ60" i="1"/>
  <c r="EL61" i="1"/>
  <c r="EM61" i="1"/>
  <c r="EP61" i="1"/>
  <c r="EL62" i="1"/>
  <c r="EM62" i="1"/>
  <c r="EP62" i="1"/>
  <c r="EL63" i="1"/>
  <c r="EM63" i="1"/>
  <c r="EN63" i="1"/>
  <c r="EP63" i="1"/>
  <c r="EQ63" i="1"/>
  <c r="EL64" i="1"/>
  <c r="EM64" i="1"/>
  <c r="EP64" i="1"/>
  <c r="EL65" i="1"/>
  <c r="EM65" i="1"/>
  <c r="EN65" i="1"/>
  <c r="EP65" i="1"/>
  <c r="EQ65" i="1"/>
  <c r="EL66" i="1"/>
  <c r="EM66" i="1"/>
  <c r="EP66" i="1"/>
  <c r="EL67" i="1"/>
  <c r="EM67" i="1"/>
  <c r="EN67" i="1"/>
  <c r="EP67" i="1"/>
  <c r="EQ67" i="1"/>
  <c r="EL68" i="1"/>
  <c r="EM68" i="1"/>
  <c r="EN68" i="1"/>
  <c r="EP68" i="1"/>
  <c r="EQ68" i="1"/>
  <c r="EL69" i="1"/>
  <c r="EM69" i="1"/>
  <c r="EN69" i="1"/>
  <c r="EP69" i="1"/>
  <c r="EQ69" i="1"/>
  <c r="EL70" i="1"/>
  <c r="EM70" i="1"/>
  <c r="EN70" i="1"/>
  <c r="EP70" i="1"/>
  <c r="EQ70" i="1"/>
  <c r="EL71" i="1"/>
  <c r="EM71" i="1"/>
  <c r="EN71" i="1"/>
  <c r="EP71" i="1"/>
  <c r="EQ71" i="1"/>
  <c r="EL72" i="1"/>
  <c r="EM72" i="1"/>
  <c r="EN72" i="1"/>
  <c r="EP72" i="1"/>
  <c r="EQ72" i="1"/>
  <c r="EL73" i="1"/>
  <c r="EM73" i="1"/>
  <c r="EN73" i="1"/>
  <c r="EP73" i="1"/>
  <c r="EQ73" i="1"/>
  <c r="EL74" i="1"/>
  <c r="EM74" i="1"/>
  <c r="EP74" i="1"/>
  <c r="EL75" i="1"/>
  <c r="EM75" i="1"/>
  <c r="EN75" i="1"/>
  <c r="EP75" i="1"/>
  <c r="EQ75" i="1"/>
  <c r="EL76" i="1"/>
  <c r="EM76" i="1"/>
  <c r="EN76" i="1"/>
  <c r="EP76" i="1"/>
  <c r="EQ76" i="1"/>
  <c r="EL77" i="1"/>
  <c r="EM77" i="1"/>
  <c r="EN77" i="1"/>
  <c r="EP77" i="1"/>
  <c r="EQ77" i="1"/>
  <c r="EL78" i="1"/>
  <c r="EM78" i="1"/>
  <c r="EN78" i="1"/>
  <c r="EP78" i="1"/>
  <c r="EQ78" i="1"/>
  <c r="EL79" i="1"/>
  <c r="EM79" i="1"/>
  <c r="EN79" i="1"/>
  <c r="EP79" i="1"/>
  <c r="EQ79" i="1"/>
  <c r="EL80" i="1"/>
  <c r="EM80" i="1"/>
  <c r="EN80" i="1"/>
  <c r="EP80" i="1"/>
  <c r="EQ80" i="1"/>
  <c r="EL81" i="1"/>
  <c r="EM81" i="1"/>
  <c r="EN81" i="1"/>
  <c r="EP81" i="1"/>
  <c r="EQ81" i="1"/>
  <c r="EL82" i="1"/>
  <c r="EM82" i="1"/>
  <c r="EN82" i="1"/>
  <c r="EP82" i="1"/>
  <c r="EQ82" i="1"/>
  <c r="EL83" i="1"/>
  <c r="EM83" i="1"/>
  <c r="EN83" i="1"/>
  <c r="EP83" i="1"/>
  <c r="EQ83" i="1"/>
  <c r="EL84" i="1"/>
  <c r="EM84" i="1"/>
  <c r="EN84" i="1"/>
  <c r="EP84" i="1"/>
  <c r="EQ84" i="1"/>
  <c r="EL85" i="1"/>
  <c r="EM85" i="1"/>
  <c r="EN85" i="1"/>
  <c r="EP85" i="1"/>
  <c r="EQ85" i="1"/>
  <c r="EL86" i="1"/>
  <c r="EM86" i="1"/>
  <c r="EP86" i="1"/>
  <c r="EL87" i="1"/>
  <c r="EM87" i="1"/>
  <c r="EN87" i="1"/>
  <c r="EP87" i="1"/>
  <c r="EQ87" i="1"/>
  <c r="EL88" i="1"/>
  <c r="EM88" i="1"/>
  <c r="EN88" i="1"/>
  <c r="EP88" i="1"/>
  <c r="EQ88" i="1"/>
  <c r="EL89" i="1"/>
  <c r="EM89" i="1"/>
  <c r="EN89" i="1"/>
  <c r="EP89" i="1"/>
  <c r="EQ89" i="1"/>
  <c r="EL90" i="1"/>
  <c r="EM90" i="1"/>
  <c r="EN90" i="1"/>
  <c r="EP90" i="1"/>
  <c r="EQ90" i="1"/>
  <c r="EL91" i="1"/>
  <c r="EM91" i="1"/>
  <c r="EP91" i="1"/>
  <c r="EL92" i="1"/>
  <c r="EM92" i="1"/>
  <c r="EP92" i="1"/>
  <c r="EL93" i="1"/>
  <c r="EM93" i="1"/>
  <c r="EN93" i="1"/>
  <c r="EP93" i="1"/>
  <c r="EQ93" i="1"/>
  <c r="EL94" i="1"/>
  <c r="EM94" i="1"/>
  <c r="EN94" i="1"/>
  <c r="EP94" i="1"/>
  <c r="EQ94" i="1"/>
  <c r="EL95" i="1"/>
  <c r="EM95" i="1"/>
  <c r="EN95" i="1"/>
  <c r="EP95" i="1"/>
  <c r="EQ95" i="1"/>
  <c r="EL96" i="1"/>
  <c r="EM96" i="1"/>
  <c r="EN96" i="1"/>
  <c r="EP96" i="1"/>
  <c r="EQ96" i="1"/>
  <c r="EL97" i="1"/>
  <c r="EM97" i="1"/>
  <c r="EN97" i="1"/>
  <c r="EP97" i="1"/>
  <c r="EQ97" i="1"/>
  <c r="EL98" i="1"/>
  <c r="EM98" i="1"/>
  <c r="EN98" i="1"/>
  <c r="EP98" i="1"/>
  <c r="EQ98" i="1"/>
  <c r="EL99" i="1"/>
  <c r="EM99" i="1"/>
  <c r="EN99" i="1"/>
  <c r="EP99" i="1"/>
  <c r="EQ99" i="1"/>
  <c r="EL100" i="1"/>
  <c r="EM100" i="1"/>
  <c r="EN100" i="1"/>
  <c r="EP100" i="1"/>
  <c r="EQ100" i="1"/>
  <c r="EL101" i="1"/>
  <c r="EM101" i="1"/>
  <c r="EP101" i="1"/>
  <c r="EL102" i="1"/>
  <c r="EM102" i="1"/>
  <c r="EN102" i="1"/>
  <c r="EP102" i="1"/>
  <c r="EQ102" i="1"/>
  <c r="EL103" i="1"/>
  <c r="EM103" i="1"/>
  <c r="EN103" i="1"/>
  <c r="EP103" i="1"/>
  <c r="EQ103" i="1"/>
  <c r="EL104" i="1"/>
  <c r="EM104" i="1"/>
  <c r="EN104" i="1"/>
  <c r="EP104" i="1"/>
  <c r="EQ104" i="1"/>
  <c r="EL105" i="1"/>
  <c r="EM105" i="1"/>
  <c r="EP105" i="1"/>
  <c r="EL106" i="1"/>
  <c r="EM106" i="1"/>
  <c r="EN106" i="1"/>
  <c r="EP106" i="1"/>
  <c r="EQ106" i="1"/>
  <c r="EL107" i="1"/>
  <c r="EM107" i="1"/>
  <c r="EN107" i="1"/>
  <c r="EP107" i="1"/>
  <c r="EQ107" i="1"/>
  <c r="EL108" i="1"/>
  <c r="EM108" i="1"/>
  <c r="EN108" i="1"/>
  <c r="EP108" i="1"/>
  <c r="EQ108" i="1"/>
  <c r="EL109" i="1"/>
  <c r="EM109" i="1"/>
  <c r="EN109" i="1"/>
  <c r="EP109" i="1"/>
  <c r="EQ109" i="1"/>
  <c r="EL110" i="1"/>
  <c r="EM110" i="1"/>
  <c r="EN110" i="1"/>
  <c r="EP110" i="1"/>
  <c r="EQ110" i="1"/>
  <c r="EL111" i="1"/>
  <c r="EM111" i="1"/>
  <c r="EN111" i="1"/>
  <c r="EP111" i="1"/>
  <c r="EQ111" i="1"/>
  <c r="EL112" i="1"/>
  <c r="EM112" i="1"/>
  <c r="EN112" i="1"/>
  <c r="EP112" i="1"/>
  <c r="EQ112" i="1"/>
  <c r="EL113" i="1"/>
  <c r="EM113" i="1"/>
  <c r="EN113" i="1"/>
  <c r="EP113" i="1"/>
  <c r="EQ113" i="1"/>
  <c r="EL114" i="1"/>
  <c r="EM114" i="1"/>
  <c r="EN114" i="1"/>
  <c r="EP114" i="1"/>
  <c r="EQ114" i="1"/>
  <c r="EL115" i="1"/>
  <c r="EM115" i="1"/>
  <c r="EP115" i="1"/>
  <c r="EL116" i="1"/>
  <c r="EM116" i="1"/>
  <c r="EN116" i="1"/>
  <c r="EP116" i="1"/>
  <c r="EQ116" i="1"/>
  <c r="EL117" i="1"/>
  <c r="EM117" i="1"/>
  <c r="EN117" i="1"/>
  <c r="EP117" i="1"/>
  <c r="EQ117" i="1"/>
  <c r="EL118" i="1"/>
  <c r="EM118" i="1"/>
  <c r="EN118" i="1"/>
  <c r="EP118" i="1"/>
  <c r="EQ118" i="1"/>
  <c r="EL119" i="1"/>
  <c r="EM119" i="1"/>
  <c r="EN119" i="1"/>
  <c r="EP119" i="1"/>
  <c r="EQ119" i="1"/>
  <c r="EL120" i="1"/>
  <c r="EM120" i="1"/>
  <c r="EN120" i="1"/>
  <c r="EP120" i="1"/>
  <c r="EQ120" i="1"/>
  <c r="EL121" i="1"/>
  <c r="EM121" i="1"/>
  <c r="EN121" i="1"/>
  <c r="EP121" i="1"/>
  <c r="EQ121" i="1"/>
  <c r="EL122" i="1"/>
  <c r="EM122" i="1"/>
  <c r="EN122" i="1"/>
  <c r="EP122" i="1"/>
  <c r="EQ122" i="1"/>
  <c r="EL123" i="1"/>
  <c r="EM123" i="1"/>
  <c r="EN123" i="1"/>
  <c r="EP123" i="1"/>
  <c r="EQ123" i="1"/>
  <c r="EL124" i="1"/>
  <c r="EM124" i="1"/>
  <c r="EN124" i="1"/>
  <c r="EP124" i="1"/>
  <c r="EQ124" i="1"/>
  <c r="EL125" i="1"/>
  <c r="EM125" i="1"/>
  <c r="EP125" i="1"/>
  <c r="EL126" i="1"/>
  <c r="EM126" i="1"/>
  <c r="EN126" i="1"/>
  <c r="EP126" i="1"/>
  <c r="EQ126" i="1"/>
  <c r="EL127" i="1"/>
  <c r="EM127" i="1"/>
  <c r="EN127" i="1"/>
  <c r="EP127" i="1"/>
  <c r="EQ127" i="1"/>
  <c r="EL128" i="1"/>
  <c r="EM128" i="1"/>
  <c r="EN128" i="1"/>
  <c r="EP128" i="1"/>
  <c r="EQ128" i="1"/>
  <c r="EL129" i="1"/>
  <c r="EM129" i="1"/>
  <c r="EN129" i="1"/>
  <c r="EP129" i="1"/>
  <c r="EQ129" i="1"/>
  <c r="EL130" i="1"/>
  <c r="EM130" i="1"/>
  <c r="EN130" i="1"/>
  <c r="EP130" i="1"/>
  <c r="EQ130" i="1"/>
  <c r="EL131" i="1"/>
  <c r="EM131" i="1"/>
  <c r="EN131" i="1"/>
  <c r="EP131" i="1"/>
  <c r="EQ131" i="1"/>
  <c r="EL132" i="1"/>
  <c r="EM132" i="1"/>
  <c r="EN132" i="1"/>
  <c r="EP132" i="1"/>
  <c r="EQ132" i="1"/>
  <c r="EL134" i="1"/>
  <c r="EM134" i="1"/>
  <c r="EP134" i="1"/>
  <c r="EL135" i="1"/>
  <c r="EM135" i="1"/>
  <c r="EP135" i="1"/>
  <c r="EL136" i="1"/>
  <c r="EM136" i="1"/>
  <c r="EP136" i="1"/>
  <c r="EL137" i="1"/>
  <c r="EM137" i="1"/>
  <c r="EN137" i="1"/>
  <c r="EP137" i="1"/>
  <c r="EQ137" i="1"/>
  <c r="EL138" i="1"/>
  <c r="EM138" i="1"/>
  <c r="EN138" i="1"/>
  <c r="EP138" i="1"/>
  <c r="EQ138" i="1"/>
  <c r="EL139" i="1"/>
  <c r="EM139" i="1"/>
  <c r="EN139" i="1"/>
  <c r="EP139" i="1"/>
  <c r="EQ139" i="1"/>
  <c r="EL140" i="1"/>
  <c r="EM140" i="1"/>
  <c r="EN140" i="1"/>
  <c r="EP140" i="1"/>
  <c r="EQ140" i="1"/>
  <c r="EL141" i="1"/>
  <c r="EM141" i="1"/>
  <c r="EN141" i="1"/>
  <c r="EP141" i="1"/>
  <c r="EQ141" i="1"/>
  <c r="EL142" i="1"/>
  <c r="EM142" i="1"/>
  <c r="EN142" i="1"/>
  <c r="EP142" i="1"/>
  <c r="EQ142" i="1"/>
  <c r="EL143" i="1"/>
  <c r="EM143" i="1"/>
  <c r="EN143" i="1"/>
  <c r="EP143" i="1"/>
  <c r="EQ143" i="1"/>
  <c r="EL144" i="1"/>
  <c r="EM144" i="1"/>
  <c r="EN144" i="1"/>
  <c r="EP144" i="1"/>
  <c r="EQ144" i="1"/>
  <c r="EL145" i="1"/>
  <c r="EM145" i="1"/>
  <c r="EP145" i="1"/>
  <c r="EL146" i="1"/>
  <c r="EM146" i="1"/>
  <c r="EN146" i="1"/>
  <c r="EP146" i="1"/>
  <c r="EQ146" i="1"/>
  <c r="EL147" i="1"/>
  <c r="EM147" i="1"/>
  <c r="EN147" i="1"/>
  <c r="EP147" i="1"/>
  <c r="EQ147" i="1"/>
  <c r="EL148" i="1"/>
  <c r="EM148" i="1"/>
  <c r="EN148" i="1"/>
  <c r="EP148" i="1"/>
  <c r="EQ148" i="1"/>
  <c r="EL149" i="1"/>
  <c r="EM149" i="1"/>
  <c r="EN149" i="1"/>
  <c r="EP149" i="1"/>
  <c r="EQ149" i="1"/>
  <c r="EL150" i="1"/>
  <c r="EM150" i="1"/>
  <c r="EN150" i="1"/>
  <c r="EP150" i="1"/>
  <c r="EQ150" i="1"/>
  <c r="EL151" i="1"/>
  <c r="EM151" i="1"/>
  <c r="EN151" i="1"/>
  <c r="EP151" i="1"/>
  <c r="EQ151" i="1"/>
  <c r="EL152" i="1"/>
  <c r="EM152" i="1"/>
  <c r="EP152" i="1"/>
  <c r="EL153" i="1"/>
  <c r="EM153" i="1"/>
  <c r="EP153" i="1"/>
  <c r="EL155" i="1"/>
  <c r="EM155" i="1"/>
  <c r="EN155" i="1"/>
  <c r="EP155" i="1"/>
  <c r="EQ155" i="1"/>
  <c r="EL156" i="1"/>
  <c r="EM156" i="1"/>
  <c r="EN156" i="1"/>
  <c r="EP156" i="1"/>
  <c r="EQ156" i="1"/>
  <c r="EL157" i="1"/>
  <c r="EM157" i="1"/>
  <c r="EN157" i="1"/>
  <c r="EP157" i="1"/>
  <c r="EQ157" i="1"/>
  <c r="EL158" i="1"/>
  <c r="EM158" i="1"/>
  <c r="EN158" i="1"/>
  <c r="EP158" i="1"/>
  <c r="EQ158" i="1"/>
  <c r="EL159" i="1"/>
  <c r="EM159" i="1"/>
  <c r="EP159" i="1"/>
  <c r="EL160" i="1"/>
  <c r="EM160" i="1"/>
  <c r="EN160" i="1"/>
  <c r="EP160" i="1"/>
  <c r="EQ160" i="1"/>
  <c r="EL161" i="1"/>
  <c r="EM161" i="1"/>
  <c r="EN161" i="1"/>
  <c r="EP161" i="1"/>
  <c r="EQ161" i="1"/>
  <c r="EL162" i="1"/>
  <c r="EM162" i="1"/>
  <c r="EN162" i="1"/>
  <c r="EP162" i="1"/>
  <c r="EQ162" i="1"/>
  <c r="EL163" i="1"/>
  <c r="EM163" i="1"/>
  <c r="EN163" i="1"/>
  <c r="EP163" i="1"/>
  <c r="EQ163" i="1"/>
  <c r="EL164" i="1"/>
  <c r="EM164" i="1"/>
  <c r="EN164" i="1"/>
  <c r="EP164" i="1"/>
  <c r="EQ164" i="1"/>
  <c r="EL165" i="1"/>
  <c r="EM165" i="1"/>
  <c r="EN165" i="1"/>
  <c r="EP165" i="1"/>
  <c r="EQ165" i="1"/>
  <c r="EL166" i="1"/>
  <c r="EM166" i="1"/>
  <c r="EN166" i="1"/>
  <c r="EP166" i="1"/>
  <c r="EQ166" i="1"/>
  <c r="EL167" i="1"/>
  <c r="EM167" i="1"/>
  <c r="EN167" i="1"/>
  <c r="EP167" i="1"/>
  <c r="EQ167" i="1"/>
  <c r="EL169" i="1"/>
  <c r="EM169" i="1"/>
  <c r="EP169" i="1"/>
  <c r="EL170" i="1"/>
  <c r="EM170" i="1"/>
  <c r="EN170" i="1"/>
  <c r="EP170" i="1"/>
  <c r="EQ170" i="1"/>
  <c r="EL171" i="1"/>
  <c r="EM171" i="1"/>
  <c r="EN171" i="1"/>
  <c r="EP171" i="1"/>
  <c r="EQ171" i="1"/>
  <c r="EL172" i="1"/>
  <c r="EM172" i="1"/>
  <c r="EN172" i="1"/>
  <c r="EP172" i="1"/>
  <c r="EQ172" i="1"/>
  <c r="EL173" i="1"/>
  <c r="EM173" i="1"/>
  <c r="EN173" i="1"/>
  <c r="EP173" i="1"/>
  <c r="EQ173" i="1"/>
  <c r="EL174" i="1"/>
  <c r="EM174" i="1"/>
  <c r="EN174" i="1"/>
  <c r="EP174" i="1"/>
  <c r="EQ174" i="1"/>
  <c r="EL175" i="1"/>
  <c r="EM175" i="1"/>
  <c r="EP175" i="1"/>
  <c r="EL176" i="1"/>
  <c r="EM176" i="1"/>
  <c r="EN176" i="1"/>
  <c r="EP176" i="1"/>
  <c r="EQ176" i="1"/>
  <c r="EL177" i="1"/>
  <c r="EM177" i="1"/>
  <c r="EN177" i="1"/>
  <c r="EP177" i="1"/>
  <c r="EQ177" i="1"/>
  <c r="EL178" i="1"/>
  <c r="EM178" i="1"/>
  <c r="EP178" i="1"/>
  <c r="EL179" i="1"/>
  <c r="EM179" i="1"/>
  <c r="EN179" i="1"/>
  <c r="EP179" i="1"/>
  <c r="EQ179" i="1"/>
  <c r="EL180" i="1"/>
  <c r="EM180" i="1"/>
  <c r="EP180" i="1"/>
  <c r="EL181" i="1"/>
  <c r="EM181" i="1"/>
  <c r="EN181" i="1"/>
  <c r="EP181" i="1"/>
  <c r="EQ181" i="1"/>
  <c r="EL182" i="1"/>
  <c r="EM182" i="1"/>
  <c r="EP182" i="1"/>
  <c r="EL183" i="1"/>
  <c r="EM183" i="1"/>
  <c r="EN183" i="1"/>
  <c r="EP183" i="1"/>
  <c r="EQ183" i="1"/>
  <c r="EL184" i="1"/>
  <c r="EM184" i="1"/>
  <c r="EN184" i="1"/>
  <c r="EP184" i="1"/>
  <c r="EQ184" i="1"/>
  <c r="EL185" i="1"/>
  <c r="EM185" i="1"/>
  <c r="EN185" i="1"/>
  <c r="EP185" i="1"/>
  <c r="EQ185" i="1"/>
  <c r="EL186" i="1"/>
  <c r="EM186" i="1"/>
  <c r="EN186" i="1"/>
  <c r="EP186" i="1"/>
  <c r="EQ186" i="1"/>
  <c r="EL187" i="1"/>
  <c r="EM187" i="1"/>
  <c r="EN187" i="1"/>
  <c r="EP187" i="1"/>
  <c r="EQ187" i="1"/>
  <c r="EL188" i="1"/>
  <c r="EM188" i="1"/>
  <c r="EN188" i="1"/>
  <c r="EP188" i="1"/>
  <c r="EQ188" i="1"/>
  <c r="EL189" i="1"/>
  <c r="EM189" i="1"/>
  <c r="EN189" i="1"/>
  <c r="EP189" i="1"/>
  <c r="EQ189" i="1"/>
  <c r="EL190" i="1"/>
  <c r="EM190" i="1"/>
  <c r="EN190" i="1"/>
  <c r="EP190" i="1"/>
  <c r="EQ190" i="1"/>
  <c r="EL191" i="1"/>
  <c r="EM191" i="1"/>
  <c r="EN191" i="1"/>
  <c r="EP191" i="1"/>
  <c r="EQ191" i="1"/>
  <c r="EL192" i="1"/>
  <c r="EM192" i="1"/>
  <c r="EP192" i="1"/>
  <c r="EL193" i="1"/>
  <c r="EM193" i="1"/>
  <c r="EN193" i="1"/>
  <c r="EP193" i="1"/>
  <c r="EQ193" i="1"/>
  <c r="EL194" i="1"/>
  <c r="EM194" i="1"/>
  <c r="EN194" i="1"/>
  <c r="EP194" i="1"/>
  <c r="EQ194" i="1"/>
  <c r="EL195" i="1"/>
  <c r="EM195" i="1"/>
  <c r="EN195" i="1"/>
  <c r="EP195" i="1"/>
  <c r="EQ195" i="1"/>
  <c r="EL196" i="1"/>
  <c r="EM196" i="1"/>
  <c r="EN196" i="1"/>
  <c r="EP196" i="1"/>
  <c r="EQ196" i="1"/>
  <c r="EL197" i="1"/>
  <c r="EM197" i="1"/>
  <c r="EN197" i="1"/>
  <c r="EP197" i="1"/>
  <c r="EQ197" i="1"/>
  <c r="EL198" i="1"/>
  <c r="EM198" i="1"/>
  <c r="EN198" i="1"/>
  <c r="EP198" i="1"/>
  <c r="EQ198" i="1"/>
  <c r="EL199" i="1"/>
  <c r="EM199" i="1"/>
  <c r="EN199" i="1"/>
  <c r="EP199" i="1"/>
  <c r="EQ199" i="1"/>
  <c r="EL200" i="1"/>
  <c r="EM200" i="1"/>
  <c r="EN200" i="1"/>
  <c r="EP200" i="1"/>
  <c r="EQ200" i="1"/>
  <c r="EL201" i="1"/>
  <c r="EM201" i="1"/>
  <c r="EN201" i="1"/>
  <c r="EP201" i="1"/>
  <c r="EQ201" i="1"/>
  <c r="EL202" i="1"/>
  <c r="EM202" i="1"/>
  <c r="EN202" i="1"/>
  <c r="EP202" i="1"/>
  <c r="EQ202" i="1"/>
  <c r="EL203" i="1"/>
  <c r="EM203" i="1"/>
  <c r="EP203" i="1"/>
  <c r="EL204" i="1"/>
  <c r="EM204" i="1"/>
  <c r="EN204" i="1"/>
  <c r="EP204" i="1"/>
  <c r="EQ204" i="1"/>
  <c r="EL205" i="1"/>
  <c r="EM205" i="1"/>
  <c r="EN205" i="1"/>
  <c r="EP205" i="1"/>
  <c r="EQ205" i="1"/>
  <c r="EL206" i="1"/>
  <c r="EM206" i="1"/>
  <c r="EN206" i="1"/>
  <c r="EP206" i="1"/>
  <c r="EQ206" i="1"/>
  <c r="EL207" i="1"/>
  <c r="EM207" i="1"/>
  <c r="EN207" i="1"/>
  <c r="EP207" i="1"/>
  <c r="EQ207" i="1"/>
  <c r="EL208" i="1"/>
  <c r="EM208" i="1"/>
  <c r="EN208" i="1"/>
  <c r="EP208" i="1"/>
  <c r="EQ208" i="1"/>
  <c r="EL209" i="1"/>
  <c r="EM209" i="1"/>
  <c r="EN209" i="1"/>
  <c r="EP209" i="1"/>
  <c r="EQ209" i="1"/>
  <c r="EL210" i="1"/>
  <c r="EM210" i="1"/>
  <c r="EN210" i="1"/>
  <c r="EP210" i="1"/>
  <c r="EQ210" i="1"/>
  <c r="EL211" i="1"/>
  <c r="EM211" i="1"/>
  <c r="EN211" i="1"/>
  <c r="EP211" i="1"/>
  <c r="EQ211" i="1"/>
  <c r="EL212" i="1"/>
  <c r="EM212" i="1"/>
  <c r="EN212" i="1"/>
  <c r="EP212" i="1"/>
  <c r="EQ212" i="1"/>
  <c r="EL213" i="1"/>
  <c r="EM213" i="1"/>
  <c r="EN213" i="1"/>
  <c r="EP213" i="1"/>
  <c r="EQ213" i="1"/>
  <c r="EL214" i="1"/>
  <c r="EM214" i="1"/>
  <c r="EN214" i="1"/>
  <c r="EP214" i="1"/>
  <c r="EQ214" i="1"/>
  <c r="EL215" i="1"/>
  <c r="EM215" i="1"/>
  <c r="EN215" i="1"/>
  <c r="EP215" i="1"/>
  <c r="EQ215" i="1"/>
  <c r="EL217" i="1"/>
  <c r="EM217" i="1"/>
  <c r="EP217" i="1"/>
  <c r="EL218" i="1"/>
  <c r="EM218" i="1"/>
  <c r="EN218" i="1"/>
  <c r="EP218" i="1"/>
  <c r="EQ218" i="1"/>
  <c r="EL219" i="1"/>
  <c r="EM219" i="1"/>
  <c r="EN219" i="1"/>
  <c r="EP219" i="1"/>
  <c r="EQ219" i="1"/>
  <c r="EL220" i="1"/>
  <c r="EM220" i="1"/>
  <c r="EN220" i="1"/>
  <c r="EP220" i="1"/>
  <c r="EQ220" i="1"/>
  <c r="EL221" i="1"/>
  <c r="EM221" i="1"/>
  <c r="EN221" i="1"/>
  <c r="EP221" i="1"/>
  <c r="EQ221" i="1"/>
  <c r="EL222" i="1"/>
  <c r="EM222" i="1"/>
  <c r="EN222" i="1"/>
  <c r="EP222" i="1"/>
  <c r="EQ222" i="1"/>
  <c r="EL223" i="1"/>
  <c r="EM223" i="1"/>
  <c r="EN223" i="1"/>
  <c r="EP223" i="1"/>
  <c r="EQ223" i="1"/>
  <c r="EL224" i="1"/>
  <c r="EM224" i="1"/>
  <c r="EN224" i="1"/>
  <c r="EP224" i="1"/>
  <c r="EQ224" i="1"/>
  <c r="EL225" i="1"/>
  <c r="EM225" i="1"/>
  <c r="EN225" i="1"/>
  <c r="EP225" i="1"/>
  <c r="EQ225" i="1"/>
  <c r="EL226" i="1"/>
  <c r="EM226" i="1"/>
  <c r="EN226" i="1"/>
  <c r="EP226" i="1"/>
  <c r="EQ226" i="1"/>
  <c r="EL227" i="1"/>
  <c r="EM227" i="1"/>
  <c r="EN227" i="1"/>
  <c r="EP227" i="1"/>
  <c r="EQ227" i="1"/>
  <c r="EL228" i="1"/>
  <c r="EM228" i="1"/>
  <c r="EP228" i="1"/>
  <c r="EL229" i="1"/>
  <c r="EM229" i="1"/>
  <c r="EP229" i="1"/>
  <c r="EL230" i="1"/>
  <c r="EM230" i="1"/>
  <c r="EN230" i="1"/>
  <c r="EP230" i="1"/>
  <c r="EQ230" i="1"/>
  <c r="EL231" i="1"/>
  <c r="EM231" i="1"/>
  <c r="EP231" i="1"/>
  <c r="EL232" i="1"/>
  <c r="EM232" i="1"/>
  <c r="EN232" i="1"/>
  <c r="EP232" i="1"/>
  <c r="EQ232" i="1"/>
  <c r="EL233" i="1"/>
  <c r="EM233" i="1"/>
  <c r="EN233" i="1"/>
  <c r="EP233" i="1"/>
  <c r="EQ233" i="1"/>
  <c r="EL234" i="1"/>
  <c r="EM234" i="1"/>
  <c r="EP234" i="1"/>
  <c r="EL235" i="1"/>
  <c r="EM235" i="1"/>
  <c r="EP235" i="1"/>
  <c r="EL237" i="1"/>
  <c r="EM237" i="1"/>
  <c r="EP237" i="1"/>
  <c r="EL238" i="1"/>
  <c r="EM238" i="1"/>
  <c r="EN238" i="1"/>
  <c r="EP238" i="1"/>
  <c r="EQ238" i="1"/>
  <c r="EL239" i="1"/>
  <c r="EM239" i="1"/>
  <c r="EP239" i="1"/>
  <c r="EL240" i="1"/>
  <c r="EM240" i="1"/>
  <c r="EN240" i="1"/>
  <c r="EP240" i="1"/>
  <c r="EQ240" i="1"/>
  <c r="EL241" i="1"/>
  <c r="EM241" i="1"/>
  <c r="EN241" i="1"/>
  <c r="EP241" i="1"/>
  <c r="EQ241" i="1"/>
  <c r="EL242" i="1"/>
  <c r="EM242" i="1"/>
  <c r="EP242" i="1"/>
  <c r="EL243" i="1"/>
  <c r="EM243" i="1"/>
  <c r="EP243" i="1"/>
  <c r="EL244" i="1"/>
  <c r="EM244" i="1"/>
  <c r="EN244" i="1"/>
  <c r="EP244" i="1"/>
  <c r="EQ244" i="1"/>
  <c r="EL245" i="1"/>
  <c r="EM245" i="1"/>
  <c r="EP245" i="1"/>
  <c r="EL246" i="1"/>
  <c r="EM246" i="1"/>
  <c r="EN246" i="1"/>
  <c r="EP246" i="1"/>
  <c r="EQ246" i="1"/>
  <c r="EL247" i="1"/>
  <c r="EM247" i="1"/>
  <c r="EN247" i="1"/>
  <c r="EP247" i="1"/>
  <c r="EQ247" i="1"/>
  <c r="EL248" i="1"/>
  <c r="EM248" i="1"/>
  <c r="EN248" i="1"/>
  <c r="EP248" i="1"/>
  <c r="EQ248" i="1"/>
  <c r="EL249" i="1"/>
  <c r="EM249" i="1"/>
  <c r="EN249" i="1"/>
  <c r="EP249" i="1"/>
  <c r="EQ249" i="1"/>
  <c r="EL250" i="1"/>
  <c r="EM250" i="1"/>
  <c r="EN250" i="1"/>
  <c r="EP250" i="1"/>
  <c r="EQ250" i="1"/>
  <c r="EL251" i="1"/>
  <c r="EM251" i="1"/>
  <c r="EP251" i="1"/>
  <c r="EL252" i="1"/>
  <c r="EM252" i="1"/>
  <c r="EP252" i="1"/>
  <c r="EL253" i="1"/>
  <c r="EM253" i="1"/>
  <c r="EN253" i="1"/>
  <c r="EP253" i="1"/>
  <c r="EQ253" i="1"/>
  <c r="EL254" i="1"/>
  <c r="EM254" i="1"/>
  <c r="EN254" i="1"/>
  <c r="EP254" i="1"/>
  <c r="EQ254" i="1"/>
  <c r="EL255" i="1"/>
  <c r="EM255" i="1"/>
  <c r="EN255" i="1"/>
  <c r="EP255" i="1"/>
  <c r="EQ255" i="1"/>
  <c r="EL256" i="1"/>
  <c r="EM256" i="1"/>
  <c r="EN256" i="1"/>
  <c r="EP256" i="1"/>
  <c r="EQ256" i="1"/>
  <c r="EL257" i="1"/>
  <c r="EM257" i="1"/>
  <c r="EN257" i="1"/>
  <c r="EP257" i="1"/>
  <c r="EQ257" i="1"/>
  <c r="EL258" i="1"/>
  <c r="EM258" i="1"/>
  <c r="EN258" i="1"/>
  <c r="EP258" i="1"/>
  <c r="EQ258" i="1"/>
  <c r="EL259" i="1"/>
  <c r="EM259" i="1"/>
  <c r="EN259" i="1"/>
  <c r="EP259" i="1"/>
  <c r="EQ259" i="1"/>
  <c r="EL260" i="1"/>
  <c r="EM260" i="1"/>
  <c r="EP260" i="1"/>
  <c r="EL261" i="1"/>
  <c r="EM261" i="1"/>
  <c r="EP261" i="1"/>
  <c r="EL262" i="1"/>
  <c r="EM262" i="1"/>
  <c r="EN262" i="1"/>
  <c r="EP262" i="1"/>
  <c r="EQ262" i="1"/>
  <c r="EL263" i="1"/>
  <c r="EM263" i="1"/>
  <c r="EN263" i="1"/>
  <c r="EP263" i="1"/>
  <c r="EQ263" i="1"/>
  <c r="EL264" i="1"/>
  <c r="EM264" i="1"/>
  <c r="EN264" i="1"/>
  <c r="EP264" i="1"/>
  <c r="EQ264" i="1"/>
  <c r="EL265" i="1"/>
  <c r="EM265" i="1"/>
  <c r="EN265" i="1"/>
  <c r="EP265" i="1"/>
  <c r="EQ265" i="1"/>
  <c r="EL266" i="1"/>
  <c r="EM266" i="1"/>
  <c r="EN266" i="1"/>
  <c r="EP266" i="1"/>
  <c r="EQ266" i="1"/>
  <c r="EL267" i="1"/>
  <c r="EM267" i="1"/>
  <c r="EP267" i="1"/>
  <c r="EL268" i="1"/>
  <c r="EM268" i="1"/>
  <c r="EN268" i="1"/>
  <c r="EP268" i="1"/>
  <c r="EQ268" i="1"/>
  <c r="EL269" i="1"/>
  <c r="EM269" i="1"/>
  <c r="EN269" i="1"/>
  <c r="EP269" i="1"/>
  <c r="EQ269" i="1"/>
  <c r="EL270" i="1"/>
  <c r="EM270" i="1"/>
  <c r="EN270" i="1"/>
  <c r="EP270" i="1"/>
  <c r="EQ270" i="1"/>
  <c r="EL271" i="1"/>
  <c r="EM271" i="1"/>
  <c r="EN271" i="1"/>
  <c r="EP271" i="1"/>
  <c r="EQ271" i="1"/>
  <c r="EL272" i="1"/>
  <c r="EM272" i="1"/>
  <c r="EN272" i="1"/>
  <c r="EP272" i="1"/>
  <c r="EQ272" i="1"/>
  <c r="EL273" i="1"/>
  <c r="EM273" i="1"/>
  <c r="EN273" i="1"/>
  <c r="EP273" i="1"/>
  <c r="EQ273" i="1"/>
  <c r="EL274" i="1"/>
  <c r="EM274" i="1"/>
  <c r="EP274" i="1"/>
  <c r="EL275" i="1"/>
  <c r="EM275" i="1"/>
  <c r="EN275" i="1"/>
  <c r="EP275" i="1"/>
  <c r="EQ275" i="1"/>
  <c r="EL276" i="1"/>
  <c r="EM276" i="1"/>
  <c r="EN276" i="1"/>
  <c r="EP276" i="1"/>
  <c r="EQ276" i="1"/>
  <c r="EL277" i="1"/>
  <c r="EM277" i="1"/>
  <c r="EN277" i="1"/>
  <c r="EP277" i="1"/>
  <c r="EQ277" i="1"/>
  <c r="EL278" i="1"/>
  <c r="EM278" i="1"/>
  <c r="EN278" i="1"/>
  <c r="EP278" i="1"/>
  <c r="EQ278" i="1"/>
  <c r="EL279" i="1"/>
  <c r="EM279" i="1"/>
  <c r="EN279" i="1"/>
  <c r="EP279" i="1"/>
  <c r="EQ279" i="1"/>
  <c r="EL280" i="1"/>
  <c r="EM280" i="1"/>
  <c r="EN280" i="1"/>
  <c r="EP280" i="1"/>
  <c r="EQ280" i="1"/>
  <c r="EL281" i="1"/>
  <c r="EM281" i="1"/>
  <c r="EN281" i="1"/>
  <c r="EP281" i="1"/>
  <c r="EQ281" i="1"/>
  <c r="EL282" i="1"/>
  <c r="EM282" i="1"/>
  <c r="EN282" i="1"/>
  <c r="EP282" i="1"/>
  <c r="EQ282" i="1"/>
  <c r="EL283" i="1"/>
  <c r="EM283" i="1"/>
  <c r="EN283" i="1"/>
  <c r="EP283" i="1"/>
  <c r="EQ283" i="1"/>
  <c r="EL284" i="1"/>
  <c r="EM284" i="1"/>
  <c r="EN284" i="1"/>
  <c r="EP284" i="1"/>
  <c r="EQ284" i="1"/>
  <c r="EL285" i="1"/>
  <c r="EM285" i="1"/>
  <c r="EN285" i="1"/>
  <c r="EP285" i="1"/>
  <c r="EQ285" i="1"/>
  <c r="EL286" i="1"/>
  <c r="EM286" i="1"/>
  <c r="EN286" i="1"/>
  <c r="EP286" i="1"/>
  <c r="EQ286" i="1"/>
  <c r="EL287" i="1"/>
  <c r="EM287" i="1"/>
  <c r="EN287" i="1"/>
  <c r="EP287" i="1"/>
  <c r="EQ287" i="1"/>
  <c r="EL288" i="1"/>
  <c r="EM288" i="1"/>
  <c r="EN288" i="1"/>
  <c r="EP288" i="1"/>
  <c r="EQ288" i="1"/>
  <c r="EL289" i="1"/>
  <c r="EM289" i="1"/>
  <c r="EN289" i="1"/>
  <c r="EP289" i="1"/>
  <c r="EQ289" i="1"/>
  <c r="EL290" i="1"/>
  <c r="EM290" i="1"/>
  <c r="EN290" i="1"/>
  <c r="EP290" i="1"/>
  <c r="EQ290" i="1"/>
  <c r="EL291" i="1"/>
  <c r="EM291" i="1"/>
  <c r="EN291" i="1"/>
  <c r="EP291" i="1"/>
  <c r="EQ291" i="1"/>
  <c r="EL292" i="1"/>
  <c r="EM292" i="1"/>
  <c r="EN292" i="1"/>
  <c r="EP292" i="1"/>
  <c r="EQ292" i="1"/>
  <c r="EL293" i="1"/>
  <c r="EM293" i="1"/>
  <c r="EN293" i="1"/>
  <c r="EP293" i="1"/>
  <c r="EQ293" i="1"/>
  <c r="EL294" i="1"/>
  <c r="EM294" i="1"/>
  <c r="EN294" i="1"/>
  <c r="EP294" i="1"/>
  <c r="EQ294" i="1"/>
  <c r="EL295" i="1"/>
  <c r="EM295" i="1"/>
  <c r="EN295" i="1"/>
  <c r="EP295" i="1"/>
  <c r="EQ295" i="1"/>
  <c r="EL296" i="1"/>
  <c r="EM296" i="1"/>
  <c r="EN296" i="1"/>
  <c r="EP296" i="1"/>
  <c r="EQ296" i="1"/>
  <c r="EL297" i="1"/>
  <c r="EM297" i="1"/>
  <c r="EN297" i="1"/>
  <c r="EP297" i="1"/>
  <c r="EQ297" i="1"/>
  <c r="EL298" i="1"/>
  <c r="EM298" i="1"/>
  <c r="EN298" i="1"/>
  <c r="EP298" i="1"/>
  <c r="EQ298" i="1"/>
  <c r="EL299" i="1"/>
  <c r="EM299" i="1"/>
  <c r="EN299" i="1"/>
  <c r="EP299" i="1"/>
  <c r="EQ299" i="1"/>
  <c r="EL300" i="1"/>
  <c r="EM300" i="1"/>
  <c r="EN300" i="1"/>
  <c r="EP300" i="1"/>
  <c r="EQ300" i="1"/>
  <c r="EL301" i="1"/>
  <c r="EM301" i="1"/>
  <c r="EN301" i="1"/>
  <c r="EP301" i="1"/>
  <c r="EQ301" i="1"/>
  <c r="EL302" i="1"/>
  <c r="EM302" i="1"/>
  <c r="EN302" i="1"/>
  <c r="EP302" i="1"/>
  <c r="EQ302" i="1"/>
  <c r="EL303" i="1"/>
  <c r="EM303" i="1"/>
  <c r="EN303" i="1"/>
  <c r="EP303" i="1"/>
  <c r="EQ303" i="1"/>
  <c r="EL304" i="1"/>
  <c r="EM304" i="1"/>
  <c r="EN304" i="1"/>
  <c r="EP304" i="1"/>
  <c r="EQ304" i="1"/>
  <c r="EL305" i="1"/>
  <c r="EM305" i="1"/>
  <c r="EN305" i="1"/>
  <c r="EP305" i="1"/>
  <c r="EQ305" i="1"/>
  <c r="EL306" i="1"/>
  <c r="EM306" i="1"/>
  <c r="EN306" i="1"/>
  <c r="EP306" i="1"/>
  <c r="EQ306" i="1"/>
  <c r="EL307" i="1"/>
  <c r="EM307" i="1"/>
  <c r="EN307" i="1"/>
  <c r="EP307" i="1"/>
  <c r="EQ307" i="1"/>
  <c r="EL308" i="1"/>
  <c r="EM308" i="1"/>
  <c r="EN308" i="1"/>
  <c r="EP308" i="1"/>
  <c r="EQ308" i="1"/>
  <c r="EL309" i="1"/>
  <c r="EM309" i="1"/>
  <c r="EN309" i="1"/>
  <c r="EP309" i="1"/>
  <c r="EQ309" i="1"/>
  <c r="EL310" i="1"/>
  <c r="EM310" i="1"/>
  <c r="EN310" i="1"/>
  <c r="EP310" i="1"/>
  <c r="EQ310" i="1"/>
  <c r="EL311" i="1"/>
  <c r="EM311" i="1"/>
  <c r="EN311" i="1"/>
  <c r="EP311" i="1"/>
  <c r="EQ311" i="1"/>
  <c r="EL312" i="1"/>
  <c r="EM312" i="1"/>
  <c r="EN312" i="1"/>
  <c r="EP312" i="1"/>
  <c r="EQ312" i="1"/>
  <c r="EL313" i="1"/>
  <c r="EM313" i="1"/>
  <c r="EN313" i="1"/>
  <c r="EP313" i="1"/>
  <c r="EQ313" i="1"/>
  <c r="EL314" i="1"/>
  <c r="EM314" i="1"/>
  <c r="EN314" i="1"/>
  <c r="EP314" i="1"/>
  <c r="EQ314" i="1"/>
  <c r="EL315" i="1"/>
  <c r="EM315" i="1"/>
  <c r="EN315" i="1"/>
  <c r="EP315" i="1"/>
  <c r="EQ315" i="1"/>
  <c r="EL316" i="1"/>
  <c r="EM316" i="1"/>
  <c r="EN316" i="1"/>
  <c r="EP316" i="1"/>
  <c r="EQ316" i="1"/>
  <c r="EL317" i="1"/>
  <c r="EM317" i="1"/>
  <c r="EN317" i="1"/>
  <c r="EP317" i="1"/>
  <c r="EQ317" i="1"/>
  <c r="EL318" i="1"/>
  <c r="EM318" i="1"/>
  <c r="EN318" i="1"/>
  <c r="EP318" i="1"/>
  <c r="EQ318" i="1"/>
  <c r="EL319" i="1"/>
  <c r="EM319" i="1"/>
  <c r="EN319" i="1"/>
  <c r="EP319" i="1"/>
  <c r="EQ319" i="1"/>
  <c r="EL320" i="1"/>
  <c r="EM320" i="1"/>
  <c r="EP320" i="1"/>
  <c r="EL321" i="1"/>
  <c r="EM321" i="1"/>
  <c r="EP321" i="1"/>
  <c r="EL322" i="1"/>
  <c r="EM322" i="1"/>
  <c r="EP322" i="1"/>
  <c r="EL323" i="1"/>
  <c r="EM323" i="1"/>
  <c r="EP323" i="1"/>
  <c r="EL324" i="1"/>
  <c r="EM324" i="1"/>
  <c r="EP324" i="1"/>
  <c r="EL325" i="1"/>
  <c r="EM325" i="1"/>
  <c r="EP325" i="1"/>
  <c r="EL326" i="1"/>
  <c r="EM326" i="1"/>
  <c r="EP326" i="1"/>
  <c r="EL327" i="1"/>
  <c r="EM327" i="1"/>
  <c r="EP327" i="1"/>
  <c r="EL328" i="1"/>
  <c r="EM328" i="1"/>
  <c r="EP328" i="1"/>
  <c r="EL329" i="1"/>
  <c r="EM329" i="1"/>
  <c r="EP329" i="1"/>
  <c r="EL330" i="1"/>
  <c r="EM330" i="1"/>
  <c r="EP330" i="1"/>
  <c r="EL331" i="1"/>
  <c r="EM331" i="1"/>
  <c r="EP331" i="1"/>
  <c r="EL332" i="1"/>
  <c r="EM332" i="1"/>
  <c r="EP332" i="1"/>
  <c r="EL333" i="1"/>
  <c r="EM333" i="1"/>
  <c r="EP333" i="1"/>
  <c r="EL334" i="1"/>
  <c r="EM334" i="1"/>
  <c r="EP334" i="1"/>
  <c r="EL335" i="1"/>
  <c r="EM335" i="1"/>
  <c r="EP335" i="1"/>
  <c r="EL336" i="1"/>
  <c r="EM336" i="1"/>
  <c r="EP336" i="1"/>
  <c r="EL337" i="1"/>
  <c r="EM337" i="1"/>
  <c r="EP337" i="1"/>
  <c r="EL338" i="1"/>
  <c r="EM338" i="1"/>
  <c r="EP338" i="1"/>
  <c r="EL339" i="1"/>
  <c r="EM339" i="1"/>
  <c r="EN339" i="1"/>
  <c r="EP339" i="1"/>
  <c r="EQ339" i="1"/>
  <c r="EL340" i="1"/>
  <c r="EM340" i="1"/>
  <c r="EP340" i="1"/>
  <c r="EL341" i="1"/>
  <c r="EM341" i="1"/>
  <c r="EP341" i="1"/>
  <c r="EL342" i="1"/>
  <c r="EM342" i="1"/>
  <c r="EN342" i="1"/>
  <c r="EP342" i="1"/>
  <c r="EQ342" i="1"/>
  <c r="EL343" i="1"/>
  <c r="EM343" i="1"/>
  <c r="EN343" i="1"/>
  <c r="EP343" i="1"/>
  <c r="EQ343" i="1"/>
  <c r="EL344" i="1"/>
  <c r="EM344" i="1"/>
  <c r="EN344" i="1"/>
  <c r="EP344" i="1"/>
  <c r="EQ344" i="1"/>
  <c r="EL345" i="1"/>
  <c r="EM345" i="1"/>
  <c r="EN345" i="1"/>
  <c r="EP345" i="1"/>
  <c r="EQ345" i="1"/>
  <c r="EL346" i="1"/>
  <c r="EM346" i="1"/>
  <c r="EN346" i="1"/>
  <c r="EP346" i="1"/>
  <c r="EQ346" i="1"/>
  <c r="EL347" i="1"/>
  <c r="EM347" i="1"/>
  <c r="EN347" i="1"/>
  <c r="EP347" i="1"/>
  <c r="EQ347" i="1"/>
  <c r="EL348" i="1"/>
  <c r="EM348" i="1"/>
  <c r="EP348" i="1"/>
  <c r="EL349" i="1"/>
  <c r="EM349" i="1"/>
  <c r="EN349" i="1"/>
  <c r="EP349" i="1"/>
  <c r="EQ349" i="1"/>
  <c r="EL350" i="1"/>
  <c r="EM350" i="1"/>
  <c r="EN350" i="1"/>
  <c r="EP350" i="1"/>
  <c r="EQ350" i="1"/>
  <c r="EL351" i="1"/>
  <c r="EM351" i="1"/>
  <c r="EN351" i="1"/>
  <c r="EP351" i="1"/>
  <c r="EQ351" i="1"/>
  <c r="EL352" i="1"/>
  <c r="EM352" i="1"/>
  <c r="EN352" i="1"/>
  <c r="EP352" i="1"/>
  <c r="EQ352" i="1"/>
  <c r="EL353" i="1"/>
  <c r="EM353" i="1"/>
  <c r="EN353" i="1"/>
  <c r="EP353" i="1"/>
  <c r="EQ353" i="1"/>
  <c r="EL354" i="1"/>
  <c r="EM354" i="1"/>
  <c r="EP354" i="1"/>
  <c r="EL355" i="1"/>
  <c r="EM355" i="1"/>
  <c r="EN355" i="1"/>
  <c r="EP355" i="1"/>
  <c r="EQ355" i="1"/>
  <c r="EL356" i="1"/>
  <c r="EM356" i="1"/>
  <c r="EN356" i="1"/>
  <c r="EP356" i="1"/>
  <c r="EQ356" i="1"/>
  <c r="EL357" i="1"/>
  <c r="EM357" i="1"/>
  <c r="EN357" i="1"/>
  <c r="EP357" i="1"/>
  <c r="EQ357" i="1"/>
  <c r="EL358" i="1"/>
  <c r="EM358" i="1"/>
  <c r="EP358" i="1"/>
  <c r="EL359" i="1"/>
  <c r="EM359" i="1"/>
  <c r="EN359" i="1"/>
  <c r="EP359" i="1"/>
  <c r="EQ359" i="1"/>
  <c r="EL360" i="1"/>
  <c r="EM360" i="1"/>
  <c r="EN360" i="1"/>
  <c r="EP360" i="1"/>
  <c r="EQ360" i="1"/>
  <c r="EL361" i="1"/>
  <c r="EM361" i="1"/>
  <c r="EN361" i="1"/>
  <c r="EP361" i="1"/>
  <c r="EQ361" i="1"/>
  <c r="EL362" i="1"/>
  <c r="EM362" i="1"/>
  <c r="EN362" i="1"/>
  <c r="EP362" i="1"/>
  <c r="EQ362" i="1"/>
  <c r="EL363" i="1"/>
  <c r="EM363" i="1"/>
  <c r="EN363" i="1"/>
  <c r="EP363" i="1"/>
  <c r="EQ363" i="1"/>
  <c r="EL364" i="1"/>
  <c r="EM364" i="1"/>
  <c r="EN364" i="1"/>
  <c r="EP364" i="1"/>
  <c r="EQ364" i="1"/>
  <c r="EL365" i="1"/>
  <c r="EM365" i="1"/>
  <c r="EP365" i="1"/>
  <c r="EL366" i="1"/>
  <c r="EM366" i="1"/>
  <c r="EN366" i="1"/>
  <c r="EP366" i="1"/>
  <c r="EQ366" i="1"/>
  <c r="EL367" i="1"/>
  <c r="EM367" i="1"/>
  <c r="EN367" i="1"/>
  <c r="EP367" i="1"/>
  <c r="EQ367" i="1"/>
  <c r="EL368" i="1"/>
  <c r="EM368" i="1"/>
  <c r="EN368" i="1"/>
  <c r="EP368" i="1"/>
  <c r="EQ368" i="1"/>
  <c r="EL369" i="1"/>
  <c r="EM369" i="1"/>
  <c r="EN369" i="1"/>
  <c r="EP369" i="1"/>
  <c r="EQ369" i="1"/>
  <c r="EL370" i="1"/>
  <c r="EM370" i="1"/>
  <c r="EP370" i="1"/>
  <c r="EL371" i="1"/>
  <c r="EM371" i="1"/>
  <c r="EN371" i="1"/>
  <c r="EP371" i="1"/>
  <c r="EQ371" i="1"/>
  <c r="EL372" i="1"/>
  <c r="EM372" i="1"/>
  <c r="EN372" i="1"/>
  <c r="EP372" i="1"/>
  <c r="EQ372" i="1"/>
  <c r="EL373" i="1"/>
  <c r="EM373" i="1"/>
  <c r="EN373" i="1"/>
  <c r="EP373" i="1"/>
  <c r="EQ373" i="1"/>
  <c r="EL374" i="1"/>
  <c r="EM374" i="1"/>
  <c r="EN374" i="1"/>
  <c r="EP374" i="1"/>
  <c r="EQ374" i="1"/>
  <c r="EL375" i="1"/>
  <c r="EM375" i="1"/>
  <c r="EN375" i="1"/>
  <c r="EP375" i="1"/>
  <c r="EQ375" i="1"/>
  <c r="EL376" i="1"/>
  <c r="EM376" i="1"/>
  <c r="EP376" i="1"/>
  <c r="EL377" i="1"/>
  <c r="EM377" i="1"/>
  <c r="EN377" i="1"/>
  <c r="EP377" i="1"/>
  <c r="EQ377" i="1"/>
  <c r="EL378" i="1"/>
  <c r="EM378" i="1"/>
  <c r="EP378" i="1"/>
  <c r="EL379" i="1"/>
  <c r="EM379" i="1"/>
  <c r="EN379" i="1"/>
  <c r="EP379" i="1"/>
  <c r="EQ379" i="1"/>
  <c r="EL380" i="1"/>
  <c r="EM380" i="1"/>
  <c r="EP380" i="1"/>
  <c r="EL381" i="1"/>
  <c r="EM381" i="1"/>
  <c r="EN381" i="1"/>
  <c r="EP381" i="1"/>
  <c r="EQ381" i="1"/>
  <c r="EL382" i="1"/>
  <c r="EM382" i="1"/>
  <c r="EN382" i="1"/>
  <c r="EP382" i="1"/>
  <c r="EQ382" i="1"/>
  <c r="EL383" i="1"/>
  <c r="EM383" i="1"/>
  <c r="EN383" i="1"/>
  <c r="EP383" i="1"/>
  <c r="EQ383" i="1"/>
  <c r="EL384" i="1"/>
  <c r="EM384" i="1"/>
  <c r="EP384" i="1"/>
  <c r="EL385" i="1"/>
  <c r="EM385" i="1"/>
  <c r="EN385" i="1"/>
  <c r="EP385" i="1"/>
  <c r="EQ385" i="1"/>
  <c r="EL386" i="1"/>
  <c r="EM386" i="1"/>
  <c r="EN386" i="1"/>
  <c r="EP386" i="1"/>
  <c r="EQ386" i="1"/>
  <c r="EL387" i="1"/>
  <c r="EM387" i="1"/>
  <c r="EN387" i="1"/>
  <c r="EP387" i="1"/>
  <c r="EQ387" i="1"/>
  <c r="EL388" i="1"/>
  <c r="EM388" i="1"/>
  <c r="EN388" i="1"/>
  <c r="EP388" i="1"/>
  <c r="EQ388" i="1"/>
  <c r="EL389" i="1"/>
  <c r="EM389" i="1"/>
  <c r="EN389" i="1"/>
  <c r="EP389" i="1"/>
  <c r="EQ389" i="1"/>
  <c r="EL390" i="1"/>
  <c r="EM390" i="1"/>
  <c r="EN390" i="1"/>
  <c r="EP390" i="1"/>
  <c r="EQ390" i="1"/>
  <c r="EL391" i="1"/>
  <c r="EM391" i="1"/>
  <c r="EN391" i="1"/>
  <c r="EP391" i="1"/>
  <c r="EQ391" i="1"/>
  <c r="EL392" i="1"/>
  <c r="EM392" i="1"/>
  <c r="EP392" i="1"/>
  <c r="EL393" i="1"/>
  <c r="EM393" i="1"/>
  <c r="EN393" i="1"/>
  <c r="EP393" i="1"/>
  <c r="EQ393" i="1"/>
  <c r="EL394" i="1"/>
  <c r="EM394" i="1"/>
  <c r="EN394" i="1"/>
  <c r="EP394" i="1"/>
  <c r="EQ394" i="1"/>
  <c r="EL395" i="1"/>
  <c r="EM395" i="1"/>
  <c r="EN395" i="1"/>
  <c r="EP395" i="1"/>
  <c r="EQ395" i="1"/>
  <c r="EL396" i="1"/>
  <c r="EM396" i="1"/>
  <c r="EN396" i="1"/>
  <c r="EP396" i="1"/>
  <c r="EQ396" i="1"/>
  <c r="EL397" i="1"/>
  <c r="EM397" i="1"/>
  <c r="EP397" i="1"/>
  <c r="EL398" i="1"/>
  <c r="EM398" i="1"/>
  <c r="EN398" i="1"/>
  <c r="EP398" i="1"/>
  <c r="EQ398" i="1"/>
  <c r="EL399" i="1"/>
  <c r="EM399" i="1"/>
  <c r="EN399" i="1"/>
  <c r="EP399" i="1"/>
  <c r="EQ399" i="1"/>
  <c r="EL400" i="1"/>
  <c r="EM400" i="1"/>
  <c r="EN400" i="1"/>
  <c r="EP400" i="1"/>
  <c r="EQ400" i="1"/>
  <c r="EL401" i="1"/>
  <c r="EM401" i="1"/>
  <c r="EN401" i="1"/>
  <c r="EP401" i="1"/>
  <c r="EQ401" i="1"/>
  <c r="EL402" i="1"/>
  <c r="EM402" i="1"/>
  <c r="EN402" i="1"/>
  <c r="EP402" i="1"/>
  <c r="EQ402" i="1"/>
  <c r="EL403" i="1"/>
  <c r="EM403" i="1"/>
  <c r="EP403" i="1"/>
  <c r="EL404" i="1"/>
  <c r="EM404" i="1"/>
  <c r="EN404" i="1"/>
  <c r="EP404" i="1"/>
  <c r="EQ404" i="1"/>
  <c r="EL405" i="1"/>
  <c r="EM405" i="1"/>
  <c r="EN405" i="1"/>
  <c r="EP405" i="1"/>
  <c r="EQ405" i="1"/>
  <c r="EL406" i="1"/>
  <c r="EM406" i="1"/>
  <c r="EN406" i="1"/>
  <c r="EP406" i="1"/>
  <c r="EQ406" i="1"/>
  <c r="EL407" i="1"/>
  <c r="EM407" i="1"/>
  <c r="EN407" i="1"/>
  <c r="EP407" i="1"/>
  <c r="EQ407" i="1"/>
  <c r="EL408" i="1"/>
  <c r="EM408" i="1"/>
  <c r="EN408" i="1"/>
  <c r="EP408" i="1"/>
  <c r="EQ408" i="1"/>
  <c r="EL409" i="1"/>
  <c r="EM409" i="1"/>
  <c r="EN409" i="1"/>
  <c r="EP409" i="1"/>
  <c r="EQ409" i="1"/>
  <c r="EL410" i="1"/>
  <c r="EM410" i="1"/>
  <c r="EP410" i="1"/>
  <c r="EL411" i="1"/>
  <c r="EM411" i="1"/>
  <c r="EN411" i="1"/>
  <c r="EP411" i="1"/>
  <c r="EQ411" i="1"/>
  <c r="EL412" i="1"/>
  <c r="EM412" i="1"/>
  <c r="EN412" i="1"/>
  <c r="EP412" i="1"/>
  <c r="EQ412" i="1"/>
  <c r="EL413" i="1"/>
  <c r="EM413" i="1"/>
  <c r="EN413" i="1"/>
  <c r="EP413" i="1"/>
  <c r="EQ413" i="1"/>
  <c r="EL414" i="1"/>
  <c r="EM414" i="1"/>
  <c r="EN414" i="1"/>
  <c r="EP414" i="1"/>
  <c r="EQ414" i="1"/>
  <c r="EL415" i="1"/>
  <c r="EM415" i="1"/>
  <c r="EN415" i="1"/>
  <c r="EP415" i="1"/>
  <c r="EQ415" i="1"/>
  <c r="EL416" i="1"/>
  <c r="EM416" i="1"/>
  <c r="EN416" i="1"/>
  <c r="EP416" i="1"/>
  <c r="EQ416" i="1"/>
  <c r="EL417" i="1"/>
  <c r="EM417" i="1"/>
  <c r="EN417" i="1"/>
  <c r="EP417" i="1"/>
  <c r="EQ417" i="1"/>
  <c r="EL418" i="1"/>
  <c r="EM418" i="1"/>
  <c r="EP418" i="1"/>
  <c r="EL419" i="1"/>
  <c r="EM419" i="1"/>
  <c r="EN419" i="1"/>
  <c r="EP419" i="1"/>
  <c r="EQ419" i="1"/>
  <c r="EL420" i="1"/>
  <c r="EM420" i="1"/>
  <c r="EN420" i="1"/>
  <c r="EP420" i="1"/>
  <c r="EQ420" i="1"/>
  <c r="EL421" i="1"/>
  <c r="EM421" i="1"/>
  <c r="EN421" i="1"/>
  <c r="EP421" i="1"/>
  <c r="EQ421" i="1"/>
  <c r="EL422" i="1"/>
  <c r="EM422" i="1"/>
  <c r="EN422" i="1"/>
  <c r="EP422" i="1"/>
  <c r="EQ422" i="1"/>
  <c r="EL423" i="1"/>
  <c r="EM423" i="1"/>
  <c r="EN423" i="1"/>
  <c r="EP423" i="1"/>
  <c r="EQ423" i="1"/>
  <c r="EL424" i="1"/>
  <c r="EM424" i="1"/>
  <c r="EN424" i="1"/>
  <c r="EP424" i="1"/>
  <c r="EQ424" i="1"/>
  <c r="EL425" i="1"/>
  <c r="EM425" i="1"/>
  <c r="EN425" i="1"/>
  <c r="EP425" i="1"/>
  <c r="EQ425" i="1"/>
  <c r="EL426" i="1"/>
  <c r="EM426" i="1"/>
  <c r="EN426" i="1"/>
  <c r="EP426" i="1"/>
  <c r="EQ426" i="1"/>
  <c r="EL428" i="1"/>
  <c r="EM428" i="1"/>
  <c r="EN428" i="1"/>
  <c r="EP428" i="1"/>
  <c r="EQ428" i="1"/>
  <c r="EL429" i="1"/>
  <c r="EM429" i="1"/>
  <c r="EP429" i="1"/>
  <c r="EL430" i="1"/>
  <c r="EM430" i="1"/>
  <c r="EN430" i="1"/>
  <c r="EP430" i="1"/>
  <c r="EQ430" i="1"/>
  <c r="EL431" i="1"/>
  <c r="EM431" i="1"/>
  <c r="EN431" i="1"/>
  <c r="EP431" i="1"/>
  <c r="EQ431" i="1"/>
  <c r="EL432" i="1"/>
  <c r="EM432" i="1"/>
  <c r="EN432" i="1"/>
  <c r="EP432" i="1"/>
  <c r="EQ432" i="1"/>
  <c r="EL433" i="1"/>
  <c r="EM433" i="1"/>
  <c r="EN433" i="1"/>
  <c r="EP433" i="1"/>
  <c r="EQ433" i="1"/>
  <c r="EL434" i="1"/>
  <c r="EM434" i="1"/>
  <c r="EN434" i="1"/>
  <c r="EP434" i="1"/>
  <c r="EQ434" i="1"/>
  <c r="EL435" i="1"/>
  <c r="EM435" i="1"/>
  <c r="EN435" i="1"/>
  <c r="EP435" i="1"/>
  <c r="EQ435" i="1"/>
  <c r="EL436" i="1"/>
  <c r="EM436" i="1"/>
  <c r="EP436" i="1"/>
  <c r="EL437" i="1"/>
  <c r="EM437" i="1"/>
  <c r="EN437" i="1"/>
  <c r="EP437" i="1"/>
  <c r="EQ437" i="1"/>
  <c r="EL438" i="1"/>
  <c r="EM438" i="1"/>
  <c r="EN438" i="1"/>
  <c r="EP438" i="1"/>
  <c r="EQ438" i="1"/>
  <c r="EL439" i="1"/>
  <c r="EM439" i="1"/>
  <c r="EN439" i="1"/>
  <c r="EP439" i="1"/>
  <c r="EQ439" i="1"/>
  <c r="EL440" i="1"/>
  <c r="EM440" i="1"/>
  <c r="EN440" i="1"/>
  <c r="EP440" i="1"/>
  <c r="EQ440" i="1"/>
  <c r="EL441" i="1"/>
  <c r="EM441" i="1"/>
  <c r="EN441" i="1"/>
  <c r="EP441" i="1"/>
  <c r="EQ441" i="1"/>
  <c r="EL442" i="1"/>
  <c r="EM442" i="1"/>
  <c r="EN442" i="1"/>
  <c r="EP442" i="1"/>
  <c r="EQ442" i="1"/>
  <c r="EL443" i="1"/>
  <c r="EM443" i="1"/>
  <c r="EP443" i="1"/>
  <c r="EL444" i="1"/>
  <c r="EM444" i="1"/>
  <c r="EN444" i="1"/>
  <c r="EP444" i="1"/>
  <c r="EQ444" i="1"/>
  <c r="EL445" i="1"/>
  <c r="EM445" i="1"/>
  <c r="EP445" i="1"/>
  <c r="EL446" i="1"/>
  <c r="EM446" i="1"/>
  <c r="EN446" i="1"/>
  <c r="EP446" i="1"/>
  <c r="EQ446" i="1"/>
  <c r="EL447" i="1"/>
  <c r="EM447" i="1"/>
  <c r="EN447" i="1"/>
  <c r="EP447" i="1"/>
  <c r="EQ447" i="1"/>
  <c r="EL448" i="1"/>
  <c r="EM448" i="1"/>
  <c r="EN448" i="1"/>
  <c r="EP448" i="1"/>
  <c r="EQ448" i="1"/>
  <c r="EL449" i="1"/>
  <c r="EM449" i="1"/>
  <c r="EN449" i="1"/>
  <c r="EP449" i="1"/>
  <c r="EQ449" i="1"/>
  <c r="EL450" i="1"/>
  <c r="EM450" i="1"/>
  <c r="EN450" i="1"/>
  <c r="EP450" i="1"/>
  <c r="EQ450" i="1"/>
  <c r="EL451" i="1"/>
  <c r="EM451" i="1"/>
  <c r="EN451" i="1"/>
  <c r="EP451" i="1"/>
  <c r="EQ451" i="1"/>
  <c r="EL452" i="1"/>
  <c r="EM452" i="1"/>
  <c r="EN452" i="1"/>
  <c r="EP452" i="1"/>
  <c r="EQ452" i="1"/>
  <c r="EL453" i="1"/>
  <c r="EM453" i="1"/>
  <c r="EN453" i="1"/>
  <c r="EP453" i="1"/>
  <c r="EQ453" i="1"/>
  <c r="EL454" i="1"/>
  <c r="EM454" i="1"/>
  <c r="EN454" i="1"/>
  <c r="EP454" i="1"/>
  <c r="EQ454" i="1"/>
  <c r="EL455" i="1"/>
  <c r="EM455" i="1"/>
  <c r="EN455" i="1"/>
  <c r="EP455" i="1"/>
  <c r="EQ455" i="1"/>
  <c r="EL456" i="1"/>
  <c r="EM456" i="1"/>
  <c r="EN456" i="1"/>
  <c r="EP456" i="1"/>
  <c r="EQ456" i="1"/>
  <c r="EL457" i="1"/>
  <c r="EM457" i="1"/>
  <c r="EN457" i="1"/>
  <c r="EP457" i="1"/>
  <c r="EQ457" i="1"/>
  <c r="EL458" i="1"/>
  <c r="EM458" i="1"/>
  <c r="EN458" i="1"/>
  <c r="EP458" i="1"/>
  <c r="EQ458" i="1"/>
  <c r="EL459" i="1"/>
  <c r="EM459" i="1"/>
  <c r="EN459" i="1"/>
  <c r="EP459" i="1"/>
  <c r="EQ459" i="1"/>
  <c r="EL460" i="1"/>
  <c r="EM460" i="1"/>
  <c r="EN460" i="1"/>
  <c r="EP460" i="1"/>
  <c r="EQ460" i="1"/>
  <c r="EL461" i="1"/>
  <c r="EM461" i="1"/>
  <c r="EN461" i="1"/>
  <c r="EP461" i="1"/>
  <c r="EQ461" i="1"/>
  <c r="EL462" i="1"/>
  <c r="EM462" i="1"/>
  <c r="EN462" i="1"/>
  <c r="EP462" i="1"/>
  <c r="EQ462" i="1"/>
  <c r="EL463" i="1"/>
  <c r="EM463" i="1"/>
  <c r="EN463" i="1"/>
  <c r="EP463" i="1"/>
  <c r="EQ463" i="1"/>
  <c r="EL464" i="1"/>
  <c r="EM464" i="1"/>
  <c r="EN464" i="1"/>
  <c r="EP464" i="1"/>
  <c r="EQ464" i="1"/>
  <c r="EL465" i="1"/>
  <c r="EM465" i="1"/>
  <c r="EN465" i="1"/>
  <c r="EP465" i="1"/>
  <c r="EQ465" i="1"/>
  <c r="EL466" i="1"/>
  <c r="EM466" i="1"/>
  <c r="EN466" i="1"/>
  <c r="EP466" i="1"/>
  <c r="EQ466" i="1"/>
  <c r="EL467" i="1"/>
  <c r="EM467" i="1"/>
  <c r="EN467" i="1"/>
  <c r="EP467" i="1"/>
  <c r="EQ467" i="1"/>
  <c r="EL468" i="1"/>
  <c r="EM468" i="1"/>
  <c r="EP468" i="1"/>
  <c r="EL469" i="1"/>
  <c r="EM469" i="1"/>
  <c r="EN469" i="1"/>
  <c r="EP469" i="1"/>
  <c r="EQ469" i="1"/>
  <c r="EL470" i="1"/>
  <c r="EM470" i="1"/>
  <c r="EN470" i="1"/>
  <c r="EP470" i="1"/>
  <c r="EQ470" i="1"/>
  <c r="EL471" i="1"/>
  <c r="EM471" i="1"/>
  <c r="EN471" i="1"/>
  <c r="EP471" i="1"/>
  <c r="EQ471" i="1"/>
  <c r="EL472" i="1"/>
  <c r="EM472" i="1"/>
  <c r="EN472" i="1"/>
  <c r="EP472" i="1"/>
  <c r="EQ472" i="1"/>
  <c r="EL473" i="1"/>
  <c r="EM473" i="1"/>
  <c r="EN473" i="1"/>
  <c r="EP473" i="1"/>
  <c r="EQ473" i="1"/>
  <c r="EL474" i="1"/>
  <c r="EM474" i="1"/>
  <c r="EN474" i="1"/>
  <c r="EP474" i="1"/>
  <c r="EQ474" i="1"/>
  <c r="EL475" i="1"/>
  <c r="EM475" i="1"/>
  <c r="EN475" i="1"/>
  <c r="EP475" i="1"/>
  <c r="EQ475" i="1"/>
  <c r="EL476" i="1"/>
  <c r="EM476" i="1"/>
  <c r="EN476" i="1"/>
  <c r="EP476" i="1"/>
  <c r="EQ476" i="1"/>
  <c r="EL477" i="1"/>
  <c r="EM477" i="1"/>
  <c r="EN477" i="1"/>
  <c r="EP477" i="1"/>
  <c r="EQ477" i="1"/>
  <c r="EL478" i="1"/>
  <c r="EM478" i="1"/>
  <c r="EN478" i="1"/>
  <c r="EP478" i="1"/>
  <c r="EQ478" i="1"/>
  <c r="EL479" i="1"/>
  <c r="EM479" i="1"/>
  <c r="EN479" i="1"/>
  <c r="EP479" i="1"/>
  <c r="EQ479" i="1"/>
  <c r="EL480" i="1"/>
  <c r="EM480" i="1"/>
  <c r="EN480" i="1"/>
  <c r="EP480" i="1"/>
  <c r="EQ480" i="1"/>
  <c r="EL481" i="1"/>
  <c r="EM481" i="1"/>
  <c r="EN481" i="1"/>
  <c r="EP481" i="1"/>
  <c r="EQ481" i="1"/>
  <c r="EL482" i="1"/>
  <c r="EM482" i="1"/>
  <c r="EN482" i="1"/>
  <c r="EP482" i="1"/>
  <c r="EQ482" i="1"/>
  <c r="EL483" i="1"/>
  <c r="EM483" i="1"/>
  <c r="EN483" i="1"/>
  <c r="EP483" i="1"/>
  <c r="EQ483" i="1"/>
  <c r="EL484" i="1"/>
  <c r="EM484" i="1"/>
  <c r="EN484" i="1"/>
  <c r="EP484" i="1"/>
  <c r="EQ484" i="1"/>
  <c r="EL485" i="1"/>
  <c r="EM485" i="1"/>
  <c r="EN485" i="1"/>
  <c r="EP485" i="1"/>
  <c r="EQ485" i="1"/>
  <c r="EL486" i="1"/>
  <c r="EM486" i="1"/>
  <c r="EN486" i="1"/>
  <c r="EP486" i="1"/>
  <c r="EQ486" i="1"/>
  <c r="EL487" i="1"/>
  <c r="EM487" i="1"/>
  <c r="EP487" i="1"/>
  <c r="EL488" i="1"/>
  <c r="EM488" i="1"/>
  <c r="EN488" i="1"/>
  <c r="EP488" i="1"/>
  <c r="EQ488" i="1"/>
  <c r="EL489" i="1"/>
  <c r="EM489" i="1"/>
  <c r="EN489" i="1"/>
  <c r="EP489" i="1"/>
  <c r="EQ489" i="1"/>
  <c r="EL490" i="1"/>
  <c r="EM490" i="1"/>
  <c r="EN490" i="1"/>
  <c r="EP490" i="1"/>
  <c r="EQ490" i="1"/>
  <c r="EL491" i="1"/>
  <c r="EM491" i="1"/>
  <c r="EN491" i="1"/>
  <c r="EP491" i="1"/>
  <c r="EQ491" i="1"/>
  <c r="EL492" i="1"/>
  <c r="EM492" i="1"/>
  <c r="EN492" i="1"/>
  <c r="EP492" i="1"/>
  <c r="EQ492" i="1"/>
  <c r="EL493" i="1"/>
  <c r="EM493" i="1"/>
  <c r="EN493" i="1"/>
  <c r="EP493" i="1"/>
  <c r="EQ493" i="1"/>
  <c r="EL494" i="1"/>
  <c r="EM494" i="1"/>
  <c r="EN494" i="1"/>
  <c r="EP494" i="1"/>
  <c r="EQ494" i="1"/>
  <c r="EL495" i="1"/>
  <c r="EM495" i="1"/>
  <c r="EN495" i="1"/>
  <c r="EP495" i="1"/>
  <c r="EQ495" i="1"/>
  <c r="EL496" i="1"/>
  <c r="EM496" i="1"/>
  <c r="EN496" i="1"/>
  <c r="EP496" i="1"/>
  <c r="EQ496" i="1"/>
  <c r="EL497" i="1"/>
  <c r="EM497" i="1"/>
  <c r="EN497" i="1"/>
  <c r="EP497" i="1"/>
  <c r="EQ497" i="1"/>
  <c r="EL498" i="1"/>
  <c r="EM498" i="1"/>
  <c r="EN498" i="1"/>
  <c r="EP498" i="1"/>
  <c r="EQ498" i="1"/>
  <c r="EL499" i="1"/>
  <c r="EM499" i="1"/>
  <c r="EN499" i="1"/>
  <c r="EP499" i="1"/>
  <c r="EQ499" i="1"/>
  <c r="EL500" i="1"/>
  <c r="EM500" i="1"/>
  <c r="EN500" i="1"/>
  <c r="EP500" i="1"/>
  <c r="EQ500" i="1"/>
  <c r="EL501" i="1"/>
  <c r="EM501" i="1"/>
  <c r="EN501" i="1"/>
  <c r="EP501" i="1"/>
  <c r="EQ501" i="1"/>
  <c r="EL502" i="1"/>
  <c r="EM502" i="1"/>
  <c r="EN502" i="1"/>
  <c r="EP502" i="1"/>
  <c r="EQ502" i="1"/>
  <c r="EL503" i="1"/>
  <c r="EM503" i="1"/>
  <c r="EP503" i="1"/>
  <c r="EL504" i="1"/>
  <c r="EM504" i="1"/>
  <c r="EN504" i="1"/>
  <c r="EP504" i="1"/>
  <c r="EQ504" i="1"/>
  <c r="EL505" i="1"/>
  <c r="EM505" i="1"/>
  <c r="EN505" i="1"/>
  <c r="EP505" i="1"/>
  <c r="EQ505" i="1"/>
  <c r="EL506" i="1"/>
  <c r="EM506" i="1"/>
  <c r="EN506" i="1"/>
  <c r="EP506" i="1"/>
  <c r="EQ506" i="1"/>
  <c r="EL507" i="1"/>
  <c r="EM507" i="1"/>
  <c r="EN507" i="1"/>
  <c r="EP507" i="1"/>
  <c r="EQ507" i="1"/>
  <c r="EL508" i="1"/>
  <c r="EM508" i="1"/>
  <c r="EN508" i="1"/>
  <c r="EP508" i="1"/>
  <c r="EQ508" i="1"/>
  <c r="EL509" i="1"/>
  <c r="EM509" i="1"/>
  <c r="EN509" i="1"/>
  <c r="EP509" i="1"/>
  <c r="EQ509" i="1"/>
  <c r="EL510" i="1"/>
  <c r="EM510" i="1"/>
  <c r="EN510" i="1"/>
  <c r="EP510" i="1"/>
  <c r="EQ510" i="1"/>
  <c r="EL511" i="1"/>
  <c r="EM511" i="1"/>
  <c r="EN511" i="1"/>
  <c r="EP511" i="1"/>
  <c r="EQ511" i="1"/>
  <c r="EL512" i="1"/>
  <c r="EM512" i="1"/>
  <c r="EN512" i="1"/>
  <c r="EP512" i="1"/>
  <c r="EQ512" i="1"/>
  <c r="EL513" i="1"/>
  <c r="EM513" i="1"/>
  <c r="EN513" i="1"/>
  <c r="EP513" i="1"/>
  <c r="EQ513" i="1"/>
  <c r="EL514" i="1"/>
  <c r="EM514" i="1"/>
  <c r="EN514" i="1"/>
  <c r="EP514" i="1"/>
  <c r="EQ514" i="1"/>
  <c r="EL515" i="1"/>
  <c r="EM515" i="1"/>
  <c r="EN515" i="1"/>
  <c r="EP515" i="1"/>
  <c r="EQ515" i="1"/>
  <c r="EL516" i="1"/>
  <c r="EM516" i="1"/>
  <c r="EN516" i="1"/>
  <c r="EP516" i="1"/>
  <c r="EQ516" i="1"/>
  <c r="EL517" i="1"/>
  <c r="EM517" i="1"/>
  <c r="EN517" i="1"/>
  <c r="EP517" i="1"/>
  <c r="EQ517" i="1"/>
  <c r="EL518" i="1"/>
  <c r="EM518" i="1"/>
  <c r="EN518" i="1"/>
  <c r="EP518" i="1"/>
  <c r="EQ518" i="1"/>
  <c r="EL519" i="1"/>
  <c r="EM519" i="1"/>
  <c r="EN519" i="1"/>
  <c r="EP519" i="1"/>
  <c r="EQ519" i="1"/>
  <c r="EL520" i="1"/>
  <c r="EM520" i="1"/>
  <c r="EN520" i="1"/>
  <c r="EP520" i="1"/>
  <c r="EQ520" i="1"/>
  <c r="EL521" i="1"/>
  <c r="EM521" i="1"/>
  <c r="EN521" i="1"/>
  <c r="EP521" i="1"/>
  <c r="EQ521" i="1"/>
  <c r="EL522" i="1"/>
  <c r="EM522" i="1"/>
  <c r="EN522" i="1"/>
  <c r="EP522" i="1"/>
  <c r="EQ522" i="1"/>
  <c r="EL523" i="1"/>
  <c r="EM523" i="1"/>
  <c r="EN523" i="1"/>
  <c r="EP523" i="1"/>
  <c r="EQ523" i="1"/>
  <c r="EL524" i="1"/>
  <c r="EM524" i="1"/>
  <c r="EN524" i="1"/>
  <c r="EP524" i="1"/>
  <c r="EQ524" i="1"/>
  <c r="EL525" i="1"/>
  <c r="EM525" i="1"/>
  <c r="EN525" i="1"/>
  <c r="EP525" i="1"/>
  <c r="EQ525" i="1"/>
  <c r="EL526" i="1"/>
  <c r="EM526" i="1"/>
  <c r="EN526" i="1"/>
  <c r="EP526" i="1"/>
  <c r="EQ526" i="1"/>
  <c r="EL527" i="1"/>
  <c r="EM527" i="1"/>
  <c r="EN527" i="1"/>
  <c r="EP527" i="1"/>
  <c r="EQ527" i="1"/>
  <c r="EL528" i="1"/>
  <c r="EM528" i="1"/>
  <c r="EN528" i="1"/>
  <c r="EP528" i="1"/>
  <c r="EQ528" i="1"/>
  <c r="EL529" i="1"/>
  <c r="EM529" i="1"/>
  <c r="EN529" i="1"/>
  <c r="EP529" i="1"/>
  <c r="EQ529" i="1"/>
  <c r="EL530" i="1"/>
  <c r="EM530" i="1"/>
  <c r="EN530" i="1"/>
  <c r="EP530" i="1"/>
  <c r="EQ530" i="1"/>
  <c r="EL531" i="1"/>
  <c r="EM531" i="1"/>
  <c r="EN531" i="1"/>
  <c r="EP531" i="1"/>
  <c r="EQ531" i="1"/>
  <c r="EL532" i="1"/>
  <c r="EM532" i="1"/>
  <c r="EN532" i="1"/>
  <c r="EP532" i="1"/>
  <c r="EQ532" i="1"/>
  <c r="EL533" i="1"/>
  <c r="EM533" i="1"/>
  <c r="EN533" i="1"/>
  <c r="EP533" i="1"/>
  <c r="EQ533" i="1"/>
  <c r="EL534" i="1"/>
  <c r="EM534" i="1"/>
  <c r="EN534" i="1"/>
  <c r="EP534" i="1"/>
  <c r="EQ534" i="1"/>
  <c r="EL535" i="1"/>
  <c r="EM535" i="1"/>
  <c r="EN535" i="1"/>
  <c r="EP535" i="1"/>
  <c r="EQ535" i="1"/>
  <c r="EL536" i="1"/>
  <c r="EM536" i="1"/>
  <c r="EN536" i="1"/>
  <c r="EP536" i="1"/>
  <c r="EQ536" i="1"/>
  <c r="EL537" i="1"/>
  <c r="EM537" i="1"/>
  <c r="EN537" i="1"/>
  <c r="EP537" i="1"/>
  <c r="EQ537" i="1"/>
  <c r="EL538" i="1"/>
  <c r="EM538" i="1"/>
  <c r="EN538" i="1"/>
  <c r="EP538" i="1"/>
  <c r="EQ538" i="1"/>
  <c r="EL539" i="1"/>
  <c r="EM539" i="1"/>
  <c r="EP539" i="1"/>
  <c r="EL540" i="1"/>
  <c r="EM540" i="1"/>
  <c r="EN540" i="1"/>
  <c r="EP540" i="1"/>
  <c r="EQ540" i="1"/>
  <c r="EL541" i="1"/>
  <c r="EM541" i="1"/>
  <c r="EN541" i="1"/>
  <c r="EP541" i="1"/>
  <c r="EQ541" i="1"/>
  <c r="EL542" i="1"/>
  <c r="EM542" i="1"/>
  <c r="EP542" i="1"/>
  <c r="EL543" i="1"/>
  <c r="EM543" i="1"/>
  <c r="EP543" i="1"/>
  <c r="EL544" i="1"/>
  <c r="EM544" i="1"/>
  <c r="EN544" i="1"/>
  <c r="EP544" i="1"/>
  <c r="EQ544" i="1"/>
  <c r="EL545" i="1"/>
  <c r="EM545" i="1"/>
  <c r="EN545" i="1"/>
  <c r="EP545" i="1"/>
  <c r="EQ545" i="1"/>
  <c r="EL546" i="1"/>
  <c r="EM546" i="1"/>
  <c r="EN546" i="1"/>
  <c r="EP546" i="1"/>
  <c r="EQ546" i="1"/>
  <c r="EL548" i="1"/>
  <c r="EM548" i="1"/>
  <c r="EN548" i="1"/>
  <c r="EP548" i="1"/>
  <c r="EQ548" i="1"/>
  <c r="EL549" i="1"/>
  <c r="EM549" i="1"/>
  <c r="EN549" i="1"/>
  <c r="EP549" i="1"/>
  <c r="EQ549" i="1"/>
  <c r="EL550" i="1"/>
  <c r="EM550" i="1"/>
  <c r="EN550" i="1"/>
  <c r="EP550" i="1"/>
  <c r="EQ550" i="1"/>
  <c r="EL552" i="1"/>
  <c r="EM552" i="1"/>
  <c r="EN552" i="1"/>
  <c r="EP552" i="1"/>
  <c r="EQ552" i="1"/>
  <c r="EL553" i="1"/>
  <c r="EM553" i="1"/>
  <c r="EN553" i="1"/>
  <c r="EP553" i="1"/>
  <c r="EQ553" i="1"/>
  <c r="EL555" i="1"/>
  <c r="EM555" i="1"/>
  <c r="EN555" i="1"/>
  <c r="EP555" i="1"/>
  <c r="EQ555" i="1"/>
  <c r="EL557" i="1"/>
  <c r="EM557" i="1"/>
  <c r="EN557" i="1"/>
  <c r="EP557" i="1"/>
  <c r="EQ557" i="1"/>
  <c r="EL559" i="1"/>
  <c r="EM559" i="1"/>
  <c r="EN559" i="1"/>
  <c r="EP559" i="1"/>
  <c r="EQ559" i="1"/>
  <c r="EL560" i="1"/>
  <c r="EM560" i="1"/>
  <c r="EN560" i="1"/>
  <c r="EP560" i="1"/>
  <c r="EQ560" i="1"/>
  <c r="EL561" i="1"/>
  <c r="EM561" i="1"/>
  <c r="EN561" i="1"/>
  <c r="EP561" i="1"/>
  <c r="EQ561" i="1"/>
  <c r="EL565" i="1"/>
  <c r="EM565" i="1"/>
  <c r="EP565" i="1"/>
  <c r="EL566" i="1"/>
  <c r="EM566" i="1"/>
  <c r="EP566" i="1"/>
  <c r="EL567" i="1"/>
  <c r="EM567" i="1"/>
  <c r="EP567" i="1"/>
  <c r="EL569" i="1"/>
  <c r="EM569" i="1"/>
  <c r="EN569" i="1"/>
  <c r="EP569" i="1"/>
  <c r="EQ569" i="1"/>
  <c r="EL577" i="1"/>
  <c r="EM577" i="1"/>
  <c r="EN577" i="1"/>
  <c r="EP577" i="1"/>
  <c r="EQ577" i="1"/>
  <c r="EL631" i="1"/>
  <c r="EM631" i="1"/>
  <c r="EN631" i="1"/>
  <c r="EP631" i="1"/>
  <c r="EQ631" i="1"/>
  <c r="EL651" i="1"/>
  <c r="EM651" i="1"/>
  <c r="EN651" i="1"/>
  <c r="EP651" i="1"/>
  <c r="EQ651" i="1"/>
  <c r="EL656" i="1"/>
  <c r="EM656" i="1"/>
  <c r="EN656" i="1"/>
  <c r="EP656" i="1"/>
  <c r="EQ656" i="1"/>
  <c r="EP6" i="1"/>
  <c r="EQ6" i="1"/>
  <c r="EL6" i="1"/>
  <c r="EM6" i="1"/>
  <c r="EN6" i="1"/>
  <c r="AC13" i="3"/>
  <c r="AC12" i="3"/>
  <c r="AC11" i="3"/>
  <c r="AC10" i="3"/>
  <c r="AC9" i="3"/>
  <c r="AC6" i="3"/>
  <c r="AC5" i="3"/>
  <c r="AC4" i="3"/>
  <c r="AB4" i="3"/>
  <c r="AB5" i="3"/>
  <c r="AB6" i="3"/>
  <c r="AB9" i="3"/>
  <c r="AB10" i="3"/>
  <c r="AB11" i="3"/>
  <c r="AB12" i="3"/>
  <c r="AB13" i="3"/>
  <c r="AA4" i="3"/>
  <c r="AA5" i="3"/>
  <c r="AA6" i="3"/>
  <c r="AA9" i="3"/>
  <c r="AA10" i="3"/>
  <c r="AA11" i="3"/>
  <c r="AA12" i="3"/>
  <c r="AA13" i="3"/>
  <c r="EE548" i="1"/>
  <c r="DU548" i="1"/>
  <c r="DR548" i="1"/>
  <c r="DH548" i="1"/>
  <c r="CY548" i="1"/>
  <c r="DA548" i="1"/>
  <c r="DB548" i="1"/>
  <c r="CB548" i="1"/>
  <c r="BH548" i="1"/>
  <c r="BA548" i="1"/>
  <c r="AT548" i="1"/>
  <c r="O548" i="1"/>
  <c r="BH545" i="1"/>
  <c r="BA545" i="1"/>
  <c r="AT545" i="1"/>
  <c r="E13" i="3"/>
  <c r="F13" i="3"/>
  <c r="G13" i="3"/>
  <c r="H13" i="3"/>
  <c r="I13" i="3"/>
  <c r="D13" i="3"/>
  <c r="E12" i="3"/>
  <c r="F12" i="3"/>
  <c r="G12" i="3"/>
  <c r="H12" i="3"/>
  <c r="I12" i="3"/>
  <c r="D12" i="3"/>
  <c r="E11" i="3"/>
  <c r="F11" i="3"/>
  <c r="G11" i="3"/>
  <c r="H11" i="3"/>
  <c r="I11" i="3"/>
  <c r="D11" i="3"/>
  <c r="E10" i="3"/>
  <c r="F10" i="3"/>
  <c r="G10" i="3"/>
  <c r="H10" i="3"/>
  <c r="I10" i="3"/>
  <c r="D10" i="3"/>
  <c r="E9" i="3"/>
  <c r="F9" i="3"/>
  <c r="G9" i="3"/>
  <c r="H9" i="3"/>
  <c r="I9" i="3"/>
  <c r="D9" i="3"/>
  <c r="E8" i="3"/>
  <c r="F8" i="3"/>
  <c r="G8" i="3"/>
  <c r="H8" i="3"/>
  <c r="I8" i="3"/>
  <c r="D8" i="3"/>
  <c r="E6" i="3"/>
  <c r="F6" i="3"/>
  <c r="G6" i="3"/>
  <c r="H6" i="3"/>
  <c r="I6" i="3"/>
  <c r="D6" i="3"/>
  <c r="D5" i="3"/>
  <c r="E5" i="3"/>
  <c r="F5" i="3"/>
  <c r="G5" i="3"/>
  <c r="H5" i="3"/>
  <c r="I5" i="3"/>
  <c r="I4" i="3"/>
  <c r="H4" i="3"/>
  <c r="G4" i="3"/>
  <c r="F4" i="3"/>
  <c r="E4" i="3"/>
  <c r="D4" i="3"/>
  <c r="EE555" i="1"/>
  <c r="DU555" i="1"/>
  <c r="DR555" i="1"/>
  <c r="DH555" i="1"/>
  <c r="DA555" i="1"/>
  <c r="CY555" i="1"/>
  <c r="CK555" i="1"/>
  <c r="CB555" i="1"/>
  <c r="BH555" i="1"/>
  <c r="BA555" i="1"/>
  <c r="AT555" i="1"/>
  <c r="O555" i="1"/>
  <c r="DH931" i="1"/>
  <c r="DH541" i="1"/>
  <c r="BH541" i="1"/>
  <c r="BA541" i="1"/>
  <c r="AT541" i="1"/>
  <c r="BA559" i="1"/>
  <c r="EE559" i="1"/>
  <c r="DU559" i="1"/>
  <c r="DR559" i="1"/>
  <c r="DH559" i="1"/>
  <c r="DA559" i="1"/>
  <c r="CY559" i="1"/>
  <c r="CK559" i="1"/>
  <c r="CB559" i="1"/>
  <c r="BH559" i="1"/>
  <c r="AT559" i="1"/>
  <c r="O559" i="1"/>
  <c r="BA553" i="1"/>
  <c r="AT553" i="1"/>
  <c r="EE553" i="1"/>
  <c r="DU553" i="1"/>
  <c r="DR553" i="1"/>
  <c r="DH553" i="1"/>
  <c r="DA553" i="1"/>
  <c r="CY553" i="1"/>
  <c r="CK553" i="1"/>
  <c r="CB553" i="1"/>
  <c r="BH553" i="1"/>
  <c r="O553" i="1"/>
  <c r="AT546" i="1"/>
  <c r="BA546" i="1"/>
  <c r="BH546" i="1"/>
  <c r="EE546" i="1"/>
  <c r="DU546" i="1"/>
  <c r="DR546" i="1"/>
  <c r="DH546" i="1"/>
  <c r="DA546" i="1"/>
  <c r="CY546" i="1"/>
  <c r="CK546" i="1"/>
  <c r="CB546" i="1"/>
  <c r="O546" i="1"/>
  <c r="EE254" i="1"/>
  <c r="CC682" i="1"/>
  <c r="CC683" i="1"/>
  <c r="CC927" i="1"/>
  <c r="CC929" i="1"/>
  <c r="CC930" i="1"/>
  <c r="CC931" i="1"/>
  <c r="CC932" i="1"/>
  <c r="CC933" i="1"/>
  <c r="CC934" i="1"/>
  <c r="CC935" i="1"/>
  <c r="CC472" i="1"/>
  <c r="CC473" i="1"/>
  <c r="CC474" i="1"/>
  <c r="CC475" i="1"/>
  <c r="CC476" i="1"/>
  <c r="CC477" i="1"/>
  <c r="CC478" i="1"/>
  <c r="CC479" i="1"/>
  <c r="CC480" i="1"/>
  <c r="CC481" i="1"/>
  <c r="CC482" i="1"/>
  <c r="CC483" i="1"/>
  <c r="CC484" i="1"/>
  <c r="CC485" i="1"/>
  <c r="CC486" i="1"/>
  <c r="CC487" i="1"/>
  <c r="EN487" i="1"/>
  <c r="CC488" i="1"/>
  <c r="CC489" i="1"/>
  <c r="CC490" i="1"/>
  <c r="CC491" i="1"/>
  <c r="CC492" i="1"/>
  <c r="CC493" i="1"/>
  <c r="CC494" i="1"/>
  <c r="CC495" i="1"/>
  <c r="CC496" i="1"/>
  <c r="CC497" i="1"/>
  <c r="CC498" i="1"/>
  <c r="CC499" i="1"/>
  <c r="CC500" i="1"/>
  <c r="CC501" i="1"/>
  <c r="CC502" i="1"/>
  <c r="CC503" i="1"/>
  <c r="EN503" i="1"/>
  <c r="CC504" i="1"/>
  <c r="CC505" i="1"/>
  <c r="CC506" i="1"/>
  <c r="CC507" i="1"/>
  <c r="CC508" i="1"/>
  <c r="CC509" i="1"/>
  <c r="CC510" i="1"/>
  <c r="CC511" i="1"/>
  <c r="CC512" i="1"/>
  <c r="CC513" i="1"/>
  <c r="CC514" i="1"/>
  <c r="CC515" i="1"/>
  <c r="CC516" i="1"/>
  <c r="CC517" i="1"/>
  <c r="CC518" i="1"/>
  <c r="CC519" i="1"/>
  <c r="CC520" i="1"/>
  <c r="CC521" i="1"/>
  <c r="CC522" i="1"/>
  <c r="CC523" i="1"/>
  <c r="CC524" i="1"/>
  <c r="CC525" i="1"/>
  <c r="CC526" i="1"/>
  <c r="CC527" i="1"/>
  <c r="CC528" i="1"/>
  <c r="CC529" i="1"/>
  <c r="CC530" i="1"/>
  <c r="CC531" i="1"/>
  <c r="CC532" i="1"/>
  <c r="CC533" i="1"/>
  <c r="CC534" i="1"/>
  <c r="CC535" i="1"/>
  <c r="CC536" i="1"/>
  <c r="CC537" i="1"/>
  <c r="CC538" i="1"/>
  <c r="CC539" i="1"/>
  <c r="EN539" i="1"/>
  <c r="EN543" i="1"/>
  <c r="CC561" i="1"/>
  <c r="CC565" i="1"/>
  <c r="EN565" i="1"/>
  <c r="CC566" i="1"/>
  <c r="EN566" i="1"/>
  <c r="CC567" i="1"/>
  <c r="EN567" i="1"/>
  <c r="CC569" i="1"/>
  <c r="CC577" i="1"/>
  <c r="CC631" i="1"/>
  <c r="CC651" i="1"/>
  <c r="CC656" i="1"/>
  <c r="DU33" i="1"/>
  <c r="DU34" i="1"/>
  <c r="DU35" i="1"/>
  <c r="DU36" i="1"/>
  <c r="DU37" i="1"/>
  <c r="DU38" i="1"/>
  <c r="DU39" i="1"/>
  <c r="DU40" i="1"/>
  <c r="DU41" i="1"/>
  <c r="DU42" i="1"/>
  <c r="DU43" i="1"/>
  <c r="DU44" i="1"/>
  <c r="DU45" i="1"/>
  <c r="DU46" i="1"/>
  <c r="DU47" i="1"/>
  <c r="DU48" i="1"/>
  <c r="DU49" i="1"/>
  <c r="DU50" i="1"/>
  <c r="DU51" i="1"/>
  <c r="DU52" i="1"/>
  <c r="EQ52" i="1"/>
  <c r="DU53" i="1"/>
  <c r="DU54" i="1"/>
  <c r="DU55" i="1"/>
  <c r="DU56" i="1"/>
  <c r="DU57" i="1"/>
  <c r="DU58" i="1"/>
  <c r="EQ58" i="1"/>
  <c r="DU59" i="1"/>
  <c r="DU60" i="1"/>
  <c r="DU61" i="1"/>
  <c r="EQ61" i="1"/>
  <c r="DU62" i="1"/>
  <c r="EQ62" i="1"/>
  <c r="DU63" i="1"/>
  <c r="DU64" i="1"/>
  <c r="EQ64" i="1"/>
  <c r="DU65" i="1"/>
  <c r="DU66" i="1"/>
  <c r="EQ66" i="1"/>
  <c r="DU67" i="1"/>
  <c r="DU68" i="1"/>
  <c r="DU69" i="1"/>
  <c r="DU70" i="1"/>
  <c r="DU71" i="1"/>
  <c r="DU72" i="1"/>
  <c r="DU73" i="1"/>
  <c r="DU74" i="1"/>
  <c r="EQ74" i="1"/>
  <c r="DU75" i="1"/>
  <c r="DU76" i="1"/>
  <c r="DU77" i="1"/>
  <c r="DU78" i="1"/>
  <c r="DU79" i="1"/>
  <c r="DU80" i="1"/>
  <c r="DU81" i="1"/>
  <c r="DU82" i="1"/>
  <c r="DU83" i="1"/>
  <c r="DU84" i="1"/>
  <c r="DU85" i="1"/>
  <c r="DU86" i="1"/>
  <c r="EQ86" i="1"/>
  <c r="DU87" i="1"/>
  <c r="DU88" i="1"/>
  <c r="DU89" i="1"/>
  <c r="DU90" i="1"/>
  <c r="DU91" i="1"/>
  <c r="EQ91" i="1"/>
  <c r="DU92" i="1"/>
  <c r="EQ92" i="1"/>
  <c r="DU93" i="1"/>
  <c r="DU94" i="1"/>
  <c r="DU95" i="1"/>
  <c r="DU96" i="1"/>
  <c r="DU97" i="1"/>
  <c r="DU98" i="1"/>
  <c r="DU99" i="1"/>
  <c r="DU100" i="1"/>
  <c r="DU101" i="1"/>
  <c r="EQ101" i="1"/>
  <c r="DU102" i="1"/>
  <c r="DU103" i="1"/>
  <c r="DU104" i="1"/>
  <c r="DU105" i="1"/>
  <c r="EQ105" i="1"/>
  <c r="DU106" i="1"/>
  <c r="DU107" i="1"/>
  <c r="DU108" i="1"/>
  <c r="DU109" i="1"/>
  <c r="DU110" i="1"/>
  <c r="DU111" i="1"/>
  <c r="DU112" i="1"/>
  <c r="DU113" i="1"/>
  <c r="DU114" i="1"/>
  <c r="DU115" i="1"/>
  <c r="EQ115" i="1"/>
  <c r="DU116" i="1"/>
  <c r="DU117" i="1"/>
  <c r="DU118" i="1"/>
  <c r="DU119" i="1"/>
  <c r="DU120" i="1"/>
  <c r="DU121" i="1"/>
  <c r="DU122" i="1"/>
  <c r="DU123" i="1"/>
  <c r="DU124" i="1"/>
  <c r="DU125" i="1"/>
  <c r="EQ125" i="1"/>
  <c r="DU126" i="1"/>
  <c r="DU127" i="1"/>
  <c r="DU128" i="1"/>
  <c r="DU129" i="1"/>
  <c r="DU130" i="1"/>
  <c r="DU131" i="1"/>
  <c r="DU132" i="1"/>
  <c r="DU134" i="1"/>
  <c r="EQ134" i="1"/>
  <c r="DU135" i="1"/>
  <c r="EQ135" i="1"/>
  <c r="DU136" i="1"/>
  <c r="EQ136" i="1"/>
  <c r="DU137" i="1"/>
  <c r="DU138" i="1"/>
  <c r="DU139" i="1"/>
  <c r="DU140" i="1"/>
  <c r="DU141" i="1"/>
  <c r="DU142" i="1"/>
  <c r="DU143" i="1"/>
  <c r="DU144" i="1"/>
  <c r="DU145" i="1"/>
  <c r="EQ145" i="1"/>
  <c r="DU146" i="1"/>
  <c r="DU147" i="1"/>
  <c r="DU148" i="1"/>
  <c r="DU149" i="1"/>
  <c r="DU150" i="1"/>
  <c r="DU151" i="1"/>
  <c r="DU152" i="1"/>
  <c r="EQ152" i="1"/>
  <c r="DU153" i="1"/>
  <c r="EQ153" i="1"/>
  <c r="DU155" i="1"/>
  <c r="DU156" i="1"/>
  <c r="DU157" i="1"/>
  <c r="DU158" i="1"/>
  <c r="DU159" i="1"/>
  <c r="EQ159" i="1"/>
  <c r="DU160" i="1"/>
  <c r="DU161" i="1"/>
  <c r="DU162" i="1"/>
  <c r="DU163" i="1"/>
  <c r="DU164" i="1"/>
  <c r="DU165" i="1"/>
  <c r="DU166" i="1"/>
  <c r="DU167" i="1"/>
  <c r="DU169" i="1"/>
  <c r="EQ169" i="1"/>
  <c r="DU170" i="1"/>
  <c r="DU171" i="1"/>
  <c r="DU172" i="1"/>
  <c r="DU173" i="1"/>
  <c r="DU174" i="1"/>
  <c r="DU175" i="1"/>
  <c r="EQ175" i="1"/>
  <c r="DU176" i="1"/>
  <c r="DU177" i="1"/>
  <c r="DU178" i="1"/>
  <c r="EQ178" i="1"/>
  <c r="DU179" i="1"/>
  <c r="DU180" i="1"/>
  <c r="EQ180" i="1"/>
  <c r="DU181" i="1"/>
  <c r="DU182" i="1"/>
  <c r="EQ182" i="1"/>
  <c r="DU183" i="1"/>
  <c r="DU184" i="1"/>
  <c r="DU185" i="1"/>
  <c r="DU186" i="1"/>
  <c r="DU187" i="1"/>
  <c r="DU188" i="1"/>
  <c r="DU189" i="1"/>
  <c r="DU190" i="1"/>
  <c r="DU191" i="1"/>
  <c r="DU192" i="1"/>
  <c r="EQ192" i="1"/>
  <c r="DU193" i="1"/>
  <c r="DU194" i="1"/>
  <c r="DU195" i="1"/>
  <c r="DU196" i="1"/>
  <c r="DU197" i="1"/>
  <c r="DU198" i="1"/>
  <c r="DU199" i="1"/>
  <c r="DU200" i="1"/>
  <c r="DU201" i="1"/>
  <c r="DU202" i="1"/>
  <c r="DU203" i="1"/>
  <c r="EQ203" i="1"/>
  <c r="DU204" i="1"/>
  <c r="DU205" i="1"/>
  <c r="DU206" i="1"/>
  <c r="DU207" i="1"/>
  <c r="DU208" i="1"/>
  <c r="DU209" i="1"/>
  <c r="DU210" i="1"/>
  <c r="DU211" i="1"/>
  <c r="DU212" i="1"/>
  <c r="DU213" i="1"/>
  <c r="DU214" i="1"/>
  <c r="DU215" i="1"/>
  <c r="DU217" i="1"/>
  <c r="EQ217" i="1"/>
  <c r="DU218" i="1"/>
  <c r="DU219" i="1"/>
  <c r="DU220" i="1"/>
  <c r="DU221" i="1"/>
  <c r="DU222" i="1"/>
  <c r="DU223" i="1"/>
  <c r="DU224" i="1"/>
  <c r="DU225" i="1"/>
  <c r="DU226" i="1"/>
  <c r="DU227" i="1"/>
  <c r="DU228" i="1"/>
  <c r="EQ228" i="1"/>
  <c r="DU229" i="1"/>
  <c r="EQ229" i="1"/>
  <c r="DU230" i="1"/>
  <c r="DU231" i="1"/>
  <c r="EQ231" i="1"/>
  <c r="DU232" i="1"/>
  <c r="DU233" i="1"/>
  <c r="DU234" i="1"/>
  <c r="EQ234" i="1"/>
  <c r="DU235" i="1"/>
  <c r="EQ235" i="1"/>
  <c r="DU237" i="1"/>
  <c r="EQ237" i="1"/>
  <c r="DU238" i="1"/>
  <c r="DU239" i="1"/>
  <c r="EQ239" i="1"/>
  <c r="DU240" i="1"/>
  <c r="DU241" i="1"/>
  <c r="DU242" i="1"/>
  <c r="EQ242" i="1"/>
  <c r="DU243" i="1"/>
  <c r="EQ243" i="1"/>
  <c r="DU244" i="1"/>
  <c r="DU245" i="1"/>
  <c r="EQ245" i="1"/>
  <c r="DU246" i="1"/>
  <c r="DU247" i="1"/>
  <c r="DU248" i="1"/>
  <c r="DU249" i="1"/>
  <c r="DU250" i="1"/>
  <c r="DU251" i="1"/>
  <c r="EQ251" i="1"/>
  <c r="DU252" i="1"/>
  <c r="EQ252" i="1"/>
  <c r="DU253" i="1"/>
  <c r="DU254" i="1"/>
  <c r="DU255" i="1"/>
  <c r="DU256" i="1"/>
  <c r="DU257" i="1"/>
  <c r="DU258" i="1"/>
  <c r="DU259" i="1"/>
  <c r="DU260" i="1"/>
  <c r="EQ260" i="1"/>
  <c r="DU261" i="1"/>
  <c r="EQ261" i="1"/>
  <c r="DU262" i="1"/>
  <c r="DU263" i="1"/>
  <c r="DU264" i="1"/>
  <c r="DU265" i="1"/>
  <c r="DU266" i="1"/>
  <c r="DU267" i="1"/>
  <c r="EQ267" i="1"/>
  <c r="DU268" i="1"/>
  <c r="DU269" i="1"/>
  <c r="DU270" i="1"/>
  <c r="DU271" i="1"/>
  <c r="DU272" i="1"/>
  <c r="DU273" i="1"/>
  <c r="DU274" i="1"/>
  <c r="EQ274" i="1"/>
  <c r="DU275" i="1"/>
  <c r="DU276" i="1"/>
  <c r="DU277" i="1"/>
  <c r="DU278" i="1"/>
  <c r="DU279" i="1"/>
  <c r="DU280" i="1"/>
  <c r="DU281" i="1"/>
  <c r="DU282" i="1"/>
  <c r="DU283" i="1"/>
  <c r="DU284" i="1"/>
  <c r="DU285" i="1"/>
  <c r="DU286" i="1"/>
  <c r="DU287" i="1"/>
  <c r="DU288" i="1"/>
  <c r="DU289" i="1"/>
  <c r="DU290" i="1"/>
  <c r="DU291" i="1"/>
  <c r="DU292" i="1"/>
  <c r="DU293" i="1"/>
  <c r="DU294" i="1"/>
  <c r="DU295" i="1"/>
  <c r="DU296" i="1"/>
  <c r="DU297" i="1"/>
  <c r="DU298" i="1"/>
  <c r="DU299" i="1"/>
  <c r="DU300" i="1"/>
  <c r="DU301" i="1"/>
  <c r="DU302" i="1"/>
  <c r="DU303" i="1"/>
  <c r="DU304" i="1"/>
  <c r="DU305" i="1"/>
  <c r="DU306" i="1"/>
  <c r="DU307" i="1"/>
  <c r="DU308" i="1"/>
  <c r="DU309" i="1"/>
  <c r="DU310" i="1"/>
  <c r="DU311" i="1"/>
  <c r="DU312" i="1"/>
  <c r="DU313" i="1"/>
  <c r="DU314" i="1"/>
  <c r="DU315" i="1"/>
  <c r="DU316" i="1"/>
  <c r="DU317" i="1"/>
  <c r="DU318" i="1"/>
  <c r="DU319" i="1"/>
  <c r="DU320" i="1"/>
  <c r="EQ320" i="1"/>
  <c r="DU321" i="1"/>
  <c r="EQ321" i="1"/>
  <c r="DU322" i="1"/>
  <c r="EQ322" i="1"/>
  <c r="DU323" i="1"/>
  <c r="EQ323" i="1"/>
  <c r="DU324" i="1"/>
  <c r="EQ324" i="1"/>
  <c r="DU325" i="1"/>
  <c r="EQ325" i="1"/>
  <c r="DU326" i="1"/>
  <c r="EQ326" i="1"/>
  <c r="DU327" i="1"/>
  <c r="EQ327" i="1"/>
  <c r="DU328" i="1"/>
  <c r="EQ328" i="1"/>
  <c r="DU329" i="1"/>
  <c r="EQ329" i="1"/>
  <c r="DU330" i="1"/>
  <c r="EQ330" i="1"/>
  <c r="DU331" i="1"/>
  <c r="EQ331" i="1"/>
  <c r="DU332" i="1"/>
  <c r="EQ332" i="1"/>
  <c r="DU333" i="1"/>
  <c r="EQ333" i="1"/>
  <c r="DU334" i="1"/>
  <c r="EQ334" i="1"/>
  <c r="DU335" i="1"/>
  <c r="EQ335" i="1"/>
  <c r="DU336" i="1"/>
  <c r="EQ336" i="1"/>
  <c r="DU337" i="1"/>
  <c r="EQ337" i="1"/>
  <c r="DU338" i="1"/>
  <c r="EQ338" i="1"/>
  <c r="DU339" i="1"/>
  <c r="DU340" i="1"/>
  <c r="EQ340" i="1"/>
  <c r="DU341" i="1"/>
  <c r="EQ341" i="1"/>
  <c r="DU342" i="1"/>
  <c r="DU343" i="1"/>
  <c r="DU344" i="1"/>
  <c r="DU345" i="1"/>
  <c r="DU346" i="1"/>
  <c r="DU347" i="1"/>
  <c r="DU348" i="1"/>
  <c r="EQ348" i="1"/>
  <c r="DU349" i="1"/>
  <c r="DU350" i="1"/>
  <c r="DU351" i="1"/>
  <c r="DU352" i="1"/>
  <c r="DU353" i="1"/>
  <c r="DU354" i="1"/>
  <c r="EQ354" i="1"/>
  <c r="DU355" i="1"/>
  <c r="DU356" i="1"/>
  <c r="DU357" i="1"/>
  <c r="DU358" i="1"/>
  <c r="EQ358" i="1"/>
  <c r="DU359" i="1"/>
  <c r="DU360" i="1"/>
  <c r="DU361" i="1"/>
  <c r="DU362" i="1"/>
  <c r="DU363" i="1"/>
  <c r="DU364" i="1"/>
  <c r="DU365" i="1"/>
  <c r="EQ365" i="1"/>
  <c r="DU366" i="1"/>
  <c r="DU367" i="1"/>
  <c r="DU368" i="1"/>
  <c r="DU369" i="1"/>
  <c r="DU370" i="1"/>
  <c r="EQ370" i="1"/>
  <c r="DU371" i="1"/>
  <c r="DU372" i="1"/>
  <c r="DU373" i="1"/>
  <c r="DU374" i="1"/>
  <c r="DU375" i="1"/>
  <c r="DU376" i="1"/>
  <c r="EQ376" i="1"/>
  <c r="DU377" i="1"/>
  <c r="DU378" i="1"/>
  <c r="EQ378" i="1"/>
  <c r="DU379" i="1"/>
  <c r="DU380" i="1"/>
  <c r="EQ380" i="1"/>
  <c r="DU381" i="1"/>
  <c r="DU382" i="1"/>
  <c r="DU383" i="1"/>
  <c r="DU384" i="1"/>
  <c r="EQ384" i="1"/>
  <c r="DU385" i="1"/>
  <c r="DU386" i="1"/>
  <c r="DU387" i="1"/>
  <c r="DU388" i="1"/>
  <c r="DU389" i="1"/>
  <c r="DU390" i="1"/>
  <c r="DU391" i="1"/>
  <c r="DU392" i="1"/>
  <c r="EQ392" i="1"/>
  <c r="DU393" i="1"/>
  <c r="DU394" i="1"/>
  <c r="DU395" i="1"/>
  <c r="DU396" i="1"/>
  <c r="DU397" i="1"/>
  <c r="EQ397" i="1"/>
  <c r="DU398" i="1"/>
  <c r="DU399" i="1"/>
  <c r="DU400" i="1"/>
  <c r="DU401" i="1"/>
  <c r="DU402" i="1"/>
  <c r="DU403" i="1"/>
  <c r="EQ403" i="1"/>
  <c r="DU404" i="1"/>
  <c r="DU405" i="1"/>
  <c r="DU406" i="1"/>
  <c r="DU407" i="1"/>
  <c r="DU408" i="1"/>
  <c r="DU409" i="1"/>
  <c r="DU410" i="1"/>
  <c r="EQ410" i="1"/>
  <c r="DU411" i="1"/>
  <c r="DU412" i="1"/>
  <c r="DU413" i="1"/>
  <c r="DU414" i="1"/>
  <c r="DU415" i="1"/>
  <c r="DU416" i="1"/>
  <c r="DU417" i="1"/>
  <c r="DU418" i="1"/>
  <c r="EQ418" i="1"/>
  <c r="DU419" i="1"/>
  <c r="DU420" i="1"/>
  <c r="DU421" i="1"/>
  <c r="DU422" i="1"/>
  <c r="DU423" i="1"/>
  <c r="DU424" i="1"/>
  <c r="DU425" i="1"/>
  <c r="DU426" i="1"/>
  <c r="DU428" i="1"/>
  <c r="DU429" i="1"/>
  <c r="EQ429" i="1"/>
  <c r="DU430" i="1"/>
  <c r="DU431" i="1"/>
  <c r="DU432" i="1"/>
  <c r="DU433" i="1"/>
  <c r="DU434" i="1"/>
  <c r="DU435" i="1"/>
  <c r="DU437" i="1"/>
  <c r="DU438" i="1"/>
  <c r="DU439" i="1"/>
  <c r="DU440" i="1"/>
  <c r="DU441" i="1"/>
  <c r="DU442" i="1"/>
  <c r="DU443" i="1"/>
  <c r="EQ443" i="1"/>
  <c r="DU444" i="1"/>
  <c r="DU445" i="1"/>
  <c r="EQ445" i="1"/>
  <c r="DU446" i="1"/>
  <c r="DU447" i="1"/>
  <c r="DU448" i="1"/>
  <c r="DU449" i="1"/>
  <c r="DU450" i="1"/>
  <c r="DU451" i="1"/>
  <c r="DU452" i="1"/>
  <c r="DU453" i="1"/>
  <c r="DU454" i="1"/>
  <c r="DU455" i="1"/>
  <c r="DU456" i="1"/>
  <c r="DU457" i="1"/>
  <c r="DU458" i="1"/>
  <c r="DU459" i="1"/>
  <c r="DU460" i="1"/>
  <c r="DU461" i="1"/>
  <c r="DU462" i="1"/>
  <c r="DU463" i="1"/>
  <c r="DU464" i="1"/>
  <c r="DU465" i="1"/>
  <c r="DU466" i="1"/>
  <c r="DU467" i="1"/>
  <c r="DU468" i="1"/>
  <c r="EQ468" i="1"/>
  <c r="DU469" i="1"/>
  <c r="DU470" i="1"/>
  <c r="DU471" i="1"/>
  <c r="DU472" i="1"/>
  <c r="DU473" i="1"/>
  <c r="DU474" i="1"/>
  <c r="DU475" i="1"/>
  <c r="DU476" i="1"/>
  <c r="DU477" i="1"/>
  <c r="DU478" i="1"/>
  <c r="DU479" i="1"/>
  <c r="DU480" i="1"/>
  <c r="DU481" i="1"/>
  <c r="DU482" i="1"/>
  <c r="DU483" i="1"/>
  <c r="DU484" i="1"/>
  <c r="DU485" i="1"/>
  <c r="DU486" i="1"/>
  <c r="DU487" i="1"/>
  <c r="EQ487" i="1"/>
  <c r="DU488" i="1"/>
  <c r="DU489" i="1"/>
  <c r="DU490" i="1"/>
  <c r="DU491" i="1"/>
  <c r="DU492" i="1"/>
  <c r="DU493" i="1"/>
  <c r="DU494" i="1"/>
  <c r="DU495" i="1"/>
  <c r="DU496" i="1"/>
  <c r="DU497" i="1"/>
  <c r="DU498" i="1"/>
  <c r="DU499" i="1"/>
  <c r="DU500" i="1"/>
  <c r="DU501" i="1"/>
  <c r="DU502" i="1"/>
  <c r="DU503" i="1"/>
  <c r="EQ503" i="1"/>
  <c r="DU504" i="1"/>
  <c r="DU505" i="1"/>
  <c r="DU506" i="1"/>
  <c r="DU507" i="1"/>
  <c r="DU508" i="1"/>
  <c r="DU509" i="1"/>
  <c r="DU510" i="1"/>
  <c r="DU511" i="1"/>
  <c r="DU512" i="1"/>
  <c r="DU513" i="1"/>
  <c r="DU514" i="1"/>
  <c r="DU515" i="1"/>
  <c r="DU516" i="1"/>
  <c r="DU517" i="1"/>
  <c r="DU518" i="1"/>
  <c r="DU519" i="1"/>
  <c r="DU520" i="1"/>
  <c r="DU521" i="1"/>
  <c r="DU522" i="1"/>
  <c r="DU523" i="1"/>
  <c r="DU524" i="1"/>
  <c r="DU525" i="1"/>
  <c r="DU526" i="1"/>
  <c r="DU527" i="1"/>
  <c r="DU528" i="1"/>
  <c r="DU529" i="1"/>
  <c r="DU530" i="1"/>
  <c r="DU531" i="1"/>
  <c r="DU532" i="1"/>
  <c r="DU533" i="1"/>
  <c r="DU534" i="1"/>
  <c r="DU535" i="1"/>
  <c r="DU536" i="1"/>
  <c r="DU537" i="1"/>
  <c r="DU538" i="1"/>
  <c r="DU539" i="1"/>
  <c r="EQ539" i="1"/>
  <c r="DU540" i="1"/>
  <c r="EQ542" i="1"/>
  <c r="DU543" i="1"/>
  <c r="EQ543" i="1"/>
  <c r="DU544" i="1"/>
  <c r="DU549" i="1"/>
  <c r="DU550" i="1"/>
  <c r="DU552" i="1"/>
  <c r="DU557" i="1"/>
  <c r="DU561" i="1"/>
  <c r="DU560" i="1"/>
  <c r="DU565" i="1"/>
  <c r="EQ565" i="1"/>
  <c r="DU566" i="1"/>
  <c r="EQ566" i="1"/>
  <c r="DU567" i="1"/>
  <c r="EQ567" i="1"/>
  <c r="DU569" i="1"/>
  <c r="DU577" i="1"/>
  <c r="DU631" i="1"/>
  <c r="DU651" i="1"/>
  <c r="DU656" i="1"/>
  <c r="DU682" i="1"/>
  <c r="DU683" i="1"/>
  <c r="DU927" i="1"/>
  <c r="DU929" i="1"/>
  <c r="DU930" i="1"/>
  <c r="DU931" i="1"/>
  <c r="DU932" i="1"/>
  <c r="DU933" i="1"/>
  <c r="DU934" i="1"/>
  <c r="DU935" i="1"/>
  <c r="DU6" i="1"/>
  <c r="DU7" i="1"/>
  <c r="DU8" i="1"/>
  <c r="DU9" i="1"/>
  <c r="DU10" i="1"/>
  <c r="DU11" i="1"/>
  <c r="DU12" i="1"/>
  <c r="DU13" i="1"/>
  <c r="DU14" i="1"/>
  <c r="DU15" i="1"/>
  <c r="DU16" i="1"/>
  <c r="DU17" i="1"/>
  <c r="DU18" i="1"/>
  <c r="DU19" i="1"/>
  <c r="DU20" i="1"/>
  <c r="DU21" i="1"/>
  <c r="DU22" i="1"/>
  <c r="DU23" i="1"/>
  <c r="DU24" i="1"/>
  <c r="DU25" i="1"/>
  <c r="DU26" i="1"/>
  <c r="DU27" i="1"/>
  <c r="DU28" i="1"/>
  <c r="DU29" i="1"/>
  <c r="EQ29" i="1"/>
  <c r="DU30" i="1"/>
  <c r="DU31" i="1"/>
  <c r="EQ31" i="1"/>
  <c r="DU32" i="1"/>
  <c r="EQ32" i="1"/>
  <c r="DU5" i="1"/>
  <c r="DR6" i="1"/>
  <c r="DR7" i="1"/>
  <c r="DR8" i="1"/>
  <c r="DR9" i="1"/>
  <c r="DR10" i="1"/>
  <c r="DR11" i="1"/>
  <c r="DR12" i="1"/>
  <c r="DR13" i="1"/>
  <c r="DR14" i="1"/>
  <c r="DR15" i="1"/>
  <c r="DR16" i="1"/>
  <c r="DR17" i="1"/>
  <c r="DR18" i="1"/>
  <c r="DR19" i="1"/>
  <c r="DR20" i="1"/>
  <c r="DR21" i="1"/>
  <c r="DR22" i="1"/>
  <c r="DR23" i="1"/>
  <c r="DR24" i="1"/>
  <c r="DR25" i="1"/>
  <c r="DR26" i="1"/>
  <c r="DR27" i="1"/>
  <c r="DR28" i="1"/>
  <c r="DR29" i="1"/>
  <c r="ET29" i="1"/>
  <c r="DR30" i="1"/>
  <c r="DR31" i="1"/>
  <c r="ET31" i="1"/>
  <c r="DR32" i="1"/>
  <c r="ET32" i="1"/>
  <c r="DR33" i="1"/>
  <c r="DR34" i="1"/>
  <c r="DR35" i="1"/>
  <c r="DR36" i="1"/>
  <c r="DR37" i="1"/>
  <c r="DR38" i="1"/>
  <c r="DR39" i="1"/>
  <c r="DR40" i="1"/>
  <c r="DR41" i="1"/>
  <c r="DR42" i="1"/>
  <c r="DR43" i="1"/>
  <c r="DR44" i="1"/>
  <c r="DR45" i="1"/>
  <c r="DR46" i="1"/>
  <c r="DR47" i="1"/>
  <c r="DR48" i="1"/>
  <c r="DR49" i="1"/>
  <c r="DR50" i="1"/>
  <c r="DR51" i="1"/>
  <c r="DR52" i="1"/>
  <c r="ET52" i="1"/>
  <c r="DR53" i="1"/>
  <c r="DR54" i="1"/>
  <c r="DR55" i="1"/>
  <c r="DR56" i="1"/>
  <c r="DR57" i="1"/>
  <c r="DR58" i="1"/>
  <c r="ET58" i="1"/>
  <c r="DR59" i="1"/>
  <c r="DR60" i="1"/>
  <c r="DR61" i="1"/>
  <c r="ET61" i="1"/>
  <c r="DR62" i="1"/>
  <c r="ET62" i="1"/>
  <c r="DR63" i="1"/>
  <c r="DR64" i="1"/>
  <c r="ET64" i="1"/>
  <c r="DR65" i="1"/>
  <c r="DR66" i="1"/>
  <c r="ET66" i="1"/>
  <c r="DR67" i="1"/>
  <c r="DR68" i="1"/>
  <c r="DR69" i="1"/>
  <c r="DR70" i="1"/>
  <c r="DR71" i="1"/>
  <c r="DR72" i="1"/>
  <c r="DR73" i="1"/>
  <c r="DR74" i="1"/>
  <c r="ET74" i="1"/>
  <c r="DR75" i="1"/>
  <c r="DR76" i="1"/>
  <c r="DR77" i="1"/>
  <c r="DR78" i="1"/>
  <c r="DR79" i="1"/>
  <c r="DR80" i="1"/>
  <c r="DR81" i="1"/>
  <c r="DR82" i="1"/>
  <c r="DR83" i="1"/>
  <c r="DR84" i="1"/>
  <c r="DR85" i="1"/>
  <c r="DR86" i="1"/>
  <c r="ET86" i="1"/>
  <c r="DR87" i="1"/>
  <c r="DR88" i="1"/>
  <c r="DR89" i="1"/>
  <c r="DR90" i="1"/>
  <c r="DR91" i="1"/>
  <c r="ET91" i="1"/>
  <c r="DR92" i="1"/>
  <c r="ET92" i="1"/>
  <c r="DR93" i="1"/>
  <c r="DR94" i="1"/>
  <c r="DR95" i="1"/>
  <c r="DR96" i="1"/>
  <c r="DR97" i="1"/>
  <c r="DR98" i="1"/>
  <c r="DR99" i="1"/>
  <c r="DR100" i="1"/>
  <c r="DR101" i="1"/>
  <c r="ET101" i="1"/>
  <c r="DR102" i="1"/>
  <c r="DR103" i="1"/>
  <c r="DR104" i="1"/>
  <c r="DR105" i="1"/>
  <c r="ET105" i="1"/>
  <c r="DR106" i="1"/>
  <c r="DR107" i="1"/>
  <c r="DR108" i="1"/>
  <c r="DR109" i="1"/>
  <c r="DR110" i="1"/>
  <c r="DR111" i="1"/>
  <c r="DR112" i="1"/>
  <c r="DR113" i="1"/>
  <c r="DR114" i="1"/>
  <c r="DR115" i="1"/>
  <c r="ET115" i="1"/>
  <c r="DR116" i="1"/>
  <c r="DR117" i="1"/>
  <c r="DR118" i="1"/>
  <c r="DR119" i="1"/>
  <c r="DR120" i="1"/>
  <c r="DR121" i="1"/>
  <c r="DR122" i="1"/>
  <c r="DR123" i="1"/>
  <c r="DR124" i="1"/>
  <c r="DR125" i="1"/>
  <c r="ET125" i="1"/>
  <c r="DR126" i="1"/>
  <c r="DR127" i="1"/>
  <c r="DR128" i="1"/>
  <c r="DR129" i="1"/>
  <c r="DR130" i="1"/>
  <c r="DR131" i="1"/>
  <c r="DR132" i="1"/>
  <c r="DR134" i="1"/>
  <c r="ET134" i="1"/>
  <c r="DR135" i="1"/>
  <c r="ET135" i="1"/>
  <c r="DR136" i="1"/>
  <c r="ET136" i="1"/>
  <c r="DR137" i="1"/>
  <c r="DR138" i="1"/>
  <c r="DR139" i="1"/>
  <c r="DR140" i="1"/>
  <c r="DR141" i="1"/>
  <c r="DR142" i="1"/>
  <c r="DR143" i="1"/>
  <c r="DR144" i="1"/>
  <c r="DR145" i="1"/>
  <c r="ET145" i="1"/>
  <c r="DR146" i="1"/>
  <c r="DR147" i="1"/>
  <c r="DR148" i="1"/>
  <c r="DR149" i="1"/>
  <c r="DR150" i="1"/>
  <c r="DR151" i="1"/>
  <c r="DR152" i="1"/>
  <c r="ET152" i="1"/>
  <c r="DR153" i="1"/>
  <c r="ET153" i="1"/>
  <c r="DR155" i="1"/>
  <c r="DR156" i="1"/>
  <c r="DR157" i="1"/>
  <c r="DR158" i="1"/>
  <c r="DR159" i="1"/>
  <c r="ET159" i="1"/>
  <c r="DR160" i="1"/>
  <c r="DR161" i="1"/>
  <c r="DR162" i="1"/>
  <c r="DR163" i="1"/>
  <c r="DR164" i="1"/>
  <c r="DR165" i="1"/>
  <c r="DR166" i="1"/>
  <c r="DR167" i="1"/>
  <c r="DR169" i="1"/>
  <c r="ET169" i="1"/>
  <c r="DR170" i="1"/>
  <c r="DR171" i="1"/>
  <c r="DR172" i="1"/>
  <c r="DR173" i="1"/>
  <c r="DR174" i="1"/>
  <c r="DR175" i="1"/>
  <c r="ET175" i="1"/>
  <c r="DR176" i="1"/>
  <c r="DR177" i="1"/>
  <c r="DR178" i="1"/>
  <c r="ET178" i="1"/>
  <c r="DR179" i="1"/>
  <c r="DR180" i="1"/>
  <c r="ET180" i="1"/>
  <c r="DR181" i="1"/>
  <c r="DR182" i="1"/>
  <c r="ET182" i="1"/>
  <c r="DR183" i="1"/>
  <c r="DR184" i="1"/>
  <c r="DR185" i="1"/>
  <c r="DR186" i="1"/>
  <c r="DR187" i="1"/>
  <c r="DR188" i="1"/>
  <c r="DR189" i="1"/>
  <c r="DR190" i="1"/>
  <c r="DR191" i="1"/>
  <c r="DR192" i="1"/>
  <c r="ET192" i="1"/>
  <c r="DR193" i="1"/>
  <c r="DR194" i="1"/>
  <c r="DR195" i="1"/>
  <c r="DR196" i="1"/>
  <c r="DR197" i="1"/>
  <c r="DR198" i="1"/>
  <c r="DR199" i="1"/>
  <c r="DR200" i="1"/>
  <c r="DR201" i="1"/>
  <c r="DR202" i="1"/>
  <c r="DR203" i="1"/>
  <c r="ET203" i="1"/>
  <c r="DR204" i="1"/>
  <c r="DR205" i="1"/>
  <c r="DR206" i="1"/>
  <c r="DR207" i="1"/>
  <c r="DR208" i="1"/>
  <c r="DR209" i="1"/>
  <c r="DR210" i="1"/>
  <c r="DR211" i="1"/>
  <c r="DR212" i="1"/>
  <c r="DR213" i="1"/>
  <c r="DR214" i="1"/>
  <c r="DR215" i="1"/>
  <c r="DR217" i="1"/>
  <c r="ET217" i="1"/>
  <c r="DR218" i="1"/>
  <c r="DR219" i="1"/>
  <c r="DR220" i="1"/>
  <c r="DR221" i="1"/>
  <c r="DR222" i="1"/>
  <c r="DR223" i="1"/>
  <c r="DR224" i="1"/>
  <c r="DR225" i="1"/>
  <c r="DR226" i="1"/>
  <c r="DR227" i="1"/>
  <c r="DR228" i="1"/>
  <c r="ET228" i="1"/>
  <c r="DR229" i="1"/>
  <c r="ET229" i="1"/>
  <c r="DR230" i="1"/>
  <c r="DR231" i="1"/>
  <c r="ET231" i="1"/>
  <c r="DR232" i="1"/>
  <c r="DR233" i="1"/>
  <c r="DR234" i="1"/>
  <c r="ET234" i="1"/>
  <c r="DR235" i="1"/>
  <c r="ET235" i="1"/>
  <c r="DR237" i="1"/>
  <c r="ET237" i="1"/>
  <c r="DR238" i="1"/>
  <c r="DR239" i="1"/>
  <c r="ET239" i="1"/>
  <c r="DR240" i="1"/>
  <c r="DR241" i="1"/>
  <c r="DR242" i="1"/>
  <c r="ET242" i="1"/>
  <c r="DR243" i="1"/>
  <c r="ET243" i="1"/>
  <c r="DR244" i="1"/>
  <c r="DR245" i="1"/>
  <c r="ET245" i="1"/>
  <c r="DR246" i="1"/>
  <c r="DR247" i="1"/>
  <c r="DR248" i="1"/>
  <c r="DR249" i="1"/>
  <c r="DR250" i="1"/>
  <c r="DR251" i="1"/>
  <c r="ET251" i="1"/>
  <c r="DR252" i="1"/>
  <c r="ET252" i="1"/>
  <c r="DR253" i="1"/>
  <c r="DR254" i="1"/>
  <c r="DR255" i="1"/>
  <c r="DR256" i="1"/>
  <c r="DR257" i="1"/>
  <c r="DR258" i="1"/>
  <c r="DR259" i="1"/>
  <c r="DR260" i="1"/>
  <c r="ET260" i="1"/>
  <c r="DR261" i="1"/>
  <c r="ET261" i="1"/>
  <c r="DR262" i="1"/>
  <c r="DR263" i="1"/>
  <c r="DR264" i="1"/>
  <c r="DR265" i="1"/>
  <c r="DR266" i="1"/>
  <c r="DR267" i="1"/>
  <c r="ET267" i="1"/>
  <c r="DR268" i="1"/>
  <c r="DR269" i="1"/>
  <c r="DR270" i="1"/>
  <c r="DR271" i="1"/>
  <c r="DR272" i="1"/>
  <c r="DR273" i="1"/>
  <c r="DR274" i="1"/>
  <c r="ET274" i="1"/>
  <c r="DR275" i="1"/>
  <c r="DR276" i="1"/>
  <c r="DR277" i="1"/>
  <c r="DR278" i="1"/>
  <c r="DR279" i="1"/>
  <c r="DR280" i="1"/>
  <c r="DR281" i="1"/>
  <c r="DR282" i="1"/>
  <c r="DR283" i="1"/>
  <c r="DR284" i="1"/>
  <c r="DR285" i="1"/>
  <c r="DR286" i="1"/>
  <c r="DR287" i="1"/>
  <c r="DR288" i="1"/>
  <c r="DR289" i="1"/>
  <c r="DR290" i="1"/>
  <c r="DR291" i="1"/>
  <c r="DR292" i="1"/>
  <c r="DR293" i="1"/>
  <c r="DR294" i="1"/>
  <c r="DR295" i="1"/>
  <c r="DR296" i="1"/>
  <c r="DR297" i="1"/>
  <c r="DR298" i="1"/>
  <c r="DR299" i="1"/>
  <c r="DR300" i="1"/>
  <c r="DR301" i="1"/>
  <c r="DR302" i="1"/>
  <c r="DR303" i="1"/>
  <c r="DR304" i="1"/>
  <c r="DR305" i="1"/>
  <c r="DR306" i="1"/>
  <c r="DR307" i="1"/>
  <c r="DR308" i="1"/>
  <c r="DR309" i="1"/>
  <c r="DR310" i="1"/>
  <c r="DR311" i="1"/>
  <c r="DR312" i="1"/>
  <c r="DR313" i="1"/>
  <c r="DR314" i="1"/>
  <c r="DR315" i="1"/>
  <c r="DR316" i="1"/>
  <c r="DR317" i="1"/>
  <c r="DR318" i="1"/>
  <c r="DR319" i="1"/>
  <c r="DR320" i="1"/>
  <c r="ET320" i="1"/>
  <c r="DR321" i="1"/>
  <c r="ET321" i="1"/>
  <c r="DR322" i="1"/>
  <c r="ET322" i="1"/>
  <c r="DR323" i="1"/>
  <c r="ET323" i="1"/>
  <c r="DR324" i="1"/>
  <c r="ET324" i="1"/>
  <c r="DR325" i="1"/>
  <c r="ET325" i="1"/>
  <c r="DR326" i="1"/>
  <c r="ET326" i="1"/>
  <c r="DR327" i="1"/>
  <c r="ET327" i="1"/>
  <c r="DR328" i="1"/>
  <c r="ET328" i="1"/>
  <c r="DR329" i="1"/>
  <c r="ET329" i="1"/>
  <c r="DR330" i="1"/>
  <c r="ET330" i="1"/>
  <c r="DR331" i="1"/>
  <c r="ET331" i="1"/>
  <c r="DR332" i="1"/>
  <c r="ET332" i="1"/>
  <c r="DR333" i="1"/>
  <c r="ET333" i="1"/>
  <c r="DR334" i="1"/>
  <c r="ET334" i="1"/>
  <c r="DR335" i="1"/>
  <c r="ET335" i="1"/>
  <c r="DR336" i="1"/>
  <c r="ET336" i="1"/>
  <c r="DR337" i="1"/>
  <c r="ET337" i="1"/>
  <c r="DR338" i="1"/>
  <c r="ET338" i="1"/>
  <c r="DR339" i="1"/>
  <c r="DR340" i="1"/>
  <c r="ET340" i="1"/>
  <c r="DR341" i="1"/>
  <c r="ET341" i="1"/>
  <c r="DR342" i="1"/>
  <c r="DR343" i="1"/>
  <c r="DR344" i="1"/>
  <c r="DR345" i="1"/>
  <c r="DR346" i="1"/>
  <c r="DR347" i="1"/>
  <c r="DR348" i="1"/>
  <c r="ET348" i="1"/>
  <c r="DR349" i="1"/>
  <c r="DR350" i="1"/>
  <c r="DR351" i="1"/>
  <c r="DR352" i="1"/>
  <c r="DR353" i="1"/>
  <c r="DR354" i="1"/>
  <c r="ET354" i="1"/>
  <c r="DR355" i="1"/>
  <c r="DR356" i="1"/>
  <c r="DR357" i="1"/>
  <c r="DR358" i="1"/>
  <c r="ET358" i="1"/>
  <c r="DR359" i="1"/>
  <c r="DR360" i="1"/>
  <c r="DR361" i="1"/>
  <c r="DR362" i="1"/>
  <c r="DR363" i="1"/>
  <c r="DR364" i="1"/>
  <c r="DR365" i="1"/>
  <c r="ET365" i="1"/>
  <c r="DR366" i="1"/>
  <c r="DR367" i="1"/>
  <c r="DR368" i="1"/>
  <c r="DR369" i="1"/>
  <c r="DR370" i="1"/>
  <c r="ET370" i="1"/>
  <c r="DR371" i="1"/>
  <c r="DR372" i="1"/>
  <c r="DR373" i="1"/>
  <c r="DR374" i="1"/>
  <c r="DR375" i="1"/>
  <c r="DR376" i="1"/>
  <c r="ET376" i="1"/>
  <c r="DR377" i="1"/>
  <c r="DR378" i="1"/>
  <c r="ET378" i="1"/>
  <c r="DR379" i="1"/>
  <c r="DR380" i="1"/>
  <c r="ET380" i="1"/>
  <c r="DR381" i="1"/>
  <c r="DR382" i="1"/>
  <c r="DR383" i="1"/>
  <c r="DR384" i="1"/>
  <c r="ET384" i="1"/>
  <c r="DR385" i="1"/>
  <c r="DR386" i="1"/>
  <c r="DR387" i="1"/>
  <c r="DR388" i="1"/>
  <c r="DR389" i="1"/>
  <c r="DR390" i="1"/>
  <c r="DR391" i="1"/>
  <c r="DR392" i="1"/>
  <c r="ET392" i="1"/>
  <c r="DR393" i="1"/>
  <c r="DR394" i="1"/>
  <c r="DR395" i="1"/>
  <c r="DR396" i="1"/>
  <c r="DR397" i="1"/>
  <c r="ET397" i="1"/>
  <c r="DR398" i="1"/>
  <c r="DR399" i="1"/>
  <c r="DR400" i="1"/>
  <c r="DR401" i="1"/>
  <c r="DR402" i="1"/>
  <c r="DR403" i="1"/>
  <c r="ET403" i="1"/>
  <c r="DR404" i="1"/>
  <c r="DR405" i="1"/>
  <c r="DR406" i="1"/>
  <c r="DR407" i="1"/>
  <c r="DR408" i="1"/>
  <c r="DR409" i="1"/>
  <c r="DR410" i="1"/>
  <c r="ET410" i="1"/>
  <c r="DR411" i="1"/>
  <c r="DR412" i="1"/>
  <c r="DR413" i="1"/>
  <c r="DR414" i="1"/>
  <c r="DR415" i="1"/>
  <c r="DR416" i="1"/>
  <c r="DR417" i="1"/>
  <c r="DR418" i="1"/>
  <c r="ET418" i="1"/>
  <c r="DR419" i="1"/>
  <c r="DR420" i="1"/>
  <c r="DR421" i="1"/>
  <c r="DR422" i="1"/>
  <c r="DR423" i="1"/>
  <c r="DR424" i="1"/>
  <c r="DR425" i="1"/>
  <c r="DR426" i="1"/>
  <c r="DR428" i="1"/>
  <c r="DR429" i="1"/>
  <c r="ET429" i="1"/>
  <c r="DR430" i="1"/>
  <c r="DR431" i="1"/>
  <c r="DR432" i="1"/>
  <c r="DR433" i="1"/>
  <c r="DR434" i="1"/>
  <c r="DR435" i="1"/>
  <c r="ET436" i="1"/>
  <c r="DR437" i="1"/>
  <c r="DR438" i="1"/>
  <c r="DR439" i="1"/>
  <c r="DR440" i="1"/>
  <c r="DR441" i="1"/>
  <c r="DR442" i="1"/>
  <c r="DR443" i="1"/>
  <c r="ET443" i="1"/>
  <c r="DR444" i="1"/>
  <c r="DR445" i="1"/>
  <c r="ET445" i="1"/>
  <c r="DR446" i="1"/>
  <c r="DR447" i="1"/>
  <c r="DR448" i="1"/>
  <c r="DR449" i="1"/>
  <c r="DR450" i="1"/>
  <c r="DR451" i="1"/>
  <c r="DR452" i="1"/>
  <c r="DR453" i="1"/>
  <c r="DR454" i="1"/>
  <c r="DR455" i="1"/>
  <c r="DR456" i="1"/>
  <c r="DR457" i="1"/>
  <c r="DR458" i="1"/>
  <c r="DR459" i="1"/>
  <c r="DR460" i="1"/>
  <c r="DR461" i="1"/>
  <c r="DR462" i="1"/>
  <c r="DR463" i="1"/>
  <c r="DR464" i="1"/>
  <c r="DR465" i="1"/>
  <c r="DR466" i="1"/>
  <c r="DR467" i="1"/>
  <c r="DR468" i="1"/>
  <c r="ET468" i="1"/>
  <c r="DR469" i="1"/>
  <c r="DR470" i="1"/>
  <c r="DR471" i="1"/>
  <c r="DR472" i="1"/>
  <c r="DR473" i="1"/>
  <c r="DR474" i="1"/>
  <c r="DR475" i="1"/>
  <c r="DR476" i="1"/>
  <c r="DR477" i="1"/>
  <c r="DR478" i="1"/>
  <c r="DR479" i="1"/>
  <c r="DR480" i="1"/>
  <c r="DR481" i="1"/>
  <c r="DR482" i="1"/>
  <c r="DR483" i="1"/>
  <c r="DR484" i="1"/>
  <c r="DR485" i="1"/>
  <c r="DR486" i="1"/>
  <c r="DR487" i="1"/>
  <c r="ET487" i="1"/>
  <c r="DR488" i="1"/>
  <c r="DR489" i="1"/>
  <c r="DR490" i="1"/>
  <c r="DR491" i="1"/>
  <c r="DR492" i="1"/>
  <c r="DR493" i="1"/>
  <c r="DR494" i="1"/>
  <c r="DR495" i="1"/>
  <c r="DR496" i="1"/>
  <c r="DR497" i="1"/>
  <c r="DR498" i="1"/>
  <c r="DR499" i="1"/>
  <c r="DR500" i="1"/>
  <c r="DR501" i="1"/>
  <c r="DR502" i="1"/>
  <c r="DR503" i="1"/>
  <c r="ET503" i="1"/>
  <c r="DR504" i="1"/>
  <c r="DR505" i="1"/>
  <c r="DR506" i="1"/>
  <c r="DR507" i="1"/>
  <c r="DR508" i="1"/>
  <c r="DR509" i="1"/>
  <c r="DR510" i="1"/>
  <c r="DR511" i="1"/>
  <c r="DR512" i="1"/>
  <c r="DR513" i="1"/>
  <c r="DR514" i="1"/>
  <c r="DR515" i="1"/>
  <c r="DR516" i="1"/>
  <c r="DR517" i="1"/>
  <c r="DR518" i="1"/>
  <c r="DR519" i="1"/>
  <c r="DR520" i="1"/>
  <c r="DR521" i="1"/>
  <c r="DR522" i="1"/>
  <c r="DR523" i="1"/>
  <c r="DR524" i="1"/>
  <c r="DR525" i="1"/>
  <c r="DR526" i="1"/>
  <c r="DR527" i="1"/>
  <c r="DR528" i="1"/>
  <c r="DR529" i="1"/>
  <c r="DR530" i="1"/>
  <c r="DR531" i="1"/>
  <c r="DR532" i="1"/>
  <c r="DR533" i="1"/>
  <c r="DR534" i="1"/>
  <c r="DR535" i="1"/>
  <c r="DR536" i="1"/>
  <c r="DR537" i="1"/>
  <c r="DR538" i="1"/>
  <c r="DR539" i="1"/>
  <c r="ET539" i="1"/>
  <c r="DR540" i="1"/>
  <c r="ET542" i="1"/>
  <c r="ET543" i="1"/>
  <c r="DR544" i="1"/>
  <c r="DR549" i="1"/>
  <c r="DR550" i="1"/>
  <c r="DR552" i="1"/>
  <c r="DR557" i="1"/>
  <c r="DR561" i="1"/>
  <c r="DR560" i="1"/>
  <c r="DR565" i="1"/>
  <c r="ET565" i="1"/>
  <c r="DR566" i="1"/>
  <c r="ET566" i="1"/>
  <c r="DR567" i="1"/>
  <c r="ET567" i="1"/>
  <c r="DR569" i="1"/>
  <c r="DR577" i="1"/>
  <c r="DR631" i="1"/>
  <c r="DR651" i="1"/>
  <c r="DR656" i="1"/>
  <c r="DR682" i="1"/>
  <c r="DR683" i="1"/>
  <c r="DR927" i="1"/>
  <c r="DR929" i="1"/>
  <c r="DR930" i="1"/>
  <c r="DR931" i="1"/>
  <c r="DR932" i="1"/>
  <c r="DR933" i="1"/>
  <c r="DR934" i="1"/>
  <c r="DR935" i="1"/>
  <c r="DR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4" i="1"/>
  <c r="O135" i="1"/>
  <c r="O136" i="1"/>
  <c r="O137" i="1"/>
  <c r="O138" i="1"/>
  <c r="O139" i="1"/>
  <c r="O140" i="1"/>
  <c r="O141" i="1"/>
  <c r="O142" i="1"/>
  <c r="O143" i="1"/>
  <c r="O144" i="1"/>
  <c r="O145" i="1"/>
  <c r="O146" i="1"/>
  <c r="O147" i="1"/>
  <c r="O148" i="1"/>
  <c r="O149" i="1"/>
  <c r="O150" i="1"/>
  <c r="O151" i="1"/>
  <c r="O152" i="1"/>
  <c r="O153" i="1"/>
  <c r="O155" i="1"/>
  <c r="O156" i="1"/>
  <c r="O157" i="1"/>
  <c r="O158" i="1"/>
  <c r="O159" i="1"/>
  <c r="O160" i="1"/>
  <c r="O161" i="1"/>
  <c r="O162" i="1"/>
  <c r="O163" i="1"/>
  <c r="O164" i="1"/>
  <c r="O165" i="1"/>
  <c r="O166" i="1"/>
  <c r="O167"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7" i="1"/>
  <c r="O218" i="1"/>
  <c r="O219" i="1"/>
  <c r="O220" i="1"/>
  <c r="O221" i="1"/>
  <c r="O222" i="1"/>
  <c r="O223" i="1"/>
  <c r="O224" i="1"/>
  <c r="O225" i="1"/>
  <c r="O226" i="1"/>
  <c r="O227" i="1"/>
  <c r="O228" i="1"/>
  <c r="O229" i="1"/>
  <c r="O230" i="1"/>
  <c r="O231" i="1"/>
  <c r="O232" i="1"/>
  <c r="O233" i="1"/>
  <c r="O234" i="1"/>
  <c r="O235"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8" i="1"/>
  <c r="O529" i="1"/>
  <c r="O530" i="1"/>
  <c r="O531" i="1"/>
  <c r="O532" i="1"/>
  <c r="O533" i="1"/>
  <c r="O534" i="1"/>
  <c r="O535" i="1"/>
  <c r="O536" i="1"/>
  <c r="O537" i="1"/>
  <c r="O538" i="1"/>
  <c r="O539" i="1"/>
  <c r="O540" i="1"/>
  <c r="O542" i="1"/>
  <c r="O543" i="1"/>
  <c r="O544" i="1"/>
  <c r="O549" i="1"/>
  <c r="O550" i="1"/>
  <c r="O552" i="1"/>
  <c r="O557" i="1"/>
  <c r="O561" i="1"/>
  <c r="O560" i="1"/>
  <c r="O565" i="1"/>
  <c r="O566" i="1"/>
  <c r="O567" i="1"/>
  <c r="O569" i="1"/>
  <c r="O577" i="1"/>
  <c r="O631" i="1"/>
  <c r="O651" i="1"/>
  <c r="O656" i="1"/>
  <c r="O682" i="1"/>
  <c r="O683" i="1"/>
  <c r="O927"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5" i="1"/>
  <c r="CC6" i="1"/>
  <c r="CC7" i="1"/>
  <c r="CC8" i="1"/>
  <c r="CC9" i="1"/>
  <c r="CC10" i="1"/>
  <c r="CC11" i="1"/>
  <c r="CC12" i="1"/>
  <c r="CC13" i="1"/>
  <c r="CC14" i="1"/>
  <c r="CC15" i="1"/>
  <c r="CC16" i="1"/>
  <c r="CC17" i="1"/>
  <c r="CC18" i="1"/>
  <c r="CC19" i="1"/>
  <c r="CC20" i="1"/>
  <c r="CC21" i="1"/>
  <c r="CC22" i="1"/>
  <c r="CC23" i="1"/>
  <c r="CC24" i="1"/>
  <c r="CC25" i="1"/>
  <c r="CC26" i="1"/>
  <c r="CC27" i="1"/>
  <c r="CC28" i="1"/>
  <c r="CC29" i="1"/>
  <c r="EN29" i="1"/>
  <c r="CC30" i="1"/>
  <c r="CC31" i="1"/>
  <c r="EN31" i="1"/>
  <c r="CC32" i="1"/>
  <c r="EN32" i="1"/>
  <c r="CC33" i="1"/>
  <c r="CC34" i="1"/>
  <c r="CC35" i="1"/>
  <c r="CC36" i="1"/>
  <c r="CC37" i="1"/>
  <c r="CC38" i="1"/>
  <c r="CC39" i="1"/>
  <c r="CC40" i="1"/>
  <c r="CC41" i="1"/>
  <c r="CC42" i="1"/>
  <c r="CC43" i="1"/>
  <c r="CC44" i="1"/>
  <c r="CC45" i="1"/>
  <c r="CC46" i="1"/>
  <c r="CC47" i="1"/>
  <c r="CC48" i="1"/>
  <c r="CC49" i="1"/>
  <c r="CC50" i="1"/>
  <c r="CC51" i="1"/>
  <c r="CC52" i="1"/>
  <c r="EN52" i="1"/>
  <c r="CC53" i="1"/>
  <c r="CC54" i="1"/>
  <c r="CC55" i="1"/>
  <c r="CC56" i="1"/>
  <c r="CC57" i="1"/>
  <c r="CC58" i="1"/>
  <c r="EN58" i="1"/>
  <c r="CC59" i="1"/>
  <c r="CC60" i="1"/>
  <c r="CC61" i="1"/>
  <c r="EN61" i="1"/>
  <c r="CC62" i="1"/>
  <c r="EN62" i="1"/>
  <c r="CC63" i="1"/>
  <c r="CC64" i="1"/>
  <c r="EN64" i="1"/>
  <c r="CC65" i="1"/>
  <c r="CC66" i="1"/>
  <c r="EN66" i="1"/>
  <c r="CC67" i="1"/>
  <c r="CC68" i="1"/>
  <c r="CC69" i="1"/>
  <c r="CC70" i="1"/>
  <c r="CC71" i="1"/>
  <c r="CC72" i="1"/>
  <c r="CC73" i="1"/>
  <c r="CC74" i="1"/>
  <c r="EN74" i="1"/>
  <c r="CC75" i="1"/>
  <c r="CC76" i="1"/>
  <c r="CC77" i="1"/>
  <c r="CC78" i="1"/>
  <c r="CC79" i="1"/>
  <c r="CC80" i="1"/>
  <c r="CC81" i="1"/>
  <c r="CC82" i="1"/>
  <c r="CC83" i="1"/>
  <c r="CC84" i="1"/>
  <c r="CC85" i="1"/>
  <c r="CC86" i="1"/>
  <c r="EN86" i="1"/>
  <c r="CC87" i="1"/>
  <c r="CC88" i="1"/>
  <c r="CC89" i="1"/>
  <c r="CC90" i="1"/>
  <c r="CC91" i="1"/>
  <c r="EN91" i="1"/>
  <c r="CC92" i="1"/>
  <c r="EN92" i="1"/>
  <c r="CC93" i="1"/>
  <c r="CC94" i="1"/>
  <c r="CC95" i="1"/>
  <c r="CC96" i="1"/>
  <c r="CC97" i="1"/>
  <c r="CC98" i="1"/>
  <c r="CC99" i="1"/>
  <c r="CC100" i="1"/>
  <c r="CC101" i="1"/>
  <c r="EN101" i="1"/>
  <c r="CC102" i="1"/>
  <c r="CC103" i="1"/>
  <c r="CC104" i="1"/>
  <c r="CC105" i="1"/>
  <c r="EN105" i="1"/>
  <c r="CC106" i="1"/>
  <c r="CC107" i="1"/>
  <c r="CC108" i="1"/>
  <c r="CC109" i="1"/>
  <c r="CC110" i="1"/>
  <c r="CC111" i="1"/>
  <c r="CC112" i="1"/>
  <c r="CC113" i="1"/>
  <c r="CC114" i="1"/>
  <c r="CC115" i="1"/>
  <c r="EN115" i="1"/>
  <c r="CC116" i="1"/>
  <c r="CC117" i="1"/>
  <c r="CC118" i="1"/>
  <c r="CC119" i="1"/>
  <c r="CC120" i="1"/>
  <c r="CC121" i="1"/>
  <c r="CC122" i="1"/>
  <c r="CC123" i="1"/>
  <c r="CC124" i="1"/>
  <c r="CC125" i="1"/>
  <c r="EN125" i="1"/>
  <c r="CC126" i="1"/>
  <c r="CC127" i="1"/>
  <c r="CC128" i="1"/>
  <c r="CC129" i="1"/>
  <c r="CC130" i="1"/>
  <c r="CC131" i="1"/>
  <c r="CC132" i="1"/>
  <c r="CC134" i="1"/>
  <c r="EN134" i="1"/>
  <c r="CC135" i="1"/>
  <c r="EN135" i="1"/>
  <c r="CC136" i="1"/>
  <c r="EN136" i="1"/>
  <c r="CC137" i="1"/>
  <c r="CC138" i="1"/>
  <c r="CC139" i="1"/>
  <c r="CC140" i="1"/>
  <c r="CC141" i="1"/>
  <c r="CC142" i="1"/>
  <c r="CC143" i="1"/>
  <c r="CC144" i="1"/>
  <c r="CC145" i="1"/>
  <c r="EN145" i="1"/>
  <c r="CC146" i="1"/>
  <c r="CC147" i="1"/>
  <c r="CC148" i="1"/>
  <c r="CC149" i="1"/>
  <c r="CC150" i="1"/>
  <c r="CC151" i="1"/>
  <c r="CC152" i="1"/>
  <c r="EN152" i="1"/>
  <c r="CC153" i="1"/>
  <c r="EN153" i="1"/>
  <c r="CC155" i="1"/>
  <c r="CC156" i="1"/>
  <c r="CC157" i="1"/>
  <c r="CC158" i="1"/>
  <c r="CC159" i="1"/>
  <c r="EN159" i="1"/>
  <c r="CC160" i="1"/>
  <c r="CC161" i="1"/>
  <c r="CC162" i="1"/>
  <c r="CC163" i="1"/>
  <c r="CC164" i="1"/>
  <c r="CC165" i="1"/>
  <c r="CC166" i="1"/>
  <c r="CC167" i="1"/>
  <c r="CC169" i="1"/>
  <c r="EN169" i="1"/>
  <c r="CC170" i="1"/>
  <c r="CC171" i="1"/>
  <c r="CC172" i="1"/>
  <c r="CC173" i="1"/>
  <c r="CC174" i="1"/>
  <c r="CC175" i="1"/>
  <c r="EN175" i="1"/>
  <c r="CC176" i="1"/>
  <c r="CC177" i="1"/>
  <c r="CC178" i="1"/>
  <c r="EN178" i="1"/>
  <c r="CC179" i="1"/>
  <c r="CC180" i="1"/>
  <c r="EN180" i="1"/>
  <c r="CC181" i="1"/>
  <c r="CC182" i="1"/>
  <c r="EN182" i="1"/>
  <c r="CC183" i="1"/>
  <c r="CC184" i="1"/>
  <c r="CC185" i="1"/>
  <c r="CC186" i="1"/>
  <c r="CC187" i="1"/>
  <c r="CC188" i="1"/>
  <c r="CC189" i="1"/>
  <c r="CC190" i="1"/>
  <c r="CC191" i="1"/>
  <c r="CC192" i="1"/>
  <c r="EN192" i="1"/>
  <c r="CC193" i="1"/>
  <c r="CC194" i="1"/>
  <c r="CC195" i="1"/>
  <c r="CC196" i="1"/>
  <c r="CC197" i="1"/>
  <c r="CC198" i="1"/>
  <c r="CC199" i="1"/>
  <c r="CC200" i="1"/>
  <c r="CC201" i="1"/>
  <c r="CC202" i="1"/>
  <c r="CC203" i="1"/>
  <c r="EN203" i="1"/>
  <c r="CC204" i="1"/>
  <c r="CC205" i="1"/>
  <c r="CC206" i="1"/>
  <c r="CC207" i="1"/>
  <c r="CC208" i="1"/>
  <c r="CC209" i="1"/>
  <c r="CC210" i="1"/>
  <c r="CC211" i="1"/>
  <c r="CC212" i="1"/>
  <c r="CC213" i="1"/>
  <c r="CC214" i="1"/>
  <c r="CC215" i="1"/>
  <c r="CC217" i="1"/>
  <c r="EN217" i="1"/>
  <c r="CC218" i="1"/>
  <c r="CC219" i="1"/>
  <c r="CC220" i="1"/>
  <c r="CC221" i="1"/>
  <c r="CC222" i="1"/>
  <c r="CC223" i="1"/>
  <c r="CC224" i="1"/>
  <c r="CC225" i="1"/>
  <c r="CC226" i="1"/>
  <c r="CC227" i="1"/>
  <c r="CC228" i="1"/>
  <c r="EN228" i="1"/>
  <c r="CC229" i="1"/>
  <c r="EN229" i="1"/>
  <c r="CC230" i="1"/>
  <c r="CC231" i="1"/>
  <c r="EN231" i="1"/>
  <c r="CC232" i="1"/>
  <c r="CC233" i="1"/>
  <c r="CC234" i="1"/>
  <c r="EN234" i="1"/>
  <c r="CC235" i="1"/>
  <c r="EN235" i="1"/>
  <c r="CC237" i="1"/>
  <c r="EN237" i="1"/>
  <c r="CC238" i="1"/>
  <c r="CC239" i="1"/>
  <c r="EN239" i="1"/>
  <c r="CC240" i="1"/>
  <c r="CC241" i="1"/>
  <c r="CC242" i="1"/>
  <c r="EN242" i="1"/>
  <c r="CC243" i="1"/>
  <c r="EN243" i="1"/>
  <c r="CC244" i="1"/>
  <c r="CC245" i="1"/>
  <c r="EN245" i="1"/>
  <c r="CC246" i="1"/>
  <c r="CC247" i="1"/>
  <c r="CC248" i="1"/>
  <c r="CC249" i="1"/>
  <c r="CC250" i="1"/>
  <c r="CC251" i="1"/>
  <c r="EN251" i="1"/>
  <c r="CC252" i="1"/>
  <c r="EN252" i="1"/>
  <c r="CC253" i="1"/>
  <c r="CC254" i="1"/>
  <c r="CC255" i="1"/>
  <c r="CC256" i="1"/>
  <c r="CC257" i="1"/>
  <c r="CC258" i="1"/>
  <c r="CC259" i="1"/>
  <c r="CC260" i="1"/>
  <c r="EN260" i="1"/>
  <c r="CC261" i="1"/>
  <c r="EN261" i="1"/>
  <c r="CC262" i="1"/>
  <c r="CC263" i="1"/>
  <c r="CC264" i="1"/>
  <c r="CC265" i="1"/>
  <c r="CC266" i="1"/>
  <c r="CC267" i="1"/>
  <c r="EN267" i="1"/>
  <c r="CC268" i="1"/>
  <c r="CC269" i="1"/>
  <c r="CC270" i="1"/>
  <c r="CC271" i="1"/>
  <c r="CC272" i="1"/>
  <c r="CC273" i="1"/>
  <c r="CC274" i="1"/>
  <c r="EN274" i="1"/>
  <c r="CC275" i="1"/>
  <c r="CC276" i="1"/>
  <c r="CC277" i="1"/>
  <c r="CC278" i="1"/>
  <c r="CC279" i="1"/>
  <c r="CC280" i="1"/>
  <c r="CC281" i="1"/>
  <c r="CC282" i="1"/>
  <c r="CC283" i="1"/>
  <c r="CC284" i="1"/>
  <c r="CC285" i="1"/>
  <c r="CC286" i="1"/>
  <c r="CC287" i="1"/>
  <c r="CC288" i="1"/>
  <c r="CC289" i="1"/>
  <c r="CC290" i="1"/>
  <c r="CC291" i="1"/>
  <c r="CC292" i="1"/>
  <c r="CC293" i="1"/>
  <c r="CC294" i="1"/>
  <c r="CC295" i="1"/>
  <c r="CC296" i="1"/>
  <c r="CC297" i="1"/>
  <c r="CC298" i="1"/>
  <c r="CC299" i="1"/>
  <c r="CC300" i="1"/>
  <c r="CC301" i="1"/>
  <c r="CC302" i="1"/>
  <c r="CC303" i="1"/>
  <c r="CC304" i="1"/>
  <c r="CC305" i="1"/>
  <c r="CC306" i="1"/>
  <c r="CC307" i="1"/>
  <c r="CC308" i="1"/>
  <c r="CC309" i="1"/>
  <c r="CC310" i="1"/>
  <c r="CC311" i="1"/>
  <c r="CC312" i="1"/>
  <c r="CC313" i="1"/>
  <c r="CC314" i="1"/>
  <c r="CC315" i="1"/>
  <c r="CC316" i="1"/>
  <c r="CC317" i="1"/>
  <c r="CC318" i="1"/>
  <c r="CC319" i="1"/>
  <c r="CC320" i="1"/>
  <c r="EN320" i="1"/>
  <c r="CC321" i="1"/>
  <c r="EN321" i="1"/>
  <c r="CC322" i="1"/>
  <c r="EN322" i="1"/>
  <c r="CC323" i="1"/>
  <c r="EN323" i="1"/>
  <c r="CC324" i="1"/>
  <c r="EN324" i="1"/>
  <c r="CC325" i="1"/>
  <c r="EN325" i="1"/>
  <c r="CC326" i="1"/>
  <c r="EN326" i="1"/>
  <c r="CC327" i="1"/>
  <c r="EN327" i="1"/>
  <c r="CC328" i="1"/>
  <c r="EN328" i="1"/>
  <c r="CC329" i="1"/>
  <c r="EN329" i="1"/>
  <c r="CC330" i="1"/>
  <c r="EN330" i="1"/>
  <c r="CC331" i="1"/>
  <c r="EN331" i="1"/>
  <c r="CC332" i="1"/>
  <c r="EN332" i="1"/>
  <c r="CC333" i="1"/>
  <c r="EN333" i="1"/>
  <c r="CC334" i="1"/>
  <c r="EN334" i="1"/>
  <c r="CC335" i="1"/>
  <c r="EN335" i="1"/>
  <c r="CC336" i="1"/>
  <c r="EN336" i="1"/>
  <c r="CC337" i="1"/>
  <c r="EN337" i="1"/>
  <c r="CC338" i="1"/>
  <c r="EN338" i="1"/>
  <c r="CC339" i="1"/>
  <c r="CC340" i="1"/>
  <c r="EN340" i="1"/>
  <c r="CC341" i="1"/>
  <c r="EN341" i="1"/>
  <c r="CC342" i="1"/>
  <c r="CC343" i="1"/>
  <c r="CC344" i="1"/>
  <c r="CC345" i="1"/>
  <c r="CC346" i="1"/>
  <c r="CC347" i="1"/>
  <c r="CC348" i="1"/>
  <c r="EN348" i="1"/>
  <c r="CC349" i="1"/>
  <c r="CC350" i="1"/>
  <c r="CC351" i="1"/>
  <c r="CC352" i="1"/>
  <c r="CC353" i="1"/>
  <c r="CC354" i="1"/>
  <c r="EN354" i="1"/>
  <c r="CC355" i="1"/>
  <c r="CC356" i="1"/>
  <c r="CC357" i="1"/>
  <c r="CC358" i="1"/>
  <c r="EN358" i="1"/>
  <c r="CC359" i="1"/>
  <c r="CC360" i="1"/>
  <c r="CC361" i="1"/>
  <c r="CC362" i="1"/>
  <c r="CC363" i="1"/>
  <c r="CC364" i="1"/>
  <c r="CC365" i="1"/>
  <c r="EN365" i="1"/>
  <c r="CC366" i="1"/>
  <c r="CC367" i="1"/>
  <c r="CC368" i="1"/>
  <c r="CC369" i="1"/>
  <c r="CC370" i="1"/>
  <c r="EN370" i="1"/>
  <c r="CC371" i="1"/>
  <c r="CC372" i="1"/>
  <c r="CC373" i="1"/>
  <c r="CC374" i="1"/>
  <c r="CC375" i="1"/>
  <c r="CC376" i="1"/>
  <c r="EN376" i="1"/>
  <c r="CC377" i="1"/>
  <c r="CC378" i="1"/>
  <c r="EN378" i="1"/>
  <c r="CC379" i="1"/>
  <c r="CC380" i="1"/>
  <c r="EN380" i="1"/>
  <c r="CC381" i="1"/>
  <c r="CC382" i="1"/>
  <c r="CC383" i="1"/>
  <c r="CC384" i="1"/>
  <c r="EN384" i="1"/>
  <c r="CC385" i="1"/>
  <c r="CC386" i="1"/>
  <c r="CC387" i="1"/>
  <c r="CC388" i="1"/>
  <c r="CC389" i="1"/>
  <c r="CC390" i="1"/>
  <c r="CC391" i="1"/>
  <c r="CC392" i="1"/>
  <c r="EN392" i="1"/>
  <c r="CC393" i="1"/>
  <c r="CC394" i="1"/>
  <c r="CC395" i="1"/>
  <c r="CC396" i="1"/>
  <c r="CC397" i="1"/>
  <c r="EN397" i="1"/>
  <c r="CC398" i="1"/>
  <c r="CC399" i="1"/>
  <c r="CC400" i="1"/>
  <c r="CC401" i="1"/>
  <c r="CC402" i="1"/>
  <c r="CC403" i="1"/>
  <c r="EN403" i="1"/>
  <c r="CC404" i="1"/>
  <c r="CC405" i="1"/>
  <c r="CC406" i="1"/>
  <c r="CC407" i="1"/>
  <c r="CC408" i="1"/>
  <c r="CC409" i="1"/>
  <c r="CC410" i="1"/>
  <c r="EN410" i="1"/>
  <c r="CC411" i="1"/>
  <c r="CC412" i="1"/>
  <c r="CC413" i="1"/>
  <c r="CC414" i="1"/>
  <c r="CC415" i="1"/>
  <c r="CC416" i="1"/>
  <c r="CC417" i="1"/>
  <c r="CC418" i="1"/>
  <c r="EN418" i="1"/>
  <c r="CC419" i="1"/>
  <c r="CC420" i="1"/>
  <c r="CC421" i="1"/>
  <c r="CC422" i="1"/>
  <c r="CC423" i="1"/>
  <c r="CC424" i="1"/>
  <c r="CC425" i="1"/>
  <c r="CC426" i="1"/>
  <c r="CC428" i="1"/>
  <c r="CC429" i="1"/>
  <c r="EN429" i="1"/>
  <c r="CC430" i="1"/>
  <c r="CC431" i="1"/>
  <c r="CC432" i="1"/>
  <c r="CC433" i="1"/>
  <c r="CC434" i="1"/>
  <c r="CC435" i="1"/>
  <c r="CC436" i="1"/>
  <c r="EN436" i="1"/>
  <c r="CC437" i="1"/>
  <c r="CC438" i="1"/>
  <c r="CC439" i="1"/>
  <c r="CC440" i="1"/>
  <c r="CC441" i="1"/>
  <c r="CC442" i="1"/>
  <c r="CC443" i="1"/>
  <c r="EN443" i="1"/>
  <c r="CC444" i="1"/>
  <c r="CC445" i="1"/>
  <c r="EN445" i="1"/>
  <c r="CC446" i="1"/>
  <c r="CC447" i="1"/>
  <c r="CC448" i="1"/>
  <c r="CC449" i="1"/>
  <c r="CC450" i="1"/>
  <c r="CC451" i="1"/>
  <c r="CC452" i="1"/>
  <c r="CC453" i="1"/>
  <c r="CC454" i="1"/>
  <c r="CC455" i="1"/>
  <c r="CC456" i="1"/>
  <c r="CC457" i="1"/>
  <c r="CC458" i="1"/>
  <c r="CC459" i="1"/>
  <c r="CC460" i="1"/>
  <c r="CC461" i="1"/>
  <c r="CC462" i="1"/>
  <c r="CC463" i="1"/>
  <c r="CC464" i="1"/>
  <c r="CC465" i="1"/>
  <c r="CC466" i="1"/>
  <c r="CC467" i="1"/>
  <c r="CC468" i="1"/>
  <c r="EN468" i="1"/>
  <c r="CC469" i="1"/>
  <c r="CC470" i="1"/>
  <c r="CC471" i="1"/>
  <c r="CC5" i="1"/>
  <c r="BH6" i="1"/>
  <c r="BH7" i="1"/>
  <c r="BH8" i="1"/>
  <c r="BH9" i="1"/>
  <c r="BH10" i="1"/>
  <c r="BH11" i="1"/>
  <c r="BH12" i="1"/>
  <c r="BH13" i="1"/>
  <c r="BH14" i="1"/>
  <c r="BH15" i="1"/>
  <c r="BH16" i="1"/>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H46" i="1"/>
  <c r="BH47" i="1"/>
  <c r="BH48" i="1"/>
  <c r="BH49" i="1"/>
  <c r="BH50" i="1"/>
  <c r="BH51" i="1"/>
  <c r="BH52" i="1"/>
  <c r="BH53" i="1"/>
  <c r="BH54" i="1"/>
  <c r="BH55" i="1"/>
  <c r="BH56" i="1"/>
  <c r="BH57" i="1"/>
  <c r="BH58" i="1"/>
  <c r="BH59" i="1"/>
  <c r="BH60" i="1"/>
  <c r="BH61" i="1"/>
  <c r="BH62" i="1"/>
  <c r="BH63" i="1"/>
  <c r="BH64" i="1"/>
  <c r="BH65" i="1"/>
  <c r="BH66" i="1"/>
  <c r="BH67" i="1"/>
  <c r="BH68" i="1"/>
  <c r="BH69" i="1"/>
  <c r="BH70" i="1"/>
  <c r="BH71" i="1"/>
  <c r="BH72" i="1"/>
  <c r="BH73" i="1"/>
  <c r="BH74" i="1"/>
  <c r="BH75" i="1"/>
  <c r="BH76" i="1"/>
  <c r="BH77" i="1"/>
  <c r="BH78" i="1"/>
  <c r="BH79" i="1"/>
  <c r="BH80"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7" i="1"/>
  <c r="BH128" i="1"/>
  <c r="BH129" i="1"/>
  <c r="BH130" i="1"/>
  <c r="BH131" i="1"/>
  <c r="BH132" i="1"/>
  <c r="BH134" i="1"/>
  <c r="BH135" i="1"/>
  <c r="BH136" i="1"/>
  <c r="BH137" i="1"/>
  <c r="BH138" i="1"/>
  <c r="BH139" i="1"/>
  <c r="BH140" i="1"/>
  <c r="BH141" i="1"/>
  <c r="BH142" i="1"/>
  <c r="BH143" i="1"/>
  <c r="BH144" i="1"/>
  <c r="BH145" i="1"/>
  <c r="BH146" i="1"/>
  <c r="BH147" i="1"/>
  <c r="BH148" i="1"/>
  <c r="BH149" i="1"/>
  <c r="BH150" i="1"/>
  <c r="BH151" i="1"/>
  <c r="BH152" i="1"/>
  <c r="BH153" i="1"/>
  <c r="BH155" i="1"/>
  <c r="BH156" i="1"/>
  <c r="BH157" i="1"/>
  <c r="BH158" i="1"/>
  <c r="BH159" i="1"/>
  <c r="BH160" i="1"/>
  <c r="BH161" i="1"/>
  <c r="BH162" i="1"/>
  <c r="BH163" i="1"/>
  <c r="BH164" i="1"/>
  <c r="BH165" i="1"/>
  <c r="BH166" i="1"/>
  <c r="BH167"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7" i="1"/>
  <c r="BH218" i="1"/>
  <c r="BH219" i="1"/>
  <c r="BH220" i="1"/>
  <c r="BH221" i="1"/>
  <c r="BH222" i="1"/>
  <c r="BH223" i="1"/>
  <c r="BH224" i="1"/>
  <c r="BH225" i="1"/>
  <c r="BH226" i="1"/>
  <c r="BH227" i="1"/>
  <c r="BH228" i="1"/>
  <c r="BH229" i="1"/>
  <c r="BH230" i="1"/>
  <c r="BH231" i="1"/>
  <c r="BH232" i="1"/>
  <c r="BH233" i="1"/>
  <c r="BH234" i="1"/>
  <c r="BH235"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H344" i="1"/>
  <c r="BH345" i="1"/>
  <c r="BH346" i="1"/>
  <c r="BH347"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56" i="1"/>
  <c r="BH457" i="1"/>
  <c r="BH458"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6" i="1"/>
  <c r="BH517" i="1"/>
  <c r="BH518" i="1"/>
  <c r="BH519" i="1"/>
  <c r="BH520" i="1"/>
  <c r="BH521" i="1"/>
  <c r="BH522" i="1"/>
  <c r="BH523" i="1"/>
  <c r="BH524" i="1"/>
  <c r="BH525" i="1"/>
  <c r="BH526" i="1"/>
  <c r="BH527" i="1"/>
  <c r="BH528" i="1"/>
  <c r="BH529" i="1"/>
  <c r="BH530" i="1"/>
  <c r="BH531" i="1"/>
  <c r="BH532" i="1"/>
  <c r="BH533" i="1"/>
  <c r="BH534" i="1"/>
  <c r="BH535" i="1"/>
  <c r="BH536" i="1"/>
  <c r="BH537" i="1"/>
  <c r="BH538" i="1"/>
  <c r="BH539" i="1"/>
  <c r="BH540" i="1"/>
  <c r="BH542" i="1"/>
  <c r="BH543" i="1"/>
  <c r="BH544" i="1"/>
  <c r="BH549" i="1"/>
  <c r="BH550" i="1"/>
  <c r="BH552" i="1"/>
  <c r="BH557" i="1"/>
  <c r="BH561" i="1"/>
  <c r="BH560" i="1"/>
  <c r="BH565" i="1"/>
  <c r="BH566" i="1"/>
  <c r="BH567" i="1"/>
  <c r="BH569" i="1"/>
  <c r="BH577" i="1"/>
  <c r="BH631" i="1"/>
  <c r="BH651" i="1"/>
  <c r="BH656" i="1"/>
  <c r="BH682" i="1"/>
  <c r="BH927" i="1"/>
  <c r="BH929" i="1"/>
  <c r="BH930" i="1"/>
  <c r="BH931" i="1"/>
  <c r="BH932" i="1"/>
  <c r="BH933" i="1"/>
  <c r="BH934" i="1"/>
  <c r="BH935" i="1"/>
  <c r="BH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4" i="1"/>
  <c r="BA135" i="1"/>
  <c r="BA136" i="1"/>
  <c r="BA137" i="1"/>
  <c r="BA138" i="1"/>
  <c r="BA139" i="1"/>
  <c r="BA140" i="1"/>
  <c r="BA141" i="1"/>
  <c r="BA142" i="1"/>
  <c r="BA143" i="1"/>
  <c r="BA144" i="1"/>
  <c r="BA145" i="1"/>
  <c r="BA146" i="1"/>
  <c r="BA147" i="1"/>
  <c r="BA148" i="1"/>
  <c r="BA149" i="1"/>
  <c r="BA150" i="1"/>
  <c r="BA151" i="1"/>
  <c r="BA152" i="1"/>
  <c r="BA153" i="1"/>
  <c r="BA155" i="1"/>
  <c r="BA156" i="1"/>
  <c r="BA157" i="1"/>
  <c r="BA158" i="1"/>
  <c r="BA159" i="1"/>
  <c r="BA160" i="1"/>
  <c r="BA161" i="1"/>
  <c r="BA162" i="1"/>
  <c r="BA163" i="1"/>
  <c r="BA164" i="1"/>
  <c r="BA165" i="1"/>
  <c r="BA166" i="1"/>
  <c r="BA167"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7" i="1"/>
  <c r="BA218" i="1"/>
  <c r="BA219" i="1"/>
  <c r="BA220" i="1"/>
  <c r="BA221" i="1"/>
  <c r="BA222" i="1"/>
  <c r="BA223" i="1"/>
  <c r="BA224" i="1"/>
  <c r="BA225" i="1"/>
  <c r="BA226" i="1"/>
  <c r="BA227" i="1"/>
  <c r="BA228" i="1"/>
  <c r="BA229" i="1"/>
  <c r="BA230" i="1"/>
  <c r="BA231" i="1"/>
  <c r="BA232" i="1"/>
  <c r="BA233" i="1"/>
  <c r="BA234" i="1"/>
  <c r="BA235"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2" i="1"/>
  <c r="BA543" i="1"/>
  <c r="BA544" i="1"/>
  <c r="BA549" i="1"/>
  <c r="BA550" i="1"/>
  <c r="BA552" i="1"/>
  <c r="BA557" i="1"/>
  <c r="BA561" i="1"/>
  <c r="BA560" i="1"/>
  <c r="BA565" i="1"/>
  <c r="BA566" i="1"/>
  <c r="BA567" i="1"/>
  <c r="BA569" i="1"/>
  <c r="BA577" i="1"/>
  <c r="BA631" i="1"/>
  <c r="BA651" i="1"/>
  <c r="BA656" i="1"/>
  <c r="BA682" i="1"/>
  <c r="BA927" i="1"/>
  <c r="BA929" i="1"/>
  <c r="BA930" i="1"/>
  <c r="BA931" i="1"/>
  <c r="BA932" i="1"/>
  <c r="BA933" i="1"/>
  <c r="BA934" i="1"/>
  <c r="BA935" i="1"/>
  <c r="BA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4" i="1"/>
  <c r="AT135" i="1"/>
  <c r="AT136" i="1"/>
  <c r="AT137" i="1"/>
  <c r="AT138" i="1"/>
  <c r="AT139" i="1"/>
  <c r="AT140" i="1"/>
  <c r="AT141" i="1"/>
  <c r="AT142" i="1"/>
  <c r="AT143" i="1"/>
  <c r="AT144" i="1"/>
  <c r="AT145" i="1"/>
  <c r="AT146" i="1"/>
  <c r="AT147" i="1"/>
  <c r="AT148" i="1"/>
  <c r="AT149" i="1"/>
  <c r="AT150" i="1"/>
  <c r="AT151" i="1"/>
  <c r="AT152" i="1"/>
  <c r="AT153" i="1"/>
  <c r="AT155" i="1"/>
  <c r="AT156" i="1"/>
  <c r="AT157" i="1"/>
  <c r="AT158" i="1"/>
  <c r="AT159" i="1"/>
  <c r="AT160" i="1"/>
  <c r="AT161" i="1"/>
  <c r="AT162" i="1"/>
  <c r="AT163" i="1"/>
  <c r="AT164" i="1"/>
  <c r="AT165" i="1"/>
  <c r="AT166" i="1"/>
  <c r="AT167"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7" i="1"/>
  <c r="AT218" i="1"/>
  <c r="AT219" i="1"/>
  <c r="AT220" i="1"/>
  <c r="AT221" i="1"/>
  <c r="AT222" i="1"/>
  <c r="AT223" i="1"/>
  <c r="AT224" i="1"/>
  <c r="AT225" i="1"/>
  <c r="AT226" i="1"/>
  <c r="AT227" i="1"/>
  <c r="AT228" i="1"/>
  <c r="AT229" i="1"/>
  <c r="AT230" i="1"/>
  <c r="AT231" i="1"/>
  <c r="AT232" i="1"/>
  <c r="AT233" i="1"/>
  <c r="AT234" i="1"/>
  <c r="AT235"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2" i="1"/>
  <c r="AT543" i="1"/>
  <c r="AT544" i="1"/>
  <c r="AT549" i="1"/>
  <c r="AT550" i="1"/>
  <c r="AT552" i="1"/>
  <c r="AT557" i="1"/>
  <c r="AT561" i="1"/>
  <c r="AT560" i="1"/>
  <c r="AT565" i="1"/>
  <c r="AT566" i="1"/>
  <c r="AT567" i="1"/>
  <c r="AT569" i="1"/>
  <c r="AT577" i="1"/>
  <c r="AT631" i="1"/>
  <c r="AT651" i="1"/>
  <c r="AT656" i="1"/>
  <c r="AT927" i="1"/>
  <c r="AT929" i="1"/>
  <c r="AT930" i="1"/>
  <c r="AT931" i="1"/>
  <c r="AT932" i="1"/>
  <c r="AT933" i="1"/>
  <c r="AT934" i="1"/>
  <c r="AT935" i="1"/>
  <c r="AT5" i="1"/>
  <c r="A5" i="1" a="1"/>
  <c r="A2" i="6" a="1"/>
  <c r="A5" i="1"/>
  <c r="A550" i="5"/>
  <c r="A549" i="5"/>
  <c r="A548" i="5"/>
  <c r="A547" i="5"/>
  <c r="A546" i="5"/>
  <c r="A545" i="5"/>
  <c r="A544" i="5"/>
  <c r="A543" i="5"/>
  <c r="A542" i="5"/>
  <c r="A541" i="5"/>
  <c r="A539" i="5"/>
  <c r="A538" i="5"/>
  <c r="A537" i="5"/>
  <c r="A536" i="5"/>
  <c r="A534" i="5"/>
  <c r="A533" i="5"/>
  <c r="A532" i="5"/>
  <c r="A530" i="5"/>
  <c r="A529" i="5"/>
  <c r="A528" i="5"/>
  <c r="A526" i="5"/>
  <c r="A525" i="5"/>
  <c r="A524" i="5"/>
  <c r="A523" i="5"/>
  <c r="A522" i="5"/>
  <c r="A521" i="5"/>
  <c r="A520" i="5"/>
  <c r="A518" i="5"/>
  <c r="A517" i="5"/>
  <c r="A516" i="5"/>
  <c r="A515" i="5"/>
  <c r="A514" i="5"/>
  <c r="A511" i="5"/>
  <c r="A510" i="5"/>
  <c r="A509" i="5"/>
  <c r="A508" i="5"/>
  <c r="A507" i="5"/>
  <c r="A505" i="5"/>
  <c r="A504" i="5"/>
  <c r="A503" i="5"/>
  <c r="A502" i="5"/>
  <c r="A500" i="5"/>
  <c r="A499" i="5"/>
  <c r="A498" i="5"/>
  <c r="A497" i="5"/>
  <c r="A496" i="5"/>
  <c r="A495" i="5"/>
  <c r="A494" i="5"/>
  <c r="A493" i="5"/>
  <c r="A492" i="5"/>
  <c r="A491" i="5"/>
  <c r="A490" i="5"/>
  <c r="A489" i="5"/>
  <c r="A488" i="5"/>
  <c r="A487" i="5"/>
  <c r="A486" i="5"/>
  <c r="A485" i="5"/>
  <c r="A484" i="5"/>
  <c r="A483" i="5"/>
  <c r="A482" i="5"/>
  <c r="A480" i="5"/>
  <c r="A479" i="5"/>
  <c r="A478" i="5"/>
  <c r="A477" i="5"/>
  <c r="A476" i="5"/>
  <c r="A475" i="5"/>
  <c r="A474" i="5"/>
  <c r="A473" i="5"/>
  <c r="A472" i="5"/>
  <c r="A470" i="5"/>
  <c r="A469" i="5"/>
  <c r="A468" i="5"/>
  <c r="A467" i="5"/>
  <c r="A465" i="5"/>
  <c r="A464" i="5"/>
  <c r="A463" i="5"/>
  <c r="A462" i="5"/>
  <c r="A461" i="5"/>
  <c r="A460" i="5"/>
  <c r="A459" i="5"/>
  <c r="A458" i="5"/>
  <c r="A456" i="5"/>
  <c r="A455" i="5"/>
  <c r="A454" i="5"/>
  <c r="A453" i="5"/>
  <c r="A451" i="5"/>
  <c r="A450" i="5"/>
  <c r="A449" i="5"/>
  <c r="A447" i="5"/>
  <c r="A446" i="5"/>
  <c r="A444" i="5"/>
  <c r="A442" i="5"/>
  <c r="A441" i="5"/>
  <c r="A439" i="5"/>
  <c r="A438" i="5"/>
  <c r="A436" i="5"/>
  <c r="A434" i="5"/>
  <c r="A432" i="5"/>
  <c r="A429" i="5"/>
  <c r="A428" i="5"/>
  <c r="A427" i="5"/>
  <c r="A426" i="5"/>
  <c r="A425" i="5"/>
  <c r="A422" i="5"/>
  <c r="A421" i="5"/>
  <c r="A420" i="5"/>
  <c r="A419" i="5"/>
  <c r="A417" i="5"/>
  <c r="A416" i="5"/>
  <c r="A414" i="5"/>
  <c r="A413" i="5"/>
  <c r="A411" i="5"/>
  <c r="A410" i="5"/>
  <c r="A409" i="5"/>
  <c r="A408" i="5"/>
  <c r="A407" i="5"/>
  <c r="A406" i="5"/>
  <c r="A405" i="5"/>
  <c r="A404" i="5"/>
  <c r="A403" i="5"/>
  <c r="A402" i="5"/>
  <c r="A401" i="5"/>
  <c r="A400" i="5"/>
  <c r="A399" i="5"/>
  <c r="A398" i="5"/>
  <c r="A397" i="5"/>
  <c r="A396" i="5"/>
  <c r="A395" i="5"/>
  <c r="A394" i="5"/>
  <c r="A392" i="5"/>
  <c r="A391" i="5"/>
  <c r="A390" i="5"/>
  <c r="A389" i="5"/>
  <c r="A388" i="5"/>
  <c r="A387" i="5"/>
  <c r="A386" i="5"/>
  <c r="A385" i="5"/>
  <c r="A384" i="5"/>
  <c r="A382" i="5"/>
  <c r="A380" i="5"/>
  <c r="A379" i="5"/>
  <c r="A378" i="5"/>
  <c r="A377" i="5"/>
  <c r="A376" i="5"/>
  <c r="A375" i="5"/>
  <c r="A374" i="5"/>
  <c r="A373" i="5"/>
  <c r="A372" i="5"/>
  <c r="A371" i="5"/>
  <c r="A370" i="5"/>
  <c r="A369" i="5"/>
  <c r="A368" i="5"/>
  <c r="A366" i="5"/>
  <c r="A365" i="5"/>
  <c r="A364" i="5"/>
  <c r="A362" i="5"/>
  <c r="A361" i="5"/>
  <c r="A360" i="5"/>
  <c r="A358" i="5"/>
  <c r="A357" i="5"/>
  <c r="A356" i="5"/>
  <c r="A355" i="5"/>
  <c r="A353" i="5"/>
  <c r="A350" i="5"/>
  <c r="A349" i="5"/>
  <c r="A348" i="5"/>
  <c r="A347" i="5"/>
  <c r="A346" i="5"/>
  <c r="A345" i="5"/>
  <c r="A344" i="5"/>
  <c r="A343" i="5"/>
  <c r="A341" i="5"/>
  <c r="A340" i="5"/>
  <c r="A339" i="5"/>
  <c r="A338" i="5"/>
  <c r="A336" i="5"/>
  <c r="A334" i="5"/>
  <c r="A333" i="5"/>
  <c r="A332" i="5"/>
  <c r="A330" i="5"/>
  <c r="A329" i="5"/>
  <c r="A328" i="5"/>
  <c r="A327" i="5"/>
  <c r="A326" i="5"/>
  <c r="A325" i="5"/>
  <c r="A324" i="5"/>
  <c r="A323" i="5"/>
  <c r="A322" i="5"/>
  <c r="A321" i="5"/>
  <c r="A320" i="5"/>
  <c r="A319" i="5"/>
  <c r="A318" i="5"/>
  <c r="A317" i="5"/>
  <c r="A316" i="5"/>
  <c r="A315" i="5"/>
  <c r="A314" i="5"/>
  <c r="A313" i="5"/>
  <c r="A312" i="5"/>
  <c r="A311" i="5"/>
  <c r="A301" i="5"/>
  <c r="A300" i="5"/>
  <c r="A285" i="5"/>
  <c r="A283" i="5"/>
  <c r="A282" i="5"/>
  <c r="A281" i="5"/>
  <c r="A280" i="5"/>
  <c r="A279" i="5"/>
  <c r="A278" i="5"/>
  <c r="A277" i="5"/>
  <c r="A275" i="5"/>
  <c r="A274" i="5"/>
  <c r="A273" i="5"/>
  <c r="A272" i="5"/>
  <c r="A271" i="5"/>
  <c r="A270" i="5"/>
  <c r="A269" i="5"/>
  <c r="A268" i="5"/>
  <c r="A267" i="5"/>
  <c r="A266" i="5"/>
  <c r="A265"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5" i="5"/>
  <c r="A214" i="5"/>
  <c r="A213" i="5"/>
  <c r="A212" i="5"/>
  <c r="A211" i="5"/>
  <c r="A210" i="5"/>
  <c r="A209" i="5"/>
  <c r="A208" i="5"/>
  <c r="A207" i="5"/>
  <c r="A206" i="5"/>
  <c r="A205" i="5"/>
  <c r="A204" i="5"/>
  <c r="A203" i="5"/>
  <c r="A202" i="5"/>
  <c r="A201" i="5"/>
  <c r="A200" i="5"/>
  <c r="A199"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H170" i="5"/>
  <c r="A169" i="5"/>
  <c r="P169" i="5"/>
  <c r="A168" i="5"/>
  <c r="A167" i="5"/>
  <c r="A166" i="5"/>
  <c r="A165" i="5"/>
  <c r="A164" i="5"/>
  <c r="K164" i="5"/>
  <c r="A163" i="5"/>
  <c r="E163" i="5"/>
  <c r="A161" i="5"/>
  <c r="A160" i="5"/>
  <c r="A159" i="5"/>
  <c r="H159" i="5"/>
  <c r="A158" i="5"/>
  <c r="A157" i="5"/>
  <c r="A156" i="5"/>
  <c r="P156" i="5"/>
  <c r="A155" i="5"/>
  <c r="A154" i="5"/>
  <c r="A153" i="5"/>
  <c r="H153" i="5"/>
  <c r="A152" i="5"/>
  <c r="N152" i="5"/>
  <c r="A151" i="5"/>
  <c r="Q151" i="5"/>
  <c r="A150" i="5"/>
  <c r="A149" i="5"/>
  <c r="N149" i="5"/>
  <c r="A148" i="5"/>
  <c r="A147" i="5"/>
  <c r="A146" i="5"/>
  <c r="O146" i="5"/>
  <c r="A145" i="5"/>
  <c r="A144" i="5"/>
  <c r="M144" i="5"/>
  <c r="A143" i="5"/>
  <c r="A142" i="5"/>
  <c r="A141" i="5"/>
  <c r="M141" i="5"/>
  <c r="A138" i="5"/>
  <c r="A136" i="5"/>
  <c r="A135" i="5"/>
  <c r="I135" i="5"/>
  <c r="A134" i="5"/>
  <c r="A133" i="5"/>
  <c r="K133" i="5"/>
  <c r="A132" i="5"/>
  <c r="A131" i="5"/>
  <c r="A130" i="5"/>
  <c r="A129" i="5"/>
  <c r="A128" i="5"/>
  <c r="A127" i="5"/>
  <c r="A126" i="5"/>
  <c r="A125" i="5"/>
  <c r="A124" i="5"/>
  <c r="A123" i="5"/>
  <c r="N123" i="5"/>
  <c r="A122" i="5"/>
  <c r="A121" i="5"/>
  <c r="L121" i="5"/>
  <c r="A119" i="5"/>
  <c r="M119" i="5"/>
  <c r="A117" i="5"/>
  <c r="A116" i="5"/>
  <c r="A115" i="5"/>
  <c r="P115" i="5"/>
  <c r="A114" i="5"/>
  <c r="A113" i="5"/>
  <c r="A112" i="5"/>
  <c r="E112" i="5"/>
  <c r="A110" i="5"/>
  <c r="A109" i="5"/>
  <c r="L109" i="5"/>
  <c r="A108" i="5"/>
  <c r="I108" i="5"/>
  <c r="A107" i="5"/>
  <c r="A106" i="5"/>
  <c r="H106" i="5"/>
  <c r="A105" i="5"/>
  <c r="A104" i="5"/>
  <c r="A103" i="5"/>
  <c r="A102" i="5"/>
  <c r="J102" i="5"/>
  <c r="A101" i="5"/>
  <c r="A99" i="5"/>
  <c r="K99" i="5"/>
  <c r="A98" i="5"/>
  <c r="A96" i="5"/>
  <c r="A94" i="5"/>
  <c r="O94" i="5"/>
  <c r="A90" i="5"/>
  <c r="A89" i="5"/>
  <c r="A88" i="5"/>
  <c r="A87" i="5"/>
  <c r="A86" i="5"/>
  <c r="A85" i="5"/>
  <c r="A83" i="5"/>
  <c r="A82" i="5"/>
  <c r="A81" i="5"/>
  <c r="J81" i="5"/>
  <c r="A80" i="5"/>
  <c r="L80" i="5"/>
  <c r="A79" i="5"/>
  <c r="L79" i="5"/>
  <c r="A76" i="5"/>
  <c r="A75" i="5"/>
  <c r="A74" i="5"/>
  <c r="P74" i="5"/>
  <c r="A73" i="5"/>
  <c r="A71" i="5"/>
  <c r="A70" i="5"/>
  <c r="A69" i="5"/>
  <c r="A66" i="5"/>
  <c r="M66" i="5"/>
  <c r="A64" i="5"/>
  <c r="A63" i="5"/>
  <c r="A62" i="5"/>
  <c r="G62" i="5"/>
  <c r="A61" i="5"/>
  <c r="A60" i="5"/>
  <c r="A59" i="5"/>
  <c r="L59" i="5"/>
  <c r="A58" i="5"/>
  <c r="A57" i="5"/>
  <c r="A56" i="5"/>
  <c r="A55" i="5"/>
  <c r="A54" i="5"/>
  <c r="A52" i="5"/>
  <c r="I52" i="5"/>
  <c r="A50" i="5"/>
  <c r="A49" i="5"/>
  <c r="A48" i="5"/>
  <c r="K48" i="5"/>
  <c r="A46" i="5"/>
  <c r="A45" i="5"/>
  <c r="A44" i="5"/>
  <c r="O44" i="5"/>
  <c r="A43" i="5"/>
  <c r="A41" i="5"/>
  <c r="A39" i="5"/>
  <c r="I39" i="5"/>
  <c r="A37" i="5"/>
  <c r="A36" i="5"/>
  <c r="A35" i="5"/>
  <c r="K35" i="5"/>
  <c r="A34" i="5"/>
  <c r="L34" i="5"/>
  <c r="A33" i="5"/>
  <c r="A30" i="5"/>
  <c r="L30" i="5"/>
  <c r="A29" i="5"/>
  <c r="A28" i="5"/>
  <c r="A27" i="5"/>
  <c r="H27" i="5"/>
  <c r="A26" i="5"/>
  <c r="A25" i="5"/>
  <c r="A24" i="5"/>
  <c r="N24" i="5"/>
  <c r="A23" i="5"/>
  <c r="A22" i="5"/>
  <c r="A20" i="5"/>
  <c r="A19" i="5"/>
  <c r="A17" i="5"/>
  <c r="K17" i="5"/>
  <c r="A12" i="5"/>
  <c r="L12" i="5"/>
  <c r="A8" i="5"/>
  <c r="N8" i="5"/>
  <c r="A7" i="5"/>
  <c r="A6" i="5"/>
  <c r="A5" i="5"/>
  <c r="N5" i="5"/>
  <c r="A2" i="5"/>
  <c r="EW935" i="1"/>
  <c r="EU935" i="1"/>
  <c r="EV935" i="1"/>
  <c r="ET935" i="1"/>
  <c r="EQ935" i="1"/>
  <c r="EP935" i="1"/>
  <c r="EM935" i="1"/>
  <c r="EL935" i="1"/>
  <c r="EE935" i="1"/>
  <c r="DH935" i="1"/>
  <c r="DA935" i="1"/>
  <c r="CY935" i="1"/>
  <c r="CK935" i="1"/>
  <c r="EN935" i="1"/>
  <c r="CB935" i="1"/>
  <c r="EW934" i="1"/>
  <c r="EU934" i="1"/>
  <c r="EV934" i="1"/>
  <c r="ET934" i="1"/>
  <c r="EQ934" i="1"/>
  <c r="EP934" i="1"/>
  <c r="EN934" i="1"/>
  <c r="EM934" i="1"/>
  <c r="EL934" i="1"/>
  <c r="DA934" i="1"/>
  <c r="CY934" i="1"/>
  <c r="CK934" i="1"/>
  <c r="CB934" i="1"/>
  <c r="EW933" i="1"/>
  <c r="EU933" i="1"/>
  <c r="EV933" i="1"/>
  <c r="ET933" i="1"/>
  <c r="EQ933" i="1"/>
  <c r="EP933" i="1"/>
  <c r="EN933" i="1"/>
  <c r="EM933" i="1"/>
  <c r="EL933" i="1"/>
  <c r="DA933" i="1"/>
  <c r="CY933" i="1"/>
  <c r="CK933" i="1"/>
  <c r="CB933" i="1"/>
  <c r="EW932" i="1"/>
  <c r="EU932" i="1"/>
  <c r="EV932" i="1"/>
  <c r="ET932" i="1"/>
  <c r="EQ932" i="1"/>
  <c r="EP932" i="1"/>
  <c r="EN932" i="1"/>
  <c r="EM932" i="1"/>
  <c r="EL932" i="1"/>
  <c r="DA932" i="1"/>
  <c r="CY932" i="1"/>
  <c r="CK932" i="1"/>
  <c r="CB932" i="1"/>
  <c r="EW931" i="1"/>
  <c r="EU931" i="1"/>
  <c r="EV931" i="1"/>
  <c r="ET931" i="1"/>
  <c r="EQ931" i="1"/>
  <c r="EP931" i="1"/>
  <c r="EN931" i="1"/>
  <c r="EM931" i="1"/>
  <c r="EL931" i="1"/>
  <c r="DA931" i="1"/>
  <c r="CY931" i="1"/>
  <c r="CK931" i="1"/>
  <c r="CB931" i="1"/>
  <c r="EW930" i="1"/>
  <c r="EU930" i="1"/>
  <c r="EV930" i="1"/>
  <c r="ET930" i="1"/>
  <c r="EQ930" i="1"/>
  <c r="EP930" i="1"/>
  <c r="EM930" i="1"/>
  <c r="EL930" i="1"/>
  <c r="EE930" i="1"/>
  <c r="DH930" i="1"/>
  <c r="DA930" i="1"/>
  <c r="CY930" i="1"/>
  <c r="CK930" i="1"/>
  <c r="EN930" i="1"/>
  <c r="CB930" i="1"/>
  <c r="EW929" i="1"/>
  <c r="EU929" i="1"/>
  <c r="EV929" i="1"/>
  <c r="ET929" i="1"/>
  <c r="EQ929" i="1"/>
  <c r="EP929" i="1"/>
  <c r="EM929" i="1"/>
  <c r="EL929" i="1"/>
  <c r="EE929" i="1"/>
  <c r="DH929" i="1"/>
  <c r="DA929" i="1"/>
  <c r="CY929" i="1"/>
  <c r="CK929" i="1"/>
  <c r="EN929" i="1"/>
  <c r="CB929" i="1"/>
  <c r="EW927" i="1"/>
  <c r="EU927" i="1"/>
  <c r="EV927" i="1"/>
  <c r="ET927" i="1"/>
  <c r="EQ927" i="1"/>
  <c r="EP927" i="1"/>
  <c r="EM927" i="1"/>
  <c r="EL927" i="1"/>
  <c r="EE927" i="1"/>
  <c r="DH927" i="1"/>
  <c r="DA927" i="1"/>
  <c r="CY927" i="1"/>
  <c r="CK927" i="1"/>
  <c r="EN927" i="1"/>
  <c r="CB927" i="1"/>
  <c r="EW683" i="1"/>
  <c r="ET683" i="1"/>
  <c r="EQ683" i="1"/>
  <c r="EP683" i="1"/>
  <c r="EM683" i="1"/>
  <c r="EL683" i="1"/>
  <c r="EE683" i="1"/>
  <c r="DH683" i="1"/>
  <c r="DA683" i="1"/>
  <c r="CY683" i="1"/>
  <c r="EU683" i="1"/>
  <c r="EV683" i="1"/>
  <c r="EN683" i="1"/>
  <c r="CB683" i="1"/>
  <c r="EW682" i="1"/>
  <c r="ET682" i="1"/>
  <c r="AR8" i="3"/>
  <c r="EQ682" i="1"/>
  <c r="EP682" i="1"/>
  <c r="EM682" i="1"/>
  <c r="EL682" i="1"/>
  <c r="EE682" i="1"/>
  <c r="DH682" i="1"/>
  <c r="DA682" i="1"/>
  <c r="CY682" i="1"/>
  <c r="EU682" i="1"/>
  <c r="EN682" i="1"/>
  <c r="CB682" i="1"/>
  <c r="EE656" i="1"/>
  <c r="DH656" i="1"/>
  <c r="DA656" i="1"/>
  <c r="CY656" i="1"/>
  <c r="CK656" i="1"/>
  <c r="CB656" i="1"/>
  <c r="EE651" i="1"/>
  <c r="DH651" i="1"/>
  <c r="DA651" i="1"/>
  <c r="CY651" i="1"/>
  <c r="CK651" i="1"/>
  <c r="CB651" i="1"/>
  <c r="EE631" i="1"/>
  <c r="DH631" i="1"/>
  <c r="DA631" i="1"/>
  <c r="CY631" i="1"/>
  <c r="CK631" i="1"/>
  <c r="CB631" i="1"/>
  <c r="EE577" i="1"/>
  <c r="DH577" i="1"/>
  <c r="DA577" i="1"/>
  <c r="CY577" i="1"/>
  <c r="CK577" i="1"/>
  <c r="CB577" i="1"/>
  <c r="EE569" i="1"/>
  <c r="DH569" i="1"/>
  <c r="DA569" i="1"/>
  <c r="CY569" i="1"/>
  <c r="CK569" i="1"/>
  <c r="CB569" i="1"/>
  <c r="EE567" i="1"/>
  <c r="DH567" i="1"/>
  <c r="EU567" i="1"/>
  <c r="EV567" i="1"/>
  <c r="CB567" i="1"/>
  <c r="EE566" i="1"/>
  <c r="DH566" i="1"/>
  <c r="DA566" i="1"/>
  <c r="CY566" i="1"/>
  <c r="EU566" i="1"/>
  <c r="EV566" i="1"/>
  <c r="CB566" i="1"/>
  <c r="EE565" i="1"/>
  <c r="DH565" i="1"/>
  <c r="DA565" i="1"/>
  <c r="CY565" i="1"/>
  <c r="EU565" i="1"/>
  <c r="EV565" i="1"/>
  <c r="CB565" i="1"/>
  <c r="EE560" i="1"/>
  <c r="DH560" i="1"/>
  <c r="DA560" i="1"/>
  <c r="CY560" i="1"/>
  <c r="CK560" i="1"/>
  <c r="CB542" i="1"/>
  <c r="EE561" i="1"/>
  <c r="DH561" i="1"/>
  <c r="DA561" i="1"/>
  <c r="CY561" i="1"/>
  <c r="CK561" i="1"/>
  <c r="CB561" i="1"/>
  <c r="EE557" i="1"/>
  <c r="DH557" i="1"/>
  <c r="DA557" i="1"/>
  <c r="CY557" i="1"/>
  <c r="CK557" i="1"/>
  <c r="CB557" i="1"/>
  <c r="EE552" i="1"/>
  <c r="DH552" i="1"/>
  <c r="DA552" i="1"/>
  <c r="CY552" i="1"/>
  <c r="CK552" i="1"/>
  <c r="CB552" i="1"/>
  <c r="EE544" i="1"/>
  <c r="DH544" i="1"/>
  <c r="DA544" i="1"/>
  <c r="CY544" i="1"/>
  <c r="CK544" i="1"/>
  <c r="CB544" i="1"/>
  <c r="EE550" i="1"/>
  <c r="DH550" i="1"/>
  <c r="DA550" i="1"/>
  <c r="CY550" i="1"/>
  <c r="CK550" i="1"/>
  <c r="CB550" i="1"/>
  <c r="EE549" i="1"/>
  <c r="DH549" i="1"/>
  <c r="DA549" i="1"/>
  <c r="CY549" i="1"/>
  <c r="CK549" i="1"/>
  <c r="CB549" i="1"/>
  <c r="DH543" i="1"/>
  <c r="DA543" i="1"/>
  <c r="CY543" i="1"/>
  <c r="EU543" i="1"/>
  <c r="EV543" i="1"/>
  <c r="CB543" i="1"/>
  <c r="DH539" i="1"/>
  <c r="DA539" i="1"/>
  <c r="CY539" i="1"/>
  <c r="EU539" i="1"/>
  <c r="EV539" i="1"/>
  <c r="CB539" i="1"/>
  <c r="EE540" i="1"/>
  <c r="DH540" i="1"/>
  <c r="DA540" i="1"/>
  <c r="CY540" i="1"/>
  <c r="CK540" i="1"/>
  <c r="CB540" i="1"/>
  <c r="DH542" i="1"/>
  <c r="DA542" i="1"/>
  <c r="CY542" i="1"/>
  <c r="EU542" i="1"/>
  <c r="EV542" i="1"/>
  <c r="EE538" i="1"/>
  <c r="DH538" i="1"/>
  <c r="DA538" i="1"/>
  <c r="CY538" i="1"/>
  <c r="CK538" i="1"/>
  <c r="CB538" i="1"/>
  <c r="EE537" i="1"/>
  <c r="DH537" i="1"/>
  <c r="DA537" i="1"/>
  <c r="CY537" i="1"/>
  <c r="CK537" i="1"/>
  <c r="CB537" i="1"/>
  <c r="EE536" i="1"/>
  <c r="DH536" i="1"/>
  <c r="DA536" i="1"/>
  <c r="CY536" i="1"/>
  <c r="CK536" i="1"/>
  <c r="CB536" i="1"/>
  <c r="EE535" i="1"/>
  <c r="DH535" i="1"/>
  <c r="DA535" i="1"/>
  <c r="CY535" i="1"/>
  <c r="CK535" i="1"/>
  <c r="CB535" i="1"/>
  <c r="EE534" i="1"/>
  <c r="DH534" i="1"/>
  <c r="DA534" i="1"/>
  <c r="CY534" i="1"/>
  <c r="CK534" i="1"/>
  <c r="CB534" i="1"/>
  <c r="EE533" i="1"/>
  <c r="DH533" i="1"/>
  <c r="DA533" i="1"/>
  <c r="CY533" i="1"/>
  <c r="CK533" i="1"/>
  <c r="CB533" i="1"/>
  <c r="EE532" i="1"/>
  <c r="DH532" i="1"/>
  <c r="DA532" i="1"/>
  <c r="CY532" i="1"/>
  <c r="CK532" i="1"/>
  <c r="CB532" i="1"/>
  <c r="DH531" i="1"/>
  <c r="DA531" i="1"/>
  <c r="CY531" i="1"/>
  <c r="CK531" i="1"/>
  <c r="CB531" i="1"/>
  <c r="EE530" i="1"/>
  <c r="DH530" i="1"/>
  <c r="DA530" i="1"/>
  <c r="CY530" i="1"/>
  <c r="CK530" i="1"/>
  <c r="CB530" i="1"/>
  <c r="EE529" i="1"/>
  <c r="DH529" i="1"/>
  <c r="DA529" i="1"/>
  <c r="CY529" i="1"/>
  <c r="CK529" i="1"/>
  <c r="CB529" i="1"/>
  <c r="EE528" i="1"/>
  <c r="DH528" i="1"/>
  <c r="DA528" i="1"/>
  <c r="CY528" i="1"/>
  <c r="CB528" i="1"/>
  <c r="EE527" i="1"/>
  <c r="DH527" i="1"/>
  <c r="DA527" i="1"/>
  <c r="CY527" i="1"/>
  <c r="CK527" i="1"/>
  <c r="CB527" i="1"/>
  <c r="EE526" i="1"/>
  <c r="DH526" i="1"/>
  <c r="DA526" i="1"/>
  <c r="CY526" i="1"/>
  <c r="CK526" i="1"/>
  <c r="CB526" i="1"/>
  <c r="EE525" i="1"/>
  <c r="DH525" i="1"/>
  <c r="DA525" i="1"/>
  <c r="CY525" i="1"/>
  <c r="CK525" i="1"/>
  <c r="CB525" i="1"/>
  <c r="EE524" i="1"/>
  <c r="DH524" i="1"/>
  <c r="DA524" i="1"/>
  <c r="CY524" i="1"/>
  <c r="CK524" i="1"/>
  <c r="CB524" i="1"/>
  <c r="DH523" i="1"/>
  <c r="DA523" i="1"/>
  <c r="CY523" i="1"/>
  <c r="CK523" i="1"/>
  <c r="CB523" i="1"/>
  <c r="EE522" i="1"/>
  <c r="DH522" i="1"/>
  <c r="DA522" i="1"/>
  <c r="CY522" i="1"/>
  <c r="CK522" i="1"/>
  <c r="CB522" i="1"/>
  <c r="DH520" i="1"/>
  <c r="DA520" i="1"/>
  <c r="CY520" i="1"/>
  <c r="CK520" i="1"/>
  <c r="CB520" i="1"/>
  <c r="EE521" i="1"/>
  <c r="DH521" i="1"/>
  <c r="DA521" i="1"/>
  <c r="CY521" i="1"/>
  <c r="DB521" i="1"/>
  <c r="CB521" i="1"/>
  <c r="EE519" i="1"/>
  <c r="DH519" i="1"/>
  <c r="DA519" i="1"/>
  <c r="CY519" i="1"/>
  <c r="CK519" i="1"/>
  <c r="CB519" i="1"/>
  <c r="EE518" i="1"/>
  <c r="DH518" i="1"/>
  <c r="DA518" i="1"/>
  <c r="CY518" i="1"/>
  <c r="CK518" i="1"/>
  <c r="CB518" i="1"/>
  <c r="EE514" i="1"/>
  <c r="DH514" i="1"/>
  <c r="DA514" i="1"/>
  <c r="CY514" i="1"/>
  <c r="CK514" i="1"/>
  <c r="CB514" i="1"/>
  <c r="EE517" i="1"/>
  <c r="DH517" i="1"/>
  <c r="DA517" i="1"/>
  <c r="CY517" i="1"/>
  <c r="CK517" i="1"/>
  <c r="CB517" i="1"/>
  <c r="DH516" i="1"/>
  <c r="DA516" i="1"/>
  <c r="CY516" i="1"/>
  <c r="CK516" i="1"/>
  <c r="CB516" i="1"/>
  <c r="EE512" i="1"/>
  <c r="DH512" i="1"/>
  <c r="DA512" i="1"/>
  <c r="CY512" i="1"/>
  <c r="CB512" i="1"/>
  <c r="EE515" i="1"/>
  <c r="DH515" i="1"/>
  <c r="DA515" i="1"/>
  <c r="CY515" i="1"/>
  <c r="CK515" i="1"/>
  <c r="CB515" i="1"/>
  <c r="EE513" i="1"/>
  <c r="DA513" i="1"/>
  <c r="CY513" i="1"/>
  <c r="CK513" i="1"/>
  <c r="CB513" i="1"/>
  <c r="EE511" i="1"/>
  <c r="DH511" i="1"/>
  <c r="DA511" i="1"/>
  <c r="CY511" i="1"/>
  <c r="CK511" i="1"/>
  <c r="CB511" i="1"/>
  <c r="EE510" i="1"/>
  <c r="DH510" i="1"/>
  <c r="DA510" i="1"/>
  <c r="CY510" i="1"/>
  <c r="CK510" i="1"/>
  <c r="CB510" i="1"/>
  <c r="EE505" i="1"/>
  <c r="DH505" i="1"/>
  <c r="DA505" i="1"/>
  <c r="CY505" i="1"/>
  <c r="CK505" i="1"/>
  <c r="CB505" i="1"/>
  <c r="EE508" i="1"/>
  <c r="DH508" i="1"/>
  <c r="DA508" i="1"/>
  <c r="CY508" i="1"/>
  <c r="CK508" i="1"/>
  <c r="CB508" i="1"/>
  <c r="CB504" i="1"/>
  <c r="EE507" i="1"/>
  <c r="DH507" i="1"/>
  <c r="DA507" i="1"/>
  <c r="CY507" i="1"/>
  <c r="CK507" i="1"/>
  <c r="CB507" i="1"/>
  <c r="EE506" i="1"/>
  <c r="DH506" i="1"/>
  <c r="DA506" i="1"/>
  <c r="CY506" i="1"/>
  <c r="CK506" i="1"/>
  <c r="CB506" i="1"/>
  <c r="EE503" i="1"/>
  <c r="DH503" i="1"/>
  <c r="CK503" i="1"/>
  <c r="EU503" i="1"/>
  <c r="EV503" i="1"/>
  <c r="CB503" i="1"/>
  <c r="EE502" i="1"/>
  <c r="DH502" i="1"/>
  <c r="CB502" i="1"/>
  <c r="EE509" i="1"/>
  <c r="DH509" i="1"/>
  <c r="DA509" i="1"/>
  <c r="CY509" i="1"/>
  <c r="CK509" i="1"/>
  <c r="CB509" i="1"/>
  <c r="EE501" i="1"/>
  <c r="DH501" i="1"/>
  <c r="DA501" i="1"/>
  <c r="CY501" i="1"/>
  <c r="CK501" i="1"/>
  <c r="CB501" i="1"/>
  <c r="EE498" i="1"/>
  <c r="DH498" i="1"/>
  <c r="DA498" i="1"/>
  <c r="CY498" i="1"/>
  <c r="CK498" i="1"/>
  <c r="CB498" i="1"/>
  <c r="EE495" i="1"/>
  <c r="CB495" i="1"/>
  <c r="EE497" i="1"/>
  <c r="DH497" i="1"/>
  <c r="CB497" i="1"/>
  <c r="DH499" i="1"/>
  <c r="DA499" i="1"/>
  <c r="CY499" i="1"/>
  <c r="CK499" i="1"/>
  <c r="CB499" i="1"/>
  <c r="EE500" i="1"/>
  <c r="DH500" i="1"/>
  <c r="DA500" i="1"/>
  <c r="CY500" i="1"/>
  <c r="CK500" i="1"/>
  <c r="CB500" i="1"/>
  <c r="EE496" i="1"/>
  <c r="DH496" i="1"/>
  <c r="DA496" i="1"/>
  <c r="CY496" i="1"/>
  <c r="CK496" i="1"/>
  <c r="CB496" i="1"/>
  <c r="EE494" i="1"/>
  <c r="DH494" i="1"/>
  <c r="DA494" i="1"/>
  <c r="CY494" i="1"/>
  <c r="CK494" i="1"/>
  <c r="CB494" i="1"/>
  <c r="EE493" i="1"/>
  <c r="DH493" i="1"/>
  <c r="DA493" i="1"/>
  <c r="CY493" i="1"/>
  <c r="CB493" i="1"/>
  <c r="CB491" i="1"/>
  <c r="EE490" i="1"/>
  <c r="DH490" i="1"/>
  <c r="DA490" i="1"/>
  <c r="CY490" i="1"/>
  <c r="CK490" i="1"/>
  <c r="CB490" i="1"/>
  <c r="EE492" i="1"/>
  <c r="DH492" i="1"/>
  <c r="DA492" i="1"/>
  <c r="CY492" i="1"/>
  <c r="CK492" i="1"/>
  <c r="CB492" i="1"/>
  <c r="CB487" i="1"/>
  <c r="EE489" i="1"/>
  <c r="DH489" i="1"/>
  <c r="DA489" i="1"/>
  <c r="CY489" i="1"/>
  <c r="CK489" i="1"/>
  <c r="CB489" i="1"/>
  <c r="DH488" i="1"/>
  <c r="DA488" i="1"/>
  <c r="CY488" i="1"/>
  <c r="CK488" i="1"/>
  <c r="CB488" i="1"/>
  <c r="EE486" i="1"/>
  <c r="DH486" i="1"/>
  <c r="DA486" i="1"/>
  <c r="CY486" i="1"/>
  <c r="CK486" i="1"/>
  <c r="CB486" i="1"/>
  <c r="EE485" i="1"/>
  <c r="DH485" i="1"/>
  <c r="CB485" i="1"/>
  <c r="EE484" i="1"/>
  <c r="DH484" i="1"/>
  <c r="DA484" i="1"/>
  <c r="CY484" i="1"/>
  <c r="CK484" i="1"/>
  <c r="CB484" i="1"/>
  <c r="EE483" i="1"/>
  <c r="DH483" i="1"/>
  <c r="DA483" i="1"/>
  <c r="CY483" i="1"/>
  <c r="CK483" i="1"/>
  <c r="CB483" i="1"/>
  <c r="EE482" i="1"/>
  <c r="DH482" i="1"/>
  <c r="DA482" i="1"/>
  <c r="CY482" i="1"/>
  <c r="CK482" i="1"/>
  <c r="CB482" i="1"/>
  <c r="EE481" i="1"/>
  <c r="DH481" i="1"/>
  <c r="DA481" i="1"/>
  <c r="CY481" i="1"/>
  <c r="CK481" i="1"/>
  <c r="CB481" i="1"/>
  <c r="CB480" i="1"/>
  <c r="EE479" i="1"/>
  <c r="DH479" i="1"/>
  <c r="CB479" i="1"/>
  <c r="DH478" i="1"/>
  <c r="DA478" i="1"/>
  <c r="CY478" i="1"/>
  <c r="CK478" i="1"/>
  <c r="CB478" i="1"/>
  <c r="DH477" i="1"/>
  <c r="DA477" i="1"/>
  <c r="CY477" i="1"/>
  <c r="CK477" i="1"/>
  <c r="CB477" i="1"/>
  <c r="EE476" i="1"/>
  <c r="DH476" i="1"/>
  <c r="DA476" i="1"/>
  <c r="CY476" i="1"/>
  <c r="CK476" i="1"/>
  <c r="CB476" i="1"/>
  <c r="EE475" i="1"/>
  <c r="DH475" i="1"/>
  <c r="DA475" i="1"/>
  <c r="CY475" i="1"/>
  <c r="CK475" i="1"/>
  <c r="CB475" i="1"/>
  <c r="EE474" i="1"/>
  <c r="DH474" i="1"/>
  <c r="DA474" i="1"/>
  <c r="CY474" i="1"/>
  <c r="CK474" i="1"/>
  <c r="CB474" i="1"/>
  <c r="EE473" i="1"/>
  <c r="DH473" i="1"/>
  <c r="CB473" i="1"/>
  <c r="EE472" i="1"/>
  <c r="DH472" i="1"/>
  <c r="CB472" i="1"/>
  <c r="EE471" i="1"/>
  <c r="DH471" i="1"/>
  <c r="DA471" i="1"/>
  <c r="CY471" i="1"/>
  <c r="CK471" i="1"/>
  <c r="CB471" i="1"/>
  <c r="EE470" i="1"/>
  <c r="DH470" i="1"/>
  <c r="DA470" i="1"/>
  <c r="CY470" i="1"/>
  <c r="CK470" i="1"/>
  <c r="CB470" i="1"/>
  <c r="EE469" i="1"/>
  <c r="DH469" i="1"/>
  <c r="CB469" i="1"/>
  <c r="DH468" i="1"/>
  <c r="DA468" i="1"/>
  <c r="CY468" i="1"/>
  <c r="CK468" i="1"/>
  <c r="EU468" i="1"/>
  <c r="EV468" i="1"/>
  <c r="CB468" i="1"/>
  <c r="EE467" i="1"/>
  <c r="DH467" i="1"/>
  <c r="CB467" i="1"/>
  <c r="EE466" i="1"/>
  <c r="DH466" i="1"/>
  <c r="DA466" i="1"/>
  <c r="CY466" i="1"/>
  <c r="CK466" i="1"/>
  <c r="CB466" i="1"/>
  <c r="EE465" i="1"/>
  <c r="DH465" i="1"/>
  <c r="DA465" i="1"/>
  <c r="CY465" i="1"/>
  <c r="CK465" i="1"/>
  <c r="CB465" i="1"/>
  <c r="EE464" i="1"/>
  <c r="DH464" i="1"/>
  <c r="DA464" i="1"/>
  <c r="CY464" i="1"/>
  <c r="CK464" i="1"/>
  <c r="CB464" i="1"/>
  <c r="EE463" i="1"/>
  <c r="DH463" i="1"/>
  <c r="DA463" i="1"/>
  <c r="CY463" i="1"/>
  <c r="CK463" i="1"/>
  <c r="CB463" i="1"/>
  <c r="EE462" i="1"/>
  <c r="DH462" i="1"/>
  <c r="DA462" i="1"/>
  <c r="CY462" i="1"/>
  <c r="CK462" i="1"/>
  <c r="CB462" i="1"/>
  <c r="EE461" i="1"/>
  <c r="DH461" i="1"/>
  <c r="DA461" i="1"/>
  <c r="CY461" i="1"/>
  <c r="CK461" i="1"/>
  <c r="CB461" i="1"/>
  <c r="EE460" i="1"/>
  <c r="DH460" i="1"/>
  <c r="CB460" i="1"/>
  <c r="EE459" i="1"/>
  <c r="DH459" i="1"/>
  <c r="DA459" i="1"/>
  <c r="CY459" i="1"/>
  <c r="CK459" i="1"/>
  <c r="CB459" i="1"/>
  <c r="EE458" i="1"/>
  <c r="DH458" i="1"/>
  <c r="DA458" i="1"/>
  <c r="CY458" i="1"/>
  <c r="CK458" i="1"/>
  <c r="CB458" i="1"/>
  <c r="EE457" i="1"/>
  <c r="DH457" i="1"/>
  <c r="DA457" i="1"/>
  <c r="CY457" i="1"/>
  <c r="CK457" i="1"/>
  <c r="CB457" i="1"/>
  <c r="DH456" i="1"/>
  <c r="DA456" i="1"/>
  <c r="CY456" i="1"/>
  <c r="CK456" i="1"/>
  <c r="CB456" i="1"/>
  <c r="DH455" i="1"/>
  <c r="DA455" i="1"/>
  <c r="CY455" i="1"/>
  <c r="CK455" i="1"/>
  <c r="CB455" i="1"/>
  <c r="EE454" i="1"/>
  <c r="DH454" i="1"/>
  <c r="DA454" i="1"/>
  <c r="CY454" i="1"/>
  <c r="CK454" i="1"/>
  <c r="CB454" i="1"/>
  <c r="EE453" i="1"/>
  <c r="DH453" i="1"/>
  <c r="DA453" i="1"/>
  <c r="CY453" i="1"/>
  <c r="CK453" i="1"/>
  <c r="CB453" i="1"/>
  <c r="EE452" i="1"/>
  <c r="DH452" i="1"/>
  <c r="DA452" i="1"/>
  <c r="CY452" i="1"/>
  <c r="CK452" i="1"/>
  <c r="CB452" i="1"/>
  <c r="EE451" i="1"/>
  <c r="DH451" i="1"/>
  <c r="DA451" i="1"/>
  <c r="CY451" i="1"/>
  <c r="CK451" i="1"/>
  <c r="CB451" i="1"/>
  <c r="EE450" i="1"/>
  <c r="DH450" i="1"/>
  <c r="DA450" i="1"/>
  <c r="CY450" i="1"/>
  <c r="CK450" i="1"/>
  <c r="CB450" i="1"/>
  <c r="DH449" i="1"/>
  <c r="DA449" i="1"/>
  <c r="CY449" i="1"/>
  <c r="CK449" i="1"/>
  <c r="CB449" i="1"/>
  <c r="EE448" i="1"/>
  <c r="DH448" i="1"/>
  <c r="DA448" i="1"/>
  <c r="CY448" i="1"/>
  <c r="CK448" i="1"/>
  <c r="CB448" i="1"/>
  <c r="EE447" i="1"/>
  <c r="DH447" i="1"/>
  <c r="CB447" i="1"/>
  <c r="EE446" i="1"/>
  <c r="DH446" i="1"/>
  <c r="DA446" i="1"/>
  <c r="CY446" i="1"/>
  <c r="CK446" i="1"/>
  <c r="CB446" i="1"/>
  <c r="EE445" i="1"/>
  <c r="DH445" i="1"/>
  <c r="DA445" i="1"/>
  <c r="CY445" i="1"/>
  <c r="CK445" i="1"/>
  <c r="EU445" i="1"/>
  <c r="EV445" i="1"/>
  <c r="CB445" i="1"/>
  <c r="EE444" i="1"/>
  <c r="DH444" i="1"/>
  <c r="DA444" i="1"/>
  <c r="CY444" i="1"/>
  <c r="CK444" i="1"/>
  <c r="CB444" i="1"/>
  <c r="DH443" i="1"/>
  <c r="DA443" i="1"/>
  <c r="CY443" i="1"/>
  <c r="EU443" i="1"/>
  <c r="EV443" i="1"/>
  <c r="CB443" i="1"/>
  <c r="EE442" i="1"/>
  <c r="DH442" i="1"/>
  <c r="DA442" i="1"/>
  <c r="CY442" i="1"/>
  <c r="CK442" i="1"/>
  <c r="CB442" i="1"/>
  <c r="EE440" i="1"/>
  <c r="DH440" i="1"/>
  <c r="DA440" i="1"/>
  <c r="CY440" i="1"/>
  <c r="CK440" i="1"/>
  <c r="CB440" i="1"/>
  <c r="EE439" i="1"/>
  <c r="DH439" i="1"/>
  <c r="DA439" i="1"/>
  <c r="CY439" i="1"/>
  <c r="CK439" i="1"/>
  <c r="CB439" i="1"/>
  <c r="EE438" i="1"/>
  <c r="DH438" i="1"/>
  <c r="DA438" i="1"/>
  <c r="CY438" i="1"/>
  <c r="CK438" i="1"/>
  <c r="CB438" i="1"/>
  <c r="DH437" i="1"/>
  <c r="DA437" i="1"/>
  <c r="CY437" i="1"/>
  <c r="CB437" i="1"/>
  <c r="DA436" i="1"/>
  <c r="CY436" i="1"/>
  <c r="CK436" i="1"/>
  <c r="EU436" i="1"/>
  <c r="EV436" i="1"/>
  <c r="CB436" i="1"/>
  <c r="EE435" i="1"/>
  <c r="DH435" i="1"/>
  <c r="DA435" i="1"/>
  <c r="CY435" i="1"/>
  <c r="CK435" i="1"/>
  <c r="CB435" i="1"/>
  <c r="EE434" i="1"/>
  <c r="DH434" i="1"/>
  <c r="DA434" i="1"/>
  <c r="CY434" i="1"/>
  <c r="CK434" i="1"/>
  <c r="CB434" i="1"/>
  <c r="EE433" i="1"/>
  <c r="DH433" i="1"/>
  <c r="DA433" i="1"/>
  <c r="CY433" i="1"/>
  <c r="CK433" i="1"/>
  <c r="CB433" i="1"/>
  <c r="EE432" i="1"/>
  <c r="DH432" i="1"/>
  <c r="DA432" i="1"/>
  <c r="CY432" i="1"/>
  <c r="CK432" i="1"/>
  <c r="CB432" i="1"/>
  <c r="DH431" i="1"/>
  <c r="DA431" i="1"/>
  <c r="CY431" i="1"/>
  <c r="CK431" i="1"/>
  <c r="CB431" i="1"/>
  <c r="DH430" i="1"/>
  <c r="CB430" i="1"/>
  <c r="DA429" i="1"/>
  <c r="CY429" i="1"/>
  <c r="CK429" i="1"/>
  <c r="EU429" i="1"/>
  <c r="EV429" i="1"/>
  <c r="CB429" i="1"/>
  <c r="DH428" i="1"/>
  <c r="DA428" i="1"/>
  <c r="CY428" i="1"/>
  <c r="CK428" i="1"/>
  <c r="CB428" i="1"/>
  <c r="EE426" i="1"/>
  <c r="DH426" i="1"/>
  <c r="DA426" i="1"/>
  <c r="CY426" i="1"/>
  <c r="CK426" i="1"/>
  <c r="CB426" i="1"/>
  <c r="EE425" i="1"/>
  <c r="DH425" i="1"/>
  <c r="DA425" i="1"/>
  <c r="CY425" i="1"/>
  <c r="CK425" i="1"/>
  <c r="CB425" i="1"/>
  <c r="EE424" i="1"/>
  <c r="DH424" i="1"/>
  <c r="DA424" i="1"/>
  <c r="CY424" i="1"/>
  <c r="CK424" i="1"/>
  <c r="CB424" i="1"/>
  <c r="EE423" i="1"/>
  <c r="DH423" i="1"/>
  <c r="DA423" i="1"/>
  <c r="CY423" i="1"/>
  <c r="CK423" i="1"/>
  <c r="CB423" i="1"/>
  <c r="EE422" i="1"/>
  <c r="DH422" i="1"/>
  <c r="DA422" i="1"/>
  <c r="CY422" i="1"/>
  <c r="CK422" i="1"/>
  <c r="CB422" i="1"/>
  <c r="EE421" i="1"/>
  <c r="DH421" i="1"/>
  <c r="DA421" i="1"/>
  <c r="CY421" i="1"/>
  <c r="CK421" i="1"/>
  <c r="CB421" i="1"/>
  <c r="EE420" i="1"/>
  <c r="DH420" i="1"/>
  <c r="DA420" i="1"/>
  <c r="CY420" i="1"/>
  <c r="CK420" i="1"/>
  <c r="CB420" i="1"/>
  <c r="DH419" i="1"/>
  <c r="DA419" i="1"/>
  <c r="CY419" i="1"/>
  <c r="CK419" i="1"/>
  <c r="CB419" i="1"/>
  <c r="EE418" i="1"/>
  <c r="DH418" i="1"/>
  <c r="DA418" i="1"/>
  <c r="CY418" i="1"/>
  <c r="CK418" i="1"/>
  <c r="EU418" i="1"/>
  <c r="EV418" i="1"/>
  <c r="CB418" i="1"/>
  <c r="EE417" i="1"/>
  <c r="DH417" i="1"/>
  <c r="DA417" i="1"/>
  <c r="CY417" i="1"/>
  <c r="CK417" i="1"/>
  <c r="CB417" i="1"/>
  <c r="EE416" i="1"/>
  <c r="DH416" i="1"/>
  <c r="CB416" i="1"/>
  <c r="EE415" i="1"/>
  <c r="DH415" i="1"/>
  <c r="DA415" i="1"/>
  <c r="CY415" i="1"/>
  <c r="CK415" i="1"/>
  <c r="CB415" i="1"/>
  <c r="DA414" i="1"/>
  <c r="CY414" i="1"/>
  <c r="CK414" i="1"/>
  <c r="CB414" i="1"/>
  <c r="DH413" i="1"/>
  <c r="DA413" i="1"/>
  <c r="CY413" i="1"/>
  <c r="CK413" i="1"/>
  <c r="CB413" i="1"/>
  <c r="EE412" i="1"/>
  <c r="DH412" i="1"/>
  <c r="DA412" i="1"/>
  <c r="CY412" i="1"/>
  <c r="CK412" i="1"/>
  <c r="CB412" i="1"/>
  <c r="EE411" i="1"/>
  <c r="DH411" i="1"/>
  <c r="DA411" i="1"/>
  <c r="CY411" i="1"/>
  <c r="CK411" i="1"/>
  <c r="CB411" i="1"/>
  <c r="EE410" i="1"/>
  <c r="DH410" i="1"/>
  <c r="DA410" i="1"/>
  <c r="CY410" i="1"/>
  <c r="CK410" i="1"/>
  <c r="EU410" i="1"/>
  <c r="EV410" i="1"/>
  <c r="CB410" i="1"/>
  <c r="EE409" i="1"/>
  <c r="DH409" i="1"/>
  <c r="DA409" i="1"/>
  <c r="CY409" i="1"/>
  <c r="CK409" i="1"/>
  <c r="CB409" i="1"/>
  <c r="EE408" i="1"/>
  <c r="DH408" i="1"/>
  <c r="DA408" i="1"/>
  <c r="CY408" i="1"/>
  <c r="CK408" i="1"/>
  <c r="CB408" i="1"/>
  <c r="EE407" i="1"/>
  <c r="DH407" i="1"/>
  <c r="DA407" i="1"/>
  <c r="CY407" i="1"/>
  <c r="CK407" i="1"/>
  <c r="CB407" i="1"/>
  <c r="EE406" i="1"/>
  <c r="DH406" i="1"/>
  <c r="DA406" i="1"/>
  <c r="CY406" i="1"/>
  <c r="CK406" i="1"/>
  <c r="CB406" i="1"/>
  <c r="DH405" i="1"/>
  <c r="DA405" i="1"/>
  <c r="CY405" i="1"/>
  <c r="CK405" i="1"/>
  <c r="CB405" i="1"/>
  <c r="EE404" i="1"/>
  <c r="DH404" i="1"/>
  <c r="DA404" i="1"/>
  <c r="CY404" i="1"/>
  <c r="CK404" i="1"/>
  <c r="CB404" i="1"/>
  <c r="EE403" i="1"/>
  <c r="DH403" i="1"/>
  <c r="DA403" i="1"/>
  <c r="CY403" i="1"/>
  <c r="DB403" i="1"/>
  <c r="CB403" i="1"/>
  <c r="EE402" i="1"/>
  <c r="DH402" i="1"/>
  <c r="DA402" i="1"/>
  <c r="CY402" i="1"/>
  <c r="CK402" i="1"/>
  <c r="CB402" i="1"/>
  <c r="EE401" i="1"/>
  <c r="DH401" i="1"/>
  <c r="DA401" i="1"/>
  <c r="CY401" i="1"/>
  <c r="CK401" i="1"/>
  <c r="CB401" i="1"/>
  <c r="EE400" i="1"/>
  <c r="DH400" i="1"/>
  <c r="DA400" i="1"/>
  <c r="CY400" i="1"/>
  <c r="CK400" i="1"/>
  <c r="CB400" i="1"/>
  <c r="EE399" i="1"/>
  <c r="DH399" i="1"/>
  <c r="DA399" i="1"/>
  <c r="CY399" i="1"/>
  <c r="CK399" i="1"/>
  <c r="CB399" i="1"/>
  <c r="DH398" i="1"/>
  <c r="DA398" i="1"/>
  <c r="CY398" i="1"/>
  <c r="CK398" i="1"/>
  <c r="CB398" i="1"/>
  <c r="CK397" i="1"/>
  <c r="CB397" i="1"/>
  <c r="EE396" i="1"/>
  <c r="DH396" i="1"/>
  <c r="DA396" i="1"/>
  <c r="CY396" i="1"/>
  <c r="CK396" i="1"/>
  <c r="CB396" i="1"/>
  <c r="EE395" i="1"/>
  <c r="DH395" i="1"/>
  <c r="DA395" i="1"/>
  <c r="CY395" i="1"/>
  <c r="CK395" i="1"/>
  <c r="CB395" i="1"/>
  <c r="EE394" i="1"/>
  <c r="DH394" i="1"/>
  <c r="DA394" i="1"/>
  <c r="CY394" i="1"/>
  <c r="CK394" i="1"/>
  <c r="CB394" i="1"/>
  <c r="DH393" i="1"/>
  <c r="DA393" i="1"/>
  <c r="CY393" i="1"/>
  <c r="CK393" i="1"/>
  <c r="CB393" i="1"/>
  <c r="DH392" i="1"/>
  <c r="CK392" i="1"/>
  <c r="CB392" i="1"/>
  <c r="DH391" i="1"/>
  <c r="DA391" i="1"/>
  <c r="CY391" i="1"/>
  <c r="CK391" i="1"/>
  <c r="CB391" i="1"/>
  <c r="DH390" i="1"/>
  <c r="DA390" i="1"/>
  <c r="CY390" i="1"/>
  <c r="CK390" i="1"/>
  <c r="CB390" i="1"/>
  <c r="EE389" i="1"/>
  <c r="DH389" i="1"/>
  <c r="DA389" i="1"/>
  <c r="CY389" i="1"/>
  <c r="CK389" i="1"/>
  <c r="CB389" i="1"/>
  <c r="EE388" i="1"/>
  <c r="DH388" i="1"/>
  <c r="DA388" i="1"/>
  <c r="CY388" i="1"/>
  <c r="CK388" i="1"/>
  <c r="CB388" i="1"/>
  <c r="EE387" i="1"/>
  <c r="DH387" i="1"/>
  <c r="DA387" i="1"/>
  <c r="CY387" i="1"/>
  <c r="CK387" i="1"/>
  <c r="CB387" i="1"/>
  <c r="EE386" i="1"/>
  <c r="DH386" i="1"/>
  <c r="DA386" i="1"/>
  <c r="CY386" i="1"/>
  <c r="CK386" i="1"/>
  <c r="CB386" i="1"/>
  <c r="EE385" i="1"/>
  <c r="DH385" i="1"/>
  <c r="DA385" i="1"/>
  <c r="CY385" i="1"/>
  <c r="CK385" i="1"/>
  <c r="CB385" i="1"/>
  <c r="DH384" i="1"/>
  <c r="DA384" i="1"/>
  <c r="CY384" i="1"/>
  <c r="CK384" i="1"/>
  <c r="EU384" i="1"/>
  <c r="EV384" i="1"/>
  <c r="CB384" i="1"/>
  <c r="EE383" i="1"/>
  <c r="DH383" i="1"/>
  <c r="DA383" i="1"/>
  <c r="CY383" i="1"/>
  <c r="CK383" i="1"/>
  <c r="CB383" i="1"/>
  <c r="DA382" i="1"/>
  <c r="CY382" i="1"/>
  <c r="CK382" i="1"/>
  <c r="CB382" i="1"/>
  <c r="EE381" i="1"/>
  <c r="DH381" i="1"/>
  <c r="DA381" i="1"/>
  <c r="CY381" i="1"/>
  <c r="CK381" i="1"/>
  <c r="CB381" i="1"/>
  <c r="DH380" i="1"/>
  <c r="DA380" i="1"/>
  <c r="CY380" i="1"/>
  <c r="CK380" i="1"/>
  <c r="EU380" i="1"/>
  <c r="EV380" i="1"/>
  <c r="CB380" i="1"/>
  <c r="EE379" i="1"/>
  <c r="DH379" i="1"/>
  <c r="DA379" i="1"/>
  <c r="CY379" i="1"/>
  <c r="CK379" i="1"/>
  <c r="CB379" i="1"/>
  <c r="DH378" i="1"/>
  <c r="CK378" i="1"/>
  <c r="EU378" i="1"/>
  <c r="EV378" i="1"/>
  <c r="CB378" i="1"/>
  <c r="EE377" i="1"/>
  <c r="DH377" i="1"/>
  <c r="DA377" i="1"/>
  <c r="CY377" i="1"/>
  <c r="CK377" i="1"/>
  <c r="CB377" i="1"/>
  <c r="EE376" i="1"/>
  <c r="DH376" i="1"/>
  <c r="DA376" i="1"/>
  <c r="CY376" i="1"/>
  <c r="CK376" i="1"/>
  <c r="EU376" i="1"/>
  <c r="EV376" i="1"/>
  <c r="CB376" i="1"/>
  <c r="EE375" i="1"/>
  <c r="DH375" i="1"/>
  <c r="DA375" i="1"/>
  <c r="CY375" i="1"/>
  <c r="CK375" i="1"/>
  <c r="CB375" i="1"/>
  <c r="DH374" i="1"/>
  <c r="DA374" i="1"/>
  <c r="CY374" i="1"/>
  <c r="CK374" i="1"/>
  <c r="CB374" i="1"/>
  <c r="DH373" i="1"/>
  <c r="DA373" i="1"/>
  <c r="CY373" i="1"/>
  <c r="CK373" i="1"/>
  <c r="CB373" i="1"/>
  <c r="EE372" i="1"/>
  <c r="DH372" i="1"/>
  <c r="DA372" i="1"/>
  <c r="CY372" i="1"/>
  <c r="CK372" i="1"/>
  <c r="CB372" i="1"/>
  <c r="EE371" i="1"/>
  <c r="DH371" i="1"/>
  <c r="DA371" i="1"/>
  <c r="CY371" i="1"/>
  <c r="CK371" i="1"/>
  <c r="CB371" i="1"/>
  <c r="DH370" i="1"/>
  <c r="DA370" i="1"/>
  <c r="CY370" i="1"/>
  <c r="CK370" i="1"/>
  <c r="EU370" i="1"/>
  <c r="EV370" i="1"/>
  <c r="CB370" i="1"/>
  <c r="EE369" i="1"/>
  <c r="DH369" i="1"/>
  <c r="DA369" i="1"/>
  <c r="CY369" i="1"/>
  <c r="CK369" i="1"/>
  <c r="CB369" i="1"/>
  <c r="DH368" i="1"/>
  <c r="DA368" i="1"/>
  <c r="CY368" i="1"/>
  <c r="CK368" i="1"/>
  <c r="CB368" i="1"/>
  <c r="EE367" i="1"/>
  <c r="DH367" i="1"/>
  <c r="DA367" i="1"/>
  <c r="CY367" i="1"/>
  <c r="CK367" i="1"/>
  <c r="CB367" i="1"/>
  <c r="EE366" i="1"/>
  <c r="DH366" i="1"/>
  <c r="DA366" i="1"/>
  <c r="CY366" i="1"/>
  <c r="CK366" i="1"/>
  <c r="CB366" i="1"/>
  <c r="EE365" i="1"/>
  <c r="DH365" i="1"/>
  <c r="DA365" i="1"/>
  <c r="CY365" i="1"/>
  <c r="CK365" i="1"/>
  <c r="EU365" i="1"/>
  <c r="EV365" i="1"/>
  <c r="CB365" i="1"/>
  <c r="EE364" i="1"/>
  <c r="DH364" i="1"/>
  <c r="DA364" i="1"/>
  <c r="CY364" i="1"/>
  <c r="CK364" i="1"/>
  <c r="CB364" i="1"/>
  <c r="EE363" i="1"/>
  <c r="DH363" i="1"/>
  <c r="DA363" i="1"/>
  <c r="CY363" i="1"/>
  <c r="CK363" i="1"/>
  <c r="CB363" i="1"/>
  <c r="EE362" i="1"/>
  <c r="DH362" i="1"/>
  <c r="DA362" i="1"/>
  <c r="CY362" i="1"/>
  <c r="CK362" i="1"/>
  <c r="CB362" i="1"/>
  <c r="EE361" i="1"/>
  <c r="DH361" i="1"/>
  <c r="DA361" i="1"/>
  <c r="CY361" i="1"/>
  <c r="CK361" i="1"/>
  <c r="CB361" i="1"/>
  <c r="EE360" i="1"/>
  <c r="DH360" i="1"/>
  <c r="DA360" i="1"/>
  <c r="CY360" i="1"/>
  <c r="CK360" i="1"/>
  <c r="CB360" i="1"/>
  <c r="EE359" i="1"/>
  <c r="DH359" i="1"/>
  <c r="DA359" i="1"/>
  <c r="CY359" i="1"/>
  <c r="CK359" i="1"/>
  <c r="CB359" i="1"/>
  <c r="DH358" i="1"/>
  <c r="DA358" i="1"/>
  <c r="CY358" i="1"/>
  <c r="CK358" i="1"/>
  <c r="EU358" i="1"/>
  <c r="EV358" i="1"/>
  <c r="CB358" i="1"/>
  <c r="DH357" i="1"/>
  <c r="DA357" i="1"/>
  <c r="CY357" i="1"/>
  <c r="CK357" i="1"/>
  <c r="CB357" i="1"/>
  <c r="EE356" i="1"/>
  <c r="DH356" i="1"/>
  <c r="DA356" i="1"/>
  <c r="CY356" i="1"/>
  <c r="CK356" i="1"/>
  <c r="CB356" i="1"/>
  <c r="DH355" i="1"/>
  <c r="DA355" i="1"/>
  <c r="CY355" i="1"/>
  <c r="CK355" i="1"/>
  <c r="CB355" i="1"/>
  <c r="EE354" i="1"/>
  <c r="DH354" i="1"/>
  <c r="DA354" i="1"/>
  <c r="CY354" i="1"/>
  <c r="CK354" i="1"/>
  <c r="EU354" i="1"/>
  <c r="EV354" i="1"/>
  <c r="CB354" i="1"/>
  <c r="DH353" i="1"/>
  <c r="DA353" i="1"/>
  <c r="CY353" i="1"/>
  <c r="CK353" i="1"/>
  <c r="CB353" i="1"/>
  <c r="EE352" i="1"/>
  <c r="DH352" i="1"/>
  <c r="DA352" i="1"/>
  <c r="CY352" i="1"/>
  <c r="CK352" i="1"/>
  <c r="CB352" i="1"/>
  <c r="EE351" i="1"/>
  <c r="DH351" i="1"/>
  <c r="DA351" i="1"/>
  <c r="CY351" i="1"/>
  <c r="CK351" i="1"/>
  <c r="EE350" i="1"/>
  <c r="DH350" i="1"/>
  <c r="DA350" i="1"/>
  <c r="CY350" i="1"/>
  <c r="CK350" i="1"/>
  <c r="CB350" i="1"/>
  <c r="EE349" i="1"/>
  <c r="DH349" i="1"/>
  <c r="DA349" i="1"/>
  <c r="CY349" i="1"/>
  <c r="CK349" i="1"/>
  <c r="CB349" i="1"/>
  <c r="EE348" i="1"/>
  <c r="DH348" i="1"/>
  <c r="DA348" i="1"/>
  <c r="CY348" i="1"/>
  <c r="CK348" i="1"/>
  <c r="EU348" i="1"/>
  <c r="EV348" i="1"/>
  <c r="CB348" i="1"/>
  <c r="EE347" i="1"/>
  <c r="DH347" i="1"/>
  <c r="DA347" i="1"/>
  <c r="CY347" i="1"/>
  <c r="CK347" i="1"/>
  <c r="CB347" i="1"/>
  <c r="EE346" i="1"/>
  <c r="DH346" i="1"/>
  <c r="DA346" i="1"/>
  <c r="CY346" i="1"/>
  <c r="CK346" i="1"/>
  <c r="CB346" i="1"/>
  <c r="EE345" i="1"/>
  <c r="DH345" i="1"/>
  <c r="DA345" i="1"/>
  <c r="CY345" i="1"/>
  <c r="CK345" i="1"/>
  <c r="CB345" i="1"/>
  <c r="EE344" i="1"/>
  <c r="DH344" i="1"/>
  <c r="DA344" i="1"/>
  <c r="CY344" i="1"/>
  <c r="CK344" i="1"/>
  <c r="CB344" i="1"/>
  <c r="EE343" i="1"/>
  <c r="DH343" i="1"/>
  <c r="DA343" i="1"/>
  <c r="CY343" i="1"/>
  <c r="CK343" i="1"/>
  <c r="CB343" i="1"/>
  <c r="DH342" i="1"/>
  <c r="DA342" i="1"/>
  <c r="CY342" i="1"/>
  <c r="CK342" i="1"/>
  <c r="CB342" i="1"/>
  <c r="EE341" i="1"/>
  <c r="DH341" i="1"/>
  <c r="DA341" i="1"/>
  <c r="CY341" i="1"/>
  <c r="CK341" i="1"/>
  <c r="EU341" i="1"/>
  <c r="EV341" i="1"/>
  <c r="CB341" i="1"/>
  <c r="EE340" i="1"/>
  <c r="DH340" i="1"/>
  <c r="CK340" i="1"/>
  <c r="EU340" i="1"/>
  <c r="EV340" i="1"/>
  <c r="CB340" i="1"/>
  <c r="DH339" i="1"/>
  <c r="DA339" i="1"/>
  <c r="CY339" i="1"/>
  <c r="CK339" i="1"/>
  <c r="CB339" i="1"/>
  <c r="EE338" i="1"/>
  <c r="DH338" i="1"/>
  <c r="DA338" i="1"/>
  <c r="CY338" i="1"/>
  <c r="CK338" i="1"/>
  <c r="EU338" i="1"/>
  <c r="EV338" i="1"/>
  <c r="CB338" i="1"/>
  <c r="EE337" i="1"/>
  <c r="DH337" i="1"/>
  <c r="DA337" i="1"/>
  <c r="CY337" i="1"/>
  <c r="CK337" i="1"/>
  <c r="EU337" i="1"/>
  <c r="EV337" i="1"/>
  <c r="CB337" i="1"/>
  <c r="EE336" i="1"/>
  <c r="DH336" i="1"/>
  <c r="DA336" i="1"/>
  <c r="CY336" i="1"/>
  <c r="CK336" i="1"/>
  <c r="EU336" i="1"/>
  <c r="EV336" i="1"/>
  <c r="CB336" i="1"/>
  <c r="EE335" i="1"/>
  <c r="DH335" i="1"/>
  <c r="DA335" i="1"/>
  <c r="CY335" i="1"/>
  <c r="CK335" i="1"/>
  <c r="EU335" i="1"/>
  <c r="EV335" i="1"/>
  <c r="CB335" i="1"/>
  <c r="EE334" i="1"/>
  <c r="DH334" i="1"/>
  <c r="DA334" i="1"/>
  <c r="CY334" i="1"/>
  <c r="CK334" i="1"/>
  <c r="EU334" i="1"/>
  <c r="EV334" i="1"/>
  <c r="CB334" i="1"/>
  <c r="EE333" i="1"/>
  <c r="DH333" i="1"/>
  <c r="DA333" i="1"/>
  <c r="CY333" i="1"/>
  <c r="CK333" i="1"/>
  <c r="EU333" i="1"/>
  <c r="EV333" i="1"/>
  <c r="CB333" i="1"/>
  <c r="EE332" i="1"/>
  <c r="DH332" i="1"/>
  <c r="DA332" i="1"/>
  <c r="CY332" i="1"/>
  <c r="CK332" i="1"/>
  <c r="EU332" i="1"/>
  <c r="EV332" i="1"/>
  <c r="CB332" i="1"/>
  <c r="EE331" i="1"/>
  <c r="DH331" i="1"/>
  <c r="DA331" i="1"/>
  <c r="CY331" i="1"/>
  <c r="CK331" i="1"/>
  <c r="EU331" i="1"/>
  <c r="EV331" i="1"/>
  <c r="CB331" i="1"/>
  <c r="EE330" i="1"/>
  <c r="DH330" i="1"/>
  <c r="DA330" i="1"/>
  <c r="CY330" i="1"/>
  <c r="CK330" i="1"/>
  <c r="EU330" i="1"/>
  <c r="EV330" i="1"/>
  <c r="CB330" i="1"/>
  <c r="EE329" i="1"/>
  <c r="DH329" i="1"/>
  <c r="DA329" i="1"/>
  <c r="CY329" i="1"/>
  <c r="CK329" i="1"/>
  <c r="EU329" i="1"/>
  <c r="EV329" i="1"/>
  <c r="CB329" i="1"/>
  <c r="EE328" i="1"/>
  <c r="DH328" i="1"/>
  <c r="DA328" i="1"/>
  <c r="CY328" i="1"/>
  <c r="CK328" i="1"/>
  <c r="EU328" i="1"/>
  <c r="EV328" i="1"/>
  <c r="CB328" i="1"/>
  <c r="EE327" i="1"/>
  <c r="DH327" i="1"/>
  <c r="DA327" i="1"/>
  <c r="CY327" i="1"/>
  <c r="CK327" i="1"/>
  <c r="EU327" i="1"/>
  <c r="EV327" i="1"/>
  <c r="CB327" i="1"/>
  <c r="EE326" i="1"/>
  <c r="DH326" i="1"/>
  <c r="DA326" i="1"/>
  <c r="CY326" i="1"/>
  <c r="CK326" i="1"/>
  <c r="EU326" i="1"/>
  <c r="EV326" i="1"/>
  <c r="CB326" i="1"/>
  <c r="AR326" i="1"/>
  <c r="EE325" i="1"/>
  <c r="DH325" i="1"/>
  <c r="DA325" i="1"/>
  <c r="CY325" i="1"/>
  <c r="CK325" i="1"/>
  <c r="EU325" i="1"/>
  <c r="EV325" i="1"/>
  <c r="CB325" i="1"/>
  <c r="EE324" i="1"/>
  <c r="DH324" i="1"/>
  <c r="DA324" i="1"/>
  <c r="CY324" i="1"/>
  <c r="CK324" i="1"/>
  <c r="EU324" i="1"/>
  <c r="EV324" i="1"/>
  <c r="CB324" i="1"/>
  <c r="EE323" i="1"/>
  <c r="DH323" i="1"/>
  <c r="DA323" i="1"/>
  <c r="CY323" i="1"/>
  <c r="CK323" i="1"/>
  <c r="EU323" i="1"/>
  <c r="EV323" i="1"/>
  <c r="CB323" i="1"/>
  <c r="EE322" i="1"/>
  <c r="DH322" i="1"/>
  <c r="DA322" i="1"/>
  <c r="CY322" i="1"/>
  <c r="CK322" i="1"/>
  <c r="EU322" i="1"/>
  <c r="EV322" i="1"/>
  <c r="CB322" i="1"/>
  <c r="EE321" i="1"/>
  <c r="DH321" i="1"/>
  <c r="DA321" i="1"/>
  <c r="CY321" i="1"/>
  <c r="CK321" i="1"/>
  <c r="EU321" i="1"/>
  <c r="EV321" i="1"/>
  <c r="CB321" i="1"/>
  <c r="EE320" i="1"/>
  <c r="DH320" i="1"/>
  <c r="DA320" i="1"/>
  <c r="CY320" i="1"/>
  <c r="CK320" i="1"/>
  <c r="EU320" i="1"/>
  <c r="EV320" i="1"/>
  <c r="CB320" i="1"/>
  <c r="EE319" i="1"/>
  <c r="DH319" i="1"/>
  <c r="DA319" i="1"/>
  <c r="CY319" i="1"/>
  <c r="CK319" i="1"/>
  <c r="CB319" i="1"/>
  <c r="EE318" i="1"/>
  <c r="DH318" i="1"/>
  <c r="DA318" i="1"/>
  <c r="CY318" i="1"/>
  <c r="CK318" i="1"/>
  <c r="CB318" i="1"/>
  <c r="EE317" i="1"/>
  <c r="DH317" i="1"/>
  <c r="DA317" i="1"/>
  <c r="CY317" i="1"/>
  <c r="CK317" i="1"/>
  <c r="CB317" i="1"/>
  <c r="EE316" i="1"/>
  <c r="DH316" i="1"/>
  <c r="DA316" i="1"/>
  <c r="CY316" i="1"/>
  <c r="CK316" i="1"/>
  <c r="CB316" i="1"/>
  <c r="EE315" i="1"/>
  <c r="DH315" i="1"/>
  <c r="DA315" i="1"/>
  <c r="CY315" i="1"/>
  <c r="CK315" i="1"/>
  <c r="CB315" i="1"/>
  <c r="EE314" i="1"/>
  <c r="DH314" i="1"/>
  <c r="DA314" i="1"/>
  <c r="CY314" i="1"/>
  <c r="CK314" i="1"/>
  <c r="CB314" i="1"/>
  <c r="EE313" i="1"/>
  <c r="DH313" i="1"/>
  <c r="DA313" i="1"/>
  <c r="CY313" i="1"/>
  <c r="CK313" i="1"/>
  <c r="CB313" i="1"/>
  <c r="EE312" i="1"/>
  <c r="DH312" i="1"/>
  <c r="DA312" i="1"/>
  <c r="CY312" i="1"/>
  <c r="CK312" i="1"/>
  <c r="CB312" i="1"/>
  <c r="EE311" i="1"/>
  <c r="DH311" i="1"/>
  <c r="DA311" i="1"/>
  <c r="CY311" i="1"/>
  <c r="CK311" i="1"/>
  <c r="CB311" i="1"/>
  <c r="DH310" i="1"/>
  <c r="DA310" i="1"/>
  <c r="CY310" i="1"/>
  <c r="CK310" i="1"/>
  <c r="CB310" i="1"/>
  <c r="EE309" i="1"/>
  <c r="DH309" i="1"/>
  <c r="DA309" i="1"/>
  <c r="CY309" i="1"/>
  <c r="CK309" i="1"/>
  <c r="CB309" i="1"/>
  <c r="DH308" i="1"/>
  <c r="CK308" i="1"/>
  <c r="CB308" i="1"/>
  <c r="EE307" i="1"/>
  <c r="DH307" i="1"/>
  <c r="DA307" i="1"/>
  <c r="CY307" i="1"/>
  <c r="CK307" i="1"/>
  <c r="CB307" i="1"/>
  <c r="EE306" i="1"/>
  <c r="DH306" i="1"/>
  <c r="DA306" i="1"/>
  <c r="CY306" i="1"/>
  <c r="CK306" i="1"/>
  <c r="CB306" i="1"/>
  <c r="EE305" i="1"/>
  <c r="DH305" i="1"/>
  <c r="DA305" i="1"/>
  <c r="CY305" i="1"/>
  <c r="CK305" i="1"/>
  <c r="CB305" i="1"/>
  <c r="EE304" i="1"/>
  <c r="DH304" i="1"/>
  <c r="DA304" i="1"/>
  <c r="CY304" i="1"/>
  <c r="CK304" i="1"/>
  <c r="CB304" i="1"/>
  <c r="DH303" i="1"/>
  <c r="DA303" i="1"/>
  <c r="CY303" i="1"/>
  <c r="CK303" i="1"/>
  <c r="CB303" i="1"/>
  <c r="EE302" i="1"/>
  <c r="DH302" i="1"/>
  <c r="DA302" i="1"/>
  <c r="CY302" i="1"/>
  <c r="CK302" i="1"/>
  <c r="CB302" i="1"/>
  <c r="EE301" i="1"/>
  <c r="DH301" i="1"/>
  <c r="DA301" i="1"/>
  <c r="CY301" i="1"/>
  <c r="CK301" i="1"/>
  <c r="CB301" i="1"/>
  <c r="EE300" i="1"/>
  <c r="DH300" i="1"/>
  <c r="DA300" i="1"/>
  <c r="CY300" i="1"/>
  <c r="CK300" i="1"/>
  <c r="CB300" i="1"/>
  <c r="EE299" i="1"/>
  <c r="DH299" i="1"/>
  <c r="DA299" i="1"/>
  <c r="CY299" i="1"/>
  <c r="CK299" i="1"/>
  <c r="CB299" i="1"/>
  <c r="DH298" i="1"/>
  <c r="DA298" i="1"/>
  <c r="CY298" i="1"/>
  <c r="CK298" i="1"/>
  <c r="CB298" i="1"/>
  <c r="EE297" i="1"/>
  <c r="DH297" i="1"/>
  <c r="DA297" i="1"/>
  <c r="CY297" i="1"/>
  <c r="CK297" i="1"/>
  <c r="CB297" i="1"/>
  <c r="EE296" i="1"/>
  <c r="DH296" i="1"/>
  <c r="DA296" i="1"/>
  <c r="CY296" i="1"/>
  <c r="CK296" i="1"/>
  <c r="CB296" i="1"/>
  <c r="EE295" i="1"/>
  <c r="DH295" i="1"/>
  <c r="DA295" i="1"/>
  <c r="CY295" i="1"/>
  <c r="CK295" i="1"/>
  <c r="CB295" i="1"/>
  <c r="EE294" i="1"/>
  <c r="DH294" i="1"/>
  <c r="DA294" i="1"/>
  <c r="CY294" i="1"/>
  <c r="CK294" i="1"/>
  <c r="CB294" i="1"/>
  <c r="CK293" i="1"/>
  <c r="CB293" i="1"/>
  <c r="EE292" i="1"/>
  <c r="DH292" i="1"/>
  <c r="DA292" i="1"/>
  <c r="CY292" i="1"/>
  <c r="CK292" i="1"/>
  <c r="CB292" i="1"/>
  <c r="EE291" i="1"/>
  <c r="DH291" i="1"/>
  <c r="DA291" i="1"/>
  <c r="CY291" i="1"/>
  <c r="CK291" i="1"/>
  <c r="CB291" i="1"/>
  <c r="DH290" i="1"/>
  <c r="DA290" i="1"/>
  <c r="CY290" i="1"/>
  <c r="CK290" i="1"/>
  <c r="CB290" i="1"/>
  <c r="DH289" i="1"/>
  <c r="CK289" i="1"/>
  <c r="CB289" i="1"/>
  <c r="DH288" i="1"/>
  <c r="CK288" i="1"/>
  <c r="CB288" i="1"/>
  <c r="EE287" i="1"/>
  <c r="DH287" i="1"/>
  <c r="DA287" i="1"/>
  <c r="CY287" i="1"/>
  <c r="CK287" i="1"/>
  <c r="CB287" i="1"/>
  <c r="EE286" i="1"/>
  <c r="DH286" i="1"/>
  <c r="DA286" i="1"/>
  <c r="CY286" i="1"/>
  <c r="CK286" i="1"/>
  <c r="CB286" i="1"/>
  <c r="CK285" i="1"/>
  <c r="CB285" i="1"/>
  <c r="CK284" i="1"/>
  <c r="CB284" i="1"/>
  <c r="CK283" i="1"/>
  <c r="CB283" i="1"/>
  <c r="CK282" i="1"/>
  <c r="CB282" i="1"/>
  <c r="CK281" i="1"/>
  <c r="CB281" i="1"/>
  <c r="CK280" i="1"/>
  <c r="CB280" i="1"/>
  <c r="DH279" i="1"/>
  <c r="CK279" i="1"/>
  <c r="CB279" i="1"/>
  <c r="DH278" i="1"/>
  <c r="CK278" i="1"/>
  <c r="CB278" i="1"/>
  <c r="DH277" i="1"/>
  <c r="CK277" i="1"/>
  <c r="CB277" i="1"/>
  <c r="DH276" i="1"/>
  <c r="CK276" i="1"/>
  <c r="CB276" i="1"/>
  <c r="EE275" i="1"/>
  <c r="DH275" i="1"/>
  <c r="CK275" i="1"/>
  <c r="CB275" i="1"/>
  <c r="DH274" i="1"/>
  <c r="DA274" i="1"/>
  <c r="CY274" i="1"/>
  <c r="CB274" i="1"/>
  <c r="EE273" i="1"/>
  <c r="DH273" i="1"/>
  <c r="DA273" i="1"/>
  <c r="CY273" i="1"/>
  <c r="CK273" i="1"/>
  <c r="CB273" i="1"/>
  <c r="EE272" i="1"/>
  <c r="DH272" i="1"/>
  <c r="DA272" i="1"/>
  <c r="CY272" i="1"/>
  <c r="CK272" i="1"/>
  <c r="CB272" i="1"/>
  <c r="DH271" i="1"/>
  <c r="DA271" i="1"/>
  <c r="CY271" i="1"/>
  <c r="CK271" i="1"/>
  <c r="CB271" i="1"/>
  <c r="DH270" i="1"/>
  <c r="CK270" i="1"/>
  <c r="CB270" i="1"/>
  <c r="DH269" i="1"/>
  <c r="CK269" i="1"/>
  <c r="CB269" i="1"/>
  <c r="DH268" i="1"/>
  <c r="DA268" i="1"/>
  <c r="CY268" i="1"/>
  <c r="CK268" i="1"/>
  <c r="CB268" i="1"/>
  <c r="DH267" i="1"/>
  <c r="CK267" i="1"/>
  <c r="EU267" i="1"/>
  <c r="EV267" i="1"/>
  <c r="CB267" i="1"/>
  <c r="DH266" i="1"/>
  <c r="CK266" i="1"/>
  <c r="CB266" i="1"/>
  <c r="EE265" i="1"/>
  <c r="DH265" i="1"/>
  <c r="DA265" i="1"/>
  <c r="CY265" i="1"/>
  <c r="CK265" i="1"/>
  <c r="CB265" i="1"/>
  <c r="EE264" i="1"/>
  <c r="DH264" i="1"/>
  <c r="DA264" i="1"/>
  <c r="CY264" i="1"/>
  <c r="CK264" i="1"/>
  <c r="CB264" i="1"/>
  <c r="DH263" i="1"/>
  <c r="CK263" i="1"/>
  <c r="CB263" i="1"/>
  <c r="DH262" i="1"/>
  <c r="CK262" i="1"/>
  <c r="CB262" i="1"/>
  <c r="EE261" i="1"/>
  <c r="DH261" i="1"/>
  <c r="DA261" i="1"/>
  <c r="CY261" i="1"/>
  <c r="CK261" i="1"/>
  <c r="EU261" i="1"/>
  <c r="EV261" i="1"/>
  <c r="CB261" i="1"/>
  <c r="EE260" i="1"/>
  <c r="DH260" i="1"/>
  <c r="DA260" i="1"/>
  <c r="CY260" i="1"/>
  <c r="CK260" i="1"/>
  <c r="EU260" i="1"/>
  <c r="EV260" i="1"/>
  <c r="CB260" i="1"/>
  <c r="DH259" i="1"/>
  <c r="CK259" i="1"/>
  <c r="CB259" i="1"/>
  <c r="DH258" i="1"/>
  <c r="CK258" i="1"/>
  <c r="CB258" i="1"/>
  <c r="EE257" i="1"/>
  <c r="DH257" i="1"/>
  <c r="DA257" i="1"/>
  <c r="CY257" i="1"/>
  <c r="DB257" i="1"/>
  <c r="CB257" i="1"/>
  <c r="EE256" i="1"/>
  <c r="DH256" i="1"/>
  <c r="DA256" i="1"/>
  <c r="CY256" i="1"/>
  <c r="CK256" i="1"/>
  <c r="CB256" i="1"/>
  <c r="EE255" i="1"/>
  <c r="DH255" i="1"/>
  <c r="DA255" i="1"/>
  <c r="CY255" i="1"/>
  <c r="CK255" i="1"/>
  <c r="CB255" i="1"/>
  <c r="DH254" i="1"/>
  <c r="CK254" i="1"/>
  <c r="CB254" i="1"/>
  <c r="DH253" i="1"/>
  <c r="CK253" i="1"/>
  <c r="CB253" i="1"/>
  <c r="EE252" i="1"/>
  <c r="DH252" i="1"/>
  <c r="DA252" i="1"/>
  <c r="CY252" i="1"/>
  <c r="CK252" i="1"/>
  <c r="EU252" i="1"/>
  <c r="EV252" i="1"/>
  <c r="CB252" i="1"/>
  <c r="EE251" i="1"/>
  <c r="DH251" i="1"/>
  <c r="DA251" i="1"/>
  <c r="CY251" i="1"/>
  <c r="CK251" i="1"/>
  <c r="EU251" i="1"/>
  <c r="EV251" i="1"/>
  <c r="CB251" i="1"/>
  <c r="DH250" i="1"/>
  <c r="CK250" i="1"/>
  <c r="CB250" i="1"/>
  <c r="EE249" i="1"/>
  <c r="DH249" i="1"/>
  <c r="DA249" i="1"/>
  <c r="CY249" i="1"/>
  <c r="CK249" i="1"/>
  <c r="CB249" i="1"/>
  <c r="DH248" i="1"/>
  <c r="CK248" i="1"/>
  <c r="CB248" i="1"/>
  <c r="EE247" i="1"/>
  <c r="DH247" i="1"/>
  <c r="DA247" i="1"/>
  <c r="CY247" i="1"/>
  <c r="CK247" i="1"/>
  <c r="CB247" i="1"/>
  <c r="DH246" i="1"/>
  <c r="DA246" i="1"/>
  <c r="CY246" i="1"/>
  <c r="CK246" i="1"/>
  <c r="CB246" i="1"/>
  <c r="DH245" i="1"/>
  <c r="DA245" i="1"/>
  <c r="CY245" i="1"/>
  <c r="CK245" i="1"/>
  <c r="EU245" i="1"/>
  <c r="EV245" i="1"/>
  <c r="CB245" i="1"/>
  <c r="EE244" i="1"/>
  <c r="DH244" i="1"/>
  <c r="DA244" i="1"/>
  <c r="CY244" i="1"/>
  <c r="CK244" i="1"/>
  <c r="CB244" i="1"/>
  <c r="EE243" i="1"/>
  <c r="DH243" i="1"/>
  <c r="DA243" i="1"/>
  <c r="CY243" i="1"/>
  <c r="CK243" i="1"/>
  <c r="EU243" i="1"/>
  <c r="EV243" i="1"/>
  <c r="CB243" i="1"/>
  <c r="EE242" i="1"/>
  <c r="DH242" i="1"/>
  <c r="DA242" i="1"/>
  <c r="CY242" i="1"/>
  <c r="CK242" i="1"/>
  <c r="EU242" i="1"/>
  <c r="EV242" i="1"/>
  <c r="CB242" i="1"/>
  <c r="DH241" i="1"/>
  <c r="DA241" i="1"/>
  <c r="CY241" i="1"/>
  <c r="CK241" i="1"/>
  <c r="CB241" i="1"/>
  <c r="EE240" i="1"/>
  <c r="DH240" i="1"/>
  <c r="DA240" i="1"/>
  <c r="CY240" i="1"/>
  <c r="CK240" i="1"/>
  <c r="CB240" i="1"/>
  <c r="EE239" i="1"/>
  <c r="DH239" i="1"/>
  <c r="DA239" i="1"/>
  <c r="CY239" i="1"/>
  <c r="CK239" i="1"/>
  <c r="EU239" i="1"/>
  <c r="EV239" i="1"/>
  <c r="CB239" i="1"/>
  <c r="EE238" i="1"/>
  <c r="DH238" i="1"/>
  <c r="DA238" i="1"/>
  <c r="CY238" i="1"/>
  <c r="CK238" i="1"/>
  <c r="CB238" i="1"/>
  <c r="EE237" i="1"/>
  <c r="DH237" i="1"/>
  <c r="DA237" i="1"/>
  <c r="CY237" i="1"/>
  <c r="CK237" i="1"/>
  <c r="EU237" i="1"/>
  <c r="EV237" i="1"/>
  <c r="CB237" i="1"/>
  <c r="EE235" i="1"/>
  <c r="DH235" i="1"/>
  <c r="DA235" i="1"/>
  <c r="CY235" i="1"/>
  <c r="CK235" i="1"/>
  <c r="EU235" i="1"/>
  <c r="EV235" i="1"/>
  <c r="CB235" i="1"/>
  <c r="EE234" i="1"/>
  <c r="DH234" i="1"/>
  <c r="DA234" i="1"/>
  <c r="CY234" i="1"/>
  <c r="CK234" i="1"/>
  <c r="EU234" i="1"/>
  <c r="EV234" i="1"/>
  <c r="CB234" i="1"/>
  <c r="EE233" i="1"/>
  <c r="DH233" i="1"/>
  <c r="DA233" i="1"/>
  <c r="CY233" i="1"/>
  <c r="CK233" i="1"/>
  <c r="CB233" i="1"/>
  <c r="EE232" i="1"/>
  <c r="DH232" i="1"/>
  <c r="DA232" i="1"/>
  <c r="CY232" i="1"/>
  <c r="CK232" i="1"/>
  <c r="CB232" i="1"/>
  <c r="EE231" i="1"/>
  <c r="DH231" i="1"/>
  <c r="DA231" i="1"/>
  <c r="CY231" i="1"/>
  <c r="CK231" i="1"/>
  <c r="EU231" i="1"/>
  <c r="EV231" i="1"/>
  <c r="CB231" i="1"/>
  <c r="DH230" i="1"/>
  <c r="DA230" i="1"/>
  <c r="CY230" i="1"/>
  <c r="CK230" i="1"/>
  <c r="CB230" i="1"/>
  <c r="EE229" i="1"/>
  <c r="DH229" i="1"/>
  <c r="DA229" i="1"/>
  <c r="CY229" i="1"/>
  <c r="CK229" i="1"/>
  <c r="EU229" i="1"/>
  <c r="EV229" i="1"/>
  <c r="CB229" i="1"/>
  <c r="EE228" i="1"/>
  <c r="DH228" i="1"/>
  <c r="DA228" i="1"/>
  <c r="CY228" i="1"/>
  <c r="CK228" i="1"/>
  <c r="EU228" i="1"/>
  <c r="EV228" i="1"/>
  <c r="CB228" i="1"/>
  <c r="EE227" i="1"/>
  <c r="DH227" i="1"/>
  <c r="DA227" i="1"/>
  <c r="CY227" i="1"/>
  <c r="CK227" i="1"/>
  <c r="CB227" i="1"/>
  <c r="DH226" i="1"/>
  <c r="DA226" i="1"/>
  <c r="CY226" i="1"/>
  <c r="CK226" i="1"/>
  <c r="CB226" i="1"/>
  <c r="EE225" i="1"/>
  <c r="DH225" i="1"/>
  <c r="DA225" i="1"/>
  <c r="CY225" i="1"/>
  <c r="CK225" i="1"/>
  <c r="CB225" i="1"/>
  <c r="EE224" i="1"/>
  <c r="DH224" i="1"/>
  <c r="DA224" i="1"/>
  <c r="CY224" i="1"/>
  <c r="CK224" i="1"/>
  <c r="CB224" i="1"/>
  <c r="EE223" i="1"/>
  <c r="DH223" i="1"/>
  <c r="DA223" i="1"/>
  <c r="CY223" i="1"/>
  <c r="CK223" i="1"/>
  <c r="CB223" i="1"/>
  <c r="EE222" i="1"/>
  <c r="DH222" i="1"/>
  <c r="DA222" i="1"/>
  <c r="CY222" i="1"/>
  <c r="CK222" i="1"/>
  <c r="CB222" i="1"/>
  <c r="DH221" i="1"/>
  <c r="DA221" i="1"/>
  <c r="CY221" i="1"/>
  <c r="CK221" i="1"/>
  <c r="CB221" i="1"/>
  <c r="EE220" i="1"/>
  <c r="DH220" i="1"/>
  <c r="DA220" i="1"/>
  <c r="CY220" i="1"/>
  <c r="CK220" i="1"/>
  <c r="CB220" i="1"/>
  <c r="EE219" i="1"/>
  <c r="DH219" i="1"/>
  <c r="DA219" i="1"/>
  <c r="CY219" i="1"/>
  <c r="CK219" i="1"/>
  <c r="CB219" i="1"/>
  <c r="EE218" i="1"/>
  <c r="DH218" i="1"/>
  <c r="DA218" i="1"/>
  <c r="CY218" i="1"/>
  <c r="CK218" i="1"/>
  <c r="CB218" i="1"/>
  <c r="EE217" i="1"/>
  <c r="DH217" i="1"/>
  <c r="DA217" i="1"/>
  <c r="CY217" i="1"/>
  <c r="CK217" i="1"/>
  <c r="EU217" i="1"/>
  <c r="EV217" i="1"/>
  <c r="CB217" i="1"/>
  <c r="EE215" i="1"/>
  <c r="DH215" i="1"/>
  <c r="DA215" i="1"/>
  <c r="CY215" i="1"/>
  <c r="CK215" i="1"/>
  <c r="CB215" i="1"/>
  <c r="DH214" i="1"/>
  <c r="DA214" i="1"/>
  <c r="CY214" i="1"/>
  <c r="CK214" i="1"/>
  <c r="CB214" i="1"/>
  <c r="EE213" i="1"/>
  <c r="DH213" i="1"/>
  <c r="DA213" i="1"/>
  <c r="CY213" i="1"/>
  <c r="CK213" i="1"/>
  <c r="CB213" i="1"/>
  <c r="EE212" i="1"/>
  <c r="DH212" i="1"/>
  <c r="DA212" i="1"/>
  <c r="CY212" i="1"/>
  <c r="CK212" i="1"/>
  <c r="CB212" i="1"/>
  <c r="EE211" i="1"/>
  <c r="DH211" i="1"/>
  <c r="DA211" i="1"/>
  <c r="CY211" i="1"/>
  <c r="CK211" i="1"/>
  <c r="CB211" i="1"/>
  <c r="DH210" i="1"/>
  <c r="CK210" i="1"/>
  <c r="CB210" i="1"/>
  <c r="DH209" i="1"/>
  <c r="DA209" i="1"/>
  <c r="CY209" i="1"/>
  <c r="CK209" i="1"/>
  <c r="CB209" i="1"/>
  <c r="EE208" i="1"/>
  <c r="DH208" i="1"/>
  <c r="DA208" i="1"/>
  <c r="CY208" i="1"/>
  <c r="CK208" i="1"/>
  <c r="CB208" i="1"/>
  <c r="EE207" i="1"/>
  <c r="DH207" i="1"/>
  <c r="DA207" i="1"/>
  <c r="CY207" i="1"/>
  <c r="CK207" i="1"/>
  <c r="CB207" i="1"/>
  <c r="EE206" i="1"/>
  <c r="DH206" i="1"/>
  <c r="DA206" i="1"/>
  <c r="CY206" i="1"/>
  <c r="CK206" i="1"/>
  <c r="CB206" i="1"/>
  <c r="EE205" i="1"/>
  <c r="DH205" i="1"/>
  <c r="DA205" i="1"/>
  <c r="CY205" i="1"/>
  <c r="CK205" i="1"/>
  <c r="CB205" i="1"/>
  <c r="EE204" i="1"/>
  <c r="DH204" i="1"/>
  <c r="DA204" i="1"/>
  <c r="CY204" i="1"/>
  <c r="CK204" i="1"/>
  <c r="CB204" i="1"/>
  <c r="EE203" i="1"/>
  <c r="DH203" i="1"/>
  <c r="DA203" i="1"/>
  <c r="CY203" i="1"/>
  <c r="CK203" i="1"/>
  <c r="EU203" i="1"/>
  <c r="EV203" i="1"/>
  <c r="CB203" i="1"/>
  <c r="EE202" i="1"/>
  <c r="DH202" i="1"/>
  <c r="DA202" i="1"/>
  <c r="CY202" i="1"/>
  <c r="CK202" i="1"/>
  <c r="CB202" i="1"/>
  <c r="EE201" i="1"/>
  <c r="DH201" i="1"/>
  <c r="DA201" i="1"/>
  <c r="CY201" i="1"/>
  <c r="CK201" i="1"/>
  <c r="CB201" i="1"/>
  <c r="EE200" i="1"/>
  <c r="DH200" i="1"/>
  <c r="DA200" i="1"/>
  <c r="CY200" i="1"/>
  <c r="CK200" i="1"/>
  <c r="CB200" i="1"/>
  <c r="EE199" i="1"/>
  <c r="DH199" i="1"/>
  <c r="DA199" i="1"/>
  <c r="CY199" i="1"/>
  <c r="CK199" i="1"/>
  <c r="CB199" i="1"/>
  <c r="EE198" i="1"/>
  <c r="DH198" i="1"/>
  <c r="DA198" i="1"/>
  <c r="CY198" i="1"/>
  <c r="CK198" i="1"/>
  <c r="CB198" i="1"/>
  <c r="EE197" i="1"/>
  <c r="DH197" i="1"/>
  <c r="DA197" i="1"/>
  <c r="CY197" i="1"/>
  <c r="CK197" i="1"/>
  <c r="CB197" i="1"/>
  <c r="EE196" i="1"/>
  <c r="DH196" i="1"/>
  <c r="DA196" i="1"/>
  <c r="CY196" i="1"/>
  <c r="CK196" i="1"/>
  <c r="CB196" i="1"/>
  <c r="EE195" i="1"/>
  <c r="DH195" i="1"/>
  <c r="DA195" i="1"/>
  <c r="CY195" i="1"/>
  <c r="CK195" i="1"/>
  <c r="CB195" i="1"/>
  <c r="DH194" i="1"/>
  <c r="DA194" i="1"/>
  <c r="CY194" i="1"/>
  <c r="CK194" i="1"/>
  <c r="CB194" i="1"/>
  <c r="EE193" i="1"/>
  <c r="DH193" i="1"/>
  <c r="DA193" i="1"/>
  <c r="CY193" i="1"/>
  <c r="CK193" i="1"/>
  <c r="CB193" i="1"/>
  <c r="EE192" i="1"/>
  <c r="DH192" i="1"/>
  <c r="DA192" i="1"/>
  <c r="CY192" i="1"/>
  <c r="CK192" i="1"/>
  <c r="EU192" i="1"/>
  <c r="EV192" i="1"/>
  <c r="CB192" i="1"/>
  <c r="EE191" i="1"/>
  <c r="DH191" i="1"/>
  <c r="DA191" i="1"/>
  <c r="CY191" i="1"/>
  <c r="CK191" i="1"/>
  <c r="CB191" i="1"/>
  <c r="EE190" i="1"/>
  <c r="DH190" i="1"/>
  <c r="DA190" i="1"/>
  <c r="CY190" i="1"/>
  <c r="CK190" i="1"/>
  <c r="CB190" i="1"/>
  <c r="EE189" i="1"/>
  <c r="DH189" i="1"/>
  <c r="DA189" i="1"/>
  <c r="CY189" i="1"/>
  <c r="CK189" i="1"/>
  <c r="CB189" i="1"/>
  <c r="EE188" i="1"/>
  <c r="DH188" i="1"/>
  <c r="DA188" i="1"/>
  <c r="CY188" i="1"/>
  <c r="CK188" i="1"/>
  <c r="CB188" i="1"/>
  <c r="EE187" i="1"/>
  <c r="DH187" i="1"/>
  <c r="DA187" i="1"/>
  <c r="CY187" i="1"/>
  <c r="CK187" i="1"/>
  <c r="CB187" i="1"/>
  <c r="EE186" i="1"/>
  <c r="DH186" i="1"/>
  <c r="DA186" i="1"/>
  <c r="CY186" i="1"/>
  <c r="CK186" i="1"/>
  <c r="CB186" i="1"/>
  <c r="DH185" i="1"/>
  <c r="DA185" i="1"/>
  <c r="CY185" i="1"/>
  <c r="CK185" i="1"/>
  <c r="CB185" i="1"/>
  <c r="DH184" i="1"/>
  <c r="DA184" i="1"/>
  <c r="CY184" i="1"/>
  <c r="CK184" i="1"/>
  <c r="CB184" i="1"/>
  <c r="EE183" i="1"/>
  <c r="DH183" i="1"/>
  <c r="DA183" i="1"/>
  <c r="CY183" i="1"/>
  <c r="CK183" i="1"/>
  <c r="CB183" i="1"/>
  <c r="EE182" i="1"/>
  <c r="DH182" i="1"/>
  <c r="DA182" i="1"/>
  <c r="CY182" i="1"/>
  <c r="CK182" i="1"/>
  <c r="EU182" i="1"/>
  <c r="EV182" i="1"/>
  <c r="CB182" i="1"/>
  <c r="EE181" i="1"/>
  <c r="DH181" i="1"/>
  <c r="DA181" i="1"/>
  <c r="CY181" i="1"/>
  <c r="CK181" i="1"/>
  <c r="CB181" i="1"/>
  <c r="EE180" i="1"/>
  <c r="DH180" i="1"/>
  <c r="DA180" i="1"/>
  <c r="CY180" i="1"/>
  <c r="CK180" i="1"/>
  <c r="EU180" i="1"/>
  <c r="EV180" i="1"/>
  <c r="CB180" i="1"/>
  <c r="EE179" i="1"/>
  <c r="DH179" i="1"/>
  <c r="DA179" i="1"/>
  <c r="CY179" i="1"/>
  <c r="CK179" i="1"/>
  <c r="CB179" i="1"/>
  <c r="EE178" i="1"/>
  <c r="DH178" i="1"/>
  <c r="DA178" i="1"/>
  <c r="CY178" i="1"/>
  <c r="CK178" i="1"/>
  <c r="EU178" i="1"/>
  <c r="EV178" i="1"/>
  <c r="CB178" i="1"/>
  <c r="EE177" i="1"/>
  <c r="DH177" i="1"/>
  <c r="DA177" i="1"/>
  <c r="CY177" i="1"/>
  <c r="CK177" i="1"/>
  <c r="CB177" i="1"/>
  <c r="EE176" i="1"/>
  <c r="DH176" i="1"/>
  <c r="DA176" i="1"/>
  <c r="CY176" i="1"/>
  <c r="CK176" i="1"/>
  <c r="CB176" i="1"/>
  <c r="EE175" i="1"/>
  <c r="DH175" i="1"/>
  <c r="DA175" i="1"/>
  <c r="CY175" i="1"/>
  <c r="CK175" i="1"/>
  <c r="EU175" i="1"/>
  <c r="EV175" i="1"/>
  <c r="CB175" i="1"/>
  <c r="EE174" i="1"/>
  <c r="DH174" i="1"/>
  <c r="DA174" i="1"/>
  <c r="CY174" i="1"/>
  <c r="CK174" i="1"/>
  <c r="CB174" i="1"/>
  <c r="EE173" i="1"/>
  <c r="DH173" i="1"/>
  <c r="DA173" i="1"/>
  <c r="CY173" i="1"/>
  <c r="CK173" i="1"/>
  <c r="CB173" i="1"/>
  <c r="EE172" i="1"/>
  <c r="DH172" i="1"/>
  <c r="DA172" i="1"/>
  <c r="CY172" i="1"/>
  <c r="CK172" i="1"/>
  <c r="CB172" i="1"/>
  <c r="EE171" i="1"/>
  <c r="DH171" i="1"/>
  <c r="DA171" i="1"/>
  <c r="CY171" i="1"/>
  <c r="CK171" i="1"/>
  <c r="CB171" i="1"/>
  <c r="EE170" i="1"/>
  <c r="DH170" i="1"/>
  <c r="DA170" i="1"/>
  <c r="CY170" i="1"/>
  <c r="CK170" i="1"/>
  <c r="CB170" i="1"/>
  <c r="EE169" i="1"/>
  <c r="DH169" i="1"/>
  <c r="DA169" i="1"/>
  <c r="CY169" i="1"/>
  <c r="CK169" i="1"/>
  <c r="EU169" i="1"/>
  <c r="EV169" i="1"/>
  <c r="CB169" i="1"/>
  <c r="EE167" i="1"/>
  <c r="DH167" i="1"/>
  <c r="DA167" i="1"/>
  <c r="CY167" i="1"/>
  <c r="CK167" i="1"/>
  <c r="CB167" i="1"/>
  <c r="EE166" i="1"/>
  <c r="DH166" i="1"/>
  <c r="DA166" i="1"/>
  <c r="CY166" i="1"/>
  <c r="CK166" i="1"/>
  <c r="CB166" i="1"/>
  <c r="EE165" i="1"/>
  <c r="DH165" i="1"/>
  <c r="DA165" i="1"/>
  <c r="CY165" i="1"/>
  <c r="CK165" i="1"/>
  <c r="CB165" i="1"/>
  <c r="EE164" i="1"/>
  <c r="DH164" i="1"/>
  <c r="DA164" i="1"/>
  <c r="CY164" i="1"/>
  <c r="CK164" i="1"/>
  <c r="CB164" i="1"/>
  <c r="EE163" i="1"/>
  <c r="DH163" i="1"/>
  <c r="DA163" i="1"/>
  <c r="CY163" i="1"/>
  <c r="CK163" i="1"/>
  <c r="CB163" i="1"/>
  <c r="EE162" i="1"/>
  <c r="DH162" i="1"/>
  <c r="DA162" i="1"/>
  <c r="CY162" i="1"/>
  <c r="CK162" i="1"/>
  <c r="CB162" i="1"/>
  <c r="DH161" i="1"/>
  <c r="DA161" i="1"/>
  <c r="CY161" i="1"/>
  <c r="CK161" i="1"/>
  <c r="CB161" i="1"/>
  <c r="EE160" i="1"/>
  <c r="DH160" i="1"/>
  <c r="DA160" i="1"/>
  <c r="CY160" i="1"/>
  <c r="CK160" i="1"/>
  <c r="CB160" i="1"/>
  <c r="EE159" i="1"/>
  <c r="DH159" i="1"/>
  <c r="DA159" i="1"/>
  <c r="CY159" i="1"/>
  <c r="CK159" i="1"/>
  <c r="EU159" i="1"/>
  <c r="EV159" i="1"/>
  <c r="CB159" i="1"/>
  <c r="EE158" i="1"/>
  <c r="DH158" i="1"/>
  <c r="DA158" i="1"/>
  <c r="CY158" i="1"/>
  <c r="CK158" i="1"/>
  <c r="CB158" i="1"/>
  <c r="EE157" i="1"/>
  <c r="DH157" i="1"/>
  <c r="DA157" i="1"/>
  <c r="CY157" i="1"/>
  <c r="CK157" i="1"/>
  <c r="CB157" i="1"/>
  <c r="EE156" i="1"/>
  <c r="DH156" i="1"/>
  <c r="DA156" i="1"/>
  <c r="CY156" i="1"/>
  <c r="CK156" i="1"/>
  <c r="CB156" i="1"/>
  <c r="EE155" i="1"/>
  <c r="DH155" i="1"/>
  <c r="DA155" i="1"/>
  <c r="CY155" i="1"/>
  <c r="CK155" i="1"/>
  <c r="CB155" i="1"/>
  <c r="EE153" i="1"/>
  <c r="DH153" i="1"/>
  <c r="DA153" i="1"/>
  <c r="CY153" i="1"/>
  <c r="CK153" i="1"/>
  <c r="EU153" i="1"/>
  <c r="EV153" i="1"/>
  <c r="CB153" i="1"/>
  <c r="EE152" i="1"/>
  <c r="DH152" i="1"/>
  <c r="DA152" i="1"/>
  <c r="CY152" i="1"/>
  <c r="CK152" i="1"/>
  <c r="EU152" i="1"/>
  <c r="EV152" i="1"/>
  <c r="CB152" i="1"/>
  <c r="EE151" i="1"/>
  <c r="DH151" i="1"/>
  <c r="DA151" i="1"/>
  <c r="CY151" i="1"/>
  <c r="CK151" i="1"/>
  <c r="CB151" i="1"/>
  <c r="EE150" i="1"/>
  <c r="DH150" i="1"/>
  <c r="DA150" i="1"/>
  <c r="CY150" i="1"/>
  <c r="CK150" i="1"/>
  <c r="CB150" i="1"/>
  <c r="EE149" i="1"/>
  <c r="DH149" i="1"/>
  <c r="DA149" i="1"/>
  <c r="CY149" i="1"/>
  <c r="CK149" i="1"/>
  <c r="CB149" i="1"/>
  <c r="EE148" i="1"/>
  <c r="DH148" i="1"/>
  <c r="DA148" i="1"/>
  <c r="CY148" i="1"/>
  <c r="CK148" i="1"/>
  <c r="CB148" i="1"/>
  <c r="EE147" i="1"/>
  <c r="DH147" i="1"/>
  <c r="DA147" i="1"/>
  <c r="CY147" i="1"/>
  <c r="CK147" i="1"/>
  <c r="CB147" i="1"/>
  <c r="EE146" i="1"/>
  <c r="DH146" i="1"/>
  <c r="DA146" i="1"/>
  <c r="CY146" i="1"/>
  <c r="CK146" i="1"/>
  <c r="CB146" i="1"/>
  <c r="EE145" i="1"/>
  <c r="DH145" i="1"/>
  <c r="DA145" i="1"/>
  <c r="CY145" i="1"/>
  <c r="CK145" i="1"/>
  <c r="EU145" i="1"/>
  <c r="EV145" i="1"/>
  <c r="CB145" i="1"/>
  <c r="EE144" i="1"/>
  <c r="DH144" i="1"/>
  <c r="DA144" i="1"/>
  <c r="CY144" i="1"/>
  <c r="CK144" i="1"/>
  <c r="CB144" i="1"/>
  <c r="EE143" i="1"/>
  <c r="DH143" i="1"/>
  <c r="DA143" i="1"/>
  <c r="CY143" i="1"/>
  <c r="CK143" i="1"/>
  <c r="CB143" i="1"/>
  <c r="EE142" i="1"/>
  <c r="DH142" i="1"/>
  <c r="DA142" i="1"/>
  <c r="CY142" i="1"/>
  <c r="CK142" i="1"/>
  <c r="CB142" i="1"/>
  <c r="EE141" i="1"/>
  <c r="DH141" i="1"/>
  <c r="DA141" i="1"/>
  <c r="CY141" i="1"/>
  <c r="CK141" i="1"/>
  <c r="CB141" i="1"/>
  <c r="EE140" i="1"/>
  <c r="DH140" i="1"/>
  <c r="DA140" i="1"/>
  <c r="CY140" i="1"/>
  <c r="CK140" i="1"/>
  <c r="CB140" i="1"/>
  <c r="EE139" i="1"/>
  <c r="DH139" i="1"/>
  <c r="DA139" i="1"/>
  <c r="CY139" i="1"/>
  <c r="CK139" i="1"/>
  <c r="CB139" i="1"/>
  <c r="EE138" i="1"/>
  <c r="DH138" i="1"/>
  <c r="DA138" i="1"/>
  <c r="CY138" i="1"/>
  <c r="CK138" i="1"/>
  <c r="CB138" i="1"/>
  <c r="EE137" i="1"/>
  <c r="DH137" i="1"/>
  <c r="DA137" i="1"/>
  <c r="CY137" i="1"/>
  <c r="CK137" i="1"/>
  <c r="CB137" i="1"/>
  <c r="EE136" i="1"/>
  <c r="DH136" i="1"/>
  <c r="CY136" i="1"/>
  <c r="CK136" i="1"/>
  <c r="EU136" i="1"/>
  <c r="EV136" i="1"/>
  <c r="CB136" i="1"/>
  <c r="EE135" i="1"/>
  <c r="DH135" i="1"/>
  <c r="CY135" i="1"/>
  <c r="CK135" i="1"/>
  <c r="EU135" i="1"/>
  <c r="EV135" i="1"/>
  <c r="CB135" i="1"/>
  <c r="EE134" i="1"/>
  <c r="DH134" i="1"/>
  <c r="CY134" i="1"/>
  <c r="CK134" i="1"/>
  <c r="EU134" i="1"/>
  <c r="EV134" i="1"/>
  <c r="CB134" i="1"/>
  <c r="EE132" i="1"/>
  <c r="DH132" i="1"/>
  <c r="DA132" i="1"/>
  <c r="CY132" i="1"/>
  <c r="CK132" i="1"/>
  <c r="CB132" i="1"/>
  <c r="EE131" i="1"/>
  <c r="DH131" i="1"/>
  <c r="DA131" i="1"/>
  <c r="CY131" i="1"/>
  <c r="CK131" i="1"/>
  <c r="CB131" i="1"/>
  <c r="EE130" i="1"/>
  <c r="DH130" i="1"/>
  <c r="DA130" i="1"/>
  <c r="CY130" i="1"/>
  <c r="CK130" i="1"/>
  <c r="CB130" i="1"/>
  <c r="EE129" i="1"/>
  <c r="DH129" i="1"/>
  <c r="DA129" i="1"/>
  <c r="CY129" i="1"/>
  <c r="CK129" i="1"/>
  <c r="CB129" i="1"/>
  <c r="EE128" i="1"/>
  <c r="DH128" i="1"/>
  <c r="DA128" i="1"/>
  <c r="CY128" i="1"/>
  <c r="CK128" i="1"/>
  <c r="CB128" i="1"/>
  <c r="EE127" i="1"/>
  <c r="DH127" i="1"/>
  <c r="DA127" i="1"/>
  <c r="CY127" i="1"/>
  <c r="CK127" i="1"/>
  <c r="CB127" i="1"/>
  <c r="EE126" i="1"/>
  <c r="DH126" i="1"/>
  <c r="DA126" i="1"/>
  <c r="CY126" i="1"/>
  <c r="CK126" i="1"/>
  <c r="CB126" i="1"/>
  <c r="EE125" i="1"/>
  <c r="DH125" i="1"/>
  <c r="DA125" i="1"/>
  <c r="CY125" i="1"/>
  <c r="CK125" i="1"/>
  <c r="EU125" i="1"/>
  <c r="EV125" i="1"/>
  <c r="CB125" i="1"/>
  <c r="EE124" i="1"/>
  <c r="DH124" i="1"/>
  <c r="DA124" i="1"/>
  <c r="CY124" i="1"/>
  <c r="CK124" i="1"/>
  <c r="CB124" i="1"/>
  <c r="EE123" i="1"/>
  <c r="DH123" i="1"/>
  <c r="DA123" i="1"/>
  <c r="CY123" i="1"/>
  <c r="CK123" i="1"/>
  <c r="CB123" i="1"/>
  <c r="EE122" i="1"/>
  <c r="DH122" i="1"/>
  <c r="DA122" i="1"/>
  <c r="CY122" i="1"/>
  <c r="CK122" i="1"/>
  <c r="CB122" i="1"/>
  <c r="EE121" i="1"/>
  <c r="DH121" i="1"/>
  <c r="DA121" i="1"/>
  <c r="CY121" i="1"/>
  <c r="CK121" i="1"/>
  <c r="CB121" i="1"/>
  <c r="EE120" i="1"/>
  <c r="DH120" i="1"/>
  <c r="DA120" i="1"/>
  <c r="CY120" i="1"/>
  <c r="CK120" i="1"/>
  <c r="CB120" i="1"/>
  <c r="EE119" i="1"/>
  <c r="DH119" i="1"/>
  <c r="DA119" i="1"/>
  <c r="CY119" i="1"/>
  <c r="CK119" i="1"/>
  <c r="CB119" i="1"/>
  <c r="EE118" i="1"/>
  <c r="DH118" i="1"/>
  <c r="DA118" i="1"/>
  <c r="CY118" i="1"/>
  <c r="CK118" i="1"/>
  <c r="CB118" i="1"/>
  <c r="EE117" i="1"/>
  <c r="DH117" i="1"/>
  <c r="DA117" i="1"/>
  <c r="CY117" i="1"/>
  <c r="CK117" i="1"/>
  <c r="CB117" i="1"/>
  <c r="DH116" i="1"/>
  <c r="DA116" i="1"/>
  <c r="CY116" i="1"/>
  <c r="CK116" i="1"/>
  <c r="CB116" i="1"/>
  <c r="EE115" i="1"/>
  <c r="DH115" i="1"/>
  <c r="DA115" i="1"/>
  <c r="CY115" i="1"/>
  <c r="CK115" i="1"/>
  <c r="EU115" i="1"/>
  <c r="EV115" i="1"/>
  <c r="CB115" i="1"/>
  <c r="EE114" i="1"/>
  <c r="DH114" i="1"/>
  <c r="DA114" i="1"/>
  <c r="CY114" i="1"/>
  <c r="CK114" i="1"/>
  <c r="CB114" i="1"/>
  <c r="EE113" i="1"/>
  <c r="DH113" i="1"/>
  <c r="DA113" i="1"/>
  <c r="CY113" i="1"/>
  <c r="CK113" i="1"/>
  <c r="CB113" i="1"/>
  <c r="EE112" i="1"/>
  <c r="DH112" i="1"/>
  <c r="DA112" i="1"/>
  <c r="CY112" i="1"/>
  <c r="CK112" i="1"/>
  <c r="CB112" i="1"/>
  <c r="EE111" i="1"/>
  <c r="DH111" i="1"/>
  <c r="DA111" i="1"/>
  <c r="CY111" i="1"/>
  <c r="CK111" i="1"/>
  <c r="CB111" i="1"/>
  <c r="EE110" i="1"/>
  <c r="DH110" i="1"/>
  <c r="DA110" i="1"/>
  <c r="CY110" i="1"/>
  <c r="CK110" i="1"/>
  <c r="CB110" i="1"/>
  <c r="EE109" i="1"/>
  <c r="DH109" i="1"/>
  <c r="DA109" i="1"/>
  <c r="CY109" i="1"/>
  <c r="CK109" i="1"/>
  <c r="CB109" i="1"/>
  <c r="EE108" i="1"/>
  <c r="DH108" i="1"/>
  <c r="DA108" i="1"/>
  <c r="CY108" i="1"/>
  <c r="CK108" i="1"/>
  <c r="CB108" i="1"/>
  <c r="EE107" i="1"/>
  <c r="DH107" i="1"/>
  <c r="DA107" i="1"/>
  <c r="CY107" i="1"/>
  <c r="CK107" i="1"/>
  <c r="CB107" i="1"/>
  <c r="EE106" i="1"/>
  <c r="DH106" i="1"/>
  <c r="DA106" i="1"/>
  <c r="CY106" i="1"/>
  <c r="CK106" i="1"/>
  <c r="CB106" i="1"/>
  <c r="EE105" i="1"/>
  <c r="DH105" i="1"/>
  <c r="DA105" i="1"/>
  <c r="CY105" i="1"/>
  <c r="CK105" i="1"/>
  <c r="EU105" i="1"/>
  <c r="EV105" i="1"/>
  <c r="CB105" i="1"/>
  <c r="EE104" i="1"/>
  <c r="DH104" i="1"/>
  <c r="DA104" i="1"/>
  <c r="CY104" i="1"/>
  <c r="CK104" i="1"/>
  <c r="CB104" i="1"/>
  <c r="EE103" i="1"/>
  <c r="DH103" i="1"/>
  <c r="DA103" i="1"/>
  <c r="CY103" i="1"/>
  <c r="CK103" i="1"/>
  <c r="CB103" i="1"/>
  <c r="EE102" i="1"/>
  <c r="DH102" i="1"/>
  <c r="DA102" i="1"/>
  <c r="CY102" i="1"/>
  <c r="CK102" i="1"/>
  <c r="CB102" i="1"/>
  <c r="EE101" i="1"/>
  <c r="DH101" i="1"/>
  <c r="DA101" i="1"/>
  <c r="CY101" i="1"/>
  <c r="CK101" i="1"/>
  <c r="EU101" i="1"/>
  <c r="EV101" i="1"/>
  <c r="CB101" i="1"/>
  <c r="EE100" i="1"/>
  <c r="DH100" i="1"/>
  <c r="DA100" i="1"/>
  <c r="CY100" i="1"/>
  <c r="CK100" i="1"/>
  <c r="CB100" i="1"/>
  <c r="EE99" i="1"/>
  <c r="DH99" i="1"/>
  <c r="DA99" i="1"/>
  <c r="CY99" i="1"/>
  <c r="CK99" i="1"/>
  <c r="CB99" i="1"/>
  <c r="EE98" i="1"/>
  <c r="DH98" i="1"/>
  <c r="DA98" i="1"/>
  <c r="CY98" i="1"/>
  <c r="CK98" i="1"/>
  <c r="CB98" i="1"/>
  <c r="EE97" i="1"/>
  <c r="DH97" i="1"/>
  <c r="DA97" i="1"/>
  <c r="CY97" i="1"/>
  <c r="CK97" i="1"/>
  <c r="CB97" i="1"/>
  <c r="EE96" i="1"/>
  <c r="DH96" i="1"/>
  <c r="DA96" i="1"/>
  <c r="CY96" i="1"/>
  <c r="CK96" i="1"/>
  <c r="CB96" i="1"/>
  <c r="EE95" i="1"/>
  <c r="DH95" i="1"/>
  <c r="DA95" i="1"/>
  <c r="CY95" i="1"/>
  <c r="CK95" i="1"/>
  <c r="CB95" i="1"/>
  <c r="EE94" i="1"/>
  <c r="DH94" i="1"/>
  <c r="DA94" i="1"/>
  <c r="CY94" i="1"/>
  <c r="CK94" i="1"/>
  <c r="CB94" i="1"/>
  <c r="EE93" i="1"/>
  <c r="DH93" i="1"/>
  <c r="DA93" i="1"/>
  <c r="CY93" i="1"/>
  <c r="CK93" i="1"/>
  <c r="CB93" i="1"/>
  <c r="EE92" i="1"/>
  <c r="DH92" i="1"/>
  <c r="DA92" i="1"/>
  <c r="CY92" i="1"/>
  <c r="CK92" i="1"/>
  <c r="EU92" i="1"/>
  <c r="EV92" i="1"/>
  <c r="CB92" i="1"/>
  <c r="EE91" i="1"/>
  <c r="DH91" i="1"/>
  <c r="DA91" i="1"/>
  <c r="CY91" i="1"/>
  <c r="CK91" i="1"/>
  <c r="EU91" i="1"/>
  <c r="EV91" i="1"/>
  <c r="CB91" i="1"/>
  <c r="EE90" i="1"/>
  <c r="DH90" i="1"/>
  <c r="DA90" i="1"/>
  <c r="CY90" i="1"/>
  <c r="CK90" i="1"/>
  <c r="CB90" i="1"/>
  <c r="EE89" i="1"/>
  <c r="DH89" i="1"/>
  <c r="DA89" i="1"/>
  <c r="CY89" i="1"/>
  <c r="CK89" i="1"/>
  <c r="CB89" i="1"/>
  <c r="EE88" i="1"/>
  <c r="DH88" i="1"/>
  <c r="DA88" i="1"/>
  <c r="CY88" i="1"/>
  <c r="CK88" i="1"/>
  <c r="CB88" i="1"/>
  <c r="EE87" i="1"/>
  <c r="DH87" i="1"/>
  <c r="DA87" i="1"/>
  <c r="CY87" i="1"/>
  <c r="CK87" i="1"/>
  <c r="CB87" i="1"/>
  <c r="EE86" i="1"/>
  <c r="DH86" i="1"/>
  <c r="DA86" i="1"/>
  <c r="CY86" i="1"/>
  <c r="CK86" i="1"/>
  <c r="EU86" i="1"/>
  <c r="EV86" i="1"/>
  <c r="CB86" i="1"/>
  <c r="EE85" i="1"/>
  <c r="DH85" i="1"/>
  <c r="DA85" i="1"/>
  <c r="CY85" i="1"/>
  <c r="CK85" i="1"/>
  <c r="CB85" i="1"/>
  <c r="EE84" i="1"/>
  <c r="DH84" i="1"/>
  <c r="DA84" i="1"/>
  <c r="CY84" i="1"/>
  <c r="CK84" i="1"/>
  <c r="CB84" i="1"/>
  <c r="EE83" i="1"/>
  <c r="DH83" i="1"/>
  <c r="DA83" i="1"/>
  <c r="CY83" i="1"/>
  <c r="CK83" i="1"/>
  <c r="CB83" i="1"/>
  <c r="EE82" i="1"/>
  <c r="DH82" i="1"/>
  <c r="DA82" i="1"/>
  <c r="CY82" i="1"/>
  <c r="CK82" i="1"/>
  <c r="CB82" i="1"/>
  <c r="EE81" i="1"/>
  <c r="DH81" i="1"/>
  <c r="DA81" i="1"/>
  <c r="CY81" i="1"/>
  <c r="CK81" i="1"/>
  <c r="CB81" i="1"/>
  <c r="EE80" i="1"/>
  <c r="DH80" i="1"/>
  <c r="DA80" i="1"/>
  <c r="CY80" i="1"/>
  <c r="CK80" i="1"/>
  <c r="CB80" i="1"/>
  <c r="EE79" i="1"/>
  <c r="DH79" i="1"/>
  <c r="DA79" i="1"/>
  <c r="CY79" i="1"/>
  <c r="CK79" i="1"/>
  <c r="CB79" i="1"/>
  <c r="EE78" i="1"/>
  <c r="DH78" i="1"/>
  <c r="DA78" i="1"/>
  <c r="CY78" i="1"/>
  <c r="CK78" i="1"/>
  <c r="CB78" i="1"/>
  <c r="EE77" i="1"/>
  <c r="DH77" i="1"/>
  <c r="DA77" i="1"/>
  <c r="CY77" i="1"/>
  <c r="CK77" i="1"/>
  <c r="CB77" i="1"/>
  <c r="EE76" i="1"/>
  <c r="DH76" i="1"/>
  <c r="DA76" i="1"/>
  <c r="CY76" i="1"/>
  <c r="CK76" i="1"/>
  <c r="CB76" i="1"/>
  <c r="EE75" i="1"/>
  <c r="DH75" i="1"/>
  <c r="DA75" i="1"/>
  <c r="CY75" i="1"/>
  <c r="CK75" i="1"/>
  <c r="CB75" i="1"/>
  <c r="EE74" i="1"/>
  <c r="DH74" i="1"/>
  <c r="DA74" i="1"/>
  <c r="CY74" i="1"/>
  <c r="CK74" i="1"/>
  <c r="EU74" i="1"/>
  <c r="EV74" i="1"/>
  <c r="CB74" i="1"/>
  <c r="EE73" i="1"/>
  <c r="DH73" i="1"/>
  <c r="DA73" i="1"/>
  <c r="CY73" i="1"/>
  <c r="CK73" i="1"/>
  <c r="CB73" i="1"/>
  <c r="EE72" i="1"/>
  <c r="DH72" i="1"/>
  <c r="DA72" i="1"/>
  <c r="CY72" i="1"/>
  <c r="CK72" i="1"/>
  <c r="CB72" i="1"/>
  <c r="EE71" i="1"/>
  <c r="DH71" i="1"/>
  <c r="DA71" i="1"/>
  <c r="CY71" i="1"/>
  <c r="CK71" i="1"/>
  <c r="CB71" i="1"/>
  <c r="EE70" i="1"/>
  <c r="DH70" i="1"/>
  <c r="DA70" i="1"/>
  <c r="CY70" i="1"/>
  <c r="CK70" i="1"/>
  <c r="CB70" i="1"/>
  <c r="EE69" i="1"/>
  <c r="DH69" i="1"/>
  <c r="DA69" i="1"/>
  <c r="CY69" i="1"/>
  <c r="CK69" i="1"/>
  <c r="CB69" i="1"/>
  <c r="EE68" i="1"/>
  <c r="DH68" i="1"/>
  <c r="DA68" i="1"/>
  <c r="CY68" i="1"/>
  <c r="CK68" i="1"/>
  <c r="CB68" i="1"/>
  <c r="EE67" i="1"/>
  <c r="DH67" i="1"/>
  <c r="CB67" i="1"/>
  <c r="EE66" i="1"/>
  <c r="DH66" i="1"/>
  <c r="DA66" i="1"/>
  <c r="CY66" i="1"/>
  <c r="CK66" i="1"/>
  <c r="EU66" i="1"/>
  <c r="EV66" i="1"/>
  <c r="CB66" i="1"/>
  <c r="EE65" i="1"/>
  <c r="DH65" i="1"/>
  <c r="DA65" i="1"/>
  <c r="CY65" i="1"/>
  <c r="CK65" i="1"/>
  <c r="CB65" i="1"/>
  <c r="EE64" i="1"/>
  <c r="DH64" i="1"/>
  <c r="DA64" i="1"/>
  <c r="CY64" i="1"/>
  <c r="CK64" i="1"/>
  <c r="EU64" i="1"/>
  <c r="EV64" i="1"/>
  <c r="CB64" i="1"/>
  <c r="EE63" i="1"/>
  <c r="DH63" i="1"/>
  <c r="DA63" i="1"/>
  <c r="CY63" i="1"/>
  <c r="CK63" i="1"/>
  <c r="CB63" i="1"/>
  <c r="EE62" i="1"/>
  <c r="DH62" i="1"/>
  <c r="DA62" i="1"/>
  <c r="CY62" i="1"/>
  <c r="CK62" i="1"/>
  <c r="EU62" i="1"/>
  <c r="EV62" i="1"/>
  <c r="CB62" i="1"/>
  <c r="EE61" i="1"/>
  <c r="DH61" i="1"/>
  <c r="DA61" i="1"/>
  <c r="CY61" i="1"/>
  <c r="CK61" i="1"/>
  <c r="EU61" i="1"/>
  <c r="EV61" i="1"/>
  <c r="CB61" i="1"/>
  <c r="EE60" i="1"/>
  <c r="DH60" i="1"/>
  <c r="DA60" i="1"/>
  <c r="CY60" i="1"/>
  <c r="CK60" i="1"/>
  <c r="CB60" i="1"/>
  <c r="DH59" i="1"/>
  <c r="CK59" i="1"/>
  <c r="CB59" i="1"/>
  <c r="EE58" i="1"/>
  <c r="DH58" i="1"/>
  <c r="DA58" i="1"/>
  <c r="CY58" i="1"/>
  <c r="CK58" i="1"/>
  <c r="EU58" i="1"/>
  <c r="CB58" i="1"/>
  <c r="EE57" i="1"/>
  <c r="DH57" i="1"/>
  <c r="DA57" i="1"/>
  <c r="CY57" i="1"/>
  <c r="CK57" i="1"/>
  <c r="CB57" i="1"/>
  <c r="EE56" i="1"/>
  <c r="DH56" i="1"/>
  <c r="DA56" i="1"/>
  <c r="CY56" i="1"/>
  <c r="CK56" i="1"/>
  <c r="CB56" i="1"/>
  <c r="EE55" i="1"/>
  <c r="DH55" i="1"/>
  <c r="DA55" i="1"/>
  <c r="CY55" i="1"/>
  <c r="CK55" i="1"/>
  <c r="CB55" i="1"/>
  <c r="EE54" i="1"/>
  <c r="DH54" i="1"/>
  <c r="DA54" i="1"/>
  <c r="CY54" i="1"/>
  <c r="CK54" i="1"/>
  <c r="CB54" i="1"/>
  <c r="EE53" i="1"/>
  <c r="DH53" i="1"/>
  <c r="DA53" i="1"/>
  <c r="CY53" i="1"/>
  <c r="CK53" i="1"/>
  <c r="CB53" i="1"/>
  <c r="EE52" i="1"/>
  <c r="DH52" i="1"/>
  <c r="DA52" i="1"/>
  <c r="CY52" i="1"/>
  <c r="CK52" i="1"/>
  <c r="EU52" i="1"/>
  <c r="EV52" i="1"/>
  <c r="CB52" i="1"/>
  <c r="EE51" i="1"/>
  <c r="DH51" i="1"/>
  <c r="DA51" i="1"/>
  <c r="CY51" i="1"/>
  <c r="CK51" i="1"/>
  <c r="CB51" i="1"/>
  <c r="EE50" i="1"/>
  <c r="DH50" i="1"/>
  <c r="DA50" i="1"/>
  <c r="CY50" i="1"/>
  <c r="CK50" i="1"/>
  <c r="CB50" i="1"/>
  <c r="EE49" i="1"/>
  <c r="DH49" i="1"/>
  <c r="DA49" i="1"/>
  <c r="CY49" i="1"/>
  <c r="CK49" i="1"/>
  <c r="CB49" i="1"/>
  <c r="EE48" i="1"/>
  <c r="DH48" i="1"/>
  <c r="DA48" i="1"/>
  <c r="CY48" i="1"/>
  <c r="CK48" i="1"/>
  <c r="CB48" i="1"/>
  <c r="EE47" i="1"/>
  <c r="DH47" i="1"/>
  <c r="DA47" i="1"/>
  <c r="CY47" i="1"/>
  <c r="CK47" i="1"/>
  <c r="CB47" i="1"/>
  <c r="EE46" i="1"/>
  <c r="DH46" i="1"/>
  <c r="DA46" i="1"/>
  <c r="CY46" i="1"/>
  <c r="CK46" i="1"/>
  <c r="CB46" i="1"/>
  <c r="EE45" i="1"/>
  <c r="DH45" i="1"/>
  <c r="DA45" i="1"/>
  <c r="CY45" i="1"/>
  <c r="CK45" i="1"/>
  <c r="CB45" i="1"/>
  <c r="EE44" i="1"/>
  <c r="DH44" i="1"/>
  <c r="DA44" i="1"/>
  <c r="CY44" i="1"/>
  <c r="CK44" i="1"/>
  <c r="CB44" i="1"/>
  <c r="EE43" i="1"/>
  <c r="DH43" i="1"/>
  <c r="DA43" i="1"/>
  <c r="CY43" i="1"/>
  <c r="CK43" i="1"/>
  <c r="CB43" i="1"/>
  <c r="EE42" i="1"/>
  <c r="DH42" i="1"/>
  <c r="DA42" i="1"/>
  <c r="CY42" i="1"/>
  <c r="CK42" i="1"/>
  <c r="CB42" i="1"/>
  <c r="EE41" i="1"/>
  <c r="DH41" i="1"/>
  <c r="DA41" i="1"/>
  <c r="CY41" i="1"/>
  <c r="CK41" i="1"/>
  <c r="CB41" i="1"/>
  <c r="EE40" i="1"/>
  <c r="DH40" i="1"/>
  <c r="DA40" i="1"/>
  <c r="CY40" i="1"/>
  <c r="CK40" i="1"/>
  <c r="CB40" i="1"/>
  <c r="EE39" i="1"/>
  <c r="DH39" i="1"/>
  <c r="DA39" i="1"/>
  <c r="CY39" i="1"/>
  <c r="CK39" i="1"/>
  <c r="CB39" i="1"/>
  <c r="EE38" i="1"/>
  <c r="DH38" i="1"/>
  <c r="DA38" i="1"/>
  <c r="CY38" i="1"/>
  <c r="CK38" i="1"/>
  <c r="CB38" i="1"/>
  <c r="EE37" i="1"/>
  <c r="DH37" i="1"/>
  <c r="DA37" i="1"/>
  <c r="CY37" i="1"/>
  <c r="CK37" i="1"/>
  <c r="CB37" i="1"/>
  <c r="EE36" i="1"/>
  <c r="DH36" i="1"/>
  <c r="DA36" i="1"/>
  <c r="CY36" i="1"/>
  <c r="CK36" i="1"/>
  <c r="CB36" i="1"/>
  <c r="EE35" i="1"/>
  <c r="DH35" i="1"/>
  <c r="DA35" i="1"/>
  <c r="CY35" i="1"/>
  <c r="CK35" i="1"/>
  <c r="CB35" i="1"/>
  <c r="EE34" i="1"/>
  <c r="DH34" i="1"/>
  <c r="DA34" i="1"/>
  <c r="CY34" i="1"/>
  <c r="CK34" i="1"/>
  <c r="CB34" i="1"/>
  <c r="EE33" i="1"/>
  <c r="DH33" i="1"/>
  <c r="DA33" i="1"/>
  <c r="CY33" i="1"/>
  <c r="CK33" i="1"/>
  <c r="CB33" i="1"/>
  <c r="EE32" i="1"/>
  <c r="DH32" i="1"/>
  <c r="DA32" i="1"/>
  <c r="CY32" i="1"/>
  <c r="CK32" i="1"/>
  <c r="EU32" i="1"/>
  <c r="EV32" i="1"/>
  <c r="CB32" i="1"/>
  <c r="EE31" i="1"/>
  <c r="DH31" i="1"/>
  <c r="DA31" i="1"/>
  <c r="CY31" i="1"/>
  <c r="CK31" i="1"/>
  <c r="EU31" i="1"/>
  <c r="EV31" i="1"/>
  <c r="CB31" i="1"/>
  <c r="EE30" i="1"/>
  <c r="DH30" i="1"/>
  <c r="DA30" i="1"/>
  <c r="CY30" i="1"/>
  <c r="CK30" i="1"/>
  <c r="CB30" i="1"/>
  <c r="EE29" i="1"/>
  <c r="DH29" i="1"/>
  <c r="DA29" i="1"/>
  <c r="CY29" i="1"/>
  <c r="CK29" i="1"/>
  <c r="EU29" i="1"/>
  <c r="EV29" i="1"/>
  <c r="CB29" i="1"/>
  <c r="EE28" i="1"/>
  <c r="DH28" i="1"/>
  <c r="DA28" i="1"/>
  <c r="CY28" i="1"/>
  <c r="CK28" i="1"/>
  <c r="CB28" i="1"/>
  <c r="EE27" i="1"/>
  <c r="DH27" i="1"/>
  <c r="DA27" i="1"/>
  <c r="CY27" i="1"/>
  <c r="CK27" i="1"/>
  <c r="CB27" i="1"/>
  <c r="EE26" i="1"/>
  <c r="DH26" i="1"/>
  <c r="DA26" i="1"/>
  <c r="CY26" i="1"/>
  <c r="CK26" i="1"/>
  <c r="CB26" i="1"/>
  <c r="EE25" i="1"/>
  <c r="DH25" i="1"/>
  <c r="DA25" i="1"/>
  <c r="CY25" i="1"/>
  <c r="CK25" i="1"/>
  <c r="CB25" i="1"/>
  <c r="EE24" i="1"/>
  <c r="DH24" i="1"/>
  <c r="DA24" i="1"/>
  <c r="CY24" i="1"/>
  <c r="CK24" i="1"/>
  <c r="CB24" i="1"/>
  <c r="EE23" i="1"/>
  <c r="DH23" i="1"/>
  <c r="DA23" i="1"/>
  <c r="CY23" i="1"/>
  <c r="CK23" i="1"/>
  <c r="CB23" i="1"/>
  <c r="EE22" i="1"/>
  <c r="DH22" i="1"/>
  <c r="DA22" i="1"/>
  <c r="CY22" i="1"/>
  <c r="CK22" i="1"/>
  <c r="CB22" i="1"/>
  <c r="CK21" i="1"/>
  <c r="EE20" i="1"/>
  <c r="DH20" i="1"/>
  <c r="DA20" i="1"/>
  <c r="CY20" i="1"/>
  <c r="CK20" i="1"/>
  <c r="CB20" i="1"/>
  <c r="EE19" i="1"/>
  <c r="DH19" i="1"/>
  <c r="DA19" i="1"/>
  <c r="CY19" i="1"/>
  <c r="CK19" i="1"/>
  <c r="CB19" i="1"/>
  <c r="EE18" i="1"/>
  <c r="DH18" i="1"/>
  <c r="DA18" i="1"/>
  <c r="CY18" i="1"/>
  <c r="CK18" i="1"/>
  <c r="CB18" i="1"/>
  <c r="EE17" i="1"/>
  <c r="DH17" i="1"/>
  <c r="DA17" i="1"/>
  <c r="CY17" i="1"/>
  <c r="CK17" i="1"/>
  <c r="CB17" i="1"/>
  <c r="EE16" i="1"/>
  <c r="DH16" i="1"/>
  <c r="DA16" i="1"/>
  <c r="CY16" i="1"/>
  <c r="CK16" i="1"/>
  <c r="CB16" i="1"/>
  <c r="EE15" i="1"/>
  <c r="DH15" i="1"/>
  <c r="DA15" i="1"/>
  <c r="CY15" i="1"/>
  <c r="CK15" i="1"/>
  <c r="CB15" i="1"/>
  <c r="EE14" i="1"/>
  <c r="DH14" i="1"/>
  <c r="DA14" i="1"/>
  <c r="CY14" i="1"/>
  <c r="CK14" i="1"/>
  <c r="CB14" i="1"/>
  <c r="EE13" i="1"/>
  <c r="DH13" i="1"/>
  <c r="DA13" i="1"/>
  <c r="CY13" i="1"/>
  <c r="CK13" i="1"/>
  <c r="CB13" i="1"/>
  <c r="EE12" i="1"/>
  <c r="DH12" i="1"/>
  <c r="DA12" i="1"/>
  <c r="CY12" i="1"/>
  <c r="CK12" i="1"/>
  <c r="CB12" i="1"/>
  <c r="EE11" i="1"/>
  <c r="DH11" i="1"/>
  <c r="DA11" i="1"/>
  <c r="CY11" i="1"/>
  <c r="CK11" i="1"/>
  <c r="CB11" i="1"/>
  <c r="EE10" i="1"/>
  <c r="DH10" i="1"/>
  <c r="DA10" i="1"/>
  <c r="CY10" i="1"/>
  <c r="CK10" i="1"/>
  <c r="CB10" i="1"/>
  <c r="EE9" i="1"/>
  <c r="DH9" i="1"/>
  <c r="DA9" i="1"/>
  <c r="CY9" i="1"/>
  <c r="CK9" i="1"/>
  <c r="CB9" i="1"/>
  <c r="EE8" i="1"/>
  <c r="DH8" i="1"/>
  <c r="DA8" i="1"/>
  <c r="CY8" i="1"/>
  <c r="CK8" i="1"/>
  <c r="CB8" i="1"/>
  <c r="EE7" i="1"/>
  <c r="DH7" i="1"/>
  <c r="DA7" i="1"/>
  <c r="CY7" i="1"/>
  <c r="CK7" i="1"/>
  <c r="CB7" i="1"/>
  <c r="EE6" i="1"/>
  <c r="DH6" i="1"/>
  <c r="DA6" i="1"/>
  <c r="CY6" i="1"/>
  <c r="CK6" i="1"/>
  <c r="CB6" i="1"/>
  <c r="EW5" i="1"/>
  <c r="EU5" i="1"/>
  <c r="EV5" i="1"/>
  <c r="ET5" i="1"/>
  <c r="EQ5" i="1"/>
  <c r="EP5" i="1"/>
  <c r="EN5" i="1"/>
  <c r="EM5" i="1"/>
  <c r="EL5" i="1"/>
  <c r="EE5" i="1"/>
  <c r="DH5" i="1"/>
  <c r="DA5" i="1"/>
  <c r="CY5" i="1"/>
  <c r="CK5" i="1"/>
  <c r="CB5" i="1"/>
  <c r="DB599" i="1"/>
  <c r="DB612" i="1"/>
  <c r="DB604" i="1"/>
  <c r="DB684" i="1"/>
  <c r="DB582" i="1"/>
  <c r="DB730" i="1"/>
  <c r="DB600" i="1"/>
  <c r="DB601" i="1"/>
  <c r="DB620" i="1"/>
  <c r="EU392" i="1"/>
  <c r="EV392" i="1"/>
  <c r="DB392" i="1"/>
  <c r="EU397" i="1"/>
  <c r="EV397" i="1"/>
  <c r="DB397" i="1"/>
  <c r="DB607" i="1"/>
  <c r="DB594" i="1"/>
  <c r="DB595" i="1"/>
  <c r="DB591" i="1"/>
  <c r="DB624" i="1"/>
  <c r="DB914" i="1"/>
  <c r="DB732" i="1"/>
  <c r="DB733" i="1"/>
  <c r="DB923" i="1"/>
  <c r="DB602" i="1"/>
  <c r="DB558" i="1"/>
  <c r="DB603" i="1"/>
  <c r="DB589" i="1"/>
  <c r="DB592" i="1"/>
  <c r="DB583" i="1"/>
  <c r="DB575" i="1"/>
  <c r="DB731" i="1"/>
  <c r="DB925" i="1"/>
  <c r="DB924" i="1"/>
  <c r="DB789" i="1"/>
  <c r="DB792" i="1"/>
  <c r="DB581" i="1"/>
  <c r="DB588" i="1"/>
  <c r="DB578" i="1"/>
  <c r="DB585" i="1"/>
  <c r="DB587" i="1"/>
  <c r="DB593" i="1"/>
  <c r="DB579" i="1"/>
  <c r="DB584" i="1"/>
  <c r="DB598" i="1"/>
  <c r="DB895" i="1"/>
  <c r="DB573" i="1"/>
  <c r="DB660" i="1"/>
  <c r="DB586" i="1"/>
  <c r="A2" i="6"/>
  <c r="B467" i="6"/>
  <c r="C467" i="6"/>
  <c r="U467" i="6"/>
  <c r="D467" i="6"/>
  <c r="E467" i="6"/>
  <c r="F467" i="6"/>
  <c r="G467" i="6"/>
  <c r="H467" i="6"/>
  <c r="I467" i="6"/>
  <c r="J467" i="6"/>
  <c r="K467" i="6"/>
  <c r="L467" i="6"/>
  <c r="M467" i="6"/>
  <c r="N467" i="6"/>
  <c r="O467" i="6"/>
  <c r="P467" i="6"/>
  <c r="Q467" i="6"/>
  <c r="R467" i="6"/>
  <c r="S467" i="6"/>
  <c r="T467" i="6"/>
  <c r="B468" i="6"/>
  <c r="C468" i="6"/>
  <c r="U468" i="6"/>
  <c r="D468" i="6"/>
  <c r="E468" i="6"/>
  <c r="F468" i="6"/>
  <c r="G468" i="6"/>
  <c r="H468" i="6"/>
  <c r="I468" i="6"/>
  <c r="J468" i="6"/>
  <c r="K468" i="6"/>
  <c r="L468" i="6"/>
  <c r="M468" i="6"/>
  <c r="N468" i="6"/>
  <c r="O468" i="6"/>
  <c r="P468" i="6"/>
  <c r="Q468" i="6"/>
  <c r="R468" i="6"/>
  <c r="S468" i="6"/>
  <c r="T468" i="6"/>
  <c r="B469" i="6"/>
  <c r="C469" i="6"/>
  <c r="U469" i="6"/>
  <c r="D469" i="6"/>
  <c r="E469" i="6"/>
  <c r="F469" i="6"/>
  <c r="G469" i="6"/>
  <c r="H469" i="6"/>
  <c r="I469" i="6"/>
  <c r="J469" i="6"/>
  <c r="K469" i="6"/>
  <c r="L469" i="6"/>
  <c r="M469" i="6"/>
  <c r="N469" i="6"/>
  <c r="O469" i="6"/>
  <c r="P469" i="6"/>
  <c r="Q469" i="6"/>
  <c r="R469" i="6"/>
  <c r="S469" i="6"/>
  <c r="T469" i="6"/>
  <c r="B442" i="6"/>
  <c r="C442" i="6"/>
  <c r="U442" i="6"/>
  <c r="D442" i="6"/>
  <c r="E442" i="6"/>
  <c r="F442" i="6"/>
  <c r="G442" i="6"/>
  <c r="H442" i="6"/>
  <c r="I442" i="6"/>
  <c r="J442" i="6"/>
  <c r="K442" i="6"/>
  <c r="L442" i="6"/>
  <c r="M442" i="6"/>
  <c r="N442" i="6"/>
  <c r="O442" i="6"/>
  <c r="P442" i="6"/>
  <c r="Q442" i="6"/>
  <c r="R442" i="6"/>
  <c r="S442" i="6"/>
  <c r="T442" i="6"/>
  <c r="B443" i="6"/>
  <c r="C443" i="6"/>
  <c r="U443" i="6"/>
  <c r="D443" i="6"/>
  <c r="E443" i="6"/>
  <c r="F443" i="6"/>
  <c r="G443" i="6"/>
  <c r="H443" i="6"/>
  <c r="I443" i="6"/>
  <c r="J443" i="6"/>
  <c r="K443" i="6"/>
  <c r="L443" i="6"/>
  <c r="M443" i="6"/>
  <c r="N443" i="6"/>
  <c r="O443" i="6"/>
  <c r="P443" i="6"/>
  <c r="Q443" i="6"/>
  <c r="R443" i="6"/>
  <c r="S443" i="6"/>
  <c r="T443" i="6"/>
  <c r="B444" i="6"/>
  <c r="C444" i="6"/>
  <c r="U444" i="6"/>
  <c r="D444" i="6"/>
  <c r="E444" i="6"/>
  <c r="F444" i="6"/>
  <c r="G444" i="6"/>
  <c r="H444" i="6"/>
  <c r="I444" i="6"/>
  <c r="J444" i="6"/>
  <c r="K444" i="6"/>
  <c r="L444" i="6"/>
  <c r="M444" i="6"/>
  <c r="N444" i="6"/>
  <c r="O444" i="6"/>
  <c r="P444" i="6"/>
  <c r="Q444" i="6"/>
  <c r="R444" i="6"/>
  <c r="S444" i="6"/>
  <c r="T444" i="6"/>
  <c r="B445" i="6"/>
  <c r="C445" i="6"/>
  <c r="U445" i="6"/>
  <c r="D445" i="6"/>
  <c r="E445" i="6"/>
  <c r="F445" i="6"/>
  <c r="G445" i="6"/>
  <c r="H445" i="6"/>
  <c r="I445" i="6"/>
  <c r="J445" i="6"/>
  <c r="K445" i="6"/>
  <c r="L445" i="6"/>
  <c r="M445" i="6"/>
  <c r="N445" i="6"/>
  <c r="O445" i="6"/>
  <c r="P445" i="6"/>
  <c r="Q445" i="6"/>
  <c r="R445" i="6"/>
  <c r="S445" i="6"/>
  <c r="T445" i="6"/>
  <c r="B446" i="6"/>
  <c r="C446" i="6"/>
  <c r="U446" i="6"/>
  <c r="D446" i="6"/>
  <c r="E446" i="6"/>
  <c r="F446" i="6"/>
  <c r="G446" i="6"/>
  <c r="H446" i="6"/>
  <c r="I446" i="6"/>
  <c r="J446" i="6"/>
  <c r="K446" i="6"/>
  <c r="L446" i="6"/>
  <c r="M446" i="6"/>
  <c r="N446" i="6"/>
  <c r="O446" i="6"/>
  <c r="P446" i="6"/>
  <c r="Q446" i="6"/>
  <c r="R446" i="6"/>
  <c r="S446" i="6"/>
  <c r="T446" i="6"/>
  <c r="B447" i="6"/>
  <c r="C447" i="6"/>
  <c r="U447" i="6"/>
  <c r="D447" i="6"/>
  <c r="E447" i="6"/>
  <c r="F447" i="6"/>
  <c r="G447" i="6"/>
  <c r="H447" i="6"/>
  <c r="I447" i="6"/>
  <c r="J447" i="6"/>
  <c r="K447" i="6"/>
  <c r="L447" i="6"/>
  <c r="M447" i="6"/>
  <c r="N447" i="6"/>
  <c r="O447" i="6"/>
  <c r="P447" i="6"/>
  <c r="Q447" i="6"/>
  <c r="R447" i="6"/>
  <c r="S447" i="6"/>
  <c r="T447" i="6"/>
  <c r="B448" i="6"/>
  <c r="C448" i="6"/>
  <c r="U448" i="6"/>
  <c r="D448" i="6"/>
  <c r="E448" i="6"/>
  <c r="F448" i="6"/>
  <c r="G448" i="6"/>
  <c r="H448" i="6"/>
  <c r="I448" i="6"/>
  <c r="J448" i="6"/>
  <c r="K448" i="6"/>
  <c r="L448" i="6"/>
  <c r="M448" i="6"/>
  <c r="N448" i="6"/>
  <c r="O448" i="6"/>
  <c r="P448" i="6"/>
  <c r="Q448" i="6"/>
  <c r="R448" i="6"/>
  <c r="S448" i="6"/>
  <c r="T448" i="6"/>
  <c r="B449" i="6"/>
  <c r="C449" i="6"/>
  <c r="U449" i="6"/>
  <c r="D449" i="6"/>
  <c r="E449" i="6"/>
  <c r="F449" i="6"/>
  <c r="G449" i="6"/>
  <c r="H449" i="6"/>
  <c r="I449" i="6"/>
  <c r="J449" i="6"/>
  <c r="K449" i="6"/>
  <c r="L449" i="6"/>
  <c r="M449" i="6"/>
  <c r="N449" i="6"/>
  <c r="O449" i="6"/>
  <c r="P449" i="6"/>
  <c r="Q449" i="6"/>
  <c r="R449" i="6"/>
  <c r="S449" i="6"/>
  <c r="T449" i="6"/>
  <c r="B450" i="6"/>
  <c r="C450" i="6"/>
  <c r="U450" i="6"/>
  <c r="D450" i="6"/>
  <c r="E450" i="6"/>
  <c r="F450" i="6"/>
  <c r="G450" i="6"/>
  <c r="H450" i="6"/>
  <c r="I450" i="6"/>
  <c r="J450" i="6"/>
  <c r="K450" i="6"/>
  <c r="L450" i="6"/>
  <c r="M450" i="6"/>
  <c r="N450" i="6"/>
  <c r="O450" i="6"/>
  <c r="P450" i="6"/>
  <c r="Q450" i="6"/>
  <c r="R450" i="6"/>
  <c r="S450" i="6"/>
  <c r="T450" i="6"/>
  <c r="B451" i="6"/>
  <c r="C451" i="6"/>
  <c r="U451" i="6"/>
  <c r="D451" i="6"/>
  <c r="E451" i="6"/>
  <c r="F451" i="6"/>
  <c r="G451" i="6"/>
  <c r="H451" i="6"/>
  <c r="I451" i="6"/>
  <c r="J451" i="6"/>
  <c r="K451" i="6"/>
  <c r="L451" i="6"/>
  <c r="M451" i="6"/>
  <c r="N451" i="6"/>
  <c r="O451" i="6"/>
  <c r="P451" i="6"/>
  <c r="Q451" i="6"/>
  <c r="R451" i="6"/>
  <c r="S451" i="6"/>
  <c r="T451" i="6"/>
  <c r="B452" i="6"/>
  <c r="C452" i="6"/>
  <c r="U452" i="6"/>
  <c r="D452" i="6"/>
  <c r="E452" i="6"/>
  <c r="F452" i="6"/>
  <c r="G452" i="6"/>
  <c r="H452" i="6"/>
  <c r="I452" i="6"/>
  <c r="J452" i="6"/>
  <c r="K452" i="6"/>
  <c r="L452" i="6"/>
  <c r="M452" i="6"/>
  <c r="N452" i="6"/>
  <c r="O452" i="6"/>
  <c r="P452" i="6"/>
  <c r="Q452" i="6"/>
  <c r="R452" i="6"/>
  <c r="S452" i="6"/>
  <c r="T452" i="6"/>
  <c r="B453" i="6"/>
  <c r="C453" i="6"/>
  <c r="U453" i="6"/>
  <c r="D453" i="6"/>
  <c r="E453" i="6"/>
  <c r="F453" i="6"/>
  <c r="G453" i="6"/>
  <c r="H453" i="6"/>
  <c r="I453" i="6"/>
  <c r="J453" i="6"/>
  <c r="K453" i="6"/>
  <c r="L453" i="6"/>
  <c r="M453" i="6"/>
  <c r="N453" i="6"/>
  <c r="O453" i="6"/>
  <c r="P453" i="6"/>
  <c r="Q453" i="6"/>
  <c r="R453" i="6"/>
  <c r="S453" i="6"/>
  <c r="T453" i="6"/>
  <c r="B454" i="6"/>
  <c r="C454" i="6"/>
  <c r="U454" i="6"/>
  <c r="D454" i="6"/>
  <c r="E454" i="6"/>
  <c r="F454" i="6"/>
  <c r="G454" i="6"/>
  <c r="H454" i="6"/>
  <c r="I454" i="6"/>
  <c r="J454" i="6"/>
  <c r="K454" i="6"/>
  <c r="L454" i="6"/>
  <c r="M454" i="6"/>
  <c r="N454" i="6"/>
  <c r="O454" i="6"/>
  <c r="P454" i="6"/>
  <c r="Q454" i="6"/>
  <c r="R454" i="6"/>
  <c r="S454" i="6"/>
  <c r="T454" i="6"/>
  <c r="B455" i="6"/>
  <c r="C455" i="6"/>
  <c r="U455" i="6"/>
  <c r="D455" i="6"/>
  <c r="E455" i="6"/>
  <c r="F455" i="6"/>
  <c r="G455" i="6"/>
  <c r="H455" i="6"/>
  <c r="I455" i="6"/>
  <c r="J455" i="6"/>
  <c r="K455" i="6"/>
  <c r="L455" i="6"/>
  <c r="M455" i="6"/>
  <c r="N455" i="6"/>
  <c r="O455" i="6"/>
  <c r="P455" i="6"/>
  <c r="Q455" i="6"/>
  <c r="R455" i="6"/>
  <c r="S455" i="6"/>
  <c r="T455" i="6"/>
  <c r="B456" i="6"/>
  <c r="C456" i="6"/>
  <c r="U456" i="6"/>
  <c r="D456" i="6"/>
  <c r="E456" i="6"/>
  <c r="F456" i="6"/>
  <c r="G456" i="6"/>
  <c r="H456" i="6"/>
  <c r="I456" i="6"/>
  <c r="J456" i="6"/>
  <c r="K456" i="6"/>
  <c r="L456" i="6"/>
  <c r="M456" i="6"/>
  <c r="N456" i="6"/>
  <c r="O456" i="6"/>
  <c r="P456" i="6"/>
  <c r="Q456" i="6"/>
  <c r="R456" i="6"/>
  <c r="S456" i="6"/>
  <c r="T456" i="6"/>
  <c r="B457" i="6"/>
  <c r="C457" i="6"/>
  <c r="U457" i="6"/>
  <c r="D457" i="6"/>
  <c r="E457" i="6"/>
  <c r="F457" i="6"/>
  <c r="G457" i="6"/>
  <c r="H457" i="6"/>
  <c r="I457" i="6"/>
  <c r="J457" i="6"/>
  <c r="K457" i="6"/>
  <c r="L457" i="6"/>
  <c r="M457" i="6"/>
  <c r="N457" i="6"/>
  <c r="O457" i="6"/>
  <c r="P457" i="6"/>
  <c r="Q457" i="6"/>
  <c r="R457" i="6"/>
  <c r="S457" i="6"/>
  <c r="T457" i="6"/>
  <c r="B458" i="6"/>
  <c r="C458" i="6"/>
  <c r="U458" i="6"/>
  <c r="D458" i="6"/>
  <c r="E458" i="6"/>
  <c r="F458" i="6"/>
  <c r="G458" i="6"/>
  <c r="H458" i="6"/>
  <c r="I458" i="6"/>
  <c r="J458" i="6"/>
  <c r="K458" i="6"/>
  <c r="L458" i="6"/>
  <c r="M458" i="6"/>
  <c r="N458" i="6"/>
  <c r="O458" i="6"/>
  <c r="P458" i="6"/>
  <c r="Q458" i="6"/>
  <c r="R458" i="6"/>
  <c r="S458" i="6"/>
  <c r="T458" i="6"/>
  <c r="B459" i="6"/>
  <c r="C459" i="6"/>
  <c r="U459" i="6"/>
  <c r="D459" i="6"/>
  <c r="E459" i="6"/>
  <c r="F459" i="6"/>
  <c r="G459" i="6"/>
  <c r="H459" i="6"/>
  <c r="I459" i="6"/>
  <c r="J459" i="6"/>
  <c r="K459" i="6"/>
  <c r="L459" i="6"/>
  <c r="M459" i="6"/>
  <c r="N459" i="6"/>
  <c r="O459" i="6"/>
  <c r="P459" i="6"/>
  <c r="Q459" i="6"/>
  <c r="R459" i="6"/>
  <c r="S459" i="6"/>
  <c r="T459" i="6"/>
  <c r="B460" i="6"/>
  <c r="C460" i="6"/>
  <c r="U460" i="6"/>
  <c r="D460" i="6"/>
  <c r="E460" i="6"/>
  <c r="F460" i="6"/>
  <c r="G460" i="6"/>
  <c r="H460" i="6"/>
  <c r="I460" i="6"/>
  <c r="J460" i="6"/>
  <c r="K460" i="6"/>
  <c r="L460" i="6"/>
  <c r="M460" i="6"/>
  <c r="N460" i="6"/>
  <c r="O460" i="6"/>
  <c r="P460" i="6"/>
  <c r="Q460" i="6"/>
  <c r="R460" i="6"/>
  <c r="S460" i="6"/>
  <c r="T460" i="6"/>
  <c r="B461" i="6"/>
  <c r="C461" i="6"/>
  <c r="U461" i="6"/>
  <c r="D461" i="6"/>
  <c r="E461" i="6"/>
  <c r="F461" i="6"/>
  <c r="G461" i="6"/>
  <c r="H461" i="6"/>
  <c r="I461" i="6"/>
  <c r="J461" i="6"/>
  <c r="K461" i="6"/>
  <c r="L461" i="6"/>
  <c r="M461" i="6"/>
  <c r="N461" i="6"/>
  <c r="O461" i="6"/>
  <c r="P461" i="6"/>
  <c r="Q461" i="6"/>
  <c r="R461" i="6"/>
  <c r="S461" i="6"/>
  <c r="T461" i="6"/>
  <c r="B462" i="6"/>
  <c r="C462" i="6"/>
  <c r="U462" i="6"/>
  <c r="D462" i="6"/>
  <c r="E462" i="6"/>
  <c r="F462" i="6"/>
  <c r="G462" i="6"/>
  <c r="H462" i="6"/>
  <c r="I462" i="6"/>
  <c r="J462" i="6"/>
  <c r="K462" i="6"/>
  <c r="L462" i="6"/>
  <c r="M462" i="6"/>
  <c r="N462" i="6"/>
  <c r="O462" i="6"/>
  <c r="P462" i="6"/>
  <c r="Q462" i="6"/>
  <c r="R462" i="6"/>
  <c r="S462" i="6"/>
  <c r="T462" i="6"/>
  <c r="B463" i="6"/>
  <c r="C463" i="6"/>
  <c r="U463" i="6"/>
  <c r="D463" i="6"/>
  <c r="E463" i="6"/>
  <c r="F463" i="6"/>
  <c r="G463" i="6"/>
  <c r="H463" i="6"/>
  <c r="I463" i="6"/>
  <c r="J463" i="6"/>
  <c r="K463" i="6"/>
  <c r="L463" i="6"/>
  <c r="M463" i="6"/>
  <c r="N463" i="6"/>
  <c r="O463" i="6"/>
  <c r="P463" i="6"/>
  <c r="Q463" i="6"/>
  <c r="R463" i="6"/>
  <c r="S463" i="6"/>
  <c r="T463" i="6"/>
  <c r="B464" i="6"/>
  <c r="C464" i="6"/>
  <c r="U464" i="6"/>
  <c r="D464" i="6"/>
  <c r="E464" i="6"/>
  <c r="F464" i="6"/>
  <c r="G464" i="6"/>
  <c r="H464" i="6"/>
  <c r="I464" i="6"/>
  <c r="J464" i="6"/>
  <c r="K464" i="6"/>
  <c r="L464" i="6"/>
  <c r="M464" i="6"/>
  <c r="N464" i="6"/>
  <c r="O464" i="6"/>
  <c r="P464" i="6"/>
  <c r="Q464" i="6"/>
  <c r="R464" i="6"/>
  <c r="S464" i="6"/>
  <c r="T464" i="6"/>
  <c r="B465" i="6"/>
  <c r="C465" i="6"/>
  <c r="U465" i="6"/>
  <c r="D465" i="6"/>
  <c r="E465" i="6"/>
  <c r="F465" i="6"/>
  <c r="G465" i="6"/>
  <c r="H465" i="6"/>
  <c r="I465" i="6"/>
  <c r="J465" i="6"/>
  <c r="K465" i="6"/>
  <c r="L465" i="6"/>
  <c r="M465" i="6"/>
  <c r="N465" i="6"/>
  <c r="O465" i="6"/>
  <c r="P465" i="6"/>
  <c r="Q465" i="6"/>
  <c r="R465" i="6"/>
  <c r="S465" i="6"/>
  <c r="T465" i="6"/>
  <c r="B466" i="6"/>
  <c r="C466" i="6"/>
  <c r="U466" i="6"/>
  <c r="D466" i="6"/>
  <c r="E466" i="6"/>
  <c r="F466" i="6"/>
  <c r="G466" i="6"/>
  <c r="H466" i="6"/>
  <c r="I466" i="6"/>
  <c r="J466" i="6"/>
  <c r="K466" i="6"/>
  <c r="L466" i="6"/>
  <c r="M466" i="6"/>
  <c r="N466" i="6"/>
  <c r="O466" i="6"/>
  <c r="P466" i="6"/>
  <c r="Q466" i="6"/>
  <c r="R466" i="6"/>
  <c r="S466" i="6"/>
  <c r="T466" i="6"/>
  <c r="B414" i="6"/>
  <c r="C414" i="6"/>
  <c r="U414" i="6"/>
  <c r="D414" i="6"/>
  <c r="E414" i="6"/>
  <c r="F414" i="6"/>
  <c r="G414" i="6"/>
  <c r="H414" i="6"/>
  <c r="I414" i="6"/>
  <c r="J414" i="6"/>
  <c r="K414" i="6"/>
  <c r="L414" i="6"/>
  <c r="M414" i="6"/>
  <c r="N414" i="6"/>
  <c r="O414" i="6"/>
  <c r="P414" i="6"/>
  <c r="Q414" i="6"/>
  <c r="R414" i="6"/>
  <c r="S414" i="6"/>
  <c r="T414" i="6"/>
  <c r="B415" i="6"/>
  <c r="C415" i="6"/>
  <c r="U415" i="6"/>
  <c r="D415" i="6"/>
  <c r="E415" i="6"/>
  <c r="F415" i="6"/>
  <c r="G415" i="6"/>
  <c r="H415" i="6"/>
  <c r="I415" i="6"/>
  <c r="J415" i="6"/>
  <c r="K415" i="6"/>
  <c r="L415" i="6"/>
  <c r="M415" i="6"/>
  <c r="N415" i="6"/>
  <c r="O415" i="6"/>
  <c r="P415" i="6"/>
  <c r="Q415" i="6"/>
  <c r="R415" i="6"/>
  <c r="S415" i="6"/>
  <c r="T415" i="6"/>
  <c r="B416" i="6"/>
  <c r="C416" i="6"/>
  <c r="U416" i="6"/>
  <c r="D416" i="6"/>
  <c r="E416" i="6"/>
  <c r="F416" i="6"/>
  <c r="G416" i="6"/>
  <c r="H416" i="6"/>
  <c r="I416" i="6"/>
  <c r="J416" i="6"/>
  <c r="K416" i="6"/>
  <c r="L416" i="6"/>
  <c r="M416" i="6"/>
  <c r="N416" i="6"/>
  <c r="O416" i="6"/>
  <c r="P416" i="6"/>
  <c r="Q416" i="6"/>
  <c r="R416" i="6"/>
  <c r="S416" i="6"/>
  <c r="T416" i="6"/>
  <c r="B417" i="6"/>
  <c r="C417" i="6"/>
  <c r="U417" i="6"/>
  <c r="D417" i="6"/>
  <c r="E417" i="6"/>
  <c r="F417" i="6"/>
  <c r="G417" i="6"/>
  <c r="H417" i="6"/>
  <c r="I417" i="6"/>
  <c r="J417" i="6"/>
  <c r="K417" i="6"/>
  <c r="L417" i="6"/>
  <c r="M417" i="6"/>
  <c r="N417" i="6"/>
  <c r="O417" i="6"/>
  <c r="P417" i="6"/>
  <c r="Q417" i="6"/>
  <c r="R417" i="6"/>
  <c r="S417" i="6"/>
  <c r="T417" i="6"/>
  <c r="B418" i="6"/>
  <c r="C418" i="6"/>
  <c r="U418" i="6"/>
  <c r="D418" i="6"/>
  <c r="E418" i="6"/>
  <c r="F418" i="6"/>
  <c r="G418" i="6"/>
  <c r="H418" i="6"/>
  <c r="I418" i="6"/>
  <c r="J418" i="6"/>
  <c r="K418" i="6"/>
  <c r="L418" i="6"/>
  <c r="M418" i="6"/>
  <c r="N418" i="6"/>
  <c r="O418" i="6"/>
  <c r="P418" i="6"/>
  <c r="Q418" i="6"/>
  <c r="R418" i="6"/>
  <c r="S418" i="6"/>
  <c r="T418" i="6"/>
  <c r="B419" i="6"/>
  <c r="C419" i="6"/>
  <c r="U419" i="6"/>
  <c r="D419" i="6"/>
  <c r="E419" i="6"/>
  <c r="F419" i="6"/>
  <c r="G419" i="6"/>
  <c r="H419" i="6"/>
  <c r="I419" i="6"/>
  <c r="J419" i="6"/>
  <c r="K419" i="6"/>
  <c r="L419" i="6"/>
  <c r="M419" i="6"/>
  <c r="N419" i="6"/>
  <c r="O419" i="6"/>
  <c r="P419" i="6"/>
  <c r="Q419" i="6"/>
  <c r="R419" i="6"/>
  <c r="S419" i="6"/>
  <c r="T419" i="6"/>
  <c r="B420" i="6"/>
  <c r="C420" i="6"/>
  <c r="U420" i="6"/>
  <c r="D420" i="6"/>
  <c r="E420" i="6"/>
  <c r="F420" i="6"/>
  <c r="G420" i="6"/>
  <c r="H420" i="6"/>
  <c r="I420" i="6"/>
  <c r="J420" i="6"/>
  <c r="K420" i="6"/>
  <c r="L420" i="6"/>
  <c r="M420" i="6"/>
  <c r="N420" i="6"/>
  <c r="O420" i="6"/>
  <c r="P420" i="6"/>
  <c r="Q420" i="6"/>
  <c r="R420" i="6"/>
  <c r="S420" i="6"/>
  <c r="T420" i="6"/>
  <c r="B421" i="6"/>
  <c r="C421" i="6"/>
  <c r="U421" i="6"/>
  <c r="D421" i="6"/>
  <c r="E421" i="6"/>
  <c r="F421" i="6"/>
  <c r="G421" i="6"/>
  <c r="H421" i="6"/>
  <c r="I421" i="6"/>
  <c r="J421" i="6"/>
  <c r="K421" i="6"/>
  <c r="L421" i="6"/>
  <c r="M421" i="6"/>
  <c r="N421" i="6"/>
  <c r="O421" i="6"/>
  <c r="P421" i="6"/>
  <c r="Q421" i="6"/>
  <c r="R421" i="6"/>
  <c r="S421" i="6"/>
  <c r="T421" i="6"/>
  <c r="B422" i="6"/>
  <c r="C422" i="6"/>
  <c r="U422" i="6"/>
  <c r="D422" i="6"/>
  <c r="E422" i="6"/>
  <c r="F422" i="6"/>
  <c r="G422" i="6"/>
  <c r="H422" i="6"/>
  <c r="I422" i="6"/>
  <c r="J422" i="6"/>
  <c r="K422" i="6"/>
  <c r="L422" i="6"/>
  <c r="M422" i="6"/>
  <c r="N422" i="6"/>
  <c r="O422" i="6"/>
  <c r="P422" i="6"/>
  <c r="Q422" i="6"/>
  <c r="R422" i="6"/>
  <c r="S422" i="6"/>
  <c r="T422" i="6"/>
  <c r="B423" i="6"/>
  <c r="C423" i="6"/>
  <c r="U423" i="6"/>
  <c r="D423" i="6"/>
  <c r="E423" i="6"/>
  <c r="F423" i="6"/>
  <c r="G423" i="6"/>
  <c r="H423" i="6"/>
  <c r="I423" i="6"/>
  <c r="J423" i="6"/>
  <c r="K423" i="6"/>
  <c r="L423" i="6"/>
  <c r="M423" i="6"/>
  <c r="N423" i="6"/>
  <c r="O423" i="6"/>
  <c r="P423" i="6"/>
  <c r="Q423" i="6"/>
  <c r="R423" i="6"/>
  <c r="S423" i="6"/>
  <c r="T423" i="6"/>
  <c r="B424" i="6"/>
  <c r="C424" i="6"/>
  <c r="U424" i="6"/>
  <c r="D424" i="6"/>
  <c r="E424" i="6"/>
  <c r="F424" i="6"/>
  <c r="G424" i="6"/>
  <c r="H424" i="6"/>
  <c r="I424" i="6"/>
  <c r="J424" i="6"/>
  <c r="K424" i="6"/>
  <c r="L424" i="6"/>
  <c r="M424" i="6"/>
  <c r="N424" i="6"/>
  <c r="O424" i="6"/>
  <c r="P424" i="6"/>
  <c r="Q424" i="6"/>
  <c r="R424" i="6"/>
  <c r="S424" i="6"/>
  <c r="T424" i="6"/>
  <c r="B425" i="6"/>
  <c r="C425" i="6"/>
  <c r="U425" i="6"/>
  <c r="D425" i="6"/>
  <c r="E425" i="6"/>
  <c r="F425" i="6"/>
  <c r="G425" i="6"/>
  <c r="H425" i="6"/>
  <c r="I425" i="6"/>
  <c r="J425" i="6"/>
  <c r="K425" i="6"/>
  <c r="L425" i="6"/>
  <c r="M425" i="6"/>
  <c r="N425" i="6"/>
  <c r="O425" i="6"/>
  <c r="P425" i="6"/>
  <c r="Q425" i="6"/>
  <c r="R425" i="6"/>
  <c r="S425" i="6"/>
  <c r="T425" i="6"/>
  <c r="B426" i="6"/>
  <c r="C426" i="6"/>
  <c r="U426" i="6"/>
  <c r="D426" i="6"/>
  <c r="E426" i="6"/>
  <c r="F426" i="6"/>
  <c r="G426" i="6"/>
  <c r="H426" i="6"/>
  <c r="I426" i="6"/>
  <c r="J426" i="6"/>
  <c r="K426" i="6"/>
  <c r="L426" i="6"/>
  <c r="M426" i="6"/>
  <c r="N426" i="6"/>
  <c r="O426" i="6"/>
  <c r="P426" i="6"/>
  <c r="Q426" i="6"/>
  <c r="R426" i="6"/>
  <c r="S426" i="6"/>
  <c r="T426" i="6"/>
  <c r="B427" i="6"/>
  <c r="C427" i="6"/>
  <c r="U427" i="6"/>
  <c r="D427" i="6"/>
  <c r="E427" i="6"/>
  <c r="F427" i="6"/>
  <c r="G427" i="6"/>
  <c r="H427" i="6"/>
  <c r="I427" i="6"/>
  <c r="J427" i="6"/>
  <c r="K427" i="6"/>
  <c r="L427" i="6"/>
  <c r="M427" i="6"/>
  <c r="N427" i="6"/>
  <c r="O427" i="6"/>
  <c r="P427" i="6"/>
  <c r="Q427" i="6"/>
  <c r="R427" i="6"/>
  <c r="S427" i="6"/>
  <c r="T427" i="6"/>
  <c r="B428" i="6"/>
  <c r="C428" i="6"/>
  <c r="U428" i="6"/>
  <c r="D428" i="6"/>
  <c r="E428" i="6"/>
  <c r="F428" i="6"/>
  <c r="G428" i="6"/>
  <c r="H428" i="6"/>
  <c r="I428" i="6"/>
  <c r="J428" i="6"/>
  <c r="K428" i="6"/>
  <c r="L428" i="6"/>
  <c r="M428" i="6"/>
  <c r="N428" i="6"/>
  <c r="O428" i="6"/>
  <c r="P428" i="6"/>
  <c r="Q428" i="6"/>
  <c r="R428" i="6"/>
  <c r="S428" i="6"/>
  <c r="T428" i="6"/>
  <c r="B429" i="6"/>
  <c r="C429" i="6"/>
  <c r="U429" i="6"/>
  <c r="D429" i="6"/>
  <c r="E429" i="6"/>
  <c r="F429" i="6"/>
  <c r="G429" i="6"/>
  <c r="H429" i="6"/>
  <c r="I429" i="6"/>
  <c r="J429" i="6"/>
  <c r="K429" i="6"/>
  <c r="L429" i="6"/>
  <c r="M429" i="6"/>
  <c r="N429" i="6"/>
  <c r="O429" i="6"/>
  <c r="P429" i="6"/>
  <c r="Q429" i="6"/>
  <c r="R429" i="6"/>
  <c r="S429" i="6"/>
  <c r="T429" i="6"/>
  <c r="B430" i="6"/>
  <c r="C430" i="6"/>
  <c r="U430" i="6"/>
  <c r="D430" i="6"/>
  <c r="E430" i="6"/>
  <c r="F430" i="6"/>
  <c r="G430" i="6"/>
  <c r="H430" i="6"/>
  <c r="I430" i="6"/>
  <c r="J430" i="6"/>
  <c r="K430" i="6"/>
  <c r="L430" i="6"/>
  <c r="M430" i="6"/>
  <c r="N430" i="6"/>
  <c r="O430" i="6"/>
  <c r="P430" i="6"/>
  <c r="Q430" i="6"/>
  <c r="R430" i="6"/>
  <c r="S430" i="6"/>
  <c r="T430" i="6"/>
  <c r="B431" i="6"/>
  <c r="C431" i="6"/>
  <c r="U431" i="6"/>
  <c r="D431" i="6"/>
  <c r="E431" i="6"/>
  <c r="F431" i="6"/>
  <c r="G431" i="6"/>
  <c r="H431" i="6"/>
  <c r="I431" i="6"/>
  <c r="J431" i="6"/>
  <c r="K431" i="6"/>
  <c r="L431" i="6"/>
  <c r="M431" i="6"/>
  <c r="N431" i="6"/>
  <c r="O431" i="6"/>
  <c r="P431" i="6"/>
  <c r="Q431" i="6"/>
  <c r="R431" i="6"/>
  <c r="S431" i="6"/>
  <c r="T431" i="6"/>
  <c r="B432" i="6"/>
  <c r="C432" i="6"/>
  <c r="U432" i="6"/>
  <c r="D432" i="6"/>
  <c r="E432" i="6"/>
  <c r="F432" i="6"/>
  <c r="G432" i="6"/>
  <c r="H432" i="6"/>
  <c r="I432" i="6"/>
  <c r="J432" i="6"/>
  <c r="K432" i="6"/>
  <c r="L432" i="6"/>
  <c r="M432" i="6"/>
  <c r="N432" i="6"/>
  <c r="O432" i="6"/>
  <c r="P432" i="6"/>
  <c r="Q432" i="6"/>
  <c r="R432" i="6"/>
  <c r="S432" i="6"/>
  <c r="T432" i="6"/>
  <c r="B433" i="6"/>
  <c r="C433" i="6"/>
  <c r="U433" i="6"/>
  <c r="D433" i="6"/>
  <c r="E433" i="6"/>
  <c r="F433" i="6"/>
  <c r="G433" i="6"/>
  <c r="H433" i="6"/>
  <c r="I433" i="6"/>
  <c r="J433" i="6"/>
  <c r="K433" i="6"/>
  <c r="L433" i="6"/>
  <c r="M433" i="6"/>
  <c r="N433" i="6"/>
  <c r="O433" i="6"/>
  <c r="P433" i="6"/>
  <c r="Q433" i="6"/>
  <c r="R433" i="6"/>
  <c r="S433" i="6"/>
  <c r="T433" i="6"/>
  <c r="B434" i="6"/>
  <c r="C434" i="6"/>
  <c r="U434" i="6"/>
  <c r="D434" i="6"/>
  <c r="E434" i="6"/>
  <c r="F434" i="6"/>
  <c r="G434" i="6"/>
  <c r="H434" i="6"/>
  <c r="I434" i="6"/>
  <c r="J434" i="6"/>
  <c r="K434" i="6"/>
  <c r="L434" i="6"/>
  <c r="M434" i="6"/>
  <c r="N434" i="6"/>
  <c r="O434" i="6"/>
  <c r="P434" i="6"/>
  <c r="Q434" i="6"/>
  <c r="R434" i="6"/>
  <c r="S434" i="6"/>
  <c r="T434" i="6"/>
  <c r="B435" i="6"/>
  <c r="C435" i="6"/>
  <c r="U435" i="6"/>
  <c r="D435" i="6"/>
  <c r="E435" i="6"/>
  <c r="F435" i="6"/>
  <c r="G435" i="6"/>
  <c r="H435" i="6"/>
  <c r="I435" i="6"/>
  <c r="J435" i="6"/>
  <c r="K435" i="6"/>
  <c r="L435" i="6"/>
  <c r="M435" i="6"/>
  <c r="N435" i="6"/>
  <c r="O435" i="6"/>
  <c r="P435" i="6"/>
  <c r="Q435" i="6"/>
  <c r="R435" i="6"/>
  <c r="S435" i="6"/>
  <c r="T435" i="6"/>
  <c r="B436" i="6"/>
  <c r="C436" i="6"/>
  <c r="U436" i="6"/>
  <c r="D436" i="6"/>
  <c r="E436" i="6"/>
  <c r="F436" i="6"/>
  <c r="G436" i="6"/>
  <c r="H436" i="6"/>
  <c r="I436" i="6"/>
  <c r="J436" i="6"/>
  <c r="K436" i="6"/>
  <c r="L436" i="6"/>
  <c r="M436" i="6"/>
  <c r="N436" i="6"/>
  <c r="O436" i="6"/>
  <c r="P436" i="6"/>
  <c r="Q436" i="6"/>
  <c r="R436" i="6"/>
  <c r="S436" i="6"/>
  <c r="T436" i="6"/>
  <c r="B437" i="6"/>
  <c r="C437" i="6"/>
  <c r="U437" i="6"/>
  <c r="D437" i="6"/>
  <c r="E437" i="6"/>
  <c r="F437" i="6"/>
  <c r="G437" i="6"/>
  <c r="H437" i="6"/>
  <c r="I437" i="6"/>
  <c r="J437" i="6"/>
  <c r="K437" i="6"/>
  <c r="L437" i="6"/>
  <c r="M437" i="6"/>
  <c r="N437" i="6"/>
  <c r="O437" i="6"/>
  <c r="P437" i="6"/>
  <c r="Q437" i="6"/>
  <c r="R437" i="6"/>
  <c r="S437" i="6"/>
  <c r="T437" i="6"/>
  <c r="B438" i="6"/>
  <c r="C438" i="6"/>
  <c r="U438" i="6"/>
  <c r="D438" i="6"/>
  <c r="E438" i="6"/>
  <c r="F438" i="6"/>
  <c r="G438" i="6"/>
  <c r="H438" i="6"/>
  <c r="I438" i="6"/>
  <c r="J438" i="6"/>
  <c r="K438" i="6"/>
  <c r="L438" i="6"/>
  <c r="M438" i="6"/>
  <c r="N438" i="6"/>
  <c r="O438" i="6"/>
  <c r="P438" i="6"/>
  <c r="Q438" i="6"/>
  <c r="R438" i="6"/>
  <c r="S438" i="6"/>
  <c r="T438" i="6"/>
  <c r="B439" i="6"/>
  <c r="C439" i="6"/>
  <c r="U439" i="6"/>
  <c r="D439" i="6"/>
  <c r="E439" i="6"/>
  <c r="F439" i="6"/>
  <c r="G439" i="6"/>
  <c r="H439" i="6"/>
  <c r="I439" i="6"/>
  <c r="J439" i="6"/>
  <c r="K439" i="6"/>
  <c r="L439" i="6"/>
  <c r="M439" i="6"/>
  <c r="N439" i="6"/>
  <c r="O439" i="6"/>
  <c r="P439" i="6"/>
  <c r="Q439" i="6"/>
  <c r="R439" i="6"/>
  <c r="S439" i="6"/>
  <c r="T439" i="6"/>
  <c r="B440" i="6"/>
  <c r="C440" i="6"/>
  <c r="U440" i="6"/>
  <c r="D440" i="6"/>
  <c r="E440" i="6"/>
  <c r="F440" i="6"/>
  <c r="G440" i="6"/>
  <c r="H440" i="6"/>
  <c r="I440" i="6"/>
  <c r="J440" i="6"/>
  <c r="K440" i="6"/>
  <c r="L440" i="6"/>
  <c r="M440" i="6"/>
  <c r="N440" i="6"/>
  <c r="O440" i="6"/>
  <c r="P440" i="6"/>
  <c r="Q440" i="6"/>
  <c r="R440" i="6"/>
  <c r="S440" i="6"/>
  <c r="T440" i="6"/>
  <c r="B441" i="6"/>
  <c r="C441" i="6"/>
  <c r="U441" i="6"/>
  <c r="D441" i="6"/>
  <c r="E441" i="6"/>
  <c r="F441" i="6"/>
  <c r="G441" i="6"/>
  <c r="H441" i="6"/>
  <c r="I441" i="6"/>
  <c r="J441" i="6"/>
  <c r="K441" i="6"/>
  <c r="L441" i="6"/>
  <c r="M441" i="6"/>
  <c r="N441" i="6"/>
  <c r="O441" i="6"/>
  <c r="P441" i="6"/>
  <c r="Q441" i="6"/>
  <c r="R441" i="6"/>
  <c r="S441" i="6"/>
  <c r="T441" i="6"/>
  <c r="T2" i="6"/>
  <c r="S2" i="6"/>
  <c r="R2" i="6"/>
  <c r="Q2" i="6"/>
  <c r="P2" i="6"/>
  <c r="O2" i="6"/>
  <c r="N2" i="6"/>
  <c r="M2" i="6"/>
  <c r="L2" i="6"/>
  <c r="K2" i="6"/>
  <c r="J2" i="6"/>
  <c r="I2" i="6"/>
  <c r="H2" i="6"/>
  <c r="G2" i="6"/>
  <c r="F2" i="6"/>
  <c r="E2" i="6"/>
  <c r="D2" i="6"/>
  <c r="C2" i="6"/>
  <c r="U2" i="6"/>
  <c r="B2" i="6"/>
  <c r="T3" i="6"/>
  <c r="S3" i="6"/>
  <c r="R3" i="6"/>
  <c r="Q3" i="6"/>
  <c r="P3" i="6"/>
  <c r="O3" i="6"/>
  <c r="N3" i="6"/>
  <c r="M3" i="6"/>
  <c r="L3" i="6"/>
  <c r="K3" i="6"/>
  <c r="J3" i="6"/>
  <c r="I3" i="6"/>
  <c r="H3" i="6"/>
  <c r="G3" i="6"/>
  <c r="F3" i="6"/>
  <c r="E3" i="6"/>
  <c r="D3" i="6"/>
  <c r="C3" i="6"/>
  <c r="U3" i="6"/>
  <c r="B3" i="6"/>
  <c r="T4" i="6"/>
  <c r="S4" i="6"/>
  <c r="R4" i="6"/>
  <c r="Q4" i="6"/>
  <c r="P4" i="6"/>
  <c r="O4" i="6"/>
  <c r="N4" i="6"/>
  <c r="M4" i="6"/>
  <c r="L4" i="6"/>
  <c r="K4" i="6"/>
  <c r="J4" i="6"/>
  <c r="I4" i="6"/>
  <c r="H4" i="6"/>
  <c r="G4" i="6"/>
  <c r="F4" i="6"/>
  <c r="E4" i="6"/>
  <c r="D4" i="6"/>
  <c r="C4" i="6"/>
  <c r="U4" i="6"/>
  <c r="B4" i="6"/>
  <c r="T5" i="6"/>
  <c r="S5" i="6"/>
  <c r="R5" i="6"/>
  <c r="Q5" i="6"/>
  <c r="P5" i="6"/>
  <c r="O5" i="6"/>
  <c r="N5" i="6"/>
  <c r="M5" i="6"/>
  <c r="L5" i="6"/>
  <c r="K5" i="6"/>
  <c r="J5" i="6"/>
  <c r="I5" i="6"/>
  <c r="H5" i="6"/>
  <c r="G5" i="6"/>
  <c r="F5" i="6"/>
  <c r="E5" i="6"/>
  <c r="D5" i="6"/>
  <c r="C5" i="6"/>
  <c r="U5" i="6"/>
  <c r="B5" i="6"/>
  <c r="T6" i="6"/>
  <c r="S6" i="6"/>
  <c r="R6" i="6"/>
  <c r="Q6" i="6"/>
  <c r="P6" i="6"/>
  <c r="O6" i="6"/>
  <c r="N6" i="6"/>
  <c r="M6" i="6"/>
  <c r="L6" i="6"/>
  <c r="K6" i="6"/>
  <c r="J6" i="6"/>
  <c r="I6" i="6"/>
  <c r="H6" i="6"/>
  <c r="G6" i="6"/>
  <c r="F6" i="6"/>
  <c r="E6" i="6"/>
  <c r="D6" i="6"/>
  <c r="C6" i="6"/>
  <c r="U6" i="6"/>
  <c r="B6" i="6"/>
  <c r="T7" i="6"/>
  <c r="S7" i="6"/>
  <c r="R7" i="6"/>
  <c r="Q7" i="6"/>
  <c r="P7" i="6"/>
  <c r="O7" i="6"/>
  <c r="N7" i="6"/>
  <c r="M7" i="6"/>
  <c r="L7" i="6"/>
  <c r="K7" i="6"/>
  <c r="J7" i="6"/>
  <c r="I7" i="6"/>
  <c r="H7" i="6"/>
  <c r="G7" i="6"/>
  <c r="F7" i="6"/>
  <c r="E7" i="6"/>
  <c r="D7" i="6"/>
  <c r="C7" i="6"/>
  <c r="U7" i="6"/>
  <c r="B7" i="6"/>
  <c r="T8" i="6"/>
  <c r="S8" i="6"/>
  <c r="R8" i="6"/>
  <c r="Q8" i="6"/>
  <c r="P8" i="6"/>
  <c r="O8" i="6"/>
  <c r="N8" i="6"/>
  <c r="M8" i="6"/>
  <c r="L8" i="6"/>
  <c r="K8" i="6"/>
  <c r="J8" i="6"/>
  <c r="I8" i="6"/>
  <c r="H8" i="6"/>
  <c r="G8" i="6"/>
  <c r="F8" i="6"/>
  <c r="E8" i="6"/>
  <c r="D8" i="6"/>
  <c r="C8" i="6"/>
  <c r="U8" i="6"/>
  <c r="B8" i="6"/>
  <c r="T9" i="6"/>
  <c r="S9" i="6"/>
  <c r="R9" i="6"/>
  <c r="Q9" i="6"/>
  <c r="P9" i="6"/>
  <c r="O9" i="6"/>
  <c r="N9" i="6"/>
  <c r="M9" i="6"/>
  <c r="L9" i="6"/>
  <c r="K9" i="6"/>
  <c r="J9" i="6"/>
  <c r="I9" i="6"/>
  <c r="H9" i="6"/>
  <c r="G9" i="6"/>
  <c r="F9" i="6"/>
  <c r="E9" i="6"/>
  <c r="D9" i="6"/>
  <c r="C9" i="6"/>
  <c r="U9" i="6"/>
  <c r="B9" i="6"/>
  <c r="T10" i="6"/>
  <c r="S10" i="6"/>
  <c r="R10" i="6"/>
  <c r="Q10" i="6"/>
  <c r="P10" i="6"/>
  <c r="O10" i="6"/>
  <c r="N10" i="6"/>
  <c r="M10" i="6"/>
  <c r="L10" i="6"/>
  <c r="K10" i="6"/>
  <c r="J10" i="6"/>
  <c r="I10" i="6"/>
  <c r="H10" i="6"/>
  <c r="G10" i="6"/>
  <c r="F10" i="6"/>
  <c r="E10" i="6"/>
  <c r="D10" i="6"/>
  <c r="C10" i="6"/>
  <c r="U10" i="6"/>
  <c r="B10" i="6"/>
  <c r="T11" i="6"/>
  <c r="S11" i="6"/>
  <c r="R11" i="6"/>
  <c r="Q11" i="6"/>
  <c r="P11" i="6"/>
  <c r="O11" i="6"/>
  <c r="N11" i="6"/>
  <c r="M11" i="6"/>
  <c r="L11" i="6"/>
  <c r="K11" i="6"/>
  <c r="J11" i="6"/>
  <c r="I11" i="6"/>
  <c r="H11" i="6"/>
  <c r="G11" i="6"/>
  <c r="F11" i="6"/>
  <c r="E11" i="6"/>
  <c r="D11" i="6"/>
  <c r="C11" i="6"/>
  <c r="U11" i="6"/>
  <c r="B11" i="6"/>
  <c r="T12" i="6"/>
  <c r="S12" i="6"/>
  <c r="R12" i="6"/>
  <c r="Q12" i="6"/>
  <c r="P12" i="6"/>
  <c r="O12" i="6"/>
  <c r="N12" i="6"/>
  <c r="M12" i="6"/>
  <c r="L12" i="6"/>
  <c r="K12" i="6"/>
  <c r="J12" i="6"/>
  <c r="I12" i="6"/>
  <c r="H12" i="6"/>
  <c r="G12" i="6"/>
  <c r="F12" i="6"/>
  <c r="E12" i="6"/>
  <c r="D12" i="6"/>
  <c r="C12" i="6"/>
  <c r="U12" i="6"/>
  <c r="B12" i="6"/>
  <c r="T13" i="6"/>
  <c r="S13" i="6"/>
  <c r="R13" i="6"/>
  <c r="Q13" i="6"/>
  <c r="P13" i="6"/>
  <c r="O13" i="6"/>
  <c r="N13" i="6"/>
  <c r="M13" i="6"/>
  <c r="L13" i="6"/>
  <c r="K13" i="6"/>
  <c r="J13" i="6"/>
  <c r="I13" i="6"/>
  <c r="H13" i="6"/>
  <c r="G13" i="6"/>
  <c r="F13" i="6"/>
  <c r="E13" i="6"/>
  <c r="D13" i="6"/>
  <c r="C13" i="6"/>
  <c r="U13" i="6"/>
  <c r="B13" i="6"/>
  <c r="T14" i="6"/>
  <c r="S14" i="6"/>
  <c r="R14" i="6"/>
  <c r="Q14" i="6"/>
  <c r="P14" i="6"/>
  <c r="O14" i="6"/>
  <c r="N14" i="6"/>
  <c r="M14" i="6"/>
  <c r="L14" i="6"/>
  <c r="K14" i="6"/>
  <c r="J14" i="6"/>
  <c r="I14" i="6"/>
  <c r="H14" i="6"/>
  <c r="G14" i="6"/>
  <c r="F14" i="6"/>
  <c r="E14" i="6"/>
  <c r="D14" i="6"/>
  <c r="C14" i="6"/>
  <c r="U14" i="6"/>
  <c r="B14" i="6"/>
  <c r="T15" i="6"/>
  <c r="S15" i="6"/>
  <c r="R15" i="6"/>
  <c r="Q15" i="6"/>
  <c r="P15" i="6"/>
  <c r="O15" i="6"/>
  <c r="N15" i="6"/>
  <c r="M15" i="6"/>
  <c r="L15" i="6"/>
  <c r="K15" i="6"/>
  <c r="J15" i="6"/>
  <c r="I15" i="6"/>
  <c r="H15" i="6"/>
  <c r="G15" i="6"/>
  <c r="F15" i="6"/>
  <c r="E15" i="6"/>
  <c r="D15" i="6"/>
  <c r="C15" i="6"/>
  <c r="U15" i="6"/>
  <c r="B15" i="6"/>
  <c r="T16" i="6"/>
  <c r="S16" i="6"/>
  <c r="R16" i="6"/>
  <c r="Q16" i="6"/>
  <c r="P16" i="6"/>
  <c r="O16" i="6"/>
  <c r="N16" i="6"/>
  <c r="M16" i="6"/>
  <c r="L16" i="6"/>
  <c r="K16" i="6"/>
  <c r="J16" i="6"/>
  <c r="I16" i="6"/>
  <c r="H16" i="6"/>
  <c r="G16" i="6"/>
  <c r="F16" i="6"/>
  <c r="E16" i="6"/>
  <c r="D16" i="6"/>
  <c r="C16" i="6"/>
  <c r="U16" i="6"/>
  <c r="B16" i="6"/>
  <c r="T17" i="6"/>
  <c r="S17" i="6"/>
  <c r="R17" i="6"/>
  <c r="Q17" i="6"/>
  <c r="P17" i="6"/>
  <c r="O17" i="6"/>
  <c r="N17" i="6"/>
  <c r="M17" i="6"/>
  <c r="L17" i="6"/>
  <c r="K17" i="6"/>
  <c r="J17" i="6"/>
  <c r="I17" i="6"/>
  <c r="H17" i="6"/>
  <c r="G17" i="6"/>
  <c r="F17" i="6"/>
  <c r="E17" i="6"/>
  <c r="D17" i="6"/>
  <c r="C17" i="6"/>
  <c r="U17" i="6"/>
  <c r="B17" i="6"/>
  <c r="T18" i="6"/>
  <c r="S18" i="6"/>
  <c r="R18" i="6"/>
  <c r="Q18" i="6"/>
  <c r="P18" i="6"/>
  <c r="O18" i="6"/>
  <c r="N18" i="6"/>
  <c r="M18" i="6"/>
  <c r="L18" i="6"/>
  <c r="K18" i="6"/>
  <c r="J18" i="6"/>
  <c r="I18" i="6"/>
  <c r="H18" i="6"/>
  <c r="G18" i="6"/>
  <c r="F18" i="6"/>
  <c r="E18" i="6"/>
  <c r="D18" i="6"/>
  <c r="C18" i="6"/>
  <c r="U18" i="6"/>
  <c r="B18" i="6"/>
  <c r="T19" i="6"/>
  <c r="S19" i="6"/>
  <c r="R19" i="6"/>
  <c r="Q19" i="6"/>
  <c r="P19" i="6"/>
  <c r="O19" i="6"/>
  <c r="N19" i="6"/>
  <c r="M19" i="6"/>
  <c r="L19" i="6"/>
  <c r="K19" i="6"/>
  <c r="J19" i="6"/>
  <c r="I19" i="6"/>
  <c r="H19" i="6"/>
  <c r="G19" i="6"/>
  <c r="F19" i="6"/>
  <c r="E19" i="6"/>
  <c r="D19" i="6"/>
  <c r="C19" i="6"/>
  <c r="U19" i="6"/>
  <c r="B19" i="6"/>
  <c r="T20" i="6"/>
  <c r="S20" i="6"/>
  <c r="R20" i="6"/>
  <c r="Q20" i="6"/>
  <c r="P20" i="6"/>
  <c r="O20" i="6"/>
  <c r="N20" i="6"/>
  <c r="M20" i="6"/>
  <c r="L20" i="6"/>
  <c r="K20" i="6"/>
  <c r="J20" i="6"/>
  <c r="I20" i="6"/>
  <c r="H20" i="6"/>
  <c r="G20" i="6"/>
  <c r="F20" i="6"/>
  <c r="E20" i="6"/>
  <c r="D20" i="6"/>
  <c r="C20" i="6"/>
  <c r="U20" i="6"/>
  <c r="B20" i="6"/>
  <c r="T21" i="6"/>
  <c r="S21" i="6"/>
  <c r="R21" i="6"/>
  <c r="Q21" i="6"/>
  <c r="P21" i="6"/>
  <c r="O21" i="6"/>
  <c r="N21" i="6"/>
  <c r="M21" i="6"/>
  <c r="L21" i="6"/>
  <c r="K21" i="6"/>
  <c r="J21" i="6"/>
  <c r="I21" i="6"/>
  <c r="H21" i="6"/>
  <c r="G21" i="6"/>
  <c r="F21" i="6"/>
  <c r="E21" i="6"/>
  <c r="D21" i="6"/>
  <c r="C21" i="6"/>
  <c r="U21" i="6"/>
  <c r="B21" i="6"/>
  <c r="T22" i="6"/>
  <c r="S22" i="6"/>
  <c r="R22" i="6"/>
  <c r="Q22" i="6"/>
  <c r="P22" i="6"/>
  <c r="O22" i="6"/>
  <c r="N22" i="6"/>
  <c r="M22" i="6"/>
  <c r="L22" i="6"/>
  <c r="K22" i="6"/>
  <c r="J22" i="6"/>
  <c r="I22" i="6"/>
  <c r="H22" i="6"/>
  <c r="G22" i="6"/>
  <c r="F22" i="6"/>
  <c r="E22" i="6"/>
  <c r="D22" i="6"/>
  <c r="C22" i="6"/>
  <c r="U22" i="6"/>
  <c r="B22" i="6"/>
  <c r="T23" i="6"/>
  <c r="S23" i="6"/>
  <c r="R23" i="6"/>
  <c r="Q23" i="6"/>
  <c r="P23" i="6"/>
  <c r="O23" i="6"/>
  <c r="N23" i="6"/>
  <c r="M23" i="6"/>
  <c r="L23" i="6"/>
  <c r="K23" i="6"/>
  <c r="J23" i="6"/>
  <c r="I23" i="6"/>
  <c r="H23" i="6"/>
  <c r="G23" i="6"/>
  <c r="F23" i="6"/>
  <c r="E23" i="6"/>
  <c r="D23" i="6"/>
  <c r="C23" i="6"/>
  <c r="U23" i="6"/>
  <c r="B23" i="6"/>
  <c r="T24" i="6"/>
  <c r="S24" i="6"/>
  <c r="R24" i="6"/>
  <c r="Q24" i="6"/>
  <c r="P24" i="6"/>
  <c r="O24" i="6"/>
  <c r="N24" i="6"/>
  <c r="M24" i="6"/>
  <c r="L24" i="6"/>
  <c r="K24" i="6"/>
  <c r="J24" i="6"/>
  <c r="I24" i="6"/>
  <c r="H24" i="6"/>
  <c r="G24" i="6"/>
  <c r="F24" i="6"/>
  <c r="E24" i="6"/>
  <c r="D24" i="6"/>
  <c r="C24" i="6"/>
  <c r="U24" i="6"/>
  <c r="B24" i="6"/>
  <c r="T25" i="6"/>
  <c r="S25" i="6"/>
  <c r="R25" i="6"/>
  <c r="Q25" i="6"/>
  <c r="P25" i="6"/>
  <c r="O25" i="6"/>
  <c r="N25" i="6"/>
  <c r="M25" i="6"/>
  <c r="L25" i="6"/>
  <c r="K25" i="6"/>
  <c r="J25" i="6"/>
  <c r="I25" i="6"/>
  <c r="H25" i="6"/>
  <c r="G25" i="6"/>
  <c r="F25" i="6"/>
  <c r="E25" i="6"/>
  <c r="D25" i="6"/>
  <c r="C25" i="6"/>
  <c r="U25" i="6"/>
  <c r="B25" i="6"/>
  <c r="T26" i="6"/>
  <c r="S26" i="6"/>
  <c r="R26" i="6"/>
  <c r="Q26" i="6"/>
  <c r="P26" i="6"/>
  <c r="O26" i="6"/>
  <c r="N26" i="6"/>
  <c r="M26" i="6"/>
  <c r="L26" i="6"/>
  <c r="K26" i="6"/>
  <c r="J26" i="6"/>
  <c r="I26" i="6"/>
  <c r="H26" i="6"/>
  <c r="G26" i="6"/>
  <c r="F26" i="6"/>
  <c r="E26" i="6"/>
  <c r="D26" i="6"/>
  <c r="C26" i="6"/>
  <c r="U26" i="6"/>
  <c r="B26" i="6"/>
  <c r="T27" i="6"/>
  <c r="S27" i="6"/>
  <c r="R27" i="6"/>
  <c r="Q27" i="6"/>
  <c r="P27" i="6"/>
  <c r="O27" i="6"/>
  <c r="N27" i="6"/>
  <c r="M27" i="6"/>
  <c r="L27" i="6"/>
  <c r="K27" i="6"/>
  <c r="J27" i="6"/>
  <c r="I27" i="6"/>
  <c r="H27" i="6"/>
  <c r="G27" i="6"/>
  <c r="F27" i="6"/>
  <c r="E27" i="6"/>
  <c r="D27" i="6"/>
  <c r="C27" i="6"/>
  <c r="U27" i="6"/>
  <c r="B27" i="6"/>
  <c r="T28" i="6"/>
  <c r="S28" i="6"/>
  <c r="R28" i="6"/>
  <c r="Q28" i="6"/>
  <c r="P28" i="6"/>
  <c r="O28" i="6"/>
  <c r="N28" i="6"/>
  <c r="M28" i="6"/>
  <c r="L28" i="6"/>
  <c r="K28" i="6"/>
  <c r="J28" i="6"/>
  <c r="I28" i="6"/>
  <c r="H28" i="6"/>
  <c r="G28" i="6"/>
  <c r="F28" i="6"/>
  <c r="E28" i="6"/>
  <c r="D28" i="6"/>
  <c r="C28" i="6"/>
  <c r="U28" i="6"/>
  <c r="B28" i="6"/>
  <c r="T29" i="6"/>
  <c r="S29" i="6"/>
  <c r="R29" i="6"/>
  <c r="Q29" i="6"/>
  <c r="P29" i="6"/>
  <c r="O29" i="6"/>
  <c r="N29" i="6"/>
  <c r="M29" i="6"/>
  <c r="L29" i="6"/>
  <c r="K29" i="6"/>
  <c r="J29" i="6"/>
  <c r="I29" i="6"/>
  <c r="H29" i="6"/>
  <c r="G29" i="6"/>
  <c r="F29" i="6"/>
  <c r="E29" i="6"/>
  <c r="D29" i="6"/>
  <c r="C29" i="6"/>
  <c r="U29" i="6"/>
  <c r="B29" i="6"/>
  <c r="T30" i="6"/>
  <c r="S30" i="6"/>
  <c r="R30" i="6"/>
  <c r="Q30" i="6"/>
  <c r="P30" i="6"/>
  <c r="O30" i="6"/>
  <c r="N30" i="6"/>
  <c r="M30" i="6"/>
  <c r="L30" i="6"/>
  <c r="K30" i="6"/>
  <c r="J30" i="6"/>
  <c r="I30" i="6"/>
  <c r="H30" i="6"/>
  <c r="G30" i="6"/>
  <c r="F30" i="6"/>
  <c r="E30" i="6"/>
  <c r="D30" i="6"/>
  <c r="C30" i="6"/>
  <c r="U30" i="6"/>
  <c r="B30" i="6"/>
  <c r="T31" i="6"/>
  <c r="S31" i="6"/>
  <c r="R31" i="6"/>
  <c r="Q31" i="6"/>
  <c r="P31" i="6"/>
  <c r="O31" i="6"/>
  <c r="N31" i="6"/>
  <c r="M31" i="6"/>
  <c r="L31" i="6"/>
  <c r="K31" i="6"/>
  <c r="J31" i="6"/>
  <c r="I31" i="6"/>
  <c r="H31" i="6"/>
  <c r="G31" i="6"/>
  <c r="F31" i="6"/>
  <c r="E31" i="6"/>
  <c r="D31" i="6"/>
  <c r="C31" i="6"/>
  <c r="U31" i="6"/>
  <c r="B31" i="6"/>
  <c r="T32" i="6"/>
  <c r="S32" i="6"/>
  <c r="R32" i="6"/>
  <c r="Q32" i="6"/>
  <c r="P32" i="6"/>
  <c r="O32" i="6"/>
  <c r="N32" i="6"/>
  <c r="M32" i="6"/>
  <c r="L32" i="6"/>
  <c r="K32" i="6"/>
  <c r="J32" i="6"/>
  <c r="I32" i="6"/>
  <c r="H32" i="6"/>
  <c r="G32" i="6"/>
  <c r="F32" i="6"/>
  <c r="E32" i="6"/>
  <c r="D32" i="6"/>
  <c r="C32" i="6"/>
  <c r="U32" i="6"/>
  <c r="B32" i="6"/>
  <c r="T33" i="6"/>
  <c r="S33" i="6"/>
  <c r="R33" i="6"/>
  <c r="Q33" i="6"/>
  <c r="P33" i="6"/>
  <c r="O33" i="6"/>
  <c r="N33" i="6"/>
  <c r="M33" i="6"/>
  <c r="L33" i="6"/>
  <c r="K33" i="6"/>
  <c r="J33" i="6"/>
  <c r="I33" i="6"/>
  <c r="H33" i="6"/>
  <c r="G33" i="6"/>
  <c r="F33" i="6"/>
  <c r="E33" i="6"/>
  <c r="D33" i="6"/>
  <c r="C33" i="6"/>
  <c r="U33" i="6"/>
  <c r="B33" i="6"/>
  <c r="T34" i="6"/>
  <c r="S34" i="6"/>
  <c r="R34" i="6"/>
  <c r="Q34" i="6"/>
  <c r="P34" i="6"/>
  <c r="O34" i="6"/>
  <c r="N34" i="6"/>
  <c r="M34" i="6"/>
  <c r="L34" i="6"/>
  <c r="K34" i="6"/>
  <c r="J34" i="6"/>
  <c r="I34" i="6"/>
  <c r="H34" i="6"/>
  <c r="G34" i="6"/>
  <c r="F34" i="6"/>
  <c r="E34" i="6"/>
  <c r="D34" i="6"/>
  <c r="C34" i="6"/>
  <c r="U34" i="6"/>
  <c r="B34" i="6"/>
  <c r="T35" i="6"/>
  <c r="S35" i="6"/>
  <c r="R35" i="6"/>
  <c r="Q35" i="6"/>
  <c r="P35" i="6"/>
  <c r="O35" i="6"/>
  <c r="N35" i="6"/>
  <c r="M35" i="6"/>
  <c r="L35" i="6"/>
  <c r="K35" i="6"/>
  <c r="J35" i="6"/>
  <c r="I35" i="6"/>
  <c r="H35" i="6"/>
  <c r="G35" i="6"/>
  <c r="F35" i="6"/>
  <c r="E35" i="6"/>
  <c r="D35" i="6"/>
  <c r="C35" i="6"/>
  <c r="U35" i="6"/>
  <c r="B35" i="6"/>
  <c r="T36" i="6"/>
  <c r="S36" i="6"/>
  <c r="R36" i="6"/>
  <c r="Q36" i="6"/>
  <c r="P36" i="6"/>
  <c r="O36" i="6"/>
  <c r="N36" i="6"/>
  <c r="M36" i="6"/>
  <c r="L36" i="6"/>
  <c r="K36" i="6"/>
  <c r="J36" i="6"/>
  <c r="I36" i="6"/>
  <c r="H36" i="6"/>
  <c r="G36" i="6"/>
  <c r="F36" i="6"/>
  <c r="E36" i="6"/>
  <c r="D36" i="6"/>
  <c r="C36" i="6"/>
  <c r="U36" i="6"/>
  <c r="B36" i="6"/>
  <c r="T37" i="6"/>
  <c r="S37" i="6"/>
  <c r="R37" i="6"/>
  <c r="Q37" i="6"/>
  <c r="P37" i="6"/>
  <c r="O37" i="6"/>
  <c r="N37" i="6"/>
  <c r="M37" i="6"/>
  <c r="L37" i="6"/>
  <c r="K37" i="6"/>
  <c r="J37" i="6"/>
  <c r="I37" i="6"/>
  <c r="H37" i="6"/>
  <c r="G37" i="6"/>
  <c r="F37" i="6"/>
  <c r="E37" i="6"/>
  <c r="D37" i="6"/>
  <c r="C37" i="6"/>
  <c r="U37" i="6"/>
  <c r="B37" i="6"/>
  <c r="T38" i="6"/>
  <c r="S38" i="6"/>
  <c r="R38" i="6"/>
  <c r="Q38" i="6"/>
  <c r="P38" i="6"/>
  <c r="O38" i="6"/>
  <c r="N38" i="6"/>
  <c r="M38" i="6"/>
  <c r="L38" i="6"/>
  <c r="K38" i="6"/>
  <c r="J38" i="6"/>
  <c r="I38" i="6"/>
  <c r="H38" i="6"/>
  <c r="G38" i="6"/>
  <c r="F38" i="6"/>
  <c r="E38" i="6"/>
  <c r="D38" i="6"/>
  <c r="C38" i="6"/>
  <c r="U38" i="6"/>
  <c r="B38" i="6"/>
  <c r="T39" i="6"/>
  <c r="S39" i="6"/>
  <c r="R39" i="6"/>
  <c r="Q39" i="6"/>
  <c r="P39" i="6"/>
  <c r="O39" i="6"/>
  <c r="N39" i="6"/>
  <c r="M39" i="6"/>
  <c r="L39" i="6"/>
  <c r="K39" i="6"/>
  <c r="J39" i="6"/>
  <c r="I39" i="6"/>
  <c r="H39" i="6"/>
  <c r="G39" i="6"/>
  <c r="F39" i="6"/>
  <c r="E39" i="6"/>
  <c r="D39" i="6"/>
  <c r="C39" i="6"/>
  <c r="U39" i="6"/>
  <c r="B39" i="6"/>
  <c r="T40" i="6"/>
  <c r="S40" i="6"/>
  <c r="R40" i="6"/>
  <c r="Q40" i="6"/>
  <c r="P40" i="6"/>
  <c r="O40" i="6"/>
  <c r="N40" i="6"/>
  <c r="M40" i="6"/>
  <c r="L40" i="6"/>
  <c r="K40" i="6"/>
  <c r="J40" i="6"/>
  <c r="I40" i="6"/>
  <c r="H40" i="6"/>
  <c r="G40" i="6"/>
  <c r="F40" i="6"/>
  <c r="E40" i="6"/>
  <c r="D40" i="6"/>
  <c r="C40" i="6"/>
  <c r="U40" i="6"/>
  <c r="B40" i="6"/>
  <c r="T41" i="6"/>
  <c r="S41" i="6"/>
  <c r="R41" i="6"/>
  <c r="Q41" i="6"/>
  <c r="P41" i="6"/>
  <c r="O41" i="6"/>
  <c r="N41" i="6"/>
  <c r="M41" i="6"/>
  <c r="L41" i="6"/>
  <c r="K41" i="6"/>
  <c r="J41" i="6"/>
  <c r="I41" i="6"/>
  <c r="H41" i="6"/>
  <c r="G41" i="6"/>
  <c r="F41" i="6"/>
  <c r="E41" i="6"/>
  <c r="D41" i="6"/>
  <c r="C41" i="6"/>
  <c r="U41" i="6"/>
  <c r="B41" i="6"/>
  <c r="T42" i="6"/>
  <c r="S42" i="6"/>
  <c r="R42" i="6"/>
  <c r="Q42" i="6"/>
  <c r="P42" i="6"/>
  <c r="O42" i="6"/>
  <c r="N42" i="6"/>
  <c r="M42" i="6"/>
  <c r="L42" i="6"/>
  <c r="K42" i="6"/>
  <c r="J42" i="6"/>
  <c r="I42" i="6"/>
  <c r="H42" i="6"/>
  <c r="G42" i="6"/>
  <c r="F42" i="6"/>
  <c r="E42" i="6"/>
  <c r="D42" i="6"/>
  <c r="C42" i="6"/>
  <c r="U42" i="6"/>
  <c r="B42" i="6"/>
  <c r="T43" i="6"/>
  <c r="S43" i="6"/>
  <c r="R43" i="6"/>
  <c r="Q43" i="6"/>
  <c r="P43" i="6"/>
  <c r="O43" i="6"/>
  <c r="N43" i="6"/>
  <c r="M43" i="6"/>
  <c r="L43" i="6"/>
  <c r="K43" i="6"/>
  <c r="J43" i="6"/>
  <c r="I43" i="6"/>
  <c r="H43" i="6"/>
  <c r="G43" i="6"/>
  <c r="F43" i="6"/>
  <c r="E43" i="6"/>
  <c r="D43" i="6"/>
  <c r="C43" i="6"/>
  <c r="U43" i="6"/>
  <c r="B43" i="6"/>
  <c r="T44" i="6"/>
  <c r="S44" i="6"/>
  <c r="R44" i="6"/>
  <c r="Q44" i="6"/>
  <c r="P44" i="6"/>
  <c r="O44" i="6"/>
  <c r="N44" i="6"/>
  <c r="M44" i="6"/>
  <c r="L44" i="6"/>
  <c r="K44" i="6"/>
  <c r="J44" i="6"/>
  <c r="I44" i="6"/>
  <c r="H44" i="6"/>
  <c r="G44" i="6"/>
  <c r="F44" i="6"/>
  <c r="E44" i="6"/>
  <c r="D44" i="6"/>
  <c r="C44" i="6"/>
  <c r="U44" i="6"/>
  <c r="B44" i="6"/>
  <c r="T45" i="6"/>
  <c r="S45" i="6"/>
  <c r="R45" i="6"/>
  <c r="Q45" i="6"/>
  <c r="P45" i="6"/>
  <c r="O45" i="6"/>
  <c r="N45" i="6"/>
  <c r="M45" i="6"/>
  <c r="L45" i="6"/>
  <c r="K45" i="6"/>
  <c r="J45" i="6"/>
  <c r="I45" i="6"/>
  <c r="H45" i="6"/>
  <c r="G45" i="6"/>
  <c r="F45" i="6"/>
  <c r="E45" i="6"/>
  <c r="D45" i="6"/>
  <c r="C45" i="6"/>
  <c r="U45" i="6"/>
  <c r="B45" i="6"/>
  <c r="T46" i="6"/>
  <c r="S46" i="6"/>
  <c r="R46" i="6"/>
  <c r="Q46" i="6"/>
  <c r="P46" i="6"/>
  <c r="O46" i="6"/>
  <c r="N46" i="6"/>
  <c r="M46" i="6"/>
  <c r="L46" i="6"/>
  <c r="K46" i="6"/>
  <c r="J46" i="6"/>
  <c r="I46" i="6"/>
  <c r="H46" i="6"/>
  <c r="G46" i="6"/>
  <c r="F46" i="6"/>
  <c r="E46" i="6"/>
  <c r="D46" i="6"/>
  <c r="C46" i="6"/>
  <c r="U46" i="6"/>
  <c r="B46" i="6"/>
  <c r="T47" i="6"/>
  <c r="S47" i="6"/>
  <c r="R47" i="6"/>
  <c r="Q47" i="6"/>
  <c r="P47" i="6"/>
  <c r="O47" i="6"/>
  <c r="N47" i="6"/>
  <c r="M47" i="6"/>
  <c r="L47" i="6"/>
  <c r="K47" i="6"/>
  <c r="J47" i="6"/>
  <c r="I47" i="6"/>
  <c r="H47" i="6"/>
  <c r="G47" i="6"/>
  <c r="F47" i="6"/>
  <c r="E47" i="6"/>
  <c r="D47" i="6"/>
  <c r="C47" i="6"/>
  <c r="U47" i="6"/>
  <c r="B47" i="6"/>
  <c r="T48" i="6"/>
  <c r="S48" i="6"/>
  <c r="R48" i="6"/>
  <c r="Q48" i="6"/>
  <c r="P48" i="6"/>
  <c r="O48" i="6"/>
  <c r="N48" i="6"/>
  <c r="M48" i="6"/>
  <c r="L48" i="6"/>
  <c r="K48" i="6"/>
  <c r="J48" i="6"/>
  <c r="I48" i="6"/>
  <c r="H48" i="6"/>
  <c r="G48" i="6"/>
  <c r="F48" i="6"/>
  <c r="E48" i="6"/>
  <c r="D48" i="6"/>
  <c r="C48" i="6"/>
  <c r="U48" i="6"/>
  <c r="B48" i="6"/>
  <c r="T49" i="6"/>
  <c r="S49" i="6"/>
  <c r="R49" i="6"/>
  <c r="Q49" i="6"/>
  <c r="P49" i="6"/>
  <c r="O49" i="6"/>
  <c r="N49" i="6"/>
  <c r="M49" i="6"/>
  <c r="L49" i="6"/>
  <c r="K49" i="6"/>
  <c r="J49" i="6"/>
  <c r="I49" i="6"/>
  <c r="H49" i="6"/>
  <c r="G49" i="6"/>
  <c r="F49" i="6"/>
  <c r="E49" i="6"/>
  <c r="D49" i="6"/>
  <c r="C49" i="6"/>
  <c r="U49" i="6"/>
  <c r="B49" i="6"/>
  <c r="T50" i="6"/>
  <c r="S50" i="6"/>
  <c r="R50" i="6"/>
  <c r="Q50" i="6"/>
  <c r="P50" i="6"/>
  <c r="O50" i="6"/>
  <c r="N50" i="6"/>
  <c r="M50" i="6"/>
  <c r="L50" i="6"/>
  <c r="K50" i="6"/>
  <c r="J50" i="6"/>
  <c r="I50" i="6"/>
  <c r="H50" i="6"/>
  <c r="G50" i="6"/>
  <c r="F50" i="6"/>
  <c r="E50" i="6"/>
  <c r="D50" i="6"/>
  <c r="C50" i="6"/>
  <c r="U50" i="6"/>
  <c r="B50" i="6"/>
  <c r="T51" i="6"/>
  <c r="S51" i="6"/>
  <c r="R51" i="6"/>
  <c r="Q51" i="6"/>
  <c r="P51" i="6"/>
  <c r="O51" i="6"/>
  <c r="N51" i="6"/>
  <c r="M51" i="6"/>
  <c r="L51" i="6"/>
  <c r="K51" i="6"/>
  <c r="J51" i="6"/>
  <c r="I51" i="6"/>
  <c r="H51" i="6"/>
  <c r="G51" i="6"/>
  <c r="F51" i="6"/>
  <c r="E51" i="6"/>
  <c r="D51" i="6"/>
  <c r="C51" i="6"/>
  <c r="U51" i="6"/>
  <c r="B51" i="6"/>
  <c r="T52" i="6"/>
  <c r="S52" i="6"/>
  <c r="R52" i="6"/>
  <c r="Q52" i="6"/>
  <c r="P52" i="6"/>
  <c r="O52" i="6"/>
  <c r="N52" i="6"/>
  <c r="M52" i="6"/>
  <c r="L52" i="6"/>
  <c r="K52" i="6"/>
  <c r="J52" i="6"/>
  <c r="I52" i="6"/>
  <c r="H52" i="6"/>
  <c r="G52" i="6"/>
  <c r="F52" i="6"/>
  <c r="E52" i="6"/>
  <c r="D52" i="6"/>
  <c r="C52" i="6"/>
  <c r="U52" i="6"/>
  <c r="B52" i="6"/>
  <c r="T53" i="6"/>
  <c r="S53" i="6"/>
  <c r="R53" i="6"/>
  <c r="Q53" i="6"/>
  <c r="P53" i="6"/>
  <c r="O53" i="6"/>
  <c r="N53" i="6"/>
  <c r="M53" i="6"/>
  <c r="L53" i="6"/>
  <c r="K53" i="6"/>
  <c r="J53" i="6"/>
  <c r="I53" i="6"/>
  <c r="H53" i="6"/>
  <c r="G53" i="6"/>
  <c r="F53" i="6"/>
  <c r="E53" i="6"/>
  <c r="D53" i="6"/>
  <c r="C53" i="6"/>
  <c r="U53" i="6"/>
  <c r="B53" i="6"/>
  <c r="T54" i="6"/>
  <c r="S54" i="6"/>
  <c r="R54" i="6"/>
  <c r="Q54" i="6"/>
  <c r="P54" i="6"/>
  <c r="O54" i="6"/>
  <c r="N54" i="6"/>
  <c r="M54" i="6"/>
  <c r="L54" i="6"/>
  <c r="K54" i="6"/>
  <c r="J54" i="6"/>
  <c r="I54" i="6"/>
  <c r="H54" i="6"/>
  <c r="G54" i="6"/>
  <c r="F54" i="6"/>
  <c r="E54" i="6"/>
  <c r="D54" i="6"/>
  <c r="C54" i="6"/>
  <c r="U54" i="6"/>
  <c r="B54" i="6"/>
  <c r="T55" i="6"/>
  <c r="S55" i="6"/>
  <c r="R55" i="6"/>
  <c r="Q55" i="6"/>
  <c r="P55" i="6"/>
  <c r="O55" i="6"/>
  <c r="N55" i="6"/>
  <c r="M55" i="6"/>
  <c r="L55" i="6"/>
  <c r="K55" i="6"/>
  <c r="J55" i="6"/>
  <c r="I55" i="6"/>
  <c r="H55" i="6"/>
  <c r="G55" i="6"/>
  <c r="F55" i="6"/>
  <c r="E55" i="6"/>
  <c r="D55" i="6"/>
  <c r="C55" i="6"/>
  <c r="U55" i="6"/>
  <c r="B55" i="6"/>
  <c r="T56" i="6"/>
  <c r="S56" i="6"/>
  <c r="R56" i="6"/>
  <c r="Q56" i="6"/>
  <c r="P56" i="6"/>
  <c r="O56" i="6"/>
  <c r="N56" i="6"/>
  <c r="M56" i="6"/>
  <c r="L56" i="6"/>
  <c r="K56" i="6"/>
  <c r="J56" i="6"/>
  <c r="I56" i="6"/>
  <c r="H56" i="6"/>
  <c r="G56" i="6"/>
  <c r="F56" i="6"/>
  <c r="E56" i="6"/>
  <c r="D56" i="6"/>
  <c r="C56" i="6"/>
  <c r="U56" i="6"/>
  <c r="B56" i="6"/>
  <c r="T57" i="6"/>
  <c r="S57" i="6"/>
  <c r="R57" i="6"/>
  <c r="Q57" i="6"/>
  <c r="P57" i="6"/>
  <c r="O57" i="6"/>
  <c r="N57" i="6"/>
  <c r="M57" i="6"/>
  <c r="L57" i="6"/>
  <c r="K57" i="6"/>
  <c r="J57" i="6"/>
  <c r="I57" i="6"/>
  <c r="H57" i="6"/>
  <c r="G57" i="6"/>
  <c r="F57" i="6"/>
  <c r="E57" i="6"/>
  <c r="D57" i="6"/>
  <c r="C57" i="6"/>
  <c r="U57" i="6"/>
  <c r="B57" i="6"/>
  <c r="T58" i="6"/>
  <c r="S58" i="6"/>
  <c r="R58" i="6"/>
  <c r="Q58" i="6"/>
  <c r="P58" i="6"/>
  <c r="O58" i="6"/>
  <c r="N58" i="6"/>
  <c r="M58" i="6"/>
  <c r="L58" i="6"/>
  <c r="K58" i="6"/>
  <c r="J58" i="6"/>
  <c r="I58" i="6"/>
  <c r="H58" i="6"/>
  <c r="G58" i="6"/>
  <c r="F58" i="6"/>
  <c r="E58" i="6"/>
  <c r="D58" i="6"/>
  <c r="C58" i="6"/>
  <c r="U58" i="6"/>
  <c r="B58" i="6"/>
  <c r="T59" i="6"/>
  <c r="S59" i="6"/>
  <c r="R59" i="6"/>
  <c r="Q59" i="6"/>
  <c r="P59" i="6"/>
  <c r="O59" i="6"/>
  <c r="N59" i="6"/>
  <c r="M59" i="6"/>
  <c r="L59" i="6"/>
  <c r="K59" i="6"/>
  <c r="J59" i="6"/>
  <c r="I59" i="6"/>
  <c r="H59" i="6"/>
  <c r="G59" i="6"/>
  <c r="F59" i="6"/>
  <c r="E59" i="6"/>
  <c r="D59" i="6"/>
  <c r="C59" i="6"/>
  <c r="U59" i="6"/>
  <c r="B59" i="6"/>
  <c r="T60" i="6"/>
  <c r="S60" i="6"/>
  <c r="R60" i="6"/>
  <c r="Q60" i="6"/>
  <c r="P60" i="6"/>
  <c r="O60" i="6"/>
  <c r="N60" i="6"/>
  <c r="M60" i="6"/>
  <c r="L60" i="6"/>
  <c r="K60" i="6"/>
  <c r="J60" i="6"/>
  <c r="I60" i="6"/>
  <c r="H60" i="6"/>
  <c r="G60" i="6"/>
  <c r="F60" i="6"/>
  <c r="E60" i="6"/>
  <c r="D60" i="6"/>
  <c r="C60" i="6"/>
  <c r="U60" i="6"/>
  <c r="B60" i="6"/>
  <c r="T61" i="6"/>
  <c r="S61" i="6"/>
  <c r="R61" i="6"/>
  <c r="Q61" i="6"/>
  <c r="P61" i="6"/>
  <c r="O61" i="6"/>
  <c r="N61" i="6"/>
  <c r="M61" i="6"/>
  <c r="L61" i="6"/>
  <c r="K61" i="6"/>
  <c r="J61" i="6"/>
  <c r="I61" i="6"/>
  <c r="H61" i="6"/>
  <c r="G61" i="6"/>
  <c r="F61" i="6"/>
  <c r="E61" i="6"/>
  <c r="D61" i="6"/>
  <c r="C61" i="6"/>
  <c r="U61" i="6"/>
  <c r="B61" i="6"/>
  <c r="T62" i="6"/>
  <c r="S62" i="6"/>
  <c r="R62" i="6"/>
  <c r="Q62" i="6"/>
  <c r="P62" i="6"/>
  <c r="O62" i="6"/>
  <c r="N62" i="6"/>
  <c r="M62" i="6"/>
  <c r="L62" i="6"/>
  <c r="K62" i="6"/>
  <c r="J62" i="6"/>
  <c r="I62" i="6"/>
  <c r="H62" i="6"/>
  <c r="G62" i="6"/>
  <c r="F62" i="6"/>
  <c r="E62" i="6"/>
  <c r="D62" i="6"/>
  <c r="C62" i="6"/>
  <c r="U62" i="6"/>
  <c r="B62" i="6"/>
  <c r="T63" i="6"/>
  <c r="S63" i="6"/>
  <c r="R63" i="6"/>
  <c r="Q63" i="6"/>
  <c r="P63" i="6"/>
  <c r="O63" i="6"/>
  <c r="N63" i="6"/>
  <c r="M63" i="6"/>
  <c r="L63" i="6"/>
  <c r="K63" i="6"/>
  <c r="J63" i="6"/>
  <c r="I63" i="6"/>
  <c r="H63" i="6"/>
  <c r="G63" i="6"/>
  <c r="F63" i="6"/>
  <c r="E63" i="6"/>
  <c r="D63" i="6"/>
  <c r="C63" i="6"/>
  <c r="U63" i="6"/>
  <c r="B63" i="6"/>
  <c r="T64" i="6"/>
  <c r="S64" i="6"/>
  <c r="R64" i="6"/>
  <c r="Q64" i="6"/>
  <c r="P64" i="6"/>
  <c r="O64" i="6"/>
  <c r="N64" i="6"/>
  <c r="M64" i="6"/>
  <c r="L64" i="6"/>
  <c r="K64" i="6"/>
  <c r="J64" i="6"/>
  <c r="I64" i="6"/>
  <c r="H64" i="6"/>
  <c r="G64" i="6"/>
  <c r="F64" i="6"/>
  <c r="E64" i="6"/>
  <c r="D64" i="6"/>
  <c r="C64" i="6"/>
  <c r="U64" i="6"/>
  <c r="B64" i="6"/>
  <c r="T65" i="6"/>
  <c r="S65" i="6"/>
  <c r="R65" i="6"/>
  <c r="Q65" i="6"/>
  <c r="P65" i="6"/>
  <c r="O65" i="6"/>
  <c r="N65" i="6"/>
  <c r="M65" i="6"/>
  <c r="L65" i="6"/>
  <c r="K65" i="6"/>
  <c r="J65" i="6"/>
  <c r="I65" i="6"/>
  <c r="H65" i="6"/>
  <c r="G65" i="6"/>
  <c r="F65" i="6"/>
  <c r="E65" i="6"/>
  <c r="D65" i="6"/>
  <c r="C65" i="6"/>
  <c r="U65" i="6"/>
  <c r="B65" i="6"/>
  <c r="T66" i="6"/>
  <c r="S66" i="6"/>
  <c r="R66" i="6"/>
  <c r="Q66" i="6"/>
  <c r="P66" i="6"/>
  <c r="O66" i="6"/>
  <c r="N66" i="6"/>
  <c r="M66" i="6"/>
  <c r="L66" i="6"/>
  <c r="K66" i="6"/>
  <c r="J66" i="6"/>
  <c r="I66" i="6"/>
  <c r="H66" i="6"/>
  <c r="G66" i="6"/>
  <c r="F66" i="6"/>
  <c r="E66" i="6"/>
  <c r="D66" i="6"/>
  <c r="C66" i="6"/>
  <c r="U66" i="6"/>
  <c r="B66" i="6"/>
  <c r="T67" i="6"/>
  <c r="S67" i="6"/>
  <c r="R67" i="6"/>
  <c r="Q67" i="6"/>
  <c r="P67" i="6"/>
  <c r="O67" i="6"/>
  <c r="N67" i="6"/>
  <c r="M67" i="6"/>
  <c r="L67" i="6"/>
  <c r="K67" i="6"/>
  <c r="J67" i="6"/>
  <c r="I67" i="6"/>
  <c r="H67" i="6"/>
  <c r="G67" i="6"/>
  <c r="F67" i="6"/>
  <c r="E67" i="6"/>
  <c r="D67" i="6"/>
  <c r="C67" i="6"/>
  <c r="U67" i="6"/>
  <c r="B67" i="6"/>
  <c r="T68" i="6"/>
  <c r="S68" i="6"/>
  <c r="R68" i="6"/>
  <c r="Q68" i="6"/>
  <c r="P68" i="6"/>
  <c r="O68" i="6"/>
  <c r="N68" i="6"/>
  <c r="M68" i="6"/>
  <c r="L68" i="6"/>
  <c r="K68" i="6"/>
  <c r="J68" i="6"/>
  <c r="I68" i="6"/>
  <c r="H68" i="6"/>
  <c r="G68" i="6"/>
  <c r="F68" i="6"/>
  <c r="E68" i="6"/>
  <c r="D68" i="6"/>
  <c r="C68" i="6"/>
  <c r="U68" i="6"/>
  <c r="B68" i="6"/>
  <c r="T69" i="6"/>
  <c r="S69" i="6"/>
  <c r="R69" i="6"/>
  <c r="Q69" i="6"/>
  <c r="P69" i="6"/>
  <c r="O69" i="6"/>
  <c r="N69" i="6"/>
  <c r="M69" i="6"/>
  <c r="L69" i="6"/>
  <c r="K69" i="6"/>
  <c r="J69" i="6"/>
  <c r="I69" i="6"/>
  <c r="H69" i="6"/>
  <c r="G69" i="6"/>
  <c r="F69" i="6"/>
  <c r="E69" i="6"/>
  <c r="D69" i="6"/>
  <c r="C69" i="6"/>
  <c r="U69" i="6"/>
  <c r="B69" i="6"/>
  <c r="T70" i="6"/>
  <c r="S70" i="6"/>
  <c r="R70" i="6"/>
  <c r="Q70" i="6"/>
  <c r="P70" i="6"/>
  <c r="O70" i="6"/>
  <c r="N70" i="6"/>
  <c r="M70" i="6"/>
  <c r="L70" i="6"/>
  <c r="K70" i="6"/>
  <c r="J70" i="6"/>
  <c r="I70" i="6"/>
  <c r="H70" i="6"/>
  <c r="G70" i="6"/>
  <c r="F70" i="6"/>
  <c r="E70" i="6"/>
  <c r="D70" i="6"/>
  <c r="C70" i="6"/>
  <c r="U70" i="6"/>
  <c r="B70" i="6"/>
  <c r="T71" i="6"/>
  <c r="S71" i="6"/>
  <c r="R71" i="6"/>
  <c r="Q71" i="6"/>
  <c r="P71" i="6"/>
  <c r="O71" i="6"/>
  <c r="N71" i="6"/>
  <c r="M71" i="6"/>
  <c r="L71" i="6"/>
  <c r="K71" i="6"/>
  <c r="J71" i="6"/>
  <c r="I71" i="6"/>
  <c r="H71" i="6"/>
  <c r="G71" i="6"/>
  <c r="F71" i="6"/>
  <c r="E71" i="6"/>
  <c r="D71" i="6"/>
  <c r="C71" i="6"/>
  <c r="U71" i="6"/>
  <c r="B71" i="6"/>
  <c r="T72" i="6"/>
  <c r="S72" i="6"/>
  <c r="R72" i="6"/>
  <c r="Q72" i="6"/>
  <c r="P72" i="6"/>
  <c r="O72" i="6"/>
  <c r="N72" i="6"/>
  <c r="M72" i="6"/>
  <c r="L72" i="6"/>
  <c r="K72" i="6"/>
  <c r="J72" i="6"/>
  <c r="I72" i="6"/>
  <c r="H72" i="6"/>
  <c r="G72" i="6"/>
  <c r="F72" i="6"/>
  <c r="E72" i="6"/>
  <c r="D72" i="6"/>
  <c r="C72" i="6"/>
  <c r="U72" i="6"/>
  <c r="B72" i="6"/>
  <c r="T73" i="6"/>
  <c r="S73" i="6"/>
  <c r="R73" i="6"/>
  <c r="Q73" i="6"/>
  <c r="P73" i="6"/>
  <c r="O73" i="6"/>
  <c r="N73" i="6"/>
  <c r="M73" i="6"/>
  <c r="L73" i="6"/>
  <c r="K73" i="6"/>
  <c r="J73" i="6"/>
  <c r="I73" i="6"/>
  <c r="H73" i="6"/>
  <c r="G73" i="6"/>
  <c r="F73" i="6"/>
  <c r="E73" i="6"/>
  <c r="D73" i="6"/>
  <c r="C73" i="6"/>
  <c r="U73" i="6"/>
  <c r="B73" i="6"/>
  <c r="T74" i="6"/>
  <c r="S74" i="6"/>
  <c r="R74" i="6"/>
  <c r="Q74" i="6"/>
  <c r="P74" i="6"/>
  <c r="O74" i="6"/>
  <c r="N74" i="6"/>
  <c r="M74" i="6"/>
  <c r="L74" i="6"/>
  <c r="K74" i="6"/>
  <c r="J74" i="6"/>
  <c r="I74" i="6"/>
  <c r="H74" i="6"/>
  <c r="G74" i="6"/>
  <c r="F74" i="6"/>
  <c r="E74" i="6"/>
  <c r="D74" i="6"/>
  <c r="C74" i="6"/>
  <c r="U74" i="6"/>
  <c r="B74" i="6"/>
  <c r="T75" i="6"/>
  <c r="S75" i="6"/>
  <c r="R75" i="6"/>
  <c r="Q75" i="6"/>
  <c r="P75" i="6"/>
  <c r="O75" i="6"/>
  <c r="N75" i="6"/>
  <c r="M75" i="6"/>
  <c r="L75" i="6"/>
  <c r="K75" i="6"/>
  <c r="J75" i="6"/>
  <c r="I75" i="6"/>
  <c r="H75" i="6"/>
  <c r="G75" i="6"/>
  <c r="F75" i="6"/>
  <c r="E75" i="6"/>
  <c r="D75" i="6"/>
  <c r="C75" i="6"/>
  <c r="U75" i="6"/>
  <c r="B75" i="6"/>
  <c r="T76" i="6"/>
  <c r="S76" i="6"/>
  <c r="R76" i="6"/>
  <c r="Q76" i="6"/>
  <c r="P76" i="6"/>
  <c r="O76" i="6"/>
  <c r="N76" i="6"/>
  <c r="M76" i="6"/>
  <c r="L76" i="6"/>
  <c r="K76" i="6"/>
  <c r="J76" i="6"/>
  <c r="I76" i="6"/>
  <c r="H76" i="6"/>
  <c r="G76" i="6"/>
  <c r="F76" i="6"/>
  <c r="E76" i="6"/>
  <c r="D76" i="6"/>
  <c r="C76" i="6"/>
  <c r="U76" i="6"/>
  <c r="B76" i="6"/>
  <c r="T77" i="6"/>
  <c r="S77" i="6"/>
  <c r="R77" i="6"/>
  <c r="Q77" i="6"/>
  <c r="P77" i="6"/>
  <c r="O77" i="6"/>
  <c r="N77" i="6"/>
  <c r="M77" i="6"/>
  <c r="L77" i="6"/>
  <c r="K77" i="6"/>
  <c r="J77" i="6"/>
  <c r="I77" i="6"/>
  <c r="H77" i="6"/>
  <c r="G77" i="6"/>
  <c r="F77" i="6"/>
  <c r="E77" i="6"/>
  <c r="D77" i="6"/>
  <c r="C77" i="6"/>
  <c r="U77" i="6"/>
  <c r="B77" i="6"/>
  <c r="T78" i="6"/>
  <c r="S78" i="6"/>
  <c r="R78" i="6"/>
  <c r="Q78" i="6"/>
  <c r="P78" i="6"/>
  <c r="O78" i="6"/>
  <c r="N78" i="6"/>
  <c r="M78" i="6"/>
  <c r="L78" i="6"/>
  <c r="K78" i="6"/>
  <c r="J78" i="6"/>
  <c r="I78" i="6"/>
  <c r="H78" i="6"/>
  <c r="G78" i="6"/>
  <c r="F78" i="6"/>
  <c r="E78" i="6"/>
  <c r="D78" i="6"/>
  <c r="C78" i="6"/>
  <c r="U78" i="6"/>
  <c r="B78" i="6"/>
  <c r="T79" i="6"/>
  <c r="S79" i="6"/>
  <c r="R79" i="6"/>
  <c r="Q79" i="6"/>
  <c r="P79" i="6"/>
  <c r="O79" i="6"/>
  <c r="N79" i="6"/>
  <c r="M79" i="6"/>
  <c r="L79" i="6"/>
  <c r="K79" i="6"/>
  <c r="J79" i="6"/>
  <c r="I79" i="6"/>
  <c r="H79" i="6"/>
  <c r="G79" i="6"/>
  <c r="F79" i="6"/>
  <c r="E79" i="6"/>
  <c r="D79" i="6"/>
  <c r="C79" i="6"/>
  <c r="U79" i="6"/>
  <c r="B79" i="6"/>
  <c r="T80" i="6"/>
  <c r="S80" i="6"/>
  <c r="R80" i="6"/>
  <c r="Q80" i="6"/>
  <c r="P80" i="6"/>
  <c r="O80" i="6"/>
  <c r="N80" i="6"/>
  <c r="M80" i="6"/>
  <c r="L80" i="6"/>
  <c r="K80" i="6"/>
  <c r="J80" i="6"/>
  <c r="I80" i="6"/>
  <c r="H80" i="6"/>
  <c r="G80" i="6"/>
  <c r="F80" i="6"/>
  <c r="E80" i="6"/>
  <c r="D80" i="6"/>
  <c r="C80" i="6"/>
  <c r="U80" i="6"/>
  <c r="B80" i="6"/>
  <c r="T81" i="6"/>
  <c r="S81" i="6"/>
  <c r="R81" i="6"/>
  <c r="Q81" i="6"/>
  <c r="P81" i="6"/>
  <c r="O81" i="6"/>
  <c r="N81" i="6"/>
  <c r="M81" i="6"/>
  <c r="L81" i="6"/>
  <c r="K81" i="6"/>
  <c r="J81" i="6"/>
  <c r="I81" i="6"/>
  <c r="H81" i="6"/>
  <c r="G81" i="6"/>
  <c r="F81" i="6"/>
  <c r="E81" i="6"/>
  <c r="D81" i="6"/>
  <c r="C81" i="6"/>
  <c r="U81" i="6"/>
  <c r="B81" i="6"/>
  <c r="T82" i="6"/>
  <c r="S82" i="6"/>
  <c r="R82" i="6"/>
  <c r="Q82" i="6"/>
  <c r="P82" i="6"/>
  <c r="O82" i="6"/>
  <c r="N82" i="6"/>
  <c r="M82" i="6"/>
  <c r="L82" i="6"/>
  <c r="K82" i="6"/>
  <c r="J82" i="6"/>
  <c r="I82" i="6"/>
  <c r="H82" i="6"/>
  <c r="G82" i="6"/>
  <c r="F82" i="6"/>
  <c r="E82" i="6"/>
  <c r="D82" i="6"/>
  <c r="C82" i="6"/>
  <c r="U82" i="6"/>
  <c r="B82" i="6"/>
  <c r="T83" i="6"/>
  <c r="S83" i="6"/>
  <c r="R83" i="6"/>
  <c r="Q83" i="6"/>
  <c r="P83" i="6"/>
  <c r="O83" i="6"/>
  <c r="N83" i="6"/>
  <c r="M83" i="6"/>
  <c r="L83" i="6"/>
  <c r="K83" i="6"/>
  <c r="J83" i="6"/>
  <c r="I83" i="6"/>
  <c r="H83" i="6"/>
  <c r="G83" i="6"/>
  <c r="F83" i="6"/>
  <c r="E83" i="6"/>
  <c r="D83" i="6"/>
  <c r="C83" i="6"/>
  <c r="U83" i="6"/>
  <c r="B83" i="6"/>
  <c r="T84" i="6"/>
  <c r="S84" i="6"/>
  <c r="R84" i="6"/>
  <c r="Q84" i="6"/>
  <c r="P84" i="6"/>
  <c r="O84" i="6"/>
  <c r="N84" i="6"/>
  <c r="M84" i="6"/>
  <c r="L84" i="6"/>
  <c r="K84" i="6"/>
  <c r="J84" i="6"/>
  <c r="I84" i="6"/>
  <c r="H84" i="6"/>
  <c r="G84" i="6"/>
  <c r="F84" i="6"/>
  <c r="E84" i="6"/>
  <c r="D84" i="6"/>
  <c r="C84" i="6"/>
  <c r="U84" i="6"/>
  <c r="B84" i="6"/>
  <c r="T85" i="6"/>
  <c r="S85" i="6"/>
  <c r="R85" i="6"/>
  <c r="Q85" i="6"/>
  <c r="P85" i="6"/>
  <c r="O85" i="6"/>
  <c r="N85" i="6"/>
  <c r="M85" i="6"/>
  <c r="L85" i="6"/>
  <c r="K85" i="6"/>
  <c r="J85" i="6"/>
  <c r="I85" i="6"/>
  <c r="H85" i="6"/>
  <c r="G85" i="6"/>
  <c r="F85" i="6"/>
  <c r="E85" i="6"/>
  <c r="D85" i="6"/>
  <c r="C85" i="6"/>
  <c r="U85" i="6"/>
  <c r="B85" i="6"/>
  <c r="T86" i="6"/>
  <c r="S86" i="6"/>
  <c r="R86" i="6"/>
  <c r="Q86" i="6"/>
  <c r="P86" i="6"/>
  <c r="O86" i="6"/>
  <c r="N86" i="6"/>
  <c r="M86" i="6"/>
  <c r="L86" i="6"/>
  <c r="K86" i="6"/>
  <c r="J86" i="6"/>
  <c r="I86" i="6"/>
  <c r="H86" i="6"/>
  <c r="G86" i="6"/>
  <c r="F86" i="6"/>
  <c r="E86" i="6"/>
  <c r="D86" i="6"/>
  <c r="C86" i="6"/>
  <c r="U86" i="6"/>
  <c r="B86" i="6"/>
  <c r="T87" i="6"/>
  <c r="S87" i="6"/>
  <c r="R87" i="6"/>
  <c r="Q87" i="6"/>
  <c r="P87" i="6"/>
  <c r="O87" i="6"/>
  <c r="N87" i="6"/>
  <c r="M87" i="6"/>
  <c r="L87" i="6"/>
  <c r="K87" i="6"/>
  <c r="J87" i="6"/>
  <c r="I87" i="6"/>
  <c r="H87" i="6"/>
  <c r="G87" i="6"/>
  <c r="F87" i="6"/>
  <c r="E87" i="6"/>
  <c r="D87" i="6"/>
  <c r="C87" i="6"/>
  <c r="U87" i="6"/>
  <c r="B87" i="6"/>
  <c r="T88" i="6"/>
  <c r="S88" i="6"/>
  <c r="R88" i="6"/>
  <c r="Q88" i="6"/>
  <c r="P88" i="6"/>
  <c r="O88" i="6"/>
  <c r="N88" i="6"/>
  <c r="M88" i="6"/>
  <c r="L88" i="6"/>
  <c r="K88" i="6"/>
  <c r="J88" i="6"/>
  <c r="I88" i="6"/>
  <c r="H88" i="6"/>
  <c r="G88" i="6"/>
  <c r="F88" i="6"/>
  <c r="E88" i="6"/>
  <c r="D88" i="6"/>
  <c r="C88" i="6"/>
  <c r="U88" i="6"/>
  <c r="B88" i="6"/>
  <c r="T89" i="6"/>
  <c r="S89" i="6"/>
  <c r="R89" i="6"/>
  <c r="Q89" i="6"/>
  <c r="P89" i="6"/>
  <c r="O89" i="6"/>
  <c r="N89" i="6"/>
  <c r="M89" i="6"/>
  <c r="L89" i="6"/>
  <c r="K89" i="6"/>
  <c r="J89" i="6"/>
  <c r="I89" i="6"/>
  <c r="H89" i="6"/>
  <c r="G89" i="6"/>
  <c r="F89" i="6"/>
  <c r="E89" i="6"/>
  <c r="D89" i="6"/>
  <c r="C89" i="6"/>
  <c r="U89" i="6"/>
  <c r="B89" i="6"/>
  <c r="T90" i="6"/>
  <c r="S90" i="6"/>
  <c r="R90" i="6"/>
  <c r="Q90" i="6"/>
  <c r="P90" i="6"/>
  <c r="O90" i="6"/>
  <c r="N90" i="6"/>
  <c r="M90" i="6"/>
  <c r="L90" i="6"/>
  <c r="K90" i="6"/>
  <c r="J90" i="6"/>
  <c r="I90" i="6"/>
  <c r="H90" i="6"/>
  <c r="G90" i="6"/>
  <c r="F90" i="6"/>
  <c r="E90" i="6"/>
  <c r="D90" i="6"/>
  <c r="C90" i="6"/>
  <c r="U90" i="6"/>
  <c r="B90" i="6"/>
  <c r="T91" i="6"/>
  <c r="S91" i="6"/>
  <c r="R91" i="6"/>
  <c r="Q91" i="6"/>
  <c r="P91" i="6"/>
  <c r="O91" i="6"/>
  <c r="N91" i="6"/>
  <c r="M91" i="6"/>
  <c r="L91" i="6"/>
  <c r="K91" i="6"/>
  <c r="J91" i="6"/>
  <c r="I91" i="6"/>
  <c r="H91" i="6"/>
  <c r="G91" i="6"/>
  <c r="F91" i="6"/>
  <c r="E91" i="6"/>
  <c r="D91" i="6"/>
  <c r="C91" i="6"/>
  <c r="U91" i="6"/>
  <c r="B91" i="6"/>
  <c r="T92" i="6"/>
  <c r="S92" i="6"/>
  <c r="R92" i="6"/>
  <c r="Q92" i="6"/>
  <c r="P92" i="6"/>
  <c r="O92" i="6"/>
  <c r="N92" i="6"/>
  <c r="M92" i="6"/>
  <c r="L92" i="6"/>
  <c r="K92" i="6"/>
  <c r="J92" i="6"/>
  <c r="I92" i="6"/>
  <c r="H92" i="6"/>
  <c r="G92" i="6"/>
  <c r="F92" i="6"/>
  <c r="E92" i="6"/>
  <c r="D92" i="6"/>
  <c r="C92" i="6"/>
  <c r="U92" i="6"/>
  <c r="B92" i="6"/>
  <c r="T93" i="6"/>
  <c r="S93" i="6"/>
  <c r="R93" i="6"/>
  <c r="Q93" i="6"/>
  <c r="P93" i="6"/>
  <c r="O93" i="6"/>
  <c r="N93" i="6"/>
  <c r="M93" i="6"/>
  <c r="L93" i="6"/>
  <c r="K93" i="6"/>
  <c r="J93" i="6"/>
  <c r="I93" i="6"/>
  <c r="H93" i="6"/>
  <c r="G93" i="6"/>
  <c r="F93" i="6"/>
  <c r="E93" i="6"/>
  <c r="D93" i="6"/>
  <c r="C93" i="6"/>
  <c r="U93" i="6"/>
  <c r="B93" i="6"/>
  <c r="T94" i="6"/>
  <c r="S94" i="6"/>
  <c r="R94" i="6"/>
  <c r="Q94" i="6"/>
  <c r="P94" i="6"/>
  <c r="O94" i="6"/>
  <c r="N94" i="6"/>
  <c r="M94" i="6"/>
  <c r="L94" i="6"/>
  <c r="K94" i="6"/>
  <c r="J94" i="6"/>
  <c r="I94" i="6"/>
  <c r="H94" i="6"/>
  <c r="G94" i="6"/>
  <c r="F94" i="6"/>
  <c r="E94" i="6"/>
  <c r="D94" i="6"/>
  <c r="C94" i="6"/>
  <c r="U94" i="6"/>
  <c r="B94" i="6"/>
  <c r="T95" i="6"/>
  <c r="S95" i="6"/>
  <c r="R95" i="6"/>
  <c r="Q95" i="6"/>
  <c r="P95" i="6"/>
  <c r="O95" i="6"/>
  <c r="N95" i="6"/>
  <c r="M95" i="6"/>
  <c r="L95" i="6"/>
  <c r="K95" i="6"/>
  <c r="J95" i="6"/>
  <c r="I95" i="6"/>
  <c r="H95" i="6"/>
  <c r="G95" i="6"/>
  <c r="F95" i="6"/>
  <c r="E95" i="6"/>
  <c r="D95" i="6"/>
  <c r="C95" i="6"/>
  <c r="U95" i="6"/>
  <c r="B95" i="6"/>
  <c r="T96" i="6"/>
  <c r="S96" i="6"/>
  <c r="R96" i="6"/>
  <c r="Q96" i="6"/>
  <c r="P96" i="6"/>
  <c r="O96" i="6"/>
  <c r="N96" i="6"/>
  <c r="M96" i="6"/>
  <c r="L96" i="6"/>
  <c r="K96" i="6"/>
  <c r="J96" i="6"/>
  <c r="I96" i="6"/>
  <c r="H96" i="6"/>
  <c r="G96" i="6"/>
  <c r="F96" i="6"/>
  <c r="E96" i="6"/>
  <c r="D96" i="6"/>
  <c r="C96" i="6"/>
  <c r="U96" i="6"/>
  <c r="B96" i="6"/>
  <c r="T97" i="6"/>
  <c r="S97" i="6"/>
  <c r="R97" i="6"/>
  <c r="Q97" i="6"/>
  <c r="P97" i="6"/>
  <c r="O97" i="6"/>
  <c r="N97" i="6"/>
  <c r="M97" i="6"/>
  <c r="L97" i="6"/>
  <c r="K97" i="6"/>
  <c r="J97" i="6"/>
  <c r="I97" i="6"/>
  <c r="H97" i="6"/>
  <c r="G97" i="6"/>
  <c r="F97" i="6"/>
  <c r="E97" i="6"/>
  <c r="D97" i="6"/>
  <c r="C97" i="6"/>
  <c r="U97" i="6"/>
  <c r="B97" i="6"/>
  <c r="T98" i="6"/>
  <c r="S98" i="6"/>
  <c r="R98" i="6"/>
  <c r="Q98" i="6"/>
  <c r="P98" i="6"/>
  <c r="O98" i="6"/>
  <c r="N98" i="6"/>
  <c r="M98" i="6"/>
  <c r="L98" i="6"/>
  <c r="K98" i="6"/>
  <c r="J98" i="6"/>
  <c r="I98" i="6"/>
  <c r="H98" i="6"/>
  <c r="G98" i="6"/>
  <c r="F98" i="6"/>
  <c r="E98" i="6"/>
  <c r="D98" i="6"/>
  <c r="C98" i="6"/>
  <c r="U98" i="6"/>
  <c r="B98" i="6"/>
  <c r="T99" i="6"/>
  <c r="S99" i="6"/>
  <c r="R99" i="6"/>
  <c r="Q99" i="6"/>
  <c r="P99" i="6"/>
  <c r="O99" i="6"/>
  <c r="N99" i="6"/>
  <c r="M99" i="6"/>
  <c r="L99" i="6"/>
  <c r="K99" i="6"/>
  <c r="J99" i="6"/>
  <c r="I99" i="6"/>
  <c r="H99" i="6"/>
  <c r="G99" i="6"/>
  <c r="F99" i="6"/>
  <c r="E99" i="6"/>
  <c r="D99" i="6"/>
  <c r="C99" i="6"/>
  <c r="U99" i="6"/>
  <c r="B99" i="6"/>
  <c r="T100" i="6"/>
  <c r="S100" i="6"/>
  <c r="R100" i="6"/>
  <c r="Q100" i="6"/>
  <c r="P100" i="6"/>
  <c r="O100" i="6"/>
  <c r="N100" i="6"/>
  <c r="M100" i="6"/>
  <c r="L100" i="6"/>
  <c r="K100" i="6"/>
  <c r="J100" i="6"/>
  <c r="I100" i="6"/>
  <c r="H100" i="6"/>
  <c r="G100" i="6"/>
  <c r="F100" i="6"/>
  <c r="E100" i="6"/>
  <c r="D100" i="6"/>
  <c r="C100" i="6"/>
  <c r="U100" i="6"/>
  <c r="B100" i="6"/>
  <c r="T101" i="6"/>
  <c r="S101" i="6"/>
  <c r="R101" i="6"/>
  <c r="Q101" i="6"/>
  <c r="P101" i="6"/>
  <c r="O101" i="6"/>
  <c r="N101" i="6"/>
  <c r="M101" i="6"/>
  <c r="L101" i="6"/>
  <c r="K101" i="6"/>
  <c r="J101" i="6"/>
  <c r="I101" i="6"/>
  <c r="H101" i="6"/>
  <c r="G101" i="6"/>
  <c r="F101" i="6"/>
  <c r="E101" i="6"/>
  <c r="D101" i="6"/>
  <c r="C101" i="6"/>
  <c r="U101" i="6"/>
  <c r="B101" i="6"/>
  <c r="T102" i="6"/>
  <c r="S102" i="6"/>
  <c r="R102" i="6"/>
  <c r="Q102" i="6"/>
  <c r="P102" i="6"/>
  <c r="O102" i="6"/>
  <c r="N102" i="6"/>
  <c r="M102" i="6"/>
  <c r="L102" i="6"/>
  <c r="K102" i="6"/>
  <c r="J102" i="6"/>
  <c r="I102" i="6"/>
  <c r="H102" i="6"/>
  <c r="G102" i="6"/>
  <c r="F102" i="6"/>
  <c r="E102" i="6"/>
  <c r="D102" i="6"/>
  <c r="C102" i="6"/>
  <c r="U102" i="6"/>
  <c r="B102" i="6"/>
  <c r="T103" i="6"/>
  <c r="S103" i="6"/>
  <c r="R103" i="6"/>
  <c r="Q103" i="6"/>
  <c r="P103" i="6"/>
  <c r="O103" i="6"/>
  <c r="N103" i="6"/>
  <c r="M103" i="6"/>
  <c r="L103" i="6"/>
  <c r="K103" i="6"/>
  <c r="J103" i="6"/>
  <c r="I103" i="6"/>
  <c r="H103" i="6"/>
  <c r="G103" i="6"/>
  <c r="F103" i="6"/>
  <c r="E103" i="6"/>
  <c r="D103" i="6"/>
  <c r="C103" i="6"/>
  <c r="U103" i="6"/>
  <c r="B103" i="6"/>
  <c r="T104" i="6"/>
  <c r="S104" i="6"/>
  <c r="R104" i="6"/>
  <c r="Q104" i="6"/>
  <c r="P104" i="6"/>
  <c r="O104" i="6"/>
  <c r="N104" i="6"/>
  <c r="M104" i="6"/>
  <c r="L104" i="6"/>
  <c r="K104" i="6"/>
  <c r="J104" i="6"/>
  <c r="I104" i="6"/>
  <c r="H104" i="6"/>
  <c r="G104" i="6"/>
  <c r="F104" i="6"/>
  <c r="E104" i="6"/>
  <c r="D104" i="6"/>
  <c r="C104" i="6"/>
  <c r="U104" i="6"/>
  <c r="B104" i="6"/>
  <c r="T105" i="6"/>
  <c r="S105" i="6"/>
  <c r="R105" i="6"/>
  <c r="Q105" i="6"/>
  <c r="P105" i="6"/>
  <c r="O105" i="6"/>
  <c r="N105" i="6"/>
  <c r="M105" i="6"/>
  <c r="L105" i="6"/>
  <c r="K105" i="6"/>
  <c r="J105" i="6"/>
  <c r="I105" i="6"/>
  <c r="H105" i="6"/>
  <c r="G105" i="6"/>
  <c r="F105" i="6"/>
  <c r="E105" i="6"/>
  <c r="D105" i="6"/>
  <c r="C105" i="6"/>
  <c r="U105" i="6"/>
  <c r="B105" i="6"/>
  <c r="T106" i="6"/>
  <c r="S106" i="6"/>
  <c r="R106" i="6"/>
  <c r="Q106" i="6"/>
  <c r="P106" i="6"/>
  <c r="O106" i="6"/>
  <c r="N106" i="6"/>
  <c r="M106" i="6"/>
  <c r="L106" i="6"/>
  <c r="K106" i="6"/>
  <c r="J106" i="6"/>
  <c r="I106" i="6"/>
  <c r="H106" i="6"/>
  <c r="G106" i="6"/>
  <c r="F106" i="6"/>
  <c r="E106" i="6"/>
  <c r="D106" i="6"/>
  <c r="C106" i="6"/>
  <c r="U106" i="6"/>
  <c r="B106" i="6"/>
  <c r="T107" i="6"/>
  <c r="S107" i="6"/>
  <c r="R107" i="6"/>
  <c r="Q107" i="6"/>
  <c r="P107" i="6"/>
  <c r="O107" i="6"/>
  <c r="N107" i="6"/>
  <c r="M107" i="6"/>
  <c r="L107" i="6"/>
  <c r="K107" i="6"/>
  <c r="J107" i="6"/>
  <c r="I107" i="6"/>
  <c r="H107" i="6"/>
  <c r="G107" i="6"/>
  <c r="F107" i="6"/>
  <c r="E107" i="6"/>
  <c r="D107" i="6"/>
  <c r="C107" i="6"/>
  <c r="U107" i="6"/>
  <c r="B107" i="6"/>
  <c r="T108" i="6"/>
  <c r="S108" i="6"/>
  <c r="R108" i="6"/>
  <c r="Q108" i="6"/>
  <c r="P108" i="6"/>
  <c r="O108" i="6"/>
  <c r="N108" i="6"/>
  <c r="M108" i="6"/>
  <c r="L108" i="6"/>
  <c r="K108" i="6"/>
  <c r="J108" i="6"/>
  <c r="I108" i="6"/>
  <c r="H108" i="6"/>
  <c r="G108" i="6"/>
  <c r="F108" i="6"/>
  <c r="E108" i="6"/>
  <c r="D108" i="6"/>
  <c r="C108" i="6"/>
  <c r="U108" i="6"/>
  <c r="B108" i="6"/>
  <c r="T109" i="6"/>
  <c r="S109" i="6"/>
  <c r="R109" i="6"/>
  <c r="Q109" i="6"/>
  <c r="P109" i="6"/>
  <c r="O109" i="6"/>
  <c r="N109" i="6"/>
  <c r="M109" i="6"/>
  <c r="L109" i="6"/>
  <c r="K109" i="6"/>
  <c r="J109" i="6"/>
  <c r="I109" i="6"/>
  <c r="H109" i="6"/>
  <c r="G109" i="6"/>
  <c r="F109" i="6"/>
  <c r="E109" i="6"/>
  <c r="D109" i="6"/>
  <c r="C109" i="6"/>
  <c r="U109" i="6"/>
  <c r="B109" i="6"/>
  <c r="T110" i="6"/>
  <c r="S110" i="6"/>
  <c r="R110" i="6"/>
  <c r="Q110" i="6"/>
  <c r="P110" i="6"/>
  <c r="O110" i="6"/>
  <c r="N110" i="6"/>
  <c r="M110" i="6"/>
  <c r="L110" i="6"/>
  <c r="K110" i="6"/>
  <c r="J110" i="6"/>
  <c r="I110" i="6"/>
  <c r="H110" i="6"/>
  <c r="G110" i="6"/>
  <c r="F110" i="6"/>
  <c r="E110" i="6"/>
  <c r="D110" i="6"/>
  <c r="C110" i="6"/>
  <c r="U110" i="6"/>
  <c r="B110" i="6"/>
  <c r="T111" i="6"/>
  <c r="S111" i="6"/>
  <c r="R111" i="6"/>
  <c r="Q111" i="6"/>
  <c r="P111" i="6"/>
  <c r="O111" i="6"/>
  <c r="N111" i="6"/>
  <c r="M111" i="6"/>
  <c r="L111" i="6"/>
  <c r="K111" i="6"/>
  <c r="J111" i="6"/>
  <c r="I111" i="6"/>
  <c r="H111" i="6"/>
  <c r="G111" i="6"/>
  <c r="F111" i="6"/>
  <c r="E111" i="6"/>
  <c r="D111" i="6"/>
  <c r="C111" i="6"/>
  <c r="U111" i="6"/>
  <c r="B111" i="6"/>
  <c r="T112" i="6"/>
  <c r="S112" i="6"/>
  <c r="R112" i="6"/>
  <c r="Q112" i="6"/>
  <c r="P112" i="6"/>
  <c r="O112" i="6"/>
  <c r="N112" i="6"/>
  <c r="M112" i="6"/>
  <c r="L112" i="6"/>
  <c r="K112" i="6"/>
  <c r="J112" i="6"/>
  <c r="I112" i="6"/>
  <c r="H112" i="6"/>
  <c r="G112" i="6"/>
  <c r="F112" i="6"/>
  <c r="E112" i="6"/>
  <c r="D112" i="6"/>
  <c r="C112" i="6"/>
  <c r="U112" i="6"/>
  <c r="B112" i="6"/>
  <c r="T113" i="6"/>
  <c r="S113" i="6"/>
  <c r="R113" i="6"/>
  <c r="Q113" i="6"/>
  <c r="P113" i="6"/>
  <c r="O113" i="6"/>
  <c r="N113" i="6"/>
  <c r="M113" i="6"/>
  <c r="L113" i="6"/>
  <c r="K113" i="6"/>
  <c r="J113" i="6"/>
  <c r="I113" i="6"/>
  <c r="H113" i="6"/>
  <c r="G113" i="6"/>
  <c r="F113" i="6"/>
  <c r="E113" i="6"/>
  <c r="D113" i="6"/>
  <c r="C113" i="6"/>
  <c r="U113" i="6"/>
  <c r="B113" i="6"/>
  <c r="T114" i="6"/>
  <c r="S114" i="6"/>
  <c r="R114" i="6"/>
  <c r="Q114" i="6"/>
  <c r="P114" i="6"/>
  <c r="O114" i="6"/>
  <c r="N114" i="6"/>
  <c r="M114" i="6"/>
  <c r="L114" i="6"/>
  <c r="K114" i="6"/>
  <c r="J114" i="6"/>
  <c r="I114" i="6"/>
  <c r="H114" i="6"/>
  <c r="G114" i="6"/>
  <c r="F114" i="6"/>
  <c r="E114" i="6"/>
  <c r="D114" i="6"/>
  <c r="C114" i="6"/>
  <c r="U114" i="6"/>
  <c r="B114" i="6"/>
  <c r="T115" i="6"/>
  <c r="S115" i="6"/>
  <c r="R115" i="6"/>
  <c r="Q115" i="6"/>
  <c r="P115" i="6"/>
  <c r="O115" i="6"/>
  <c r="N115" i="6"/>
  <c r="M115" i="6"/>
  <c r="L115" i="6"/>
  <c r="K115" i="6"/>
  <c r="J115" i="6"/>
  <c r="I115" i="6"/>
  <c r="H115" i="6"/>
  <c r="G115" i="6"/>
  <c r="F115" i="6"/>
  <c r="E115" i="6"/>
  <c r="D115" i="6"/>
  <c r="C115" i="6"/>
  <c r="U115" i="6"/>
  <c r="B115" i="6"/>
  <c r="T116" i="6"/>
  <c r="S116" i="6"/>
  <c r="R116" i="6"/>
  <c r="Q116" i="6"/>
  <c r="P116" i="6"/>
  <c r="O116" i="6"/>
  <c r="N116" i="6"/>
  <c r="M116" i="6"/>
  <c r="L116" i="6"/>
  <c r="K116" i="6"/>
  <c r="J116" i="6"/>
  <c r="I116" i="6"/>
  <c r="H116" i="6"/>
  <c r="G116" i="6"/>
  <c r="F116" i="6"/>
  <c r="E116" i="6"/>
  <c r="D116" i="6"/>
  <c r="C116" i="6"/>
  <c r="U116" i="6"/>
  <c r="B116" i="6"/>
  <c r="T117" i="6"/>
  <c r="S117" i="6"/>
  <c r="R117" i="6"/>
  <c r="Q117" i="6"/>
  <c r="P117" i="6"/>
  <c r="O117" i="6"/>
  <c r="N117" i="6"/>
  <c r="M117" i="6"/>
  <c r="L117" i="6"/>
  <c r="K117" i="6"/>
  <c r="J117" i="6"/>
  <c r="I117" i="6"/>
  <c r="H117" i="6"/>
  <c r="G117" i="6"/>
  <c r="F117" i="6"/>
  <c r="E117" i="6"/>
  <c r="D117" i="6"/>
  <c r="C117" i="6"/>
  <c r="U117" i="6"/>
  <c r="B117" i="6"/>
  <c r="T118" i="6"/>
  <c r="S118" i="6"/>
  <c r="R118" i="6"/>
  <c r="Q118" i="6"/>
  <c r="P118" i="6"/>
  <c r="O118" i="6"/>
  <c r="N118" i="6"/>
  <c r="M118" i="6"/>
  <c r="L118" i="6"/>
  <c r="K118" i="6"/>
  <c r="J118" i="6"/>
  <c r="I118" i="6"/>
  <c r="H118" i="6"/>
  <c r="G118" i="6"/>
  <c r="F118" i="6"/>
  <c r="E118" i="6"/>
  <c r="D118" i="6"/>
  <c r="C118" i="6"/>
  <c r="U118" i="6"/>
  <c r="B118" i="6"/>
  <c r="T119" i="6"/>
  <c r="S119" i="6"/>
  <c r="R119" i="6"/>
  <c r="Q119" i="6"/>
  <c r="P119" i="6"/>
  <c r="O119" i="6"/>
  <c r="N119" i="6"/>
  <c r="M119" i="6"/>
  <c r="L119" i="6"/>
  <c r="K119" i="6"/>
  <c r="J119" i="6"/>
  <c r="I119" i="6"/>
  <c r="H119" i="6"/>
  <c r="G119" i="6"/>
  <c r="F119" i="6"/>
  <c r="E119" i="6"/>
  <c r="D119" i="6"/>
  <c r="C119" i="6"/>
  <c r="U119" i="6"/>
  <c r="B119" i="6"/>
  <c r="T120" i="6"/>
  <c r="S120" i="6"/>
  <c r="R120" i="6"/>
  <c r="Q120" i="6"/>
  <c r="P120" i="6"/>
  <c r="O120" i="6"/>
  <c r="N120" i="6"/>
  <c r="M120" i="6"/>
  <c r="L120" i="6"/>
  <c r="K120" i="6"/>
  <c r="J120" i="6"/>
  <c r="I120" i="6"/>
  <c r="H120" i="6"/>
  <c r="G120" i="6"/>
  <c r="F120" i="6"/>
  <c r="E120" i="6"/>
  <c r="D120" i="6"/>
  <c r="C120" i="6"/>
  <c r="U120" i="6"/>
  <c r="B120" i="6"/>
  <c r="T121" i="6"/>
  <c r="S121" i="6"/>
  <c r="R121" i="6"/>
  <c r="Q121" i="6"/>
  <c r="P121" i="6"/>
  <c r="O121" i="6"/>
  <c r="N121" i="6"/>
  <c r="M121" i="6"/>
  <c r="L121" i="6"/>
  <c r="K121" i="6"/>
  <c r="J121" i="6"/>
  <c r="I121" i="6"/>
  <c r="H121" i="6"/>
  <c r="G121" i="6"/>
  <c r="F121" i="6"/>
  <c r="E121" i="6"/>
  <c r="D121" i="6"/>
  <c r="C121" i="6"/>
  <c r="U121" i="6"/>
  <c r="B121" i="6"/>
  <c r="T122" i="6"/>
  <c r="S122" i="6"/>
  <c r="R122" i="6"/>
  <c r="Q122" i="6"/>
  <c r="P122" i="6"/>
  <c r="O122" i="6"/>
  <c r="N122" i="6"/>
  <c r="M122" i="6"/>
  <c r="L122" i="6"/>
  <c r="K122" i="6"/>
  <c r="J122" i="6"/>
  <c r="I122" i="6"/>
  <c r="H122" i="6"/>
  <c r="G122" i="6"/>
  <c r="F122" i="6"/>
  <c r="E122" i="6"/>
  <c r="D122" i="6"/>
  <c r="C122" i="6"/>
  <c r="U122" i="6"/>
  <c r="B122" i="6"/>
  <c r="T123" i="6"/>
  <c r="S123" i="6"/>
  <c r="R123" i="6"/>
  <c r="Q123" i="6"/>
  <c r="P123" i="6"/>
  <c r="O123" i="6"/>
  <c r="N123" i="6"/>
  <c r="M123" i="6"/>
  <c r="L123" i="6"/>
  <c r="K123" i="6"/>
  <c r="J123" i="6"/>
  <c r="I123" i="6"/>
  <c r="H123" i="6"/>
  <c r="G123" i="6"/>
  <c r="F123" i="6"/>
  <c r="E123" i="6"/>
  <c r="D123" i="6"/>
  <c r="C123" i="6"/>
  <c r="U123" i="6"/>
  <c r="B123" i="6"/>
  <c r="T124" i="6"/>
  <c r="S124" i="6"/>
  <c r="R124" i="6"/>
  <c r="Q124" i="6"/>
  <c r="P124" i="6"/>
  <c r="O124" i="6"/>
  <c r="N124" i="6"/>
  <c r="M124" i="6"/>
  <c r="L124" i="6"/>
  <c r="K124" i="6"/>
  <c r="J124" i="6"/>
  <c r="I124" i="6"/>
  <c r="H124" i="6"/>
  <c r="G124" i="6"/>
  <c r="F124" i="6"/>
  <c r="E124" i="6"/>
  <c r="D124" i="6"/>
  <c r="C124" i="6"/>
  <c r="U124" i="6"/>
  <c r="B124" i="6"/>
  <c r="T125" i="6"/>
  <c r="S125" i="6"/>
  <c r="R125" i="6"/>
  <c r="Q125" i="6"/>
  <c r="P125" i="6"/>
  <c r="O125" i="6"/>
  <c r="N125" i="6"/>
  <c r="M125" i="6"/>
  <c r="L125" i="6"/>
  <c r="K125" i="6"/>
  <c r="J125" i="6"/>
  <c r="I125" i="6"/>
  <c r="H125" i="6"/>
  <c r="G125" i="6"/>
  <c r="F125" i="6"/>
  <c r="E125" i="6"/>
  <c r="D125" i="6"/>
  <c r="C125" i="6"/>
  <c r="U125" i="6"/>
  <c r="B125" i="6"/>
  <c r="T126" i="6"/>
  <c r="S126" i="6"/>
  <c r="R126" i="6"/>
  <c r="Q126" i="6"/>
  <c r="P126" i="6"/>
  <c r="O126" i="6"/>
  <c r="N126" i="6"/>
  <c r="M126" i="6"/>
  <c r="L126" i="6"/>
  <c r="K126" i="6"/>
  <c r="J126" i="6"/>
  <c r="I126" i="6"/>
  <c r="H126" i="6"/>
  <c r="G126" i="6"/>
  <c r="F126" i="6"/>
  <c r="E126" i="6"/>
  <c r="D126" i="6"/>
  <c r="C126" i="6"/>
  <c r="U126" i="6"/>
  <c r="B126" i="6"/>
  <c r="T127" i="6"/>
  <c r="S127" i="6"/>
  <c r="R127" i="6"/>
  <c r="Q127" i="6"/>
  <c r="P127" i="6"/>
  <c r="O127" i="6"/>
  <c r="N127" i="6"/>
  <c r="M127" i="6"/>
  <c r="L127" i="6"/>
  <c r="K127" i="6"/>
  <c r="J127" i="6"/>
  <c r="I127" i="6"/>
  <c r="H127" i="6"/>
  <c r="G127" i="6"/>
  <c r="F127" i="6"/>
  <c r="E127" i="6"/>
  <c r="D127" i="6"/>
  <c r="C127" i="6"/>
  <c r="U127" i="6"/>
  <c r="B127" i="6"/>
  <c r="T128" i="6"/>
  <c r="S128" i="6"/>
  <c r="R128" i="6"/>
  <c r="Q128" i="6"/>
  <c r="P128" i="6"/>
  <c r="O128" i="6"/>
  <c r="N128" i="6"/>
  <c r="M128" i="6"/>
  <c r="L128" i="6"/>
  <c r="K128" i="6"/>
  <c r="J128" i="6"/>
  <c r="I128" i="6"/>
  <c r="H128" i="6"/>
  <c r="G128" i="6"/>
  <c r="F128" i="6"/>
  <c r="E128" i="6"/>
  <c r="D128" i="6"/>
  <c r="C128" i="6"/>
  <c r="U128" i="6"/>
  <c r="B128" i="6"/>
  <c r="T129" i="6"/>
  <c r="S129" i="6"/>
  <c r="R129" i="6"/>
  <c r="Q129" i="6"/>
  <c r="P129" i="6"/>
  <c r="O129" i="6"/>
  <c r="N129" i="6"/>
  <c r="M129" i="6"/>
  <c r="L129" i="6"/>
  <c r="K129" i="6"/>
  <c r="J129" i="6"/>
  <c r="I129" i="6"/>
  <c r="H129" i="6"/>
  <c r="G129" i="6"/>
  <c r="F129" i="6"/>
  <c r="E129" i="6"/>
  <c r="D129" i="6"/>
  <c r="C129" i="6"/>
  <c r="U129" i="6"/>
  <c r="B129" i="6"/>
  <c r="T130" i="6"/>
  <c r="S130" i="6"/>
  <c r="R130" i="6"/>
  <c r="Q130" i="6"/>
  <c r="P130" i="6"/>
  <c r="O130" i="6"/>
  <c r="N130" i="6"/>
  <c r="M130" i="6"/>
  <c r="L130" i="6"/>
  <c r="K130" i="6"/>
  <c r="J130" i="6"/>
  <c r="I130" i="6"/>
  <c r="H130" i="6"/>
  <c r="G130" i="6"/>
  <c r="F130" i="6"/>
  <c r="E130" i="6"/>
  <c r="D130" i="6"/>
  <c r="C130" i="6"/>
  <c r="U130" i="6"/>
  <c r="B130" i="6"/>
  <c r="T131" i="6"/>
  <c r="S131" i="6"/>
  <c r="R131" i="6"/>
  <c r="Q131" i="6"/>
  <c r="P131" i="6"/>
  <c r="O131" i="6"/>
  <c r="N131" i="6"/>
  <c r="M131" i="6"/>
  <c r="L131" i="6"/>
  <c r="K131" i="6"/>
  <c r="J131" i="6"/>
  <c r="I131" i="6"/>
  <c r="H131" i="6"/>
  <c r="G131" i="6"/>
  <c r="F131" i="6"/>
  <c r="E131" i="6"/>
  <c r="D131" i="6"/>
  <c r="C131" i="6"/>
  <c r="U131" i="6"/>
  <c r="B131" i="6"/>
  <c r="T132" i="6"/>
  <c r="S132" i="6"/>
  <c r="R132" i="6"/>
  <c r="Q132" i="6"/>
  <c r="P132" i="6"/>
  <c r="O132" i="6"/>
  <c r="N132" i="6"/>
  <c r="M132" i="6"/>
  <c r="L132" i="6"/>
  <c r="K132" i="6"/>
  <c r="J132" i="6"/>
  <c r="I132" i="6"/>
  <c r="H132" i="6"/>
  <c r="G132" i="6"/>
  <c r="F132" i="6"/>
  <c r="E132" i="6"/>
  <c r="D132" i="6"/>
  <c r="C132" i="6"/>
  <c r="U132" i="6"/>
  <c r="B132" i="6"/>
  <c r="T133" i="6"/>
  <c r="S133" i="6"/>
  <c r="R133" i="6"/>
  <c r="Q133" i="6"/>
  <c r="P133" i="6"/>
  <c r="O133" i="6"/>
  <c r="N133" i="6"/>
  <c r="M133" i="6"/>
  <c r="L133" i="6"/>
  <c r="K133" i="6"/>
  <c r="J133" i="6"/>
  <c r="I133" i="6"/>
  <c r="H133" i="6"/>
  <c r="G133" i="6"/>
  <c r="F133" i="6"/>
  <c r="E133" i="6"/>
  <c r="D133" i="6"/>
  <c r="C133" i="6"/>
  <c r="U133" i="6"/>
  <c r="B133" i="6"/>
  <c r="T134" i="6"/>
  <c r="S134" i="6"/>
  <c r="R134" i="6"/>
  <c r="Q134" i="6"/>
  <c r="P134" i="6"/>
  <c r="O134" i="6"/>
  <c r="N134" i="6"/>
  <c r="M134" i="6"/>
  <c r="L134" i="6"/>
  <c r="K134" i="6"/>
  <c r="J134" i="6"/>
  <c r="I134" i="6"/>
  <c r="H134" i="6"/>
  <c r="G134" i="6"/>
  <c r="F134" i="6"/>
  <c r="E134" i="6"/>
  <c r="D134" i="6"/>
  <c r="C134" i="6"/>
  <c r="U134" i="6"/>
  <c r="B134" i="6"/>
  <c r="T135" i="6"/>
  <c r="S135" i="6"/>
  <c r="R135" i="6"/>
  <c r="Q135" i="6"/>
  <c r="P135" i="6"/>
  <c r="O135" i="6"/>
  <c r="N135" i="6"/>
  <c r="M135" i="6"/>
  <c r="L135" i="6"/>
  <c r="K135" i="6"/>
  <c r="J135" i="6"/>
  <c r="I135" i="6"/>
  <c r="H135" i="6"/>
  <c r="G135" i="6"/>
  <c r="F135" i="6"/>
  <c r="E135" i="6"/>
  <c r="D135" i="6"/>
  <c r="C135" i="6"/>
  <c r="U135" i="6"/>
  <c r="B135" i="6"/>
  <c r="T136" i="6"/>
  <c r="S136" i="6"/>
  <c r="R136" i="6"/>
  <c r="Q136" i="6"/>
  <c r="P136" i="6"/>
  <c r="O136" i="6"/>
  <c r="N136" i="6"/>
  <c r="M136" i="6"/>
  <c r="L136" i="6"/>
  <c r="K136" i="6"/>
  <c r="J136" i="6"/>
  <c r="I136" i="6"/>
  <c r="H136" i="6"/>
  <c r="G136" i="6"/>
  <c r="F136" i="6"/>
  <c r="E136" i="6"/>
  <c r="D136" i="6"/>
  <c r="C136" i="6"/>
  <c r="U136" i="6"/>
  <c r="B136" i="6"/>
  <c r="T137" i="6"/>
  <c r="S137" i="6"/>
  <c r="R137" i="6"/>
  <c r="Q137" i="6"/>
  <c r="P137" i="6"/>
  <c r="O137" i="6"/>
  <c r="N137" i="6"/>
  <c r="M137" i="6"/>
  <c r="L137" i="6"/>
  <c r="K137" i="6"/>
  <c r="J137" i="6"/>
  <c r="I137" i="6"/>
  <c r="H137" i="6"/>
  <c r="G137" i="6"/>
  <c r="F137" i="6"/>
  <c r="E137" i="6"/>
  <c r="D137" i="6"/>
  <c r="C137" i="6"/>
  <c r="U137" i="6"/>
  <c r="B137" i="6"/>
  <c r="T138" i="6"/>
  <c r="S138" i="6"/>
  <c r="R138" i="6"/>
  <c r="Q138" i="6"/>
  <c r="P138" i="6"/>
  <c r="O138" i="6"/>
  <c r="N138" i="6"/>
  <c r="M138" i="6"/>
  <c r="L138" i="6"/>
  <c r="K138" i="6"/>
  <c r="J138" i="6"/>
  <c r="I138" i="6"/>
  <c r="H138" i="6"/>
  <c r="G138" i="6"/>
  <c r="F138" i="6"/>
  <c r="E138" i="6"/>
  <c r="D138" i="6"/>
  <c r="C138" i="6"/>
  <c r="U138" i="6"/>
  <c r="B138" i="6"/>
  <c r="T139" i="6"/>
  <c r="S139" i="6"/>
  <c r="R139" i="6"/>
  <c r="Q139" i="6"/>
  <c r="P139" i="6"/>
  <c r="O139" i="6"/>
  <c r="N139" i="6"/>
  <c r="M139" i="6"/>
  <c r="L139" i="6"/>
  <c r="K139" i="6"/>
  <c r="J139" i="6"/>
  <c r="I139" i="6"/>
  <c r="H139" i="6"/>
  <c r="G139" i="6"/>
  <c r="F139" i="6"/>
  <c r="E139" i="6"/>
  <c r="D139" i="6"/>
  <c r="C139" i="6"/>
  <c r="U139" i="6"/>
  <c r="B139" i="6"/>
  <c r="T140" i="6"/>
  <c r="S140" i="6"/>
  <c r="R140" i="6"/>
  <c r="Q140" i="6"/>
  <c r="P140" i="6"/>
  <c r="O140" i="6"/>
  <c r="N140" i="6"/>
  <c r="M140" i="6"/>
  <c r="L140" i="6"/>
  <c r="K140" i="6"/>
  <c r="J140" i="6"/>
  <c r="I140" i="6"/>
  <c r="H140" i="6"/>
  <c r="G140" i="6"/>
  <c r="F140" i="6"/>
  <c r="E140" i="6"/>
  <c r="D140" i="6"/>
  <c r="C140" i="6"/>
  <c r="U140" i="6"/>
  <c r="B140" i="6"/>
  <c r="T141" i="6"/>
  <c r="S141" i="6"/>
  <c r="R141" i="6"/>
  <c r="Q141" i="6"/>
  <c r="P141" i="6"/>
  <c r="O141" i="6"/>
  <c r="N141" i="6"/>
  <c r="M141" i="6"/>
  <c r="L141" i="6"/>
  <c r="K141" i="6"/>
  <c r="J141" i="6"/>
  <c r="I141" i="6"/>
  <c r="H141" i="6"/>
  <c r="G141" i="6"/>
  <c r="F141" i="6"/>
  <c r="E141" i="6"/>
  <c r="D141" i="6"/>
  <c r="C141" i="6"/>
  <c r="U141" i="6"/>
  <c r="B141" i="6"/>
  <c r="T142" i="6"/>
  <c r="S142" i="6"/>
  <c r="R142" i="6"/>
  <c r="Q142" i="6"/>
  <c r="P142" i="6"/>
  <c r="O142" i="6"/>
  <c r="N142" i="6"/>
  <c r="M142" i="6"/>
  <c r="L142" i="6"/>
  <c r="K142" i="6"/>
  <c r="J142" i="6"/>
  <c r="I142" i="6"/>
  <c r="H142" i="6"/>
  <c r="G142" i="6"/>
  <c r="F142" i="6"/>
  <c r="E142" i="6"/>
  <c r="D142" i="6"/>
  <c r="C142" i="6"/>
  <c r="U142" i="6"/>
  <c r="B142" i="6"/>
  <c r="T143" i="6"/>
  <c r="S143" i="6"/>
  <c r="R143" i="6"/>
  <c r="Q143" i="6"/>
  <c r="P143" i="6"/>
  <c r="O143" i="6"/>
  <c r="N143" i="6"/>
  <c r="M143" i="6"/>
  <c r="L143" i="6"/>
  <c r="K143" i="6"/>
  <c r="J143" i="6"/>
  <c r="I143" i="6"/>
  <c r="H143" i="6"/>
  <c r="G143" i="6"/>
  <c r="F143" i="6"/>
  <c r="E143" i="6"/>
  <c r="D143" i="6"/>
  <c r="C143" i="6"/>
  <c r="U143" i="6"/>
  <c r="B143" i="6"/>
  <c r="T144" i="6"/>
  <c r="S144" i="6"/>
  <c r="R144" i="6"/>
  <c r="Q144" i="6"/>
  <c r="P144" i="6"/>
  <c r="O144" i="6"/>
  <c r="N144" i="6"/>
  <c r="M144" i="6"/>
  <c r="L144" i="6"/>
  <c r="K144" i="6"/>
  <c r="J144" i="6"/>
  <c r="I144" i="6"/>
  <c r="H144" i="6"/>
  <c r="G144" i="6"/>
  <c r="F144" i="6"/>
  <c r="E144" i="6"/>
  <c r="D144" i="6"/>
  <c r="C144" i="6"/>
  <c r="U144" i="6"/>
  <c r="B144" i="6"/>
  <c r="T145" i="6"/>
  <c r="S145" i="6"/>
  <c r="R145" i="6"/>
  <c r="Q145" i="6"/>
  <c r="P145" i="6"/>
  <c r="O145" i="6"/>
  <c r="N145" i="6"/>
  <c r="M145" i="6"/>
  <c r="L145" i="6"/>
  <c r="K145" i="6"/>
  <c r="J145" i="6"/>
  <c r="I145" i="6"/>
  <c r="H145" i="6"/>
  <c r="G145" i="6"/>
  <c r="F145" i="6"/>
  <c r="E145" i="6"/>
  <c r="D145" i="6"/>
  <c r="C145" i="6"/>
  <c r="U145" i="6"/>
  <c r="B145" i="6"/>
  <c r="T146" i="6"/>
  <c r="S146" i="6"/>
  <c r="R146" i="6"/>
  <c r="Q146" i="6"/>
  <c r="P146" i="6"/>
  <c r="O146" i="6"/>
  <c r="N146" i="6"/>
  <c r="M146" i="6"/>
  <c r="L146" i="6"/>
  <c r="K146" i="6"/>
  <c r="J146" i="6"/>
  <c r="I146" i="6"/>
  <c r="H146" i="6"/>
  <c r="G146" i="6"/>
  <c r="F146" i="6"/>
  <c r="E146" i="6"/>
  <c r="D146" i="6"/>
  <c r="C146" i="6"/>
  <c r="U146" i="6"/>
  <c r="B146" i="6"/>
  <c r="T147" i="6"/>
  <c r="S147" i="6"/>
  <c r="R147" i="6"/>
  <c r="Q147" i="6"/>
  <c r="P147" i="6"/>
  <c r="O147" i="6"/>
  <c r="N147" i="6"/>
  <c r="M147" i="6"/>
  <c r="L147" i="6"/>
  <c r="K147" i="6"/>
  <c r="J147" i="6"/>
  <c r="I147" i="6"/>
  <c r="H147" i="6"/>
  <c r="G147" i="6"/>
  <c r="F147" i="6"/>
  <c r="E147" i="6"/>
  <c r="D147" i="6"/>
  <c r="C147" i="6"/>
  <c r="U147" i="6"/>
  <c r="B147" i="6"/>
  <c r="T148" i="6"/>
  <c r="S148" i="6"/>
  <c r="R148" i="6"/>
  <c r="Q148" i="6"/>
  <c r="P148" i="6"/>
  <c r="O148" i="6"/>
  <c r="N148" i="6"/>
  <c r="M148" i="6"/>
  <c r="L148" i="6"/>
  <c r="K148" i="6"/>
  <c r="J148" i="6"/>
  <c r="I148" i="6"/>
  <c r="H148" i="6"/>
  <c r="G148" i="6"/>
  <c r="F148" i="6"/>
  <c r="E148" i="6"/>
  <c r="D148" i="6"/>
  <c r="C148" i="6"/>
  <c r="U148" i="6"/>
  <c r="B148" i="6"/>
  <c r="T149" i="6"/>
  <c r="S149" i="6"/>
  <c r="R149" i="6"/>
  <c r="Q149" i="6"/>
  <c r="P149" i="6"/>
  <c r="O149" i="6"/>
  <c r="N149" i="6"/>
  <c r="M149" i="6"/>
  <c r="L149" i="6"/>
  <c r="K149" i="6"/>
  <c r="J149" i="6"/>
  <c r="I149" i="6"/>
  <c r="H149" i="6"/>
  <c r="G149" i="6"/>
  <c r="F149" i="6"/>
  <c r="E149" i="6"/>
  <c r="D149" i="6"/>
  <c r="C149" i="6"/>
  <c r="U149" i="6"/>
  <c r="B149" i="6"/>
  <c r="T150" i="6"/>
  <c r="S150" i="6"/>
  <c r="R150" i="6"/>
  <c r="Q150" i="6"/>
  <c r="P150" i="6"/>
  <c r="O150" i="6"/>
  <c r="N150" i="6"/>
  <c r="M150" i="6"/>
  <c r="L150" i="6"/>
  <c r="K150" i="6"/>
  <c r="J150" i="6"/>
  <c r="I150" i="6"/>
  <c r="H150" i="6"/>
  <c r="G150" i="6"/>
  <c r="F150" i="6"/>
  <c r="E150" i="6"/>
  <c r="D150" i="6"/>
  <c r="C150" i="6"/>
  <c r="U150" i="6"/>
  <c r="B150" i="6"/>
  <c r="T151" i="6"/>
  <c r="S151" i="6"/>
  <c r="R151" i="6"/>
  <c r="Q151" i="6"/>
  <c r="P151" i="6"/>
  <c r="O151" i="6"/>
  <c r="N151" i="6"/>
  <c r="M151" i="6"/>
  <c r="L151" i="6"/>
  <c r="K151" i="6"/>
  <c r="J151" i="6"/>
  <c r="I151" i="6"/>
  <c r="H151" i="6"/>
  <c r="G151" i="6"/>
  <c r="F151" i="6"/>
  <c r="E151" i="6"/>
  <c r="D151" i="6"/>
  <c r="C151" i="6"/>
  <c r="U151" i="6"/>
  <c r="B151" i="6"/>
  <c r="T152" i="6"/>
  <c r="S152" i="6"/>
  <c r="R152" i="6"/>
  <c r="Q152" i="6"/>
  <c r="P152" i="6"/>
  <c r="O152" i="6"/>
  <c r="N152" i="6"/>
  <c r="M152" i="6"/>
  <c r="L152" i="6"/>
  <c r="K152" i="6"/>
  <c r="J152" i="6"/>
  <c r="I152" i="6"/>
  <c r="H152" i="6"/>
  <c r="G152" i="6"/>
  <c r="F152" i="6"/>
  <c r="E152" i="6"/>
  <c r="D152" i="6"/>
  <c r="C152" i="6"/>
  <c r="U152" i="6"/>
  <c r="B152" i="6"/>
  <c r="T153" i="6"/>
  <c r="S153" i="6"/>
  <c r="R153" i="6"/>
  <c r="Q153" i="6"/>
  <c r="P153" i="6"/>
  <c r="O153" i="6"/>
  <c r="N153" i="6"/>
  <c r="M153" i="6"/>
  <c r="L153" i="6"/>
  <c r="K153" i="6"/>
  <c r="J153" i="6"/>
  <c r="I153" i="6"/>
  <c r="H153" i="6"/>
  <c r="G153" i="6"/>
  <c r="F153" i="6"/>
  <c r="E153" i="6"/>
  <c r="D153" i="6"/>
  <c r="C153" i="6"/>
  <c r="U153" i="6"/>
  <c r="B153" i="6"/>
  <c r="T154" i="6"/>
  <c r="S154" i="6"/>
  <c r="R154" i="6"/>
  <c r="Q154" i="6"/>
  <c r="P154" i="6"/>
  <c r="O154" i="6"/>
  <c r="N154" i="6"/>
  <c r="M154" i="6"/>
  <c r="L154" i="6"/>
  <c r="K154" i="6"/>
  <c r="J154" i="6"/>
  <c r="I154" i="6"/>
  <c r="H154" i="6"/>
  <c r="G154" i="6"/>
  <c r="F154" i="6"/>
  <c r="E154" i="6"/>
  <c r="D154" i="6"/>
  <c r="C154" i="6"/>
  <c r="U154" i="6"/>
  <c r="B154" i="6"/>
  <c r="T155" i="6"/>
  <c r="S155" i="6"/>
  <c r="R155" i="6"/>
  <c r="Q155" i="6"/>
  <c r="P155" i="6"/>
  <c r="O155" i="6"/>
  <c r="N155" i="6"/>
  <c r="M155" i="6"/>
  <c r="L155" i="6"/>
  <c r="K155" i="6"/>
  <c r="J155" i="6"/>
  <c r="I155" i="6"/>
  <c r="H155" i="6"/>
  <c r="G155" i="6"/>
  <c r="F155" i="6"/>
  <c r="E155" i="6"/>
  <c r="D155" i="6"/>
  <c r="C155" i="6"/>
  <c r="U155" i="6"/>
  <c r="B155" i="6"/>
  <c r="T156" i="6"/>
  <c r="S156" i="6"/>
  <c r="R156" i="6"/>
  <c r="Q156" i="6"/>
  <c r="P156" i="6"/>
  <c r="O156" i="6"/>
  <c r="N156" i="6"/>
  <c r="M156" i="6"/>
  <c r="L156" i="6"/>
  <c r="K156" i="6"/>
  <c r="J156" i="6"/>
  <c r="I156" i="6"/>
  <c r="H156" i="6"/>
  <c r="G156" i="6"/>
  <c r="F156" i="6"/>
  <c r="E156" i="6"/>
  <c r="D156" i="6"/>
  <c r="C156" i="6"/>
  <c r="U156" i="6"/>
  <c r="B156" i="6"/>
  <c r="T157" i="6"/>
  <c r="S157" i="6"/>
  <c r="R157" i="6"/>
  <c r="Q157" i="6"/>
  <c r="P157" i="6"/>
  <c r="O157" i="6"/>
  <c r="N157" i="6"/>
  <c r="M157" i="6"/>
  <c r="L157" i="6"/>
  <c r="K157" i="6"/>
  <c r="J157" i="6"/>
  <c r="I157" i="6"/>
  <c r="H157" i="6"/>
  <c r="G157" i="6"/>
  <c r="F157" i="6"/>
  <c r="E157" i="6"/>
  <c r="D157" i="6"/>
  <c r="C157" i="6"/>
  <c r="U157" i="6"/>
  <c r="B157" i="6"/>
  <c r="T158" i="6"/>
  <c r="S158" i="6"/>
  <c r="R158" i="6"/>
  <c r="Q158" i="6"/>
  <c r="P158" i="6"/>
  <c r="O158" i="6"/>
  <c r="N158" i="6"/>
  <c r="M158" i="6"/>
  <c r="L158" i="6"/>
  <c r="K158" i="6"/>
  <c r="J158" i="6"/>
  <c r="I158" i="6"/>
  <c r="H158" i="6"/>
  <c r="G158" i="6"/>
  <c r="F158" i="6"/>
  <c r="E158" i="6"/>
  <c r="D158" i="6"/>
  <c r="C158" i="6"/>
  <c r="U158" i="6"/>
  <c r="B158" i="6"/>
  <c r="T159" i="6"/>
  <c r="S159" i="6"/>
  <c r="R159" i="6"/>
  <c r="Q159" i="6"/>
  <c r="P159" i="6"/>
  <c r="O159" i="6"/>
  <c r="N159" i="6"/>
  <c r="M159" i="6"/>
  <c r="L159" i="6"/>
  <c r="K159" i="6"/>
  <c r="J159" i="6"/>
  <c r="I159" i="6"/>
  <c r="H159" i="6"/>
  <c r="G159" i="6"/>
  <c r="F159" i="6"/>
  <c r="E159" i="6"/>
  <c r="D159" i="6"/>
  <c r="C159" i="6"/>
  <c r="U159" i="6"/>
  <c r="B159" i="6"/>
  <c r="T160" i="6"/>
  <c r="S160" i="6"/>
  <c r="R160" i="6"/>
  <c r="Q160" i="6"/>
  <c r="P160" i="6"/>
  <c r="O160" i="6"/>
  <c r="N160" i="6"/>
  <c r="M160" i="6"/>
  <c r="L160" i="6"/>
  <c r="K160" i="6"/>
  <c r="J160" i="6"/>
  <c r="I160" i="6"/>
  <c r="H160" i="6"/>
  <c r="G160" i="6"/>
  <c r="F160" i="6"/>
  <c r="E160" i="6"/>
  <c r="D160" i="6"/>
  <c r="C160" i="6"/>
  <c r="U160" i="6"/>
  <c r="B160" i="6"/>
  <c r="T161" i="6"/>
  <c r="S161" i="6"/>
  <c r="R161" i="6"/>
  <c r="Q161" i="6"/>
  <c r="P161" i="6"/>
  <c r="O161" i="6"/>
  <c r="N161" i="6"/>
  <c r="M161" i="6"/>
  <c r="L161" i="6"/>
  <c r="K161" i="6"/>
  <c r="J161" i="6"/>
  <c r="I161" i="6"/>
  <c r="H161" i="6"/>
  <c r="G161" i="6"/>
  <c r="F161" i="6"/>
  <c r="E161" i="6"/>
  <c r="D161" i="6"/>
  <c r="C161" i="6"/>
  <c r="U161" i="6"/>
  <c r="B161" i="6"/>
  <c r="T162" i="6"/>
  <c r="S162" i="6"/>
  <c r="R162" i="6"/>
  <c r="Q162" i="6"/>
  <c r="P162" i="6"/>
  <c r="O162" i="6"/>
  <c r="N162" i="6"/>
  <c r="M162" i="6"/>
  <c r="L162" i="6"/>
  <c r="K162" i="6"/>
  <c r="J162" i="6"/>
  <c r="I162" i="6"/>
  <c r="H162" i="6"/>
  <c r="G162" i="6"/>
  <c r="F162" i="6"/>
  <c r="E162" i="6"/>
  <c r="D162" i="6"/>
  <c r="C162" i="6"/>
  <c r="U162" i="6"/>
  <c r="B162" i="6"/>
  <c r="T163" i="6"/>
  <c r="S163" i="6"/>
  <c r="R163" i="6"/>
  <c r="Q163" i="6"/>
  <c r="P163" i="6"/>
  <c r="O163" i="6"/>
  <c r="N163" i="6"/>
  <c r="M163" i="6"/>
  <c r="L163" i="6"/>
  <c r="K163" i="6"/>
  <c r="J163" i="6"/>
  <c r="I163" i="6"/>
  <c r="H163" i="6"/>
  <c r="G163" i="6"/>
  <c r="F163" i="6"/>
  <c r="E163" i="6"/>
  <c r="D163" i="6"/>
  <c r="C163" i="6"/>
  <c r="U163" i="6"/>
  <c r="B163" i="6"/>
  <c r="T164" i="6"/>
  <c r="S164" i="6"/>
  <c r="R164" i="6"/>
  <c r="Q164" i="6"/>
  <c r="P164" i="6"/>
  <c r="O164" i="6"/>
  <c r="N164" i="6"/>
  <c r="M164" i="6"/>
  <c r="L164" i="6"/>
  <c r="K164" i="6"/>
  <c r="J164" i="6"/>
  <c r="I164" i="6"/>
  <c r="H164" i="6"/>
  <c r="G164" i="6"/>
  <c r="F164" i="6"/>
  <c r="E164" i="6"/>
  <c r="D164" i="6"/>
  <c r="C164" i="6"/>
  <c r="U164" i="6"/>
  <c r="B164" i="6"/>
  <c r="T165" i="6"/>
  <c r="S165" i="6"/>
  <c r="R165" i="6"/>
  <c r="Q165" i="6"/>
  <c r="P165" i="6"/>
  <c r="O165" i="6"/>
  <c r="N165" i="6"/>
  <c r="M165" i="6"/>
  <c r="L165" i="6"/>
  <c r="K165" i="6"/>
  <c r="J165" i="6"/>
  <c r="I165" i="6"/>
  <c r="H165" i="6"/>
  <c r="G165" i="6"/>
  <c r="F165" i="6"/>
  <c r="E165" i="6"/>
  <c r="D165" i="6"/>
  <c r="C165" i="6"/>
  <c r="U165" i="6"/>
  <c r="B165" i="6"/>
  <c r="T166" i="6"/>
  <c r="S166" i="6"/>
  <c r="R166" i="6"/>
  <c r="Q166" i="6"/>
  <c r="P166" i="6"/>
  <c r="O166" i="6"/>
  <c r="N166" i="6"/>
  <c r="M166" i="6"/>
  <c r="L166" i="6"/>
  <c r="K166" i="6"/>
  <c r="J166" i="6"/>
  <c r="I166" i="6"/>
  <c r="H166" i="6"/>
  <c r="G166" i="6"/>
  <c r="F166" i="6"/>
  <c r="E166" i="6"/>
  <c r="D166" i="6"/>
  <c r="C166" i="6"/>
  <c r="U166" i="6"/>
  <c r="B166" i="6"/>
  <c r="T167" i="6"/>
  <c r="S167" i="6"/>
  <c r="R167" i="6"/>
  <c r="Q167" i="6"/>
  <c r="P167" i="6"/>
  <c r="O167" i="6"/>
  <c r="N167" i="6"/>
  <c r="M167" i="6"/>
  <c r="L167" i="6"/>
  <c r="K167" i="6"/>
  <c r="J167" i="6"/>
  <c r="I167" i="6"/>
  <c r="H167" i="6"/>
  <c r="G167" i="6"/>
  <c r="F167" i="6"/>
  <c r="E167" i="6"/>
  <c r="D167" i="6"/>
  <c r="C167" i="6"/>
  <c r="U167" i="6"/>
  <c r="B167" i="6"/>
  <c r="T168" i="6"/>
  <c r="S168" i="6"/>
  <c r="R168" i="6"/>
  <c r="Q168" i="6"/>
  <c r="P168" i="6"/>
  <c r="O168" i="6"/>
  <c r="N168" i="6"/>
  <c r="M168" i="6"/>
  <c r="L168" i="6"/>
  <c r="K168" i="6"/>
  <c r="J168" i="6"/>
  <c r="I168" i="6"/>
  <c r="H168" i="6"/>
  <c r="G168" i="6"/>
  <c r="F168" i="6"/>
  <c r="E168" i="6"/>
  <c r="D168" i="6"/>
  <c r="C168" i="6"/>
  <c r="U168" i="6"/>
  <c r="B168" i="6"/>
  <c r="T169" i="6"/>
  <c r="S169" i="6"/>
  <c r="R169" i="6"/>
  <c r="Q169" i="6"/>
  <c r="P169" i="6"/>
  <c r="O169" i="6"/>
  <c r="N169" i="6"/>
  <c r="M169" i="6"/>
  <c r="L169" i="6"/>
  <c r="K169" i="6"/>
  <c r="J169" i="6"/>
  <c r="I169" i="6"/>
  <c r="H169" i="6"/>
  <c r="G169" i="6"/>
  <c r="F169" i="6"/>
  <c r="E169" i="6"/>
  <c r="D169" i="6"/>
  <c r="C169" i="6"/>
  <c r="U169" i="6"/>
  <c r="B169" i="6"/>
  <c r="T170" i="6"/>
  <c r="S170" i="6"/>
  <c r="R170" i="6"/>
  <c r="Q170" i="6"/>
  <c r="P170" i="6"/>
  <c r="O170" i="6"/>
  <c r="N170" i="6"/>
  <c r="M170" i="6"/>
  <c r="L170" i="6"/>
  <c r="K170" i="6"/>
  <c r="J170" i="6"/>
  <c r="I170" i="6"/>
  <c r="H170" i="6"/>
  <c r="G170" i="6"/>
  <c r="F170" i="6"/>
  <c r="E170" i="6"/>
  <c r="D170" i="6"/>
  <c r="C170" i="6"/>
  <c r="U170" i="6"/>
  <c r="B170" i="6"/>
  <c r="T171" i="6"/>
  <c r="S171" i="6"/>
  <c r="R171" i="6"/>
  <c r="Q171" i="6"/>
  <c r="P171" i="6"/>
  <c r="O171" i="6"/>
  <c r="N171" i="6"/>
  <c r="M171" i="6"/>
  <c r="L171" i="6"/>
  <c r="K171" i="6"/>
  <c r="J171" i="6"/>
  <c r="I171" i="6"/>
  <c r="H171" i="6"/>
  <c r="G171" i="6"/>
  <c r="F171" i="6"/>
  <c r="E171" i="6"/>
  <c r="D171" i="6"/>
  <c r="C171" i="6"/>
  <c r="U171" i="6"/>
  <c r="B171" i="6"/>
  <c r="T172" i="6"/>
  <c r="S172" i="6"/>
  <c r="R172" i="6"/>
  <c r="Q172" i="6"/>
  <c r="P172" i="6"/>
  <c r="O172" i="6"/>
  <c r="N172" i="6"/>
  <c r="M172" i="6"/>
  <c r="L172" i="6"/>
  <c r="K172" i="6"/>
  <c r="J172" i="6"/>
  <c r="I172" i="6"/>
  <c r="H172" i="6"/>
  <c r="G172" i="6"/>
  <c r="F172" i="6"/>
  <c r="E172" i="6"/>
  <c r="D172" i="6"/>
  <c r="C172" i="6"/>
  <c r="U172" i="6"/>
  <c r="B172" i="6"/>
  <c r="T173" i="6"/>
  <c r="S173" i="6"/>
  <c r="R173" i="6"/>
  <c r="Q173" i="6"/>
  <c r="P173" i="6"/>
  <c r="O173" i="6"/>
  <c r="N173" i="6"/>
  <c r="M173" i="6"/>
  <c r="L173" i="6"/>
  <c r="K173" i="6"/>
  <c r="J173" i="6"/>
  <c r="I173" i="6"/>
  <c r="H173" i="6"/>
  <c r="G173" i="6"/>
  <c r="F173" i="6"/>
  <c r="E173" i="6"/>
  <c r="D173" i="6"/>
  <c r="C173" i="6"/>
  <c r="U173" i="6"/>
  <c r="B173" i="6"/>
  <c r="T174" i="6"/>
  <c r="S174" i="6"/>
  <c r="R174" i="6"/>
  <c r="Q174" i="6"/>
  <c r="P174" i="6"/>
  <c r="O174" i="6"/>
  <c r="N174" i="6"/>
  <c r="M174" i="6"/>
  <c r="L174" i="6"/>
  <c r="K174" i="6"/>
  <c r="J174" i="6"/>
  <c r="I174" i="6"/>
  <c r="H174" i="6"/>
  <c r="G174" i="6"/>
  <c r="F174" i="6"/>
  <c r="E174" i="6"/>
  <c r="D174" i="6"/>
  <c r="C174" i="6"/>
  <c r="U174" i="6"/>
  <c r="B174" i="6"/>
  <c r="T175" i="6"/>
  <c r="S175" i="6"/>
  <c r="R175" i="6"/>
  <c r="Q175" i="6"/>
  <c r="P175" i="6"/>
  <c r="O175" i="6"/>
  <c r="N175" i="6"/>
  <c r="M175" i="6"/>
  <c r="L175" i="6"/>
  <c r="K175" i="6"/>
  <c r="J175" i="6"/>
  <c r="I175" i="6"/>
  <c r="H175" i="6"/>
  <c r="G175" i="6"/>
  <c r="F175" i="6"/>
  <c r="E175" i="6"/>
  <c r="D175" i="6"/>
  <c r="C175" i="6"/>
  <c r="U175" i="6"/>
  <c r="B175" i="6"/>
  <c r="T176" i="6"/>
  <c r="S176" i="6"/>
  <c r="R176" i="6"/>
  <c r="Q176" i="6"/>
  <c r="P176" i="6"/>
  <c r="O176" i="6"/>
  <c r="N176" i="6"/>
  <c r="M176" i="6"/>
  <c r="L176" i="6"/>
  <c r="K176" i="6"/>
  <c r="J176" i="6"/>
  <c r="I176" i="6"/>
  <c r="H176" i="6"/>
  <c r="G176" i="6"/>
  <c r="F176" i="6"/>
  <c r="E176" i="6"/>
  <c r="D176" i="6"/>
  <c r="C176" i="6"/>
  <c r="U176" i="6"/>
  <c r="B176" i="6"/>
  <c r="T177" i="6"/>
  <c r="S177" i="6"/>
  <c r="R177" i="6"/>
  <c r="Q177" i="6"/>
  <c r="P177" i="6"/>
  <c r="O177" i="6"/>
  <c r="N177" i="6"/>
  <c r="M177" i="6"/>
  <c r="L177" i="6"/>
  <c r="K177" i="6"/>
  <c r="J177" i="6"/>
  <c r="I177" i="6"/>
  <c r="H177" i="6"/>
  <c r="G177" i="6"/>
  <c r="F177" i="6"/>
  <c r="E177" i="6"/>
  <c r="D177" i="6"/>
  <c r="C177" i="6"/>
  <c r="U177" i="6"/>
  <c r="B177" i="6"/>
  <c r="T178" i="6"/>
  <c r="S178" i="6"/>
  <c r="R178" i="6"/>
  <c r="Q178" i="6"/>
  <c r="P178" i="6"/>
  <c r="O178" i="6"/>
  <c r="N178" i="6"/>
  <c r="M178" i="6"/>
  <c r="L178" i="6"/>
  <c r="K178" i="6"/>
  <c r="J178" i="6"/>
  <c r="I178" i="6"/>
  <c r="H178" i="6"/>
  <c r="G178" i="6"/>
  <c r="F178" i="6"/>
  <c r="E178" i="6"/>
  <c r="D178" i="6"/>
  <c r="C178" i="6"/>
  <c r="U178" i="6"/>
  <c r="B178" i="6"/>
  <c r="T179" i="6"/>
  <c r="S179" i="6"/>
  <c r="R179" i="6"/>
  <c r="Q179" i="6"/>
  <c r="P179" i="6"/>
  <c r="O179" i="6"/>
  <c r="N179" i="6"/>
  <c r="M179" i="6"/>
  <c r="L179" i="6"/>
  <c r="K179" i="6"/>
  <c r="J179" i="6"/>
  <c r="I179" i="6"/>
  <c r="H179" i="6"/>
  <c r="G179" i="6"/>
  <c r="F179" i="6"/>
  <c r="E179" i="6"/>
  <c r="D179" i="6"/>
  <c r="C179" i="6"/>
  <c r="U179" i="6"/>
  <c r="B179" i="6"/>
  <c r="T180" i="6"/>
  <c r="S180" i="6"/>
  <c r="R180" i="6"/>
  <c r="Q180" i="6"/>
  <c r="P180" i="6"/>
  <c r="O180" i="6"/>
  <c r="N180" i="6"/>
  <c r="M180" i="6"/>
  <c r="L180" i="6"/>
  <c r="K180" i="6"/>
  <c r="J180" i="6"/>
  <c r="I180" i="6"/>
  <c r="H180" i="6"/>
  <c r="G180" i="6"/>
  <c r="F180" i="6"/>
  <c r="E180" i="6"/>
  <c r="D180" i="6"/>
  <c r="C180" i="6"/>
  <c r="U180" i="6"/>
  <c r="B180" i="6"/>
  <c r="T181" i="6"/>
  <c r="S181" i="6"/>
  <c r="R181" i="6"/>
  <c r="Q181" i="6"/>
  <c r="P181" i="6"/>
  <c r="O181" i="6"/>
  <c r="N181" i="6"/>
  <c r="M181" i="6"/>
  <c r="L181" i="6"/>
  <c r="K181" i="6"/>
  <c r="J181" i="6"/>
  <c r="I181" i="6"/>
  <c r="H181" i="6"/>
  <c r="G181" i="6"/>
  <c r="F181" i="6"/>
  <c r="E181" i="6"/>
  <c r="D181" i="6"/>
  <c r="C181" i="6"/>
  <c r="U181" i="6"/>
  <c r="B181" i="6"/>
  <c r="T182" i="6"/>
  <c r="S182" i="6"/>
  <c r="R182" i="6"/>
  <c r="Q182" i="6"/>
  <c r="P182" i="6"/>
  <c r="O182" i="6"/>
  <c r="N182" i="6"/>
  <c r="M182" i="6"/>
  <c r="L182" i="6"/>
  <c r="K182" i="6"/>
  <c r="J182" i="6"/>
  <c r="I182" i="6"/>
  <c r="H182" i="6"/>
  <c r="G182" i="6"/>
  <c r="F182" i="6"/>
  <c r="E182" i="6"/>
  <c r="D182" i="6"/>
  <c r="C182" i="6"/>
  <c r="U182" i="6"/>
  <c r="B182" i="6"/>
  <c r="T183" i="6"/>
  <c r="S183" i="6"/>
  <c r="R183" i="6"/>
  <c r="Q183" i="6"/>
  <c r="P183" i="6"/>
  <c r="O183" i="6"/>
  <c r="N183" i="6"/>
  <c r="M183" i="6"/>
  <c r="L183" i="6"/>
  <c r="K183" i="6"/>
  <c r="J183" i="6"/>
  <c r="I183" i="6"/>
  <c r="H183" i="6"/>
  <c r="G183" i="6"/>
  <c r="F183" i="6"/>
  <c r="E183" i="6"/>
  <c r="D183" i="6"/>
  <c r="C183" i="6"/>
  <c r="U183" i="6"/>
  <c r="B183" i="6"/>
  <c r="T184" i="6"/>
  <c r="S184" i="6"/>
  <c r="R184" i="6"/>
  <c r="Q184" i="6"/>
  <c r="P184" i="6"/>
  <c r="O184" i="6"/>
  <c r="N184" i="6"/>
  <c r="M184" i="6"/>
  <c r="L184" i="6"/>
  <c r="K184" i="6"/>
  <c r="J184" i="6"/>
  <c r="I184" i="6"/>
  <c r="H184" i="6"/>
  <c r="G184" i="6"/>
  <c r="F184" i="6"/>
  <c r="E184" i="6"/>
  <c r="D184" i="6"/>
  <c r="C184" i="6"/>
  <c r="U184" i="6"/>
  <c r="B184" i="6"/>
  <c r="T185" i="6"/>
  <c r="S185" i="6"/>
  <c r="R185" i="6"/>
  <c r="Q185" i="6"/>
  <c r="P185" i="6"/>
  <c r="O185" i="6"/>
  <c r="N185" i="6"/>
  <c r="M185" i="6"/>
  <c r="L185" i="6"/>
  <c r="K185" i="6"/>
  <c r="J185" i="6"/>
  <c r="I185" i="6"/>
  <c r="H185" i="6"/>
  <c r="G185" i="6"/>
  <c r="F185" i="6"/>
  <c r="E185" i="6"/>
  <c r="D185" i="6"/>
  <c r="C185" i="6"/>
  <c r="U185" i="6"/>
  <c r="B185" i="6"/>
  <c r="T186" i="6"/>
  <c r="S186" i="6"/>
  <c r="R186" i="6"/>
  <c r="Q186" i="6"/>
  <c r="P186" i="6"/>
  <c r="O186" i="6"/>
  <c r="N186" i="6"/>
  <c r="M186" i="6"/>
  <c r="L186" i="6"/>
  <c r="K186" i="6"/>
  <c r="J186" i="6"/>
  <c r="I186" i="6"/>
  <c r="H186" i="6"/>
  <c r="G186" i="6"/>
  <c r="F186" i="6"/>
  <c r="E186" i="6"/>
  <c r="D186" i="6"/>
  <c r="C186" i="6"/>
  <c r="U186" i="6"/>
  <c r="B186" i="6"/>
  <c r="T187" i="6"/>
  <c r="S187" i="6"/>
  <c r="R187" i="6"/>
  <c r="Q187" i="6"/>
  <c r="P187" i="6"/>
  <c r="O187" i="6"/>
  <c r="N187" i="6"/>
  <c r="M187" i="6"/>
  <c r="L187" i="6"/>
  <c r="K187" i="6"/>
  <c r="J187" i="6"/>
  <c r="I187" i="6"/>
  <c r="H187" i="6"/>
  <c r="G187" i="6"/>
  <c r="F187" i="6"/>
  <c r="E187" i="6"/>
  <c r="D187" i="6"/>
  <c r="C187" i="6"/>
  <c r="U187" i="6"/>
  <c r="B187" i="6"/>
  <c r="T188" i="6"/>
  <c r="S188" i="6"/>
  <c r="R188" i="6"/>
  <c r="Q188" i="6"/>
  <c r="P188" i="6"/>
  <c r="O188" i="6"/>
  <c r="N188" i="6"/>
  <c r="M188" i="6"/>
  <c r="L188" i="6"/>
  <c r="K188" i="6"/>
  <c r="J188" i="6"/>
  <c r="I188" i="6"/>
  <c r="H188" i="6"/>
  <c r="G188" i="6"/>
  <c r="F188" i="6"/>
  <c r="E188" i="6"/>
  <c r="D188" i="6"/>
  <c r="C188" i="6"/>
  <c r="U188" i="6"/>
  <c r="B188" i="6"/>
  <c r="T189" i="6"/>
  <c r="S189" i="6"/>
  <c r="R189" i="6"/>
  <c r="Q189" i="6"/>
  <c r="P189" i="6"/>
  <c r="O189" i="6"/>
  <c r="N189" i="6"/>
  <c r="M189" i="6"/>
  <c r="L189" i="6"/>
  <c r="K189" i="6"/>
  <c r="J189" i="6"/>
  <c r="I189" i="6"/>
  <c r="H189" i="6"/>
  <c r="G189" i="6"/>
  <c r="F189" i="6"/>
  <c r="E189" i="6"/>
  <c r="D189" i="6"/>
  <c r="C189" i="6"/>
  <c r="U189" i="6"/>
  <c r="B189" i="6"/>
  <c r="T190" i="6"/>
  <c r="S190" i="6"/>
  <c r="R190" i="6"/>
  <c r="Q190" i="6"/>
  <c r="P190" i="6"/>
  <c r="O190" i="6"/>
  <c r="N190" i="6"/>
  <c r="M190" i="6"/>
  <c r="L190" i="6"/>
  <c r="K190" i="6"/>
  <c r="J190" i="6"/>
  <c r="I190" i="6"/>
  <c r="H190" i="6"/>
  <c r="G190" i="6"/>
  <c r="F190" i="6"/>
  <c r="E190" i="6"/>
  <c r="D190" i="6"/>
  <c r="C190" i="6"/>
  <c r="U190" i="6"/>
  <c r="B190" i="6"/>
  <c r="T191" i="6"/>
  <c r="S191" i="6"/>
  <c r="R191" i="6"/>
  <c r="Q191" i="6"/>
  <c r="P191" i="6"/>
  <c r="O191" i="6"/>
  <c r="N191" i="6"/>
  <c r="M191" i="6"/>
  <c r="L191" i="6"/>
  <c r="K191" i="6"/>
  <c r="J191" i="6"/>
  <c r="I191" i="6"/>
  <c r="H191" i="6"/>
  <c r="G191" i="6"/>
  <c r="F191" i="6"/>
  <c r="E191" i="6"/>
  <c r="D191" i="6"/>
  <c r="C191" i="6"/>
  <c r="U191" i="6"/>
  <c r="B191" i="6"/>
  <c r="T192" i="6"/>
  <c r="S192" i="6"/>
  <c r="R192" i="6"/>
  <c r="Q192" i="6"/>
  <c r="P192" i="6"/>
  <c r="O192" i="6"/>
  <c r="N192" i="6"/>
  <c r="M192" i="6"/>
  <c r="L192" i="6"/>
  <c r="K192" i="6"/>
  <c r="J192" i="6"/>
  <c r="I192" i="6"/>
  <c r="H192" i="6"/>
  <c r="G192" i="6"/>
  <c r="F192" i="6"/>
  <c r="E192" i="6"/>
  <c r="D192" i="6"/>
  <c r="C192" i="6"/>
  <c r="U192" i="6"/>
  <c r="B192" i="6"/>
  <c r="T193" i="6"/>
  <c r="S193" i="6"/>
  <c r="R193" i="6"/>
  <c r="Q193" i="6"/>
  <c r="P193" i="6"/>
  <c r="O193" i="6"/>
  <c r="N193" i="6"/>
  <c r="M193" i="6"/>
  <c r="L193" i="6"/>
  <c r="K193" i="6"/>
  <c r="J193" i="6"/>
  <c r="I193" i="6"/>
  <c r="H193" i="6"/>
  <c r="G193" i="6"/>
  <c r="F193" i="6"/>
  <c r="E193" i="6"/>
  <c r="D193" i="6"/>
  <c r="C193" i="6"/>
  <c r="U193" i="6"/>
  <c r="B193" i="6"/>
  <c r="T194" i="6"/>
  <c r="S194" i="6"/>
  <c r="R194" i="6"/>
  <c r="Q194" i="6"/>
  <c r="P194" i="6"/>
  <c r="O194" i="6"/>
  <c r="N194" i="6"/>
  <c r="M194" i="6"/>
  <c r="L194" i="6"/>
  <c r="K194" i="6"/>
  <c r="J194" i="6"/>
  <c r="I194" i="6"/>
  <c r="H194" i="6"/>
  <c r="G194" i="6"/>
  <c r="F194" i="6"/>
  <c r="E194" i="6"/>
  <c r="D194" i="6"/>
  <c r="C194" i="6"/>
  <c r="U194" i="6"/>
  <c r="B194" i="6"/>
  <c r="T195" i="6"/>
  <c r="S195" i="6"/>
  <c r="R195" i="6"/>
  <c r="Q195" i="6"/>
  <c r="P195" i="6"/>
  <c r="O195" i="6"/>
  <c r="N195" i="6"/>
  <c r="M195" i="6"/>
  <c r="L195" i="6"/>
  <c r="K195" i="6"/>
  <c r="J195" i="6"/>
  <c r="I195" i="6"/>
  <c r="H195" i="6"/>
  <c r="G195" i="6"/>
  <c r="F195" i="6"/>
  <c r="E195" i="6"/>
  <c r="D195" i="6"/>
  <c r="C195" i="6"/>
  <c r="U195" i="6"/>
  <c r="B195" i="6"/>
  <c r="T196" i="6"/>
  <c r="S196" i="6"/>
  <c r="R196" i="6"/>
  <c r="Q196" i="6"/>
  <c r="P196" i="6"/>
  <c r="O196" i="6"/>
  <c r="N196" i="6"/>
  <c r="M196" i="6"/>
  <c r="L196" i="6"/>
  <c r="K196" i="6"/>
  <c r="J196" i="6"/>
  <c r="I196" i="6"/>
  <c r="H196" i="6"/>
  <c r="G196" i="6"/>
  <c r="F196" i="6"/>
  <c r="E196" i="6"/>
  <c r="D196" i="6"/>
  <c r="C196" i="6"/>
  <c r="U196" i="6"/>
  <c r="B196" i="6"/>
  <c r="T197" i="6"/>
  <c r="S197" i="6"/>
  <c r="R197" i="6"/>
  <c r="Q197" i="6"/>
  <c r="P197" i="6"/>
  <c r="O197" i="6"/>
  <c r="N197" i="6"/>
  <c r="M197" i="6"/>
  <c r="L197" i="6"/>
  <c r="K197" i="6"/>
  <c r="J197" i="6"/>
  <c r="I197" i="6"/>
  <c r="H197" i="6"/>
  <c r="G197" i="6"/>
  <c r="F197" i="6"/>
  <c r="E197" i="6"/>
  <c r="D197" i="6"/>
  <c r="C197" i="6"/>
  <c r="U197" i="6"/>
  <c r="B197" i="6"/>
  <c r="T198" i="6"/>
  <c r="S198" i="6"/>
  <c r="R198" i="6"/>
  <c r="Q198" i="6"/>
  <c r="P198" i="6"/>
  <c r="O198" i="6"/>
  <c r="N198" i="6"/>
  <c r="M198" i="6"/>
  <c r="L198" i="6"/>
  <c r="K198" i="6"/>
  <c r="J198" i="6"/>
  <c r="I198" i="6"/>
  <c r="H198" i="6"/>
  <c r="G198" i="6"/>
  <c r="F198" i="6"/>
  <c r="E198" i="6"/>
  <c r="D198" i="6"/>
  <c r="C198" i="6"/>
  <c r="U198" i="6"/>
  <c r="B198" i="6"/>
  <c r="T199" i="6"/>
  <c r="S199" i="6"/>
  <c r="R199" i="6"/>
  <c r="Q199" i="6"/>
  <c r="P199" i="6"/>
  <c r="O199" i="6"/>
  <c r="N199" i="6"/>
  <c r="M199" i="6"/>
  <c r="L199" i="6"/>
  <c r="K199" i="6"/>
  <c r="J199" i="6"/>
  <c r="I199" i="6"/>
  <c r="H199" i="6"/>
  <c r="G199" i="6"/>
  <c r="F199" i="6"/>
  <c r="E199" i="6"/>
  <c r="D199" i="6"/>
  <c r="C199" i="6"/>
  <c r="U199" i="6"/>
  <c r="B199" i="6"/>
  <c r="T200" i="6"/>
  <c r="S200" i="6"/>
  <c r="R200" i="6"/>
  <c r="Q200" i="6"/>
  <c r="P200" i="6"/>
  <c r="O200" i="6"/>
  <c r="N200" i="6"/>
  <c r="M200" i="6"/>
  <c r="L200" i="6"/>
  <c r="K200" i="6"/>
  <c r="J200" i="6"/>
  <c r="I200" i="6"/>
  <c r="H200" i="6"/>
  <c r="G200" i="6"/>
  <c r="F200" i="6"/>
  <c r="E200" i="6"/>
  <c r="D200" i="6"/>
  <c r="C200" i="6"/>
  <c r="U200" i="6"/>
  <c r="B200" i="6"/>
  <c r="T201" i="6"/>
  <c r="S201" i="6"/>
  <c r="R201" i="6"/>
  <c r="Q201" i="6"/>
  <c r="P201" i="6"/>
  <c r="O201" i="6"/>
  <c r="N201" i="6"/>
  <c r="M201" i="6"/>
  <c r="L201" i="6"/>
  <c r="K201" i="6"/>
  <c r="J201" i="6"/>
  <c r="I201" i="6"/>
  <c r="H201" i="6"/>
  <c r="G201" i="6"/>
  <c r="F201" i="6"/>
  <c r="E201" i="6"/>
  <c r="D201" i="6"/>
  <c r="C201" i="6"/>
  <c r="U201" i="6"/>
  <c r="B201" i="6"/>
  <c r="T202" i="6"/>
  <c r="S202" i="6"/>
  <c r="R202" i="6"/>
  <c r="Q202" i="6"/>
  <c r="P202" i="6"/>
  <c r="O202" i="6"/>
  <c r="N202" i="6"/>
  <c r="M202" i="6"/>
  <c r="L202" i="6"/>
  <c r="K202" i="6"/>
  <c r="J202" i="6"/>
  <c r="I202" i="6"/>
  <c r="H202" i="6"/>
  <c r="G202" i="6"/>
  <c r="F202" i="6"/>
  <c r="E202" i="6"/>
  <c r="D202" i="6"/>
  <c r="C202" i="6"/>
  <c r="U202" i="6"/>
  <c r="B202" i="6"/>
  <c r="T203" i="6"/>
  <c r="S203" i="6"/>
  <c r="R203" i="6"/>
  <c r="Q203" i="6"/>
  <c r="P203" i="6"/>
  <c r="O203" i="6"/>
  <c r="N203" i="6"/>
  <c r="M203" i="6"/>
  <c r="L203" i="6"/>
  <c r="K203" i="6"/>
  <c r="J203" i="6"/>
  <c r="I203" i="6"/>
  <c r="H203" i="6"/>
  <c r="G203" i="6"/>
  <c r="F203" i="6"/>
  <c r="E203" i="6"/>
  <c r="D203" i="6"/>
  <c r="C203" i="6"/>
  <c r="U203" i="6"/>
  <c r="B203" i="6"/>
  <c r="T204" i="6"/>
  <c r="S204" i="6"/>
  <c r="R204" i="6"/>
  <c r="Q204" i="6"/>
  <c r="P204" i="6"/>
  <c r="O204" i="6"/>
  <c r="N204" i="6"/>
  <c r="M204" i="6"/>
  <c r="L204" i="6"/>
  <c r="K204" i="6"/>
  <c r="J204" i="6"/>
  <c r="I204" i="6"/>
  <c r="H204" i="6"/>
  <c r="G204" i="6"/>
  <c r="F204" i="6"/>
  <c r="E204" i="6"/>
  <c r="D204" i="6"/>
  <c r="C204" i="6"/>
  <c r="U204" i="6"/>
  <c r="B204" i="6"/>
  <c r="T205" i="6"/>
  <c r="S205" i="6"/>
  <c r="R205" i="6"/>
  <c r="Q205" i="6"/>
  <c r="P205" i="6"/>
  <c r="O205" i="6"/>
  <c r="N205" i="6"/>
  <c r="M205" i="6"/>
  <c r="L205" i="6"/>
  <c r="K205" i="6"/>
  <c r="J205" i="6"/>
  <c r="I205" i="6"/>
  <c r="H205" i="6"/>
  <c r="G205" i="6"/>
  <c r="F205" i="6"/>
  <c r="E205" i="6"/>
  <c r="D205" i="6"/>
  <c r="C205" i="6"/>
  <c r="U205" i="6"/>
  <c r="B205" i="6"/>
  <c r="T206" i="6"/>
  <c r="S206" i="6"/>
  <c r="R206" i="6"/>
  <c r="Q206" i="6"/>
  <c r="P206" i="6"/>
  <c r="O206" i="6"/>
  <c r="N206" i="6"/>
  <c r="M206" i="6"/>
  <c r="L206" i="6"/>
  <c r="K206" i="6"/>
  <c r="J206" i="6"/>
  <c r="I206" i="6"/>
  <c r="H206" i="6"/>
  <c r="G206" i="6"/>
  <c r="F206" i="6"/>
  <c r="E206" i="6"/>
  <c r="D206" i="6"/>
  <c r="C206" i="6"/>
  <c r="U206" i="6"/>
  <c r="B206" i="6"/>
  <c r="T207" i="6"/>
  <c r="S207" i="6"/>
  <c r="R207" i="6"/>
  <c r="Q207" i="6"/>
  <c r="P207" i="6"/>
  <c r="O207" i="6"/>
  <c r="N207" i="6"/>
  <c r="M207" i="6"/>
  <c r="L207" i="6"/>
  <c r="K207" i="6"/>
  <c r="J207" i="6"/>
  <c r="I207" i="6"/>
  <c r="H207" i="6"/>
  <c r="G207" i="6"/>
  <c r="F207" i="6"/>
  <c r="E207" i="6"/>
  <c r="D207" i="6"/>
  <c r="C207" i="6"/>
  <c r="U207" i="6"/>
  <c r="B207" i="6"/>
  <c r="T208" i="6"/>
  <c r="S208" i="6"/>
  <c r="R208" i="6"/>
  <c r="Q208" i="6"/>
  <c r="P208" i="6"/>
  <c r="O208" i="6"/>
  <c r="N208" i="6"/>
  <c r="M208" i="6"/>
  <c r="L208" i="6"/>
  <c r="K208" i="6"/>
  <c r="J208" i="6"/>
  <c r="I208" i="6"/>
  <c r="H208" i="6"/>
  <c r="G208" i="6"/>
  <c r="F208" i="6"/>
  <c r="E208" i="6"/>
  <c r="D208" i="6"/>
  <c r="C208" i="6"/>
  <c r="U208" i="6"/>
  <c r="B208" i="6"/>
  <c r="T209" i="6"/>
  <c r="S209" i="6"/>
  <c r="R209" i="6"/>
  <c r="Q209" i="6"/>
  <c r="P209" i="6"/>
  <c r="O209" i="6"/>
  <c r="N209" i="6"/>
  <c r="M209" i="6"/>
  <c r="L209" i="6"/>
  <c r="K209" i="6"/>
  <c r="J209" i="6"/>
  <c r="I209" i="6"/>
  <c r="H209" i="6"/>
  <c r="G209" i="6"/>
  <c r="F209" i="6"/>
  <c r="E209" i="6"/>
  <c r="D209" i="6"/>
  <c r="C209" i="6"/>
  <c r="U209" i="6"/>
  <c r="B209" i="6"/>
  <c r="T210" i="6"/>
  <c r="S210" i="6"/>
  <c r="R210" i="6"/>
  <c r="Q210" i="6"/>
  <c r="P210" i="6"/>
  <c r="O210" i="6"/>
  <c r="N210" i="6"/>
  <c r="M210" i="6"/>
  <c r="L210" i="6"/>
  <c r="K210" i="6"/>
  <c r="J210" i="6"/>
  <c r="I210" i="6"/>
  <c r="H210" i="6"/>
  <c r="G210" i="6"/>
  <c r="F210" i="6"/>
  <c r="E210" i="6"/>
  <c r="D210" i="6"/>
  <c r="C210" i="6"/>
  <c r="U210" i="6"/>
  <c r="B210" i="6"/>
  <c r="T211" i="6"/>
  <c r="S211" i="6"/>
  <c r="R211" i="6"/>
  <c r="Q211" i="6"/>
  <c r="P211" i="6"/>
  <c r="O211" i="6"/>
  <c r="N211" i="6"/>
  <c r="M211" i="6"/>
  <c r="L211" i="6"/>
  <c r="K211" i="6"/>
  <c r="J211" i="6"/>
  <c r="I211" i="6"/>
  <c r="H211" i="6"/>
  <c r="G211" i="6"/>
  <c r="F211" i="6"/>
  <c r="E211" i="6"/>
  <c r="D211" i="6"/>
  <c r="C211" i="6"/>
  <c r="U211" i="6"/>
  <c r="B211" i="6"/>
  <c r="T212" i="6"/>
  <c r="S212" i="6"/>
  <c r="R212" i="6"/>
  <c r="Q212" i="6"/>
  <c r="P212" i="6"/>
  <c r="O212" i="6"/>
  <c r="N212" i="6"/>
  <c r="M212" i="6"/>
  <c r="L212" i="6"/>
  <c r="K212" i="6"/>
  <c r="J212" i="6"/>
  <c r="I212" i="6"/>
  <c r="H212" i="6"/>
  <c r="G212" i="6"/>
  <c r="F212" i="6"/>
  <c r="E212" i="6"/>
  <c r="D212" i="6"/>
  <c r="C212" i="6"/>
  <c r="U212" i="6"/>
  <c r="B212" i="6"/>
  <c r="T213" i="6"/>
  <c r="S213" i="6"/>
  <c r="R213" i="6"/>
  <c r="Q213" i="6"/>
  <c r="P213" i="6"/>
  <c r="O213" i="6"/>
  <c r="N213" i="6"/>
  <c r="M213" i="6"/>
  <c r="L213" i="6"/>
  <c r="K213" i="6"/>
  <c r="J213" i="6"/>
  <c r="I213" i="6"/>
  <c r="H213" i="6"/>
  <c r="G213" i="6"/>
  <c r="F213" i="6"/>
  <c r="E213" i="6"/>
  <c r="D213" i="6"/>
  <c r="C213" i="6"/>
  <c r="U213" i="6"/>
  <c r="B213" i="6"/>
  <c r="T214" i="6"/>
  <c r="S214" i="6"/>
  <c r="R214" i="6"/>
  <c r="Q214" i="6"/>
  <c r="P214" i="6"/>
  <c r="O214" i="6"/>
  <c r="N214" i="6"/>
  <c r="M214" i="6"/>
  <c r="L214" i="6"/>
  <c r="K214" i="6"/>
  <c r="J214" i="6"/>
  <c r="I214" i="6"/>
  <c r="H214" i="6"/>
  <c r="G214" i="6"/>
  <c r="F214" i="6"/>
  <c r="E214" i="6"/>
  <c r="D214" i="6"/>
  <c r="C214" i="6"/>
  <c r="U214" i="6"/>
  <c r="B214" i="6"/>
  <c r="T215" i="6"/>
  <c r="S215" i="6"/>
  <c r="R215" i="6"/>
  <c r="Q215" i="6"/>
  <c r="P215" i="6"/>
  <c r="O215" i="6"/>
  <c r="N215" i="6"/>
  <c r="M215" i="6"/>
  <c r="L215" i="6"/>
  <c r="K215" i="6"/>
  <c r="J215" i="6"/>
  <c r="I215" i="6"/>
  <c r="H215" i="6"/>
  <c r="G215" i="6"/>
  <c r="F215" i="6"/>
  <c r="E215" i="6"/>
  <c r="D215" i="6"/>
  <c r="C215" i="6"/>
  <c r="U215" i="6"/>
  <c r="B215" i="6"/>
  <c r="T216" i="6"/>
  <c r="S216" i="6"/>
  <c r="R216" i="6"/>
  <c r="Q216" i="6"/>
  <c r="P216" i="6"/>
  <c r="O216" i="6"/>
  <c r="N216" i="6"/>
  <c r="M216" i="6"/>
  <c r="L216" i="6"/>
  <c r="K216" i="6"/>
  <c r="J216" i="6"/>
  <c r="I216" i="6"/>
  <c r="H216" i="6"/>
  <c r="G216" i="6"/>
  <c r="F216" i="6"/>
  <c r="E216" i="6"/>
  <c r="D216" i="6"/>
  <c r="C216" i="6"/>
  <c r="U216" i="6"/>
  <c r="B216" i="6"/>
  <c r="T217" i="6"/>
  <c r="S217" i="6"/>
  <c r="R217" i="6"/>
  <c r="Q217" i="6"/>
  <c r="P217" i="6"/>
  <c r="O217" i="6"/>
  <c r="N217" i="6"/>
  <c r="M217" i="6"/>
  <c r="L217" i="6"/>
  <c r="K217" i="6"/>
  <c r="J217" i="6"/>
  <c r="I217" i="6"/>
  <c r="H217" i="6"/>
  <c r="G217" i="6"/>
  <c r="F217" i="6"/>
  <c r="E217" i="6"/>
  <c r="D217" i="6"/>
  <c r="C217" i="6"/>
  <c r="U217" i="6"/>
  <c r="B217" i="6"/>
  <c r="T218" i="6"/>
  <c r="S218" i="6"/>
  <c r="R218" i="6"/>
  <c r="Q218" i="6"/>
  <c r="P218" i="6"/>
  <c r="O218" i="6"/>
  <c r="N218" i="6"/>
  <c r="M218" i="6"/>
  <c r="L218" i="6"/>
  <c r="K218" i="6"/>
  <c r="J218" i="6"/>
  <c r="I218" i="6"/>
  <c r="H218" i="6"/>
  <c r="G218" i="6"/>
  <c r="F218" i="6"/>
  <c r="E218" i="6"/>
  <c r="D218" i="6"/>
  <c r="C218" i="6"/>
  <c r="U218" i="6"/>
  <c r="B218" i="6"/>
  <c r="T219" i="6"/>
  <c r="S219" i="6"/>
  <c r="R219" i="6"/>
  <c r="Q219" i="6"/>
  <c r="P219" i="6"/>
  <c r="O219" i="6"/>
  <c r="N219" i="6"/>
  <c r="M219" i="6"/>
  <c r="L219" i="6"/>
  <c r="K219" i="6"/>
  <c r="J219" i="6"/>
  <c r="I219" i="6"/>
  <c r="H219" i="6"/>
  <c r="G219" i="6"/>
  <c r="F219" i="6"/>
  <c r="E219" i="6"/>
  <c r="D219" i="6"/>
  <c r="C219" i="6"/>
  <c r="U219" i="6"/>
  <c r="B219" i="6"/>
  <c r="T220" i="6"/>
  <c r="S220" i="6"/>
  <c r="R220" i="6"/>
  <c r="Q220" i="6"/>
  <c r="P220" i="6"/>
  <c r="O220" i="6"/>
  <c r="N220" i="6"/>
  <c r="M220" i="6"/>
  <c r="L220" i="6"/>
  <c r="K220" i="6"/>
  <c r="J220" i="6"/>
  <c r="I220" i="6"/>
  <c r="H220" i="6"/>
  <c r="G220" i="6"/>
  <c r="F220" i="6"/>
  <c r="E220" i="6"/>
  <c r="D220" i="6"/>
  <c r="C220" i="6"/>
  <c r="U220" i="6"/>
  <c r="B220" i="6"/>
  <c r="T221" i="6"/>
  <c r="S221" i="6"/>
  <c r="R221" i="6"/>
  <c r="Q221" i="6"/>
  <c r="P221" i="6"/>
  <c r="O221" i="6"/>
  <c r="N221" i="6"/>
  <c r="M221" i="6"/>
  <c r="L221" i="6"/>
  <c r="K221" i="6"/>
  <c r="J221" i="6"/>
  <c r="I221" i="6"/>
  <c r="H221" i="6"/>
  <c r="G221" i="6"/>
  <c r="F221" i="6"/>
  <c r="E221" i="6"/>
  <c r="D221" i="6"/>
  <c r="C221" i="6"/>
  <c r="U221" i="6"/>
  <c r="B221" i="6"/>
  <c r="T222" i="6"/>
  <c r="S222" i="6"/>
  <c r="R222" i="6"/>
  <c r="Q222" i="6"/>
  <c r="P222" i="6"/>
  <c r="O222" i="6"/>
  <c r="N222" i="6"/>
  <c r="M222" i="6"/>
  <c r="L222" i="6"/>
  <c r="K222" i="6"/>
  <c r="J222" i="6"/>
  <c r="I222" i="6"/>
  <c r="H222" i="6"/>
  <c r="G222" i="6"/>
  <c r="F222" i="6"/>
  <c r="E222" i="6"/>
  <c r="D222" i="6"/>
  <c r="C222" i="6"/>
  <c r="U222" i="6"/>
  <c r="B222" i="6"/>
  <c r="T223" i="6"/>
  <c r="S223" i="6"/>
  <c r="R223" i="6"/>
  <c r="Q223" i="6"/>
  <c r="P223" i="6"/>
  <c r="O223" i="6"/>
  <c r="N223" i="6"/>
  <c r="M223" i="6"/>
  <c r="L223" i="6"/>
  <c r="K223" i="6"/>
  <c r="J223" i="6"/>
  <c r="I223" i="6"/>
  <c r="H223" i="6"/>
  <c r="G223" i="6"/>
  <c r="F223" i="6"/>
  <c r="E223" i="6"/>
  <c r="D223" i="6"/>
  <c r="C223" i="6"/>
  <c r="U223" i="6"/>
  <c r="B223" i="6"/>
  <c r="T224" i="6"/>
  <c r="S224" i="6"/>
  <c r="R224" i="6"/>
  <c r="Q224" i="6"/>
  <c r="P224" i="6"/>
  <c r="O224" i="6"/>
  <c r="N224" i="6"/>
  <c r="M224" i="6"/>
  <c r="L224" i="6"/>
  <c r="K224" i="6"/>
  <c r="J224" i="6"/>
  <c r="I224" i="6"/>
  <c r="H224" i="6"/>
  <c r="G224" i="6"/>
  <c r="F224" i="6"/>
  <c r="E224" i="6"/>
  <c r="D224" i="6"/>
  <c r="C224" i="6"/>
  <c r="U224" i="6"/>
  <c r="B224" i="6"/>
  <c r="T225" i="6"/>
  <c r="S225" i="6"/>
  <c r="R225" i="6"/>
  <c r="Q225" i="6"/>
  <c r="P225" i="6"/>
  <c r="O225" i="6"/>
  <c r="N225" i="6"/>
  <c r="M225" i="6"/>
  <c r="L225" i="6"/>
  <c r="K225" i="6"/>
  <c r="J225" i="6"/>
  <c r="I225" i="6"/>
  <c r="H225" i="6"/>
  <c r="G225" i="6"/>
  <c r="F225" i="6"/>
  <c r="E225" i="6"/>
  <c r="D225" i="6"/>
  <c r="C225" i="6"/>
  <c r="U225" i="6"/>
  <c r="B225" i="6"/>
  <c r="T226" i="6"/>
  <c r="S226" i="6"/>
  <c r="R226" i="6"/>
  <c r="Q226" i="6"/>
  <c r="P226" i="6"/>
  <c r="O226" i="6"/>
  <c r="N226" i="6"/>
  <c r="M226" i="6"/>
  <c r="L226" i="6"/>
  <c r="K226" i="6"/>
  <c r="J226" i="6"/>
  <c r="I226" i="6"/>
  <c r="H226" i="6"/>
  <c r="G226" i="6"/>
  <c r="F226" i="6"/>
  <c r="E226" i="6"/>
  <c r="D226" i="6"/>
  <c r="C226" i="6"/>
  <c r="U226" i="6"/>
  <c r="B226" i="6"/>
  <c r="T227" i="6"/>
  <c r="S227" i="6"/>
  <c r="R227" i="6"/>
  <c r="Q227" i="6"/>
  <c r="P227" i="6"/>
  <c r="O227" i="6"/>
  <c r="N227" i="6"/>
  <c r="M227" i="6"/>
  <c r="L227" i="6"/>
  <c r="K227" i="6"/>
  <c r="J227" i="6"/>
  <c r="I227" i="6"/>
  <c r="H227" i="6"/>
  <c r="G227" i="6"/>
  <c r="F227" i="6"/>
  <c r="E227" i="6"/>
  <c r="D227" i="6"/>
  <c r="C227" i="6"/>
  <c r="U227" i="6"/>
  <c r="B227" i="6"/>
  <c r="T228" i="6"/>
  <c r="S228" i="6"/>
  <c r="R228" i="6"/>
  <c r="Q228" i="6"/>
  <c r="P228" i="6"/>
  <c r="O228" i="6"/>
  <c r="N228" i="6"/>
  <c r="M228" i="6"/>
  <c r="L228" i="6"/>
  <c r="K228" i="6"/>
  <c r="J228" i="6"/>
  <c r="I228" i="6"/>
  <c r="H228" i="6"/>
  <c r="G228" i="6"/>
  <c r="F228" i="6"/>
  <c r="E228" i="6"/>
  <c r="D228" i="6"/>
  <c r="C228" i="6"/>
  <c r="U228" i="6"/>
  <c r="B228" i="6"/>
  <c r="T229" i="6"/>
  <c r="S229" i="6"/>
  <c r="R229" i="6"/>
  <c r="Q229" i="6"/>
  <c r="P229" i="6"/>
  <c r="O229" i="6"/>
  <c r="N229" i="6"/>
  <c r="M229" i="6"/>
  <c r="L229" i="6"/>
  <c r="K229" i="6"/>
  <c r="J229" i="6"/>
  <c r="I229" i="6"/>
  <c r="H229" i="6"/>
  <c r="G229" i="6"/>
  <c r="F229" i="6"/>
  <c r="E229" i="6"/>
  <c r="D229" i="6"/>
  <c r="C229" i="6"/>
  <c r="U229" i="6"/>
  <c r="B229" i="6"/>
  <c r="T230" i="6"/>
  <c r="S230" i="6"/>
  <c r="R230" i="6"/>
  <c r="Q230" i="6"/>
  <c r="P230" i="6"/>
  <c r="O230" i="6"/>
  <c r="N230" i="6"/>
  <c r="M230" i="6"/>
  <c r="L230" i="6"/>
  <c r="K230" i="6"/>
  <c r="J230" i="6"/>
  <c r="I230" i="6"/>
  <c r="H230" i="6"/>
  <c r="G230" i="6"/>
  <c r="F230" i="6"/>
  <c r="E230" i="6"/>
  <c r="D230" i="6"/>
  <c r="C230" i="6"/>
  <c r="U230" i="6"/>
  <c r="B230" i="6"/>
  <c r="T231" i="6"/>
  <c r="S231" i="6"/>
  <c r="R231" i="6"/>
  <c r="Q231" i="6"/>
  <c r="P231" i="6"/>
  <c r="O231" i="6"/>
  <c r="N231" i="6"/>
  <c r="M231" i="6"/>
  <c r="L231" i="6"/>
  <c r="K231" i="6"/>
  <c r="J231" i="6"/>
  <c r="I231" i="6"/>
  <c r="H231" i="6"/>
  <c r="G231" i="6"/>
  <c r="F231" i="6"/>
  <c r="E231" i="6"/>
  <c r="D231" i="6"/>
  <c r="C231" i="6"/>
  <c r="U231" i="6"/>
  <c r="B231" i="6"/>
  <c r="T232" i="6"/>
  <c r="S232" i="6"/>
  <c r="R232" i="6"/>
  <c r="Q232" i="6"/>
  <c r="P232" i="6"/>
  <c r="O232" i="6"/>
  <c r="N232" i="6"/>
  <c r="M232" i="6"/>
  <c r="L232" i="6"/>
  <c r="K232" i="6"/>
  <c r="J232" i="6"/>
  <c r="I232" i="6"/>
  <c r="H232" i="6"/>
  <c r="G232" i="6"/>
  <c r="F232" i="6"/>
  <c r="E232" i="6"/>
  <c r="D232" i="6"/>
  <c r="C232" i="6"/>
  <c r="U232" i="6"/>
  <c r="B232" i="6"/>
  <c r="T233" i="6"/>
  <c r="S233" i="6"/>
  <c r="R233" i="6"/>
  <c r="Q233" i="6"/>
  <c r="P233" i="6"/>
  <c r="O233" i="6"/>
  <c r="N233" i="6"/>
  <c r="M233" i="6"/>
  <c r="L233" i="6"/>
  <c r="K233" i="6"/>
  <c r="J233" i="6"/>
  <c r="I233" i="6"/>
  <c r="H233" i="6"/>
  <c r="G233" i="6"/>
  <c r="F233" i="6"/>
  <c r="E233" i="6"/>
  <c r="D233" i="6"/>
  <c r="C233" i="6"/>
  <c r="U233" i="6"/>
  <c r="B233" i="6"/>
  <c r="T234" i="6"/>
  <c r="S234" i="6"/>
  <c r="R234" i="6"/>
  <c r="Q234" i="6"/>
  <c r="P234" i="6"/>
  <c r="O234" i="6"/>
  <c r="N234" i="6"/>
  <c r="M234" i="6"/>
  <c r="L234" i="6"/>
  <c r="K234" i="6"/>
  <c r="J234" i="6"/>
  <c r="I234" i="6"/>
  <c r="H234" i="6"/>
  <c r="G234" i="6"/>
  <c r="F234" i="6"/>
  <c r="E234" i="6"/>
  <c r="D234" i="6"/>
  <c r="C234" i="6"/>
  <c r="U234" i="6"/>
  <c r="B234" i="6"/>
  <c r="T235" i="6"/>
  <c r="S235" i="6"/>
  <c r="R235" i="6"/>
  <c r="Q235" i="6"/>
  <c r="P235" i="6"/>
  <c r="O235" i="6"/>
  <c r="N235" i="6"/>
  <c r="M235" i="6"/>
  <c r="L235" i="6"/>
  <c r="K235" i="6"/>
  <c r="J235" i="6"/>
  <c r="I235" i="6"/>
  <c r="H235" i="6"/>
  <c r="G235" i="6"/>
  <c r="F235" i="6"/>
  <c r="E235" i="6"/>
  <c r="D235" i="6"/>
  <c r="C235" i="6"/>
  <c r="U235" i="6"/>
  <c r="B235" i="6"/>
  <c r="T236" i="6"/>
  <c r="S236" i="6"/>
  <c r="R236" i="6"/>
  <c r="Q236" i="6"/>
  <c r="P236" i="6"/>
  <c r="O236" i="6"/>
  <c r="N236" i="6"/>
  <c r="M236" i="6"/>
  <c r="L236" i="6"/>
  <c r="K236" i="6"/>
  <c r="J236" i="6"/>
  <c r="I236" i="6"/>
  <c r="H236" i="6"/>
  <c r="G236" i="6"/>
  <c r="F236" i="6"/>
  <c r="E236" i="6"/>
  <c r="D236" i="6"/>
  <c r="C236" i="6"/>
  <c r="U236" i="6"/>
  <c r="B236" i="6"/>
  <c r="T237" i="6"/>
  <c r="S237" i="6"/>
  <c r="R237" i="6"/>
  <c r="Q237" i="6"/>
  <c r="P237" i="6"/>
  <c r="O237" i="6"/>
  <c r="N237" i="6"/>
  <c r="M237" i="6"/>
  <c r="L237" i="6"/>
  <c r="K237" i="6"/>
  <c r="J237" i="6"/>
  <c r="I237" i="6"/>
  <c r="H237" i="6"/>
  <c r="G237" i="6"/>
  <c r="F237" i="6"/>
  <c r="E237" i="6"/>
  <c r="D237" i="6"/>
  <c r="C237" i="6"/>
  <c r="U237" i="6"/>
  <c r="B237" i="6"/>
  <c r="T238" i="6"/>
  <c r="S238" i="6"/>
  <c r="R238" i="6"/>
  <c r="Q238" i="6"/>
  <c r="P238" i="6"/>
  <c r="O238" i="6"/>
  <c r="N238" i="6"/>
  <c r="M238" i="6"/>
  <c r="L238" i="6"/>
  <c r="K238" i="6"/>
  <c r="J238" i="6"/>
  <c r="I238" i="6"/>
  <c r="H238" i="6"/>
  <c r="G238" i="6"/>
  <c r="F238" i="6"/>
  <c r="E238" i="6"/>
  <c r="D238" i="6"/>
  <c r="C238" i="6"/>
  <c r="U238" i="6"/>
  <c r="B238" i="6"/>
  <c r="T239" i="6"/>
  <c r="S239" i="6"/>
  <c r="R239" i="6"/>
  <c r="Q239" i="6"/>
  <c r="P239" i="6"/>
  <c r="O239" i="6"/>
  <c r="N239" i="6"/>
  <c r="M239" i="6"/>
  <c r="L239" i="6"/>
  <c r="K239" i="6"/>
  <c r="J239" i="6"/>
  <c r="I239" i="6"/>
  <c r="H239" i="6"/>
  <c r="G239" i="6"/>
  <c r="F239" i="6"/>
  <c r="E239" i="6"/>
  <c r="D239" i="6"/>
  <c r="C239" i="6"/>
  <c r="U239" i="6"/>
  <c r="B239" i="6"/>
  <c r="T240" i="6"/>
  <c r="S240" i="6"/>
  <c r="R240" i="6"/>
  <c r="Q240" i="6"/>
  <c r="P240" i="6"/>
  <c r="O240" i="6"/>
  <c r="N240" i="6"/>
  <c r="M240" i="6"/>
  <c r="L240" i="6"/>
  <c r="K240" i="6"/>
  <c r="J240" i="6"/>
  <c r="I240" i="6"/>
  <c r="H240" i="6"/>
  <c r="G240" i="6"/>
  <c r="F240" i="6"/>
  <c r="E240" i="6"/>
  <c r="D240" i="6"/>
  <c r="C240" i="6"/>
  <c r="U240" i="6"/>
  <c r="B240" i="6"/>
  <c r="T241" i="6"/>
  <c r="S241" i="6"/>
  <c r="R241" i="6"/>
  <c r="Q241" i="6"/>
  <c r="P241" i="6"/>
  <c r="O241" i="6"/>
  <c r="N241" i="6"/>
  <c r="M241" i="6"/>
  <c r="L241" i="6"/>
  <c r="K241" i="6"/>
  <c r="J241" i="6"/>
  <c r="I241" i="6"/>
  <c r="H241" i="6"/>
  <c r="G241" i="6"/>
  <c r="F241" i="6"/>
  <c r="E241" i="6"/>
  <c r="D241" i="6"/>
  <c r="C241" i="6"/>
  <c r="U241" i="6"/>
  <c r="B241" i="6"/>
  <c r="T242" i="6"/>
  <c r="S242" i="6"/>
  <c r="R242" i="6"/>
  <c r="Q242" i="6"/>
  <c r="P242" i="6"/>
  <c r="O242" i="6"/>
  <c r="N242" i="6"/>
  <c r="M242" i="6"/>
  <c r="L242" i="6"/>
  <c r="K242" i="6"/>
  <c r="J242" i="6"/>
  <c r="I242" i="6"/>
  <c r="H242" i="6"/>
  <c r="G242" i="6"/>
  <c r="F242" i="6"/>
  <c r="E242" i="6"/>
  <c r="D242" i="6"/>
  <c r="C242" i="6"/>
  <c r="U242" i="6"/>
  <c r="B242" i="6"/>
  <c r="T243" i="6"/>
  <c r="S243" i="6"/>
  <c r="R243" i="6"/>
  <c r="Q243" i="6"/>
  <c r="P243" i="6"/>
  <c r="O243" i="6"/>
  <c r="N243" i="6"/>
  <c r="M243" i="6"/>
  <c r="L243" i="6"/>
  <c r="K243" i="6"/>
  <c r="J243" i="6"/>
  <c r="I243" i="6"/>
  <c r="H243" i="6"/>
  <c r="G243" i="6"/>
  <c r="F243" i="6"/>
  <c r="E243" i="6"/>
  <c r="D243" i="6"/>
  <c r="C243" i="6"/>
  <c r="U243" i="6"/>
  <c r="B243" i="6"/>
  <c r="T244" i="6"/>
  <c r="S244" i="6"/>
  <c r="R244" i="6"/>
  <c r="Q244" i="6"/>
  <c r="P244" i="6"/>
  <c r="O244" i="6"/>
  <c r="N244" i="6"/>
  <c r="M244" i="6"/>
  <c r="L244" i="6"/>
  <c r="K244" i="6"/>
  <c r="J244" i="6"/>
  <c r="I244" i="6"/>
  <c r="H244" i="6"/>
  <c r="G244" i="6"/>
  <c r="F244" i="6"/>
  <c r="E244" i="6"/>
  <c r="D244" i="6"/>
  <c r="C244" i="6"/>
  <c r="U244" i="6"/>
  <c r="B244" i="6"/>
  <c r="T245" i="6"/>
  <c r="S245" i="6"/>
  <c r="R245" i="6"/>
  <c r="Q245" i="6"/>
  <c r="P245" i="6"/>
  <c r="O245" i="6"/>
  <c r="N245" i="6"/>
  <c r="M245" i="6"/>
  <c r="L245" i="6"/>
  <c r="K245" i="6"/>
  <c r="J245" i="6"/>
  <c r="I245" i="6"/>
  <c r="H245" i="6"/>
  <c r="G245" i="6"/>
  <c r="F245" i="6"/>
  <c r="E245" i="6"/>
  <c r="D245" i="6"/>
  <c r="C245" i="6"/>
  <c r="U245" i="6"/>
  <c r="B245" i="6"/>
  <c r="T246" i="6"/>
  <c r="S246" i="6"/>
  <c r="R246" i="6"/>
  <c r="Q246" i="6"/>
  <c r="P246" i="6"/>
  <c r="O246" i="6"/>
  <c r="N246" i="6"/>
  <c r="M246" i="6"/>
  <c r="L246" i="6"/>
  <c r="K246" i="6"/>
  <c r="J246" i="6"/>
  <c r="I246" i="6"/>
  <c r="H246" i="6"/>
  <c r="G246" i="6"/>
  <c r="F246" i="6"/>
  <c r="E246" i="6"/>
  <c r="D246" i="6"/>
  <c r="C246" i="6"/>
  <c r="U246" i="6"/>
  <c r="B246" i="6"/>
  <c r="T247" i="6"/>
  <c r="S247" i="6"/>
  <c r="R247" i="6"/>
  <c r="Q247" i="6"/>
  <c r="P247" i="6"/>
  <c r="O247" i="6"/>
  <c r="N247" i="6"/>
  <c r="M247" i="6"/>
  <c r="L247" i="6"/>
  <c r="K247" i="6"/>
  <c r="J247" i="6"/>
  <c r="I247" i="6"/>
  <c r="H247" i="6"/>
  <c r="G247" i="6"/>
  <c r="F247" i="6"/>
  <c r="E247" i="6"/>
  <c r="D247" i="6"/>
  <c r="C247" i="6"/>
  <c r="U247" i="6"/>
  <c r="B247" i="6"/>
  <c r="T248" i="6"/>
  <c r="S248" i="6"/>
  <c r="R248" i="6"/>
  <c r="Q248" i="6"/>
  <c r="P248" i="6"/>
  <c r="O248" i="6"/>
  <c r="N248" i="6"/>
  <c r="M248" i="6"/>
  <c r="L248" i="6"/>
  <c r="K248" i="6"/>
  <c r="J248" i="6"/>
  <c r="I248" i="6"/>
  <c r="H248" i="6"/>
  <c r="G248" i="6"/>
  <c r="F248" i="6"/>
  <c r="E248" i="6"/>
  <c r="D248" i="6"/>
  <c r="C248" i="6"/>
  <c r="U248" i="6"/>
  <c r="B248" i="6"/>
  <c r="T249" i="6"/>
  <c r="S249" i="6"/>
  <c r="R249" i="6"/>
  <c r="Q249" i="6"/>
  <c r="P249" i="6"/>
  <c r="O249" i="6"/>
  <c r="N249" i="6"/>
  <c r="M249" i="6"/>
  <c r="L249" i="6"/>
  <c r="K249" i="6"/>
  <c r="J249" i="6"/>
  <c r="I249" i="6"/>
  <c r="H249" i="6"/>
  <c r="G249" i="6"/>
  <c r="F249" i="6"/>
  <c r="E249" i="6"/>
  <c r="D249" i="6"/>
  <c r="C249" i="6"/>
  <c r="U249" i="6"/>
  <c r="B249" i="6"/>
  <c r="T250" i="6"/>
  <c r="S250" i="6"/>
  <c r="R250" i="6"/>
  <c r="Q250" i="6"/>
  <c r="P250" i="6"/>
  <c r="O250" i="6"/>
  <c r="N250" i="6"/>
  <c r="M250" i="6"/>
  <c r="L250" i="6"/>
  <c r="K250" i="6"/>
  <c r="J250" i="6"/>
  <c r="I250" i="6"/>
  <c r="H250" i="6"/>
  <c r="G250" i="6"/>
  <c r="F250" i="6"/>
  <c r="E250" i="6"/>
  <c r="D250" i="6"/>
  <c r="C250" i="6"/>
  <c r="U250" i="6"/>
  <c r="B250" i="6"/>
  <c r="T251" i="6"/>
  <c r="S251" i="6"/>
  <c r="R251" i="6"/>
  <c r="Q251" i="6"/>
  <c r="P251" i="6"/>
  <c r="O251" i="6"/>
  <c r="N251" i="6"/>
  <c r="M251" i="6"/>
  <c r="L251" i="6"/>
  <c r="K251" i="6"/>
  <c r="J251" i="6"/>
  <c r="I251" i="6"/>
  <c r="H251" i="6"/>
  <c r="G251" i="6"/>
  <c r="F251" i="6"/>
  <c r="E251" i="6"/>
  <c r="D251" i="6"/>
  <c r="C251" i="6"/>
  <c r="U251" i="6"/>
  <c r="B251" i="6"/>
  <c r="T252" i="6"/>
  <c r="S252" i="6"/>
  <c r="R252" i="6"/>
  <c r="Q252" i="6"/>
  <c r="P252" i="6"/>
  <c r="O252" i="6"/>
  <c r="N252" i="6"/>
  <c r="M252" i="6"/>
  <c r="L252" i="6"/>
  <c r="K252" i="6"/>
  <c r="J252" i="6"/>
  <c r="I252" i="6"/>
  <c r="H252" i="6"/>
  <c r="G252" i="6"/>
  <c r="F252" i="6"/>
  <c r="E252" i="6"/>
  <c r="D252" i="6"/>
  <c r="C252" i="6"/>
  <c r="U252" i="6"/>
  <c r="B252" i="6"/>
  <c r="T253" i="6"/>
  <c r="S253" i="6"/>
  <c r="R253" i="6"/>
  <c r="Q253" i="6"/>
  <c r="P253" i="6"/>
  <c r="O253" i="6"/>
  <c r="N253" i="6"/>
  <c r="M253" i="6"/>
  <c r="L253" i="6"/>
  <c r="K253" i="6"/>
  <c r="J253" i="6"/>
  <c r="I253" i="6"/>
  <c r="H253" i="6"/>
  <c r="G253" i="6"/>
  <c r="F253" i="6"/>
  <c r="E253" i="6"/>
  <c r="D253" i="6"/>
  <c r="C253" i="6"/>
  <c r="U253" i="6"/>
  <c r="B253" i="6"/>
  <c r="T254" i="6"/>
  <c r="S254" i="6"/>
  <c r="R254" i="6"/>
  <c r="Q254" i="6"/>
  <c r="P254" i="6"/>
  <c r="O254" i="6"/>
  <c r="N254" i="6"/>
  <c r="M254" i="6"/>
  <c r="L254" i="6"/>
  <c r="K254" i="6"/>
  <c r="J254" i="6"/>
  <c r="I254" i="6"/>
  <c r="H254" i="6"/>
  <c r="G254" i="6"/>
  <c r="F254" i="6"/>
  <c r="E254" i="6"/>
  <c r="D254" i="6"/>
  <c r="C254" i="6"/>
  <c r="U254" i="6"/>
  <c r="B254" i="6"/>
  <c r="T255" i="6"/>
  <c r="S255" i="6"/>
  <c r="R255" i="6"/>
  <c r="Q255" i="6"/>
  <c r="P255" i="6"/>
  <c r="O255" i="6"/>
  <c r="N255" i="6"/>
  <c r="M255" i="6"/>
  <c r="L255" i="6"/>
  <c r="K255" i="6"/>
  <c r="J255" i="6"/>
  <c r="I255" i="6"/>
  <c r="H255" i="6"/>
  <c r="G255" i="6"/>
  <c r="F255" i="6"/>
  <c r="E255" i="6"/>
  <c r="D255" i="6"/>
  <c r="C255" i="6"/>
  <c r="U255" i="6"/>
  <c r="B255" i="6"/>
  <c r="T256" i="6"/>
  <c r="S256" i="6"/>
  <c r="R256" i="6"/>
  <c r="Q256" i="6"/>
  <c r="P256" i="6"/>
  <c r="O256" i="6"/>
  <c r="N256" i="6"/>
  <c r="M256" i="6"/>
  <c r="L256" i="6"/>
  <c r="K256" i="6"/>
  <c r="J256" i="6"/>
  <c r="I256" i="6"/>
  <c r="H256" i="6"/>
  <c r="G256" i="6"/>
  <c r="F256" i="6"/>
  <c r="E256" i="6"/>
  <c r="D256" i="6"/>
  <c r="C256" i="6"/>
  <c r="U256" i="6"/>
  <c r="B256" i="6"/>
  <c r="T257" i="6"/>
  <c r="S257" i="6"/>
  <c r="R257" i="6"/>
  <c r="Q257" i="6"/>
  <c r="P257" i="6"/>
  <c r="O257" i="6"/>
  <c r="N257" i="6"/>
  <c r="M257" i="6"/>
  <c r="L257" i="6"/>
  <c r="K257" i="6"/>
  <c r="J257" i="6"/>
  <c r="I257" i="6"/>
  <c r="H257" i="6"/>
  <c r="G257" i="6"/>
  <c r="F257" i="6"/>
  <c r="E257" i="6"/>
  <c r="D257" i="6"/>
  <c r="C257" i="6"/>
  <c r="U257" i="6"/>
  <c r="B257" i="6"/>
  <c r="T258" i="6"/>
  <c r="S258" i="6"/>
  <c r="R258" i="6"/>
  <c r="Q258" i="6"/>
  <c r="P258" i="6"/>
  <c r="O258" i="6"/>
  <c r="N258" i="6"/>
  <c r="M258" i="6"/>
  <c r="L258" i="6"/>
  <c r="K258" i="6"/>
  <c r="J258" i="6"/>
  <c r="I258" i="6"/>
  <c r="H258" i="6"/>
  <c r="G258" i="6"/>
  <c r="F258" i="6"/>
  <c r="E258" i="6"/>
  <c r="D258" i="6"/>
  <c r="C258" i="6"/>
  <c r="U258" i="6"/>
  <c r="B258" i="6"/>
  <c r="T259" i="6"/>
  <c r="S259" i="6"/>
  <c r="R259" i="6"/>
  <c r="Q259" i="6"/>
  <c r="P259" i="6"/>
  <c r="O259" i="6"/>
  <c r="N259" i="6"/>
  <c r="M259" i="6"/>
  <c r="L259" i="6"/>
  <c r="K259" i="6"/>
  <c r="J259" i="6"/>
  <c r="I259" i="6"/>
  <c r="H259" i="6"/>
  <c r="G259" i="6"/>
  <c r="F259" i="6"/>
  <c r="E259" i="6"/>
  <c r="D259" i="6"/>
  <c r="C259" i="6"/>
  <c r="U259" i="6"/>
  <c r="B259" i="6"/>
  <c r="T260" i="6"/>
  <c r="S260" i="6"/>
  <c r="R260" i="6"/>
  <c r="Q260" i="6"/>
  <c r="P260" i="6"/>
  <c r="O260" i="6"/>
  <c r="N260" i="6"/>
  <c r="M260" i="6"/>
  <c r="L260" i="6"/>
  <c r="K260" i="6"/>
  <c r="J260" i="6"/>
  <c r="I260" i="6"/>
  <c r="H260" i="6"/>
  <c r="G260" i="6"/>
  <c r="F260" i="6"/>
  <c r="E260" i="6"/>
  <c r="D260" i="6"/>
  <c r="C260" i="6"/>
  <c r="U260" i="6"/>
  <c r="B260" i="6"/>
  <c r="T261" i="6"/>
  <c r="S261" i="6"/>
  <c r="R261" i="6"/>
  <c r="Q261" i="6"/>
  <c r="P261" i="6"/>
  <c r="O261" i="6"/>
  <c r="N261" i="6"/>
  <c r="M261" i="6"/>
  <c r="L261" i="6"/>
  <c r="K261" i="6"/>
  <c r="J261" i="6"/>
  <c r="I261" i="6"/>
  <c r="H261" i="6"/>
  <c r="G261" i="6"/>
  <c r="F261" i="6"/>
  <c r="E261" i="6"/>
  <c r="D261" i="6"/>
  <c r="C261" i="6"/>
  <c r="U261" i="6"/>
  <c r="B261" i="6"/>
  <c r="T262" i="6"/>
  <c r="S262" i="6"/>
  <c r="R262" i="6"/>
  <c r="Q262" i="6"/>
  <c r="P262" i="6"/>
  <c r="O262" i="6"/>
  <c r="N262" i="6"/>
  <c r="M262" i="6"/>
  <c r="L262" i="6"/>
  <c r="K262" i="6"/>
  <c r="J262" i="6"/>
  <c r="I262" i="6"/>
  <c r="H262" i="6"/>
  <c r="G262" i="6"/>
  <c r="F262" i="6"/>
  <c r="E262" i="6"/>
  <c r="D262" i="6"/>
  <c r="C262" i="6"/>
  <c r="U262" i="6"/>
  <c r="B262" i="6"/>
  <c r="T263" i="6"/>
  <c r="S263" i="6"/>
  <c r="R263" i="6"/>
  <c r="Q263" i="6"/>
  <c r="P263" i="6"/>
  <c r="O263" i="6"/>
  <c r="N263" i="6"/>
  <c r="M263" i="6"/>
  <c r="L263" i="6"/>
  <c r="K263" i="6"/>
  <c r="J263" i="6"/>
  <c r="I263" i="6"/>
  <c r="H263" i="6"/>
  <c r="G263" i="6"/>
  <c r="F263" i="6"/>
  <c r="E263" i="6"/>
  <c r="D263" i="6"/>
  <c r="C263" i="6"/>
  <c r="U263" i="6"/>
  <c r="B263" i="6"/>
  <c r="T264" i="6"/>
  <c r="S264" i="6"/>
  <c r="R264" i="6"/>
  <c r="Q264" i="6"/>
  <c r="P264" i="6"/>
  <c r="O264" i="6"/>
  <c r="N264" i="6"/>
  <c r="M264" i="6"/>
  <c r="L264" i="6"/>
  <c r="K264" i="6"/>
  <c r="J264" i="6"/>
  <c r="I264" i="6"/>
  <c r="H264" i="6"/>
  <c r="G264" i="6"/>
  <c r="F264" i="6"/>
  <c r="E264" i="6"/>
  <c r="D264" i="6"/>
  <c r="C264" i="6"/>
  <c r="U264" i="6"/>
  <c r="B264" i="6"/>
  <c r="T265" i="6"/>
  <c r="S265" i="6"/>
  <c r="R265" i="6"/>
  <c r="Q265" i="6"/>
  <c r="P265" i="6"/>
  <c r="O265" i="6"/>
  <c r="N265" i="6"/>
  <c r="M265" i="6"/>
  <c r="L265" i="6"/>
  <c r="K265" i="6"/>
  <c r="J265" i="6"/>
  <c r="I265" i="6"/>
  <c r="H265" i="6"/>
  <c r="G265" i="6"/>
  <c r="F265" i="6"/>
  <c r="E265" i="6"/>
  <c r="D265" i="6"/>
  <c r="C265" i="6"/>
  <c r="U265" i="6"/>
  <c r="B265" i="6"/>
  <c r="T266" i="6"/>
  <c r="S266" i="6"/>
  <c r="R266" i="6"/>
  <c r="Q266" i="6"/>
  <c r="P266" i="6"/>
  <c r="O266" i="6"/>
  <c r="N266" i="6"/>
  <c r="M266" i="6"/>
  <c r="L266" i="6"/>
  <c r="K266" i="6"/>
  <c r="J266" i="6"/>
  <c r="I266" i="6"/>
  <c r="H266" i="6"/>
  <c r="G266" i="6"/>
  <c r="F266" i="6"/>
  <c r="E266" i="6"/>
  <c r="D266" i="6"/>
  <c r="C266" i="6"/>
  <c r="U266" i="6"/>
  <c r="B266" i="6"/>
  <c r="T267" i="6"/>
  <c r="S267" i="6"/>
  <c r="R267" i="6"/>
  <c r="Q267" i="6"/>
  <c r="P267" i="6"/>
  <c r="O267" i="6"/>
  <c r="N267" i="6"/>
  <c r="M267" i="6"/>
  <c r="L267" i="6"/>
  <c r="K267" i="6"/>
  <c r="J267" i="6"/>
  <c r="I267" i="6"/>
  <c r="H267" i="6"/>
  <c r="G267" i="6"/>
  <c r="F267" i="6"/>
  <c r="E267" i="6"/>
  <c r="D267" i="6"/>
  <c r="C267" i="6"/>
  <c r="U267" i="6"/>
  <c r="B267" i="6"/>
  <c r="T268" i="6"/>
  <c r="S268" i="6"/>
  <c r="R268" i="6"/>
  <c r="Q268" i="6"/>
  <c r="P268" i="6"/>
  <c r="O268" i="6"/>
  <c r="N268" i="6"/>
  <c r="M268" i="6"/>
  <c r="L268" i="6"/>
  <c r="K268" i="6"/>
  <c r="J268" i="6"/>
  <c r="I268" i="6"/>
  <c r="H268" i="6"/>
  <c r="G268" i="6"/>
  <c r="F268" i="6"/>
  <c r="E268" i="6"/>
  <c r="D268" i="6"/>
  <c r="C268" i="6"/>
  <c r="U268" i="6"/>
  <c r="B268" i="6"/>
  <c r="T269" i="6"/>
  <c r="S269" i="6"/>
  <c r="R269" i="6"/>
  <c r="Q269" i="6"/>
  <c r="P269" i="6"/>
  <c r="O269" i="6"/>
  <c r="N269" i="6"/>
  <c r="M269" i="6"/>
  <c r="L269" i="6"/>
  <c r="K269" i="6"/>
  <c r="J269" i="6"/>
  <c r="I269" i="6"/>
  <c r="H269" i="6"/>
  <c r="G269" i="6"/>
  <c r="F269" i="6"/>
  <c r="E269" i="6"/>
  <c r="D269" i="6"/>
  <c r="C269" i="6"/>
  <c r="U269" i="6"/>
  <c r="B269" i="6"/>
  <c r="T270" i="6"/>
  <c r="S270" i="6"/>
  <c r="R270" i="6"/>
  <c r="Q270" i="6"/>
  <c r="P270" i="6"/>
  <c r="O270" i="6"/>
  <c r="N270" i="6"/>
  <c r="M270" i="6"/>
  <c r="L270" i="6"/>
  <c r="K270" i="6"/>
  <c r="J270" i="6"/>
  <c r="I270" i="6"/>
  <c r="H270" i="6"/>
  <c r="G270" i="6"/>
  <c r="F270" i="6"/>
  <c r="E270" i="6"/>
  <c r="D270" i="6"/>
  <c r="C270" i="6"/>
  <c r="U270" i="6"/>
  <c r="B270" i="6"/>
  <c r="T271" i="6"/>
  <c r="S271" i="6"/>
  <c r="R271" i="6"/>
  <c r="Q271" i="6"/>
  <c r="P271" i="6"/>
  <c r="O271" i="6"/>
  <c r="N271" i="6"/>
  <c r="M271" i="6"/>
  <c r="L271" i="6"/>
  <c r="K271" i="6"/>
  <c r="J271" i="6"/>
  <c r="I271" i="6"/>
  <c r="H271" i="6"/>
  <c r="G271" i="6"/>
  <c r="F271" i="6"/>
  <c r="E271" i="6"/>
  <c r="D271" i="6"/>
  <c r="C271" i="6"/>
  <c r="U271" i="6"/>
  <c r="B271" i="6"/>
  <c r="T272" i="6"/>
  <c r="S272" i="6"/>
  <c r="R272" i="6"/>
  <c r="Q272" i="6"/>
  <c r="P272" i="6"/>
  <c r="O272" i="6"/>
  <c r="N272" i="6"/>
  <c r="M272" i="6"/>
  <c r="L272" i="6"/>
  <c r="K272" i="6"/>
  <c r="J272" i="6"/>
  <c r="I272" i="6"/>
  <c r="H272" i="6"/>
  <c r="G272" i="6"/>
  <c r="F272" i="6"/>
  <c r="E272" i="6"/>
  <c r="D272" i="6"/>
  <c r="C272" i="6"/>
  <c r="U272" i="6"/>
  <c r="B272" i="6"/>
  <c r="T273" i="6"/>
  <c r="S273" i="6"/>
  <c r="R273" i="6"/>
  <c r="Q273" i="6"/>
  <c r="P273" i="6"/>
  <c r="O273" i="6"/>
  <c r="N273" i="6"/>
  <c r="M273" i="6"/>
  <c r="L273" i="6"/>
  <c r="K273" i="6"/>
  <c r="J273" i="6"/>
  <c r="I273" i="6"/>
  <c r="H273" i="6"/>
  <c r="G273" i="6"/>
  <c r="F273" i="6"/>
  <c r="E273" i="6"/>
  <c r="D273" i="6"/>
  <c r="C273" i="6"/>
  <c r="U273" i="6"/>
  <c r="B273" i="6"/>
  <c r="T274" i="6"/>
  <c r="S274" i="6"/>
  <c r="R274" i="6"/>
  <c r="Q274" i="6"/>
  <c r="P274" i="6"/>
  <c r="O274" i="6"/>
  <c r="N274" i="6"/>
  <c r="M274" i="6"/>
  <c r="L274" i="6"/>
  <c r="K274" i="6"/>
  <c r="J274" i="6"/>
  <c r="I274" i="6"/>
  <c r="H274" i="6"/>
  <c r="G274" i="6"/>
  <c r="F274" i="6"/>
  <c r="E274" i="6"/>
  <c r="D274" i="6"/>
  <c r="C274" i="6"/>
  <c r="U274" i="6"/>
  <c r="B274" i="6"/>
  <c r="T275" i="6"/>
  <c r="S275" i="6"/>
  <c r="R275" i="6"/>
  <c r="Q275" i="6"/>
  <c r="P275" i="6"/>
  <c r="O275" i="6"/>
  <c r="N275" i="6"/>
  <c r="M275" i="6"/>
  <c r="L275" i="6"/>
  <c r="K275" i="6"/>
  <c r="J275" i="6"/>
  <c r="I275" i="6"/>
  <c r="H275" i="6"/>
  <c r="G275" i="6"/>
  <c r="F275" i="6"/>
  <c r="E275" i="6"/>
  <c r="D275" i="6"/>
  <c r="C275" i="6"/>
  <c r="U275" i="6"/>
  <c r="B275" i="6"/>
  <c r="T276" i="6"/>
  <c r="S276" i="6"/>
  <c r="R276" i="6"/>
  <c r="Q276" i="6"/>
  <c r="P276" i="6"/>
  <c r="O276" i="6"/>
  <c r="N276" i="6"/>
  <c r="M276" i="6"/>
  <c r="L276" i="6"/>
  <c r="K276" i="6"/>
  <c r="J276" i="6"/>
  <c r="I276" i="6"/>
  <c r="H276" i="6"/>
  <c r="G276" i="6"/>
  <c r="F276" i="6"/>
  <c r="E276" i="6"/>
  <c r="D276" i="6"/>
  <c r="C276" i="6"/>
  <c r="U276" i="6"/>
  <c r="B276" i="6"/>
  <c r="T277" i="6"/>
  <c r="S277" i="6"/>
  <c r="R277" i="6"/>
  <c r="Q277" i="6"/>
  <c r="P277" i="6"/>
  <c r="O277" i="6"/>
  <c r="N277" i="6"/>
  <c r="M277" i="6"/>
  <c r="L277" i="6"/>
  <c r="K277" i="6"/>
  <c r="J277" i="6"/>
  <c r="I277" i="6"/>
  <c r="H277" i="6"/>
  <c r="G277" i="6"/>
  <c r="F277" i="6"/>
  <c r="E277" i="6"/>
  <c r="D277" i="6"/>
  <c r="C277" i="6"/>
  <c r="U277" i="6"/>
  <c r="B277" i="6"/>
  <c r="T278" i="6"/>
  <c r="S278" i="6"/>
  <c r="R278" i="6"/>
  <c r="Q278" i="6"/>
  <c r="P278" i="6"/>
  <c r="O278" i="6"/>
  <c r="N278" i="6"/>
  <c r="M278" i="6"/>
  <c r="L278" i="6"/>
  <c r="K278" i="6"/>
  <c r="J278" i="6"/>
  <c r="I278" i="6"/>
  <c r="H278" i="6"/>
  <c r="G278" i="6"/>
  <c r="F278" i="6"/>
  <c r="E278" i="6"/>
  <c r="D278" i="6"/>
  <c r="C278" i="6"/>
  <c r="U278" i="6"/>
  <c r="B278" i="6"/>
  <c r="T279" i="6"/>
  <c r="S279" i="6"/>
  <c r="R279" i="6"/>
  <c r="Q279" i="6"/>
  <c r="P279" i="6"/>
  <c r="O279" i="6"/>
  <c r="N279" i="6"/>
  <c r="M279" i="6"/>
  <c r="L279" i="6"/>
  <c r="K279" i="6"/>
  <c r="J279" i="6"/>
  <c r="I279" i="6"/>
  <c r="H279" i="6"/>
  <c r="G279" i="6"/>
  <c r="F279" i="6"/>
  <c r="E279" i="6"/>
  <c r="D279" i="6"/>
  <c r="C279" i="6"/>
  <c r="U279" i="6"/>
  <c r="B279" i="6"/>
  <c r="T280" i="6"/>
  <c r="S280" i="6"/>
  <c r="R280" i="6"/>
  <c r="Q280" i="6"/>
  <c r="P280" i="6"/>
  <c r="O280" i="6"/>
  <c r="N280" i="6"/>
  <c r="M280" i="6"/>
  <c r="L280" i="6"/>
  <c r="K280" i="6"/>
  <c r="J280" i="6"/>
  <c r="I280" i="6"/>
  <c r="H280" i="6"/>
  <c r="G280" i="6"/>
  <c r="F280" i="6"/>
  <c r="E280" i="6"/>
  <c r="D280" i="6"/>
  <c r="C280" i="6"/>
  <c r="U280" i="6"/>
  <c r="B280" i="6"/>
  <c r="T281" i="6"/>
  <c r="S281" i="6"/>
  <c r="R281" i="6"/>
  <c r="Q281" i="6"/>
  <c r="P281" i="6"/>
  <c r="O281" i="6"/>
  <c r="N281" i="6"/>
  <c r="M281" i="6"/>
  <c r="L281" i="6"/>
  <c r="K281" i="6"/>
  <c r="J281" i="6"/>
  <c r="I281" i="6"/>
  <c r="H281" i="6"/>
  <c r="G281" i="6"/>
  <c r="F281" i="6"/>
  <c r="E281" i="6"/>
  <c r="D281" i="6"/>
  <c r="C281" i="6"/>
  <c r="U281" i="6"/>
  <c r="B281" i="6"/>
  <c r="T282" i="6"/>
  <c r="S282" i="6"/>
  <c r="R282" i="6"/>
  <c r="Q282" i="6"/>
  <c r="P282" i="6"/>
  <c r="O282" i="6"/>
  <c r="N282" i="6"/>
  <c r="M282" i="6"/>
  <c r="L282" i="6"/>
  <c r="K282" i="6"/>
  <c r="J282" i="6"/>
  <c r="I282" i="6"/>
  <c r="H282" i="6"/>
  <c r="G282" i="6"/>
  <c r="F282" i="6"/>
  <c r="E282" i="6"/>
  <c r="D282" i="6"/>
  <c r="C282" i="6"/>
  <c r="U282" i="6"/>
  <c r="B282" i="6"/>
  <c r="T283" i="6"/>
  <c r="S283" i="6"/>
  <c r="R283" i="6"/>
  <c r="Q283" i="6"/>
  <c r="P283" i="6"/>
  <c r="O283" i="6"/>
  <c r="N283" i="6"/>
  <c r="M283" i="6"/>
  <c r="L283" i="6"/>
  <c r="K283" i="6"/>
  <c r="J283" i="6"/>
  <c r="I283" i="6"/>
  <c r="H283" i="6"/>
  <c r="G283" i="6"/>
  <c r="F283" i="6"/>
  <c r="E283" i="6"/>
  <c r="D283" i="6"/>
  <c r="C283" i="6"/>
  <c r="U283" i="6"/>
  <c r="B283" i="6"/>
  <c r="T284" i="6"/>
  <c r="S284" i="6"/>
  <c r="R284" i="6"/>
  <c r="Q284" i="6"/>
  <c r="P284" i="6"/>
  <c r="O284" i="6"/>
  <c r="N284" i="6"/>
  <c r="M284" i="6"/>
  <c r="L284" i="6"/>
  <c r="K284" i="6"/>
  <c r="J284" i="6"/>
  <c r="I284" i="6"/>
  <c r="H284" i="6"/>
  <c r="G284" i="6"/>
  <c r="F284" i="6"/>
  <c r="E284" i="6"/>
  <c r="D284" i="6"/>
  <c r="C284" i="6"/>
  <c r="U284" i="6"/>
  <c r="B284" i="6"/>
  <c r="T285" i="6"/>
  <c r="S285" i="6"/>
  <c r="R285" i="6"/>
  <c r="Q285" i="6"/>
  <c r="P285" i="6"/>
  <c r="O285" i="6"/>
  <c r="N285" i="6"/>
  <c r="M285" i="6"/>
  <c r="L285" i="6"/>
  <c r="K285" i="6"/>
  <c r="J285" i="6"/>
  <c r="I285" i="6"/>
  <c r="H285" i="6"/>
  <c r="G285" i="6"/>
  <c r="F285" i="6"/>
  <c r="E285" i="6"/>
  <c r="D285" i="6"/>
  <c r="C285" i="6"/>
  <c r="U285" i="6"/>
  <c r="B285" i="6"/>
  <c r="T286" i="6"/>
  <c r="S286" i="6"/>
  <c r="R286" i="6"/>
  <c r="Q286" i="6"/>
  <c r="P286" i="6"/>
  <c r="O286" i="6"/>
  <c r="N286" i="6"/>
  <c r="M286" i="6"/>
  <c r="L286" i="6"/>
  <c r="K286" i="6"/>
  <c r="J286" i="6"/>
  <c r="I286" i="6"/>
  <c r="H286" i="6"/>
  <c r="G286" i="6"/>
  <c r="F286" i="6"/>
  <c r="E286" i="6"/>
  <c r="D286" i="6"/>
  <c r="C286" i="6"/>
  <c r="U286" i="6"/>
  <c r="B286" i="6"/>
  <c r="T287" i="6"/>
  <c r="S287" i="6"/>
  <c r="R287" i="6"/>
  <c r="Q287" i="6"/>
  <c r="P287" i="6"/>
  <c r="O287" i="6"/>
  <c r="N287" i="6"/>
  <c r="M287" i="6"/>
  <c r="L287" i="6"/>
  <c r="K287" i="6"/>
  <c r="J287" i="6"/>
  <c r="I287" i="6"/>
  <c r="H287" i="6"/>
  <c r="G287" i="6"/>
  <c r="F287" i="6"/>
  <c r="E287" i="6"/>
  <c r="D287" i="6"/>
  <c r="C287" i="6"/>
  <c r="U287" i="6"/>
  <c r="B287" i="6"/>
  <c r="T288" i="6"/>
  <c r="S288" i="6"/>
  <c r="R288" i="6"/>
  <c r="Q288" i="6"/>
  <c r="P288" i="6"/>
  <c r="O288" i="6"/>
  <c r="N288" i="6"/>
  <c r="M288" i="6"/>
  <c r="L288" i="6"/>
  <c r="K288" i="6"/>
  <c r="J288" i="6"/>
  <c r="I288" i="6"/>
  <c r="H288" i="6"/>
  <c r="G288" i="6"/>
  <c r="F288" i="6"/>
  <c r="E288" i="6"/>
  <c r="D288" i="6"/>
  <c r="C288" i="6"/>
  <c r="U288" i="6"/>
  <c r="B288" i="6"/>
  <c r="T289" i="6"/>
  <c r="S289" i="6"/>
  <c r="R289" i="6"/>
  <c r="Q289" i="6"/>
  <c r="P289" i="6"/>
  <c r="O289" i="6"/>
  <c r="N289" i="6"/>
  <c r="M289" i="6"/>
  <c r="L289" i="6"/>
  <c r="K289" i="6"/>
  <c r="J289" i="6"/>
  <c r="I289" i="6"/>
  <c r="H289" i="6"/>
  <c r="G289" i="6"/>
  <c r="F289" i="6"/>
  <c r="E289" i="6"/>
  <c r="D289" i="6"/>
  <c r="C289" i="6"/>
  <c r="U289" i="6"/>
  <c r="B289" i="6"/>
  <c r="T290" i="6"/>
  <c r="S290" i="6"/>
  <c r="R290" i="6"/>
  <c r="Q290" i="6"/>
  <c r="P290" i="6"/>
  <c r="O290" i="6"/>
  <c r="N290" i="6"/>
  <c r="M290" i="6"/>
  <c r="L290" i="6"/>
  <c r="K290" i="6"/>
  <c r="J290" i="6"/>
  <c r="I290" i="6"/>
  <c r="H290" i="6"/>
  <c r="G290" i="6"/>
  <c r="F290" i="6"/>
  <c r="E290" i="6"/>
  <c r="D290" i="6"/>
  <c r="C290" i="6"/>
  <c r="U290" i="6"/>
  <c r="B290" i="6"/>
  <c r="T291" i="6"/>
  <c r="S291" i="6"/>
  <c r="R291" i="6"/>
  <c r="Q291" i="6"/>
  <c r="P291" i="6"/>
  <c r="O291" i="6"/>
  <c r="N291" i="6"/>
  <c r="M291" i="6"/>
  <c r="L291" i="6"/>
  <c r="K291" i="6"/>
  <c r="J291" i="6"/>
  <c r="I291" i="6"/>
  <c r="H291" i="6"/>
  <c r="G291" i="6"/>
  <c r="F291" i="6"/>
  <c r="E291" i="6"/>
  <c r="D291" i="6"/>
  <c r="C291" i="6"/>
  <c r="U291" i="6"/>
  <c r="B291" i="6"/>
  <c r="T292" i="6"/>
  <c r="S292" i="6"/>
  <c r="R292" i="6"/>
  <c r="Q292" i="6"/>
  <c r="P292" i="6"/>
  <c r="O292" i="6"/>
  <c r="N292" i="6"/>
  <c r="M292" i="6"/>
  <c r="L292" i="6"/>
  <c r="K292" i="6"/>
  <c r="J292" i="6"/>
  <c r="I292" i="6"/>
  <c r="H292" i="6"/>
  <c r="G292" i="6"/>
  <c r="F292" i="6"/>
  <c r="E292" i="6"/>
  <c r="D292" i="6"/>
  <c r="C292" i="6"/>
  <c r="U292" i="6"/>
  <c r="B292" i="6"/>
  <c r="T293" i="6"/>
  <c r="S293" i="6"/>
  <c r="R293" i="6"/>
  <c r="Q293" i="6"/>
  <c r="P293" i="6"/>
  <c r="O293" i="6"/>
  <c r="N293" i="6"/>
  <c r="M293" i="6"/>
  <c r="L293" i="6"/>
  <c r="K293" i="6"/>
  <c r="J293" i="6"/>
  <c r="I293" i="6"/>
  <c r="H293" i="6"/>
  <c r="G293" i="6"/>
  <c r="F293" i="6"/>
  <c r="E293" i="6"/>
  <c r="D293" i="6"/>
  <c r="C293" i="6"/>
  <c r="U293" i="6"/>
  <c r="B293" i="6"/>
  <c r="T294" i="6"/>
  <c r="S294" i="6"/>
  <c r="R294" i="6"/>
  <c r="Q294" i="6"/>
  <c r="P294" i="6"/>
  <c r="O294" i="6"/>
  <c r="N294" i="6"/>
  <c r="M294" i="6"/>
  <c r="L294" i="6"/>
  <c r="K294" i="6"/>
  <c r="J294" i="6"/>
  <c r="I294" i="6"/>
  <c r="H294" i="6"/>
  <c r="G294" i="6"/>
  <c r="F294" i="6"/>
  <c r="E294" i="6"/>
  <c r="D294" i="6"/>
  <c r="C294" i="6"/>
  <c r="U294" i="6"/>
  <c r="B294" i="6"/>
  <c r="T295" i="6"/>
  <c r="S295" i="6"/>
  <c r="R295" i="6"/>
  <c r="Q295" i="6"/>
  <c r="P295" i="6"/>
  <c r="O295" i="6"/>
  <c r="N295" i="6"/>
  <c r="M295" i="6"/>
  <c r="L295" i="6"/>
  <c r="K295" i="6"/>
  <c r="J295" i="6"/>
  <c r="I295" i="6"/>
  <c r="H295" i="6"/>
  <c r="G295" i="6"/>
  <c r="F295" i="6"/>
  <c r="E295" i="6"/>
  <c r="D295" i="6"/>
  <c r="C295" i="6"/>
  <c r="U295" i="6"/>
  <c r="B295" i="6"/>
  <c r="T296" i="6"/>
  <c r="S296" i="6"/>
  <c r="R296" i="6"/>
  <c r="Q296" i="6"/>
  <c r="P296" i="6"/>
  <c r="O296" i="6"/>
  <c r="N296" i="6"/>
  <c r="M296" i="6"/>
  <c r="L296" i="6"/>
  <c r="K296" i="6"/>
  <c r="J296" i="6"/>
  <c r="I296" i="6"/>
  <c r="H296" i="6"/>
  <c r="G296" i="6"/>
  <c r="F296" i="6"/>
  <c r="E296" i="6"/>
  <c r="D296" i="6"/>
  <c r="C296" i="6"/>
  <c r="U296" i="6"/>
  <c r="B296" i="6"/>
  <c r="T297" i="6"/>
  <c r="S297" i="6"/>
  <c r="R297" i="6"/>
  <c r="Q297" i="6"/>
  <c r="P297" i="6"/>
  <c r="O297" i="6"/>
  <c r="N297" i="6"/>
  <c r="M297" i="6"/>
  <c r="L297" i="6"/>
  <c r="K297" i="6"/>
  <c r="J297" i="6"/>
  <c r="I297" i="6"/>
  <c r="H297" i="6"/>
  <c r="G297" i="6"/>
  <c r="F297" i="6"/>
  <c r="E297" i="6"/>
  <c r="D297" i="6"/>
  <c r="C297" i="6"/>
  <c r="U297" i="6"/>
  <c r="B297" i="6"/>
  <c r="T298" i="6"/>
  <c r="S298" i="6"/>
  <c r="R298" i="6"/>
  <c r="Q298" i="6"/>
  <c r="P298" i="6"/>
  <c r="O298" i="6"/>
  <c r="N298" i="6"/>
  <c r="M298" i="6"/>
  <c r="L298" i="6"/>
  <c r="K298" i="6"/>
  <c r="J298" i="6"/>
  <c r="I298" i="6"/>
  <c r="H298" i="6"/>
  <c r="G298" i="6"/>
  <c r="F298" i="6"/>
  <c r="E298" i="6"/>
  <c r="D298" i="6"/>
  <c r="C298" i="6"/>
  <c r="U298" i="6"/>
  <c r="B298" i="6"/>
  <c r="T299" i="6"/>
  <c r="S299" i="6"/>
  <c r="R299" i="6"/>
  <c r="Q299" i="6"/>
  <c r="P299" i="6"/>
  <c r="O299" i="6"/>
  <c r="N299" i="6"/>
  <c r="M299" i="6"/>
  <c r="L299" i="6"/>
  <c r="K299" i="6"/>
  <c r="J299" i="6"/>
  <c r="I299" i="6"/>
  <c r="H299" i="6"/>
  <c r="G299" i="6"/>
  <c r="F299" i="6"/>
  <c r="E299" i="6"/>
  <c r="D299" i="6"/>
  <c r="C299" i="6"/>
  <c r="U299" i="6"/>
  <c r="B299" i="6"/>
  <c r="T300" i="6"/>
  <c r="S300" i="6"/>
  <c r="R300" i="6"/>
  <c r="Q300" i="6"/>
  <c r="P300" i="6"/>
  <c r="O300" i="6"/>
  <c r="N300" i="6"/>
  <c r="M300" i="6"/>
  <c r="L300" i="6"/>
  <c r="K300" i="6"/>
  <c r="J300" i="6"/>
  <c r="I300" i="6"/>
  <c r="H300" i="6"/>
  <c r="G300" i="6"/>
  <c r="F300" i="6"/>
  <c r="E300" i="6"/>
  <c r="D300" i="6"/>
  <c r="C300" i="6"/>
  <c r="U300" i="6"/>
  <c r="B300" i="6"/>
  <c r="T301" i="6"/>
  <c r="S301" i="6"/>
  <c r="R301" i="6"/>
  <c r="Q301" i="6"/>
  <c r="P301" i="6"/>
  <c r="O301" i="6"/>
  <c r="N301" i="6"/>
  <c r="M301" i="6"/>
  <c r="L301" i="6"/>
  <c r="K301" i="6"/>
  <c r="J301" i="6"/>
  <c r="I301" i="6"/>
  <c r="H301" i="6"/>
  <c r="G301" i="6"/>
  <c r="F301" i="6"/>
  <c r="E301" i="6"/>
  <c r="D301" i="6"/>
  <c r="C301" i="6"/>
  <c r="U301" i="6"/>
  <c r="B301" i="6"/>
  <c r="T302" i="6"/>
  <c r="S302" i="6"/>
  <c r="R302" i="6"/>
  <c r="Q302" i="6"/>
  <c r="P302" i="6"/>
  <c r="O302" i="6"/>
  <c r="N302" i="6"/>
  <c r="M302" i="6"/>
  <c r="L302" i="6"/>
  <c r="K302" i="6"/>
  <c r="J302" i="6"/>
  <c r="I302" i="6"/>
  <c r="H302" i="6"/>
  <c r="G302" i="6"/>
  <c r="F302" i="6"/>
  <c r="E302" i="6"/>
  <c r="D302" i="6"/>
  <c r="C302" i="6"/>
  <c r="U302" i="6"/>
  <c r="B302" i="6"/>
  <c r="T303" i="6"/>
  <c r="S303" i="6"/>
  <c r="R303" i="6"/>
  <c r="Q303" i="6"/>
  <c r="P303" i="6"/>
  <c r="O303" i="6"/>
  <c r="N303" i="6"/>
  <c r="M303" i="6"/>
  <c r="L303" i="6"/>
  <c r="K303" i="6"/>
  <c r="J303" i="6"/>
  <c r="I303" i="6"/>
  <c r="H303" i="6"/>
  <c r="G303" i="6"/>
  <c r="F303" i="6"/>
  <c r="E303" i="6"/>
  <c r="D303" i="6"/>
  <c r="C303" i="6"/>
  <c r="U303" i="6"/>
  <c r="B303" i="6"/>
  <c r="T304" i="6"/>
  <c r="S304" i="6"/>
  <c r="R304" i="6"/>
  <c r="Q304" i="6"/>
  <c r="P304" i="6"/>
  <c r="O304" i="6"/>
  <c r="N304" i="6"/>
  <c r="M304" i="6"/>
  <c r="L304" i="6"/>
  <c r="K304" i="6"/>
  <c r="J304" i="6"/>
  <c r="I304" i="6"/>
  <c r="H304" i="6"/>
  <c r="G304" i="6"/>
  <c r="F304" i="6"/>
  <c r="E304" i="6"/>
  <c r="D304" i="6"/>
  <c r="C304" i="6"/>
  <c r="U304" i="6"/>
  <c r="B304" i="6"/>
  <c r="T305" i="6"/>
  <c r="S305" i="6"/>
  <c r="R305" i="6"/>
  <c r="Q305" i="6"/>
  <c r="P305" i="6"/>
  <c r="O305" i="6"/>
  <c r="N305" i="6"/>
  <c r="M305" i="6"/>
  <c r="L305" i="6"/>
  <c r="K305" i="6"/>
  <c r="J305" i="6"/>
  <c r="I305" i="6"/>
  <c r="H305" i="6"/>
  <c r="G305" i="6"/>
  <c r="F305" i="6"/>
  <c r="E305" i="6"/>
  <c r="D305" i="6"/>
  <c r="C305" i="6"/>
  <c r="U305" i="6"/>
  <c r="B305" i="6"/>
  <c r="T306" i="6"/>
  <c r="S306" i="6"/>
  <c r="R306" i="6"/>
  <c r="Q306" i="6"/>
  <c r="P306" i="6"/>
  <c r="O306" i="6"/>
  <c r="N306" i="6"/>
  <c r="M306" i="6"/>
  <c r="L306" i="6"/>
  <c r="K306" i="6"/>
  <c r="J306" i="6"/>
  <c r="I306" i="6"/>
  <c r="H306" i="6"/>
  <c r="G306" i="6"/>
  <c r="F306" i="6"/>
  <c r="E306" i="6"/>
  <c r="D306" i="6"/>
  <c r="C306" i="6"/>
  <c r="U306" i="6"/>
  <c r="B306" i="6"/>
  <c r="T307" i="6"/>
  <c r="S307" i="6"/>
  <c r="R307" i="6"/>
  <c r="Q307" i="6"/>
  <c r="P307" i="6"/>
  <c r="O307" i="6"/>
  <c r="N307" i="6"/>
  <c r="M307" i="6"/>
  <c r="L307" i="6"/>
  <c r="K307" i="6"/>
  <c r="J307" i="6"/>
  <c r="I307" i="6"/>
  <c r="H307" i="6"/>
  <c r="G307" i="6"/>
  <c r="F307" i="6"/>
  <c r="E307" i="6"/>
  <c r="D307" i="6"/>
  <c r="C307" i="6"/>
  <c r="U307" i="6"/>
  <c r="B307" i="6"/>
  <c r="T308" i="6"/>
  <c r="S308" i="6"/>
  <c r="R308" i="6"/>
  <c r="Q308" i="6"/>
  <c r="P308" i="6"/>
  <c r="O308" i="6"/>
  <c r="N308" i="6"/>
  <c r="M308" i="6"/>
  <c r="L308" i="6"/>
  <c r="K308" i="6"/>
  <c r="J308" i="6"/>
  <c r="I308" i="6"/>
  <c r="H308" i="6"/>
  <c r="G308" i="6"/>
  <c r="F308" i="6"/>
  <c r="E308" i="6"/>
  <c r="D308" i="6"/>
  <c r="C308" i="6"/>
  <c r="U308" i="6"/>
  <c r="B308" i="6"/>
  <c r="T309" i="6"/>
  <c r="S309" i="6"/>
  <c r="R309" i="6"/>
  <c r="Q309" i="6"/>
  <c r="P309" i="6"/>
  <c r="O309" i="6"/>
  <c r="N309" i="6"/>
  <c r="M309" i="6"/>
  <c r="L309" i="6"/>
  <c r="K309" i="6"/>
  <c r="J309" i="6"/>
  <c r="I309" i="6"/>
  <c r="H309" i="6"/>
  <c r="G309" i="6"/>
  <c r="F309" i="6"/>
  <c r="E309" i="6"/>
  <c r="D309" i="6"/>
  <c r="C309" i="6"/>
  <c r="U309" i="6"/>
  <c r="B309" i="6"/>
  <c r="T310" i="6"/>
  <c r="S310" i="6"/>
  <c r="R310" i="6"/>
  <c r="Q310" i="6"/>
  <c r="P310" i="6"/>
  <c r="O310" i="6"/>
  <c r="N310" i="6"/>
  <c r="M310" i="6"/>
  <c r="L310" i="6"/>
  <c r="K310" i="6"/>
  <c r="J310" i="6"/>
  <c r="I310" i="6"/>
  <c r="H310" i="6"/>
  <c r="G310" i="6"/>
  <c r="F310" i="6"/>
  <c r="E310" i="6"/>
  <c r="D310" i="6"/>
  <c r="C310" i="6"/>
  <c r="U310" i="6"/>
  <c r="B310" i="6"/>
  <c r="T311" i="6"/>
  <c r="S311" i="6"/>
  <c r="R311" i="6"/>
  <c r="Q311" i="6"/>
  <c r="P311" i="6"/>
  <c r="O311" i="6"/>
  <c r="N311" i="6"/>
  <c r="M311" i="6"/>
  <c r="L311" i="6"/>
  <c r="K311" i="6"/>
  <c r="J311" i="6"/>
  <c r="I311" i="6"/>
  <c r="H311" i="6"/>
  <c r="G311" i="6"/>
  <c r="F311" i="6"/>
  <c r="E311" i="6"/>
  <c r="D311" i="6"/>
  <c r="C311" i="6"/>
  <c r="U311" i="6"/>
  <c r="B311" i="6"/>
  <c r="T312" i="6"/>
  <c r="S312" i="6"/>
  <c r="R312" i="6"/>
  <c r="Q312" i="6"/>
  <c r="P312" i="6"/>
  <c r="O312" i="6"/>
  <c r="N312" i="6"/>
  <c r="M312" i="6"/>
  <c r="L312" i="6"/>
  <c r="K312" i="6"/>
  <c r="J312" i="6"/>
  <c r="I312" i="6"/>
  <c r="H312" i="6"/>
  <c r="G312" i="6"/>
  <c r="F312" i="6"/>
  <c r="E312" i="6"/>
  <c r="D312" i="6"/>
  <c r="C312" i="6"/>
  <c r="U312" i="6"/>
  <c r="B312" i="6"/>
  <c r="T313" i="6"/>
  <c r="S313" i="6"/>
  <c r="R313" i="6"/>
  <c r="Q313" i="6"/>
  <c r="P313" i="6"/>
  <c r="O313" i="6"/>
  <c r="N313" i="6"/>
  <c r="M313" i="6"/>
  <c r="L313" i="6"/>
  <c r="K313" i="6"/>
  <c r="J313" i="6"/>
  <c r="I313" i="6"/>
  <c r="H313" i="6"/>
  <c r="G313" i="6"/>
  <c r="F313" i="6"/>
  <c r="E313" i="6"/>
  <c r="D313" i="6"/>
  <c r="C313" i="6"/>
  <c r="U313" i="6"/>
  <c r="B313" i="6"/>
  <c r="T314" i="6"/>
  <c r="S314" i="6"/>
  <c r="R314" i="6"/>
  <c r="Q314" i="6"/>
  <c r="P314" i="6"/>
  <c r="O314" i="6"/>
  <c r="N314" i="6"/>
  <c r="M314" i="6"/>
  <c r="L314" i="6"/>
  <c r="K314" i="6"/>
  <c r="J314" i="6"/>
  <c r="I314" i="6"/>
  <c r="H314" i="6"/>
  <c r="G314" i="6"/>
  <c r="F314" i="6"/>
  <c r="E314" i="6"/>
  <c r="D314" i="6"/>
  <c r="C314" i="6"/>
  <c r="U314" i="6"/>
  <c r="B314" i="6"/>
  <c r="T315" i="6"/>
  <c r="S315" i="6"/>
  <c r="R315" i="6"/>
  <c r="Q315" i="6"/>
  <c r="P315" i="6"/>
  <c r="O315" i="6"/>
  <c r="N315" i="6"/>
  <c r="M315" i="6"/>
  <c r="L315" i="6"/>
  <c r="K315" i="6"/>
  <c r="J315" i="6"/>
  <c r="I315" i="6"/>
  <c r="H315" i="6"/>
  <c r="G315" i="6"/>
  <c r="F315" i="6"/>
  <c r="E315" i="6"/>
  <c r="D315" i="6"/>
  <c r="C315" i="6"/>
  <c r="U315" i="6"/>
  <c r="B315" i="6"/>
  <c r="T316" i="6"/>
  <c r="S316" i="6"/>
  <c r="R316" i="6"/>
  <c r="Q316" i="6"/>
  <c r="P316" i="6"/>
  <c r="O316" i="6"/>
  <c r="N316" i="6"/>
  <c r="M316" i="6"/>
  <c r="L316" i="6"/>
  <c r="K316" i="6"/>
  <c r="J316" i="6"/>
  <c r="I316" i="6"/>
  <c r="H316" i="6"/>
  <c r="G316" i="6"/>
  <c r="F316" i="6"/>
  <c r="E316" i="6"/>
  <c r="D316" i="6"/>
  <c r="C316" i="6"/>
  <c r="U316" i="6"/>
  <c r="B316" i="6"/>
  <c r="T317" i="6"/>
  <c r="S317" i="6"/>
  <c r="R317" i="6"/>
  <c r="Q317" i="6"/>
  <c r="P317" i="6"/>
  <c r="O317" i="6"/>
  <c r="N317" i="6"/>
  <c r="M317" i="6"/>
  <c r="L317" i="6"/>
  <c r="K317" i="6"/>
  <c r="J317" i="6"/>
  <c r="I317" i="6"/>
  <c r="H317" i="6"/>
  <c r="G317" i="6"/>
  <c r="F317" i="6"/>
  <c r="E317" i="6"/>
  <c r="D317" i="6"/>
  <c r="C317" i="6"/>
  <c r="U317" i="6"/>
  <c r="B317" i="6"/>
  <c r="T318" i="6"/>
  <c r="S318" i="6"/>
  <c r="R318" i="6"/>
  <c r="Q318" i="6"/>
  <c r="P318" i="6"/>
  <c r="O318" i="6"/>
  <c r="N318" i="6"/>
  <c r="M318" i="6"/>
  <c r="L318" i="6"/>
  <c r="K318" i="6"/>
  <c r="J318" i="6"/>
  <c r="I318" i="6"/>
  <c r="H318" i="6"/>
  <c r="G318" i="6"/>
  <c r="F318" i="6"/>
  <c r="E318" i="6"/>
  <c r="D318" i="6"/>
  <c r="C318" i="6"/>
  <c r="U318" i="6"/>
  <c r="B318" i="6"/>
  <c r="T319" i="6"/>
  <c r="S319" i="6"/>
  <c r="R319" i="6"/>
  <c r="Q319" i="6"/>
  <c r="P319" i="6"/>
  <c r="O319" i="6"/>
  <c r="N319" i="6"/>
  <c r="M319" i="6"/>
  <c r="L319" i="6"/>
  <c r="K319" i="6"/>
  <c r="J319" i="6"/>
  <c r="I319" i="6"/>
  <c r="H319" i="6"/>
  <c r="G319" i="6"/>
  <c r="F319" i="6"/>
  <c r="E319" i="6"/>
  <c r="D319" i="6"/>
  <c r="C319" i="6"/>
  <c r="U319" i="6"/>
  <c r="B319" i="6"/>
  <c r="T320" i="6"/>
  <c r="S320" i="6"/>
  <c r="R320" i="6"/>
  <c r="Q320" i="6"/>
  <c r="P320" i="6"/>
  <c r="O320" i="6"/>
  <c r="N320" i="6"/>
  <c r="M320" i="6"/>
  <c r="L320" i="6"/>
  <c r="K320" i="6"/>
  <c r="J320" i="6"/>
  <c r="I320" i="6"/>
  <c r="H320" i="6"/>
  <c r="G320" i="6"/>
  <c r="F320" i="6"/>
  <c r="E320" i="6"/>
  <c r="D320" i="6"/>
  <c r="C320" i="6"/>
  <c r="U320" i="6"/>
  <c r="B320" i="6"/>
  <c r="T321" i="6"/>
  <c r="S321" i="6"/>
  <c r="R321" i="6"/>
  <c r="Q321" i="6"/>
  <c r="P321" i="6"/>
  <c r="O321" i="6"/>
  <c r="N321" i="6"/>
  <c r="M321" i="6"/>
  <c r="L321" i="6"/>
  <c r="K321" i="6"/>
  <c r="J321" i="6"/>
  <c r="I321" i="6"/>
  <c r="H321" i="6"/>
  <c r="G321" i="6"/>
  <c r="F321" i="6"/>
  <c r="E321" i="6"/>
  <c r="D321" i="6"/>
  <c r="C321" i="6"/>
  <c r="U321" i="6"/>
  <c r="B321" i="6"/>
  <c r="T322" i="6"/>
  <c r="S322" i="6"/>
  <c r="R322" i="6"/>
  <c r="Q322" i="6"/>
  <c r="P322" i="6"/>
  <c r="O322" i="6"/>
  <c r="N322" i="6"/>
  <c r="M322" i="6"/>
  <c r="L322" i="6"/>
  <c r="K322" i="6"/>
  <c r="J322" i="6"/>
  <c r="I322" i="6"/>
  <c r="H322" i="6"/>
  <c r="G322" i="6"/>
  <c r="F322" i="6"/>
  <c r="E322" i="6"/>
  <c r="D322" i="6"/>
  <c r="C322" i="6"/>
  <c r="U322" i="6"/>
  <c r="B322" i="6"/>
  <c r="T323" i="6"/>
  <c r="S323" i="6"/>
  <c r="R323" i="6"/>
  <c r="Q323" i="6"/>
  <c r="P323" i="6"/>
  <c r="O323" i="6"/>
  <c r="N323" i="6"/>
  <c r="M323" i="6"/>
  <c r="L323" i="6"/>
  <c r="K323" i="6"/>
  <c r="J323" i="6"/>
  <c r="I323" i="6"/>
  <c r="H323" i="6"/>
  <c r="G323" i="6"/>
  <c r="F323" i="6"/>
  <c r="E323" i="6"/>
  <c r="D323" i="6"/>
  <c r="C323" i="6"/>
  <c r="U323" i="6"/>
  <c r="B323" i="6"/>
  <c r="T324" i="6"/>
  <c r="S324" i="6"/>
  <c r="R324" i="6"/>
  <c r="Q324" i="6"/>
  <c r="P324" i="6"/>
  <c r="O324" i="6"/>
  <c r="N324" i="6"/>
  <c r="M324" i="6"/>
  <c r="L324" i="6"/>
  <c r="K324" i="6"/>
  <c r="J324" i="6"/>
  <c r="I324" i="6"/>
  <c r="H324" i="6"/>
  <c r="G324" i="6"/>
  <c r="F324" i="6"/>
  <c r="E324" i="6"/>
  <c r="D324" i="6"/>
  <c r="C324" i="6"/>
  <c r="U324" i="6"/>
  <c r="B324" i="6"/>
  <c r="T325" i="6"/>
  <c r="S325" i="6"/>
  <c r="R325" i="6"/>
  <c r="Q325" i="6"/>
  <c r="P325" i="6"/>
  <c r="O325" i="6"/>
  <c r="N325" i="6"/>
  <c r="M325" i="6"/>
  <c r="L325" i="6"/>
  <c r="K325" i="6"/>
  <c r="J325" i="6"/>
  <c r="I325" i="6"/>
  <c r="H325" i="6"/>
  <c r="G325" i="6"/>
  <c r="F325" i="6"/>
  <c r="E325" i="6"/>
  <c r="D325" i="6"/>
  <c r="C325" i="6"/>
  <c r="U325" i="6"/>
  <c r="B325" i="6"/>
  <c r="T326" i="6"/>
  <c r="S326" i="6"/>
  <c r="R326" i="6"/>
  <c r="Q326" i="6"/>
  <c r="P326" i="6"/>
  <c r="O326" i="6"/>
  <c r="N326" i="6"/>
  <c r="M326" i="6"/>
  <c r="L326" i="6"/>
  <c r="K326" i="6"/>
  <c r="J326" i="6"/>
  <c r="I326" i="6"/>
  <c r="H326" i="6"/>
  <c r="G326" i="6"/>
  <c r="F326" i="6"/>
  <c r="E326" i="6"/>
  <c r="D326" i="6"/>
  <c r="C326" i="6"/>
  <c r="U326" i="6"/>
  <c r="B326" i="6"/>
  <c r="T327" i="6"/>
  <c r="S327" i="6"/>
  <c r="R327" i="6"/>
  <c r="Q327" i="6"/>
  <c r="P327" i="6"/>
  <c r="O327" i="6"/>
  <c r="N327" i="6"/>
  <c r="M327" i="6"/>
  <c r="L327" i="6"/>
  <c r="K327" i="6"/>
  <c r="J327" i="6"/>
  <c r="I327" i="6"/>
  <c r="H327" i="6"/>
  <c r="G327" i="6"/>
  <c r="F327" i="6"/>
  <c r="E327" i="6"/>
  <c r="D327" i="6"/>
  <c r="C327" i="6"/>
  <c r="U327" i="6"/>
  <c r="B327" i="6"/>
  <c r="T328" i="6"/>
  <c r="S328" i="6"/>
  <c r="R328" i="6"/>
  <c r="Q328" i="6"/>
  <c r="P328" i="6"/>
  <c r="O328" i="6"/>
  <c r="N328" i="6"/>
  <c r="M328" i="6"/>
  <c r="L328" i="6"/>
  <c r="K328" i="6"/>
  <c r="J328" i="6"/>
  <c r="I328" i="6"/>
  <c r="H328" i="6"/>
  <c r="G328" i="6"/>
  <c r="F328" i="6"/>
  <c r="E328" i="6"/>
  <c r="D328" i="6"/>
  <c r="C328" i="6"/>
  <c r="U328" i="6"/>
  <c r="B328" i="6"/>
  <c r="T329" i="6"/>
  <c r="S329" i="6"/>
  <c r="R329" i="6"/>
  <c r="Q329" i="6"/>
  <c r="P329" i="6"/>
  <c r="O329" i="6"/>
  <c r="N329" i="6"/>
  <c r="M329" i="6"/>
  <c r="L329" i="6"/>
  <c r="K329" i="6"/>
  <c r="J329" i="6"/>
  <c r="I329" i="6"/>
  <c r="H329" i="6"/>
  <c r="G329" i="6"/>
  <c r="F329" i="6"/>
  <c r="E329" i="6"/>
  <c r="D329" i="6"/>
  <c r="C329" i="6"/>
  <c r="U329" i="6"/>
  <c r="B329" i="6"/>
  <c r="T330" i="6"/>
  <c r="S330" i="6"/>
  <c r="R330" i="6"/>
  <c r="Q330" i="6"/>
  <c r="P330" i="6"/>
  <c r="O330" i="6"/>
  <c r="N330" i="6"/>
  <c r="M330" i="6"/>
  <c r="L330" i="6"/>
  <c r="K330" i="6"/>
  <c r="J330" i="6"/>
  <c r="I330" i="6"/>
  <c r="H330" i="6"/>
  <c r="G330" i="6"/>
  <c r="F330" i="6"/>
  <c r="E330" i="6"/>
  <c r="D330" i="6"/>
  <c r="C330" i="6"/>
  <c r="U330" i="6"/>
  <c r="B330" i="6"/>
  <c r="T331" i="6"/>
  <c r="S331" i="6"/>
  <c r="R331" i="6"/>
  <c r="Q331" i="6"/>
  <c r="P331" i="6"/>
  <c r="O331" i="6"/>
  <c r="N331" i="6"/>
  <c r="M331" i="6"/>
  <c r="L331" i="6"/>
  <c r="K331" i="6"/>
  <c r="J331" i="6"/>
  <c r="I331" i="6"/>
  <c r="H331" i="6"/>
  <c r="G331" i="6"/>
  <c r="F331" i="6"/>
  <c r="E331" i="6"/>
  <c r="D331" i="6"/>
  <c r="C331" i="6"/>
  <c r="U331" i="6"/>
  <c r="B331" i="6"/>
  <c r="T332" i="6"/>
  <c r="S332" i="6"/>
  <c r="R332" i="6"/>
  <c r="Q332" i="6"/>
  <c r="P332" i="6"/>
  <c r="O332" i="6"/>
  <c r="N332" i="6"/>
  <c r="M332" i="6"/>
  <c r="L332" i="6"/>
  <c r="K332" i="6"/>
  <c r="J332" i="6"/>
  <c r="I332" i="6"/>
  <c r="H332" i="6"/>
  <c r="G332" i="6"/>
  <c r="F332" i="6"/>
  <c r="E332" i="6"/>
  <c r="D332" i="6"/>
  <c r="C332" i="6"/>
  <c r="U332" i="6"/>
  <c r="B332" i="6"/>
  <c r="T333" i="6"/>
  <c r="S333" i="6"/>
  <c r="R333" i="6"/>
  <c r="Q333" i="6"/>
  <c r="P333" i="6"/>
  <c r="O333" i="6"/>
  <c r="N333" i="6"/>
  <c r="M333" i="6"/>
  <c r="L333" i="6"/>
  <c r="K333" i="6"/>
  <c r="J333" i="6"/>
  <c r="I333" i="6"/>
  <c r="H333" i="6"/>
  <c r="G333" i="6"/>
  <c r="F333" i="6"/>
  <c r="E333" i="6"/>
  <c r="D333" i="6"/>
  <c r="C333" i="6"/>
  <c r="U333" i="6"/>
  <c r="B333" i="6"/>
  <c r="T334" i="6"/>
  <c r="S334" i="6"/>
  <c r="R334" i="6"/>
  <c r="Q334" i="6"/>
  <c r="P334" i="6"/>
  <c r="O334" i="6"/>
  <c r="N334" i="6"/>
  <c r="M334" i="6"/>
  <c r="L334" i="6"/>
  <c r="K334" i="6"/>
  <c r="J334" i="6"/>
  <c r="I334" i="6"/>
  <c r="H334" i="6"/>
  <c r="G334" i="6"/>
  <c r="F334" i="6"/>
  <c r="E334" i="6"/>
  <c r="D334" i="6"/>
  <c r="C334" i="6"/>
  <c r="U334" i="6"/>
  <c r="B334" i="6"/>
  <c r="T335" i="6"/>
  <c r="S335" i="6"/>
  <c r="R335" i="6"/>
  <c r="Q335" i="6"/>
  <c r="P335" i="6"/>
  <c r="O335" i="6"/>
  <c r="N335" i="6"/>
  <c r="M335" i="6"/>
  <c r="L335" i="6"/>
  <c r="K335" i="6"/>
  <c r="J335" i="6"/>
  <c r="I335" i="6"/>
  <c r="H335" i="6"/>
  <c r="G335" i="6"/>
  <c r="F335" i="6"/>
  <c r="E335" i="6"/>
  <c r="D335" i="6"/>
  <c r="C335" i="6"/>
  <c r="U335" i="6"/>
  <c r="B335" i="6"/>
  <c r="T336" i="6"/>
  <c r="S336" i="6"/>
  <c r="R336" i="6"/>
  <c r="Q336" i="6"/>
  <c r="P336" i="6"/>
  <c r="O336" i="6"/>
  <c r="N336" i="6"/>
  <c r="M336" i="6"/>
  <c r="L336" i="6"/>
  <c r="K336" i="6"/>
  <c r="J336" i="6"/>
  <c r="I336" i="6"/>
  <c r="H336" i="6"/>
  <c r="G336" i="6"/>
  <c r="F336" i="6"/>
  <c r="E336" i="6"/>
  <c r="D336" i="6"/>
  <c r="C336" i="6"/>
  <c r="U336" i="6"/>
  <c r="B336" i="6"/>
  <c r="T337" i="6"/>
  <c r="S337" i="6"/>
  <c r="R337" i="6"/>
  <c r="Q337" i="6"/>
  <c r="P337" i="6"/>
  <c r="O337" i="6"/>
  <c r="N337" i="6"/>
  <c r="M337" i="6"/>
  <c r="L337" i="6"/>
  <c r="K337" i="6"/>
  <c r="J337" i="6"/>
  <c r="I337" i="6"/>
  <c r="H337" i="6"/>
  <c r="G337" i="6"/>
  <c r="F337" i="6"/>
  <c r="E337" i="6"/>
  <c r="D337" i="6"/>
  <c r="C337" i="6"/>
  <c r="U337" i="6"/>
  <c r="B337" i="6"/>
  <c r="T338" i="6"/>
  <c r="S338" i="6"/>
  <c r="R338" i="6"/>
  <c r="Q338" i="6"/>
  <c r="P338" i="6"/>
  <c r="O338" i="6"/>
  <c r="N338" i="6"/>
  <c r="M338" i="6"/>
  <c r="L338" i="6"/>
  <c r="K338" i="6"/>
  <c r="J338" i="6"/>
  <c r="I338" i="6"/>
  <c r="H338" i="6"/>
  <c r="G338" i="6"/>
  <c r="F338" i="6"/>
  <c r="E338" i="6"/>
  <c r="D338" i="6"/>
  <c r="C338" i="6"/>
  <c r="U338" i="6"/>
  <c r="B338" i="6"/>
  <c r="T339" i="6"/>
  <c r="S339" i="6"/>
  <c r="R339" i="6"/>
  <c r="Q339" i="6"/>
  <c r="P339" i="6"/>
  <c r="O339" i="6"/>
  <c r="N339" i="6"/>
  <c r="M339" i="6"/>
  <c r="L339" i="6"/>
  <c r="K339" i="6"/>
  <c r="J339" i="6"/>
  <c r="I339" i="6"/>
  <c r="H339" i="6"/>
  <c r="G339" i="6"/>
  <c r="F339" i="6"/>
  <c r="E339" i="6"/>
  <c r="D339" i="6"/>
  <c r="C339" i="6"/>
  <c r="U339" i="6"/>
  <c r="B339" i="6"/>
  <c r="T340" i="6"/>
  <c r="S340" i="6"/>
  <c r="R340" i="6"/>
  <c r="Q340" i="6"/>
  <c r="P340" i="6"/>
  <c r="O340" i="6"/>
  <c r="N340" i="6"/>
  <c r="M340" i="6"/>
  <c r="L340" i="6"/>
  <c r="K340" i="6"/>
  <c r="J340" i="6"/>
  <c r="I340" i="6"/>
  <c r="H340" i="6"/>
  <c r="G340" i="6"/>
  <c r="F340" i="6"/>
  <c r="E340" i="6"/>
  <c r="D340" i="6"/>
  <c r="C340" i="6"/>
  <c r="U340" i="6"/>
  <c r="B340" i="6"/>
  <c r="T341" i="6"/>
  <c r="S341" i="6"/>
  <c r="R341" i="6"/>
  <c r="Q341" i="6"/>
  <c r="P341" i="6"/>
  <c r="O341" i="6"/>
  <c r="N341" i="6"/>
  <c r="M341" i="6"/>
  <c r="L341" i="6"/>
  <c r="K341" i="6"/>
  <c r="J341" i="6"/>
  <c r="I341" i="6"/>
  <c r="H341" i="6"/>
  <c r="G341" i="6"/>
  <c r="F341" i="6"/>
  <c r="E341" i="6"/>
  <c r="D341" i="6"/>
  <c r="C341" i="6"/>
  <c r="U341" i="6"/>
  <c r="B341" i="6"/>
  <c r="T342" i="6"/>
  <c r="S342" i="6"/>
  <c r="R342" i="6"/>
  <c r="Q342" i="6"/>
  <c r="P342" i="6"/>
  <c r="O342" i="6"/>
  <c r="N342" i="6"/>
  <c r="M342" i="6"/>
  <c r="L342" i="6"/>
  <c r="K342" i="6"/>
  <c r="J342" i="6"/>
  <c r="I342" i="6"/>
  <c r="H342" i="6"/>
  <c r="G342" i="6"/>
  <c r="F342" i="6"/>
  <c r="E342" i="6"/>
  <c r="D342" i="6"/>
  <c r="C342" i="6"/>
  <c r="U342" i="6"/>
  <c r="B342" i="6"/>
  <c r="T343" i="6"/>
  <c r="S343" i="6"/>
  <c r="R343" i="6"/>
  <c r="Q343" i="6"/>
  <c r="P343" i="6"/>
  <c r="O343" i="6"/>
  <c r="N343" i="6"/>
  <c r="M343" i="6"/>
  <c r="L343" i="6"/>
  <c r="K343" i="6"/>
  <c r="J343" i="6"/>
  <c r="I343" i="6"/>
  <c r="H343" i="6"/>
  <c r="G343" i="6"/>
  <c r="F343" i="6"/>
  <c r="E343" i="6"/>
  <c r="D343" i="6"/>
  <c r="C343" i="6"/>
  <c r="U343" i="6"/>
  <c r="B343" i="6"/>
  <c r="T344" i="6"/>
  <c r="S344" i="6"/>
  <c r="R344" i="6"/>
  <c r="Q344" i="6"/>
  <c r="P344" i="6"/>
  <c r="O344" i="6"/>
  <c r="N344" i="6"/>
  <c r="M344" i="6"/>
  <c r="L344" i="6"/>
  <c r="K344" i="6"/>
  <c r="J344" i="6"/>
  <c r="I344" i="6"/>
  <c r="H344" i="6"/>
  <c r="G344" i="6"/>
  <c r="F344" i="6"/>
  <c r="E344" i="6"/>
  <c r="D344" i="6"/>
  <c r="C344" i="6"/>
  <c r="U344" i="6"/>
  <c r="B344" i="6"/>
  <c r="T345" i="6"/>
  <c r="S345" i="6"/>
  <c r="R345" i="6"/>
  <c r="Q345" i="6"/>
  <c r="P345" i="6"/>
  <c r="O345" i="6"/>
  <c r="N345" i="6"/>
  <c r="M345" i="6"/>
  <c r="L345" i="6"/>
  <c r="K345" i="6"/>
  <c r="J345" i="6"/>
  <c r="I345" i="6"/>
  <c r="H345" i="6"/>
  <c r="G345" i="6"/>
  <c r="F345" i="6"/>
  <c r="E345" i="6"/>
  <c r="D345" i="6"/>
  <c r="C345" i="6"/>
  <c r="U345" i="6"/>
  <c r="B345" i="6"/>
  <c r="T346" i="6"/>
  <c r="S346" i="6"/>
  <c r="R346" i="6"/>
  <c r="Q346" i="6"/>
  <c r="P346" i="6"/>
  <c r="O346" i="6"/>
  <c r="N346" i="6"/>
  <c r="M346" i="6"/>
  <c r="L346" i="6"/>
  <c r="K346" i="6"/>
  <c r="J346" i="6"/>
  <c r="I346" i="6"/>
  <c r="H346" i="6"/>
  <c r="G346" i="6"/>
  <c r="F346" i="6"/>
  <c r="E346" i="6"/>
  <c r="D346" i="6"/>
  <c r="C346" i="6"/>
  <c r="U346" i="6"/>
  <c r="B346" i="6"/>
  <c r="T347" i="6"/>
  <c r="S347" i="6"/>
  <c r="R347" i="6"/>
  <c r="Q347" i="6"/>
  <c r="P347" i="6"/>
  <c r="O347" i="6"/>
  <c r="N347" i="6"/>
  <c r="M347" i="6"/>
  <c r="L347" i="6"/>
  <c r="K347" i="6"/>
  <c r="J347" i="6"/>
  <c r="I347" i="6"/>
  <c r="H347" i="6"/>
  <c r="G347" i="6"/>
  <c r="F347" i="6"/>
  <c r="E347" i="6"/>
  <c r="D347" i="6"/>
  <c r="C347" i="6"/>
  <c r="U347" i="6"/>
  <c r="B347" i="6"/>
  <c r="T348" i="6"/>
  <c r="S348" i="6"/>
  <c r="R348" i="6"/>
  <c r="Q348" i="6"/>
  <c r="P348" i="6"/>
  <c r="O348" i="6"/>
  <c r="N348" i="6"/>
  <c r="M348" i="6"/>
  <c r="L348" i="6"/>
  <c r="K348" i="6"/>
  <c r="J348" i="6"/>
  <c r="I348" i="6"/>
  <c r="H348" i="6"/>
  <c r="G348" i="6"/>
  <c r="F348" i="6"/>
  <c r="E348" i="6"/>
  <c r="D348" i="6"/>
  <c r="C348" i="6"/>
  <c r="U348" i="6"/>
  <c r="B348" i="6"/>
  <c r="T349" i="6"/>
  <c r="S349" i="6"/>
  <c r="R349" i="6"/>
  <c r="Q349" i="6"/>
  <c r="P349" i="6"/>
  <c r="O349" i="6"/>
  <c r="N349" i="6"/>
  <c r="M349" i="6"/>
  <c r="L349" i="6"/>
  <c r="K349" i="6"/>
  <c r="J349" i="6"/>
  <c r="I349" i="6"/>
  <c r="H349" i="6"/>
  <c r="G349" i="6"/>
  <c r="F349" i="6"/>
  <c r="E349" i="6"/>
  <c r="D349" i="6"/>
  <c r="C349" i="6"/>
  <c r="U349" i="6"/>
  <c r="B349" i="6"/>
  <c r="T350" i="6"/>
  <c r="S350" i="6"/>
  <c r="R350" i="6"/>
  <c r="Q350" i="6"/>
  <c r="P350" i="6"/>
  <c r="O350" i="6"/>
  <c r="N350" i="6"/>
  <c r="M350" i="6"/>
  <c r="L350" i="6"/>
  <c r="K350" i="6"/>
  <c r="J350" i="6"/>
  <c r="I350" i="6"/>
  <c r="H350" i="6"/>
  <c r="G350" i="6"/>
  <c r="F350" i="6"/>
  <c r="E350" i="6"/>
  <c r="D350" i="6"/>
  <c r="C350" i="6"/>
  <c r="U350" i="6"/>
  <c r="B350" i="6"/>
  <c r="T351" i="6"/>
  <c r="S351" i="6"/>
  <c r="R351" i="6"/>
  <c r="Q351" i="6"/>
  <c r="P351" i="6"/>
  <c r="O351" i="6"/>
  <c r="N351" i="6"/>
  <c r="M351" i="6"/>
  <c r="L351" i="6"/>
  <c r="K351" i="6"/>
  <c r="J351" i="6"/>
  <c r="I351" i="6"/>
  <c r="H351" i="6"/>
  <c r="G351" i="6"/>
  <c r="F351" i="6"/>
  <c r="E351" i="6"/>
  <c r="D351" i="6"/>
  <c r="C351" i="6"/>
  <c r="U351" i="6"/>
  <c r="B351" i="6"/>
  <c r="T352" i="6"/>
  <c r="S352" i="6"/>
  <c r="R352" i="6"/>
  <c r="Q352" i="6"/>
  <c r="P352" i="6"/>
  <c r="O352" i="6"/>
  <c r="N352" i="6"/>
  <c r="M352" i="6"/>
  <c r="L352" i="6"/>
  <c r="K352" i="6"/>
  <c r="J352" i="6"/>
  <c r="I352" i="6"/>
  <c r="H352" i="6"/>
  <c r="G352" i="6"/>
  <c r="F352" i="6"/>
  <c r="E352" i="6"/>
  <c r="D352" i="6"/>
  <c r="C352" i="6"/>
  <c r="U352" i="6"/>
  <c r="B352" i="6"/>
  <c r="T353" i="6"/>
  <c r="S353" i="6"/>
  <c r="R353" i="6"/>
  <c r="Q353" i="6"/>
  <c r="P353" i="6"/>
  <c r="O353" i="6"/>
  <c r="N353" i="6"/>
  <c r="M353" i="6"/>
  <c r="L353" i="6"/>
  <c r="K353" i="6"/>
  <c r="J353" i="6"/>
  <c r="I353" i="6"/>
  <c r="H353" i="6"/>
  <c r="G353" i="6"/>
  <c r="F353" i="6"/>
  <c r="E353" i="6"/>
  <c r="D353" i="6"/>
  <c r="C353" i="6"/>
  <c r="U353" i="6"/>
  <c r="B353" i="6"/>
  <c r="T354" i="6"/>
  <c r="S354" i="6"/>
  <c r="R354" i="6"/>
  <c r="Q354" i="6"/>
  <c r="P354" i="6"/>
  <c r="O354" i="6"/>
  <c r="N354" i="6"/>
  <c r="M354" i="6"/>
  <c r="L354" i="6"/>
  <c r="K354" i="6"/>
  <c r="J354" i="6"/>
  <c r="I354" i="6"/>
  <c r="H354" i="6"/>
  <c r="G354" i="6"/>
  <c r="F354" i="6"/>
  <c r="E354" i="6"/>
  <c r="D354" i="6"/>
  <c r="C354" i="6"/>
  <c r="U354" i="6"/>
  <c r="B354" i="6"/>
  <c r="T355" i="6"/>
  <c r="S355" i="6"/>
  <c r="R355" i="6"/>
  <c r="Q355" i="6"/>
  <c r="P355" i="6"/>
  <c r="O355" i="6"/>
  <c r="N355" i="6"/>
  <c r="M355" i="6"/>
  <c r="L355" i="6"/>
  <c r="K355" i="6"/>
  <c r="J355" i="6"/>
  <c r="I355" i="6"/>
  <c r="H355" i="6"/>
  <c r="G355" i="6"/>
  <c r="F355" i="6"/>
  <c r="E355" i="6"/>
  <c r="D355" i="6"/>
  <c r="C355" i="6"/>
  <c r="U355" i="6"/>
  <c r="B355" i="6"/>
  <c r="T356" i="6"/>
  <c r="S356" i="6"/>
  <c r="R356" i="6"/>
  <c r="Q356" i="6"/>
  <c r="P356" i="6"/>
  <c r="O356" i="6"/>
  <c r="N356" i="6"/>
  <c r="M356" i="6"/>
  <c r="L356" i="6"/>
  <c r="K356" i="6"/>
  <c r="J356" i="6"/>
  <c r="I356" i="6"/>
  <c r="H356" i="6"/>
  <c r="G356" i="6"/>
  <c r="F356" i="6"/>
  <c r="E356" i="6"/>
  <c r="D356" i="6"/>
  <c r="C356" i="6"/>
  <c r="U356" i="6"/>
  <c r="B356" i="6"/>
  <c r="T357" i="6"/>
  <c r="S357" i="6"/>
  <c r="R357" i="6"/>
  <c r="Q357" i="6"/>
  <c r="P357" i="6"/>
  <c r="O357" i="6"/>
  <c r="N357" i="6"/>
  <c r="M357" i="6"/>
  <c r="L357" i="6"/>
  <c r="K357" i="6"/>
  <c r="J357" i="6"/>
  <c r="I357" i="6"/>
  <c r="H357" i="6"/>
  <c r="G357" i="6"/>
  <c r="F357" i="6"/>
  <c r="E357" i="6"/>
  <c r="D357" i="6"/>
  <c r="C357" i="6"/>
  <c r="U357" i="6"/>
  <c r="B357" i="6"/>
  <c r="T358" i="6"/>
  <c r="S358" i="6"/>
  <c r="R358" i="6"/>
  <c r="Q358" i="6"/>
  <c r="P358" i="6"/>
  <c r="O358" i="6"/>
  <c r="N358" i="6"/>
  <c r="M358" i="6"/>
  <c r="L358" i="6"/>
  <c r="K358" i="6"/>
  <c r="J358" i="6"/>
  <c r="I358" i="6"/>
  <c r="H358" i="6"/>
  <c r="G358" i="6"/>
  <c r="F358" i="6"/>
  <c r="E358" i="6"/>
  <c r="D358" i="6"/>
  <c r="C358" i="6"/>
  <c r="U358" i="6"/>
  <c r="B358" i="6"/>
  <c r="T359" i="6"/>
  <c r="S359" i="6"/>
  <c r="R359" i="6"/>
  <c r="Q359" i="6"/>
  <c r="P359" i="6"/>
  <c r="O359" i="6"/>
  <c r="N359" i="6"/>
  <c r="M359" i="6"/>
  <c r="L359" i="6"/>
  <c r="K359" i="6"/>
  <c r="J359" i="6"/>
  <c r="I359" i="6"/>
  <c r="H359" i="6"/>
  <c r="G359" i="6"/>
  <c r="F359" i="6"/>
  <c r="E359" i="6"/>
  <c r="D359" i="6"/>
  <c r="C359" i="6"/>
  <c r="U359" i="6"/>
  <c r="B359" i="6"/>
  <c r="T360" i="6"/>
  <c r="S360" i="6"/>
  <c r="R360" i="6"/>
  <c r="Q360" i="6"/>
  <c r="P360" i="6"/>
  <c r="O360" i="6"/>
  <c r="N360" i="6"/>
  <c r="M360" i="6"/>
  <c r="L360" i="6"/>
  <c r="K360" i="6"/>
  <c r="J360" i="6"/>
  <c r="I360" i="6"/>
  <c r="H360" i="6"/>
  <c r="G360" i="6"/>
  <c r="F360" i="6"/>
  <c r="E360" i="6"/>
  <c r="D360" i="6"/>
  <c r="C360" i="6"/>
  <c r="U360" i="6"/>
  <c r="B360" i="6"/>
  <c r="T361" i="6"/>
  <c r="S361" i="6"/>
  <c r="R361" i="6"/>
  <c r="Q361" i="6"/>
  <c r="P361" i="6"/>
  <c r="O361" i="6"/>
  <c r="N361" i="6"/>
  <c r="M361" i="6"/>
  <c r="L361" i="6"/>
  <c r="K361" i="6"/>
  <c r="J361" i="6"/>
  <c r="I361" i="6"/>
  <c r="H361" i="6"/>
  <c r="G361" i="6"/>
  <c r="F361" i="6"/>
  <c r="E361" i="6"/>
  <c r="D361" i="6"/>
  <c r="C361" i="6"/>
  <c r="U361" i="6"/>
  <c r="B361" i="6"/>
  <c r="T362" i="6"/>
  <c r="S362" i="6"/>
  <c r="R362" i="6"/>
  <c r="Q362" i="6"/>
  <c r="P362" i="6"/>
  <c r="O362" i="6"/>
  <c r="N362" i="6"/>
  <c r="M362" i="6"/>
  <c r="L362" i="6"/>
  <c r="K362" i="6"/>
  <c r="J362" i="6"/>
  <c r="I362" i="6"/>
  <c r="H362" i="6"/>
  <c r="G362" i="6"/>
  <c r="F362" i="6"/>
  <c r="E362" i="6"/>
  <c r="D362" i="6"/>
  <c r="C362" i="6"/>
  <c r="U362" i="6"/>
  <c r="B362" i="6"/>
  <c r="T363" i="6"/>
  <c r="S363" i="6"/>
  <c r="R363" i="6"/>
  <c r="Q363" i="6"/>
  <c r="P363" i="6"/>
  <c r="O363" i="6"/>
  <c r="N363" i="6"/>
  <c r="M363" i="6"/>
  <c r="L363" i="6"/>
  <c r="K363" i="6"/>
  <c r="J363" i="6"/>
  <c r="I363" i="6"/>
  <c r="H363" i="6"/>
  <c r="G363" i="6"/>
  <c r="F363" i="6"/>
  <c r="E363" i="6"/>
  <c r="D363" i="6"/>
  <c r="C363" i="6"/>
  <c r="U363" i="6"/>
  <c r="B363" i="6"/>
  <c r="T364" i="6"/>
  <c r="S364" i="6"/>
  <c r="R364" i="6"/>
  <c r="Q364" i="6"/>
  <c r="P364" i="6"/>
  <c r="O364" i="6"/>
  <c r="N364" i="6"/>
  <c r="M364" i="6"/>
  <c r="L364" i="6"/>
  <c r="K364" i="6"/>
  <c r="J364" i="6"/>
  <c r="I364" i="6"/>
  <c r="H364" i="6"/>
  <c r="G364" i="6"/>
  <c r="F364" i="6"/>
  <c r="E364" i="6"/>
  <c r="D364" i="6"/>
  <c r="C364" i="6"/>
  <c r="U364" i="6"/>
  <c r="B364" i="6"/>
  <c r="T365" i="6"/>
  <c r="S365" i="6"/>
  <c r="R365" i="6"/>
  <c r="Q365" i="6"/>
  <c r="P365" i="6"/>
  <c r="O365" i="6"/>
  <c r="N365" i="6"/>
  <c r="M365" i="6"/>
  <c r="L365" i="6"/>
  <c r="K365" i="6"/>
  <c r="J365" i="6"/>
  <c r="I365" i="6"/>
  <c r="H365" i="6"/>
  <c r="G365" i="6"/>
  <c r="F365" i="6"/>
  <c r="E365" i="6"/>
  <c r="D365" i="6"/>
  <c r="C365" i="6"/>
  <c r="U365" i="6"/>
  <c r="B365" i="6"/>
  <c r="T366" i="6"/>
  <c r="S366" i="6"/>
  <c r="R366" i="6"/>
  <c r="Q366" i="6"/>
  <c r="P366" i="6"/>
  <c r="O366" i="6"/>
  <c r="N366" i="6"/>
  <c r="M366" i="6"/>
  <c r="L366" i="6"/>
  <c r="K366" i="6"/>
  <c r="J366" i="6"/>
  <c r="I366" i="6"/>
  <c r="H366" i="6"/>
  <c r="G366" i="6"/>
  <c r="F366" i="6"/>
  <c r="E366" i="6"/>
  <c r="D366" i="6"/>
  <c r="C366" i="6"/>
  <c r="U366" i="6"/>
  <c r="B366" i="6"/>
  <c r="T367" i="6"/>
  <c r="S367" i="6"/>
  <c r="R367" i="6"/>
  <c r="Q367" i="6"/>
  <c r="P367" i="6"/>
  <c r="O367" i="6"/>
  <c r="N367" i="6"/>
  <c r="M367" i="6"/>
  <c r="L367" i="6"/>
  <c r="K367" i="6"/>
  <c r="J367" i="6"/>
  <c r="I367" i="6"/>
  <c r="H367" i="6"/>
  <c r="G367" i="6"/>
  <c r="F367" i="6"/>
  <c r="E367" i="6"/>
  <c r="D367" i="6"/>
  <c r="C367" i="6"/>
  <c r="U367" i="6"/>
  <c r="B367" i="6"/>
  <c r="T368" i="6"/>
  <c r="S368" i="6"/>
  <c r="R368" i="6"/>
  <c r="Q368" i="6"/>
  <c r="P368" i="6"/>
  <c r="O368" i="6"/>
  <c r="N368" i="6"/>
  <c r="M368" i="6"/>
  <c r="L368" i="6"/>
  <c r="K368" i="6"/>
  <c r="J368" i="6"/>
  <c r="I368" i="6"/>
  <c r="H368" i="6"/>
  <c r="G368" i="6"/>
  <c r="F368" i="6"/>
  <c r="E368" i="6"/>
  <c r="D368" i="6"/>
  <c r="C368" i="6"/>
  <c r="U368" i="6"/>
  <c r="B368" i="6"/>
  <c r="T369" i="6"/>
  <c r="S369" i="6"/>
  <c r="R369" i="6"/>
  <c r="Q369" i="6"/>
  <c r="P369" i="6"/>
  <c r="O369" i="6"/>
  <c r="N369" i="6"/>
  <c r="M369" i="6"/>
  <c r="L369" i="6"/>
  <c r="K369" i="6"/>
  <c r="J369" i="6"/>
  <c r="I369" i="6"/>
  <c r="H369" i="6"/>
  <c r="G369" i="6"/>
  <c r="F369" i="6"/>
  <c r="E369" i="6"/>
  <c r="D369" i="6"/>
  <c r="C369" i="6"/>
  <c r="U369" i="6"/>
  <c r="B369" i="6"/>
  <c r="T370" i="6"/>
  <c r="S370" i="6"/>
  <c r="R370" i="6"/>
  <c r="Q370" i="6"/>
  <c r="P370" i="6"/>
  <c r="O370" i="6"/>
  <c r="N370" i="6"/>
  <c r="M370" i="6"/>
  <c r="L370" i="6"/>
  <c r="K370" i="6"/>
  <c r="J370" i="6"/>
  <c r="I370" i="6"/>
  <c r="H370" i="6"/>
  <c r="G370" i="6"/>
  <c r="F370" i="6"/>
  <c r="E370" i="6"/>
  <c r="D370" i="6"/>
  <c r="C370" i="6"/>
  <c r="U370" i="6"/>
  <c r="B370" i="6"/>
  <c r="T371" i="6"/>
  <c r="S371" i="6"/>
  <c r="R371" i="6"/>
  <c r="Q371" i="6"/>
  <c r="P371" i="6"/>
  <c r="O371" i="6"/>
  <c r="N371" i="6"/>
  <c r="M371" i="6"/>
  <c r="L371" i="6"/>
  <c r="K371" i="6"/>
  <c r="J371" i="6"/>
  <c r="I371" i="6"/>
  <c r="H371" i="6"/>
  <c r="G371" i="6"/>
  <c r="F371" i="6"/>
  <c r="E371" i="6"/>
  <c r="D371" i="6"/>
  <c r="C371" i="6"/>
  <c r="U371" i="6"/>
  <c r="B371" i="6"/>
  <c r="T372" i="6"/>
  <c r="S372" i="6"/>
  <c r="R372" i="6"/>
  <c r="Q372" i="6"/>
  <c r="P372" i="6"/>
  <c r="O372" i="6"/>
  <c r="N372" i="6"/>
  <c r="M372" i="6"/>
  <c r="L372" i="6"/>
  <c r="K372" i="6"/>
  <c r="J372" i="6"/>
  <c r="I372" i="6"/>
  <c r="H372" i="6"/>
  <c r="G372" i="6"/>
  <c r="F372" i="6"/>
  <c r="E372" i="6"/>
  <c r="D372" i="6"/>
  <c r="C372" i="6"/>
  <c r="U372" i="6"/>
  <c r="B372" i="6"/>
  <c r="T373" i="6"/>
  <c r="S373" i="6"/>
  <c r="R373" i="6"/>
  <c r="Q373" i="6"/>
  <c r="P373" i="6"/>
  <c r="O373" i="6"/>
  <c r="N373" i="6"/>
  <c r="M373" i="6"/>
  <c r="L373" i="6"/>
  <c r="K373" i="6"/>
  <c r="J373" i="6"/>
  <c r="I373" i="6"/>
  <c r="H373" i="6"/>
  <c r="G373" i="6"/>
  <c r="F373" i="6"/>
  <c r="E373" i="6"/>
  <c r="D373" i="6"/>
  <c r="C373" i="6"/>
  <c r="U373" i="6"/>
  <c r="B373" i="6"/>
  <c r="T374" i="6"/>
  <c r="S374" i="6"/>
  <c r="R374" i="6"/>
  <c r="Q374" i="6"/>
  <c r="P374" i="6"/>
  <c r="O374" i="6"/>
  <c r="N374" i="6"/>
  <c r="M374" i="6"/>
  <c r="L374" i="6"/>
  <c r="K374" i="6"/>
  <c r="J374" i="6"/>
  <c r="I374" i="6"/>
  <c r="H374" i="6"/>
  <c r="G374" i="6"/>
  <c r="F374" i="6"/>
  <c r="E374" i="6"/>
  <c r="D374" i="6"/>
  <c r="C374" i="6"/>
  <c r="U374" i="6"/>
  <c r="B374" i="6"/>
  <c r="T375" i="6"/>
  <c r="S375" i="6"/>
  <c r="R375" i="6"/>
  <c r="Q375" i="6"/>
  <c r="P375" i="6"/>
  <c r="O375" i="6"/>
  <c r="N375" i="6"/>
  <c r="M375" i="6"/>
  <c r="L375" i="6"/>
  <c r="K375" i="6"/>
  <c r="J375" i="6"/>
  <c r="I375" i="6"/>
  <c r="H375" i="6"/>
  <c r="G375" i="6"/>
  <c r="F375" i="6"/>
  <c r="E375" i="6"/>
  <c r="D375" i="6"/>
  <c r="C375" i="6"/>
  <c r="U375" i="6"/>
  <c r="B375" i="6"/>
  <c r="T376" i="6"/>
  <c r="S376" i="6"/>
  <c r="R376" i="6"/>
  <c r="Q376" i="6"/>
  <c r="P376" i="6"/>
  <c r="O376" i="6"/>
  <c r="N376" i="6"/>
  <c r="M376" i="6"/>
  <c r="L376" i="6"/>
  <c r="K376" i="6"/>
  <c r="J376" i="6"/>
  <c r="I376" i="6"/>
  <c r="H376" i="6"/>
  <c r="G376" i="6"/>
  <c r="F376" i="6"/>
  <c r="E376" i="6"/>
  <c r="D376" i="6"/>
  <c r="C376" i="6"/>
  <c r="U376" i="6"/>
  <c r="B376" i="6"/>
  <c r="T377" i="6"/>
  <c r="S377" i="6"/>
  <c r="R377" i="6"/>
  <c r="Q377" i="6"/>
  <c r="P377" i="6"/>
  <c r="O377" i="6"/>
  <c r="N377" i="6"/>
  <c r="M377" i="6"/>
  <c r="L377" i="6"/>
  <c r="K377" i="6"/>
  <c r="J377" i="6"/>
  <c r="I377" i="6"/>
  <c r="H377" i="6"/>
  <c r="G377" i="6"/>
  <c r="F377" i="6"/>
  <c r="E377" i="6"/>
  <c r="D377" i="6"/>
  <c r="C377" i="6"/>
  <c r="U377" i="6"/>
  <c r="B377" i="6"/>
  <c r="T378" i="6"/>
  <c r="S378" i="6"/>
  <c r="R378" i="6"/>
  <c r="Q378" i="6"/>
  <c r="P378" i="6"/>
  <c r="O378" i="6"/>
  <c r="N378" i="6"/>
  <c r="M378" i="6"/>
  <c r="L378" i="6"/>
  <c r="K378" i="6"/>
  <c r="J378" i="6"/>
  <c r="I378" i="6"/>
  <c r="H378" i="6"/>
  <c r="G378" i="6"/>
  <c r="F378" i="6"/>
  <c r="E378" i="6"/>
  <c r="D378" i="6"/>
  <c r="C378" i="6"/>
  <c r="U378" i="6"/>
  <c r="B378" i="6"/>
  <c r="T379" i="6"/>
  <c r="S379" i="6"/>
  <c r="R379" i="6"/>
  <c r="Q379" i="6"/>
  <c r="P379" i="6"/>
  <c r="O379" i="6"/>
  <c r="N379" i="6"/>
  <c r="M379" i="6"/>
  <c r="L379" i="6"/>
  <c r="K379" i="6"/>
  <c r="J379" i="6"/>
  <c r="I379" i="6"/>
  <c r="H379" i="6"/>
  <c r="G379" i="6"/>
  <c r="F379" i="6"/>
  <c r="E379" i="6"/>
  <c r="D379" i="6"/>
  <c r="C379" i="6"/>
  <c r="U379" i="6"/>
  <c r="B379" i="6"/>
  <c r="T380" i="6"/>
  <c r="S380" i="6"/>
  <c r="R380" i="6"/>
  <c r="Q380" i="6"/>
  <c r="P380" i="6"/>
  <c r="O380" i="6"/>
  <c r="N380" i="6"/>
  <c r="M380" i="6"/>
  <c r="L380" i="6"/>
  <c r="K380" i="6"/>
  <c r="J380" i="6"/>
  <c r="I380" i="6"/>
  <c r="H380" i="6"/>
  <c r="G380" i="6"/>
  <c r="F380" i="6"/>
  <c r="E380" i="6"/>
  <c r="D380" i="6"/>
  <c r="C380" i="6"/>
  <c r="U380" i="6"/>
  <c r="B380" i="6"/>
  <c r="T381" i="6"/>
  <c r="S381" i="6"/>
  <c r="R381" i="6"/>
  <c r="Q381" i="6"/>
  <c r="P381" i="6"/>
  <c r="O381" i="6"/>
  <c r="N381" i="6"/>
  <c r="M381" i="6"/>
  <c r="L381" i="6"/>
  <c r="K381" i="6"/>
  <c r="J381" i="6"/>
  <c r="I381" i="6"/>
  <c r="H381" i="6"/>
  <c r="G381" i="6"/>
  <c r="F381" i="6"/>
  <c r="E381" i="6"/>
  <c r="D381" i="6"/>
  <c r="C381" i="6"/>
  <c r="U381" i="6"/>
  <c r="B381" i="6"/>
  <c r="T382" i="6"/>
  <c r="S382" i="6"/>
  <c r="R382" i="6"/>
  <c r="Q382" i="6"/>
  <c r="P382" i="6"/>
  <c r="O382" i="6"/>
  <c r="N382" i="6"/>
  <c r="M382" i="6"/>
  <c r="L382" i="6"/>
  <c r="K382" i="6"/>
  <c r="J382" i="6"/>
  <c r="I382" i="6"/>
  <c r="H382" i="6"/>
  <c r="G382" i="6"/>
  <c r="F382" i="6"/>
  <c r="E382" i="6"/>
  <c r="D382" i="6"/>
  <c r="C382" i="6"/>
  <c r="U382" i="6"/>
  <c r="B382" i="6"/>
  <c r="T383" i="6"/>
  <c r="S383" i="6"/>
  <c r="R383" i="6"/>
  <c r="Q383" i="6"/>
  <c r="P383" i="6"/>
  <c r="O383" i="6"/>
  <c r="N383" i="6"/>
  <c r="M383" i="6"/>
  <c r="L383" i="6"/>
  <c r="K383" i="6"/>
  <c r="J383" i="6"/>
  <c r="I383" i="6"/>
  <c r="H383" i="6"/>
  <c r="G383" i="6"/>
  <c r="F383" i="6"/>
  <c r="E383" i="6"/>
  <c r="D383" i="6"/>
  <c r="C383" i="6"/>
  <c r="U383" i="6"/>
  <c r="B383" i="6"/>
  <c r="T384" i="6"/>
  <c r="S384" i="6"/>
  <c r="R384" i="6"/>
  <c r="Q384" i="6"/>
  <c r="P384" i="6"/>
  <c r="O384" i="6"/>
  <c r="N384" i="6"/>
  <c r="M384" i="6"/>
  <c r="L384" i="6"/>
  <c r="K384" i="6"/>
  <c r="J384" i="6"/>
  <c r="I384" i="6"/>
  <c r="H384" i="6"/>
  <c r="G384" i="6"/>
  <c r="F384" i="6"/>
  <c r="E384" i="6"/>
  <c r="D384" i="6"/>
  <c r="C384" i="6"/>
  <c r="U384" i="6"/>
  <c r="B384" i="6"/>
  <c r="T385" i="6"/>
  <c r="S385" i="6"/>
  <c r="R385" i="6"/>
  <c r="Q385" i="6"/>
  <c r="P385" i="6"/>
  <c r="O385" i="6"/>
  <c r="N385" i="6"/>
  <c r="M385" i="6"/>
  <c r="L385" i="6"/>
  <c r="K385" i="6"/>
  <c r="J385" i="6"/>
  <c r="I385" i="6"/>
  <c r="H385" i="6"/>
  <c r="G385" i="6"/>
  <c r="F385" i="6"/>
  <c r="E385" i="6"/>
  <c r="D385" i="6"/>
  <c r="C385" i="6"/>
  <c r="U385" i="6"/>
  <c r="B385" i="6"/>
  <c r="T386" i="6"/>
  <c r="S386" i="6"/>
  <c r="R386" i="6"/>
  <c r="Q386" i="6"/>
  <c r="P386" i="6"/>
  <c r="O386" i="6"/>
  <c r="N386" i="6"/>
  <c r="M386" i="6"/>
  <c r="L386" i="6"/>
  <c r="K386" i="6"/>
  <c r="J386" i="6"/>
  <c r="I386" i="6"/>
  <c r="H386" i="6"/>
  <c r="G386" i="6"/>
  <c r="F386" i="6"/>
  <c r="E386" i="6"/>
  <c r="D386" i="6"/>
  <c r="C386" i="6"/>
  <c r="U386" i="6"/>
  <c r="B386" i="6"/>
  <c r="T387" i="6"/>
  <c r="S387" i="6"/>
  <c r="R387" i="6"/>
  <c r="Q387" i="6"/>
  <c r="P387" i="6"/>
  <c r="O387" i="6"/>
  <c r="N387" i="6"/>
  <c r="M387" i="6"/>
  <c r="L387" i="6"/>
  <c r="K387" i="6"/>
  <c r="J387" i="6"/>
  <c r="I387" i="6"/>
  <c r="H387" i="6"/>
  <c r="G387" i="6"/>
  <c r="F387" i="6"/>
  <c r="E387" i="6"/>
  <c r="D387" i="6"/>
  <c r="C387" i="6"/>
  <c r="U387" i="6"/>
  <c r="B387" i="6"/>
  <c r="T388" i="6"/>
  <c r="S388" i="6"/>
  <c r="R388" i="6"/>
  <c r="Q388" i="6"/>
  <c r="P388" i="6"/>
  <c r="O388" i="6"/>
  <c r="N388" i="6"/>
  <c r="M388" i="6"/>
  <c r="L388" i="6"/>
  <c r="K388" i="6"/>
  <c r="J388" i="6"/>
  <c r="I388" i="6"/>
  <c r="H388" i="6"/>
  <c r="G388" i="6"/>
  <c r="F388" i="6"/>
  <c r="E388" i="6"/>
  <c r="D388" i="6"/>
  <c r="C388" i="6"/>
  <c r="U388" i="6"/>
  <c r="B388" i="6"/>
  <c r="T389" i="6"/>
  <c r="S389" i="6"/>
  <c r="R389" i="6"/>
  <c r="Q389" i="6"/>
  <c r="P389" i="6"/>
  <c r="O389" i="6"/>
  <c r="N389" i="6"/>
  <c r="M389" i="6"/>
  <c r="L389" i="6"/>
  <c r="K389" i="6"/>
  <c r="J389" i="6"/>
  <c r="I389" i="6"/>
  <c r="H389" i="6"/>
  <c r="G389" i="6"/>
  <c r="F389" i="6"/>
  <c r="E389" i="6"/>
  <c r="D389" i="6"/>
  <c r="C389" i="6"/>
  <c r="U389" i="6"/>
  <c r="B389" i="6"/>
  <c r="T390" i="6"/>
  <c r="S390" i="6"/>
  <c r="R390" i="6"/>
  <c r="Q390" i="6"/>
  <c r="P390" i="6"/>
  <c r="O390" i="6"/>
  <c r="N390" i="6"/>
  <c r="M390" i="6"/>
  <c r="L390" i="6"/>
  <c r="K390" i="6"/>
  <c r="J390" i="6"/>
  <c r="I390" i="6"/>
  <c r="H390" i="6"/>
  <c r="G390" i="6"/>
  <c r="F390" i="6"/>
  <c r="E390" i="6"/>
  <c r="D390" i="6"/>
  <c r="C390" i="6"/>
  <c r="U390" i="6"/>
  <c r="B390" i="6"/>
  <c r="T391" i="6"/>
  <c r="S391" i="6"/>
  <c r="R391" i="6"/>
  <c r="Q391" i="6"/>
  <c r="P391" i="6"/>
  <c r="O391" i="6"/>
  <c r="N391" i="6"/>
  <c r="M391" i="6"/>
  <c r="L391" i="6"/>
  <c r="K391" i="6"/>
  <c r="J391" i="6"/>
  <c r="I391" i="6"/>
  <c r="H391" i="6"/>
  <c r="G391" i="6"/>
  <c r="F391" i="6"/>
  <c r="E391" i="6"/>
  <c r="D391" i="6"/>
  <c r="C391" i="6"/>
  <c r="U391" i="6"/>
  <c r="B391" i="6"/>
  <c r="T392" i="6"/>
  <c r="S392" i="6"/>
  <c r="R392" i="6"/>
  <c r="Q392" i="6"/>
  <c r="P392" i="6"/>
  <c r="O392" i="6"/>
  <c r="N392" i="6"/>
  <c r="M392" i="6"/>
  <c r="L392" i="6"/>
  <c r="K392" i="6"/>
  <c r="J392" i="6"/>
  <c r="I392" i="6"/>
  <c r="H392" i="6"/>
  <c r="G392" i="6"/>
  <c r="F392" i="6"/>
  <c r="E392" i="6"/>
  <c r="D392" i="6"/>
  <c r="C392" i="6"/>
  <c r="U392" i="6"/>
  <c r="B392" i="6"/>
  <c r="T393" i="6"/>
  <c r="S393" i="6"/>
  <c r="R393" i="6"/>
  <c r="Q393" i="6"/>
  <c r="P393" i="6"/>
  <c r="O393" i="6"/>
  <c r="N393" i="6"/>
  <c r="M393" i="6"/>
  <c r="L393" i="6"/>
  <c r="K393" i="6"/>
  <c r="J393" i="6"/>
  <c r="I393" i="6"/>
  <c r="H393" i="6"/>
  <c r="G393" i="6"/>
  <c r="F393" i="6"/>
  <c r="E393" i="6"/>
  <c r="D393" i="6"/>
  <c r="C393" i="6"/>
  <c r="U393" i="6"/>
  <c r="B393" i="6"/>
  <c r="T394" i="6"/>
  <c r="S394" i="6"/>
  <c r="R394" i="6"/>
  <c r="Q394" i="6"/>
  <c r="P394" i="6"/>
  <c r="O394" i="6"/>
  <c r="N394" i="6"/>
  <c r="M394" i="6"/>
  <c r="L394" i="6"/>
  <c r="K394" i="6"/>
  <c r="J394" i="6"/>
  <c r="I394" i="6"/>
  <c r="H394" i="6"/>
  <c r="G394" i="6"/>
  <c r="F394" i="6"/>
  <c r="E394" i="6"/>
  <c r="D394" i="6"/>
  <c r="C394" i="6"/>
  <c r="U394" i="6"/>
  <c r="B394" i="6"/>
  <c r="T395" i="6"/>
  <c r="S395" i="6"/>
  <c r="R395" i="6"/>
  <c r="Q395" i="6"/>
  <c r="P395" i="6"/>
  <c r="O395" i="6"/>
  <c r="N395" i="6"/>
  <c r="M395" i="6"/>
  <c r="L395" i="6"/>
  <c r="K395" i="6"/>
  <c r="J395" i="6"/>
  <c r="I395" i="6"/>
  <c r="H395" i="6"/>
  <c r="G395" i="6"/>
  <c r="F395" i="6"/>
  <c r="E395" i="6"/>
  <c r="D395" i="6"/>
  <c r="C395" i="6"/>
  <c r="U395" i="6"/>
  <c r="B395" i="6"/>
  <c r="T396" i="6"/>
  <c r="S396" i="6"/>
  <c r="R396" i="6"/>
  <c r="Q396" i="6"/>
  <c r="P396" i="6"/>
  <c r="O396" i="6"/>
  <c r="N396" i="6"/>
  <c r="M396" i="6"/>
  <c r="L396" i="6"/>
  <c r="K396" i="6"/>
  <c r="J396" i="6"/>
  <c r="I396" i="6"/>
  <c r="H396" i="6"/>
  <c r="G396" i="6"/>
  <c r="F396" i="6"/>
  <c r="E396" i="6"/>
  <c r="D396" i="6"/>
  <c r="C396" i="6"/>
  <c r="U396" i="6"/>
  <c r="B396" i="6"/>
  <c r="T397" i="6"/>
  <c r="S397" i="6"/>
  <c r="R397" i="6"/>
  <c r="Q397" i="6"/>
  <c r="P397" i="6"/>
  <c r="O397" i="6"/>
  <c r="N397" i="6"/>
  <c r="M397" i="6"/>
  <c r="L397" i="6"/>
  <c r="K397" i="6"/>
  <c r="J397" i="6"/>
  <c r="I397" i="6"/>
  <c r="H397" i="6"/>
  <c r="G397" i="6"/>
  <c r="F397" i="6"/>
  <c r="E397" i="6"/>
  <c r="D397" i="6"/>
  <c r="C397" i="6"/>
  <c r="U397" i="6"/>
  <c r="B397" i="6"/>
  <c r="T398" i="6"/>
  <c r="S398" i="6"/>
  <c r="R398" i="6"/>
  <c r="Q398" i="6"/>
  <c r="P398" i="6"/>
  <c r="O398" i="6"/>
  <c r="N398" i="6"/>
  <c r="M398" i="6"/>
  <c r="L398" i="6"/>
  <c r="K398" i="6"/>
  <c r="J398" i="6"/>
  <c r="I398" i="6"/>
  <c r="H398" i="6"/>
  <c r="G398" i="6"/>
  <c r="F398" i="6"/>
  <c r="E398" i="6"/>
  <c r="D398" i="6"/>
  <c r="C398" i="6"/>
  <c r="U398" i="6"/>
  <c r="B398" i="6"/>
  <c r="T399" i="6"/>
  <c r="S399" i="6"/>
  <c r="R399" i="6"/>
  <c r="Q399" i="6"/>
  <c r="P399" i="6"/>
  <c r="O399" i="6"/>
  <c r="N399" i="6"/>
  <c r="M399" i="6"/>
  <c r="L399" i="6"/>
  <c r="K399" i="6"/>
  <c r="J399" i="6"/>
  <c r="I399" i="6"/>
  <c r="H399" i="6"/>
  <c r="G399" i="6"/>
  <c r="F399" i="6"/>
  <c r="E399" i="6"/>
  <c r="D399" i="6"/>
  <c r="C399" i="6"/>
  <c r="U399" i="6"/>
  <c r="B399" i="6"/>
  <c r="T400" i="6"/>
  <c r="S400" i="6"/>
  <c r="R400" i="6"/>
  <c r="Q400" i="6"/>
  <c r="P400" i="6"/>
  <c r="O400" i="6"/>
  <c r="N400" i="6"/>
  <c r="M400" i="6"/>
  <c r="L400" i="6"/>
  <c r="K400" i="6"/>
  <c r="J400" i="6"/>
  <c r="I400" i="6"/>
  <c r="H400" i="6"/>
  <c r="G400" i="6"/>
  <c r="F400" i="6"/>
  <c r="E400" i="6"/>
  <c r="D400" i="6"/>
  <c r="C400" i="6"/>
  <c r="U400" i="6"/>
  <c r="B400" i="6"/>
  <c r="T401" i="6"/>
  <c r="S401" i="6"/>
  <c r="R401" i="6"/>
  <c r="Q401" i="6"/>
  <c r="P401" i="6"/>
  <c r="O401" i="6"/>
  <c r="N401" i="6"/>
  <c r="M401" i="6"/>
  <c r="L401" i="6"/>
  <c r="K401" i="6"/>
  <c r="J401" i="6"/>
  <c r="I401" i="6"/>
  <c r="H401" i="6"/>
  <c r="G401" i="6"/>
  <c r="F401" i="6"/>
  <c r="E401" i="6"/>
  <c r="D401" i="6"/>
  <c r="C401" i="6"/>
  <c r="U401" i="6"/>
  <c r="B401" i="6"/>
  <c r="T402" i="6"/>
  <c r="S402" i="6"/>
  <c r="R402" i="6"/>
  <c r="Q402" i="6"/>
  <c r="P402" i="6"/>
  <c r="O402" i="6"/>
  <c r="N402" i="6"/>
  <c r="M402" i="6"/>
  <c r="L402" i="6"/>
  <c r="K402" i="6"/>
  <c r="J402" i="6"/>
  <c r="I402" i="6"/>
  <c r="H402" i="6"/>
  <c r="G402" i="6"/>
  <c r="F402" i="6"/>
  <c r="E402" i="6"/>
  <c r="D402" i="6"/>
  <c r="C402" i="6"/>
  <c r="U402" i="6"/>
  <c r="B402" i="6"/>
  <c r="T403" i="6"/>
  <c r="S403" i="6"/>
  <c r="R403" i="6"/>
  <c r="Q403" i="6"/>
  <c r="P403" i="6"/>
  <c r="O403" i="6"/>
  <c r="N403" i="6"/>
  <c r="M403" i="6"/>
  <c r="L403" i="6"/>
  <c r="K403" i="6"/>
  <c r="J403" i="6"/>
  <c r="I403" i="6"/>
  <c r="H403" i="6"/>
  <c r="G403" i="6"/>
  <c r="F403" i="6"/>
  <c r="E403" i="6"/>
  <c r="D403" i="6"/>
  <c r="C403" i="6"/>
  <c r="U403" i="6"/>
  <c r="B403" i="6"/>
  <c r="T404" i="6"/>
  <c r="S404" i="6"/>
  <c r="R404" i="6"/>
  <c r="Q404" i="6"/>
  <c r="P404" i="6"/>
  <c r="O404" i="6"/>
  <c r="N404" i="6"/>
  <c r="M404" i="6"/>
  <c r="L404" i="6"/>
  <c r="K404" i="6"/>
  <c r="J404" i="6"/>
  <c r="I404" i="6"/>
  <c r="H404" i="6"/>
  <c r="G404" i="6"/>
  <c r="F404" i="6"/>
  <c r="E404" i="6"/>
  <c r="D404" i="6"/>
  <c r="C404" i="6"/>
  <c r="U404" i="6"/>
  <c r="B404" i="6"/>
  <c r="T405" i="6"/>
  <c r="S405" i="6"/>
  <c r="R405" i="6"/>
  <c r="Q405" i="6"/>
  <c r="P405" i="6"/>
  <c r="O405" i="6"/>
  <c r="N405" i="6"/>
  <c r="M405" i="6"/>
  <c r="L405" i="6"/>
  <c r="K405" i="6"/>
  <c r="J405" i="6"/>
  <c r="I405" i="6"/>
  <c r="H405" i="6"/>
  <c r="G405" i="6"/>
  <c r="F405" i="6"/>
  <c r="E405" i="6"/>
  <c r="D405" i="6"/>
  <c r="C405" i="6"/>
  <c r="U405" i="6"/>
  <c r="B405" i="6"/>
  <c r="T406" i="6"/>
  <c r="S406" i="6"/>
  <c r="R406" i="6"/>
  <c r="Q406" i="6"/>
  <c r="P406" i="6"/>
  <c r="O406" i="6"/>
  <c r="N406" i="6"/>
  <c r="M406" i="6"/>
  <c r="L406" i="6"/>
  <c r="K406" i="6"/>
  <c r="J406" i="6"/>
  <c r="I406" i="6"/>
  <c r="H406" i="6"/>
  <c r="G406" i="6"/>
  <c r="F406" i="6"/>
  <c r="E406" i="6"/>
  <c r="D406" i="6"/>
  <c r="C406" i="6"/>
  <c r="U406" i="6"/>
  <c r="B406" i="6"/>
  <c r="T407" i="6"/>
  <c r="S407" i="6"/>
  <c r="R407" i="6"/>
  <c r="Q407" i="6"/>
  <c r="P407" i="6"/>
  <c r="O407" i="6"/>
  <c r="N407" i="6"/>
  <c r="M407" i="6"/>
  <c r="L407" i="6"/>
  <c r="K407" i="6"/>
  <c r="J407" i="6"/>
  <c r="I407" i="6"/>
  <c r="H407" i="6"/>
  <c r="G407" i="6"/>
  <c r="F407" i="6"/>
  <c r="E407" i="6"/>
  <c r="D407" i="6"/>
  <c r="C407" i="6"/>
  <c r="U407" i="6"/>
  <c r="B407" i="6"/>
  <c r="T408" i="6"/>
  <c r="S408" i="6"/>
  <c r="R408" i="6"/>
  <c r="Q408" i="6"/>
  <c r="P408" i="6"/>
  <c r="O408" i="6"/>
  <c r="N408" i="6"/>
  <c r="M408" i="6"/>
  <c r="L408" i="6"/>
  <c r="K408" i="6"/>
  <c r="J408" i="6"/>
  <c r="I408" i="6"/>
  <c r="H408" i="6"/>
  <c r="G408" i="6"/>
  <c r="F408" i="6"/>
  <c r="E408" i="6"/>
  <c r="D408" i="6"/>
  <c r="C408" i="6"/>
  <c r="U408" i="6"/>
  <c r="B408" i="6"/>
  <c r="T409" i="6"/>
  <c r="S409" i="6"/>
  <c r="R409" i="6"/>
  <c r="Q409" i="6"/>
  <c r="P409" i="6"/>
  <c r="O409" i="6"/>
  <c r="N409" i="6"/>
  <c r="M409" i="6"/>
  <c r="L409" i="6"/>
  <c r="K409" i="6"/>
  <c r="J409" i="6"/>
  <c r="I409" i="6"/>
  <c r="H409" i="6"/>
  <c r="G409" i="6"/>
  <c r="F409" i="6"/>
  <c r="E409" i="6"/>
  <c r="D409" i="6"/>
  <c r="C409" i="6"/>
  <c r="U409" i="6"/>
  <c r="B409" i="6"/>
  <c r="T410" i="6"/>
  <c r="S410" i="6"/>
  <c r="R410" i="6"/>
  <c r="Q410" i="6"/>
  <c r="P410" i="6"/>
  <c r="O410" i="6"/>
  <c r="N410" i="6"/>
  <c r="M410" i="6"/>
  <c r="L410" i="6"/>
  <c r="K410" i="6"/>
  <c r="J410" i="6"/>
  <c r="I410" i="6"/>
  <c r="H410" i="6"/>
  <c r="G410" i="6"/>
  <c r="F410" i="6"/>
  <c r="E410" i="6"/>
  <c r="D410" i="6"/>
  <c r="C410" i="6"/>
  <c r="U410" i="6"/>
  <c r="B410" i="6"/>
  <c r="T411" i="6"/>
  <c r="S411" i="6"/>
  <c r="R411" i="6"/>
  <c r="Q411" i="6"/>
  <c r="P411" i="6"/>
  <c r="O411" i="6"/>
  <c r="N411" i="6"/>
  <c r="M411" i="6"/>
  <c r="L411" i="6"/>
  <c r="K411" i="6"/>
  <c r="J411" i="6"/>
  <c r="I411" i="6"/>
  <c r="H411" i="6"/>
  <c r="G411" i="6"/>
  <c r="F411" i="6"/>
  <c r="E411" i="6"/>
  <c r="D411" i="6"/>
  <c r="C411" i="6"/>
  <c r="U411" i="6"/>
  <c r="B411" i="6"/>
  <c r="T412" i="6"/>
  <c r="S412" i="6"/>
  <c r="R412" i="6"/>
  <c r="Q412" i="6"/>
  <c r="P412" i="6"/>
  <c r="O412" i="6"/>
  <c r="N412" i="6"/>
  <c r="M412" i="6"/>
  <c r="L412" i="6"/>
  <c r="K412" i="6"/>
  <c r="J412" i="6"/>
  <c r="I412" i="6"/>
  <c r="H412" i="6"/>
  <c r="G412" i="6"/>
  <c r="F412" i="6"/>
  <c r="E412" i="6"/>
  <c r="D412" i="6"/>
  <c r="C412" i="6"/>
  <c r="U412" i="6"/>
  <c r="B412" i="6"/>
  <c r="T413" i="6"/>
  <c r="S413" i="6"/>
  <c r="R413" i="6"/>
  <c r="Q413" i="6"/>
  <c r="P413" i="6"/>
  <c r="O413" i="6"/>
  <c r="N413" i="6"/>
  <c r="M413" i="6"/>
  <c r="L413" i="6"/>
  <c r="K413" i="6"/>
  <c r="J413" i="6"/>
  <c r="I413" i="6"/>
  <c r="H413" i="6"/>
  <c r="G413" i="6"/>
  <c r="F413" i="6"/>
  <c r="E413" i="6"/>
  <c r="D413" i="6"/>
  <c r="C413" i="6"/>
  <c r="U413" i="6"/>
  <c r="B413" i="6"/>
  <c r="W13" i="3"/>
  <c r="X13" i="3"/>
  <c r="DB236" i="1"/>
  <c r="DB574" i="1"/>
  <c r="DB572" i="1"/>
  <c r="DB610" i="1"/>
  <c r="DB605" i="1"/>
  <c r="DB606" i="1"/>
  <c r="DB133" i="1"/>
  <c r="DB564" i="1"/>
  <c r="DB562" i="1"/>
  <c r="DB168" i="1"/>
  <c r="DB154" i="1"/>
  <c r="DB216" i="1"/>
  <c r="DB563" i="1"/>
  <c r="DB568" i="1"/>
  <c r="DB571" i="1"/>
  <c r="X10" i="3"/>
  <c r="W11" i="3"/>
  <c r="X11" i="3"/>
  <c r="W12" i="3"/>
  <c r="X12" i="3"/>
  <c r="AC8" i="3"/>
  <c r="AB8" i="3"/>
  <c r="AA8" i="3"/>
  <c r="EV682" i="1"/>
  <c r="AV8" i="3"/>
  <c r="AT8" i="3"/>
  <c r="DB556" i="1"/>
  <c r="DB547" i="1"/>
  <c r="W8" i="3"/>
  <c r="X8" i="3"/>
  <c r="W9" i="3"/>
  <c r="X9" i="3"/>
  <c r="W10" i="3"/>
  <c r="DB551" i="1"/>
  <c r="AY4" i="3"/>
  <c r="AY5" i="3"/>
  <c r="AY6" i="3"/>
  <c r="AY7" i="3"/>
  <c r="AY8" i="3"/>
  <c r="AT4" i="3"/>
  <c r="EV58" i="1"/>
  <c r="AV4" i="3"/>
  <c r="W6" i="3"/>
  <c r="X6" i="3"/>
  <c r="W5" i="3"/>
  <c r="X5" i="3"/>
  <c r="W4" i="3"/>
  <c r="X4" i="3"/>
  <c r="AR4" i="3"/>
  <c r="AA7" i="3"/>
  <c r="AB7" i="3"/>
  <c r="AC7" i="3"/>
  <c r="W7" i="3"/>
  <c r="X7" i="3"/>
  <c r="R7" i="3"/>
  <c r="S7" i="3"/>
  <c r="T7" i="3"/>
  <c r="B7" i="3"/>
  <c r="M7" i="3"/>
  <c r="N7" i="3"/>
  <c r="O7" i="3"/>
  <c r="AF7" i="3"/>
  <c r="AF13" i="3"/>
  <c r="AF12" i="3"/>
  <c r="AF11" i="3"/>
  <c r="AF10" i="3"/>
  <c r="AF9" i="3"/>
  <c r="AF8" i="3"/>
  <c r="AF6" i="3"/>
  <c r="AF5" i="3"/>
  <c r="AF4" i="3"/>
  <c r="AC3" i="3"/>
  <c r="AB3" i="3"/>
  <c r="AA3" i="3"/>
  <c r="X3" i="3"/>
  <c r="W3" i="3"/>
  <c r="T3" i="3"/>
  <c r="S3" i="3"/>
  <c r="R3" i="3"/>
  <c r="AF3" i="3"/>
  <c r="O3" i="3"/>
  <c r="N3" i="3"/>
  <c r="M3" i="3"/>
  <c r="B3" i="3"/>
  <c r="AV7" i="3"/>
  <c r="AT7" i="3"/>
  <c r="AR7" i="3"/>
  <c r="AY9" i="3"/>
  <c r="AY10" i="3"/>
  <c r="AY11" i="3"/>
  <c r="AY12" i="3"/>
  <c r="AZ12" i="3"/>
  <c r="AY13" i="3"/>
  <c r="AV6" i="3"/>
  <c r="AT6" i="3"/>
  <c r="AR6" i="3"/>
  <c r="AV5" i="3"/>
  <c r="AT5" i="3"/>
  <c r="AR5" i="3"/>
  <c r="AY3" i="3"/>
  <c r="AZ3" i="3"/>
  <c r="AV3" i="3"/>
  <c r="AT3" i="3"/>
  <c r="AR3" i="3"/>
  <c r="AZ13" i="3"/>
  <c r="S13" i="3"/>
  <c r="T13" i="3"/>
  <c r="R13" i="3"/>
  <c r="S12" i="3"/>
  <c r="T12" i="3"/>
  <c r="N4" i="3"/>
  <c r="O4" i="3"/>
  <c r="M4" i="3"/>
  <c r="S4" i="3"/>
  <c r="T4" i="3"/>
  <c r="R4" i="3"/>
  <c r="N5" i="3"/>
  <c r="O5" i="3"/>
  <c r="M5" i="3"/>
  <c r="S5" i="3"/>
  <c r="T5" i="3"/>
  <c r="R5" i="3"/>
  <c r="N6" i="3"/>
  <c r="O6" i="3"/>
  <c r="M6" i="3"/>
  <c r="S6" i="3"/>
  <c r="T6" i="3"/>
  <c r="R6" i="3"/>
  <c r="N13" i="3"/>
  <c r="O13" i="3"/>
  <c r="M13" i="3"/>
  <c r="N12" i="3"/>
  <c r="O12" i="3"/>
  <c r="M12" i="3"/>
  <c r="N11" i="3"/>
  <c r="O11" i="3"/>
  <c r="M11" i="3"/>
  <c r="O10" i="3"/>
  <c r="M10" i="3"/>
  <c r="N10" i="3"/>
  <c r="N9" i="3"/>
  <c r="O9" i="3"/>
  <c r="M9" i="3"/>
  <c r="N8" i="3"/>
  <c r="O8" i="3"/>
  <c r="M8" i="3"/>
  <c r="R12" i="3"/>
  <c r="S11" i="3"/>
  <c r="T11" i="3"/>
  <c r="R11" i="3"/>
  <c r="S10" i="3"/>
  <c r="T10" i="3"/>
  <c r="R10" i="3"/>
  <c r="S9" i="3"/>
  <c r="T9" i="3"/>
  <c r="R9" i="3"/>
  <c r="S8" i="3"/>
  <c r="T8" i="3"/>
  <c r="R8" i="3"/>
  <c r="B4" i="3"/>
  <c r="Y4" i="3"/>
  <c r="B5" i="3"/>
  <c r="J5" i="3"/>
  <c r="K5" i="3"/>
  <c r="B6" i="3"/>
  <c r="Y6" i="3"/>
  <c r="B13" i="3"/>
  <c r="U13" i="3"/>
  <c r="B12" i="3"/>
  <c r="J12" i="3"/>
  <c r="K12" i="3"/>
  <c r="B11" i="3"/>
  <c r="B10" i="3"/>
  <c r="J10" i="3"/>
  <c r="K10" i="3"/>
  <c r="B9" i="3"/>
  <c r="Y9" i="3"/>
  <c r="B8" i="3"/>
  <c r="Y8" i="3"/>
  <c r="DB555" i="1"/>
  <c r="DB559" i="1"/>
  <c r="DB553" i="1"/>
  <c r="DB546" i="1"/>
  <c r="DB5" i="1"/>
  <c r="S2" i="5"/>
  <c r="J3" i="3"/>
  <c r="U7" i="3"/>
  <c r="U3" i="3"/>
  <c r="Y11" i="3"/>
  <c r="Y7" i="3"/>
  <c r="Y3" i="3"/>
  <c r="DB6" i="1"/>
  <c r="DB7" i="1"/>
  <c r="DB8" i="1"/>
  <c r="DB9" i="1"/>
  <c r="DB10" i="1"/>
  <c r="DB11" i="1"/>
  <c r="DB12" i="1"/>
  <c r="DB13" i="1"/>
  <c r="DB14" i="1"/>
  <c r="DB15" i="1"/>
  <c r="DB16" i="1"/>
  <c r="DB17" i="1"/>
  <c r="DB18" i="1"/>
  <c r="DB19" i="1"/>
  <c r="DB20" i="1"/>
  <c r="DB22" i="1"/>
  <c r="S19" i="5"/>
  <c r="DB23" i="1"/>
  <c r="DB24" i="1"/>
  <c r="DB25" i="1"/>
  <c r="S22" i="5"/>
  <c r="DB26" i="1"/>
  <c r="S23" i="5"/>
  <c r="DB27" i="1"/>
  <c r="DB28" i="1"/>
  <c r="S25" i="5"/>
  <c r="DB29" i="1"/>
  <c r="S26" i="5"/>
  <c r="DB30" i="1"/>
  <c r="DB31" i="1"/>
  <c r="DB32" i="1"/>
  <c r="S29" i="5"/>
  <c r="DB33" i="1"/>
  <c r="DB34" i="1"/>
  <c r="DB35" i="1"/>
  <c r="DB36" i="1"/>
  <c r="DB37" i="1"/>
  <c r="DB38" i="1"/>
  <c r="DB39" i="1"/>
  <c r="DB40" i="1"/>
  <c r="S37" i="5"/>
  <c r="DB41" i="1"/>
  <c r="DB42" i="1"/>
  <c r="DB43" i="1"/>
  <c r="DB44" i="1"/>
  <c r="S41" i="5"/>
  <c r="DB45" i="1"/>
  <c r="DB46" i="1"/>
  <c r="DB47" i="1"/>
  <c r="S44" i="5"/>
  <c r="DB48" i="1"/>
  <c r="DB49" i="1"/>
  <c r="DB50" i="1"/>
  <c r="DB51" i="1"/>
  <c r="DB52" i="1"/>
  <c r="DB53" i="1"/>
  <c r="S50" i="5"/>
  <c r="DB54" i="1"/>
  <c r="DB55" i="1"/>
  <c r="DB56" i="1"/>
  <c r="DB57" i="1"/>
  <c r="DB58" i="1"/>
  <c r="S55" i="5"/>
  <c r="DB60" i="1"/>
  <c r="S57" i="5"/>
  <c r="DB61" i="1"/>
  <c r="DB62" i="1"/>
  <c r="DB63" i="1"/>
  <c r="DB64" i="1"/>
  <c r="S61" i="5"/>
  <c r="DB65" i="1"/>
  <c r="DB66" i="1"/>
  <c r="S63" i="5"/>
  <c r="DB69" i="1"/>
  <c r="DB70" i="1"/>
  <c r="DB71" i="1"/>
  <c r="DB72" i="1"/>
  <c r="DB73" i="1"/>
  <c r="DB74" i="1"/>
  <c r="S71" i="5"/>
  <c r="DB75" i="1"/>
  <c r="DB76" i="1"/>
  <c r="DB77" i="1"/>
  <c r="DB78" i="1"/>
  <c r="DB79" i="1"/>
  <c r="DB80" i="1"/>
  <c r="DB81" i="1"/>
  <c r="DB82" i="1"/>
  <c r="DB83" i="1"/>
  <c r="DB84" i="1"/>
  <c r="DB85" i="1"/>
  <c r="S82" i="5"/>
  <c r="DB86" i="1"/>
  <c r="S83" i="5"/>
  <c r="DB87" i="1"/>
  <c r="DB88" i="1"/>
  <c r="S85" i="5"/>
  <c r="DB89" i="1"/>
  <c r="S86" i="5"/>
  <c r="DB90" i="1"/>
  <c r="DB91" i="1"/>
  <c r="DB92" i="1"/>
  <c r="S89" i="5"/>
  <c r="DB93" i="1"/>
  <c r="S90" i="5"/>
  <c r="DB94" i="1"/>
  <c r="DB95" i="1"/>
  <c r="DB96" i="1"/>
  <c r="DB97" i="1"/>
  <c r="DB98" i="1"/>
  <c r="DB99" i="1"/>
  <c r="S96" i="5"/>
  <c r="DB100" i="1"/>
  <c r="DB101" i="1"/>
  <c r="S98" i="5"/>
  <c r="DB102" i="1"/>
  <c r="DB103" i="1"/>
  <c r="DB104" i="1"/>
  <c r="S101" i="5"/>
  <c r="DB105" i="1"/>
  <c r="DB106" i="1"/>
  <c r="DB107" i="1"/>
  <c r="S104" i="5"/>
  <c r="DB108" i="1"/>
  <c r="DB109" i="1"/>
  <c r="DB110" i="1"/>
  <c r="S107" i="5"/>
  <c r="DB111" i="1"/>
  <c r="DB112" i="1"/>
  <c r="DB113" i="1"/>
  <c r="DB114" i="1"/>
  <c r="DB115" i="1"/>
  <c r="DB116" i="1"/>
  <c r="S113" i="5"/>
  <c r="DB117" i="1"/>
  <c r="DB118" i="1"/>
  <c r="DB119" i="1"/>
  <c r="S116" i="5"/>
  <c r="DB120" i="1"/>
  <c r="DB121" i="1"/>
  <c r="DB122" i="1"/>
  <c r="S119" i="5"/>
  <c r="DB123" i="1"/>
  <c r="DB124" i="1"/>
  <c r="DB125" i="1"/>
  <c r="DB126" i="1"/>
  <c r="DB127" i="1"/>
  <c r="DB128" i="1"/>
  <c r="S125" i="5"/>
  <c r="DB129" i="1"/>
  <c r="DB130" i="1"/>
  <c r="DB131" i="1"/>
  <c r="DB132" i="1"/>
  <c r="DB134" i="1"/>
  <c r="DB135" i="1"/>
  <c r="DB136" i="1"/>
  <c r="DB137" i="1"/>
  <c r="DB138" i="1"/>
  <c r="DB139" i="1"/>
  <c r="DB140" i="1"/>
  <c r="DB141" i="1"/>
  <c r="DB142" i="1"/>
  <c r="DB143" i="1"/>
  <c r="DB144" i="1"/>
  <c r="DB145" i="1"/>
  <c r="DB146" i="1"/>
  <c r="DB147" i="1"/>
  <c r="DB148" i="1"/>
  <c r="DB149" i="1"/>
  <c r="DB150" i="1"/>
  <c r="DB151" i="1"/>
  <c r="S148" i="5"/>
  <c r="DB152" i="1"/>
  <c r="DB153" i="1"/>
  <c r="DB155" i="1"/>
  <c r="DB156" i="1"/>
  <c r="DB157" i="1"/>
  <c r="DB158" i="1"/>
  <c r="S155" i="5"/>
  <c r="DB159" i="1"/>
  <c r="DB160" i="1"/>
  <c r="DB161" i="1"/>
  <c r="DB162" i="1"/>
  <c r="DB163" i="1"/>
  <c r="DB164" i="1"/>
  <c r="DB165" i="1"/>
  <c r="DB166" i="1"/>
  <c r="DB167" i="1"/>
  <c r="DB169" i="1"/>
  <c r="DB170" i="1"/>
  <c r="DB171" i="1"/>
  <c r="DB172" i="1"/>
  <c r="DB173" i="1"/>
  <c r="DB174" i="1"/>
  <c r="DB175" i="1"/>
  <c r="DB176" i="1"/>
  <c r="DB177" i="1"/>
  <c r="DB178" i="1"/>
  <c r="DB179" i="1"/>
  <c r="DB180" i="1"/>
  <c r="DB181" i="1"/>
  <c r="DB182" i="1"/>
  <c r="DB183" i="1"/>
  <c r="DB184" i="1"/>
  <c r="DB185" i="1"/>
  <c r="DB186" i="1"/>
  <c r="DB187" i="1"/>
  <c r="DB188" i="1"/>
  <c r="DB189" i="1"/>
  <c r="DB190" i="1"/>
  <c r="DB191" i="1"/>
  <c r="DB192" i="1"/>
  <c r="DB193" i="1"/>
  <c r="DB194" i="1"/>
  <c r="DB195" i="1"/>
  <c r="DB196" i="1"/>
  <c r="DB197" i="1"/>
  <c r="DB198" i="1"/>
  <c r="DB199" i="1"/>
  <c r="DB200" i="1"/>
  <c r="DB201" i="1"/>
  <c r="DB202" i="1"/>
  <c r="DB203" i="1"/>
  <c r="DB204" i="1"/>
  <c r="DB205" i="1"/>
  <c r="DB206" i="1"/>
  <c r="DB207" i="1"/>
  <c r="DB208" i="1"/>
  <c r="DB209" i="1"/>
  <c r="DB211" i="1"/>
  <c r="DB212" i="1"/>
  <c r="DB213" i="1"/>
  <c r="DB214" i="1"/>
  <c r="DB215" i="1"/>
  <c r="DB217" i="1"/>
  <c r="DB218" i="1"/>
  <c r="DB219" i="1"/>
  <c r="DB220" i="1"/>
  <c r="DB221" i="1"/>
  <c r="DB222" i="1"/>
  <c r="DB223" i="1"/>
  <c r="DB224" i="1"/>
  <c r="DB225" i="1"/>
  <c r="DB226" i="1"/>
  <c r="DB227" i="1"/>
  <c r="DB228" i="1"/>
  <c r="DB229" i="1"/>
  <c r="DB230" i="1"/>
  <c r="DB231" i="1"/>
  <c r="DB232" i="1"/>
  <c r="DB233" i="1"/>
  <c r="DB234" i="1"/>
  <c r="DB235" i="1"/>
  <c r="DB237" i="1"/>
  <c r="DB238" i="1"/>
  <c r="DB239" i="1"/>
  <c r="DB240" i="1"/>
  <c r="DB241" i="1"/>
  <c r="DB242" i="1"/>
  <c r="DB243" i="1"/>
  <c r="DB244" i="1"/>
  <c r="DB245" i="1"/>
  <c r="DB246" i="1"/>
  <c r="DB247" i="1"/>
  <c r="DB249" i="1"/>
  <c r="DB251" i="1"/>
  <c r="DB252" i="1"/>
  <c r="DB255" i="1"/>
  <c r="DB256" i="1"/>
  <c r="DB260" i="1"/>
  <c r="DB261" i="1"/>
  <c r="DB264" i="1"/>
  <c r="DB265" i="1"/>
  <c r="DB268" i="1"/>
  <c r="DB271" i="1"/>
  <c r="DB273" i="1"/>
  <c r="DB286" i="1"/>
  <c r="DB287" i="1"/>
  <c r="DB290" i="1"/>
  <c r="DB291" i="1"/>
  <c r="DB292" i="1"/>
  <c r="DB294" i="1"/>
  <c r="DB295" i="1"/>
  <c r="DB296" i="1"/>
  <c r="DB297" i="1"/>
  <c r="DB298" i="1"/>
  <c r="DB299" i="1"/>
  <c r="DB300" i="1"/>
  <c r="DB301" i="1"/>
  <c r="DB302" i="1"/>
  <c r="DB303" i="1"/>
  <c r="DB304" i="1"/>
  <c r="DB305" i="1"/>
  <c r="DB306" i="1"/>
  <c r="DB307" i="1"/>
  <c r="DB309" i="1"/>
  <c r="DB310" i="1"/>
  <c r="DB311" i="1"/>
  <c r="DB312" i="1"/>
  <c r="DB313" i="1"/>
  <c r="DB314" i="1"/>
  <c r="DB316" i="1"/>
  <c r="DB317" i="1"/>
  <c r="DB318" i="1"/>
  <c r="DB319" i="1"/>
  <c r="DB320" i="1"/>
  <c r="DB321" i="1"/>
  <c r="DB323" i="1"/>
  <c r="DB324" i="1"/>
  <c r="DB325" i="1"/>
  <c r="DB326" i="1"/>
  <c r="DB330" i="1"/>
  <c r="DB339" i="1"/>
  <c r="DB342" i="1"/>
  <c r="DB343" i="1"/>
  <c r="DB344" i="1"/>
  <c r="DB345" i="1"/>
  <c r="DB346" i="1"/>
  <c r="DB347" i="1"/>
  <c r="DB348" i="1"/>
  <c r="DB349" i="1"/>
  <c r="DB350" i="1"/>
  <c r="DB351" i="1"/>
  <c r="DB352" i="1"/>
  <c r="DB353" i="1"/>
  <c r="DB354" i="1"/>
  <c r="DB355" i="1"/>
  <c r="DB356" i="1"/>
  <c r="DB357" i="1"/>
  <c r="DB358" i="1"/>
  <c r="DB359" i="1"/>
  <c r="DB360" i="1"/>
  <c r="DB361" i="1"/>
  <c r="DB362" i="1"/>
  <c r="DB363" i="1"/>
  <c r="DB364" i="1"/>
  <c r="DB365" i="1"/>
  <c r="DB366" i="1"/>
  <c r="DB367" i="1"/>
  <c r="DB368" i="1"/>
  <c r="DB369" i="1"/>
  <c r="DB370" i="1"/>
  <c r="DB371" i="1"/>
  <c r="DB372" i="1"/>
  <c r="DB373" i="1"/>
  <c r="DB374" i="1"/>
  <c r="DB375" i="1"/>
  <c r="DB376" i="1"/>
  <c r="DB377" i="1"/>
  <c r="DB378" i="1"/>
  <c r="DB379" i="1"/>
  <c r="DB380" i="1"/>
  <c r="DB381" i="1"/>
  <c r="DB382" i="1"/>
  <c r="DB383" i="1"/>
  <c r="DB384" i="1"/>
  <c r="DB385" i="1"/>
  <c r="DB386" i="1"/>
  <c r="DB387" i="1"/>
  <c r="DB388" i="1"/>
  <c r="DB389" i="1"/>
  <c r="DB390" i="1"/>
  <c r="DB391" i="1"/>
  <c r="DB393" i="1"/>
  <c r="DB394" i="1"/>
  <c r="DB395" i="1"/>
  <c r="DB396" i="1"/>
  <c r="DB398" i="1"/>
  <c r="DB399" i="1"/>
  <c r="DB400" i="1"/>
  <c r="DB401" i="1"/>
  <c r="DB402" i="1"/>
  <c r="DB404" i="1"/>
  <c r="DB405" i="1"/>
  <c r="DB406" i="1"/>
  <c r="DB407" i="1"/>
  <c r="DB408" i="1"/>
  <c r="DB409" i="1"/>
  <c r="DB410" i="1"/>
  <c r="DB411" i="1"/>
  <c r="DB412" i="1"/>
  <c r="DB413" i="1"/>
  <c r="DB414" i="1"/>
  <c r="DB415" i="1"/>
  <c r="DB417" i="1"/>
  <c r="DB418" i="1"/>
  <c r="DB419" i="1"/>
  <c r="DB420" i="1"/>
  <c r="DB421" i="1"/>
  <c r="DB422" i="1"/>
  <c r="DB423" i="1"/>
  <c r="DB424" i="1"/>
  <c r="DB425" i="1"/>
  <c r="DB426" i="1"/>
  <c r="DB428" i="1"/>
  <c r="DB429" i="1"/>
  <c r="DB431" i="1"/>
  <c r="DB432" i="1"/>
  <c r="DB433" i="1"/>
  <c r="DB434" i="1"/>
  <c r="DB435" i="1"/>
  <c r="DB436" i="1"/>
  <c r="DB438" i="1"/>
  <c r="DB439" i="1"/>
  <c r="DB440" i="1"/>
  <c r="DB442" i="1"/>
  <c r="DB443" i="1"/>
  <c r="DB444" i="1"/>
  <c r="DB445" i="1"/>
  <c r="DB446" i="1"/>
  <c r="DB448" i="1"/>
  <c r="DB449" i="1"/>
  <c r="DB450" i="1"/>
  <c r="DB451" i="1"/>
  <c r="DB452" i="1"/>
  <c r="DB453" i="1"/>
  <c r="DB454" i="1"/>
  <c r="DB455" i="1"/>
  <c r="DB456" i="1"/>
  <c r="DB457" i="1"/>
  <c r="DB458" i="1"/>
  <c r="DB459" i="1"/>
  <c r="DB461" i="1"/>
  <c r="DB462" i="1"/>
  <c r="DB463" i="1"/>
  <c r="DB464" i="1"/>
  <c r="DB465" i="1"/>
  <c r="DB466" i="1"/>
  <c r="DB468" i="1"/>
  <c r="DB470" i="1"/>
  <c r="DB471" i="1"/>
  <c r="DB474" i="1"/>
  <c r="DB475" i="1"/>
  <c r="DB476" i="1"/>
  <c r="DB477" i="1"/>
  <c r="DB478" i="1"/>
  <c r="DB481" i="1"/>
  <c r="DB482" i="1"/>
  <c r="DB483" i="1"/>
  <c r="DB484" i="1"/>
  <c r="DB486" i="1"/>
  <c r="DB488" i="1"/>
  <c r="DB489" i="1"/>
  <c r="DB492" i="1"/>
  <c r="DB490" i="1"/>
  <c r="DB494" i="1"/>
  <c r="DB496" i="1"/>
  <c r="DB500" i="1"/>
  <c r="DB499" i="1"/>
  <c r="DB498" i="1"/>
  <c r="DB501" i="1"/>
  <c r="DB509" i="1"/>
  <c r="DB503" i="1"/>
  <c r="DB506" i="1"/>
  <c r="DB507" i="1"/>
  <c r="DB508" i="1"/>
  <c r="DB505" i="1"/>
  <c r="DB510" i="1"/>
  <c r="DB511" i="1"/>
  <c r="DB513" i="1"/>
  <c r="DB515" i="1"/>
  <c r="DB516" i="1"/>
  <c r="DB517" i="1"/>
  <c r="DB514" i="1"/>
  <c r="DB518" i="1"/>
  <c r="DB519" i="1"/>
  <c r="DB520" i="1"/>
  <c r="DB522" i="1"/>
  <c r="DB523" i="1"/>
  <c r="DB524" i="1"/>
  <c r="DB525" i="1"/>
  <c r="DB526" i="1"/>
  <c r="DB527" i="1"/>
  <c r="DB528" i="1"/>
  <c r="DB529" i="1"/>
  <c r="DB530" i="1"/>
  <c r="DB531" i="1"/>
  <c r="DB532" i="1"/>
  <c r="DB533" i="1"/>
  <c r="DB534" i="1"/>
  <c r="DB535" i="1"/>
  <c r="DB536" i="1"/>
  <c r="DB537" i="1"/>
  <c r="DB538" i="1"/>
  <c r="DB542" i="1"/>
  <c r="DB540" i="1"/>
  <c r="DB539" i="1"/>
  <c r="DB543" i="1"/>
  <c r="DB549" i="1"/>
  <c r="DB550" i="1"/>
  <c r="DB544" i="1"/>
  <c r="DB552" i="1"/>
  <c r="DB557" i="1"/>
  <c r="DB561" i="1"/>
  <c r="DB560" i="1"/>
  <c r="DB565" i="1"/>
  <c r="DB566" i="1"/>
  <c r="DB567" i="1"/>
  <c r="DB569" i="1"/>
  <c r="DB577" i="1"/>
  <c r="DB631" i="1"/>
  <c r="DB651" i="1"/>
  <c r="DB656" i="1"/>
  <c r="DB682" i="1"/>
  <c r="DB683" i="1"/>
  <c r="DB927" i="1"/>
  <c r="DB929" i="1"/>
  <c r="DB930" i="1"/>
  <c r="DB931" i="1"/>
  <c r="DB932" i="1"/>
  <c r="DB933" i="1"/>
  <c r="DB934" i="1"/>
  <c r="DB935" i="1"/>
  <c r="K3" i="3"/>
  <c r="AG3" i="3"/>
  <c r="AO3" i="3"/>
  <c r="AP3" i="3"/>
  <c r="J4" i="3"/>
  <c r="K4" i="3"/>
  <c r="AG4" i="3"/>
  <c r="AO4" i="3"/>
  <c r="AP4" i="3"/>
  <c r="AZ4" i="3"/>
  <c r="AG5" i="3"/>
  <c r="AZ5" i="3"/>
  <c r="AG6" i="3"/>
  <c r="AZ6" i="3"/>
  <c r="J7" i="3"/>
  <c r="K7" i="3"/>
  <c r="AG7" i="3"/>
  <c r="AO7" i="3"/>
  <c r="AP7" i="3"/>
  <c r="AZ7" i="3"/>
  <c r="AG8" i="3"/>
  <c r="AZ8" i="3"/>
  <c r="J9" i="3"/>
  <c r="K9" i="3"/>
  <c r="AG9" i="3"/>
  <c r="AO9" i="3"/>
  <c r="AP9" i="3"/>
  <c r="AZ9" i="3"/>
  <c r="AG10" i="3"/>
  <c r="AZ10" i="3"/>
  <c r="J11" i="3"/>
  <c r="K11" i="3"/>
  <c r="AG11" i="3"/>
  <c r="AO11" i="3"/>
  <c r="AP11" i="3"/>
  <c r="AZ11" i="3"/>
  <c r="AG12" i="3"/>
  <c r="J13" i="3"/>
  <c r="K13" i="3"/>
  <c r="AG13" i="3"/>
  <c r="AO13" i="3"/>
  <c r="AP13" i="3"/>
  <c r="R2" i="5"/>
  <c r="Q2" i="5"/>
  <c r="P2" i="5"/>
  <c r="O2" i="5"/>
  <c r="N2" i="5"/>
  <c r="M2" i="5"/>
  <c r="L2" i="5"/>
  <c r="K2" i="5"/>
  <c r="J2" i="5"/>
  <c r="I2" i="5"/>
  <c r="H2" i="5"/>
  <c r="G2" i="5"/>
  <c r="F2" i="5"/>
  <c r="E2" i="5"/>
  <c r="D2" i="5"/>
  <c r="C2" i="5"/>
  <c r="B2" i="5"/>
  <c r="R5" i="5"/>
  <c r="P5" i="5"/>
  <c r="O5" i="5"/>
  <c r="L5" i="5"/>
  <c r="J5" i="5"/>
  <c r="I5" i="5"/>
  <c r="H5" i="5"/>
  <c r="F5" i="5"/>
  <c r="D5" i="5"/>
  <c r="C5" i="5"/>
  <c r="S6" i="5"/>
  <c r="R6" i="5"/>
  <c r="Q6" i="5"/>
  <c r="P6" i="5"/>
  <c r="O6" i="5"/>
  <c r="N6" i="5"/>
  <c r="M6" i="5"/>
  <c r="L6" i="5"/>
  <c r="K6" i="5"/>
  <c r="J6" i="5"/>
  <c r="I6" i="5"/>
  <c r="H6" i="5"/>
  <c r="G6" i="5"/>
  <c r="F6" i="5"/>
  <c r="E6" i="5"/>
  <c r="D6" i="5"/>
  <c r="C6" i="5"/>
  <c r="B6" i="5"/>
  <c r="R8" i="5"/>
  <c r="O8" i="5"/>
  <c r="L8" i="5"/>
  <c r="J8" i="5"/>
  <c r="F8" i="5"/>
  <c r="C8" i="5"/>
  <c r="O12" i="5"/>
  <c r="M12" i="5"/>
  <c r="C12" i="5"/>
  <c r="L17" i="5"/>
  <c r="R19" i="5"/>
  <c r="Q19" i="5"/>
  <c r="P19" i="5"/>
  <c r="O19" i="5"/>
  <c r="N19" i="5"/>
  <c r="M19" i="5"/>
  <c r="L19" i="5"/>
  <c r="K19" i="5"/>
  <c r="J19" i="5"/>
  <c r="I19" i="5"/>
  <c r="H19" i="5"/>
  <c r="G19" i="5"/>
  <c r="F19" i="5"/>
  <c r="E19" i="5"/>
  <c r="D19" i="5"/>
  <c r="C19" i="5"/>
  <c r="B19" i="5"/>
  <c r="R22" i="5"/>
  <c r="Q22" i="5"/>
  <c r="P22" i="5"/>
  <c r="O22" i="5"/>
  <c r="N22" i="5"/>
  <c r="M22" i="5"/>
  <c r="L22" i="5"/>
  <c r="K22" i="5"/>
  <c r="J22" i="5"/>
  <c r="I22" i="5"/>
  <c r="H22" i="5"/>
  <c r="G22" i="5"/>
  <c r="F22" i="5"/>
  <c r="E22" i="5"/>
  <c r="D22" i="5"/>
  <c r="C22" i="5"/>
  <c r="B22" i="5"/>
  <c r="R23" i="5"/>
  <c r="Q23" i="5"/>
  <c r="P23" i="5"/>
  <c r="O23" i="5"/>
  <c r="N23" i="5"/>
  <c r="M23" i="5"/>
  <c r="L23" i="5"/>
  <c r="K23" i="5"/>
  <c r="J23" i="5"/>
  <c r="I23" i="5"/>
  <c r="H23" i="5"/>
  <c r="G23" i="5"/>
  <c r="F23" i="5"/>
  <c r="E23" i="5"/>
  <c r="D23" i="5"/>
  <c r="C23" i="5"/>
  <c r="B23" i="5"/>
  <c r="R24" i="5"/>
  <c r="P24" i="5"/>
  <c r="O24" i="5"/>
  <c r="L24" i="5"/>
  <c r="J24" i="5"/>
  <c r="I24" i="5"/>
  <c r="H24" i="5"/>
  <c r="F24" i="5"/>
  <c r="D24" i="5"/>
  <c r="C24" i="5"/>
  <c r="R25" i="5"/>
  <c r="Q25" i="5"/>
  <c r="P25" i="5"/>
  <c r="O25" i="5"/>
  <c r="N25" i="5"/>
  <c r="M25" i="5"/>
  <c r="L25" i="5"/>
  <c r="K25" i="5"/>
  <c r="J25" i="5"/>
  <c r="I25" i="5"/>
  <c r="H25" i="5"/>
  <c r="G25" i="5"/>
  <c r="F25" i="5"/>
  <c r="E25" i="5"/>
  <c r="D25" i="5"/>
  <c r="C25" i="5"/>
  <c r="B25" i="5"/>
  <c r="R26" i="5"/>
  <c r="Q26" i="5"/>
  <c r="P26" i="5"/>
  <c r="O26" i="5"/>
  <c r="N26" i="5"/>
  <c r="M26" i="5"/>
  <c r="L26" i="5"/>
  <c r="K26" i="5"/>
  <c r="J26" i="5"/>
  <c r="I26" i="5"/>
  <c r="H26" i="5"/>
  <c r="G26" i="5"/>
  <c r="F26" i="5"/>
  <c r="E26" i="5"/>
  <c r="D26" i="5"/>
  <c r="C26" i="5"/>
  <c r="B26" i="5"/>
  <c r="R27" i="5"/>
  <c r="P27" i="5"/>
  <c r="L27" i="5"/>
  <c r="I27" i="5"/>
  <c r="F27" i="5"/>
  <c r="D27" i="5"/>
  <c r="R29" i="5"/>
  <c r="Q29" i="5"/>
  <c r="P29" i="5"/>
  <c r="O29" i="5"/>
  <c r="N29" i="5"/>
  <c r="M29" i="5"/>
  <c r="L29" i="5"/>
  <c r="K29" i="5"/>
  <c r="J29" i="5"/>
  <c r="I29" i="5"/>
  <c r="H29" i="5"/>
  <c r="G29" i="5"/>
  <c r="F29" i="5"/>
  <c r="E29" i="5"/>
  <c r="D29" i="5"/>
  <c r="C29" i="5"/>
  <c r="B29" i="5"/>
  <c r="S33" i="5"/>
  <c r="R33" i="5"/>
  <c r="Q33" i="5"/>
  <c r="P33" i="5"/>
  <c r="O33" i="5"/>
  <c r="N33" i="5"/>
  <c r="M33" i="5"/>
  <c r="L33" i="5"/>
  <c r="K33" i="5"/>
  <c r="J33" i="5"/>
  <c r="I33" i="5"/>
  <c r="H33" i="5"/>
  <c r="G33" i="5"/>
  <c r="F33" i="5"/>
  <c r="E33" i="5"/>
  <c r="D33" i="5"/>
  <c r="C33" i="5"/>
  <c r="B33" i="5"/>
  <c r="H34" i="5"/>
  <c r="R35" i="5"/>
  <c r="S36" i="5"/>
  <c r="R36" i="5"/>
  <c r="Q36" i="5"/>
  <c r="P36" i="5"/>
  <c r="O36" i="5"/>
  <c r="N36" i="5"/>
  <c r="M36" i="5"/>
  <c r="L36" i="5"/>
  <c r="K36" i="5"/>
  <c r="J36" i="5"/>
  <c r="I36" i="5"/>
  <c r="H36" i="5"/>
  <c r="G36" i="5"/>
  <c r="F36" i="5"/>
  <c r="E36" i="5"/>
  <c r="D36" i="5"/>
  <c r="C36" i="5"/>
  <c r="B36" i="5"/>
  <c r="R37" i="5"/>
  <c r="Q37" i="5"/>
  <c r="P37" i="5"/>
  <c r="O37" i="5"/>
  <c r="N37" i="5"/>
  <c r="M37" i="5"/>
  <c r="L37" i="5"/>
  <c r="K37" i="5"/>
  <c r="J37" i="5"/>
  <c r="I37" i="5"/>
  <c r="H37" i="5"/>
  <c r="G37" i="5"/>
  <c r="F37" i="5"/>
  <c r="E37" i="5"/>
  <c r="D37" i="5"/>
  <c r="C37" i="5"/>
  <c r="B37" i="5"/>
  <c r="S39" i="5"/>
  <c r="Q39" i="5"/>
  <c r="P39" i="5"/>
  <c r="O39" i="5"/>
  <c r="N39" i="5"/>
  <c r="M39" i="5"/>
  <c r="K39" i="5"/>
  <c r="J39" i="5"/>
  <c r="G39" i="5"/>
  <c r="E39" i="5"/>
  <c r="D39" i="5"/>
  <c r="C39" i="5"/>
  <c r="B39" i="5"/>
  <c r="R41" i="5"/>
  <c r="Q41" i="5"/>
  <c r="P41" i="5"/>
  <c r="O41" i="5"/>
  <c r="N41" i="5"/>
  <c r="M41" i="5"/>
  <c r="L41" i="5"/>
  <c r="K41" i="5"/>
  <c r="J41" i="5"/>
  <c r="I41" i="5"/>
  <c r="H41" i="5"/>
  <c r="G41" i="5"/>
  <c r="F41" i="5"/>
  <c r="E41" i="5"/>
  <c r="D41" i="5"/>
  <c r="C41" i="5"/>
  <c r="B41" i="5"/>
  <c r="S43" i="5"/>
  <c r="R43" i="5"/>
  <c r="Q43" i="5"/>
  <c r="P43" i="5"/>
  <c r="O43" i="5"/>
  <c r="N43" i="5"/>
  <c r="M43" i="5"/>
  <c r="L43" i="5"/>
  <c r="K43" i="5"/>
  <c r="J43" i="5"/>
  <c r="I43" i="5"/>
  <c r="H43" i="5"/>
  <c r="G43" i="5"/>
  <c r="F43" i="5"/>
  <c r="E43" i="5"/>
  <c r="D43" i="5"/>
  <c r="C43" i="5"/>
  <c r="B43" i="5"/>
  <c r="P44" i="5"/>
  <c r="M44" i="5"/>
  <c r="K44" i="5"/>
  <c r="H44" i="5"/>
  <c r="G44" i="5"/>
  <c r="D44" i="5"/>
  <c r="S46" i="5"/>
  <c r="R46" i="5"/>
  <c r="Q46" i="5"/>
  <c r="P46" i="5"/>
  <c r="O46" i="5"/>
  <c r="N46" i="5"/>
  <c r="M46" i="5"/>
  <c r="L46" i="5"/>
  <c r="K46" i="5"/>
  <c r="J46" i="5"/>
  <c r="I46" i="5"/>
  <c r="H46" i="5"/>
  <c r="G46" i="5"/>
  <c r="F46" i="5"/>
  <c r="E46" i="5"/>
  <c r="D46" i="5"/>
  <c r="C46" i="5"/>
  <c r="B46" i="5"/>
  <c r="C48" i="5"/>
  <c r="O49" i="5"/>
  <c r="C49" i="5"/>
  <c r="R50" i="5"/>
  <c r="Q50" i="5"/>
  <c r="P50" i="5"/>
  <c r="O50" i="5"/>
  <c r="N50" i="5"/>
  <c r="M50" i="5"/>
  <c r="L50" i="5"/>
  <c r="K50" i="5"/>
  <c r="J50" i="5"/>
  <c r="I50" i="5"/>
  <c r="H50" i="5"/>
  <c r="G50" i="5"/>
  <c r="F50" i="5"/>
  <c r="E50" i="5"/>
  <c r="D50" i="5"/>
  <c r="C50" i="5"/>
  <c r="B50" i="5"/>
  <c r="O52" i="5"/>
  <c r="S54" i="5"/>
  <c r="R54" i="5"/>
  <c r="Q54" i="5"/>
  <c r="P54" i="5"/>
  <c r="O54" i="5"/>
  <c r="N54" i="5"/>
  <c r="M54" i="5"/>
  <c r="L54" i="5"/>
  <c r="K54" i="5"/>
  <c r="J54" i="5"/>
  <c r="I54" i="5"/>
  <c r="H54" i="5"/>
  <c r="G54" i="5"/>
  <c r="F54" i="5"/>
  <c r="E54" i="5"/>
  <c r="D54" i="5"/>
  <c r="C54" i="5"/>
  <c r="B54" i="5"/>
  <c r="R55" i="5"/>
  <c r="Q55" i="5"/>
  <c r="P55" i="5"/>
  <c r="O55" i="5"/>
  <c r="N55" i="5"/>
  <c r="M55" i="5"/>
  <c r="L55" i="5"/>
  <c r="K55" i="5"/>
  <c r="J55" i="5"/>
  <c r="I55" i="5"/>
  <c r="H55" i="5"/>
  <c r="G55" i="5"/>
  <c r="F55" i="5"/>
  <c r="E55" i="5"/>
  <c r="D55" i="5"/>
  <c r="C55" i="5"/>
  <c r="B55" i="5"/>
  <c r="S56" i="5"/>
  <c r="R56" i="5"/>
  <c r="Q56" i="5"/>
  <c r="P56" i="5"/>
  <c r="O56" i="5"/>
  <c r="N56" i="5"/>
  <c r="M56" i="5"/>
  <c r="L56" i="5"/>
  <c r="K56" i="5"/>
  <c r="J56" i="5"/>
  <c r="I56" i="5"/>
  <c r="H56" i="5"/>
  <c r="G56" i="5"/>
  <c r="F56" i="5"/>
  <c r="E56" i="5"/>
  <c r="D56" i="5"/>
  <c r="C56" i="5"/>
  <c r="B56" i="5"/>
  <c r="R57" i="5"/>
  <c r="Q57" i="5"/>
  <c r="P57" i="5"/>
  <c r="O57" i="5"/>
  <c r="N57" i="5"/>
  <c r="M57" i="5"/>
  <c r="L57" i="5"/>
  <c r="K57" i="5"/>
  <c r="J57" i="5"/>
  <c r="I57" i="5"/>
  <c r="H57" i="5"/>
  <c r="G57" i="5"/>
  <c r="F57" i="5"/>
  <c r="E57" i="5"/>
  <c r="D57" i="5"/>
  <c r="C57" i="5"/>
  <c r="B57" i="5"/>
  <c r="S58" i="5"/>
  <c r="R58" i="5"/>
  <c r="Q58" i="5"/>
  <c r="P58" i="5"/>
  <c r="O58" i="5"/>
  <c r="N58" i="5"/>
  <c r="M58" i="5"/>
  <c r="L58" i="5"/>
  <c r="K58" i="5"/>
  <c r="J58" i="5"/>
  <c r="I58" i="5"/>
  <c r="H58" i="5"/>
  <c r="G58" i="5"/>
  <c r="F58" i="5"/>
  <c r="E58" i="5"/>
  <c r="D58" i="5"/>
  <c r="C58" i="5"/>
  <c r="B58" i="5"/>
  <c r="Q59" i="5"/>
  <c r="P59" i="5"/>
  <c r="M59" i="5"/>
  <c r="J59" i="5"/>
  <c r="H59" i="5"/>
  <c r="E59" i="5"/>
  <c r="D59" i="5"/>
  <c r="R61" i="5"/>
  <c r="Q61" i="5"/>
  <c r="P61" i="5"/>
  <c r="O61" i="5"/>
  <c r="N61" i="5"/>
  <c r="M61" i="5"/>
  <c r="L61" i="5"/>
  <c r="K61" i="5"/>
  <c r="J61" i="5"/>
  <c r="I61" i="5"/>
  <c r="H61" i="5"/>
  <c r="G61" i="5"/>
  <c r="F61" i="5"/>
  <c r="E61" i="5"/>
  <c r="D61" i="5"/>
  <c r="C61" i="5"/>
  <c r="B61" i="5"/>
  <c r="R63" i="5"/>
  <c r="Q63" i="5"/>
  <c r="P63" i="5"/>
  <c r="O63" i="5"/>
  <c r="N63" i="5"/>
  <c r="M63" i="5"/>
  <c r="L63" i="5"/>
  <c r="K63" i="5"/>
  <c r="J63" i="5"/>
  <c r="I63" i="5"/>
  <c r="H63" i="5"/>
  <c r="G63" i="5"/>
  <c r="F63" i="5"/>
  <c r="E63" i="5"/>
  <c r="D63" i="5"/>
  <c r="C63" i="5"/>
  <c r="B63" i="5"/>
  <c r="S64" i="5"/>
  <c r="R64" i="5"/>
  <c r="Q64" i="5"/>
  <c r="P64" i="5"/>
  <c r="O64" i="5"/>
  <c r="N64" i="5"/>
  <c r="M64" i="5"/>
  <c r="L64" i="5"/>
  <c r="K64" i="5"/>
  <c r="J64" i="5"/>
  <c r="I64" i="5"/>
  <c r="H64" i="5"/>
  <c r="G64" i="5"/>
  <c r="F64" i="5"/>
  <c r="E64" i="5"/>
  <c r="D64" i="5"/>
  <c r="C64" i="5"/>
  <c r="B64" i="5"/>
  <c r="S66" i="5"/>
  <c r="N66" i="5"/>
  <c r="G66" i="5"/>
  <c r="B66" i="5"/>
  <c r="S69" i="5"/>
  <c r="R69" i="5"/>
  <c r="Q69" i="5"/>
  <c r="P69" i="5"/>
  <c r="O69" i="5"/>
  <c r="N69" i="5"/>
  <c r="M69" i="5"/>
  <c r="L69" i="5"/>
  <c r="K69" i="5"/>
  <c r="J69" i="5"/>
  <c r="I69" i="5"/>
  <c r="H69" i="5"/>
  <c r="G69" i="5"/>
  <c r="F69" i="5"/>
  <c r="E69" i="5"/>
  <c r="D69" i="5"/>
  <c r="C69" i="5"/>
  <c r="B69" i="5"/>
  <c r="S70" i="5"/>
  <c r="R70" i="5"/>
  <c r="Q70" i="5"/>
  <c r="P70" i="5"/>
  <c r="O70" i="5"/>
  <c r="N70" i="5"/>
  <c r="M70" i="5"/>
  <c r="L70" i="5"/>
  <c r="K70" i="5"/>
  <c r="J70" i="5"/>
  <c r="I70" i="5"/>
  <c r="H70" i="5"/>
  <c r="G70" i="5"/>
  <c r="F70" i="5"/>
  <c r="E70" i="5"/>
  <c r="D70" i="5"/>
  <c r="C70" i="5"/>
  <c r="B70" i="5"/>
  <c r="R71" i="5"/>
  <c r="Q71" i="5"/>
  <c r="P71" i="5"/>
  <c r="O71" i="5"/>
  <c r="N71" i="5"/>
  <c r="M71" i="5"/>
  <c r="L71" i="5"/>
  <c r="K71" i="5"/>
  <c r="J71" i="5"/>
  <c r="I71" i="5"/>
  <c r="H71" i="5"/>
  <c r="G71" i="5"/>
  <c r="F71" i="5"/>
  <c r="E71" i="5"/>
  <c r="D71" i="5"/>
  <c r="C71" i="5"/>
  <c r="B71" i="5"/>
  <c r="S73" i="5"/>
  <c r="R73" i="5"/>
  <c r="Q73" i="5"/>
  <c r="P73" i="5"/>
  <c r="O73" i="5"/>
  <c r="N73" i="5"/>
  <c r="M73" i="5"/>
  <c r="L73" i="5"/>
  <c r="K73" i="5"/>
  <c r="J73" i="5"/>
  <c r="I73" i="5"/>
  <c r="H73" i="5"/>
  <c r="G73" i="5"/>
  <c r="F73" i="5"/>
  <c r="E73" i="5"/>
  <c r="D73" i="5"/>
  <c r="C73" i="5"/>
  <c r="B73" i="5"/>
  <c r="Q74" i="5"/>
  <c r="N74" i="5"/>
  <c r="L74" i="5"/>
  <c r="K74" i="5"/>
  <c r="I74" i="5"/>
  <c r="H74" i="5"/>
  <c r="E74" i="5"/>
  <c r="B74" i="5"/>
  <c r="S75" i="5"/>
  <c r="R75" i="5"/>
  <c r="Q75" i="5"/>
  <c r="P75" i="5"/>
  <c r="O75" i="5"/>
  <c r="N75" i="5"/>
  <c r="M75" i="5"/>
  <c r="L75" i="5"/>
  <c r="K75" i="5"/>
  <c r="J75" i="5"/>
  <c r="I75" i="5"/>
  <c r="H75" i="5"/>
  <c r="G75" i="5"/>
  <c r="F75" i="5"/>
  <c r="E75" i="5"/>
  <c r="D75" i="5"/>
  <c r="C75" i="5"/>
  <c r="B75" i="5"/>
  <c r="P80" i="5"/>
  <c r="N80" i="5"/>
  <c r="M80" i="5"/>
  <c r="D80" i="5"/>
  <c r="B80" i="5"/>
  <c r="N81" i="5"/>
  <c r="K81" i="5"/>
  <c r="B81" i="5"/>
  <c r="R82" i="5"/>
  <c r="Q82" i="5"/>
  <c r="P82" i="5"/>
  <c r="O82" i="5"/>
  <c r="N82" i="5"/>
  <c r="M82" i="5"/>
  <c r="L82" i="5"/>
  <c r="K82" i="5"/>
  <c r="J82" i="5"/>
  <c r="I82" i="5"/>
  <c r="H82" i="5"/>
  <c r="G82" i="5"/>
  <c r="F82" i="5"/>
  <c r="E82" i="5"/>
  <c r="D82" i="5"/>
  <c r="C82" i="5"/>
  <c r="B82" i="5"/>
  <c r="L83" i="5"/>
  <c r="G83" i="5"/>
  <c r="R85" i="5"/>
  <c r="Q85" i="5"/>
  <c r="P85" i="5"/>
  <c r="O85" i="5"/>
  <c r="N85" i="5"/>
  <c r="M85" i="5"/>
  <c r="L85" i="5"/>
  <c r="K85" i="5"/>
  <c r="J85" i="5"/>
  <c r="I85" i="5"/>
  <c r="H85" i="5"/>
  <c r="G85" i="5"/>
  <c r="F85" i="5"/>
  <c r="E85" i="5"/>
  <c r="D85" i="5"/>
  <c r="C85" i="5"/>
  <c r="B85" i="5"/>
  <c r="R86" i="5"/>
  <c r="Q86" i="5"/>
  <c r="P86" i="5"/>
  <c r="O86" i="5"/>
  <c r="N86" i="5"/>
  <c r="M86" i="5"/>
  <c r="L86" i="5"/>
  <c r="K86" i="5"/>
  <c r="J86" i="5"/>
  <c r="I86" i="5"/>
  <c r="H86" i="5"/>
  <c r="G86" i="5"/>
  <c r="F86" i="5"/>
  <c r="E86" i="5"/>
  <c r="D86" i="5"/>
  <c r="C86" i="5"/>
  <c r="B86" i="5"/>
  <c r="S87" i="5"/>
  <c r="R87" i="5"/>
  <c r="Q87" i="5"/>
  <c r="P87" i="5"/>
  <c r="O87" i="5"/>
  <c r="N87" i="5"/>
  <c r="M87" i="5"/>
  <c r="L87" i="5"/>
  <c r="K87" i="5"/>
  <c r="J87" i="5"/>
  <c r="I87" i="5"/>
  <c r="H87" i="5"/>
  <c r="G87" i="5"/>
  <c r="F87" i="5"/>
  <c r="E87" i="5"/>
  <c r="D87" i="5"/>
  <c r="C87" i="5"/>
  <c r="B87" i="5"/>
  <c r="Q88" i="5"/>
  <c r="O88" i="5"/>
  <c r="N88" i="5"/>
  <c r="L88" i="5"/>
  <c r="K88" i="5"/>
  <c r="I88" i="5"/>
  <c r="H88" i="5"/>
  <c r="E88" i="5"/>
  <c r="C88" i="5"/>
  <c r="B88" i="5"/>
  <c r="R89" i="5"/>
  <c r="Q89" i="5"/>
  <c r="P89" i="5"/>
  <c r="O89" i="5"/>
  <c r="N89" i="5"/>
  <c r="M89" i="5"/>
  <c r="L89" i="5"/>
  <c r="K89" i="5"/>
  <c r="J89" i="5"/>
  <c r="I89" i="5"/>
  <c r="H89" i="5"/>
  <c r="G89" i="5"/>
  <c r="F89" i="5"/>
  <c r="E89" i="5"/>
  <c r="D89" i="5"/>
  <c r="C89" i="5"/>
  <c r="B89" i="5"/>
  <c r="R90" i="5"/>
  <c r="Q90" i="5"/>
  <c r="P90" i="5"/>
  <c r="O90" i="5"/>
  <c r="N90" i="5"/>
  <c r="M90" i="5"/>
  <c r="L90" i="5"/>
  <c r="K90" i="5"/>
  <c r="J90" i="5"/>
  <c r="I90" i="5"/>
  <c r="H90" i="5"/>
  <c r="G90" i="5"/>
  <c r="F90" i="5"/>
  <c r="E90" i="5"/>
  <c r="D90" i="5"/>
  <c r="C90" i="5"/>
  <c r="B90" i="5"/>
  <c r="R96" i="5"/>
  <c r="Q96" i="5"/>
  <c r="P96" i="5"/>
  <c r="O96" i="5"/>
  <c r="N96" i="5"/>
  <c r="M96" i="5"/>
  <c r="L96" i="5"/>
  <c r="K96" i="5"/>
  <c r="J96" i="5"/>
  <c r="I96" i="5"/>
  <c r="H96" i="5"/>
  <c r="G96" i="5"/>
  <c r="F96" i="5"/>
  <c r="E96" i="5"/>
  <c r="D96" i="5"/>
  <c r="C96" i="5"/>
  <c r="B96" i="5"/>
  <c r="J98" i="5"/>
  <c r="H98" i="5"/>
  <c r="G98" i="5"/>
  <c r="O99" i="5"/>
  <c r="L99" i="5"/>
  <c r="C99" i="5"/>
  <c r="R101" i="5"/>
  <c r="Q101" i="5"/>
  <c r="P101" i="5"/>
  <c r="O101" i="5"/>
  <c r="N101" i="5"/>
  <c r="M101" i="5"/>
  <c r="L101" i="5"/>
  <c r="K101" i="5"/>
  <c r="J101" i="5"/>
  <c r="I101" i="5"/>
  <c r="H101" i="5"/>
  <c r="G101" i="5"/>
  <c r="F101" i="5"/>
  <c r="E101" i="5"/>
  <c r="D101" i="5"/>
  <c r="C101" i="5"/>
  <c r="B101" i="5"/>
  <c r="P102" i="5"/>
  <c r="K102" i="5"/>
  <c r="D102" i="5"/>
  <c r="S103" i="5"/>
  <c r="R103" i="5"/>
  <c r="Q103" i="5"/>
  <c r="P103" i="5"/>
  <c r="O103" i="5"/>
  <c r="N103" i="5"/>
  <c r="M103" i="5"/>
  <c r="L103" i="5"/>
  <c r="K103" i="5"/>
  <c r="J103" i="5"/>
  <c r="I103" i="5"/>
  <c r="H103" i="5"/>
  <c r="G103" i="5"/>
  <c r="F103" i="5"/>
  <c r="E103" i="5"/>
  <c r="D103" i="5"/>
  <c r="C103" i="5"/>
  <c r="B103" i="5"/>
  <c r="R104" i="5"/>
  <c r="Q104" i="5"/>
  <c r="P104" i="5"/>
  <c r="O104" i="5"/>
  <c r="N104" i="5"/>
  <c r="M104" i="5"/>
  <c r="L104" i="5"/>
  <c r="K104" i="5"/>
  <c r="J104" i="5"/>
  <c r="I104" i="5"/>
  <c r="H104" i="5"/>
  <c r="G104" i="5"/>
  <c r="F104" i="5"/>
  <c r="E104" i="5"/>
  <c r="D104" i="5"/>
  <c r="C104" i="5"/>
  <c r="B104" i="5"/>
  <c r="S105" i="5"/>
  <c r="R105" i="5"/>
  <c r="Q105" i="5"/>
  <c r="P105" i="5"/>
  <c r="O105" i="5"/>
  <c r="N105" i="5"/>
  <c r="M105" i="5"/>
  <c r="L105" i="5"/>
  <c r="K105" i="5"/>
  <c r="J105" i="5"/>
  <c r="I105" i="5"/>
  <c r="H105" i="5"/>
  <c r="G105" i="5"/>
  <c r="F105" i="5"/>
  <c r="E105" i="5"/>
  <c r="D105" i="5"/>
  <c r="C105" i="5"/>
  <c r="B105" i="5"/>
  <c r="R106" i="5"/>
  <c r="P106" i="5"/>
  <c r="O106" i="5"/>
  <c r="M106" i="5"/>
  <c r="L106" i="5"/>
  <c r="J106" i="5"/>
  <c r="I106" i="5"/>
  <c r="F106" i="5"/>
  <c r="D106" i="5"/>
  <c r="C106" i="5"/>
  <c r="R107" i="5"/>
  <c r="Q107" i="5"/>
  <c r="P107" i="5"/>
  <c r="O107" i="5"/>
  <c r="N107" i="5"/>
  <c r="M107" i="5"/>
  <c r="L107" i="5"/>
  <c r="K107" i="5"/>
  <c r="J107" i="5"/>
  <c r="I107" i="5"/>
  <c r="H107" i="5"/>
  <c r="G107" i="5"/>
  <c r="F107" i="5"/>
  <c r="E107" i="5"/>
  <c r="D107" i="5"/>
  <c r="C107" i="5"/>
  <c r="B107" i="5"/>
  <c r="Q108" i="5"/>
  <c r="E108" i="5"/>
  <c r="S110" i="5"/>
  <c r="R110" i="5"/>
  <c r="Q110" i="5"/>
  <c r="P110" i="5"/>
  <c r="O110" i="5"/>
  <c r="N110" i="5"/>
  <c r="M110" i="5"/>
  <c r="L110" i="5"/>
  <c r="K110" i="5"/>
  <c r="J110" i="5"/>
  <c r="I110" i="5"/>
  <c r="H110" i="5"/>
  <c r="G110" i="5"/>
  <c r="F110" i="5"/>
  <c r="E110" i="5"/>
  <c r="D110" i="5"/>
  <c r="C110" i="5"/>
  <c r="B110" i="5"/>
  <c r="N112" i="5"/>
  <c r="R113" i="5"/>
  <c r="Q113" i="5"/>
  <c r="P113" i="5"/>
  <c r="O113" i="5"/>
  <c r="N113" i="5"/>
  <c r="M113" i="5"/>
  <c r="L113" i="5"/>
  <c r="K113" i="5"/>
  <c r="J113" i="5"/>
  <c r="I113" i="5"/>
  <c r="H113" i="5"/>
  <c r="G113" i="5"/>
  <c r="F113" i="5"/>
  <c r="E113" i="5"/>
  <c r="D113" i="5"/>
  <c r="C113" i="5"/>
  <c r="B113" i="5"/>
  <c r="S114" i="5"/>
  <c r="R114" i="5"/>
  <c r="Q114" i="5"/>
  <c r="P114" i="5"/>
  <c r="O114" i="5"/>
  <c r="N114" i="5"/>
  <c r="M114" i="5"/>
  <c r="L114" i="5"/>
  <c r="K114" i="5"/>
  <c r="J114" i="5"/>
  <c r="I114" i="5"/>
  <c r="H114" i="5"/>
  <c r="G114" i="5"/>
  <c r="F114" i="5"/>
  <c r="E114" i="5"/>
  <c r="D114" i="5"/>
  <c r="C114" i="5"/>
  <c r="B114" i="5"/>
  <c r="Q115" i="5"/>
  <c r="J115" i="5"/>
  <c r="E115" i="5"/>
  <c r="R116" i="5"/>
  <c r="Q116" i="5"/>
  <c r="P116" i="5"/>
  <c r="O116" i="5"/>
  <c r="N116" i="5"/>
  <c r="M116" i="5"/>
  <c r="L116" i="5"/>
  <c r="K116" i="5"/>
  <c r="J116" i="5"/>
  <c r="I116" i="5"/>
  <c r="H116" i="5"/>
  <c r="G116" i="5"/>
  <c r="F116" i="5"/>
  <c r="E116" i="5"/>
  <c r="D116" i="5"/>
  <c r="C116" i="5"/>
  <c r="B116" i="5"/>
  <c r="S117" i="5"/>
  <c r="R117" i="5"/>
  <c r="Q117" i="5"/>
  <c r="P117" i="5"/>
  <c r="O117" i="5"/>
  <c r="N117" i="5"/>
  <c r="M117" i="5"/>
  <c r="L117" i="5"/>
  <c r="K117" i="5"/>
  <c r="J117" i="5"/>
  <c r="I117" i="5"/>
  <c r="H117" i="5"/>
  <c r="G117" i="5"/>
  <c r="F117" i="5"/>
  <c r="E117" i="5"/>
  <c r="D117" i="5"/>
  <c r="C117" i="5"/>
  <c r="B117" i="5"/>
  <c r="R119" i="5"/>
  <c r="Q119" i="5"/>
  <c r="O119" i="5"/>
  <c r="N119" i="5"/>
  <c r="K119" i="5"/>
  <c r="I119" i="5"/>
  <c r="H119" i="5"/>
  <c r="G119" i="5"/>
  <c r="F119" i="5"/>
  <c r="E119" i="5"/>
  <c r="C119" i="5"/>
  <c r="B119" i="5"/>
  <c r="H121" i="5"/>
  <c r="S122" i="5"/>
  <c r="R122" i="5"/>
  <c r="Q122" i="5"/>
  <c r="P122" i="5"/>
  <c r="O122" i="5"/>
  <c r="N122" i="5"/>
  <c r="M122" i="5"/>
  <c r="L122" i="5"/>
  <c r="K122" i="5"/>
  <c r="J122" i="5"/>
  <c r="I122" i="5"/>
  <c r="H122" i="5"/>
  <c r="G122" i="5"/>
  <c r="F122" i="5"/>
  <c r="E122" i="5"/>
  <c r="D122" i="5"/>
  <c r="C122" i="5"/>
  <c r="B122" i="5"/>
  <c r="O123" i="5"/>
  <c r="C123" i="5"/>
  <c r="R125" i="5"/>
  <c r="Q125" i="5"/>
  <c r="P125" i="5"/>
  <c r="O125" i="5"/>
  <c r="N125" i="5"/>
  <c r="M125" i="5"/>
  <c r="L125" i="5"/>
  <c r="K125" i="5"/>
  <c r="J125" i="5"/>
  <c r="I125" i="5"/>
  <c r="H125" i="5"/>
  <c r="G125" i="5"/>
  <c r="F125" i="5"/>
  <c r="E125" i="5"/>
  <c r="D125" i="5"/>
  <c r="C125" i="5"/>
  <c r="B125" i="5"/>
  <c r="I126" i="5"/>
  <c r="S127" i="5"/>
  <c r="R127" i="5"/>
  <c r="Q127" i="5"/>
  <c r="P127" i="5"/>
  <c r="O127" i="5"/>
  <c r="N127" i="5"/>
  <c r="M127" i="5"/>
  <c r="L127" i="5"/>
  <c r="K127" i="5"/>
  <c r="J127" i="5"/>
  <c r="I127" i="5"/>
  <c r="H127" i="5"/>
  <c r="G127" i="5"/>
  <c r="F127" i="5"/>
  <c r="E127" i="5"/>
  <c r="D127" i="5"/>
  <c r="C127" i="5"/>
  <c r="B127" i="5"/>
  <c r="S128" i="5"/>
  <c r="R128" i="5"/>
  <c r="Q128" i="5"/>
  <c r="P128" i="5"/>
  <c r="O128" i="5"/>
  <c r="N128" i="5"/>
  <c r="M128" i="5"/>
  <c r="L128" i="5"/>
  <c r="K128" i="5"/>
  <c r="J128" i="5"/>
  <c r="I128" i="5"/>
  <c r="H128" i="5"/>
  <c r="G128" i="5"/>
  <c r="F128" i="5"/>
  <c r="E128" i="5"/>
  <c r="D128" i="5"/>
  <c r="C128" i="5"/>
  <c r="B128" i="5"/>
  <c r="M129" i="5"/>
  <c r="H129" i="5"/>
  <c r="S130" i="5"/>
  <c r="R130" i="5"/>
  <c r="Q130" i="5"/>
  <c r="P130" i="5"/>
  <c r="O130" i="5"/>
  <c r="N130" i="5"/>
  <c r="M130" i="5"/>
  <c r="L130" i="5"/>
  <c r="K130" i="5"/>
  <c r="J130" i="5"/>
  <c r="I130" i="5"/>
  <c r="H130" i="5"/>
  <c r="G130" i="5"/>
  <c r="F130" i="5"/>
  <c r="E130" i="5"/>
  <c r="D130" i="5"/>
  <c r="C130" i="5"/>
  <c r="B130" i="5"/>
  <c r="S131" i="5"/>
  <c r="R131" i="5"/>
  <c r="Q131" i="5"/>
  <c r="P131" i="5"/>
  <c r="O131" i="5"/>
  <c r="N131" i="5"/>
  <c r="M131" i="5"/>
  <c r="L131" i="5"/>
  <c r="K131" i="5"/>
  <c r="J131" i="5"/>
  <c r="I131" i="5"/>
  <c r="H131" i="5"/>
  <c r="G131" i="5"/>
  <c r="F131" i="5"/>
  <c r="E131" i="5"/>
  <c r="D131" i="5"/>
  <c r="C131" i="5"/>
  <c r="B131" i="5"/>
  <c r="Q132" i="5"/>
  <c r="O132" i="5"/>
  <c r="N132" i="5"/>
  <c r="M132" i="5"/>
  <c r="L132" i="5"/>
  <c r="K132" i="5"/>
  <c r="I132" i="5"/>
  <c r="H132" i="5"/>
  <c r="E132" i="5"/>
  <c r="C132" i="5"/>
  <c r="B132" i="5"/>
  <c r="S133" i="5"/>
  <c r="G133" i="5"/>
  <c r="S134" i="5"/>
  <c r="R134" i="5"/>
  <c r="Q134" i="5"/>
  <c r="P134" i="5"/>
  <c r="O134" i="5"/>
  <c r="N134" i="5"/>
  <c r="M134" i="5"/>
  <c r="L134" i="5"/>
  <c r="K134" i="5"/>
  <c r="J134" i="5"/>
  <c r="I134" i="5"/>
  <c r="H134" i="5"/>
  <c r="G134" i="5"/>
  <c r="F134" i="5"/>
  <c r="E134" i="5"/>
  <c r="D134" i="5"/>
  <c r="C134" i="5"/>
  <c r="B134" i="5"/>
  <c r="J135" i="5"/>
  <c r="S138" i="5"/>
  <c r="R138" i="5"/>
  <c r="Q138" i="5"/>
  <c r="P138" i="5"/>
  <c r="O138" i="5"/>
  <c r="N138" i="5"/>
  <c r="M138" i="5"/>
  <c r="L138" i="5"/>
  <c r="K138" i="5"/>
  <c r="J138" i="5"/>
  <c r="I138" i="5"/>
  <c r="H138" i="5"/>
  <c r="G138" i="5"/>
  <c r="F138" i="5"/>
  <c r="E138" i="5"/>
  <c r="D138" i="5"/>
  <c r="C138" i="5"/>
  <c r="B138" i="5"/>
  <c r="S142" i="5"/>
  <c r="R142" i="5"/>
  <c r="Q142" i="5"/>
  <c r="P142" i="5"/>
  <c r="O142" i="5"/>
  <c r="N142" i="5"/>
  <c r="M142" i="5"/>
  <c r="L142" i="5"/>
  <c r="K142" i="5"/>
  <c r="J142" i="5"/>
  <c r="I142" i="5"/>
  <c r="H142" i="5"/>
  <c r="G142" i="5"/>
  <c r="F142" i="5"/>
  <c r="E142" i="5"/>
  <c r="D142" i="5"/>
  <c r="C142" i="5"/>
  <c r="B142" i="5"/>
  <c r="S143" i="5"/>
  <c r="R143" i="5"/>
  <c r="Q143" i="5"/>
  <c r="P143" i="5"/>
  <c r="O143" i="5"/>
  <c r="N143" i="5"/>
  <c r="M143" i="5"/>
  <c r="L143" i="5"/>
  <c r="K143" i="5"/>
  <c r="J143" i="5"/>
  <c r="I143" i="5"/>
  <c r="H143" i="5"/>
  <c r="G143" i="5"/>
  <c r="F143" i="5"/>
  <c r="E143" i="5"/>
  <c r="D143" i="5"/>
  <c r="C143" i="5"/>
  <c r="B143" i="5"/>
  <c r="S144" i="5"/>
  <c r="N144" i="5"/>
  <c r="G144" i="5"/>
  <c r="B144" i="5"/>
  <c r="S145" i="5"/>
  <c r="R145" i="5"/>
  <c r="Q145" i="5"/>
  <c r="P145" i="5"/>
  <c r="O145" i="5"/>
  <c r="N145" i="5"/>
  <c r="M145" i="5"/>
  <c r="L145" i="5"/>
  <c r="K145" i="5"/>
  <c r="J145" i="5"/>
  <c r="I145" i="5"/>
  <c r="H145" i="5"/>
  <c r="G145" i="5"/>
  <c r="F145" i="5"/>
  <c r="E145" i="5"/>
  <c r="D145" i="5"/>
  <c r="C145" i="5"/>
  <c r="B145" i="5"/>
  <c r="K146" i="5"/>
  <c r="S147" i="5"/>
  <c r="R147" i="5"/>
  <c r="Q147" i="5"/>
  <c r="P147" i="5"/>
  <c r="O147" i="5"/>
  <c r="N147" i="5"/>
  <c r="M147" i="5"/>
  <c r="L147" i="5"/>
  <c r="K147" i="5"/>
  <c r="J147" i="5"/>
  <c r="I147" i="5"/>
  <c r="H147" i="5"/>
  <c r="G147" i="5"/>
  <c r="F147" i="5"/>
  <c r="E147" i="5"/>
  <c r="D147" i="5"/>
  <c r="C147" i="5"/>
  <c r="B147" i="5"/>
  <c r="R148" i="5"/>
  <c r="Q148" i="5"/>
  <c r="P148" i="5"/>
  <c r="O148" i="5"/>
  <c r="N148" i="5"/>
  <c r="M148" i="5"/>
  <c r="L148" i="5"/>
  <c r="K148" i="5"/>
  <c r="J148" i="5"/>
  <c r="I148" i="5"/>
  <c r="H148" i="5"/>
  <c r="G148" i="5"/>
  <c r="F148" i="5"/>
  <c r="E148" i="5"/>
  <c r="D148" i="5"/>
  <c r="C148" i="5"/>
  <c r="B148" i="5"/>
  <c r="O149" i="5"/>
  <c r="C149" i="5"/>
  <c r="S150" i="5"/>
  <c r="R150" i="5"/>
  <c r="Q150" i="5"/>
  <c r="P150" i="5"/>
  <c r="O150" i="5"/>
  <c r="N150" i="5"/>
  <c r="M150" i="5"/>
  <c r="L150" i="5"/>
  <c r="K150" i="5"/>
  <c r="J150" i="5"/>
  <c r="I150" i="5"/>
  <c r="H150" i="5"/>
  <c r="G150" i="5"/>
  <c r="F150" i="5"/>
  <c r="E150" i="5"/>
  <c r="D150" i="5"/>
  <c r="C150" i="5"/>
  <c r="B150" i="5"/>
  <c r="R152" i="5"/>
  <c r="O152" i="5"/>
  <c r="F152" i="5"/>
  <c r="C152" i="5"/>
  <c r="L153" i="5"/>
  <c r="J153" i="5"/>
  <c r="I153" i="5"/>
  <c r="S154" i="5"/>
  <c r="R154" i="5"/>
  <c r="Q154" i="5"/>
  <c r="P154" i="5"/>
  <c r="O154" i="5"/>
  <c r="N154" i="5"/>
  <c r="M154" i="5"/>
  <c r="L154" i="5"/>
  <c r="K154" i="5"/>
  <c r="J154" i="5"/>
  <c r="I154" i="5"/>
  <c r="H154" i="5"/>
  <c r="G154" i="5"/>
  <c r="F154" i="5"/>
  <c r="E154" i="5"/>
  <c r="D154" i="5"/>
  <c r="C154" i="5"/>
  <c r="B154" i="5"/>
  <c r="R155" i="5"/>
  <c r="Q155" i="5"/>
  <c r="P155" i="5"/>
  <c r="O155" i="5"/>
  <c r="N155" i="5"/>
  <c r="M155" i="5"/>
  <c r="L155" i="5"/>
  <c r="K155" i="5"/>
  <c r="J155" i="5"/>
  <c r="I155" i="5"/>
  <c r="H155" i="5"/>
  <c r="G155" i="5"/>
  <c r="F155" i="5"/>
  <c r="E155" i="5"/>
  <c r="D155" i="5"/>
  <c r="C155" i="5"/>
  <c r="B155" i="5"/>
  <c r="Q156" i="5"/>
  <c r="J156" i="5"/>
  <c r="E156" i="5"/>
  <c r="S157" i="5"/>
  <c r="R157" i="5"/>
  <c r="Q157" i="5"/>
  <c r="P157" i="5"/>
  <c r="O157" i="5"/>
  <c r="N157" i="5"/>
  <c r="M157" i="5"/>
  <c r="L157" i="5"/>
  <c r="K157" i="5"/>
  <c r="J157" i="5"/>
  <c r="I157" i="5"/>
  <c r="H157" i="5"/>
  <c r="G157" i="5"/>
  <c r="F157" i="5"/>
  <c r="E157" i="5"/>
  <c r="D157" i="5"/>
  <c r="C157" i="5"/>
  <c r="B157" i="5"/>
  <c r="P158" i="5"/>
  <c r="O158" i="5"/>
  <c r="N158" i="5"/>
  <c r="M158" i="5"/>
  <c r="L158" i="5"/>
  <c r="K158" i="5"/>
  <c r="J158" i="5"/>
  <c r="I158" i="5"/>
  <c r="H158" i="5"/>
  <c r="G158" i="5"/>
  <c r="F158" i="5"/>
  <c r="E158" i="5"/>
  <c r="D158" i="5"/>
  <c r="C158" i="5"/>
  <c r="B158" i="5"/>
  <c r="I159" i="5"/>
  <c r="P160" i="5"/>
  <c r="O160" i="5"/>
  <c r="N160" i="5"/>
  <c r="M160" i="5"/>
  <c r="L160" i="5"/>
  <c r="K160" i="5"/>
  <c r="J160" i="5"/>
  <c r="I160" i="5"/>
  <c r="H160" i="5"/>
  <c r="G160" i="5"/>
  <c r="F160" i="5"/>
  <c r="E160" i="5"/>
  <c r="D160" i="5"/>
  <c r="C160" i="5"/>
  <c r="B160" i="5"/>
  <c r="P161" i="5"/>
  <c r="O161" i="5"/>
  <c r="N161" i="5"/>
  <c r="M161" i="5"/>
  <c r="L161" i="5"/>
  <c r="K161" i="5"/>
  <c r="J161" i="5"/>
  <c r="I161" i="5"/>
  <c r="H161" i="5"/>
  <c r="G161" i="5"/>
  <c r="F161" i="5"/>
  <c r="E161" i="5"/>
  <c r="D161" i="5"/>
  <c r="C161" i="5"/>
  <c r="B161" i="5"/>
  <c r="I163" i="5"/>
  <c r="F163" i="5"/>
  <c r="P165" i="5"/>
  <c r="O165" i="5"/>
  <c r="N165" i="5"/>
  <c r="M165" i="5"/>
  <c r="L165" i="5"/>
  <c r="K165" i="5"/>
  <c r="J165" i="5"/>
  <c r="I165" i="5"/>
  <c r="H165" i="5"/>
  <c r="G165" i="5"/>
  <c r="F165" i="5"/>
  <c r="E165" i="5"/>
  <c r="D165" i="5"/>
  <c r="C165" i="5"/>
  <c r="B165" i="5"/>
  <c r="F166" i="5"/>
  <c r="P167" i="5"/>
  <c r="O167" i="5"/>
  <c r="N167" i="5"/>
  <c r="M167" i="5"/>
  <c r="L167" i="5"/>
  <c r="K167" i="5"/>
  <c r="J167" i="5"/>
  <c r="I167" i="5"/>
  <c r="H167" i="5"/>
  <c r="G167" i="5"/>
  <c r="F167" i="5"/>
  <c r="E167" i="5"/>
  <c r="D167" i="5"/>
  <c r="C167" i="5"/>
  <c r="B167" i="5"/>
  <c r="P168" i="5"/>
  <c r="O168" i="5"/>
  <c r="N168" i="5"/>
  <c r="M168" i="5"/>
  <c r="L168" i="5"/>
  <c r="K168" i="5"/>
  <c r="J168" i="5"/>
  <c r="I168" i="5"/>
  <c r="H168" i="5"/>
  <c r="G168" i="5"/>
  <c r="F168" i="5"/>
  <c r="E168" i="5"/>
  <c r="D168" i="5"/>
  <c r="C168" i="5"/>
  <c r="B168" i="5"/>
  <c r="J169" i="5"/>
  <c r="E169" i="5"/>
  <c r="L170" i="5"/>
  <c r="I170" i="5"/>
  <c r="P171" i="5"/>
  <c r="O171" i="5"/>
  <c r="N171" i="5"/>
  <c r="M171" i="5"/>
  <c r="L171" i="5"/>
  <c r="K171" i="5"/>
  <c r="J171" i="5"/>
  <c r="I171" i="5"/>
  <c r="H171" i="5"/>
  <c r="G171" i="5"/>
  <c r="F171" i="5"/>
  <c r="E171" i="5"/>
  <c r="D171" i="5"/>
  <c r="C171" i="5"/>
  <c r="B171" i="5"/>
  <c r="P172" i="5"/>
  <c r="O172" i="5"/>
  <c r="N172" i="5"/>
  <c r="M172" i="5"/>
  <c r="L172" i="5"/>
  <c r="K172" i="5"/>
  <c r="J172" i="5"/>
  <c r="I172" i="5"/>
  <c r="H172" i="5"/>
  <c r="G172" i="5"/>
  <c r="F172" i="5"/>
  <c r="E172" i="5"/>
  <c r="D172" i="5"/>
  <c r="C172" i="5"/>
  <c r="B172" i="5"/>
  <c r="P3" i="3"/>
  <c r="P4" i="3"/>
  <c r="P5" i="3"/>
  <c r="P6" i="3"/>
  <c r="P7" i="3"/>
  <c r="P8" i="3"/>
  <c r="P9" i="3"/>
  <c r="P10" i="3"/>
  <c r="P11" i="3"/>
  <c r="P12" i="3"/>
  <c r="P13" i="3"/>
  <c r="P162" i="5"/>
  <c r="O162" i="5"/>
  <c r="N162" i="5"/>
  <c r="M162" i="5"/>
  <c r="L162" i="5"/>
  <c r="K162" i="5"/>
  <c r="J162" i="5"/>
  <c r="I162" i="5"/>
  <c r="H162" i="5"/>
  <c r="G162" i="5"/>
  <c r="F162" i="5"/>
  <c r="E162" i="5"/>
  <c r="D162" i="5"/>
  <c r="C162" i="5"/>
  <c r="B162" i="5"/>
  <c r="R140" i="5"/>
  <c r="Q140" i="5"/>
  <c r="P140" i="5"/>
  <c r="O140" i="5"/>
  <c r="N140" i="5"/>
  <c r="M140" i="5"/>
  <c r="L140" i="5"/>
  <c r="K140" i="5"/>
  <c r="J140" i="5"/>
  <c r="I140" i="5"/>
  <c r="H140" i="5"/>
  <c r="G140" i="5"/>
  <c r="F140" i="5"/>
  <c r="E140" i="5"/>
  <c r="D140" i="5"/>
  <c r="C140" i="5"/>
  <c r="B140" i="5"/>
  <c r="R139" i="5"/>
  <c r="Q139" i="5"/>
  <c r="P139" i="5"/>
  <c r="O139" i="5"/>
  <c r="N139" i="5"/>
  <c r="M139" i="5"/>
  <c r="L139" i="5"/>
  <c r="K139" i="5"/>
  <c r="J139" i="5"/>
  <c r="I139" i="5"/>
  <c r="H139" i="5"/>
  <c r="G139" i="5"/>
  <c r="F139" i="5"/>
  <c r="E139" i="5"/>
  <c r="D139" i="5"/>
  <c r="C139" i="5"/>
  <c r="B139" i="5"/>
  <c r="R137" i="5"/>
  <c r="Q137" i="5"/>
  <c r="P137" i="5"/>
  <c r="O137" i="5"/>
  <c r="N137" i="5"/>
  <c r="M137" i="5"/>
  <c r="L137" i="5"/>
  <c r="K137" i="5"/>
  <c r="J137" i="5"/>
  <c r="I137" i="5"/>
  <c r="H137" i="5"/>
  <c r="G137" i="5"/>
  <c r="F137" i="5"/>
  <c r="E137" i="5"/>
  <c r="D137" i="5"/>
  <c r="C137" i="5"/>
  <c r="B137" i="5"/>
  <c r="R120" i="5"/>
  <c r="Q120" i="5"/>
  <c r="P120" i="5"/>
  <c r="O120" i="5"/>
  <c r="N120" i="5"/>
  <c r="M120" i="5"/>
  <c r="L120" i="5"/>
  <c r="K120" i="5"/>
  <c r="J120" i="5"/>
  <c r="I120" i="5"/>
  <c r="H120" i="5"/>
  <c r="G120" i="5"/>
  <c r="F120" i="5"/>
  <c r="E120" i="5"/>
  <c r="D120" i="5"/>
  <c r="C120" i="5"/>
  <c r="B120" i="5"/>
  <c r="R118" i="5"/>
  <c r="Q118" i="5"/>
  <c r="P118" i="5"/>
  <c r="O118" i="5"/>
  <c r="N118" i="5"/>
  <c r="M118" i="5"/>
  <c r="L118" i="5"/>
  <c r="K118" i="5"/>
  <c r="J118" i="5"/>
  <c r="I118" i="5"/>
  <c r="H118" i="5"/>
  <c r="G118" i="5"/>
  <c r="F118" i="5"/>
  <c r="E118" i="5"/>
  <c r="D118" i="5"/>
  <c r="C118" i="5"/>
  <c r="B118" i="5"/>
  <c r="R111" i="5"/>
  <c r="Q111" i="5"/>
  <c r="P111" i="5"/>
  <c r="O111" i="5"/>
  <c r="N111" i="5"/>
  <c r="M111" i="5"/>
  <c r="L111" i="5"/>
  <c r="K111" i="5"/>
  <c r="J111" i="5"/>
  <c r="I111" i="5"/>
  <c r="H111" i="5"/>
  <c r="G111" i="5"/>
  <c r="F111" i="5"/>
  <c r="E111" i="5"/>
  <c r="D111" i="5"/>
  <c r="C111" i="5"/>
  <c r="B111" i="5"/>
  <c r="R100" i="5"/>
  <c r="Q100" i="5"/>
  <c r="P100" i="5"/>
  <c r="O100" i="5"/>
  <c r="N100" i="5"/>
  <c r="M100" i="5"/>
  <c r="L100" i="5"/>
  <c r="K100" i="5"/>
  <c r="J100" i="5"/>
  <c r="I100" i="5"/>
  <c r="H100" i="5"/>
  <c r="G100" i="5"/>
  <c r="F100" i="5"/>
  <c r="E100" i="5"/>
  <c r="D100" i="5"/>
  <c r="C100" i="5"/>
  <c r="B100" i="5"/>
  <c r="R97" i="5"/>
  <c r="Q97" i="5"/>
  <c r="P97" i="5"/>
  <c r="O97" i="5"/>
  <c r="N97" i="5"/>
  <c r="M97" i="5"/>
  <c r="L97" i="5"/>
  <c r="K97" i="5"/>
  <c r="J97" i="5"/>
  <c r="I97" i="5"/>
  <c r="H97" i="5"/>
  <c r="G97" i="5"/>
  <c r="F97" i="5"/>
  <c r="E97" i="5"/>
  <c r="D97" i="5"/>
  <c r="C97" i="5"/>
  <c r="B97" i="5"/>
  <c r="R95" i="5"/>
  <c r="Q95" i="5"/>
  <c r="P95" i="5"/>
  <c r="O95" i="5"/>
  <c r="N95" i="5"/>
  <c r="M95" i="5"/>
  <c r="L95" i="5"/>
  <c r="K95" i="5"/>
  <c r="J95" i="5"/>
  <c r="I95" i="5"/>
  <c r="H95" i="5"/>
  <c r="G95" i="5"/>
  <c r="F95" i="5"/>
  <c r="E95" i="5"/>
  <c r="D95" i="5"/>
  <c r="C95" i="5"/>
  <c r="B95" i="5"/>
  <c r="R93" i="5"/>
  <c r="Q93" i="5"/>
  <c r="P93" i="5"/>
  <c r="O93" i="5"/>
  <c r="N93" i="5"/>
  <c r="M93" i="5"/>
  <c r="L93" i="5"/>
  <c r="K93" i="5"/>
  <c r="J93" i="5"/>
  <c r="I93" i="5"/>
  <c r="H93" i="5"/>
  <c r="G93" i="5"/>
  <c r="F93" i="5"/>
  <c r="E93" i="5"/>
  <c r="D93" i="5"/>
  <c r="C93" i="5"/>
  <c r="B93" i="5"/>
  <c r="R92" i="5"/>
  <c r="Q92" i="5"/>
  <c r="P92" i="5"/>
  <c r="O92" i="5"/>
  <c r="N92" i="5"/>
  <c r="M92" i="5"/>
  <c r="L92" i="5"/>
  <c r="K92" i="5"/>
  <c r="J92" i="5"/>
  <c r="I92" i="5"/>
  <c r="H92" i="5"/>
  <c r="G92" i="5"/>
  <c r="F92" i="5"/>
  <c r="E92" i="5"/>
  <c r="D92" i="5"/>
  <c r="C92" i="5"/>
  <c r="B92" i="5"/>
  <c r="R91" i="5"/>
  <c r="Q91" i="5"/>
  <c r="P91" i="5"/>
  <c r="O91" i="5"/>
  <c r="N91" i="5"/>
  <c r="M91" i="5"/>
  <c r="L91" i="5"/>
  <c r="K91" i="5"/>
  <c r="J91" i="5"/>
  <c r="I91" i="5"/>
  <c r="H91" i="5"/>
  <c r="G91" i="5"/>
  <c r="F91" i="5"/>
  <c r="E91" i="5"/>
  <c r="D91" i="5"/>
  <c r="C91" i="5"/>
  <c r="B91" i="5"/>
  <c r="R84" i="5"/>
  <c r="Q84" i="5"/>
  <c r="P84" i="5"/>
  <c r="O84" i="5"/>
  <c r="N84" i="5"/>
  <c r="M84" i="5"/>
  <c r="L84" i="5"/>
  <c r="K84" i="5"/>
  <c r="J84" i="5"/>
  <c r="I84" i="5"/>
  <c r="H84" i="5"/>
  <c r="G84" i="5"/>
  <c r="F84" i="5"/>
  <c r="E84" i="5"/>
  <c r="D84" i="5"/>
  <c r="C84" i="5"/>
  <c r="B84" i="5"/>
  <c r="R78" i="5"/>
  <c r="Q78" i="5"/>
  <c r="P78" i="5"/>
  <c r="O78" i="5"/>
  <c r="N78" i="5"/>
  <c r="M78" i="5"/>
  <c r="L78" i="5"/>
  <c r="K78" i="5"/>
  <c r="J78" i="5"/>
  <c r="I78" i="5"/>
  <c r="H78" i="5"/>
  <c r="G78" i="5"/>
  <c r="F78" i="5"/>
  <c r="E78" i="5"/>
  <c r="D78" i="5"/>
  <c r="C78" i="5"/>
  <c r="B78" i="5"/>
  <c r="R77" i="5"/>
  <c r="Q77" i="5"/>
  <c r="P77" i="5"/>
  <c r="O77" i="5"/>
  <c r="N77" i="5"/>
  <c r="M77" i="5"/>
  <c r="L77" i="5"/>
  <c r="K77" i="5"/>
  <c r="J77" i="5"/>
  <c r="I77" i="5"/>
  <c r="H77" i="5"/>
  <c r="G77" i="5"/>
  <c r="F77" i="5"/>
  <c r="E77" i="5"/>
  <c r="D77" i="5"/>
  <c r="C77" i="5"/>
  <c r="B77" i="5"/>
  <c r="R72" i="5"/>
  <c r="Q72" i="5"/>
  <c r="P72" i="5"/>
  <c r="O72" i="5"/>
  <c r="N72" i="5"/>
  <c r="M72" i="5"/>
  <c r="L72" i="5"/>
  <c r="K72" i="5"/>
  <c r="J72" i="5"/>
  <c r="I72" i="5"/>
  <c r="H72" i="5"/>
  <c r="G72" i="5"/>
  <c r="F72" i="5"/>
  <c r="E72" i="5"/>
  <c r="D72" i="5"/>
  <c r="C72" i="5"/>
  <c r="B72" i="5"/>
  <c r="R68" i="5"/>
  <c r="Q68" i="5"/>
  <c r="P68" i="5"/>
  <c r="O68" i="5"/>
  <c r="N68" i="5"/>
  <c r="M68" i="5"/>
  <c r="L68" i="5"/>
  <c r="K68" i="5"/>
  <c r="J68" i="5"/>
  <c r="I68" i="5"/>
  <c r="H68" i="5"/>
  <c r="G68" i="5"/>
  <c r="F68" i="5"/>
  <c r="E68" i="5"/>
  <c r="D68" i="5"/>
  <c r="C68" i="5"/>
  <c r="B68" i="5"/>
  <c r="R67" i="5"/>
  <c r="Q67" i="5"/>
  <c r="P67" i="5"/>
  <c r="O67" i="5"/>
  <c r="N67" i="5"/>
  <c r="M67" i="5"/>
  <c r="L67" i="5"/>
  <c r="K67" i="5"/>
  <c r="J67" i="5"/>
  <c r="I67" i="5"/>
  <c r="H67" i="5"/>
  <c r="G67" i="5"/>
  <c r="F67" i="5"/>
  <c r="E67" i="5"/>
  <c r="D67" i="5"/>
  <c r="C67" i="5"/>
  <c r="B67" i="5"/>
  <c r="R65" i="5"/>
  <c r="Q65" i="5"/>
  <c r="P65" i="5"/>
  <c r="O65" i="5"/>
  <c r="N65" i="5"/>
  <c r="M65" i="5"/>
  <c r="L65" i="5"/>
  <c r="K65" i="5"/>
  <c r="J65" i="5"/>
  <c r="I65" i="5"/>
  <c r="H65" i="5"/>
  <c r="G65" i="5"/>
  <c r="F65" i="5"/>
  <c r="E65" i="5"/>
  <c r="D65" i="5"/>
  <c r="C65" i="5"/>
  <c r="B65" i="5"/>
  <c r="R53" i="5"/>
  <c r="Q53" i="5"/>
  <c r="P53" i="5"/>
  <c r="O53" i="5"/>
  <c r="N53" i="5"/>
  <c r="M53" i="5"/>
  <c r="L53" i="5"/>
  <c r="K53" i="5"/>
  <c r="J53" i="5"/>
  <c r="I53" i="5"/>
  <c r="H53" i="5"/>
  <c r="G53" i="5"/>
  <c r="F53" i="5"/>
  <c r="E53" i="5"/>
  <c r="D53" i="5"/>
  <c r="C53" i="5"/>
  <c r="B53" i="5"/>
  <c r="R51" i="5"/>
  <c r="Q51" i="5"/>
  <c r="P51" i="5"/>
  <c r="O51" i="5"/>
  <c r="N51" i="5"/>
  <c r="M51" i="5"/>
  <c r="L51" i="5"/>
  <c r="K51" i="5"/>
  <c r="J51" i="5"/>
  <c r="I51" i="5"/>
  <c r="H51" i="5"/>
  <c r="G51" i="5"/>
  <c r="F51" i="5"/>
  <c r="E51" i="5"/>
  <c r="D51" i="5"/>
  <c r="C51" i="5"/>
  <c r="B51" i="5"/>
  <c r="R47" i="5"/>
  <c r="Q47" i="5"/>
  <c r="P47" i="5"/>
  <c r="O47" i="5"/>
  <c r="N47" i="5"/>
  <c r="M47" i="5"/>
  <c r="L47" i="5"/>
  <c r="K47" i="5"/>
  <c r="J47" i="5"/>
  <c r="I47" i="5"/>
  <c r="H47" i="5"/>
  <c r="G47" i="5"/>
  <c r="F47" i="5"/>
  <c r="E47" i="5"/>
  <c r="D47" i="5"/>
  <c r="C47" i="5"/>
  <c r="B47" i="5"/>
  <c r="R42" i="5"/>
  <c r="Q42" i="5"/>
  <c r="P42" i="5"/>
  <c r="O42" i="5"/>
  <c r="N42" i="5"/>
  <c r="M42" i="5"/>
  <c r="L42" i="5"/>
  <c r="K42" i="5"/>
  <c r="J42" i="5"/>
  <c r="I42" i="5"/>
  <c r="H42" i="5"/>
  <c r="G42" i="5"/>
  <c r="F42" i="5"/>
  <c r="E42" i="5"/>
  <c r="D42" i="5"/>
  <c r="C42" i="5"/>
  <c r="B42" i="5"/>
  <c r="R40" i="5"/>
  <c r="Q40" i="5"/>
  <c r="P40" i="5"/>
  <c r="O40" i="5"/>
  <c r="N40" i="5"/>
  <c r="M40" i="5"/>
  <c r="L40" i="5"/>
  <c r="K40" i="5"/>
  <c r="J40" i="5"/>
  <c r="I40" i="5"/>
  <c r="H40" i="5"/>
  <c r="G40" i="5"/>
  <c r="F40" i="5"/>
  <c r="E40" i="5"/>
  <c r="D40" i="5"/>
  <c r="C40" i="5"/>
  <c r="B40" i="5"/>
  <c r="R38" i="5"/>
  <c r="Q38" i="5"/>
  <c r="P38" i="5"/>
  <c r="O38" i="5"/>
  <c r="N38" i="5"/>
  <c r="M38" i="5"/>
  <c r="L38" i="5"/>
  <c r="K38" i="5"/>
  <c r="J38" i="5"/>
  <c r="I38" i="5"/>
  <c r="H38" i="5"/>
  <c r="G38" i="5"/>
  <c r="F38" i="5"/>
  <c r="E38" i="5"/>
  <c r="D38" i="5"/>
  <c r="C38" i="5"/>
  <c r="B38" i="5"/>
  <c r="R32" i="5"/>
  <c r="Q32" i="5"/>
  <c r="P32" i="5"/>
  <c r="O32" i="5"/>
  <c r="N32" i="5"/>
  <c r="M32" i="5"/>
  <c r="L32" i="5"/>
  <c r="K32" i="5"/>
  <c r="J32" i="5"/>
  <c r="I32" i="5"/>
  <c r="H32" i="5"/>
  <c r="G32" i="5"/>
  <c r="F32" i="5"/>
  <c r="E32" i="5"/>
  <c r="D32" i="5"/>
  <c r="C32" i="5"/>
  <c r="B32" i="5"/>
  <c r="R31" i="5"/>
  <c r="Q31" i="5"/>
  <c r="P31" i="5"/>
  <c r="O31" i="5"/>
  <c r="N31" i="5"/>
  <c r="M31" i="5"/>
  <c r="L31" i="5"/>
  <c r="K31" i="5"/>
  <c r="J31" i="5"/>
  <c r="I31" i="5"/>
  <c r="H31" i="5"/>
  <c r="G31" i="5"/>
  <c r="F31" i="5"/>
  <c r="E31" i="5"/>
  <c r="D31" i="5"/>
  <c r="C31" i="5"/>
  <c r="B31" i="5"/>
  <c r="R21" i="5"/>
  <c r="Q21" i="5"/>
  <c r="P21" i="5"/>
  <c r="O21" i="5"/>
  <c r="N21" i="5"/>
  <c r="M21" i="5"/>
  <c r="L21" i="5"/>
  <c r="K21" i="5"/>
  <c r="J21" i="5"/>
  <c r="I21" i="5"/>
  <c r="H21" i="5"/>
  <c r="G21" i="5"/>
  <c r="F21" i="5"/>
  <c r="E21" i="5"/>
  <c r="D21" i="5"/>
  <c r="C21" i="5"/>
  <c r="B21" i="5"/>
  <c r="R18" i="5"/>
  <c r="Q18" i="5"/>
  <c r="P18" i="5"/>
  <c r="O18" i="5"/>
  <c r="N18" i="5"/>
  <c r="M18" i="5"/>
  <c r="L18" i="5"/>
  <c r="K18" i="5"/>
  <c r="J18" i="5"/>
  <c r="I18" i="5"/>
  <c r="H18" i="5"/>
  <c r="G18" i="5"/>
  <c r="F18" i="5"/>
  <c r="E18" i="5"/>
  <c r="D18" i="5"/>
  <c r="C18" i="5"/>
  <c r="B18" i="5"/>
  <c r="R16" i="5"/>
  <c r="Q16" i="5"/>
  <c r="P16" i="5"/>
  <c r="O16" i="5"/>
  <c r="N16" i="5"/>
  <c r="M16" i="5"/>
  <c r="L16" i="5"/>
  <c r="K16" i="5"/>
  <c r="J16" i="5"/>
  <c r="I16" i="5"/>
  <c r="H16" i="5"/>
  <c r="G16" i="5"/>
  <c r="F16" i="5"/>
  <c r="E16" i="5"/>
  <c r="D16" i="5"/>
  <c r="C16" i="5"/>
  <c r="B16" i="5"/>
  <c r="R15" i="5"/>
  <c r="Q15" i="5"/>
  <c r="P15" i="5"/>
  <c r="O15" i="5"/>
  <c r="N15" i="5"/>
  <c r="M15" i="5"/>
  <c r="L15" i="5"/>
  <c r="K15" i="5"/>
  <c r="J15" i="5"/>
  <c r="I15" i="5"/>
  <c r="H15" i="5"/>
  <c r="G15" i="5"/>
  <c r="F15" i="5"/>
  <c r="E15" i="5"/>
  <c r="D15" i="5"/>
  <c r="C15" i="5"/>
  <c r="B15" i="5"/>
  <c r="R14" i="5"/>
  <c r="Q14" i="5"/>
  <c r="P14" i="5"/>
  <c r="O14" i="5"/>
  <c r="N14" i="5"/>
  <c r="M14" i="5"/>
  <c r="L14" i="5"/>
  <c r="K14" i="5"/>
  <c r="J14" i="5"/>
  <c r="I14" i="5"/>
  <c r="H14" i="5"/>
  <c r="G14" i="5"/>
  <c r="F14" i="5"/>
  <c r="E14" i="5"/>
  <c r="D14" i="5"/>
  <c r="C14" i="5"/>
  <c r="B14" i="5"/>
  <c r="R13" i="5"/>
  <c r="Q13" i="5"/>
  <c r="P13" i="5"/>
  <c r="O13" i="5"/>
  <c r="N13" i="5"/>
  <c r="M13" i="5"/>
  <c r="L13" i="5"/>
  <c r="K13" i="5"/>
  <c r="J13" i="5"/>
  <c r="I13" i="5"/>
  <c r="H13" i="5"/>
  <c r="G13" i="5"/>
  <c r="F13" i="5"/>
  <c r="E13" i="5"/>
  <c r="D13" i="5"/>
  <c r="C13" i="5"/>
  <c r="B13" i="5"/>
  <c r="R11" i="5"/>
  <c r="Q11" i="5"/>
  <c r="P11" i="5"/>
  <c r="O11" i="5"/>
  <c r="N11" i="5"/>
  <c r="M11" i="5"/>
  <c r="L11" i="5"/>
  <c r="K11" i="5"/>
  <c r="J11" i="5"/>
  <c r="I11" i="5"/>
  <c r="H11" i="5"/>
  <c r="G11" i="5"/>
  <c r="F11" i="5"/>
  <c r="E11" i="5"/>
  <c r="D11" i="5"/>
  <c r="C11" i="5"/>
  <c r="B11" i="5"/>
  <c r="R10" i="5"/>
  <c r="Q10" i="5"/>
  <c r="P10" i="5"/>
  <c r="O10" i="5"/>
  <c r="N10" i="5"/>
  <c r="M10" i="5"/>
  <c r="L10" i="5"/>
  <c r="K10" i="5"/>
  <c r="J10" i="5"/>
  <c r="I10" i="5"/>
  <c r="H10" i="5"/>
  <c r="G10" i="5"/>
  <c r="F10" i="5"/>
  <c r="E10" i="5"/>
  <c r="D10" i="5"/>
  <c r="C10" i="5"/>
  <c r="B10" i="5"/>
  <c r="R9" i="5"/>
  <c r="Q9" i="5"/>
  <c r="P9" i="5"/>
  <c r="O9" i="5"/>
  <c r="N9" i="5"/>
  <c r="M9" i="5"/>
  <c r="L9" i="5"/>
  <c r="K9" i="5"/>
  <c r="J9" i="5"/>
  <c r="I9" i="5"/>
  <c r="H9" i="5"/>
  <c r="G9" i="5"/>
  <c r="F9" i="5"/>
  <c r="E9" i="5"/>
  <c r="D9" i="5"/>
  <c r="C9" i="5"/>
  <c r="B9" i="5"/>
  <c r="R4" i="5"/>
  <c r="Q4" i="5"/>
  <c r="P4" i="5"/>
  <c r="O4" i="5"/>
  <c r="N4" i="5"/>
  <c r="M4" i="5"/>
  <c r="L4" i="5"/>
  <c r="K4" i="5"/>
  <c r="J4" i="5"/>
  <c r="I4" i="5"/>
  <c r="H4" i="5"/>
  <c r="G4" i="5"/>
  <c r="F4" i="5"/>
  <c r="E4" i="5"/>
  <c r="D4" i="5"/>
  <c r="C4" i="5"/>
  <c r="B4" i="5"/>
  <c r="R3" i="5"/>
  <c r="Q3" i="5"/>
  <c r="P3" i="5"/>
  <c r="O3" i="5"/>
  <c r="N3" i="5"/>
  <c r="M3" i="5"/>
  <c r="L3" i="5"/>
  <c r="K3" i="5"/>
  <c r="J3" i="5"/>
  <c r="I3" i="5"/>
  <c r="H3" i="5"/>
  <c r="G3" i="5"/>
  <c r="F3" i="5"/>
  <c r="E3" i="5"/>
  <c r="D3" i="5"/>
  <c r="C3" i="5"/>
  <c r="B3" i="5"/>
  <c r="DB641" i="1"/>
  <c r="DB657" i="1"/>
  <c r="DB616" i="1"/>
  <c r="DB644" i="1"/>
  <c r="DB650" i="1"/>
  <c r="B538" i="6"/>
  <c r="C538" i="6"/>
  <c r="U538" i="6"/>
  <c r="D538" i="6"/>
  <c r="E538" i="6"/>
  <c r="F538" i="6"/>
  <c r="G538" i="6"/>
  <c r="H538" i="6"/>
  <c r="I538" i="6"/>
  <c r="J538" i="6"/>
  <c r="K538" i="6"/>
  <c r="L538" i="6"/>
  <c r="M538" i="6"/>
  <c r="N538" i="6"/>
  <c r="O538" i="6"/>
  <c r="P538" i="6"/>
  <c r="Q538" i="6"/>
  <c r="R538" i="6"/>
  <c r="S538" i="6"/>
  <c r="T538" i="6"/>
  <c r="B539" i="6"/>
  <c r="C539" i="6"/>
  <c r="U539" i="6"/>
  <c r="D539" i="6"/>
  <c r="E539" i="6"/>
  <c r="F539" i="6"/>
  <c r="G539" i="6"/>
  <c r="H539" i="6"/>
  <c r="I539" i="6"/>
  <c r="J539" i="6"/>
  <c r="K539" i="6"/>
  <c r="L539" i="6"/>
  <c r="M539" i="6"/>
  <c r="N539" i="6"/>
  <c r="O539" i="6"/>
  <c r="P539" i="6"/>
  <c r="Q539" i="6"/>
  <c r="R539" i="6"/>
  <c r="S539" i="6"/>
  <c r="T539" i="6"/>
  <c r="B540" i="6"/>
  <c r="C540" i="6"/>
  <c r="U540" i="6"/>
  <c r="D540" i="6"/>
  <c r="E540" i="6"/>
  <c r="F540" i="6"/>
  <c r="G540" i="6"/>
  <c r="H540" i="6"/>
  <c r="I540" i="6"/>
  <c r="J540" i="6"/>
  <c r="K540" i="6"/>
  <c r="L540" i="6"/>
  <c r="M540" i="6"/>
  <c r="N540" i="6"/>
  <c r="O540" i="6"/>
  <c r="P540" i="6"/>
  <c r="Q540" i="6"/>
  <c r="R540" i="6"/>
  <c r="S540" i="6"/>
  <c r="T540" i="6"/>
  <c r="B541" i="6"/>
  <c r="C541" i="6"/>
  <c r="U541" i="6"/>
  <c r="D541" i="6"/>
  <c r="E541" i="6"/>
  <c r="F541" i="6"/>
  <c r="G541" i="6"/>
  <c r="H541" i="6"/>
  <c r="I541" i="6"/>
  <c r="J541" i="6"/>
  <c r="K541" i="6"/>
  <c r="L541" i="6"/>
  <c r="M541" i="6"/>
  <c r="N541" i="6"/>
  <c r="O541" i="6"/>
  <c r="P541" i="6"/>
  <c r="Q541" i="6"/>
  <c r="R541" i="6"/>
  <c r="S541" i="6"/>
  <c r="T541" i="6"/>
  <c r="B542" i="6"/>
  <c r="C542" i="6"/>
  <c r="U542" i="6"/>
  <c r="D542" i="6"/>
  <c r="E542" i="6"/>
  <c r="F542" i="6"/>
  <c r="G542" i="6"/>
  <c r="H542" i="6"/>
  <c r="I542" i="6"/>
  <c r="J542" i="6"/>
  <c r="K542" i="6"/>
  <c r="L542" i="6"/>
  <c r="M542" i="6"/>
  <c r="N542" i="6"/>
  <c r="O542" i="6"/>
  <c r="P542" i="6"/>
  <c r="Q542" i="6"/>
  <c r="R542" i="6"/>
  <c r="S542" i="6"/>
  <c r="T542" i="6"/>
  <c r="B543" i="6"/>
  <c r="C543" i="6"/>
  <c r="U543" i="6"/>
  <c r="D543" i="6"/>
  <c r="E543" i="6"/>
  <c r="F543" i="6"/>
  <c r="G543" i="6"/>
  <c r="H543" i="6"/>
  <c r="I543" i="6"/>
  <c r="J543" i="6"/>
  <c r="K543" i="6"/>
  <c r="L543" i="6"/>
  <c r="M543" i="6"/>
  <c r="N543" i="6"/>
  <c r="O543" i="6"/>
  <c r="P543" i="6"/>
  <c r="Q543" i="6"/>
  <c r="R543" i="6"/>
  <c r="S543" i="6"/>
  <c r="T543" i="6"/>
  <c r="DB642" i="1"/>
  <c r="DB691" i="1"/>
  <c r="DB643" i="1"/>
  <c r="DB662" i="1"/>
  <c r="DB673" i="1"/>
  <c r="DB636" i="1"/>
  <c r="DB638" i="1"/>
  <c r="DB640" i="1"/>
  <c r="DB648" i="1"/>
  <c r="DB627" i="1"/>
  <c r="DB632" i="1"/>
  <c r="DB629" i="1"/>
  <c r="B470" i="6"/>
  <c r="C470" i="6"/>
  <c r="U470" i="6"/>
  <c r="D470" i="6"/>
  <c r="E470" i="6"/>
  <c r="F470" i="6"/>
  <c r="G470" i="6"/>
  <c r="H470" i="6"/>
  <c r="I470" i="6"/>
  <c r="J470" i="6"/>
  <c r="K470" i="6"/>
  <c r="L470" i="6"/>
  <c r="M470" i="6"/>
  <c r="N470" i="6"/>
  <c r="O470" i="6"/>
  <c r="P470" i="6"/>
  <c r="Q470" i="6"/>
  <c r="R470" i="6"/>
  <c r="S470" i="6"/>
  <c r="T470" i="6"/>
  <c r="B471" i="6"/>
  <c r="C471" i="6"/>
  <c r="U471" i="6"/>
  <c r="D471" i="6"/>
  <c r="E471" i="6"/>
  <c r="F471" i="6"/>
  <c r="G471" i="6"/>
  <c r="H471" i="6"/>
  <c r="I471" i="6"/>
  <c r="J471" i="6"/>
  <c r="K471" i="6"/>
  <c r="L471" i="6"/>
  <c r="M471" i="6"/>
  <c r="N471" i="6"/>
  <c r="O471" i="6"/>
  <c r="P471" i="6"/>
  <c r="Q471" i="6"/>
  <c r="R471" i="6"/>
  <c r="S471" i="6"/>
  <c r="T471" i="6"/>
  <c r="B472" i="6"/>
  <c r="C472" i="6"/>
  <c r="U472" i="6"/>
  <c r="D472" i="6"/>
  <c r="E472" i="6"/>
  <c r="F472" i="6"/>
  <c r="G472" i="6"/>
  <c r="H472" i="6"/>
  <c r="I472" i="6"/>
  <c r="J472" i="6"/>
  <c r="K472" i="6"/>
  <c r="L472" i="6"/>
  <c r="M472" i="6"/>
  <c r="N472" i="6"/>
  <c r="O472" i="6"/>
  <c r="P472" i="6"/>
  <c r="Q472" i="6"/>
  <c r="R472" i="6"/>
  <c r="S472" i="6"/>
  <c r="T472" i="6"/>
  <c r="B473" i="6"/>
  <c r="C473" i="6"/>
  <c r="U473" i="6"/>
  <c r="D473" i="6"/>
  <c r="E473" i="6"/>
  <c r="F473" i="6"/>
  <c r="G473" i="6"/>
  <c r="H473" i="6"/>
  <c r="I473" i="6"/>
  <c r="J473" i="6"/>
  <c r="K473" i="6"/>
  <c r="L473" i="6"/>
  <c r="M473" i="6"/>
  <c r="N473" i="6"/>
  <c r="O473" i="6"/>
  <c r="P473" i="6"/>
  <c r="Q473" i="6"/>
  <c r="R473" i="6"/>
  <c r="S473" i="6"/>
  <c r="T473" i="6"/>
  <c r="B474" i="6"/>
  <c r="C474" i="6"/>
  <c r="U474" i="6"/>
  <c r="D474" i="6"/>
  <c r="E474" i="6"/>
  <c r="F474" i="6"/>
  <c r="G474" i="6"/>
  <c r="H474" i="6"/>
  <c r="I474" i="6"/>
  <c r="J474" i="6"/>
  <c r="K474" i="6"/>
  <c r="L474" i="6"/>
  <c r="M474" i="6"/>
  <c r="N474" i="6"/>
  <c r="O474" i="6"/>
  <c r="P474" i="6"/>
  <c r="Q474" i="6"/>
  <c r="R474" i="6"/>
  <c r="S474" i="6"/>
  <c r="T474" i="6"/>
  <c r="B475" i="6"/>
  <c r="C475" i="6"/>
  <c r="U475" i="6"/>
  <c r="D475" i="6"/>
  <c r="E475" i="6"/>
  <c r="F475" i="6"/>
  <c r="G475" i="6"/>
  <c r="H475" i="6"/>
  <c r="I475" i="6"/>
  <c r="J475" i="6"/>
  <c r="K475" i="6"/>
  <c r="L475" i="6"/>
  <c r="M475" i="6"/>
  <c r="N475" i="6"/>
  <c r="O475" i="6"/>
  <c r="P475" i="6"/>
  <c r="Q475" i="6"/>
  <c r="R475" i="6"/>
  <c r="S475" i="6"/>
  <c r="T475" i="6"/>
  <c r="B476" i="6"/>
  <c r="C476" i="6"/>
  <c r="U476" i="6"/>
  <c r="D476" i="6"/>
  <c r="E476" i="6"/>
  <c r="F476" i="6"/>
  <c r="G476" i="6"/>
  <c r="H476" i="6"/>
  <c r="I476" i="6"/>
  <c r="J476" i="6"/>
  <c r="K476" i="6"/>
  <c r="L476" i="6"/>
  <c r="M476" i="6"/>
  <c r="N476" i="6"/>
  <c r="O476" i="6"/>
  <c r="P476" i="6"/>
  <c r="Q476" i="6"/>
  <c r="R476" i="6"/>
  <c r="S476" i="6"/>
  <c r="T476" i="6"/>
  <c r="B477" i="6"/>
  <c r="C477" i="6"/>
  <c r="U477" i="6"/>
  <c r="D477" i="6"/>
  <c r="E477" i="6"/>
  <c r="F477" i="6"/>
  <c r="G477" i="6"/>
  <c r="H477" i="6"/>
  <c r="I477" i="6"/>
  <c r="J477" i="6"/>
  <c r="K477" i="6"/>
  <c r="L477" i="6"/>
  <c r="M477" i="6"/>
  <c r="N477" i="6"/>
  <c r="O477" i="6"/>
  <c r="P477" i="6"/>
  <c r="Q477" i="6"/>
  <c r="R477" i="6"/>
  <c r="S477" i="6"/>
  <c r="T477" i="6"/>
  <c r="B478" i="6"/>
  <c r="C478" i="6"/>
  <c r="U478" i="6"/>
  <c r="D478" i="6"/>
  <c r="E478" i="6"/>
  <c r="F478" i="6"/>
  <c r="G478" i="6"/>
  <c r="H478" i="6"/>
  <c r="I478" i="6"/>
  <c r="J478" i="6"/>
  <c r="K478" i="6"/>
  <c r="L478" i="6"/>
  <c r="M478" i="6"/>
  <c r="N478" i="6"/>
  <c r="O478" i="6"/>
  <c r="P478" i="6"/>
  <c r="Q478" i="6"/>
  <c r="R478" i="6"/>
  <c r="S478" i="6"/>
  <c r="T478" i="6"/>
  <c r="B479" i="6"/>
  <c r="C479" i="6"/>
  <c r="U479" i="6"/>
  <c r="D479" i="6"/>
  <c r="E479" i="6"/>
  <c r="F479" i="6"/>
  <c r="G479" i="6"/>
  <c r="H479" i="6"/>
  <c r="I479" i="6"/>
  <c r="J479" i="6"/>
  <c r="K479" i="6"/>
  <c r="L479" i="6"/>
  <c r="M479" i="6"/>
  <c r="N479" i="6"/>
  <c r="O479" i="6"/>
  <c r="P479" i="6"/>
  <c r="Q479" i="6"/>
  <c r="R479" i="6"/>
  <c r="S479" i="6"/>
  <c r="T479" i="6"/>
  <c r="B480" i="6"/>
  <c r="C480" i="6"/>
  <c r="U480" i="6"/>
  <c r="D480" i="6"/>
  <c r="E480" i="6"/>
  <c r="F480" i="6"/>
  <c r="G480" i="6"/>
  <c r="H480" i="6"/>
  <c r="I480" i="6"/>
  <c r="J480" i="6"/>
  <c r="K480" i="6"/>
  <c r="L480" i="6"/>
  <c r="M480" i="6"/>
  <c r="N480" i="6"/>
  <c r="O480" i="6"/>
  <c r="P480" i="6"/>
  <c r="Q480" i="6"/>
  <c r="R480" i="6"/>
  <c r="S480" i="6"/>
  <c r="T480" i="6"/>
  <c r="B481" i="6"/>
  <c r="C481" i="6"/>
  <c r="U481" i="6"/>
  <c r="D481" i="6"/>
  <c r="E481" i="6"/>
  <c r="F481" i="6"/>
  <c r="G481" i="6"/>
  <c r="H481" i="6"/>
  <c r="I481" i="6"/>
  <c r="J481" i="6"/>
  <c r="K481" i="6"/>
  <c r="L481" i="6"/>
  <c r="M481" i="6"/>
  <c r="N481" i="6"/>
  <c r="O481" i="6"/>
  <c r="P481" i="6"/>
  <c r="Q481" i="6"/>
  <c r="R481" i="6"/>
  <c r="S481" i="6"/>
  <c r="T481" i="6"/>
  <c r="B482" i="6"/>
  <c r="C482" i="6"/>
  <c r="U482" i="6"/>
  <c r="D482" i="6"/>
  <c r="E482" i="6"/>
  <c r="F482" i="6"/>
  <c r="G482" i="6"/>
  <c r="H482" i="6"/>
  <c r="I482" i="6"/>
  <c r="J482" i="6"/>
  <c r="K482" i="6"/>
  <c r="L482" i="6"/>
  <c r="M482" i="6"/>
  <c r="N482" i="6"/>
  <c r="O482" i="6"/>
  <c r="P482" i="6"/>
  <c r="Q482" i="6"/>
  <c r="R482" i="6"/>
  <c r="S482" i="6"/>
  <c r="T482" i="6"/>
  <c r="B483" i="6"/>
  <c r="C483" i="6"/>
  <c r="U483" i="6"/>
  <c r="D483" i="6"/>
  <c r="E483" i="6"/>
  <c r="F483" i="6"/>
  <c r="G483" i="6"/>
  <c r="H483" i="6"/>
  <c r="I483" i="6"/>
  <c r="J483" i="6"/>
  <c r="K483" i="6"/>
  <c r="L483" i="6"/>
  <c r="M483" i="6"/>
  <c r="N483" i="6"/>
  <c r="O483" i="6"/>
  <c r="P483" i="6"/>
  <c r="Q483" i="6"/>
  <c r="R483" i="6"/>
  <c r="S483" i="6"/>
  <c r="T483" i="6"/>
  <c r="B484" i="6"/>
  <c r="C484" i="6"/>
  <c r="U484" i="6"/>
  <c r="D484" i="6"/>
  <c r="E484" i="6"/>
  <c r="F484" i="6"/>
  <c r="G484" i="6"/>
  <c r="H484" i="6"/>
  <c r="I484" i="6"/>
  <c r="J484" i="6"/>
  <c r="K484" i="6"/>
  <c r="L484" i="6"/>
  <c r="M484" i="6"/>
  <c r="N484" i="6"/>
  <c r="O484" i="6"/>
  <c r="P484" i="6"/>
  <c r="Q484" i="6"/>
  <c r="R484" i="6"/>
  <c r="S484" i="6"/>
  <c r="T484" i="6"/>
  <c r="B485" i="6"/>
  <c r="C485" i="6"/>
  <c r="U485" i="6"/>
  <c r="D485" i="6"/>
  <c r="E485" i="6"/>
  <c r="F485" i="6"/>
  <c r="G485" i="6"/>
  <c r="H485" i="6"/>
  <c r="I485" i="6"/>
  <c r="J485" i="6"/>
  <c r="K485" i="6"/>
  <c r="L485" i="6"/>
  <c r="M485" i="6"/>
  <c r="N485" i="6"/>
  <c r="O485" i="6"/>
  <c r="P485" i="6"/>
  <c r="Q485" i="6"/>
  <c r="R485" i="6"/>
  <c r="S485" i="6"/>
  <c r="T485" i="6"/>
  <c r="B486" i="6"/>
  <c r="C486" i="6"/>
  <c r="U486" i="6"/>
  <c r="D486" i="6"/>
  <c r="E486" i="6"/>
  <c r="F486" i="6"/>
  <c r="G486" i="6"/>
  <c r="H486" i="6"/>
  <c r="I486" i="6"/>
  <c r="J486" i="6"/>
  <c r="K486" i="6"/>
  <c r="L486" i="6"/>
  <c r="M486" i="6"/>
  <c r="N486" i="6"/>
  <c r="O486" i="6"/>
  <c r="P486" i="6"/>
  <c r="Q486" i="6"/>
  <c r="R486" i="6"/>
  <c r="S486" i="6"/>
  <c r="T486" i="6"/>
  <c r="B487" i="6"/>
  <c r="C487" i="6"/>
  <c r="U487" i="6"/>
  <c r="D487" i="6"/>
  <c r="E487" i="6"/>
  <c r="F487" i="6"/>
  <c r="G487" i="6"/>
  <c r="H487" i="6"/>
  <c r="I487" i="6"/>
  <c r="J487" i="6"/>
  <c r="K487" i="6"/>
  <c r="L487" i="6"/>
  <c r="M487" i="6"/>
  <c r="N487" i="6"/>
  <c r="O487" i="6"/>
  <c r="P487" i="6"/>
  <c r="Q487" i="6"/>
  <c r="R487" i="6"/>
  <c r="S487" i="6"/>
  <c r="T487" i="6"/>
  <c r="B488" i="6"/>
  <c r="C488" i="6"/>
  <c r="U488" i="6"/>
  <c r="D488" i="6"/>
  <c r="E488" i="6"/>
  <c r="F488" i="6"/>
  <c r="G488" i="6"/>
  <c r="H488" i="6"/>
  <c r="I488" i="6"/>
  <c r="J488" i="6"/>
  <c r="K488" i="6"/>
  <c r="L488" i="6"/>
  <c r="M488" i="6"/>
  <c r="N488" i="6"/>
  <c r="O488" i="6"/>
  <c r="P488" i="6"/>
  <c r="Q488" i="6"/>
  <c r="R488" i="6"/>
  <c r="S488" i="6"/>
  <c r="T488" i="6"/>
  <c r="B489" i="6"/>
  <c r="C489" i="6"/>
  <c r="U489" i="6"/>
  <c r="D489" i="6"/>
  <c r="E489" i="6"/>
  <c r="F489" i="6"/>
  <c r="G489" i="6"/>
  <c r="H489" i="6"/>
  <c r="I489" i="6"/>
  <c r="J489" i="6"/>
  <c r="K489" i="6"/>
  <c r="L489" i="6"/>
  <c r="M489" i="6"/>
  <c r="N489" i="6"/>
  <c r="O489" i="6"/>
  <c r="P489" i="6"/>
  <c r="Q489" i="6"/>
  <c r="R489" i="6"/>
  <c r="S489" i="6"/>
  <c r="T489" i="6"/>
  <c r="B490" i="6"/>
  <c r="C490" i="6"/>
  <c r="U490" i="6"/>
  <c r="D490" i="6"/>
  <c r="E490" i="6"/>
  <c r="F490" i="6"/>
  <c r="G490" i="6"/>
  <c r="H490" i="6"/>
  <c r="I490" i="6"/>
  <c r="J490" i="6"/>
  <c r="K490" i="6"/>
  <c r="L490" i="6"/>
  <c r="M490" i="6"/>
  <c r="N490" i="6"/>
  <c r="O490" i="6"/>
  <c r="P490" i="6"/>
  <c r="Q490" i="6"/>
  <c r="R490" i="6"/>
  <c r="S490" i="6"/>
  <c r="T490" i="6"/>
  <c r="B491" i="6"/>
  <c r="C491" i="6"/>
  <c r="U491" i="6"/>
  <c r="D491" i="6"/>
  <c r="E491" i="6"/>
  <c r="F491" i="6"/>
  <c r="G491" i="6"/>
  <c r="H491" i="6"/>
  <c r="I491" i="6"/>
  <c r="J491" i="6"/>
  <c r="K491" i="6"/>
  <c r="L491" i="6"/>
  <c r="M491" i="6"/>
  <c r="N491" i="6"/>
  <c r="O491" i="6"/>
  <c r="P491" i="6"/>
  <c r="Q491" i="6"/>
  <c r="R491" i="6"/>
  <c r="S491" i="6"/>
  <c r="T491" i="6"/>
  <c r="B492" i="6"/>
  <c r="C492" i="6"/>
  <c r="U492" i="6"/>
  <c r="D492" i="6"/>
  <c r="E492" i="6"/>
  <c r="F492" i="6"/>
  <c r="G492" i="6"/>
  <c r="H492" i="6"/>
  <c r="I492" i="6"/>
  <c r="J492" i="6"/>
  <c r="K492" i="6"/>
  <c r="L492" i="6"/>
  <c r="M492" i="6"/>
  <c r="N492" i="6"/>
  <c r="O492" i="6"/>
  <c r="P492" i="6"/>
  <c r="Q492" i="6"/>
  <c r="R492" i="6"/>
  <c r="S492" i="6"/>
  <c r="T492" i="6"/>
  <c r="B493" i="6"/>
  <c r="C493" i="6"/>
  <c r="U493" i="6"/>
  <c r="D493" i="6"/>
  <c r="E493" i="6"/>
  <c r="F493" i="6"/>
  <c r="G493" i="6"/>
  <c r="H493" i="6"/>
  <c r="I493" i="6"/>
  <c r="J493" i="6"/>
  <c r="K493" i="6"/>
  <c r="L493" i="6"/>
  <c r="M493" i="6"/>
  <c r="N493" i="6"/>
  <c r="O493" i="6"/>
  <c r="P493" i="6"/>
  <c r="Q493" i="6"/>
  <c r="R493" i="6"/>
  <c r="S493" i="6"/>
  <c r="T493" i="6"/>
  <c r="B494" i="6"/>
  <c r="C494" i="6"/>
  <c r="U494" i="6"/>
  <c r="D494" i="6"/>
  <c r="E494" i="6"/>
  <c r="F494" i="6"/>
  <c r="G494" i="6"/>
  <c r="H494" i="6"/>
  <c r="I494" i="6"/>
  <c r="J494" i="6"/>
  <c r="K494" i="6"/>
  <c r="L494" i="6"/>
  <c r="M494" i="6"/>
  <c r="N494" i="6"/>
  <c r="O494" i="6"/>
  <c r="P494" i="6"/>
  <c r="Q494" i="6"/>
  <c r="R494" i="6"/>
  <c r="S494" i="6"/>
  <c r="T494" i="6"/>
  <c r="B495" i="6"/>
  <c r="C495" i="6"/>
  <c r="U495" i="6"/>
  <c r="D495" i="6"/>
  <c r="E495" i="6"/>
  <c r="F495" i="6"/>
  <c r="G495" i="6"/>
  <c r="H495" i="6"/>
  <c r="I495" i="6"/>
  <c r="J495" i="6"/>
  <c r="K495" i="6"/>
  <c r="L495" i="6"/>
  <c r="M495" i="6"/>
  <c r="N495" i="6"/>
  <c r="O495" i="6"/>
  <c r="P495" i="6"/>
  <c r="Q495" i="6"/>
  <c r="R495" i="6"/>
  <c r="S495" i="6"/>
  <c r="T495" i="6"/>
  <c r="B496" i="6"/>
  <c r="C496" i="6"/>
  <c r="U496" i="6"/>
  <c r="D496" i="6"/>
  <c r="E496" i="6"/>
  <c r="F496" i="6"/>
  <c r="G496" i="6"/>
  <c r="H496" i="6"/>
  <c r="I496" i="6"/>
  <c r="J496" i="6"/>
  <c r="K496" i="6"/>
  <c r="L496" i="6"/>
  <c r="M496" i="6"/>
  <c r="N496" i="6"/>
  <c r="O496" i="6"/>
  <c r="P496" i="6"/>
  <c r="Q496" i="6"/>
  <c r="R496" i="6"/>
  <c r="S496" i="6"/>
  <c r="T496" i="6"/>
  <c r="B497" i="6"/>
  <c r="C497" i="6"/>
  <c r="U497" i="6"/>
  <c r="D497" i="6"/>
  <c r="E497" i="6"/>
  <c r="F497" i="6"/>
  <c r="G497" i="6"/>
  <c r="H497" i="6"/>
  <c r="I497" i="6"/>
  <c r="J497" i="6"/>
  <c r="K497" i="6"/>
  <c r="L497" i="6"/>
  <c r="M497" i="6"/>
  <c r="N497" i="6"/>
  <c r="O497" i="6"/>
  <c r="P497" i="6"/>
  <c r="Q497" i="6"/>
  <c r="R497" i="6"/>
  <c r="S497" i="6"/>
  <c r="T497" i="6"/>
  <c r="B498" i="6"/>
  <c r="C498" i="6"/>
  <c r="U498" i="6"/>
  <c r="D498" i="6"/>
  <c r="E498" i="6"/>
  <c r="F498" i="6"/>
  <c r="G498" i="6"/>
  <c r="H498" i="6"/>
  <c r="I498" i="6"/>
  <c r="J498" i="6"/>
  <c r="K498" i="6"/>
  <c r="L498" i="6"/>
  <c r="M498" i="6"/>
  <c r="N498" i="6"/>
  <c r="O498" i="6"/>
  <c r="P498" i="6"/>
  <c r="Q498" i="6"/>
  <c r="R498" i="6"/>
  <c r="S498" i="6"/>
  <c r="T498" i="6"/>
  <c r="B499" i="6"/>
  <c r="C499" i="6"/>
  <c r="U499" i="6"/>
  <c r="D499" i="6"/>
  <c r="E499" i="6"/>
  <c r="F499" i="6"/>
  <c r="G499" i="6"/>
  <c r="H499" i="6"/>
  <c r="I499" i="6"/>
  <c r="J499" i="6"/>
  <c r="K499" i="6"/>
  <c r="O499" i="6"/>
  <c r="P499" i="6"/>
  <c r="Q499" i="6"/>
  <c r="R499" i="6"/>
  <c r="S499" i="6"/>
  <c r="T499" i="6"/>
  <c r="B500" i="6"/>
  <c r="C500" i="6"/>
  <c r="U500" i="6"/>
  <c r="D500" i="6"/>
  <c r="E500" i="6"/>
  <c r="F500" i="6"/>
  <c r="G500" i="6"/>
  <c r="H500" i="6"/>
  <c r="I500" i="6"/>
  <c r="J500" i="6"/>
  <c r="K500" i="6"/>
  <c r="L500" i="6"/>
  <c r="M500" i="6"/>
  <c r="N500" i="6"/>
  <c r="O500" i="6"/>
  <c r="P500" i="6"/>
  <c r="Q500" i="6"/>
  <c r="R500" i="6"/>
  <c r="S500" i="6"/>
  <c r="T500" i="6"/>
  <c r="B501" i="6"/>
  <c r="C501" i="6"/>
  <c r="U501" i="6"/>
  <c r="D501" i="6"/>
  <c r="E501" i="6"/>
  <c r="F501" i="6"/>
  <c r="G501" i="6"/>
  <c r="H501" i="6"/>
  <c r="I501" i="6"/>
  <c r="J501" i="6"/>
  <c r="K501" i="6"/>
  <c r="L501" i="6"/>
  <c r="M501" i="6"/>
  <c r="N501" i="6"/>
  <c r="O501" i="6"/>
  <c r="P501" i="6"/>
  <c r="Q501" i="6"/>
  <c r="R501" i="6"/>
  <c r="S501" i="6"/>
  <c r="T501" i="6"/>
  <c r="B502" i="6"/>
  <c r="C502" i="6"/>
  <c r="U502" i="6"/>
  <c r="D502" i="6"/>
  <c r="E502" i="6"/>
  <c r="F502" i="6"/>
  <c r="G502" i="6"/>
  <c r="H502" i="6"/>
  <c r="I502" i="6"/>
  <c r="J502" i="6"/>
  <c r="K502" i="6"/>
  <c r="L502" i="6"/>
  <c r="M502" i="6"/>
  <c r="N502" i="6"/>
  <c r="O502" i="6"/>
  <c r="P502" i="6"/>
  <c r="Q502" i="6"/>
  <c r="R502" i="6"/>
  <c r="S502" i="6"/>
  <c r="T502" i="6"/>
  <c r="B503" i="6"/>
  <c r="C503" i="6"/>
  <c r="U503" i="6"/>
  <c r="D503" i="6"/>
  <c r="E503" i="6"/>
  <c r="F503" i="6"/>
  <c r="G503" i="6"/>
  <c r="H503" i="6"/>
  <c r="I503" i="6"/>
  <c r="J503" i="6"/>
  <c r="K503" i="6"/>
  <c r="L503" i="6"/>
  <c r="M503" i="6"/>
  <c r="N503" i="6"/>
  <c r="O503" i="6"/>
  <c r="P503" i="6"/>
  <c r="Q503" i="6"/>
  <c r="R503" i="6"/>
  <c r="S503" i="6"/>
  <c r="T503" i="6"/>
  <c r="B504" i="6"/>
  <c r="C504" i="6"/>
  <c r="U504" i="6"/>
  <c r="D504" i="6"/>
  <c r="E504" i="6"/>
  <c r="F504" i="6"/>
  <c r="G504" i="6"/>
  <c r="H504" i="6"/>
  <c r="I504" i="6"/>
  <c r="J504" i="6"/>
  <c r="K504" i="6"/>
  <c r="L504" i="6"/>
  <c r="M504" i="6"/>
  <c r="N504" i="6"/>
  <c r="O504" i="6"/>
  <c r="P504" i="6"/>
  <c r="Q504" i="6"/>
  <c r="R504" i="6"/>
  <c r="S504" i="6"/>
  <c r="T504" i="6"/>
  <c r="B505" i="6"/>
  <c r="C505" i="6"/>
  <c r="U505" i="6"/>
  <c r="D505" i="6"/>
  <c r="E505" i="6"/>
  <c r="F505" i="6"/>
  <c r="G505" i="6"/>
  <c r="H505" i="6"/>
  <c r="I505" i="6"/>
  <c r="J505" i="6"/>
  <c r="K505" i="6"/>
  <c r="L505" i="6"/>
  <c r="M505" i="6"/>
  <c r="N505" i="6"/>
  <c r="O505" i="6"/>
  <c r="P505" i="6"/>
  <c r="Q505" i="6"/>
  <c r="R505" i="6"/>
  <c r="S505" i="6"/>
  <c r="T505" i="6"/>
  <c r="B506" i="6"/>
  <c r="C506" i="6"/>
  <c r="U506" i="6"/>
  <c r="D506" i="6"/>
  <c r="E506" i="6"/>
  <c r="F506" i="6"/>
  <c r="G506" i="6"/>
  <c r="H506" i="6"/>
  <c r="I506" i="6"/>
  <c r="J506" i="6"/>
  <c r="K506" i="6"/>
  <c r="L506" i="6"/>
  <c r="M506" i="6"/>
  <c r="N506" i="6"/>
  <c r="O506" i="6"/>
  <c r="P506" i="6"/>
  <c r="Q506" i="6"/>
  <c r="R506" i="6"/>
  <c r="S506" i="6"/>
  <c r="T506" i="6"/>
  <c r="B507" i="6"/>
  <c r="C507" i="6"/>
  <c r="U507" i="6"/>
  <c r="D507" i="6"/>
  <c r="E507" i="6"/>
  <c r="F507" i="6"/>
  <c r="G507" i="6"/>
  <c r="H507" i="6"/>
  <c r="I507" i="6"/>
  <c r="J507" i="6"/>
  <c r="K507" i="6"/>
  <c r="L507" i="6"/>
  <c r="M507" i="6"/>
  <c r="N507" i="6"/>
  <c r="O507" i="6"/>
  <c r="P507" i="6"/>
  <c r="Q507" i="6"/>
  <c r="R507" i="6"/>
  <c r="S507" i="6"/>
  <c r="T507" i="6"/>
  <c r="B508" i="6"/>
  <c r="C508" i="6"/>
  <c r="U508" i="6"/>
  <c r="D508" i="6"/>
  <c r="E508" i="6"/>
  <c r="F508" i="6"/>
  <c r="G508" i="6"/>
  <c r="H508" i="6"/>
  <c r="I508" i="6"/>
  <c r="J508" i="6"/>
  <c r="K508" i="6"/>
  <c r="L508" i="6"/>
  <c r="M508" i="6"/>
  <c r="N508" i="6"/>
  <c r="O508" i="6"/>
  <c r="P508" i="6"/>
  <c r="Q508" i="6"/>
  <c r="R508" i="6"/>
  <c r="S508" i="6"/>
  <c r="T508" i="6"/>
  <c r="B509" i="6"/>
  <c r="C509" i="6"/>
  <c r="U509" i="6"/>
  <c r="D509" i="6"/>
  <c r="E509" i="6"/>
  <c r="F509" i="6"/>
  <c r="G509" i="6"/>
  <c r="H509" i="6"/>
  <c r="I509" i="6"/>
  <c r="J509" i="6"/>
  <c r="K509" i="6"/>
  <c r="L509" i="6"/>
  <c r="M509" i="6"/>
  <c r="N509" i="6"/>
  <c r="O509" i="6"/>
  <c r="P509" i="6"/>
  <c r="Q509" i="6"/>
  <c r="R509" i="6"/>
  <c r="S509" i="6"/>
  <c r="T509" i="6"/>
  <c r="B510" i="6"/>
  <c r="C510" i="6"/>
  <c r="U510" i="6"/>
  <c r="D510" i="6"/>
  <c r="E510" i="6"/>
  <c r="F510" i="6"/>
  <c r="G510" i="6"/>
  <c r="H510" i="6"/>
  <c r="I510" i="6"/>
  <c r="J510" i="6"/>
  <c r="K510" i="6"/>
  <c r="L510" i="6"/>
  <c r="M510" i="6"/>
  <c r="N510" i="6"/>
  <c r="O510" i="6"/>
  <c r="P510" i="6"/>
  <c r="Q510" i="6"/>
  <c r="R510" i="6"/>
  <c r="S510" i="6"/>
  <c r="T510" i="6"/>
  <c r="B511" i="6"/>
  <c r="C511" i="6"/>
  <c r="U511" i="6"/>
  <c r="D511" i="6"/>
  <c r="E511" i="6"/>
  <c r="F511" i="6"/>
  <c r="G511" i="6"/>
  <c r="H511" i="6"/>
  <c r="I511" i="6"/>
  <c r="J511" i="6"/>
  <c r="K511" i="6"/>
  <c r="L511" i="6"/>
  <c r="M511" i="6"/>
  <c r="N511" i="6"/>
  <c r="O511" i="6"/>
  <c r="P511" i="6"/>
  <c r="Q511" i="6"/>
  <c r="R511" i="6"/>
  <c r="S511" i="6"/>
  <c r="T511" i="6"/>
  <c r="B512" i="6"/>
  <c r="C512" i="6"/>
  <c r="U512" i="6"/>
  <c r="D512" i="6"/>
  <c r="E512" i="6"/>
  <c r="F512" i="6"/>
  <c r="G512" i="6"/>
  <c r="H512" i="6"/>
  <c r="I512" i="6"/>
  <c r="J512" i="6"/>
  <c r="K512" i="6"/>
  <c r="L512" i="6"/>
  <c r="M512" i="6"/>
  <c r="N512" i="6"/>
  <c r="O512" i="6"/>
  <c r="P512" i="6"/>
  <c r="Q512" i="6"/>
  <c r="R512" i="6"/>
  <c r="S512" i="6"/>
  <c r="T512" i="6"/>
  <c r="B513" i="6"/>
  <c r="C513" i="6"/>
  <c r="U513" i="6"/>
  <c r="D513" i="6"/>
  <c r="E513" i="6"/>
  <c r="F513" i="6"/>
  <c r="G513" i="6"/>
  <c r="H513" i="6"/>
  <c r="I513" i="6"/>
  <c r="J513" i="6"/>
  <c r="K513" i="6"/>
  <c r="L513" i="6"/>
  <c r="M513" i="6"/>
  <c r="N513" i="6"/>
  <c r="O513" i="6"/>
  <c r="P513" i="6"/>
  <c r="Q513" i="6"/>
  <c r="R513" i="6"/>
  <c r="S513" i="6"/>
  <c r="T513" i="6"/>
  <c r="B514" i="6"/>
  <c r="C514" i="6"/>
  <c r="U514" i="6"/>
  <c r="D514" i="6"/>
  <c r="E514" i="6"/>
  <c r="F514" i="6"/>
  <c r="G514" i="6"/>
  <c r="H514" i="6"/>
  <c r="I514" i="6"/>
  <c r="J514" i="6"/>
  <c r="K514" i="6"/>
  <c r="L514" i="6"/>
  <c r="M514" i="6"/>
  <c r="N514" i="6"/>
  <c r="O514" i="6"/>
  <c r="P514" i="6"/>
  <c r="Q514" i="6"/>
  <c r="R514" i="6"/>
  <c r="S514" i="6"/>
  <c r="T514" i="6"/>
  <c r="B515" i="6"/>
  <c r="C515" i="6"/>
  <c r="U515" i="6"/>
  <c r="D515" i="6"/>
  <c r="E515" i="6"/>
  <c r="F515" i="6"/>
  <c r="G515" i="6"/>
  <c r="H515" i="6"/>
  <c r="I515" i="6"/>
  <c r="J515" i="6"/>
  <c r="K515" i="6"/>
  <c r="L515" i="6"/>
  <c r="M515" i="6"/>
  <c r="N515" i="6"/>
  <c r="O515" i="6"/>
  <c r="P515" i="6"/>
  <c r="Q515" i="6"/>
  <c r="R515" i="6"/>
  <c r="S515" i="6"/>
  <c r="T515" i="6"/>
  <c r="B516" i="6"/>
  <c r="C516" i="6"/>
  <c r="U516" i="6"/>
  <c r="D516" i="6"/>
  <c r="E516" i="6"/>
  <c r="F516" i="6"/>
  <c r="G516" i="6"/>
  <c r="H516" i="6"/>
  <c r="I516" i="6"/>
  <c r="J516" i="6"/>
  <c r="K516" i="6"/>
  <c r="L516" i="6"/>
  <c r="M516" i="6"/>
  <c r="N516" i="6"/>
  <c r="O516" i="6"/>
  <c r="P516" i="6"/>
  <c r="Q516" i="6"/>
  <c r="R516" i="6"/>
  <c r="S516" i="6"/>
  <c r="T516" i="6"/>
  <c r="B517" i="6"/>
  <c r="C517" i="6"/>
  <c r="U517" i="6"/>
  <c r="D517" i="6"/>
  <c r="E517" i="6"/>
  <c r="F517" i="6"/>
  <c r="G517" i="6"/>
  <c r="H517" i="6"/>
  <c r="I517" i="6"/>
  <c r="J517" i="6"/>
  <c r="K517" i="6"/>
  <c r="L517" i="6"/>
  <c r="M517" i="6"/>
  <c r="N517" i="6"/>
  <c r="O517" i="6"/>
  <c r="P517" i="6"/>
  <c r="Q517" i="6"/>
  <c r="R517" i="6"/>
  <c r="S517" i="6"/>
  <c r="T517" i="6"/>
  <c r="B518" i="6"/>
  <c r="C518" i="6"/>
  <c r="U518" i="6"/>
  <c r="D518" i="6"/>
  <c r="E518" i="6"/>
  <c r="F518" i="6"/>
  <c r="G518" i="6"/>
  <c r="H518" i="6"/>
  <c r="I518" i="6"/>
  <c r="J518" i="6"/>
  <c r="K518" i="6"/>
  <c r="L518" i="6"/>
  <c r="M518" i="6"/>
  <c r="N518" i="6"/>
  <c r="O518" i="6"/>
  <c r="P518" i="6"/>
  <c r="Q518" i="6"/>
  <c r="R518" i="6"/>
  <c r="S518" i="6"/>
  <c r="T518" i="6"/>
  <c r="B519" i="6"/>
  <c r="C519" i="6"/>
  <c r="U519" i="6"/>
  <c r="D519" i="6"/>
  <c r="E519" i="6"/>
  <c r="F519" i="6"/>
  <c r="G519" i="6"/>
  <c r="H519" i="6"/>
  <c r="I519" i="6"/>
  <c r="J519" i="6"/>
  <c r="K519" i="6"/>
  <c r="L519" i="6"/>
  <c r="M519" i="6"/>
  <c r="N519" i="6"/>
  <c r="O519" i="6"/>
  <c r="P519" i="6"/>
  <c r="Q519" i="6"/>
  <c r="R519" i="6"/>
  <c r="S519" i="6"/>
  <c r="T519" i="6"/>
  <c r="B520" i="6"/>
  <c r="C520" i="6"/>
  <c r="U520" i="6"/>
  <c r="D520" i="6"/>
  <c r="E520" i="6"/>
  <c r="F520" i="6"/>
  <c r="G520" i="6"/>
  <c r="H520" i="6"/>
  <c r="I520" i="6"/>
  <c r="J520" i="6"/>
  <c r="K520" i="6"/>
  <c r="L520" i="6"/>
  <c r="M520" i="6"/>
  <c r="N520" i="6"/>
  <c r="O520" i="6"/>
  <c r="P520" i="6"/>
  <c r="Q520" i="6"/>
  <c r="R520" i="6"/>
  <c r="S520" i="6"/>
  <c r="T520" i="6"/>
  <c r="B521" i="6"/>
  <c r="C521" i="6"/>
  <c r="U521" i="6"/>
  <c r="D521" i="6"/>
  <c r="E521" i="6"/>
  <c r="F521" i="6"/>
  <c r="G521" i="6"/>
  <c r="H521" i="6"/>
  <c r="I521" i="6"/>
  <c r="J521" i="6"/>
  <c r="K521" i="6"/>
  <c r="L521" i="6"/>
  <c r="M521" i="6"/>
  <c r="N521" i="6"/>
  <c r="O521" i="6"/>
  <c r="P521" i="6"/>
  <c r="Q521" i="6"/>
  <c r="R521" i="6"/>
  <c r="S521" i="6"/>
  <c r="T521" i="6"/>
  <c r="B522" i="6"/>
  <c r="C522" i="6"/>
  <c r="U522" i="6"/>
  <c r="D522" i="6"/>
  <c r="E522" i="6"/>
  <c r="F522" i="6"/>
  <c r="G522" i="6"/>
  <c r="H522" i="6"/>
  <c r="I522" i="6"/>
  <c r="J522" i="6"/>
  <c r="K522" i="6"/>
  <c r="L522" i="6"/>
  <c r="M522" i="6"/>
  <c r="N522" i="6"/>
  <c r="O522" i="6"/>
  <c r="P522" i="6"/>
  <c r="Q522" i="6"/>
  <c r="R522" i="6"/>
  <c r="S522" i="6"/>
  <c r="T522" i="6"/>
  <c r="B523" i="6"/>
  <c r="C523" i="6"/>
  <c r="U523" i="6"/>
  <c r="D523" i="6"/>
  <c r="E523" i="6"/>
  <c r="F523" i="6"/>
  <c r="G523" i="6"/>
  <c r="H523" i="6"/>
  <c r="I523" i="6"/>
  <c r="J523" i="6"/>
  <c r="K523" i="6"/>
  <c r="L523" i="6"/>
  <c r="M523" i="6"/>
  <c r="N523" i="6"/>
  <c r="O523" i="6"/>
  <c r="P523" i="6"/>
  <c r="Q523" i="6"/>
  <c r="R523" i="6"/>
  <c r="S523" i="6"/>
  <c r="T523" i="6"/>
  <c r="B524" i="6"/>
  <c r="C524" i="6"/>
  <c r="U524" i="6"/>
  <c r="D524" i="6"/>
  <c r="E524" i="6"/>
  <c r="F524" i="6"/>
  <c r="G524" i="6"/>
  <c r="H524" i="6"/>
  <c r="I524" i="6"/>
  <c r="J524" i="6"/>
  <c r="K524" i="6"/>
  <c r="L524" i="6"/>
  <c r="M524" i="6"/>
  <c r="N524" i="6"/>
  <c r="O524" i="6"/>
  <c r="P524" i="6"/>
  <c r="Q524" i="6"/>
  <c r="R524" i="6"/>
  <c r="S524" i="6"/>
  <c r="T524" i="6"/>
  <c r="B525" i="6"/>
  <c r="C525" i="6"/>
  <c r="U525" i="6"/>
  <c r="D525" i="6"/>
  <c r="E525" i="6"/>
  <c r="F525" i="6"/>
  <c r="G525" i="6"/>
  <c r="H525" i="6"/>
  <c r="I525" i="6"/>
  <c r="J525" i="6"/>
  <c r="K525" i="6"/>
  <c r="L525" i="6"/>
  <c r="M525" i="6"/>
  <c r="N525" i="6"/>
  <c r="O525" i="6"/>
  <c r="P525" i="6"/>
  <c r="Q525" i="6"/>
  <c r="R525" i="6"/>
  <c r="S525" i="6"/>
  <c r="T525" i="6"/>
  <c r="B526" i="6"/>
  <c r="C526" i="6"/>
  <c r="U526" i="6"/>
  <c r="D526" i="6"/>
  <c r="E526" i="6"/>
  <c r="F526" i="6"/>
  <c r="G526" i="6"/>
  <c r="H526" i="6"/>
  <c r="I526" i="6"/>
  <c r="J526" i="6"/>
  <c r="K526" i="6"/>
  <c r="L526" i="6"/>
  <c r="M526" i="6"/>
  <c r="N526" i="6"/>
  <c r="O526" i="6"/>
  <c r="P526" i="6"/>
  <c r="Q526" i="6"/>
  <c r="R526" i="6"/>
  <c r="S526" i="6"/>
  <c r="T526" i="6"/>
  <c r="B527" i="6"/>
  <c r="C527" i="6"/>
  <c r="U527" i="6"/>
  <c r="D527" i="6"/>
  <c r="E527" i="6"/>
  <c r="F527" i="6"/>
  <c r="G527" i="6"/>
  <c r="H527" i="6"/>
  <c r="I527" i="6"/>
  <c r="J527" i="6"/>
  <c r="K527" i="6"/>
  <c r="L527" i="6"/>
  <c r="M527" i="6"/>
  <c r="N527" i="6"/>
  <c r="O527" i="6"/>
  <c r="P527" i="6"/>
  <c r="Q527" i="6"/>
  <c r="R527" i="6"/>
  <c r="S527" i="6"/>
  <c r="T527" i="6"/>
  <c r="B528" i="6"/>
  <c r="C528" i="6"/>
  <c r="U528" i="6"/>
  <c r="D528" i="6"/>
  <c r="E528" i="6"/>
  <c r="F528" i="6"/>
  <c r="G528" i="6"/>
  <c r="H528" i="6"/>
  <c r="I528" i="6"/>
  <c r="J528" i="6"/>
  <c r="K528" i="6"/>
  <c r="L528" i="6"/>
  <c r="M528" i="6"/>
  <c r="N528" i="6"/>
  <c r="O528" i="6"/>
  <c r="P528" i="6"/>
  <c r="Q528" i="6"/>
  <c r="R528" i="6"/>
  <c r="S528" i="6"/>
  <c r="T528" i="6"/>
  <c r="B529" i="6"/>
  <c r="C529" i="6"/>
  <c r="U529" i="6"/>
  <c r="D529" i="6"/>
  <c r="E529" i="6"/>
  <c r="F529" i="6"/>
  <c r="G529" i="6"/>
  <c r="H529" i="6"/>
  <c r="I529" i="6"/>
  <c r="J529" i="6"/>
  <c r="K529" i="6"/>
  <c r="L529" i="6"/>
  <c r="M529" i="6"/>
  <c r="N529" i="6"/>
  <c r="O529" i="6"/>
  <c r="P529" i="6"/>
  <c r="Q529" i="6"/>
  <c r="R529" i="6"/>
  <c r="S529" i="6"/>
  <c r="T529" i="6"/>
  <c r="B530" i="6"/>
  <c r="C530" i="6"/>
  <c r="U530" i="6"/>
  <c r="D530" i="6"/>
  <c r="E530" i="6"/>
  <c r="F530" i="6"/>
  <c r="G530" i="6"/>
  <c r="H530" i="6"/>
  <c r="I530" i="6"/>
  <c r="J530" i="6"/>
  <c r="K530" i="6"/>
  <c r="L530" i="6"/>
  <c r="M530" i="6"/>
  <c r="N530" i="6"/>
  <c r="O530" i="6"/>
  <c r="P530" i="6"/>
  <c r="Q530" i="6"/>
  <c r="R530" i="6"/>
  <c r="S530" i="6"/>
  <c r="T530" i="6"/>
  <c r="B531" i="6"/>
  <c r="C531" i="6"/>
  <c r="U531" i="6"/>
  <c r="D531" i="6"/>
  <c r="E531" i="6"/>
  <c r="F531" i="6"/>
  <c r="G531" i="6"/>
  <c r="H531" i="6"/>
  <c r="I531" i="6"/>
  <c r="J531" i="6"/>
  <c r="K531" i="6"/>
  <c r="L531" i="6"/>
  <c r="M531" i="6"/>
  <c r="N531" i="6"/>
  <c r="O531" i="6"/>
  <c r="P531" i="6"/>
  <c r="Q531" i="6"/>
  <c r="R531" i="6"/>
  <c r="S531" i="6"/>
  <c r="T531" i="6"/>
  <c r="B532" i="6"/>
  <c r="C532" i="6"/>
  <c r="U532" i="6"/>
  <c r="D532" i="6"/>
  <c r="E532" i="6"/>
  <c r="F532" i="6"/>
  <c r="G532" i="6"/>
  <c r="H532" i="6"/>
  <c r="I532" i="6"/>
  <c r="J532" i="6"/>
  <c r="K532" i="6"/>
  <c r="L532" i="6"/>
  <c r="M532" i="6"/>
  <c r="N532" i="6"/>
  <c r="O532" i="6"/>
  <c r="P532" i="6"/>
  <c r="Q532" i="6"/>
  <c r="R532" i="6"/>
  <c r="S532" i="6"/>
  <c r="T532" i="6"/>
  <c r="B533" i="6"/>
  <c r="C533" i="6"/>
  <c r="U533" i="6"/>
  <c r="D533" i="6"/>
  <c r="E533" i="6"/>
  <c r="F533" i="6"/>
  <c r="G533" i="6"/>
  <c r="H533" i="6"/>
  <c r="I533" i="6"/>
  <c r="J533" i="6"/>
  <c r="K533" i="6"/>
  <c r="L533" i="6"/>
  <c r="M533" i="6"/>
  <c r="N533" i="6"/>
  <c r="O533" i="6"/>
  <c r="P533" i="6"/>
  <c r="Q533" i="6"/>
  <c r="R533" i="6"/>
  <c r="S533" i="6"/>
  <c r="T533" i="6"/>
  <c r="B534" i="6"/>
  <c r="C534" i="6"/>
  <c r="U534" i="6"/>
  <c r="D534" i="6"/>
  <c r="E534" i="6"/>
  <c r="F534" i="6"/>
  <c r="G534" i="6"/>
  <c r="H534" i="6"/>
  <c r="I534" i="6"/>
  <c r="J534" i="6"/>
  <c r="K534" i="6"/>
  <c r="L534" i="6"/>
  <c r="M534" i="6"/>
  <c r="N534" i="6"/>
  <c r="O534" i="6"/>
  <c r="P534" i="6"/>
  <c r="Q534" i="6"/>
  <c r="R534" i="6"/>
  <c r="S534" i="6"/>
  <c r="T534" i="6"/>
  <c r="B535" i="6"/>
  <c r="C535" i="6"/>
  <c r="U535" i="6"/>
  <c r="D535" i="6"/>
  <c r="E535" i="6"/>
  <c r="F535" i="6"/>
  <c r="G535" i="6"/>
  <c r="H535" i="6"/>
  <c r="I535" i="6"/>
  <c r="J535" i="6"/>
  <c r="K535" i="6"/>
  <c r="L535" i="6"/>
  <c r="M535" i="6"/>
  <c r="N535" i="6"/>
  <c r="O535" i="6"/>
  <c r="P535" i="6"/>
  <c r="Q535" i="6"/>
  <c r="R535" i="6"/>
  <c r="S535" i="6"/>
  <c r="T535" i="6"/>
  <c r="B536" i="6"/>
  <c r="C536" i="6"/>
  <c r="U536" i="6"/>
  <c r="D536" i="6"/>
  <c r="E536" i="6"/>
  <c r="F536" i="6"/>
  <c r="G536" i="6"/>
  <c r="H536" i="6"/>
  <c r="I536" i="6"/>
  <c r="J536" i="6"/>
  <c r="K536" i="6"/>
  <c r="L536" i="6"/>
  <c r="M536" i="6"/>
  <c r="N536" i="6"/>
  <c r="O536" i="6"/>
  <c r="P536" i="6"/>
  <c r="Q536" i="6"/>
  <c r="R536" i="6"/>
  <c r="S536" i="6"/>
  <c r="T536" i="6"/>
  <c r="B537" i="6"/>
  <c r="C537" i="6"/>
  <c r="U537" i="6"/>
  <c r="D537" i="6"/>
  <c r="E537" i="6"/>
  <c r="F537" i="6"/>
  <c r="G537" i="6"/>
  <c r="H537" i="6"/>
  <c r="I537" i="6"/>
  <c r="J537" i="6"/>
  <c r="K537" i="6"/>
  <c r="L537" i="6"/>
  <c r="M537" i="6"/>
  <c r="N537" i="6"/>
  <c r="O537" i="6"/>
  <c r="P537" i="6"/>
  <c r="Q537" i="6"/>
  <c r="R537" i="6"/>
  <c r="S537" i="6"/>
  <c r="T537" i="6"/>
  <c r="L499" i="6"/>
  <c r="M499" i="6"/>
  <c r="N499" i="6"/>
  <c r="DB625" i="1"/>
  <c r="DB647" i="1"/>
  <c r="DB645" i="1"/>
  <c r="DB628" i="1"/>
  <c r="DB679" i="1"/>
  <c r="DB634" i="1"/>
  <c r="Q7" i="5"/>
  <c r="Q28" i="5"/>
  <c r="Q45" i="5"/>
  <c r="Q60" i="5"/>
  <c r="Q76" i="5"/>
  <c r="R83" i="5"/>
  <c r="R98" i="5"/>
  <c r="Q124" i="5"/>
  <c r="S129" i="5"/>
  <c r="Q136" i="5"/>
  <c r="C144" i="5"/>
  <c r="O144" i="5"/>
  <c r="I129" i="5"/>
  <c r="F115" i="5"/>
  <c r="R115" i="5"/>
  <c r="L102" i="5"/>
  <c r="H83" i="5"/>
  <c r="C66" i="5"/>
  <c r="O66" i="5"/>
  <c r="F156" i="5"/>
  <c r="R156" i="5"/>
  <c r="G156" i="5"/>
  <c r="S156" i="5"/>
  <c r="D144" i="5"/>
  <c r="P144" i="5"/>
  <c r="J129" i="5"/>
  <c r="G115" i="5"/>
  <c r="S115" i="5"/>
  <c r="M102" i="5"/>
  <c r="I83" i="5"/>
  <c r="D66" i="5"/>
  <c r="P66" i="5"/>
  <c r="E20" i="5"/>
  <c r="F169" i="5"/>
  <c r="G169" i="5"/>
  <c r="H169" i="5"/>
  <c r="H156" i="5"/>
  <c r="E144" i="5"/>
  <c r="Q144" i="5"/>
  <c r="K129" i="5"/>
  <c r="H115" i="5"/>
  <c r="B102" i="5"/>
  <c r="N102" i="5"/>
  <c r="J83" i="5"/>
  <c r="E66" i="5"/>
  <c r="Q66" i="5"/>
  <c r="I169" i="5"/>
  <c r="I156" i="5"/>
  <c r="F144" i="5"/>
  <c r="R144" i="5"/>
  <c r="L129" i="5"/>
  <c r="I115" i="5"/>
  <c r="C102" i="5"/>
  <c r="O102" i="5"/>
  <c r="K83" i="5"/>
  <c r="F66" i="5"/>
  <c r="R66" i="5"/>
  <c r="G20" i="5"/>
  <c r="K169" i="5"/>
  <c r="K156" i="5"/>
  <c r="H144" i="5"/>
  <c r="B129" i="5"/>
  <c r="N129" i="5"/>
  <c r="K115" i="5"/>
  <c r="E102" i="5"/>
  <c r="Q102" i="5"/>
  <c r="M83" i="5"/>
  <c r="H66" i="5"/>
  <c r="D52" i="5"/>
  <c r="I20" i="5"/>
  <c r="I144" i="5"/>
  <c r="C129" i="5"/>
  <c r="O129" i="5"/>
  <c r="L115" i="5"/>
  <c r="F102" i="5"/>
  <c r="R102" i="5"/>
  <c r="B83" i="5"/>
  <c r="N83" i="5"/>
  <c r="I66" i="5"/>
  <c r="M35" i="5"/>
  <c r="L169" i="5"/>
  <c r="L156" i="5"/>
  <c r="M156" i="5"/>
  <c r="J144" i="5"/>
  <c r="D129" i="5"/>
  <c r="P129" i="5"/>
  <c r="M115" i="5"/>
  <c r="G102" i="5"/>
  <c r="S102" i="5"/>
  <c r="C83" i="5"/>
  <c r="O83" i="5"/>
  <c r="J66" i="5"/>
  <c r="M169" i="5"/>
  <c r="B169" i="5"/>
  <c r="N169" i="5"/>
  <c r="B156" i="5"/>
  <c r="N156" i="5"/>
  <c r="K144" i="5"/>
  <c r="E129" i="5"/>
  <c r="Q129" i="5"/>
  <c r="B115" i="5"/>
  <c r="N115" i="5"/>
  <c r="H102" i="5"/>
  <c r="D83" i="5"/>
  <c r="P83" i="5"/>
  <c r="K66" i="5"/>
  <c r="G52" i="5"/>
  <c r="O35" i="5"/>
  <c r="C156" i="5"/>
  <c r="O156" i="5"/>
  <c r="L144" i="5"/>
  <c r="F129" i="5"/>
  <c r="R129" i="5"/>
  <c r="C115" i="5"/>
  <c r="O115" i="5"/>
  <c r="I102" i="5"/>
  <c r="E83" i="5"/>
  <c r="Q83" i="5"/>
  <c r="L66" i="5"/>
  <c r="C169" i="5"/>
  <c r="O169" i="5"/>
  <c r="D169" i="5"/>
  <c r="D156" i="5"/>
  <c r="G129" i="5"/>
  <c r="D115" i="5"/>
  <c r="F83" i="5"/>
  <c r="E35" i="5"/>
  <c r="K153" i="5"/>
  <c r="I98" i="5"/>
  <c r="C80" i="5"/>
  <c r="O80" i="5"/>
  <c r="B48" i="5"/>
  <c r="B12" i="5"/>
  <c r="N12" i="5"/>
  <c r="F7" i="5"/>
  <c r="M153" i="5"/>
  <c r="L126" i="5"/>
  <c r="K98" i="5"/>
  <c r="E80" i="5"/>
  <c r="Q80" i="5"/>
  <c r="D12" i="5"/>
  <c r="P12" i="5"/>
  <c r="B153" i="5"/>
  <c r="N153" i="5"/>
  <c r="F151" i="5"/>
  <c r="G141" i="5"/>
  <c r="L98" i="5"/>
  <c r="F80" i="5"/>
  <c r="R80" i="5"/>
  <c r="Q48" i="5"/>
  <c r="E12" i="5"/>
  <c r="Q12" i="5"/>
  <c r="L166" i="5"/>
  <c r="C153" i="5"/>
  <c r="O153" i="5"/>
  <c r="M98" i="5"/>
  <c r="G80" i="5"/>
  <c r="S80" i="5"/>
  <c r="R48" i="5"/>
  <c r="F12" i="5"/>
  <c r="R12" i="5"/>
  <c r="B98" i="5"/>
  <c r="N98" i="5"/>
  <c r="H80" i="5"/>
  <c r="F60" i="5"/>
  <c r="S48" i="5"/>
  <c r="G12" i="5"/>
  <c r="S12" i="5"/>
  <c r="D153" i="5"/>
  <c r="P153" i="5"/>
  <c r="E153" i="5"/>
  <c r="Q153" i="5"/>
  <c r="J141" i="5"/>
  <c r="J112" i="5"/>
  <c r="C98" i="5"/>
  <c r="O98" i="5"/>
  <c r="I80" i="5"/>
  <c r="H12" i="5"/>
  <c r="Q126" i="5"/>
  <c r="D98" i="5"/>
  <c r="P98" i="5"/>
  <c r="J80" i="5"/>
  <c r="I12" i="5"/>
  <c r="F153" i="5"/>
  <c r="R153" i="5"/>
  <c r="G153" i="5"/>
  <c r="S153" i="5"/>
  <c r="F126" i="5"/>
  <c r="E98" i="5"/>
  <c r="Q98" i="5"/>
  <c r="K80" i="5"/>
  <c r="J12" i="5"/>
  <c r="F98" i="5"/>
  <c r="E30" i="5"/>
  <c r="K12" i="5"/>
  <c r="R151" i="5"/>
  <c r="R60" i="5"/>
  <c r="R7" i="5"/>
  <c r="F124" i="5"/>
  <c r="F76" i="5"/>
  <c r="F28" i="5"/>
  <c r="R124" i="5"/>
  <c r="R76" i="5"/>
  <c r="R28" i="5"/>
  <c r="C164" i="5"/>
  <c r="L164" i="5"/>
  <c r="F136" i="5"/>
  <c r="F45" i="5"/>
  <c r="R136" i="5"/>
  <c r="R45" i="5"/>
  <c r="M164" i="5"/>
  <c r="G151" i="5"/>
  <c r="S151" i="5"/>
  <c r="G136" i="5"/>
  <c r="S136" i="5"/>
  <c r="G124" i="5"/>
  <c r="S124" i="5"/>
  <c r="G76" i="5"/>
  <c r="S76" i="5"/>
  <c r="G60" i="5"/>
  <c r="S60" i="5"/>
  <c r="G45" i="5"/>
  <c r="S45" i="5"/>
  <c r="G28" i="5"/>
  <c r="S28" i="5"/>
  <c r="G7" i="5"/>
  <c r="S7" i="5"/>
  <c r="B164" i="5"/>
  <c r="N164" i="5"/>
  <c r="H151" i="5"/>
  <c r="H136" i="5"/>
  <c r="H124" i="5"/>
  <c r="H76" i="5"/>
  <c r="H60" i="5"/>
  <c r="H45" i="5"/>
  <c r="H28" i="5"/>
  <c r="H7" i="5"/>
  <c r="I136" i="5"/>
  <c r="I124" i="5"/>
  <c r="I76" i="5"/>
  <c r="I60" i="5"/>
  <c r="I45" i="5"/>
  <c r="I28" i="5"/>
  <c r="I7" i="5"/>
  <c r="I151" i="5"/>
  <c r="D164" i="5"/>
  <c r="P164" i="5"/>
  <c r="J151" i="5"/>
  <c r="J136" i="5"/>
  <c r="J124" i="5"/>
  <c r="J76" i="5"/>
  <c r="J60" i="5"/>
  <c r="J45" i="5"/>
  <c r="J28" i="5"/>
  <c r="J7" i="5"/>
  <c r="O164" i="5"/>
  <c r="E164" i="5"/>
  <c r="K151" i="5"/>
  <c r="K136" i="5"/>
  <c r="K124" i="5"/>
  <c r="K76" i="5"/>
  <c r="K60" i="5"/>
  <c r="K45" i="5"/>
  <c r="K28" i="5"/>
  <c r="K7" i="5"/>
  <c r="F164" i="5"/>
  <c r="L151" i="5"/>
  <c r="L136" i="5"/>
  <c r="L124" i="5"/>
  <c r="L76" i="5"/>
  <c r="L60" i="5"/>
  <c r="L45" i="5"/>
  <c r="L28" i="5"/>
  <c r="L7" i="5"/>
  <c r="M136" i="5"/>
  <c r="M124" i="5"/>
  <c r="M76" i="5"/>
  <c r="M60" i="5"/>
  <c r="M45" i="5"/>
  <c r="M28" i="5"/>
  <c r="M7" i="5"/>
  <c r="B136" i="5"/>
  <c r="N136" i="5"/>
  <c r="B124" i="5"/>
  <c r="N124" i="5"/>
  <c r="B109" i="5"/>
  <c r="B76" i="5"/>
  <c r="N76" i="5"/>
  <c r="B60" i="5"/>
  <c r="N60" i="5"/>
  <c r="B45" i="5"/>
  <c r="N45" i="5"/>
  <c r="B28" i="5"/>
  <c r="N28" i="5"/>
  <c r="B7" i="5"/>
  <c r="N7" i="5"/>
  <c r="M151" i="5"/>
  <c r="I164" i="5"/>
  <c r="C151" i="5"/>
  <c r="O151" i="5"/>
  <c r="C136" i="5"/>
  <c r="O136" i="5"/>
  <c r="C124" i="5"/>
  <c r="O124" i="5"/>
  <c r="C76" i="5"/>
  <c r="O76" i="5"/>
  <c r="C60" i="5"/>
  <c r="O60" i="5"/>
  <c r="C45" i="5"/>
  <c r="O45" i="5"/>
  <c r="C28" i="5"/>
  <c r="O28" i="5"/>
  <c r="C7" i="5"/>
  <c r="O7" i="5"/>
  <c r="G164" i="5"/>
  <c r="H164" i="5"/>
  <c r="B151" i="5"/>
  <c r="N151" i="5"/>
  <c r="J164" i="5"/>
  <c r="D151" i="5"/>
  <c r="P151" i="5"/>
  <c r="D136" i="5"/>
  <c r="P136" i="5"/>
  <c r="D124" i="5"/>
  <c r="P124" i="5"/>
  <c r="D76" i="5"/>
  <c r="P76" i="5"/>
  <c r="D60" i="5"/>
  <c r="P60" i="5"/>
  <c r="D45" i="5"/>
  <c r="P45" i="5"/>
  <c r="D28" i="5"/>
  <c r="P28" i="5"/>
  <c r="D7" i="5"/>
  <c r="P7" i="5"/>
  <c r="E151" i="5"/>
  <c r="E136" i="5"/>
  <c r="E124" i="5"/>
  <c r="E76" i="5"/>
  <c r="E60" i="5"/>
  <c r="E45" i="5"/>
  <c r="E28" i="5"/>
  <c r="E7" i="5"/>
  <c r="DB623" i="1"/>
  <c r="DB637" i="1"/>
  <c r="DB777" i="1"/>
  <c r="DB661" i="1"/>
  <c r="DB688" i="1"/>
  <c r="DB646" i="1"/>
  <c r="DB621" i="1"/>
  <c r="DB649" i="1"/>
  <c r="DB618" i="1"/>
  <c r="DB614" i="1"/>
  <c r="DB617" i="1"/>
  <c r="DB659" i="1"/>
  <c r="DB626" i="1"/>
  <c r="DB580" i="1"/>
  <c r="DB622" i="1"/>
  <c r="DB677" i="1"/>
  <c r="DB630" i="1"/>
  <c r="DB611" i="1"/>
  <c r="DB608" i="1"/>
  <c r="DB729" i="1"/>
  <c r="DB778" i="1"/>
  <c r="DB709" i="1"/>
  <c r="DB728" i="1"/>
  <c r="DB734" i="1"/>
  <c r="DB753" i="1"/>
  <c r="DB741" i="1"/>
  <c r="DB781" i="1"/>
  <c r="DB790" i="1"/>
  <c r="DB721" i="1"/>
  <c r="DB719" i="1"/>
  <c r="DB716" i="1"/>
  <c r="DB699" i="1"/>
  <c r="DB718" i="1"/>
  <c r="DB713" i="1"/>
  <c r="DB707" i="1"/>
  <c r="DB767" i="1"/>
  <c r="DB715" i="1"/>
  <c r="DB723" i="1"/>
  <c r="DB726" i="1"/>
  <c r="DB737" i="1"/>
  <c r="DB722" i="1"/>
  <c r="DB736" i="1"/>
  <c r="DB735" i="1"/>
  <c r="DB670" i="1"/>
  <c r="DB711" i="1"/>
  <c r="DB708" i="1"/>
  <c r="DB665" i="1"/>
  <c r="DB690" i="1"/>
  <c r="DB686" i="1"/>
  <c r="DB703" i="1"/>
  <c r="DB706" i="1"/>
  <c r="DB710" i="1"/>
  <c r="DB712" i="1"/>
  <c r="DB698" i="1"/>
  <c r="DB704" i="1"/>
  <c r="DB696" i="1"/>
  <c r="DB695" i="1"/>
  <c r="DB694" i="1"/>
  <c r="DB693" i="1"/>
  <c r="DB725" i="1"/>
  <c r="DB685" i="1"/>
  <c r="DB689" i="1"/>
  <c r="DB717" i="1"/>
  <c r="DB746" i="1"/>
  <c r="DB681" i="1"/>
  <c r="DB687" i="1"/>
  <c r="DB701" i="1"/>
  <c r="DB675" i="1"/>
  <c r="DB671" i="1"/>
  <c r="DB674" i="1"/>
  <c r="DB664" i="1"/>
  <c r="DB668" i="1"/>
  <c r="DB680" i="1"/>
  <c r="DB672" i="1"/>
  <c r="DB666" i="1"/>
  <c r="DB669" i="1"/>
  <c r="DB663" i="1"/>
  <c r="DB658" i="1"/>
  <c r="DB654" i="1"/>
  <c r="DB655" i="1"/>
  <c r="DB653" i="1"/>
  <c r="DB652" i="1"/>
  <c r="DB702" i="1"/>
  <c r="DB692" i="1"/>
  <c r="DB720" i="1"/>
  <c r="DB776" i="1"/>
  <c r="DB921" i="1"/>
  <c r="DB783" i="1"/>
  <c r="DB793" i="1"/>
  <c r="DB775" i="1"/>
  <c r="DB829" i="1"/>
  <c r="DB828" i="1"/>
  <c r="DB827" i="1"/>
  <c r="DB826" i="1"/>
  <c r="DB825" i="1"/>
  <c r="DB824" i="1"/>
  <c r="DB823" i="1"/>
  <c r="DB822" i="1"/>
  <c r="DB821" i="1"/>
  <c r="DB820" i="1"/>
  <c r="DB819" i="1"/>
  <c r="DB818" i="1"/>
  <c r="DB817" i="1"/>
  <c r="DB816" i="1"/>
  <c r="DB815" i="1"/>
  <c r="DB814" i="1"/>
  <c r="DB813" i="1"/>
  <c r="DB812" i="1"/>
  <c r="DB811" i="1"/>
  <c r="DB810" i="1"/>
  <c r="DB809" i="1"/>
  <c r="DB808" i="1"/>
  <c r="DB807" i="1"/>
  <c r="DB806" i="1"/>
  <c r="DB805" i="1"/>
  <c r="DB804" i="1"/>
  <c r="DB803" i="1"/>
  <c r="DB802" i="1"/>
  <c r="DB801" i="1"/>
  <c r="DB769" i="1"/>
  <c r="DB765" i="1"/>
  <c r="DB763" i="1"/>
  <c r="DB770" i="1"/>
  <c r="DB766" i="1"/>
  <c r="DB779" i="1"/>
  <c r="B610" i="6"/>
  <c r="C610" i="6"/>
  <c r="U610" i="6"/>
  <c r="D610" i="6"/>
  <c r="E610" i="6"/>
  <c r="F610" i="6"/>
  <c r="G610" i="6"/>
  <c r="H610" i="6"/>
  <c r="I610" i="6"/>
  <c r="J610" i="6"/>
  <c r="K610" i="6"/>
  <c r="L610" i="6"/>
  <c r="M610" i="6"/>
  <c r="N610" i="6"/>
  <c r="O610" i="6"/>
  <c r="P610" i="6"/>
  <c r="Q610" i="6"/>
  <c r="R610" i="6"/>
  <c r="S610" i="6"/>
  <c r="T610" i="6"/>
  <c r="B611" i="6"/>
  <c r="C611" i="6"/>
  <c r="U611" i="6"/>
  <c r="D611" i="6"/>
  <c r="E611" i="6"/>
  <c r="F611" i="6"/>
  <c r="G611" i="6"/>
  <c r="H611" i="6"/>
  <c r="I611" i="6"/>
  <c r="J611" i="6"/>
  <c r="K611" i="6"/>
  <c r="L611" i="6"/>
  <c r="M611" i="6"/>
  <c r="N611" i="6"/>
  <c r="O611" i="6"/>
  <c r="P611" i="6"/>
  <c r="Q611" i="6"/>
  <c r="R611" i="6"/>
  <c r="S611" i="6"/>
  <c r="T611" i="6"/>
  <c r="B612" i="6"/>
  <c r="C612" i="6"/>
  <c r="U612" i="6"/>
  <c r="D612" i="6"/>
  <c r="E612" i="6"/>
  <c r="F612" i="6"/>
  <c r="G612" i="6"/>
  <c r="H612" i="6"/>
  <c r="I612" i="6"/>
  <c r="J612" i="6"/>
  <c r="K612" i="6"/>
  <c r="L612" i="6"/>
  <c r="M612" i="6"/>
  <c r="N612" i="6"/>
  <c r="O612" i="6"/>
  <c r="P612" i="6"/>
  <c r="Q612" i="6"/>
  <c r="R612" i="6"/>
  <c r="S612" i="6"/>
  <c r="T612" i="6"/>
  <c r="B613" i="6"/>
  <c r="C613" i="6"/>
  <c r="U613" i="6"/>
  <c r="D613" i="6"/>
  <c r="E613" i="6"/>
  <c r="F613" i="6"/>
  <c r="G613" i="6"/>
  <c r="H613" i="6"/>
  <c r="I613" i="6"/>
  <c r="J613" i="6"/>
  <c r="K613" i="6"/>
  <c r="L613" i="6"/>
  <c r="M613" i="6"/>
  <c r="N613" i="6"/>
  <c r="O613" i="6"/>
  <c r="P613" i="6"/>
  <c r="Q613" i="6"/>
  <c r="R613" i="6"/>
  <c r="S613" i="6"/>
  <c r="T613" i="6"/>
  <c r="B614" i="6"/>
  <c r="C614" i="6"/>
  <c r="U614" i="6"/>
  <c r="D614" i="6"/>
  <c r="E614" i="6"/>
  <c r="F614" i="6"/>
  <c r="G614" i="6"/>
  <c r="H614" i="6"/>
  <c r="I614" i="6"/>
  <c r="J614" i="6"/>
  <c r="K614" i="6"/>
  <c r="L614" i="6"/>
  <c r="M614" i="6"/>
  <c r="N614" i="6"/>
  <c r="O614" i="6"/>
  <c r="P614" i="6"/>
  <c r="Q614" i="6"/>
  <c r="R614" i="6"/>
  <c r="S614" i="6"/>
  <c r="T614" i="6"/>
  <c r="B615" i="6"/>
  <c r="C615" i="6"/>
  <c r="U615" i="6"/>
  <c r="D615" i="6"/>
  <c r="E615" i="6"/>
  <c r="F615" i="6"/>
  <c r="G615" i="6"/>
  <c r="H615" i="6"/>
  <c r="I615" i="6"/>
  <c r="J615" i="6"/>
  <c r="K615" i="6"/>
  <c r="L615" i="6"/>
  <c r="M615" i="6"/>
  <c r="N615" i="6"/>
  <c r="O615" i="6"/>
  <c r="P615" i="6"/>
  <c r="Q615" i="6"/>
  <c r="R615" i="6"/>
  <c r="S615" i="6"/>
  <c r="T615" i="6"/>
  <c r="B616" i="6"/>
  <c r="C616" i="6"/>
  <c r="U616" i="6"/>
  <c r="D616" i="6"/>
  <c r="E616" i="6"/>
  <c r="F616" i="6"/>
  <c r="G616" i="6"/>
  <c r="H616" i="6"/>
  <c r="I616" i="6"/>
  <c r="J616" i="6"/>
  <c r="K616" i="6"/>
  <c r="L616" i="6"/>
  <c r="M616" i="6"/>
  <c r="N616" i="6"/>
  <c r="O616" i="6"/>
  <c r="P616" i="6"/>
  <c r="Q616" i="6"/>
  <c r="R616" i="6"/>
  <c r="S616" i="6"/>
  <c r="T616" i="6"/>
  <c r="B617" i="6"/>
  <c r="C617" i="6"/>
  <c r="U617" i="6"/>
  <c r="D617" i="6"/>
  <c r="E617" i="6"/>
  <c r="F617" i="6"/>
  <c r="G617" i="6"/>
  <c r="H617" i="6"/>
  <c r="I617" i="6"/>
  <c r="J617" i="6"/>
  <c r="K617" i="6"/>
  <c r="L617" i="6"/>
  <c r="M617" i="6"/>
  <c r="N617" i="6"/>
  <c r="O617" i="6"/>
  <c r="P617" i="6"/>
  <c r="Q617" i="6"/>
  <c r="R617" i="6"/>
  <c r="S617" i="6"/>
  <c r="T617" i="6"/>
  <c r="B618" i="6"/>
  <c r="C618" i="6"/>
  <c r="U618" i="6"/>
  <c r="D618" i="6"/>
  <c r="E618" i="6"/>
  <c r="F618" i="6"/>
  <c r="G618" i="6"/>
  <c r="H618" i="6"/>
  <c r="I618" i="6"/>
  <c r="J618" i="6"/>
  <c r="K618" i="6"/>
  <c r="L618" i="6"/>
  <c r="M618" i="6"/>
  <c r="N618" i="6"/>
  <c r="O618" i="6"/>
  <c r="P618" i="6"/>
  <c r="Q618" i="6"/>
  <c r="R618" i="6"/>
  <c r="S618" i="6"/>
  <c r="T618" i="6"/>
  <c r="B619" i="6"/>
  <c r="C619" i="6"/>
  <c r="U619" i="6"/>
  <c r="D619" i="6"/>
  <c r="E619" i="6"/>
  <c r="F619" i="6"/>
  <c r="G619" i="6"/>
  <c r="H619" i="6"/>
  <c r="I619" i="6"/>
  <c r="J619" i="6"/>
  <c r="K619" i="6"/>
  <c r="L619" i="6"/>
  <c r="M619" i="6"/>
  <c r="N619" i="6"/>
  <c r="O619" i="6"/>
  <c r="P619" i="6"/>
  <c r="Q619" i="6"/>
  <c r="R619" i="6"/>
  <c r="S619" i="6"/>
  <c r="T619" i="6"/>
  <c r="B620" i="6"/>
  <c r="C620" i="6"/>
  <c r="U620" i="6"/>
  <c r="D620" i="6"/>
  <c r="E620" i="6"/>
  <c r="F620" i="6"/>
  <c r="G620" i="6"/>
  <c r="H620" i="6"/>
  <c r="I620" i="6"/>
  <c r="J620" i="6"/>
  <c r="K620" i="6"/>
  <c r="L620" i="6"/>
  <c r="M620" i="6"/>
  <c r="N620" i="6"/>
  <c r="O620" i="6"/>
  <c r="P620" i="6"/>
  <c r="Q620" i="6"/>
  <c r="R620" i="6"/>
  <c r="S620" i="6"/>
  <c r="T620" i="6"/>
  <c r="B621" i="6"/>
  <c r="C621" i="6"/>
  <c r="U621" i="6"/>
  <c r="D621" i="6"/>
  <c r="E621" i="6"/>
  <c r="F621" i="6"/>
  <c r="G621" i="6"/>
  <c r="H621" i="6"/>
  <c r="I621" i="6"/>
  <c r="J621" i="6"/>
  <c r="K621" i="6"/>
  <c r="L621" i="6"/>
  <c r="M621" i="6"/>
  <c r="N621" i="6"/>
  <c r="O621" i="6"/>
  <c r="P621" i="6"/>
  <c r="Q621" i="6"/>
  <c r="R621" i="6"/>
  <c r="S621" i="6"/>
  <c r="T621" i="6"/>
  <c r="B622" i="6"/>
  <c r="C622" i="6"/>
  <c r="U622" i="6"/>
  <c r="D622" i="6"/>
  <c r="E622" i="6"/>
  <c r="F622" i="6"/>
  <c r="G622" i="6"/>
  <c r="H622" i="6"/>
  <c r="I622" i="6"/>
  <c r="J622" i="6"/>
  <c r="K622" i="6"/>
  <c r="L622" i="6"/>
  <c r="M622" i="6"/>
  <c r="N622" i="6"/>
  <c r="O622" i="6"/>
  <c r="P622" i="6"/>
  <c r="Q622" i="6"/>
  <c r="R622" i="6"/>
  <c r="S622" i="6"/>
  <c r="T622" i="6"/>
  <c r="B623" i="6"/>
  <c r="C623" i="6"/>
  <c r="U623" i="6"/>
  <c r="D623" i="6"/>
  <c r="E623" i="6"/>
  <c r="F623" i="6"/>
  <c r="G623" i="6"/>
  <c r="H623" i="6"/>
  <c r="I623" i="6"/>
  <c r="J623" i="6"/>
  <c r="K623" i="6"/>
  <c r="L623" i="6"/>
  <c r="M623" i="6"/>
  <c r="N623" i="6"/>
  <c r="O623" i="6"/>
  <c r="P623" i="6"/>
  <c r="Q623" i="6"/>
  <c r="R623" i="6"/>
  <c r="S623" i="6"/>
  <c r="T623" i="6"/>
  <c r="B624" i="6"/>
  <c r="C624" i="6"/>
  <c r="U624" i="6"/>
  <c r="D624" i="6"/>
  <c r="E624" i="6"/>
  <c r="F624" i="6"/>
  <c r="G624" i="6"/>
  <c r="H624" i="6"/>
  <c r="I624" i="6"/>
  <c r="J624" i="6"/>
  <c r="K624" i="6"/>
  <c r="L624" i="6"/>
  <c r="M624" i="6"/>
  <c r="N624" i="6"/>
  <c r="O624" i="6"/>
  <c r="P624" i="6"/>
  <c r="Q624" i="6"/>
  <c r="R624" i="6"/>
  <c r="S624" i="6"/>
  <c r="T624" i="6"/>
  <c r="B625" i="6"/>
  <c r="C625" i="6"/>
  <c r="U625" i="6"/>
  <c r="D625" i="6"/>
  <c r="E625" i="6"/>
  <c r="F625" i="6"/>
  <c r="G625" i="6"/>
  <c r="H625" i="6"/>
  <c r="I625" i="6"/>
  <c r="J625" i="6"/>
  <c r="K625" i="6"/>
  <c r="L625" i="6"/>
  <c r="M625" i="6"/>
  <c r="N625" i="6"/>
  <c r="O625" i="6"/>
  <c r="P625" i="6"/>
  <c r="Q625" i="6"/>
  <c r="R625" i="6"/>
  <c r="S625" i="6"/>
  <c r="T625" i="6"/>
  <c r="B626" i="6"/>
  <c r="C626" i="6"/>
  <c r="U626" i="6"/>
  <c r="D626" i="6"/>
  <c r="E626" i="6"/>
  <c r="F626" i="6"/>
  <c r="G626" i="6"/>
  <c r="H626" i="6"/>
  <c r="I626" i="6"/>
  <c r="J626" i="6"/>
  <c r="K626" i="6"/>
  <c r="L626" i="6"/>
  <c r="M626" i="6"/>
  <c r="N626" i="6"/>
  <c r="O626" i="6"/>
  <c r="P626" i="6"/>
  <c r="Q626" i="6"/>
  <c r="R626" i="6"/>
  <c r="S626" i="6"/>
  <c r="T626" i="6"/>
  <c r="DB761" i="1"/>
  <c r="DB764" i="1"/>
  <c r="DB758" i="1"/>
  <c r="DB762" i="1"/>
  <c r="DB760" i="1"/>
  <c r="DB752" i="1"/>
  <c r="DB759" i="1"/>
  <c r="DB782" i="1"/>
  <c r="DB785" i="1"/>
  <c r="DB784" i="1"/>
  <c r="DB768" i="1"/>
  <c r="AJ59" i="7"/>
  <c r="AJ60" i="7"/>
  <c r="DB754" i="1"/>
  <c r="DB751" i="1"/>
  <c r="DB756" i="1"/>
  <c r="DB755" i="1"/>
  <c r="DB749" i="1"/>
  <c r="DB774" i="1"/>
  <c r="DB772" i="1"/>
  <c r="DB744" i="1"/>
  <c r="DB747" i="1"/>
  <c r="DB757" i="1"/>
  <c r="DB750" i="1"/>
  <c r="DB742" i="1"/>
  <c r="DB739" i="1"/>
  <c r="AJ3" i="7"/>
  <c r="AJ4" i="7"/>
  <c r="AJ5" i="7"/>
  <c r="AJ6" i="7"/>
  <c r="AJ7" i="7"/>
  <c r="AJ8" i="7"/>
  <c r="AJ9" i="7"/>
  <c r="AJ10" i="7"/>
  <c r="AJ11" i="7"/>
  <c r="AJ12" i="7"/>
  <c r="AJ13" i="7"/>
  <c r="AJ14" i="7"/>
  <c r="AJ15" i="7"/>
  <c r="AJ16" i="7"/>
  <c r="AJ17" i="7"/>
  <c r="AJ18" i="7"/>
  <c r="AJ19" i="7"/>
  <c r="AJ20" i="7"/>
  <c r="AJ21" i="7"/>
  <c r="AJ22" i="7"/>
  <c r="AJ23" i="7"/>
  <c r="AJ24" i="7"/>
  <c r="AJ25" i="7"/>
  <c r="AJ26" i="7"/>
  <c r="AJ27" i="7"/>
  <c r="AJ28" i="7"/>
  <c r="AJ29" i="7"/>
  <c r="AJ30" i="7"/>
  <c r="AJ31" i="7"/>
  <c r="AJ32" i="7"/>
  <c r="AJ33" i="7"/>
  <c r="AJ34" i="7"/>
  <c r="AJ35" i="7"/>
  <c r="AJ36" i="7"/>
  <c r="AJ37" i="7"/>
  <c r="AJ38" i="7"/>
  <c r="AJ39" i="7"/>
  <c r="AJ40" i="7"/>
  <c r="AJ41" i="7"/>
  <c r="AJ42" i="7"/>
  <c r="AJ43" i="7"/>
  <c r="AJ44" i="7"/>
  <c r="AJ45" i="7"/>
  <c r="AJ46" i="7"/>
  <c r="AJ47" i="7"/>
  <c r="AJ48" i="7"/>
  <c r="AJ49" i="7"/>
  <c r="AJ50" i="7"/>
  <c r="AJ51" i="7"/>
  <c r="AJ52" i="7"/>
  <c r="AJ53" i="7"/>
  <c r="AJ54" i="7"/>
  <c r="AJ55" i="7"/>
  <c r="AJ56" i="7"/>
  <c r="AJ57" i="7"/>
  <c r="AJ58" i="7"/>
  <c r="AJ2" i="7"/>
  <c r="B544" i="6"/>
  <c r="C544" i="6"/>
  <c r="U544" i="6"/>
  <c r="D544" i="6"/>
  <c r="E544" i="6"/>
  <c r="F544" i="6"/>
  <c r="G544" i="6"/>
  <c r="H544" i="6"/>
  <c r="I544" i="6"/>
  <c r="J544" i="6"/>
  <c r="K544" i="6"/>
  <c r="L544" i="6"/>
  <c r="M544" i="6"/>
  <c r="N544" i="6"/>
  <c r="O544" i="6"/>
  <c r="P544" i="6"/>
  <c r="Q544" i="6"/>
  <c r="R544" i="6"/>
  <c r="S544" i="6"/>
  <c r="T544" i="6"/>
  <c r="B545" i="6"/>
  <c r="C545" i="6"/>
  <c r="U545" i="6"/>
  <c r="D545" i="6"/>
  <c r="E545" i="6"/>
  <c r="F545" i="6"/>
  <c r="G545" i="6"/>
  <c r="H545" i="6"/>
  <c r="I545" i="6"/>
  <c r="J545" i="6"/>
  <c r="K545" i="6"/>
  <c r="L545" i="6"/>
  <c r="M545" i="6"/>
  <c r="N545" i="6"/>
  <c r="O545" i="6"/>
  <c r="P545" i="6"/>
  <c r="Q545" i="6"/>
  <c r="R545" i="6"/>
  <c r="S545" i="6"/>
  <c r="T545" i="6"/>
  <c r="B546" i="6"/>
  <c r="C546" i="6"/>
  <c r="U546" i="6"/>
  <c r="D546" i="6"/>
  <c r="E546" i="6"/>
  <c r="F546" i="6"/>
  <c r="G546" i="6"/>
  <c r="H546" i="6"/>
  <c r="I546" i="6"/>
  <c r="J546" i="6"/>
  <c r="K546" i="6"/>
  <c r="L546" i="6"/>
  <c r="M546" i="6"/>
  <c r="N546" i="6"/>
  <c r="O546" i="6"/>
  <c r="P546" i="6"/>
  <c r="Q546" i="6"/>
  <c r="R546" i="6"/>
  <c r="S546" i="6"/>
  <c r="T546" i="6"/>
  <c r="B547" i="6"/>
  <c r="C547" i="6"/>
  <c r="U547" i="6"/>
  <c r="D547" i="6"/>
  <c r="E547" i="6"/>
  <c r="F547" i="6"/>
  <c r="G547" i="6"/>
  <c r="H547" i="6"/>
  <c r="I547" i="6"/>
  <c r="J547" i="6"/>
  <c r="K547" i="6"/>
  <c r="L547" i="6"/>
  <c r="M547" i="6"/>
  <c r="N547" i="6"/>
  <c r="O547" i="6"/>
  <c r="P547" i="6"/>
  <c r="Q547" i="6"/>
  <c r="R547" i="6"/>
  <c r="S547" i="6"/>
  <c r="T547" i="6"/>
  <c r="B548" i="6"/>
  <c r="C548" i="6"/>
  <c r="U548" i="6"/>
  <c r="D548" i="6"/>
  <c r="E548" i="6"/>
  <c r="F548" i="6"/>
  <c r="G548" i="6"/>
  <c r="H548" i="6"/>
  <c r="I548" i="6"/>
  <c r="J548" i="6"/>
  <c r="K548" i="6"/>
  <c r="L548" i="6"/>
  <c r="M548" i="6"/>
  <c r="N548" i="6"/>
  <c r="O548" i="6"/>
  <c r="P548" i="6"/>
  <c r="Q548" i="6"/>
  <c r="R548" i="6"/>
  <c r="S548" i="6"/>
  <c r="T548" i="6"/>
  <c r="B549" i="6"/>
  <c r="C549" i="6"/>
  <c r="U549" i="6"/>
  <c r="D549" i="6"/>
  <c r="E549" i="6"/>
  <c r="F549" i="6"/>
  <c r="G549" i="6"/>
  <c r="H549" i="6"/>
  <c r="I549" i="6"/>
  <c r="J549" i="6"/>
  <c r="K549" i="6"/>
  <c r="L549" i="6"/>
  <c r="M549" i="6"/>
  <c r="N549" i="6"/>
  <c r="O549" i="6"/>
  <c r="P549" i="6"/>
  <c r="Q549" i="6"/>
  <c r="R549" i="6"/>
  <c r="S549" i="6"/>
  <c r="T549" i="6"/>
  <c r="B550" i="6"/>
  <c r="C550" i="6"/>
  <c r="U550" i="6"/>
  <c r="D550" i="6"/>
  <c r="E550" i="6"/>
  <c r="F550" i="6"/>
  <c r="G550" i="6"/>
  <c r="H550" i="6"/>
  <c r="I550" i="6"/>
  <c r="J550" i="6"/>
  <c r="K550" i="6"/>
  <c r="L550" i="6"/>
  <c r="M550" i="6"/>
  <c r="N550" i="6"/>
  <c r="O550" i="6"/>
  <c r="P550" i="6"/>
  <c r="Q550" i="6"/>
  <c r="R550" i="6"/>
  <c r="S550" i="6"/>
  <c r="T550" i="6"/>
  <c r="B551" i="6"/>
  <c r="C551" i="6"/>
  <c r="U551" i="6"/>
  <c r="D551" i="6"/>
  <c r="E551" i="6"/>
  <c r="F551" i="6"/>
  <c r="G551" i="6"/>
  <c r="H551" i="6"/>
  <c r="I551" i="6"/>
  <c r="J551" i="6"/>
  <c r="K551" i="6"/>
  <c r="L551" i="6"/>
  <c r="M551" i="6"/>
  <c r="N551" i="6"/>
  <c r="O551" i="6"/>
  <c r="P551" i="6"/>
  <c r="Q551" i="6"/>
  <c r="R551" i="6"/>
  <c r="S551" i="6"/>
  <c r="T551" i="6"/>
  <c r="B552" i="6"/>
  <c r="C552" i="6"/>
  <c r="U552" i="6"/>
  <c r="D552" i="6"/>
  <c r="E552" i="6"/>
  <c r="F552" i="6"/>
  <c r="G552" i="6"/>
  <c r="H552" i="6"/>
  <c r="I552" i="6"/>
  <c r="J552" i="6"/>
  <c r="K552" i="6"/>
  <c r="L552" i="6"/>
  <c r="M552" i="6"/>
  <c r="N552" i="6"/>
  <c r="O552" i="6"/>
  <c r="P552" i="6"/>
  <c r="Q552" i="6"/>
  <c r="R552" i="6"/>
  <c r="S552" i="6"/>
  <c r="T552" i="6"/>
  <c r="B553" i="6"/>
  <c r="C553" i="6"/>
  <c r="U553" i="6"/>
  <c r="D553" i="6"/>
  <c r="E553" i="6"/>
  <c r="F553" i="6"/>
  <c r="G553" i="6"/>
  <c r="H553" i="6"/>
  <c r="I553" i="6"/>
  <c r="J553" i="6"/>
  <c r="K553" i="6"/>
  <c r="L553" i="6"/>
  <c r="M553" i="6"/>
  <c r="N553" i="6"/>
  <c r="O553" i="6"/>
  <c r="P553" i="6"/>
  <c r="Q553" i="6"/>
  <c r="R553" i="6"/>
  <c r="S553" i="6"/>
  <c r="T553" i="6"/>
  <c r="B554" i="6"/>
  <c r="C554" i="6"/>
  <c r="U554" i="6"/>
  <c r="D554" i="6"/>
  <c r="E554" i="6"/>
  <c r="F554" i="6"/>
  <c r="G554" i="6"/>
  <c r="H554" i="6"/>
  <c r="I554" i="6"/>
  <c r="J554" i="6"/>
  <c r="K554" i="6"/>
  <c r="L554" i="6"/>
  <c r="M554" i="6"/>
  <c r="N554" i="6"/>
  <c r="O554" i="6"/>
  <c r="P554" i="6"/>
  <c r="Q554" i="6"/>
  <c r="R554" i="6"/>
  <c r="S554" i="6"/>
  <c r="T554" i="6"/>
  <c r="B555" i="6"/>
  <c r="C555" i="6"/>
  <c r="U555" i="6"/>
  <c r="D555" i="6"/>
  <c r="E555" i="6"/>
  <c r="F555" i="6"/>
  <c r="G555" i="6"/>
  <c r="H555" i="6"/>
  <c r="I555" i="6"/>
  <c r="J555" i="6"/>
  <c r="K555" i="6"/>
  <c r="L555" i="6"/>
  <c r="M555" i="6"/>
  <c r="N555" i="6"/>
  <c r="O555" i="6"/>
  <c r="P555" i="6"/>
  <c r="Q555" i="6"/>
  <c r="R555" i="6"/>
  <c r="S555" i="6"/>
  <c r="T555" i="6"/>
  <c r="B556" i="6"/>
  <c r="C556" i="6"/>
  <c r="U556" i="6"/>
  <c r="D556" i="6"/>
  <c r="E556" i="6"/>
  <c r="F556" i="6"/>
  <c r="G556" i="6"/>
  <c r="H556" i="6"/>
  <c r="I556" i="6"/>
  <c r="J556" i="6"/>
  <c r="K556" i="6"/>
  <c r="L556" i="6"/>
  <c r="M556" i="6"/>
  <c r="N556" i="6"/>
  <c r="O556" i="6"/>
  <c r="P556" i="6"/>
  <c r="Q556" i="6"/>
  <c r="R556" i="6"/>
  <c r="S556" i="6"/>
  <c r="T556" i="6"/>
  <c r="B557" i="6"/>
  <c r="C557" i="6"/>
  <c r="U557" i="6"/>
  <c r="D557" i="6"/>
  <c r="E557" i="6"/>
  <c r="F557" i="6"/>
  <c r="G557" i="6"/>
  <c r="H557" i="6"/>
  <c r="I557" i="6"/>
  <c r="J557" i="6"/>
  <c r="K557" i="6"/>
  <c r="L557" i="6"/>
  <c r="M557" i="6"/>
  <c r="N557" i="6"/>
  <c r="O557" i="6"/>
  <c r="P557" i="6"/>
  <c r="Q557" i="6"/>
  <c r="R557" i="6"/>
  <c r="S557" i="6"/>
  <c r="T557" i="6"/>
  <c r="B558" i="6"/>
  <c r="C558" i="6"/>
  <c r="U558" i="6"/>
  <c r="D558" i="6"/>
  <c r="E558" i="6"/>
  <c r="F558" i="6"/>
  <c r="G558" i="6"/>
  <c r="H558" i="6"/>
  <c r="I558" i="6"/>
  <c r="J558" i="6"/>
  <c r="K558" i="6"/>
  <c r="L558" i="6"/>
  <c r="M558" i="6"/>
  <c r="N558" i="6"/>
  <c r="O558" i="6"/>
  <c r="P558" i="6"/>
  <c r="Q558" i="6"/>
  <c r="R558" i="6"/>
  <c r="S558" i="6"/>
  <c r="T558" i="6"/>
  <c r="B559" i="6"/>
  <c r="C559" i="6"/>
  <c r="U559" i="6"/>
  <c r="D559" i="6"/>
  <c r="E559" i="6"/>
  <c r="F559" i="6"/>
  <c r="G559" i="6"/>
  <c r="H559" i="6"/>
  <c r="I559" i="6"/>
  <c r="J559" i="6"/>
  <c r="K559" i="6"/>
  <c r="L559" i="6"/>
  <c r="M559" i="6"/>
  <c r="N559" i="6"/>
  <c r="O559" i="6"/>
  <c r="P559" i="6"/>
  <c r="Q559" i="6"/>
  <c r="R559" i="6"/>
  <c r="S559" i="6"/>
  <c r="T559" i="6"/>
  <c r="B560" i="6"/>
  <c r="C560" i="6"/>
  <c r="U560" i="6"/>
  <c r="D560" i="6"/>
  <c r="E560" i="6"/>
  <c r="F560" i="6"/>
  <c r="G560" i="6"/>
  <c r="H560" i="6"/>
  <c r="I560" i="6"/>
  <c r="J560" i="6"/>
  <c r="K560" i="6"/>
  <c r="L560" i="6"/>
  <c r="M560" i="6"/>
  <c r="N560" i="6"/>
  <c r="O560" i="6"/>
  <c r="P560" i="6"/>
  <c r="Q560" i="6"/>
  <c r="R560" i="6"/>
  <c r="S560" i="6"/>
  <c r="T560" i="6"/>
  <c r="B561" i="6"/>
  <c r="C561" i="6"/>
  <c r="U561" i="6"/>
  <c r="D561" i="6"/>
  <c r="E561" i="6"/>
  <c r="F561" i="6"/>
  <c r="G561" i="6"/>
  <c r="H561" i="6"/>
  <c r="I561" i="6"/>
  <c r="J561" i="6"/>
  <c r="K561" i="6"/>
  <c r="L561" i="6"/>
  <c r="M561" i="6"/>
  <c r="N561" i="6"/>
  <c r="O561" i="6"/>
  <c r="P561" i="6"/>
  <c r="Q561" i="6"/>
  <c r="R561" i="6"/>
  <c r="S561" i="6"/>
  <c r="T561" i="6"/>
  <c r="B562" i="6"/>
  <c r="C562" i="6"/>
  <c r="U562" i="6"/>
  <c r="D562" i="6"/>
  <c r="E562" i="6"/>
  <c r="F562" i="6"/>
  <c r="G562" i="6"/>
  <c r="H562" i="6"/>
  <c r="I562" i="6"/>
  <c r="J562" i="6"/>
  <c r="K562" i="6"/>
  <c r="L562" i="6"/>
  <c r="M562" i="6"/>
  <c r="N562" i="6"/>
  <c r="O562" i="6"/>
  <c r="P562" i="6"/>
  <c r="Q562" i="6"/>
  <c r="R562" i="6"/>
  <c r="S562" i="6"/>
  <c r="T562" i="6"/>
  <c r="B563" i="6"/>
  <c r="C563" i="6"/>
  <c r="U563" i="6"/>
  <c r="D563" i="6"/>
  <c r="E563" i="6"/>
  <c r="F563" i="6"/>
  <c r="G563" i="6"/>
  <c r="H563" i="6"/>
  <c r="I563" i="6"/>
  <c r="J563" i="6"/>
  <c r="K563" i="6"/>
  <c r="L563" i="6"/>
  <c r="M563" i="6"/>
  <c r="N563" i="6"/>
  <c r="O563" i="6"/>
  <c r="P563" i="6"/>
  <c r="Q563" i="6"/>
  <c r="R563" i="6"/>
  <c r="S563" i="6"/>
  <c r="T563" i="6"/>
  <c r="B564" i="6"/>
  <c r="C564" i="6"/>
  <c r="U564" i="6"/>
  <c r="D564" i="6"/>
  <c r="E564" i="6"/>
  <c r="F564" i="6"/>
  <c r="G564" i="6"/>
  <c r="H564" i="6"/>
  <c r="I564" i="6"/>
  <c r="J564" i="6"/>
  <c r="K564" i="6"/>
  <c r="L564" i="6"/>
  <c r="M564" i="6"/>
  <c r="N564" i="6"/>
  <c r="O564" i="6"/>
  <c r="P564" i="6"/>
  <c r="Q564" i="6"/>
  <c r="R564" i="6"/>
  <c r="S564" i="6"/>
  <c r="T564" i="6"/>
  <c r="B565" i="6"/>
  <c r="C565" i="6"/>
  <c r="U565" i="6"/>
  <c r="D565" i="6"/>
  <c r="E565" i="6"/>
  <c r="F565" i="6"/>
  <c r="G565" i="6"/>
  <c r="H565" i="6"/>
  <c r="I565" i="6"/>
  <c r="J565" i="6"/>
  <c r="K565" i="6"/>
  <c r="L565" i="6"/>
  <c r="M565" i="6"/>
  <c r="N565" i="6"/>
  <c r="O565" i="6"/>
  <c r="P565" i="6"/>
  <c r="Q565" i="6"/>
  <c r="R565" i="6"/>
  <c r="S565" i="6"/>
  <c r="T565" i="6"/>
  <c r="B566" i="6"/>
  <c r="C566" i="6"/>
  <c r="U566" i="6"/>
  <c r="D566" i="6"/>
  <c r="E566" i="6"/>
  <c r="F566" i="6"/>
  <c r="G566" i="6"/>
  <c r="H566" i="6"/>
  <c r="I566" i="6"/>
  <c r="J566" i="6"/>
  <c r="K566" i="6"/>
  <c r="L566" i="6"/>
  <c r="M566" i="6"/>
  <c r="N566" i="6"/>
  <c r="O566" i="6"/>
  <c r="P566" i="6"/>
  <c r="Q566" i="6"/>
  <c r="R566" i="6"/>
  <c r="S566" i="6"/>
  <c r="T566" i="6"/>
  <c r="B567" i="6"/>
  <c r="C567" i="6"/>
  <c r="U567" i="6"/>
  <c r="D567" i="6"/>
  <c r="E567" i="6"/>
  <c r="F567" i="6"/>
  <c r="G567" i="6"/>
  <c r="H567" i="6"/>
  <c r="I567" i="6"/>
  <c r="J567" i="6"/>
  <c r="K567" i="6"/>
  <c r="L567" i="6"/>
  <c r="M567" i="6"/>
  <c r="N567" i="6"/>
  <c r="O567" i="6"/>
  <c r="P567" i="6"/>
  <c r="Q567" i="6"/>
  <c r="R567" i="6"/>
  <c r="S567" i="6"/>
  <c r="T567" i="6"/>
  <c r="B568" i="6"/>
  <c r="C568" i="6"/>
  <c r="U568" i="6"/>
  <c r="D568" i="6"/>
  <c r="E568" i="6"/>
  <c r="F568" i="6"/>
  <c r="G568" i="6"/>
  <c r="H568" i="6"/>
  <c r="I568" i="6"/>
  <c r="J568" i="6"/>
  <c r="K568" i="6"/>
  <c r="L568" i="6"/>
  <c r="M568" i="6"/>
  <c r="N568" i="6"/>
  <c r="O568" i="6"/>
  <c r="P568" i="6"/>
  <c r="Q568" i="6"/>
  <c r="R568" i="6"/>
  <c r="S568" i="6"/>
  <c r="T568" i="6"/>
  <c r="B569" i="6"/>
  <c r="C569" i="6"/>
  <c r="U569" i="6"/>
  <c r="D569" i="6"/>
  <c r="E569" i="6"/>
  <c r="F569" i="6"/>
  <c r="G569" i="6"/>
  <c r="H569" i="6"/>
  <c r="I569" i="6"/>
  <c r="J569" i="6"/>
  <c r="K569" i="6"/>
  <c r="L569" i="6"/>
  <c r="M569" i="6"/>
  <c r="N569" i="6"/>
  <c r="O569" i="6"/>
  <c r="P569" i="6"/>
  <c r="Q569" i="6"/>
  <c r="R569" i="6"/>
  <c r="S569" i="6"/>
  <c r="T569" i="6"/>
  <c r="B570" i="6"/>
  <c r="C570" i="6"/>
  <c r="U570" i="6"/>
  <c r="D570" i="6"/>
  <c r="E570" i="6"/>
  <c r="F570" i="6"/>
  <c r="G570" i="6"/>
  <c r="H570" i="6"/>
  <c r="I570" i="6"/>
  <c r="J570" i="6"/>
  <c r="K570" i="6"/>
  <c r="L570" i="6"/>
  <c r="M570" i="6"/>
  <c r="N570" i="6"/>
  <c r="O570" i="6"/>
  <c r="P570" i="6"/>
  <c r="Q570" i="6"/>
  <c r="R570" i="6"/>
  <c r="S570" i="6"/>
  <c r="T570" i="6"/>
  <c r="B571" i="6"/>
  <c r="C571" i="6"/>
  <c r="U571" i="6"/>
  <c r="D571" i="6"/>
  <c r="E571" i="6"/>
  <c r="F571" i="6"/>
  <c r="G571" i="6"/>
  <c r="H571" i="6"/>
  <c r="I571" i="6"/>
  <c r="J571" i="6"/>
  <c r="K571" i="6"/>
  <c r="L571" i="6"/>
  <c r="M571" i="6"/>
  <c r="N571" i="6"/>
  <c r="O571" i="6"/>
  <c r="P571" i="6"/>
  <c r="Q571" i="6"/>
  <c r="R571" i="6"/>
  <c r="S571" i="6"/>
  <c r="T571" i="6"/>
  <c r="B572" i="6"/>
  <c r="C572" i="6"/>
  <c r="U572" i="6"/>
  <c r="D572" i="6"/>
  <c r="E572" i="6"/>
  <c r="F572" i="6"/>
  <c r="G572" i="6"/>
  <c r="H572" i="6"/>
  <c r="I572" i="6"/>
  <c r="J572" i="6"/>
  <c r="K572" i="6"/>
  <c r="L572" i="6"/>
  <c r="M572" i="6"/>
  <c r="N572" i="6"/>
  <c r="O572" i="6"/>
  <c r="P572" i="6"/>
  <c r="Q572" i="6"/>
  <c r="R572" i="6"/>
  <c r="S572" i="6"/>
  <c r="T572" i="6"/>
  <c r="B573" i="6"/>
  <c r="C573" i="6"/>
  <c r="U573" i="6"/>
  <c r="D573" i="6"/>
  <c r="E573" i="6"/>
  <c r="F573" i="6"/>
  <c r="G573" i="6"/>
  <c r="H573" i="6"/>
  <c r="I573" i="6"/>
  <c r="J573" i="6"/>
  <c r="K573" i="6"/>
  <c r="L573" i="6"/>
  <c r="M573" i="6"/>
  <c r="N573" i="6"/>
  <c r="O573" i="6"/>
  <c r="P573" i="6"/>
  <c r="Q573" i="6"/>
  <c r="R573" i="6"/>
  <c r="S573" i="6"/>
  <c r="T573" i="6"/>
  <c r="B574" i="6"/>
  <c r="C574" i="6"/>
  <c r="U574" i="6"/>
  <c r="D574" i="6"/>
  <c r="E574" i="6"/>
  <c r="F574" i="6"/>
  <c r="G574" i="6"/>
  <c r="H574" i="6"/>
  <c r="I574" i="6"/>
  <c r="J574" i="6"/>
  <c r="K574" i="6"/>
  <c r="L574" i="6"/>
  <c r="M574" i="6"/>
  <c r="N574" i="6"/>
  <c r="O574" i="6"/>
  <c r="P574" i="6"/>
  <c r="Q574" i="6"/>
  <c r="R574" i="6"/>
  <c r="S574" i="6"/>
  <c r="T574" i="6"/>
  <c r="B575" i="6"/>
  <c r="C575" i="6"/>
  <c r="U575" i="6"/>
  <c r="D575" i="6"/>
  <c r="E575" i="6"/>
  <c r="F575" i="6"/>
  <c r="G575" i="6"/>
  <c r="H575" i="6"/>
  <c r="I575" i="6"/>
  <c r="J575" i="6"/>
  <c r="K575" i="6"/>
  <c r="L575" i="6"/>
  <c r="M575" i="6"/>
  <c r="N575" i="6"/>
  <c r="O575" i="6"/>
  <c r="P575" i="6"/>
  <c r="Q575" i="6"/>
  <c r="R575" i="6"/>
  <c r="S575" i="6"/>
  <c r="T575" i="6"/>
  <c r="B576" i="6"/>
  <c r="C576" i="6"/>
  <c r="U576" i="6"/>
  <c r="D576" i="6"/>
  <c r="E576" i="6"/>
  <c r="F576" i="6"/>
  <c r="G576" i="6"/>
  <c r="H576" i="6"/>
  <c r="I576" i="6"/>
  <c r="J576" i="6"/>
  <c r="K576" i="6"/>
  <c r="L576" i="6"/>
  <c r="M576" i="6"/>
  <c r="N576" i="6"/>
  <c r="O576" i="6"/>
  <c r="P576" i="6"/>
  <c r="Q576" i="6"/>
  <c r="R576" i="6"/>
  <c r="S576" i="6"/>
  <c r="T576" i="6"/>
  <c r="B577" i="6"/>
  <c r="C577" i="6"/>
  <c r="U577" i="6"/>
  <c r="D577" i="6"/>
  <c r="E577" i="6"/>
  <c r="F577" i="6"/>
  <c r="G577" i="6"/>
  <c r="H577" i="6"/>
  <c r="I577" i="6"/>
  <c r="J577" i="6"/>
  <c r="K577" i="6"/>
  <c r="L577" i="6"/>
  <c r="M577" i="6"/>
  <c r="N577" i="6"/>
  <c r="O577" i="6"/>
  <c r="P577" i="6"/>
  <c r="Q577" i="6"/>
  <c r="R577" i="6"/>
  <c r="S577" i="6"/>
  <c r="T577" i="6"/>
  <c r="B578" i="6"/>
  <c r="C578" i="6"/>
  <c r="U578" i="6"/>
  <c r="D578" i="6"/>
  <c r="E578" i="6"/>
  <c r="F578" i="6"/>
  <c r="G578" i="6"/>
  <c r="H578" i="6"/>
  <c r="I578" i="6"/>
  <c r="J578" i="6"/>
  <c r="K578" i="6"/>
  <c r="L578" i="6"/>
  <c r="M578" i="6"/>
  <c r="N578" i="6"/>
  <c r="O578" i="6"/>
  <c r="P578" i="6"/>
  <c r="Q578" i="6"/>
  <c r="R578" i="6"/>
  <c r="S578" i="6"/>
  <c r="T578" i="6"/>
  <c r="B579" i="6"/>
  <c r="C579" i="6"/>
  <c r="U579" i="6"/>
  <c r="D579" i="6"/>
  <c r="E579" i="6"/>
  <c r="F579" i="6"/>
  <c r="G579" i="6"/>
  <c r="H579" i="6"/>
  <c r="I579" i="6"/>
  <c r="J579" i="6"/>
  <c r="K579" i="6"/>
  <c r="L579" i="6"/>
  <c r="M579" i="6"/>
  <c r="N579" i="6"/>
  <c r="O579" i="6"/>
  <c r="P579" i="6"/>
  <c r="Q579" i="6"/>
  <c r="R579" i="6"/>
  <c r="S579" i="6"/>
  <c r="T579" i="6"/>
  <c r="B580" i="6"/>
  <c r="C580" i="6"/>
  <c r="U580" i="6"/>
  <c r="D580" i="6"/>
  <c r="E580" i="6"/>
  <c r="F580" i="6"/>
  <c r="G580" i="6"/>
  <c r="H580" i="6"/>
  <c r="I580" i="6"/>
  <c r="J580" i="6"/>
  <c r="K580" i="6"/>
  <c r="L580" i="6"/>
  <c r="M580" i="6"/>
  <c r="N580" i="6"/>
  <c r="O580" i="6"/>
  <c r="P580" i="6"/>
  <c r="Q580" i="6"/>
  <c r="R580" i="6"/>
  <c r="S580" i="6"/>
  <c r="T580" i="6"/>
  <c r="B581" i="6"/>
  <c r="C581" i="6"/>
  <c r="U581" i="6"/>
  <c r="D581" i="6"/>
  <c r="E581" i="6"/>
  <c r="F581" i="6"/>
  <c r="G581" i="6"/>
  <c r="H581" i="6"/>
  <c r="I581" i="6"/>
  <c r="J581" i="6"/>
  <c r="K581" i="6"/>
  <c r="L581" i="6"/>
  <c r="M581" i="6"/>
  <c r="N581" i="6"/>
  <c r="O581" i="6"/>
  <c r="P581" i="6"/>
  <c r="Q581" i="6"/>
  <c r="R581" i="6"/>
  <c r="S581" i="6"/>
  <c r="T581" i="6"/>
  <c r="B582" i="6"/>
  <c r="C582" i="6"/>
  <c r="U582" i="6"/>
  <c r="D582" i="6"/>
  <c r="E582" i="6"/>
  <c r="F582" i="6"/>
  <c r="G582" i="6"/>
  <c r="H582" i="6"/>
  <c r="I582" i="6"/>
  <c r="J582" i="6"/>
  <c r="K582" i="6"/>
  <c r="L582" i="6"/>
  <c r="M582" i="6"/>
  <c r="N582" i="6"/>
  <c r="O582" i="6"/>
  <c r="P582" i="6"/>
  <c r="Q582" i="6"/>
  <c r="R582" i="6"/>
  <c r="S582" i="6"/>
  <c r="T582" i="6"/>
  <c r="B583" i="6"/>
  <c r="C583" i="6"/>
  <c r="U583" i="6"/>
  <c r="D583" i="6"/>
  <c r="E583" i="6"/>
  <c r="F583" i="6"/>
  <c r="G583" i="6"/>
  <c r="H583" i="6"/>
  <c r="I583" i="6"/>
  <c r="J583" i="6"/>
  <c r="K583" i="6"/>
  <c r="L583" i="6"/>
  <c r="M583" i="6"/>
  <c r="N583" i="6"/>
  <c r="O583" i="6"/>
  <c r="P583" i="6"/>
  <c r="Q583" i="6"/>
  <c r="R583" i="6"/>
  <c r="S583" i="6"/>
  <c r="T583" i="6"/>
  <c r="B584" i="6"/>
  <c r="C584" i="6"/>
  <c r="U584" i="6"/>
  <c r="D584" i="6"/>
  <c r="E584" i="6"/>
  <c r="F584" i="6"/>
  <c r="G584" i="6"/>
  <c r="H584" i="6"/>
  <c r="I584" i="6"/>
  <c r="J584" i="6"/>
  <c r="K584" i="6"/>
  <c r="L584" i="6"/>
  <c r="M584" i="6"/>
  <c r="N584" i="6"/>
  <c r="O584" i="6"/>
  <c r="P584" i="6"/>
  <c r="Q584" i="6"/>
  <c r="R584" i="6"/>
  <c r="S584" i="6"/>
  <c r="T584" i="6"/>
  <c r="B585" i="6"/>
  <c r="C585" i="6"/>
  <c r="U585" i="6"/>
  <c r="D585" i="6"/>
  <c r="E585" i="6"/>
  <c r="F585" i="6"/>
  <c r="G585" i="6"/>
  <c r="H585" i="6"/>
  <c r="I585" i="6"/>
  <c r="J585" i="6"/>
  <c r="K585" i="6"/>
  <c r="L585" i="6"/>
  <c r="M585" i="6"/>
  <c r="N585" i="6"/>
  <c r="O585" i="6"/>
  <c r="P585" i="6"/>
  <c r="Q585" i="6"/>
  <c r="R585" i="6"/>
  <c r="S585" i="6"/>
  <c r="T585" i="6"/>
  <c r="B586" i="6"/>
  <c r="C586" i="6"/>
  <c r="U586" i="6"/>
  <c r="D586" i="6"/>
  <c r="E586" i="6"/>
  <c r="F586" i="6"/>
  <c r="G586" i="6"/>
  <c r="H586" i="6"/>
  <c r="I586" i="6"/>
  <c r="J586" i="6"/>
  <c r="K586" i="6"/>
  <c r="L586" i="6"/>
  <c r="M586" i="6"/>
  <c r="N586" i="6"/>
  <c r="O586" i="6"/>
  <c r="P586" i="6"/>
  <c r="Q586" i="6"/>
  <c r="R586" i="6"/>
  <c r="S586" i="6"/>
  <c r="T586" i="6"/>
  <c r="B587" i="6"/>
  <c r="C587" i="6"/>
  <c r="U587" i="6"/>
  <c r="D587" i="6"/>
  <c r="E587" i="6"/>
  <c r="F587" i="6"/>
  <c r="G587" i="6"/>
  <c r="H587" i="6"/>
  <c r="I587" i="6"/>
  <c r="J587" i="6"/>
  <c r="K587" i="6"/>
  <c r="L587" i="6"/>
  <c r="M587" i="6"/>
  <c r="N587" i="6"/>
  <c r="O587" i="6"/>
  <c r="P587" i="6"/>
  <c r="Q587" i="6"/>
  <c r="R587" i="6"/>
  <c r="S587" i="6"/>
  <c r="T587" i="6"/>
  <c r="B588" i="6"/>
  <c r="C588" i="6"/>
  <c r="U588" i="6"/>
  <c r="D588" i="6"/>
  <c r="E588" i="6"/>
  <c r="F588" i="6"/>
  <c r="G588" i="6"/>
  <c r="H588" i="6"/>
  <c r="I588" i="6"/>
  <c r="J588" i="6"/>
  <c r="K588" i="6"/>
  <c r="L588" i="6"/>
  <c r="M588" i="6"/>
  <c r="N588" i="6"/>
  <c r="O588" i="6"/>
  <c r="P588" i="6"/>
  <c r="Q588" i="6"/>
  <c r="R588" i="6"/>
  <c r="S588" i="6"/>
  <c r="T588" i="6"/>
  <c r="B589" i="6"/>
  <c r="C589" i="6"/>
  <c r="U589" i="6"/>
  <c r="D589" i="6"/>
  <c r="E589" i="6"/>
  <c r="F589" i="6"/>
  <c r="G589" i="6"/>
  <c r="H589" i="6"/>
  <c r="I589" i="6"/>
  <c r="J589" i="6"/>
  <c r="K589" i="6"/>
  <c r="L589" i="6"/>
  <c r="M589" i="6"/>
  <c r="N589" i="6"/>
  <c r="O589" i="6"/>
  <c r="P589" i="6"/>
  <c r="Q589" i="6"/>
  <c r="R589" i="6"/>
  <c r="S589" i="6"/>
  <c r="T589" i="6"/>
  <c r="B590" i="6"/>
  <c r="C590" i="6"/>
  <c r="U590" i="6"/>
  <c r="D590" i="6"/>
  <c r="E590" i="6"/>
  <c r="F590" i="6"/>
  <c r="G590" i="6"/>
  <c r="H590" i="6"/>
  <c r="I590" i="6"/>
  <c r="J590" i="6"/>
  <c r="K590" i="6"/>
  <c r="L590" i="6"/>
  <c r="M590" i="6"/>
  <c r="N590" i="6"/>
  <c r="O590" i="6"/>
  <c r="P590" i="6"/>
  <c r="Q590" i="6"/>
  <c r="R590" i="6"/>
  <c r="S590" i="6"/>
  <c r="T590" i="6"/>
  <c r="B591" i="6"/>
  <c r="C591" i="6"/>
  <c r="U591" i="6"/>
  <c r="D591" i="6"/>
  <c r="E591" i="6"/>
  <c r="F591" i="6"/>
  <c r="G591" i="6"/>
  <c r="H591" i="6"/>
  <c r="I591" i="6"/>
  <c r="J591" i="6"/>
  <c r="K591" i="6"/>
  <c r="L591" i="6"/>
  <c r="M591" i="6"/>
  <c r="N591" i="6"/>
  <c r="O591" i="6"/>
  <c r="P591" i="6"/>
  <c r="Q591" i="6"/>
  <c r="R591" i="6"/>
  <c r="S591" i="6"/>
  <c r="T591" i="6"/>
  <c r="B592" i="6"/>
  <c r="C592" i="6"/>
  <c r="U592" i="6"/>
  <c r="D592" i="6"/>
  <c r="E592" i="6"/>
  <c r="F592" i="6"/>
  <c r="G592" i="6"/>
  <c r="H592" i="6"/>
  <c r="I592" i="6"/>
  <c r="J592" i="6"/>
  <c r="K592" i="6"/>
  <c r="L592" i="6"/>
  <c r="M592" i="6"/>
  <c r="N592" i="6"/>
  <c r="O592" i="6"/>
  <c r="P592" i="6"/>
  <c r="Q592" i="6"/>
  <c r="R592" i="6"/>
  <c r="S592" i="6"/>
  <c r="T592" i="6"/>
  <c r="B593" i="6"/>
  <c r="C593" i="6"/>
  <c r="U593" i="6"/>
  <c r="D593" i="6"/>
  <c r="E593" i="6"/>
  <c r="F593" i="6"/>
  <c r="G593" i="6"/>
  <c r="H593" i="6"/>
  <c r="I593" i="6"/>
  <c r="J593" i="6"/>
  <c r="K593" i="6"/>
  <c r="L593" i="6"/>
  <c r="M593" i="6"/>
  <c r="N593" i="6"/>
  <c r="O593" i="6"/>
  <c r="P593" i="6"/>
  <c r="Q593" i="6"/>
  <c r="R593" i="6"/>
  <c r="S593" i="6"/>
  <c r="T593" i="6"/>
  <c r="B594" i="6"/>
  <c r="C594" i="6"/>
  <c r="U594" i="6"/>
  <c r="D594" i="6"/>
  <c r="E594" i="6"/>
  <c r="F594" i="6"/>
  <c r="G594" i="6"/>
  <c r="H594" i="6"/>
  <c r="I594" i="6"/>
  <c r="J594" i="6"/>
  <c r="K594" i="6"/>
  <c r="L594" i="6"/>
  <c r="M594" i="6"/>
  <c r="N594" i="6"/>
  <c r="O594" i="6"/>
  <c r="P594" i="6"/>
  <c r="Q594" i="6"/>
  <c r="R594" i="6"/>
  <c r="S594" i="6"/>
  <c r="T594" i="6"/>
  <c r="B595" i="6"/>
  <c r="C595" i="6"/>
  <c r="U595" i="6"/>
  <c r="D595" i="6"/>
  <c r="E595" i="6"/>
  <c r="F595" i="6"/>
  <c r="G595" i="6"/>
  <c r="H595" i="6"/>
  <c r="I595" i="6"/>
  <c r="J595" i="6"/>
  <c r="K595" i="6"/>
  <c r="L595" i="6"/>
  <c r="M595" i="6"/>
  <c r="N595" i="6"/>
  <c r="O595" i="6"/>
  <c r="P595" i="6"/>
  <c r="Q595" i="6"/>
  <c r="R595" i="6"/>
  <c r="S595" i="6"/>
  <c r="T595" i="6"/>
  <c r="B596" i="6"/>
  <c r="C596" i="6"/>
  <c r="U596" i="6"/>
  <c r="D596" i="6"/>
  <c r="E596" i="6"/>
  <c r="F596" i="6"/>
  <c r="G596" i="6"/>
  <c r="H596" i="6"/>
  <c r="I596" i="6"/>
  <c r="J596" i="6"/>
  <c r="K596" i="6"/>
  <c r="L596" i="6"/>
  <c r="M596" i="6"/>
  <c r="N596" i="6"/>
  <c r="O596" i="6"/>
  <c r="P596" i="6"/>
  <c r="Q596" i="6"/>
  <c r="R596" i="6"/>
  <c r="S596" i="6"/>
  <c r="T596" i="6"/>
  <c r="B597" i="6"/>
  <c r="C597" i="6"/>
  <c r="U597" i="6"/>
  <c r="D597" i="6"/>
  <c r="E597" i="6"/>
  <c r="F597" i="6"/>
  <c r="G597" i="6"/>
  <c r="H597" i="6"/>
  <c r="I597" i="6"/>
  <c r="J597" i="6"/>
  <c r="K597" i="6"/>
  <c r="L597" i="6"/>
  <c r="M597" i="6"/>
  <c r="N597" i="6"/>
  <c r="O597" i="6"/>
  <c r="P597" i="6"/>
  <c r="Q597" i="6"/>
  <c r="R597" i="6"/>
  <c r="S597" i="6"/>
  <c r="T597" i="6"/>
  <c r="B598" i="6"/>
  <c r="C598" i="6"/>
  <c r="U598" i="6"/>
  <c r="D598" i="6"/>
  <c r="E598" i="6"/>
  <c r="F598" i="6"/>
  <c r="G598" i="6"/>
  <c r="H598" i="6"/>
  <c r="I598" i="6"/>
  <c r="J598" i="6"/>
  <c r="K598" i="6"/>
  <c r="L598" i="6"/>
  <c r="M598" i="6"/>
  <c r="N598" i="6"/>
  <c r="O598" i="6"/>
  <c r="P598" i="6"/>
  <c r="Q598" i="6"/>
  <c r="R598" i="6"/>
  <c r="S598" i="6"/>
  <c r="T598" i="6"/>
  <c r="B599" i="6"/>
  <c r="C599" i="6"/>
  <c r="U599" i="6"/>
  <c r="D599" i="6"/>
  <c r="E599" i="6"/>
  <c r="F599" i="6"/>
  <c r="G599" i="6"/>
  <c r="H599" i="6"/>
  <c r="I599" i="6"/>
  <c r="J599" i="6"/>
  <c r="K599" i="6"/>
  <c r="L599" i="6"/>
  <c r="M599" i="6"/>
  <c r="N599" i="6"/>
  <c r="O599" i="6"/>
  <c r="P599" i="6"/>
  <c r="Q599" i="6"/>
  <c r="R599" i="6"/>
  <c r="S599" i="6"/>
  <c r="T599" i="6"/>
  <c r="B600" i="6"/>
  <c r="C600" i="6"/>
  <c r="U600" i="6"/>
  <c r="D600" i="6"/>
  <c r="E600" i="6"/>
  <c r="F600" i="6"/>
  <c r="G600" i="6"/>
  <c r="H600" i="6"/>
  <c r="I600" i="6"/>
  <c r="J600" i="6"/>
  <c r="K600" i="6"/>
  <c r="L600" i="6"/>
  <c r="M600" i="6"/>
  <c r="N600" i="6"/>
  <c r="O600" i="6"/>
  <c r="P600" i="6"/>
  <c r="Q600" i="6"/>
  <c r="R600" i="6"/>
  <c r="S600" i="6"/>
  <c r="T600" i="6"/>
  <c r="B601" i="6"/>
  <c r="C601" i="6"/>
  <c r="U601" i="6"/>
  <c r="D601" i="6"/>
  <c r="E601" i="6"/>
  <c r="F601" i="6"/>
  <c r="G601" i="6"/>
  <c r="H601" i="6"/>
  <c r="I601" i="6"/>
  <c r="J601" i="6"/>
  <c r="K601" i="6"/>
  <c r="L601" i="6"/>
  <c r="M601" i="6"/>
  <c r="N601" i="6"/>
  <c r="O601" i="6"/>
  <c r="P601" i="6"/>
  <c r="Q601" i="6"/>
  <c r="R601" i="6"/>
  <c r="S601" i="6"/>
  <c r="T601" i="6"/>
  <c r="B602" i="6"/>
  <c r="C602" i="6"/>
  <c r="U602" i="6"/>
  <c r="D602" i="6"/>
  <c r="E602" i="6"/>
  <c r="F602" i="6"/>
  <c r="G602" i="6"/>
  <c r="H602" i="6"/>
  <c r="I602" i="6"/>
  <c r="J602" i="6"/>
  <c r="K602" i="6"/>
  <c r="L602" i="6"/>
  <c r="M602" i="6"/>
  <c r="N602" i="6"/>
  <c r="O602" i="6"/>
  <c r="P602" i="6"/>
  <c r="Q602" i="6"/>
  <c r="R602" i="6"/>
  <c r="S602" i="6"/>
  <c r="T602" i="6"/>
  <c r="B603" i="6"/>
  <c r="C603" i="6"/>
  <c r="U603" i="6"/>
  <c r="D603" i="6"/>
  <c r="E603" i="6"/>
  <c r="F603" i="6"/>
  <c r="G603" i="6"/>
  <c r="H603" i="6"/>
  <c r="I603" i="6"/>
  <c r="J603" i="6"/>
  <c r="K603" i="6"/>
  <c r="L603" i="6"/>
  <c r="M603" i="6"/>
  <c r="N603" i="6"/>
  <c r="O603" i="6"/>
  <c r="P603" i="6"/>
  <c r="Q603" i="6"/>
  <c r="R603" i="6"/>
  <c r="S603" i="6"/>
  <c r="T603" i="6"/>
  <c r="B604" i="6"/>
  <c r="C604" i="6"/>
  <c r="U604" i="6"/>
  <c r="D604" i="6"/>
  <c r="E604" i="6"/>
  <c r="F604" i="6"/>
  <c r="G604" i="6"/>
  <c r="H604" i="6"/>
  <c r="I604" i="6"/>
  <c r="J604" i="6"/>
  <c r="K604" i="6"/>
  <c r="L604" i="6"/>
  <c r="M604" i="6"/>
  <c r="N604" i="6"/>
  <c r="O604" i="6"/>
  <c r="P604" i="6"/>
  <c r="Q604" i="6"/>
  <c r="R604" i="6"/>
  <c r="S604" i="6"/>
  <c r="T604" i="6"/>
  <c r="B605" i="6"/>
  <c r="C605" i="6"/>
  <c r="U605" i="6"/>
  <c r="D605" i="6"/>
  <c r="E605" i="6"/>
  <c r="F605" i="6"/>
  <c r="G605" i="6"/>
  <c r="H605" i="6"/>
  <c r="I605" i="6"/>
  <c r="J605" i="6"/>
  <c r="K605" i="6"/>
  <c r="L605" i="6"/>
  <c r="M605" i="6"/>
  <c r="N605" i="6"/>
  <c r="O605" i="6"/>
  <c r="P605" i="6"/>
  <c r="Q605" i="6"/>
  <c r="R605" i="6"/>
  <c r="S605" i="6"/>
  <c r="T605" i="6"/>
  <c r="B606" i="6"/>
  <c r="C606" i="6"/>
  <c r="U606" i="6"/>
  <c r="D606" i="6"/>
  <c r="E606" i="6"/>
  <c r="F606" i="6"/>
  <c r="G606" i="6"/>
  <c r="H606" i="6"/>
  <c r="I606" i="6"/>
  <c r="J606" i="6"/>
  <c r="K606" i="6"/>
  <c r="L606" i="6"/>
  <c r="M606" i="6"/>
  <c r="N606" i="6"/>
  <c r="O606" i="6"/>
  <c r="P606" i="6"/>
  <c r="Q606" i="6"/>
  <c r="R606" i="6"/>
  <c r="S606" i="6"/>
  <c r="T606" i="6"/>
  <c r="B607" i="6"/>
  <c r="C607" i="6"/>
  <c r="U607" i="6"/>
  <c r="D607" i="6"/>
  <c r="E607" i="6"/>
  <c r="F607" i="6"/>
  <c r="G607" i="6"/>
  <c r="H607" i="6"/>
  <c r="I607" i="6"/>
  <c r="J607" i="6"/>
  <c r="K607" i="6"/>
  <c r="L607" i="6"/>
  <c r="M607" i="6"/>
  <c r="N607" i="6"/>
  <c r="O607" i="6"/>
  <c r="P607" i="6"/>
  <c r="Q607" i="6"/>
  <c r="R607" i="6"/>
  <c r="S607" i="6"/>
  <c r="T607" i="6"/>
  <c r="B608" i="6"/>
  <c r="C608" i="6"/>
  <c r="U608" i="6"/>
  <c r="D608" i="6"/>
  <c r="E608" i="6"/>
  <c r="F608" i="6"/>
  <c r="G608" i="6"/>
  <c r="H608" i="6"/>
  <c r="I608" i="6"/>
  <c r="J608" i="6"/>
  <c r="K608" i="6"/>
  <c r="L608" i="6"/>
  <c r="M608" i="6"/>
  <c r="N608" i="6"/>
  <c r="O608" i="6"/>
  <c r="P608" i="6"/>
  <c r="Q608" i="6"/>
  <c r="R608" i="6"/>
  <c r="S608" i="6"/>
  <c r="T608" i="6"/>
  <c r="B609" i="6"/>
  <c r="C609" i="6"/>
  <c r="U609" i="6"/>
  <c r="D609" i="6"/>
  <c r="E609" i="6"/>
  <c r="F609" i="6"/>
  <c r="G609" i="6"/>
  <c r="H609" i="6"/>
  <c r="I609" i="6"/>
  <c r="J609" i="6"/>
  <c r="K609" i="6"/>
  <c r="L609" i="6"/>
  <c r="M609" i="6"/>
  <c r="N609" i="6"/>
  <c r="O609" i="6"/>
  <c r="P609" i="6"/>
  <c r="Q609" i="6"/>
  <c r="R609" i="6"/>
  <c r="S609" i="6"/>
  <c r="T609" i="6"/>
  <c r="DB745" i="1"/>
  <c r="DB740" i="1"/>
  <c r="DB738" i="1"/>
  <c r="S140" i="5"/>
  <c r="S139" i="5"/>
  <c r="S137" i="5"/>
  <c r="S120" i="5"/>
  <c r="S118" i="5"/>
  <c r="S111" i="5"/>
  <c r="S100" i="5"/>
  <c r="S97" i="5"/>
  <c r="S95" i="5"/>
  <c r="S93" i="5"/>
  <c r="S92" i="5"/>
  <c r="S91" i="5"/>
  <c r="S84" i="5"/>
  <c r="S78" i="5"/>
  <c r="S77" i="5"/>
  <c r="S72" i="5"/>
  <c r="S68" i="5"/>
  <c r="S67" i="5"/>
  <c r="S65" i="5"/>
  <c r="S53" i="5"/>
  <c r="S51" i="5"/>
  <c r="S47" i="5"/>
  <c r="S42" i="5"/>
  <c r="S40" i="5"/>
  <c r="S38" i="5"/>
  <c r="S32" i="5"/>
  <c r="S31" i="5"/>
  <c r="S21" i="5"/>
  <c r="S18" i="5"/>
  <c r="S16" i="5"/>
  <c r="S15" i="5"/>
  <c r="S14" i="5"/>
  <c r="S13" i="5"/>
  <c r="S11" i="5"/>
  <c r="S10" i="5"/>
  <c r="S9" i="5"/>
  <c r="S4" i="5"/>
  <c r="S3" i="5"/>
  <c r="DB727" i="1"/>
  <c r="U8" i="3"/>
  <c r="U9" i="3"/>
  <c r="U11" i="3"/>
  <c r="U12" i="3"/>
  <c r="U6" i="3"/>
  <c r="Y12" i="3"/>
  <c r="AO12" i="3"/>
  <c r="AP12" i="3"/>
  <c r="AO10" i="3"/>
  <c r="AP10" i="3"/>
  <c r="AO8" i="3"/>
  <c r="AP8" i="3"/>
  <c r="AO6" i="3"/>
  <c r="AP6" i="3"/>
  <c r="J6" i="3"/>
  <c r="K6" i="3"/>
  <c r="AO5" i="3"/>
  <c r="AP5" i="3"/>
  <c r="AK37" i="7"/>
  <c r="AK6" i="7"/>
  <c r="AK58" i="7"/>
  <c r="AK57" i="7"/>
  <c r="AK56" i="7"/>
  <c r="AK55" i="7"/>
  <c r="AK54" i="7"/>
  <c r="AK53" i="7"/>
  <c r="AK52" i="7"/>
  <c r="AK51" i="7"/>
  <c r="AK50" i="7"/>
  <c r="AK49" i="7"/>
  <c r="AK48" i="7"/>
  <c r="AK47" i="7"/>
  <c r="AK46" i="7"/>
  <c r="AK45" i="7"/>
  <c r="AK44" i="7"/>
  <c r="AK43" i="7"/>
  <c r="AK42" i="7"/>
  <c r="AK41" i="7"/>
  <c r="AK40" i="7"/>
  <c r="AK39" i="7"/>
  <c r="AK38" i="7"/>
  <c r="AK36" i="7"/>
  <c r="AK35" i="7"/>
  <c r="AK34" i="7"/>
  <c r="AK33" i="7"/>
  <c r="AK32" i="7"/>
  <c r="AK31" i="7"/>
  <c r="AK30" i="7"/>
  <c r="AK29" i="7"/>
  <c r="AK28" i="7"/>
  <c r="AK27" i="7"/>
  <c r="AK26" i="7"/>
  <c r="AK25" i="7"/>
  <c r="AK24" i="7"/>
  <c r="AK23" i="7"/>
  <c r="AK22" i="7"/>
  <c r="AK21" i="7"/>
  <c r="AK20" i="7"/>
  <c r="AK19" i="7"/>
  <c r="AK18" i="7"/>
  <c r="AK13" i="7"/>
  <c r="AK17" i="7"/>
  <c r="AK16" i="7"/>
  <c r="AK15" i="7"/>
  <c r="AK14" i="7"/>
  <c r="AK12" i="7"/>
  <c r="AK11" i="7"/>
  <c r="AK10" i="7"/>
  <c r="AK9" i="7"/>
  <c r="AK8" i="7"/>
  <c r="AK7" i="7"/>
  <c r="AK5" i="7"/>
  <c r="AK4" i="7"/>
  <c r="AK3" i="7"/>
  <c r="B683" i="6"/>
  <c r="C683" i="6"/>
  <c r="U683" i="6"/>
  <c r="D683" i="6"/>
  <c r="E683" i="6"/>
  <c r="F683" i="6"/>
  <c r="G683" i="6"/>
  <c r="H683" i="6"/>
  <c r="I683" i="6"/>
  <c r="J683" i="6"/>
  <c r="K683" i="6"/>
  <c r="L683" i="6"/>
  <c r="M683" i="6"/>
  <c r="N683" i="6"/>
  <c r="O683" i="6"/>
  <c r="P683" i="6"/>
  <c r="Q683" i="6"/>
  <c r="R683" i="6"/>
  <c r="S683" i="6"/>
  <c r="T683" i="6"/>
  <c r="B684" i="6"/>
  <c r="C684" i="6"/>
  <c r="U684" i="6"/>
  <c r="D684" i="6"/>
  <c r="E684" i="6"/>
  <c r="F684" i="6"/>
  <c r="G684" i="6"/>
  <c r="H684" i="6"/>
  <c r="I684" i="6"/>
  <c r="J684" i="6"/>
  <c r="K684" i="6"/>
  <c r="L684" i="6"/>
  <c r="M684" i="6"/>
  <c r="N684" i="6"/>
  <c r="O684" i="6"/>
  <c r="P684" i="6"/>
  <c r="Q684" i="6"/>
  <c r="R684" i="6"/>
  <c r="S684" i="6"/>
  <c r="T684" i="6"/>
  <c r="B685" i="6"/>
  <c r="C685" i="6"/>
  <c r="U685" i="6"/>
  <c r="D685" i="6"/>
  <c r="E685" i="6"/>
  <c r="F685" i="6"/>
  <c r="G685" i="6"/>
  <c r="H685" i="6"/>
  <c r="I685" i="6"/>
  <c r="J685" i="6"/>
  <c r="K685" i="6"/>
  <c r="L685" i="6"/>
  <c r="M685" i="6"/>
  <c r="N685" i="6"/>
  <c r="O685" i="6"/>
  <c r="P685" i="6"/>
  <c r="Q685" i="6"/>
  <c r="R685" i="6"/>
  <c r="S685" i="6"/>
  <c r="T685" i="6"/>
  <c r="B686" i="6"/>
  <c r="C686" i="6"/>
  <c r="U686" i="6"/>
  <c r="D686" i="6"/>
  <c r="E686" i="6"/>
  <c r="F686" i="6"/>
  <c r="G686" i="6"/>
  <c r="H686" i="6"/>
  <c r="I686" i="6"/>
  <c r="J686" i="6"/>
  <c r="K686" i="6"/>
  <c r="L686" i="6"/>
  <c r="M686" i="6"/>
  <c r="N686" i="6"/>
  <c r="O686" i="6"/>
  <c r="P686" i="6"/>
  <c r="Q686" i="6"/>
  <c r="R686" i="6"/>
  <c r="S686" i="6"/>
  <c r="T686" i="6"/>
  <c r="B687" i="6"/>
  <c r="C687" i="6"/>
  <c r="U687" i="6"/>
  <c r="D687" i="6"/>
  <c r="E687" i="6"/>
  <c r="F687" i="6"/>
  <c r="G687" i="6"/>
  <c r="H687" i="6"/>
  <c r="I687" i="6"/>
  <c r="J687" i="6"/>
  <c r="K687" i="6"/>
  <c r="L687" i="6"/>
  <c r="M687" i="6"/>
  <c r="N687" i="6"/>
  <c r="O687" i="6"/>
  <c r="P687" i="6"/>
  <c r="Q687" i="6"/>
  <c r="R687" i="6"/>
  <c r="S687" i="6"/>
  <c r="T687" i="6"/>
  <c r="B688" i="6"/>
  <c r="C688" i="6"/>
  <c r="U688" i="6"/>
  <c r="D688" i="6"/>
  <c r="E688" i="6"/>
  <c r="F688" i="6"/>
  <c r="G688" i="6"/>
  <c r="H688" i="6"/>
  <c r="I688" i="6"/>
  <c r="J688" i="6"/>
  <c r="K688" i="6"/>
  <c r="L688" i="6"/>
  <c r="M688" i="6"/>
  <c r="N688" i="6"/>
  <c r="O688" i="6"/>
  <c r="P688" i="6"/>
  <c r="Q688" i="6"/>
  <c r="R688" i="6"/>
  <c r="S688" i="6"/>
  <c r="T688" i="6"/>
  <c r="B689" i="6"/>
  <c r="C689" i="6"/>
  <c r="U689" i="6"/>
  <c r="D689" i="6"/>
  <c r="E689" i="6"/>
  <c r="F689" i="6"/>
  <c r="G689" i="6"/>
  <c r="H689" i="6"/>
  <c r="I689" i="6"/>
  <c r="J689" i="6"/>
  <c r="K689" i="6"/>
  <c r="L689" i="6"/>
  <c r="M689" i="6"/>
  <c r="N689" i="6"/>
  <c r="O689" i="6"/>
  <c r="P689" i="6"/>
  <c r="Q689" i="6"/>
  <c r="R689" i="6"/>
  <c r="S689" i="6"/>
  <c r="T689" i="6"/>
  <c r="B690" i="6"/>
  <c r="C690" i="6"/>
  <c r="U690" i="6"/>
  <c r="D690" i="6"/>
  <c r="E690" i="6"/>
  <c r="F690" i="6"/>
  <c r="G690" i="6"/>
  <c r="H690" i="6"/>
  <c r="I690" i="6"/>
  <c r="J690" i="6"/>
  <c r="K690" i="6"/>
  <c r="L690" i="6"/>
  <c r="M690" i="6"/>
  <c r="N690" i="6"/>
  <c r="O690" i="6"/>
  <c r="P690" i="6"/>
  <c r="Q690" i="6"/>
  <c r="R690" i="6"/>
  <c r="S690" i="6"/>
  <c r="T690" i="6"/>
  <c r="B691" i="6"/>
  <c r="C691" i="6"/>
  <c r="U691" i="6"/>
  <c r="D691" i="6"/>
  <c r="E691" i="6"/>
  <c r="F691" i="6"/>
  <c r="G691" i="6"/>
  <c r="H691" i="6"/>
  <c r="I691" i="6"/>
  <c r="J691" i="6"/>
  <c r="K691" i="6"/>
  <c r="L691" i="6"/>
  <c r="M691" i="6"/>
  <c r="N691" i="6"/>
  <c r="O691" i="6"/>
  <c r="P691" i="6"/>
  <c r="Q691" i="6"/>
  <c r="R691" i="6"/>
  <c r="S691" i="6"/>
  <c r="T691" i="6"/>
  <c r="B692" i="6"/>
  <c r="C692" i="6"/>
  <c r="U692" i="6"/>
  <c r="D692" i="6"/>
  <c r="E692" i="6"/>
  <c r="F692" i="6"/>
  <c r="G692" i="6"/>
  <c r="H692" i="6"/>
  <c r="I692" i="6"/>
  <c r="J692" i="6"/>
  <c r="K692" i="6"/>
  <c r="L692" i="6"/>
  <c r="M692" i="6"/>
  <c r="N692" i="6"/>
  <c r="O692" i="6"/>
  <c r="P692" i="6"/>
  <c r="Q692" i="6"/>
  <c r="R692" i="6"/>
  <c r="S692" i="6"/>
  <c r="T692" i="6"/>
  <c r="B693" i="6"/>
  <c r="C693" i="6"/>
  <c r="U693" i="6"/>
  <c r="D693" i="6"/>
  <c r="E693" i="6"/>
  <c r="F693" i="6"/>
  <c r="G693" i="6"/>
  <c r="H693" i="6"/>
  <c r="I693" i="6"/>
  <c r="J693" i="6"/>
  <c r="K693" i="6"/>
  <c r="L693" i="6"/>
  <c r="M693" i="6"/>
  <c r="N693" i="6"/>
  <c r="O693" i="6"/>
  <c r="P693" i="6"/>
  <c r="Q693" i="6"/>
  <c r="R693" i="6"/>
  <c r="S693" i="6"/>
  <c r="T693" i="6"/>
  <c r="B694" i="6"/>
  <c r="C694" i="6"/>
  <c r="U694" i="6"/>
  <c r="D694" i="6"/>
  <c r="E694" i="6"/>
  <c r="F694" i="6"/>
  <c r="G694" i="6"/>
  <c r="H694" i="6"/>
  <c r="I694" i="6"/>
  <c r="J694" i="6"/>
  <c r="K694" i="6"/>
  <c r="L694" i="6"/>
  <c r="M694" i="6"/>
  <c r="N694" i="6"/>
  <c r="O694" i="6"/>
  <c r="P694" i="6"/>
  <c r="Q694" i="6"/>
  <c r="R694" i="6"/>
  <c r="S694" i="6"/>
  <c r="T694" i="6"/>
  <c r="B695" i="6"/>
  <c r="C695" i="6"/>
  <c r="U695" i="6"/>
  <c r="D695" i="6"/>
  <c r="E695" i="6"/>
  <c r="F695" i="6"/>
  <c r="G695" i="6"/>
  <c r="H695" i="6"/>
  <c r="I695" i="6"/>
  <c r="J695" i="6"/>
  <c r="K695" i="6"/>
  <c r="L695" i="6"/>
  <c r="M695" i="6"/>
  <c r="N695" i="6"/>
  <c r="O695" i="6"/>
  <c r="P695" i="6"/>
  <c r="Q695" i="6"/>
  <c r="R695" i="6"/>
  <c r="S695" i="6"/>
  <c r="T695" i="6"/>
  <c r="B696" i="6"/>
  <c r="C696" i="6"/>
  <c r="U696" i="6"/>
  <c r="D696" i="6"/>
  <c r="E696" i="6"/>
  <c r="F696" i="6"/>
  <c r="G696" i="6"/>
  <c r="H696" i="6"/>
  <c r="I696" i="6"/>
  <c r="J696" i="6"/>
  <c r="K696" i="6"/>
  <c r="L696" i="6"/>
  <c r="M696" i="6"/>
  <c r="N696" i="6"/>
  <c r="O696" i="6"/>
  <c r="P696" i="6"/>
  <c r="Q696" i="6"/>
  <c r="R696" i="6"/>
  <c r="S696" i="6"/>
  <c r="T696" i="6"/>
  <c r="B627" i="6"/>
  <c r="C627" i="6"/>
  <c r="U627" i="6"/>
  <c r="D627" i="6"/>
  <c r="E627" i="6"/>
  <c r="F627" i="6"/>
  <c r="G627" i="6"/>
  <c r="H627" i="6"/>
  <c r="I627" i="6"/>
  <c r="J627" i="6"/>
  <c r="K627" i="6"/>
  <c r="L627" i="6"/>
  <c r="M627" i="6"/>
  <c r="N627" i="6"/>
  <c r="O627" i="6"/>
  <c r="P627" i="6"/>
  <c r="Q627" i="6"/>
  <c r="R627" i="6"/>
  <c r="S627" i="6"/>
  <c r="T627" i="6"/>
  <c r="B628" i="6"/>
  <c r="C628" i="6"/>
  <c r="U628" i="6"/>
  <c r="D628" i="6"/>
  <c r="E628" i="6"/>
  <c r="F628" i="6"/>
  <c r="G628" i="6"/>
  <c r="H628" i="6"/>
  <c r="I628" i="6"/>
  <c r="J628" i="6"/>
  <c r="K628" i="6"/>
  <c r="L628" i="6"/>
  <c r="M628" i="6"/>
  <c r="N628" i="6"/>
  <c r="O628" i="6"/>
  <c r="P628" i="6"/>
  <c r="Q628" i="6"/>
  <c r="R628" i="6"/>
  <c r="S628" i="6"/>
  <c r="T628" i="6"/>
  <c r="B629" i="6"/>
  <c r="C629" i="6"/>
  <c r="U629" i="6"/>
  <c r="D629" i="6"/>
  <c r="E629" i="6"/>
  <c r="F629" i="6"/>
  <c r="G629" i="6"/>
  <c r="H629" i="6"/>
  <c r="I629" i="6"/>
  <c r="J629" i="6"/>
  <c r="K629" i="6"/>
  <c r="L629" i="6"/>
  <c r="M629" i="6"/>
  <c r="N629" i="6"/>
  <c r="O629" i="6"/>
  <c r="P629" i="6"/>
  <c r="Q629" i="6"/>
  <c r="R629" i="6"/>
  <c r="S629" i="6"/>
  <c r="T629" i="6"/>
  <c r="B630" i="6"/>
  <c r="C630" i="6"/>
  <c r="U630" i="6"/>
  <c r="D630" i="6"/>
  <c r="E630" i="6"/>
  <c r="F630" i="6"/>
  <c r="G630" i="6"/>
  <c r="H630" i="6"/>
  <c r="I630" i="6"/>
  <c r="J630" i="6"/>
  <c r="K630" i="6"/>
  <c r="L630" i="6"/>
  <c r="M630" i="6"/>
  <c r="N630" i="6"/>
  <c r="O630" i="6"/>
  <c r="P630" i="6"/>
  <c r="Q630" i="6"/>
  <c r="R630" i="6"/>
  <c r="S630" i="6"/>
  <c r="T630" i="6"/>
  <c r="B631" i="6"/>
  <c r="C631" i="6"/>
  <c r="U631" i="6"/>
  <c r="D631" i="6"/>
  <c r="E631" i="6"/>
  <c r="F631" i="6"/>
  <c r="G631" i="6"/>
  <c r="H631" i="6"/>
  <c r="I631" i="6"/>
  <c r="J631" i="6"/>
  <c r="K631" i="6"/>
  <c r="L631" i="6"/>
  <c r="M631" i="6"/>
  <c r="N631" i="6"/>
  <c r="O631" i="6"/>
  <c r="P631" i="6"/>
  <c r="Q631" i="6"/>
  <c r="R631" i="6"/>
  <c r="S631" i="6"/>
  <c r="T631" i="6"/>
  <c r="B632" i="6"/>
  <c r="C632" i="6"/>
  <c r="U632" i="6"/>
  <c r="D632" i="6"/>
  <c r="E632" i="6"/>
  <c r="F632" i="6"/>
  <c r="G632" i="6"/>
  <c r="H632" i="6"/>
  <c r="I632" i="6"/>
  <c r="J632" i="6"/>
  <c r="K632" i="6"/>
  <c r="L632" i="6"/>
  <c r="M632" i="6"/>
  <c r="N632" i="6"/>
  <c r="O632" i="6"/>
  <c r="P632" i="6"/>
  <c r="Q632" i="6"/>
  <c r="R632" i="6"/>
  <c r="S632" i="6"/>
  <c r="T632" i="6"/>
  <c r="B633" i="6"/>
  <c r="C633" i="6"/>
  <c r="U633" i="6"/>
  <c r="D633" i="6"/>
  <c r="E633" i="6"/>
  <c r="F633" i="6"/>
  <c r="G633" i="6"/>
  <c r="H633" i="6"/>
  <c r="I633" i="6"/>
  <c r="J633" i="6"/>
  <c r="K633" i="6"/>
  <c r="L633" i="6"/>
  <c r="M633" i="6"/>
  <c r="N633" i="6"/>
  <c r="O633" i="6"/>
  <c r="P633" i="6"/>
  <c r="Q633" i="6"/>
  <c r="R633" i="6"/>
  <c r="S633" i="6"/>
  <c r="T633" i="6"/>
  <c r="B634" i="6"/>
  <c r="C634" i="6"/>
  <c r="U634" i="6"/>
  <c r="D634" i="6"/>
  <c r="E634" i="6"/>
  <c r="F634" i="6"/>
  <c r="G634" i="6"/>
  <c r="H634" i="6"/>
  <c r="I634" i="6"/>
  <c r="J634" i="6"/>
  <c r="K634" i="6"/>
  <c r="L634" i="6"/>
  <c r="M634" i="6"/>
  <c r="N634" i="6"/>
  <c r="O634" i="6"/>
  <c r="P634" i="6"/>
  <c r="Q634" i="6"/>
  <c r="R634" i="6"/>
  <c r="S634" i="6"/>
  <c r="T634" i="6"/>
  <c r="B635" i="6"/>
  <c r="C635" i="6"/>
  <c r="U635" i="6"/>
  <c r="D635" i="6"/>
  <c r="E635" i="6"/>
  <c r="F635" i="6"/>
  <c r="G635" i="6"/>
  <c r="H635" i="6"/>
  <c r="I635" i="6"/>
  <c r="J635" i="6"/>
  <c r="K635" i="6"/>
  <c r="L635" i="6"/>
  <c r="M635" i="6"/>
  <c r="N635" i="6"/>
  <c r="O635" i="6"/>
  <c r="P635" i="6"/>
  <c r="Q635" i="6"/>
  <c r="R635" i="6"/>
  <c r="S635" i="6"/>
  <c r="T635" i="6"/>
  <c r="B636" i="6"/>
  <c r="C636" i="6"/>
  <c r="U636" i="6"/>
  <c r="D636" i="6"/>
  <c r="E636" i="6"/>
  <c r="F636" i="6"/>
  <c r="G636" i="6"/>
  <c r="H636" i="6"/>
  <c r="I636" i="6"/>
  <c r="J636" i="6"/>
  <c r="K636" i="6"/>
  <c r="L636" i="6"/>
  <c r="M636" i="6"/>
  <c r="N636" i="6"/>
  <c r="O636" i="6"/>
  <c r="P636" i="6"/>
  <c r="Q636" i="6"/>
  <c r="R636" i="6"/>
  <c r="S636" i="6"/>
  <c r="T636" i="6"/>
  <c r="B637" i="6"/>
  <c r="C637" i="6"/>
  <c r="U637" i="6"/>
  <c r="D637" i="6"/>
  <c r="E637" i="6"/>
  <c r="F637" i="6"/>
  <c r="G637" i="6"/>
  <c r="H637" i="6"/>
  <c r="I637" i="6"/>
  <c r="J637" i="6"/>
  <c r="K637" i="6"/>
  <c r="L637" i="6"/>
  <c r="M637" i="6"/>
  <c r="N637" i="6"/>
  <c r="O637" i="6"/>
  <c r="P637" i="6"/>
  <c r="Q637" i="6"/>
  <c r="R637" i="6"/>
  <c r="S637" i="6"/>
  <c r="T637" i="6"/>
  <c r="B638" i="6"/>
  <c r="C638" i="6"/>
  <c r="U638" i="6"/>
  <c r="D638" i="6"/>
  <c r="E638" i="6"/>
  <c r="F638" i="6"/>
  <c r="G638" i="6"/>
  <c r="H638" i="6"/>
  <c r="I638" i="6"/>
  <c r="J638" i="6"/>
  <c r="K638" i="6"/>
  <c r="L638" i="6"/>
  <c r="M638" i="6"/>
  <c r="N638" i="6"/>
  <c r="O638" i="6"/>
  <c r="P638" i="6"/>
  <c r="Q638" i="6"/>
  <c r="R638" i="6"/>
  <c r="S638" i="6"/>
  <c r="T638" i="6"/>
  <c r="B639" i="6"/>
  <c r="C639" i="6"/>
  <c r="U639" i="6"/>
  <c r="D639" i="6"/>
  <c r="E639" i="6"/>
  <c r="F639" i="6"/>
  <c r="G639" i="6"/>
  <c r="H639" i="6"/>
  <c r="I639" i="6"/>
  <c r="J639" i="6"/>
  <c r="K639" i="6"/>
  <c r="L639" i="6"/>
  <c r="M639" i="6"/>
  <c r="N639" i="6"/>
  <c r="O639" i="6"/>
  <c r="P639" i="6"/>
  <c r="Q639" i="6"/>
  <c r="R639" i="6"/>
  <c r="S639" i="6"/>
  <c r="T639" i="6"/>
  <c r="B640" i="6"/>
  <c r="C640" i="6"/>
  <c r="U640" i="6"/>
  <c r="D640" i="6"/>
  <c r="E640" i="6"/>
  <c r="F640" i="6"/>
  <c r="G640" i="6"/>
  <c r="H640" i="6"/>
  <c r="I640" i="6"/>
  <c r="J640" i="6"/>
  <c r="K640" i="6"/>
  <c r="L640" i="6"/>
  <c r="M640" i="6"/>
  <c r="N640" i="6"/>
  <c r="O640" i="6"/>
  <c r="P640" i="6"/>
  <c r="Q640" i="6"/>
  <c r="R640" i="6"/>
  <c r="S640" i="6"/>
  <c r="T640" i="6"/>
  <c r="B641" i="6"/>
  <c r="C641" i="6"/>
  <c r="U641" i="6"/>
  <c r="D641" i="6"/>
  <c r="E641" i="6"/>
  <c r="F641" i="6"/>
  <c r="G641" i="6"/>
  <c r="H641" i="6"/>
  <c r="I641" i="6"/>
  <c r="J641" i="6"/>
  <c r="K641" i="6"/>
  <c r="L641" i="6"/>
  <c r="M641" i="6"/>
  <c r="N641" i="6"/>
  <c r="O641" i="6"/>
  <c r="P641" i="6"/>
  <c r="Q641" i="6"/>
  <c r="R641" i="6"/>
  <c r="S641" i="6"/>
  <c r="T641" i="6"/>
  <c r="B642" i="6"/>
  <c r="C642" i="6"/>
  <c r="U642" i="6"/>
  <c r="D642" i="6"/>
  <c r="E642" i="6"/>
  <c r="F642" i="6"/>
  <c r="G642" i="6"/>
  <c r="H642" i="6"/>
  <c r="I642" i="6"/>
  <c r="J642" i="6"/>
  <c r="K642" i="6"/>
  <c r="L642" i="6"/>
  <c r="M642" i="6"/>
  <c r="N642" i="6"/>
  <c r="O642" i="6"/>
  <c r="P642" i="6"/>
  <c r="Q642" i="6"/>
  <c r="R642" i="6"/>
  <c r="S642" i="6"/>
  <c r="T642" i="6"/>
  <c r="B643" i="6"/>
  <c r="C643" i="6"/>
  <c r="U643" i="6"/>
  <c r="D643" i="6"/>
  <c r="E643" i="6"/>
  <c r="F643" i="6"/>
  <c r="G643" i="6"/>
  <c r="H643" i="6"/>
  <c r="I643" i="6"/>
  <c r="J643" i="6"/>
  <c r="K643" i="6"/>
  <c r="L643" i="6"/>
  <c r="M643" i="6"/>
  <c r="N643" i="6"/>
  <c r="O643" i="6"/>
  <c r="P643" i="6"/>
  <c r="Q643" i="6"/>
  <c r="R643" i="6"/>
  <c r="S643" i="6"/>
  <c r="T643" i="6"/>
  <c r="B644" i="6"/>
  <c r="C644" i="6"/>
  <c r="U644" i="6"/>
  <c r="D644" i="6"/>
  <c r="E644" i="6"/>
  <c r="F644" i="6"/>
  <c r="G644" i="6"/>
  <c r="H644" i="6"/>
  <c r="I644" i="6"/>
  <c r="J644" i="6"/>
  <c r="K644" i="6"/>
  <c r="L644" i="6"/>
  <c r="M644" i="6"/>
  <c r="N644" i="6"/>
  <c r="O644" i="6"/>
  <c r="P644" i="6"/>
  <c r="Q644" i="6"/>
  <c r="R644" i="6"/>
  <c r="S644" i="6"/>
  <c r="T644" i="6"/>
  <c r="B645" i="6"/>
  <c r="C645" i="6"/>
  <c r="U645" i="6"/>
  <c r="D645" i="6"/>
  <c r="E645" i="6"/>
  <c r="F645" i="6"/>
  <c r="G645" i="6"/>
  <c r="H645" i="6"/>
  <c r="I645" i="6"/>
  <c r="J645" i="6"/>
  <c r="K645" i="6"/>
  <c r="L645" i="6"/>
  <c r="M645" i="6"/>
  <c r="N645" i="6"/>
  <c r="O645" i="6"/>
  <c r="P645" i="6"/>
  <c r="Q645" i="6"/>
  <c r="R645" i="6"/>
  <c r="S645" i="6"/>
  <c r="T645" i="6"/>
  <c r="B646" i="6"/>
  <c r="C646" i="6"/>
  <c r="U646" i="6"/>
  <c r="D646" i="6"/>
  <c r="E646" i="6"/>
  <c r="F646" i="6"/>
  <c r="G646" i="6"/>
  <c r="H646" i="6"/>
  <c r="I646" i="6"/>
  <c r="J646" i="6"/>
  <c r="K646" i="6"/>
  <c r="L646" i="6"/>
  <c r="M646" i="6"/>
  <c r="N646" i="6"/>
  <c r="O646" i="6"/>
  <c r="P646" i="6"/>
  <c r="Q646" i="6"/>
  <c r="R646" i="6"/>
  <c r="S646" i="6"/>
  <c r="T646" i="6"/>
  <c r="B647" i="6"/>
  <c r="C647" i="6"/>
  <c r="U647" i="6"/>
  <c r="D647" i="6"/>
  <c r="E647" i="6"/>
  <c r="F647" i="6"/>
  <c r="G647" i="6"/>
  <c r="H647" i="6"/>
  <c r="I647" i="6"/>
  <c r="J647" i="6"/>
  <c r="K647" i="6"/>
  <c r="L647" i="6"/>
  <c r="M647" i="6"/>
  <c r="N647" i="6"/>
  <c r="O647" i="6"/>
  <c r="P647" i="6"/>
  <c r="Q647" i="6"/>
  <c r="R647" i="6"/>
  <c r="S647" i="6"/>
  <c r="T647" i="6"/>
  <c r="B648" i="6"/>
  <c r="C648" i="6"/>
  <c r="U648" i="6"/>
  <c r="D648" i="6"/>
  <c r="E648" i="6"/>
  <c r="F648" i="6"/>
  <c r="G648" i="6"/>
  <c r="H648" i="6"/>
  <c r="I648" i="6"/>
  <c r="J648" i="6"/>
  <c r="K648" i="6"/>
  <c r="L648" i="6"/>
  <c r="M648" i="6"/>
  <c r="N648" i="6"/>
  <c r="O648" i="6"/>
  <c r="P648" i="6"/>
  <c r="Q648" i="6"/>
  <c r="R648" i="6"/>
  <c r="S648" i="6"/>
  <c r="T648" i="6"/>
  <c r="B649" i="6"/>
  <c r="C649" i="6"/>
  <c r="U649" i="6"/>
  <c r="D649" i="6"/>
  <c r="E649" i="6"/>
  <c r="F649" i="6"/>
  <c r="G649" i="6"/>
  <c r="H649" i="6"/>
  <c r="I649" i="6"/>
  <c r="J649" i="6"/>
  <c r="K649" i="6"/>
  <c r="L649" i="6"/>
  <c r="M649" i="6"/>
  <c r="N649" i="6"/>
  <c r="O649" i="6"/>
  <c r="P649" i="6"/>
  <c r="Q649" i="6"/>
  <c r="R649" i="6"/>
  <c r="S649" i="6"/>
  <c r="T649" i="6"/>
  <c r="B650" i="6"/>
  <c r="C650" i="6"/>
  <c r="U650" i="6"/>
  <c r="D650" i="6"/>
  <c r="E650" i="6"/>
  <c r="F650" i="6"/>
  <c r="G650" i="6"/>
  <c r="H650" i="6"/>
  <c r="I650" i="6"/>
  <c r="J650" i="6"/>
  <c r="K650" i="6"/>
  <c r="L650" i="6"/>
  <c r="M650" i="6"/>
  <c r="N650" i="6"/>
  <c r="O650" i="6"/>
  <c r="P650" i="6"/>
  <c r="Q650" i="6"/>
  <c r="R650" i="6"/>
  <c r="S650" i="6"/>
  <c r="T650" i="6"/>
  <c r="B651" i="6"/>
  <c r="C651" i="6"/>
  <c r="U651" i="6"/>
  <c r="D651" i="6"/>
  <c r="E651" i="6"/>
  <c r="F651" i="6"/>
  <c r="G651" i="6"/>
  <c r="H651" i="6"/>
  <c r="I651" i="6"/>
  <c r="J651" i="6"/>
  <c r="K651" i="6"/>
  <c r="L651" i="6"/>
  <c r="M651" i="6"/>
  <c r="N651" i="6"/>
  <c r="O651" i="6"/>
  <c r="P651" i="6"/>
  <c r="Q651" i="6"/>
  <c r="R651" i="6"/>
  <c r="S651" i="6"/>
  <c r="T651" i="6"/>
  <c r="B652" i="6"/>
  <c r="C652" i="6"/>
  <c r="U652" i="6"/>
  <c r="D652" i="6"/>
  <c r="E652" i="6"/>
  <c r="F652" i="6"/>
  <c r="G652" i="6"/>
  <c r="H652" i="6"/>
  <c r="I652" i="6"/>
  <c r="J652" i="6"/>
  <c r="K652" i="6"/>
  <c r="L652" i="6"/>
  <c r="M652" i="6"/>
  <c r="N652" i="6"/>
  <c r="O652" i="6"/>
  <c r="P652" i="6"/>
  <c r="Q652" i="6"/>
  <c r="R652" i="6"/>
  <c r="S652" i="6"/>
  <c r="T652" i="6"/>
  <c r="B653" i="6"/>
  <c r="C653" i="6"/>
  <c r="U653" i="6"/>
  <c r="D653" i="6"/>
  <c r="E653" i="6"/>
  <c r="F653" i="6"/>
  <c r="G653" i="6"/>
  <c r="H653" i="6"/>
  <c r="I653" i="6"/>
  <c r="J653" i="6"/>
  <c r="K653" i="6"/>
  <c r="L653" i="6"/>
  <c r="M653" i="6"/>
  <c r="N653" i="6"/>
  <c r="O653" i="6"/>
  <c r="P653" i="6"/>
  <c r="Q653" i="6"/>
  <c r="R653" i="6"/>
  <c r="S653" i="6"/>
  <c r="T653" i="6"/>
  <c r="B654" i="6"/>
  <c r="C654" i="6"/>
  <c r="U654" i="6"/>
  <c r="D654" i="6"/>
  <c r="E654" i="6"/>
  <c r="F654" i="6"/>
  <c r="G654" i="6"/>
  <c r="H654" i="6"/>
  <c r="I654" i="6"/>
  <c r="J654" i="6"/>
  <c r="K654" i="6"/>
  <c r="L654" i="6"/>
  <c r="M654" i="6"/>
  <c r="N654" i="6"/>
  <c r="O654" i="6"/>
  <c r="P654" i="6"/>
  <c r="Q654" i="6"/>
  <c r="R654" i="6"/>
  <c r="S654" i="6"/>
  <c r="T654" i="6"/>
  <c r="B655" i="6"/>
  <c r="C655" i="6"/>
  <c r="U655" i="6"/>
  <c r="D655" i="6"/>
  <c r="E655" i="6"/>
  <c r="F655" i="6"/>
  <c r="G655" i="6"/>
  <c r="H655" i="6"/>
  <c r="I655" i="6"/>
  <c r="J655" i="6"/>
  <c r="K655" i="6"/>
  <c r="L655" i="6"/>
  <c r="M655" i="6"/>
  <c r="N655" i="6"/>
  <c r="O655" i="6"/>
  <c r="P655" i="6"/>
  <c r="Q655" i="6"/>
  <c r="R655" i="6"/>
  <c r="S655" i="6"/>
  <c r="T655" i="6"/>
  <c r="B656" i="6"/>
  <c r="C656" i="6"/>
  <c r="U656" i="6"/>
  <c r="D656" i="6"/>
  <c r="E656" i="6"/>
  <c r="F656" i="6"/>
  <c r="G656" i="6"/>
  <c r="H656" i="6"/>
  <c r="I656" i="6"/>
  <c r="J656" i="6"/>
  <c r="K656" i="6"/>
  <c r="L656" i="6"/>
  <c r="M656" i="6"/>
  <c r="N656" i="6"/>
  <c r="O656" i="6"/>
  <c r="P656" i="6"/>
  <c r="Q656" i="6"/>
  <c r="R656" i="6"/>
  <c r="S656" i="6"/>
  <c r="T656" i="6"/>
  <c r="B657" i="6"/>
  <c r="C657" i="6"/>
  <c r="U657" i="6"/>
  <c r="D657" i="6"/>
  <c r="E657" i="6"/>
  <c r="F657" i="6"/>
  <c r="G657" i="6"/>
  <c r="H657" i="6"/>
  <c r="I657" i="6"/>
  <c r="J657" i="6"/>
  <c r="K657" i="6"/>
  <c r="L657" i="6"/>
  <c r="M657" i="6"/>
  <c r="N657" i="6"/>
  <c r="O657" i="6"/>
  <c r="P657" i="6"/>
  <c r="Q657" i="6"/>
  <c r="R657" i="6"/>
  <c r="S657" i="6"/>
  <c r="T657" i="6"/>
  <c r="B658" i="6"/>
  <c r="C658" i="6"/>
  <c r="U658" i="6"/>
  <c r="D658" i="6"/>
  <c r="E658" i="6"/>
  <c r="F658" i="6"/>
  <c r="G658" i="6"/>
  <c r="H658" i="6"/>
  <c r="I658" i="6"/>
  <c r="J658" i="6"/>
  <c r="K658" i="6"/>
  <c r="L658" i="6"/>
  <c r="M658" i="6"/>
  <c r="N658" i="6"/>
  <c r="O658" i="6"/>
  <c r="P658" i="6"/>
  <c r="Q658" i="6"/>
  <c r="R658" i="6"/>
  <c r="S658" i="6"/>
  <c r="T658" i="6"/>
  <c r="B659" i="6"/>
  <c r="C659" i="6"/>
  <c r="U659" i="6"/>
  <c r="D659" i="6"/>
  <c r="E659" i="6"/>
  <c r="F659" i="6"/>
  <c r="G659" i="6"/>
  <c r="H659" i="6"/>
  <c r="I659" i="6"/>
  <c r="J659" i="6"/>
  <c r="K659" i="6"/>
  <c r="L659" i="6"/>
  <c r="M659" i="6"/>
  <c r="N659" i="6"/>
  <c r="O659" i="6"/>
  <c r="P659" i="6"/>
  <c r="Q659" i="6"/>
  <c r="R659" i="6"/>
  <c r="S659" i="6"/>
  <c r="T659" i="6"/>
  <c r="B660" i="6"/>
  <c r="C660" i="6"/>
  <c r="U660" i="6"/>
  <c r="D660" i="6"/>
  <c r="E660" i="6"/>
  <c r="F660" i="6"/>
  <c r="G660" i="6"/>
  <c r="H660" i="6"/>
  <c r="I660" i="6"/>
  <c r="J660" i="6"/>
  <c r="K660" i="6"/>
  <c r="L660" i="6"/>
  <c r="M660" i="6"/>
  <c r="N660" i="6"/>
  <c r="O660" i="6"/>
  <c r="P660" i="6"/>
  <c r="Q660" i="6"/>
  <c r="R660" i="6"/>
  <c r="S660" i="6"/>
  <c r="T660" i="6"/>
  <c r="B661" i="6"/>
  <c r="C661" i="6"/>
  <c r="U661" i="6"/>
  <c r="D661" i="6"/>
  <c r="E661" i="6"/>
  <c r="F661" i="6"/>
  <c r="G661" i="6"/>
  <c r="H661" i="6"/>
  <c r="I661" i="6"/>
  <c r="J661" i="6"/>
  <c r="K661" i="6"/>
  <c r="L661" i="6"/>
  <c r="M661" i="6"/>
  <c r="N661" i="6"/>
  <c r="O661" i="6"/>
  <c r="P661" i="6"/>
  <c r="Q661" i="6"/>
  <c r="R661" i="6"/>
  <c r="S661" i="6"/>
  <c r="T661" i="6"/>
  <c r="B662" i="6"/>
  <c r="C662" i="6"/>
  <c r="U662" i="6"/>
  <c r="D662" i="6"/>
  <c r="E662" i="6"/>
  <c r="F662" i="6"/>
  <c r="G662" i="6"/>
  <c r="H662" i="6"/>
  <c r="I662" i="6"/>
  <c r="J662" i="6"/>
  <c r="K662" i="6"/>
  <c r="L662" i="6"/>
  <c r="M662" i="6"/>
  <c r="N662" i="6"/>
  <c r="O662" i="6"/>
  <c r="P662" i="6"/>
  <c r="Q662" i="6"/>
  <c r="R662" i="6"/>
  <c r="S662" i="6"/>
  <c r="T662" i="6"/>
  <c r="B663" i="6"/>
  <c r="C663" i="6"/>
  <c r="U663" i="6"/>
  <c r="D663" i="6"/>
  <c r="E663" i="6"/>
  <c r="F663" i="6"/>
  <c r="G663" i="6"/>
  <c r="H663" i="6"/>
  <c r="I663" i="6"/>
  <c r="J663" i="6"/>
  <c r="K663" i="6"/>
  <c r="L663" i="6"/>
  <c r="M663" i="6"/>
  <c r="N663" i="6"/>
  <c r="O663" i="6"/>
  <c r="P663" i="6"/>
  <c r="Q663" i="6"/>
  <c r="R663" i="6"/>
  <c r="S663" i="6"/>
  <c r="T663" i="6"/>
  <c r="B664" i="6"/>
  <c r="C664" i="6"/>
  <c r="U664" i="6"/>
  <c r="D664" i="6"/>
  <c r="E664" i="6"/>
  <c r="F664" i="6"/>
  <c r="G664" i="6"/>
  <c r="H664" i="6"/>
  <c r="I664" i="6"/>
  <c r="J664" i="6"/>
  <c r="K664" i="6"/>
  <c r="L664" i="6"/>
  <c r="M664" i="6"/>
  <c r="N664" i="6"/>
  <c r="O664" i="6"/>
  <c r="P664" i="6"/>
  <c r="Q664" i="6"/>
  <c r="R664" i="6"/>
  <c r="S664" i="6"/>
  <c r="T664" i="6"/>
  <c r="B665" i="6"/>
  <c r="C665" i="6"/>
  <c r="U665" i="6"/>
  <c r="D665" i="6"/>
  <c r="E665" i="6"/>
  <c r="F665" i="6"/>
  <c r="G665" i="6"/>
  <c r="H665" i="6"/>
  <c r="I665" i="6"/>
  <c r="J665" i="6"/>
  <c r="K665" i="6"/>
  <c r="L665" i="6"/>
  <c r="M665" i="6"/>
  <c r="N665" i="6"/>
  <c r="O665" i="6"/>
  <c r="P665" i="6"/>
  <c r="Q665" i="6"/>
  <c r="R665" i="6"/>
  <c r="S665" i="6"/>
  <c r="T665" i="6"/>
  <c r="B666" i="6"/>
  <c r="C666" i="6"/>
  <c r="U666" i="6"/>
  <c r="D666" i="6"/>
  <c r="E666" i="6"/>
  <c r="F666" i="6"/>
  <c r="G666" i="6"/>
  <c r="H666" i="6"/>
  <c r="I666" i="6"/>
  <c r="J666" i="6"/>
  <c r="K666" i="6"/>
  <c r="L666" i="6"/>
  <c r="M666" i="6"/>
  <c r="N666" i="6"/>
  <c r="O666" i="6"/>
  <c r="P666" i="6"/>
  <c r="Q666" i="6"/>
  <c r="R666" i="6"/>
  <c r="S666" i="6"/>
  <c r="T666" i="6"/>
  <c r="B667" i="6"/>
  <c r="C667" i="6"/>
  <c r="U667" i="6"/>
  <c r="D667" i="6"/>
  <c r="E667" i="6"/>
  <c r="F667" i="6"/>
  <c r="G667" i="6"/>
  <c r="H667" i="6"/>
  <c r="I667" i="6"/>
  <c r="J667" i="6"/>
  <c r="K667" i="6"/>
  <c r="L667" i="6"/>
  <c r="M667" i="6"/>
  <c r="N667" i="6"/>
  <c r="O667" i="6"/>
  <c r="P667" i="6"/>
  <c r="Q667" i="6"/>
  <c r="R667" i="6"/>
  <c r="S667" i="6"/>
  <c r="T667" i="6"/>
  <c r="B668" i="6"/>
  <c r="C668" i="6"/>
  <c r="U668" i="6"/>
  <c r="D668" i="6"/>
  <c r="E668" i="6"/>
  <c r="F668" i="6"/>
  <c r="G668" i="6"/>
  <c r="H668" i="6"/>
  <c r="I668" i="6"/>
  <c r="J668" i="6"/>
  <c r="K668" i="6"/>
  <c r="L668" i="6"/>
  <c r="M668" i="6"/>
  <c r="N668" i="6"/>
  <c r="O668" i="6"/>
  <c r="P668" i="6"/>
  <c r="Q668" i="6"/>
  <c r="R668" i="6"/>
  <c r="S668" i="6"/>
  <c r="T668" i="6"/>
  <c r="B669" i="6"/>
  <c r="C669" i="6"/>
  <c r="U669" i="6"/>
  <c r="D669" i="6"/>
  <c r="E669" i="6"/>
  <c r="F669" i="6"/>
  <c r="G669" i="6"/>
  <c r="H669" i="6"/>
  <c r="I669" i="6"/>
  <c r="J669" i="6"/>
  <c r="K669" i="6"/>
  <c r="L669" i="6"/>
  <c r="M669" i="6"/>
  <c r="N669" i="6"/>
  <c r="O669" i="6"/>
  <c r="P669" i="6"/>
  <c r="Q669" i="6"/>
  <c r="R669" i="6"/>
  <c r="S669" i="6"/>
  <c r="T669" i="6"/>
  <c r="B670" i="6"/>
  <c r="C670" i="6"/>
  <c r="U670" i="6"/>
  <c r="D670" i="6"/>
  <c r="E670" i="6"/>
  <c r="F670" i="6"/>
  <c r="G670" i="6"/>
  <c r="H670" i="6"/>
  <c r="I670" i="6"/>
  <c r="J670" i="6"/>
  <c r="K670" i="6"/>
  <c r="L670" i="6"/>
  <c r="M670" i="6"/>
  <c r="N670" i="6"/>
  <c r="O670" i="6"/>
  <c r="P670" i="6"/>
  <c r="Q670" i="6"/>
  <c r="R670" i="6"/>
  <c r="S670" i="6"/>
  <c r="T670" i="6"/>
  <c r="B671" i="6"/>
  <c r="C671" i="6"/>
  <c r="U671" i="6"/>
  <c r="D671" i="6"/>
  <c r="E671" i="6"/>
  <c r="F671" i="6"/>
  <c r="G671" i="6"/>
  <c r="H671" i="6"/>
  <c r="I671" i="6"/>
  <c r="J671" i="6"/>
  <c r="K671" i="6"/>
  <c r="L671" i="6"/>
  <c r="M671" i="6"/>
  <c r="N671" i="6"/>
  <c r="O671" i="6"/>
  <c r="P671" i="6"/>
  <c r="Q671" i="6"/>
  <c r="R671" i="6"/>
  <c r="S671" i="6"/>
  <c r="T671" i="6"/>
  <c r="B672" i="6"/>
  <c r="C672" i="6"/>
  <c r="U672" i="6"/>
  <c r="D672" i="6"/>
  <c r="E672" i="6"/>
  <c r="F672" i="6"/>
  <c r="G672" i="6"/>
  <c r="H672" i="6"/>
  <c r="I672" i="6"/>
  <c r="J672" i="6"/>
  <c r="K672" i="6"/>
  <c r="L672" i="6"/>
  <c r="M672" i="6"/>
  <c r="N672" i="6"/>
  <c r="O672" i="6"/>
  <c r="P672" i="6"/>
  <c r="Q672" i="6"/>
  <c r="R672" i="6"/>
  <c r="S672" i="6"/>
  <c r="T672" i="6"/>
  <c r="B673" i="6"/>
  <c r="C673" i="6"/>
  <c r="U673" i="6"/>
  <c r="D673" i="6"/>
  <c r="E673" i="6"/>
  <c r="F673" i="6"/>
  <c r="G673" i="6"/>
  <c r="H673" i="6"/>
  <c r="I673" i="6"/>
  <c r="J673" i="6"/>
  <c r="K673" i="6"/>
  <c r="L673" i="6"/>
  <c r="M673" i="6"/>
  <c r="N673" i="6"/>
  <c r="O673" i="6"/>
  <c r="P673" i="6"/>
  <c r="Q673" i="6"/>
  <c r="R673" i="6"/>
  <c r="S673" i="6"/>
  <c r="T673" i="6"/>
  <c r="B674" i="6"/>
  <c r="C674" i="6"/>
  <c r="U674" i="6"/>
  <c r="D674" i="6"/>
  <c r="E674" i="6"/>
  <c r="F674" i="6"/>
  <c r="G674" i="6"/>
  <c r="H674" i="6"/>
  <c r="I674" i="6"/>
  <c r="J674" i="6"/>
  <c r="K674" i="6"/>
  <c r="L674" i="6"/>
  <c r="M674" i="6"/>
  <c r="N674" i="6"/>
  <c r="O674" i="6"/>
  <c r="P674" i="6"/>
  <c r="Q674" i="6"/>
  <c r="R674" i="6"/>
  <c r="S674" i="6"/>
  <c r="T674" i="6"/>
  <c r="B675" i="6"/>
  <c r="C675" i="6"/>
  <c r="U675" i="6"/>
  <c r="D675" i="6"/>
  <c r="E675" i="6"/>
  <c r="F675" i="6"/>
  <c r="G675" i="6"/>
  <c r="H675" i="6"/>
  <c r="I675" i="6"/>
  <c r="J675" i="6"/>
  <c r="K675" i="6"/>
  <c r="L675" i="6"/>
  <c r="M675" i="6"/>
  <c r="N675" i="6"/>
  <c r="O675" i="6"/>
  <c r="P675" i="6"/>
  <c r="Q675" i="6"/>
  <c r="R675" i="6"/>
  <c r="S675" i="6"/>
  <c r="T675" i="6"/>
  <c r="B676" i="6"/>
  <c r="C676" i="6"/>
  <c r="U676" i="6"/>
  <c r="D676" i="6"/>
  <c r="E676" i="6"/>
  <c r="F676" i="6"/>
  <c r="G676" i="6"/>
  <c r="H676" i="6"/>
  <c r="I676" i="6"/>
  <c r="J676" i="6"/>
  <c r="K676" i="6"/>
  <c r="L676" i="6"/>
  <c r="M676" i="6"/>
  <c r="N676" i="6"/>
  <c r="O676" i="6"/>
  <c r="P676" i="6"/>
  <c r="Q676" i="6"/>
  <c r="R676" i="6"/>
  <c r="S676" i="6"/>
  <c r="T676" i="6"/>
  <c r="B677" i="6"/>
  <c r="C677" i="6"/>
  <c r="U677" i="6"/>
  <c r="D677" i="6"/>
  <c r="E677" i="6"/>
  <c r="F677" i="6"/>
  <c r="G677" i="6"/>
  <c r="H677" i="6"/>
  <c r="I677" i="6"/>
  <c r="J677" i="6"/>
  <c r="K677" i="6"/>
  <c r="L677" i="6"/>
  <c r="M677" i="6"/>
  <c r="N677" i="6"/>
  <c r="O677" i="6"/>
  <c r="P677" i="6"/>
  <c r="Q677" i="6"/>
  <c r="R677" i="6"/>
  <c r="S677" i="6"/>
  <c r="T677" i="6"/>
  <c r="B678" i="6"/>
  <c r="C678" i="6"/>
  <c r="U678" i="6"/>
  <c r="D678" i="6"/>
  <c r="E678" i="6"/>
  <c r="F678" i="6"/>
  <c r="G678" i="6"/>
  <c r="H678" i="6"/>
  <c r="I678" i="6"/>
  <c r="J678" i="6"/>
  <c r="K678" i="6"/>
  <c r="L678" i="6"/>
  <c r="M678" i="6"/>
  <c r="N678" i="6"/>
  <c r="O678" i="6"/>
  <c r="P678" i="6"/>
  <c r="Q678" i="6"/>
  <c r="R678" i="6"/>
  <c r="S678" i="6"/>
  <c r="T678" i="6"/>
  <c r="B679" i="6"/>
  <c r="C679" i="6"/>
  <c r="U679" i="6"/>
  <c r="D679" i="6"/>
  <c r="E679" i="6"/>
  <c r="F679" i="6"/>
  <c r="G679" i="6"/>
  <c r="H679" i="6"/>
  <c r="I679" i="6"/>
  <c r="J679" i="6"/>
  <c r="K679" i="6"/>
  <c r="L679" i="6"/>
  <c r="M679" i="6"/>
  <c r="N679" i="6"/>
  <c r="O679" i="6"/>
  <c r="P679" i="6"/>
  <c r="Q679" i="6"/>
  <c r="R679" i="6"/>
  <c r="S679" i="6"/>
  <c r="T679" i="6"/>
  <c r="B680" i="6"/>
  <c r="C680" i="6"/>
  <c r="U680" i="6"/>
  <c r="D680" i="6"/>
  <c r="E680" i="6"/>
  <c r="F680" i="6"/>
  <c r="G680" i="6"/>
  <c r="H680" i="6"/>
  <c r="I680" i="6"/>
  <c r="J680" i="6"/>
  <c r="K680" i="6"/>
  <c r="L680" i="6"/>
  <c r="M680" i="6"/>
  <c r="N680" i="6"/>
  <c r="O680" i="6"/>
  <c r="P680" i="6"/>
  <c r="Q680" i="6"/>
  <c r="R680" i="6"/>
  <c r="S680" i="6"/>
  <c r="T680" i="6"/>
  <c r="B681" i="6"/>
  <c r="C681" i="6"/>
  <c r="U681" i="6"/>
  <c r="D681" i="6"/>
  <c r="E681" i="6"/>
  <c r="F681" i="6"/>
  <c r="G681" i="6"/>
  <c r="H681" i="6"/>
  <c r="I681" i="6"/>
  <c r="J681" i="6"/>
  <c r="K681" i="6"/>
  <c r="L681" i="6"/>
  <c r="M681" i="6"/>
  <c r="N681" i="6"/>
  <c r="O681" i="6"/>
  <c r="P681" i="6"/>
  <c r="Q681" i="6"/>
  <c r="R681" i="6"/>
  <c r="S681" i="6"/>
  <c r="T681" i="6"/>
  <c r="B682" i="6"/>
  <c r="C682" i="6"/>
  <c r="U682" i="6"/>
  <c r="D682" i="6"/>
  <c r="E682" i="6"/>
  <c r="F682" i="6"/>
  <c r="G682" i="6"/>
  <c r="H682" i="6"/>
  <c r="I682" i="6"/>
  <c r="J682" i="6"/>
  <c r="K682" i="6"/>
  <c r="L682" i="6"/>
  <c r="M682" i="6"/>
  <c r="N682" i="6"/>
  <c r="O682" i="6"/>
  <c r="P682" i="6"/>
  <c r="Q682" i="6"/>
  <c r="R682" i="6"/>
  <c r="S682" i="6"/>
  <c r="T682" i="6"/>
  <c r="Q20" i="5"/>
  <c r="S49" i="5"/>
  <c r="S88" i="5"/>
  <c r="R126" i="5"/>
  <c r="S132" i="5"/>
  <c r="D166" i="5"/>
  <c r="AR4" i="7"/>
  <c r="AS4" i="7"/>
  <c r="K135" i="5"/>
  <c r="D123" i="5"/>
  <c r="P123" i="5"/>
  <c r="O112" i="5"/>
  <c r="M99" i="5"/>
  <c r="L81" i="5"/>
  <c r="F74" i="5"/>
  <c r="R74" i="5"/>
  <c r="B59" i="5"/>
  <c r="N59" i="5"/>
  <c r="C52" i="5"/>
  <c r="L48" i="5"/>
  <c r="E44" i="5"/>
  <c r="Q44" i="5"/>
  <c r="J27" i="5"/>
  <c r="M17" i="5"/>
  <c r="D8" i="5"/>
  <c r="P8" i="5"/>
  <c r="N94" i="5"/>
  <c r="M109" i="5"/>
  <c r="L141" i="5"/>
  <c r="P126" i="5"/>
  <c r="G48" i="5"/>
  <c r="F48" i="5"/>
  <c r="R112" i="5"/>
  <c r="C35" i="5"/>
  <c r="Q52" i="5"/>
  <c r="L35" i="5"/>
  <c r="H35" i="5"/>
  <c r="J170" i="5"/>
  <c r="G163" i="5"/>
  <c r="J159" i="5"/>
  <c r="D152" i="5"/>
  <c r="P152" i="5"/>
  <c r="D149" i="5"/>
  <c r="P149" i="5"/>
  <c r="N109" i="5"/>
  <c r="H109" i="5"/>
  <c r="G126" i="5"/>
  <c r="K112" i="5"/>
  <c r="D126" i="5"/>
  <c r="K30" i="5"/>
  <c r="F112" i="5"/>
  <c r="S52" i="5"/>
  <c r="E52" i="5"/>
  <c r="P52" i="5"/>
  <c r="S20" i="5"/>
  <c r="L52" i="5"/>
  <c r="K170" i="5"/>
  <c r="H163" i="5"/>
  <c r="K159" i="5"/>
  <c r="E152" i="5"/>
  <c r="Q152" i="5"/>
  <c r="E149" i="5"/>
  <c r="Q149" i="5"/>
  <c r="L135" i="5"/>
  <c r="J132" i="5"/>
  <c r="H126" i="5"/>
  <c r="E123" i="5"/>
  <c r="Q123" i="5"/>
  <c r="D119" i="5"/>
  <c r="P119" i="5"/>
  <c r="Q112" i="5"/>
  <c r="K106" i="5"/>
  <c r="B99" i="5"/>
  <c r="N99" i="5"/>
  <c r="J88" i="5"/>
  <c r="M81" i="5"/>
  <c r="H79" i="5"/>
  <c r="G74" i="5"/>
  <c r="S74" i="5"/>
  <c r="C59" i="5"/>
  <c r="O59" i="5"/>
  <c r="J52" i="5"/>
  <c r="M48" i="5"/>
  <c r="F44" i="5"/>
  <c r="R44" i="5"/>
  <c r="L39" i="5"/>
  <c r="K27" i="5"/>
  <c r="E24" i="5"/>
  <c r="Q24" i="5"/>
  <c r="B17" i="5"/>
  <c r="N17" i="5"/>
  <c r="E8" i="5"/>
  <c r="Q8" i="5"/>
  <c r="E5" i="5"/>
  <c r="Q5" i="5"/>
  <c r="N20" i="5"/>
  <c r="M112" i="5"/>
  <c r="M135" i="5"/>
  <c r="E109" i="5"/>
  <c r="P30" i="5"/>
  <c r="K141" i="5"/>
  <c r="E126" i="5"/>
  <c r="E48" i="5"/>
  <c r="R141" i="5"/>
  <c r="P112" i="5"/>
  <c r="J35" i="5"/>
  <c r="P20" i="5"/>
  <c r="Q35" i="5"/>
  <c r="M170" i="5"/>
  <c r="J163" i="5"/>
  <c r="M159" i="5"/>
  <c r="G152" i="5"/>
  <c r="S152" i="5"/>
  <c r="G149" i="5"/>
  <c r="S149" i="5"/>
  <c r="B141" i="5"/>
  <c r="B135" i="5"/>
  <c r="N135" i="5"/>
  <c r="K126" i="5"/>
  <c r="G123" i="5"/>
  <c r="S123" i="5"/>
  <c r="D99" i="5"/>
  <c r="P99" i="5"/>
  <c r="C81" i="5"/>
  <c r="O81" i="5"/>
  <c r="M27" i="5"/>
  <c r="G24" i="5"/>
  <c r="S24" i="5"/>
  <c r="D17" i="5"/>
  <c r="P17" i="5"/>
  <c r="G8" i="5"/>
  <c r="S8" i="5"/>
  <c r="G5" i="5"/>
  <c r="S5" i="5"/>
  <c r="R123" i="5"/>
  <c r="O109" i="5"/>
  <c r="R94" i="5"/>
  <c r="D30" i="5"/>
  <c r="H112" i="5"/>
  <c r="F141" i="5"/>
  <c r="D112" i="5"/>
  <c r="N52" i="5"/>
  <c r="D20" i="5"/>
  <c r="R30" i="5"/>
  <c r="B170" i="5"/>
  <c r="N170" i="5"/>
  <c r="K163" i="5"/>
  <c r="B159" i="5"/>
  <c r="N159" i="5"/>
  <c r="H152" i="5"/>
  <c r="H149" i="5"/>
  <c r="C141" i="5"/>
  <c r="C135" i="5"/>
  <c r="O135" i="5"/>
  <c r="H123" i="5"/>
  <c r="B106" i="5"/>
  <c r="N106" i="5"/>
  <c r="E99" i="5"/>
  <c r="Q99" i="5"/>
  <c r="M88" i="5"/>
  <c r="D81" i="5"/>
  <c r="P81" i="5"/>
  <c r="J74" i="5"/>
  <c r="F59" i="5"/>
  <c r="R59" i="5"/>
  <c r="I44" i="5"/>
  <c r="B27" i="5"/>
  <c r="N27" i="5"/>
  <c r="C20" i="5"/>
  <c r="E17" i="5"/>
  <c r="Q17" i="5"/>
  <c r="H8" i="5"/>
  <c r="AR2" i="7"/>
  <c r="AS2" i="7"/>
  <c r="C17" i="5"/>
  <c r="J109" i="5"/>
  <c r="S94" i="5"/>
  <c r="K20" i="5"/>
  <c r="C170" i="5"/>
  <c r="O170" i="5"/>
  <c r="L163" i="5"/>
  <c r="C159" i="5"/>
  <c r="O159" i="5"/>
  <c r="I149" i="5"/>
  <c r="E141" i="5"/>
  <c r="D135" i="5"/>
  <c r="P135" i="5"/>
  <c r="I123" i="5"/>
  <c r="F99" i="5"/>
  <c r="R99" i="5"/>
  <c r="E81" i="5"/>
  <c r="Q81" i="5"/>
  <c r="G59" i="5"/>
  <c r="S59" i="5"/>
  <c r="J44" i="5"/>
  <c r="C27" i="5"/>
  <c r="O27" i="5"/>
  <c r="H20" i="5"/>
  <c r="F17" i="5"/>
  <c r="R17" i="5"/>
  <c r="I8" i="5"/>
  <c r="E135" i="5"/>
  <c r="Q135" i="5"/>
  <c r="J123" i="5"/>
  <c r="G99" i="5"/>
  <c r="S99" i="5"/>
  <c r="F81" i="5"/>
  <c r="R81" i="5"/>
  <c r="O20" i="5"/>
  <c r="G17" i="5"/>
  <c r="S17" i="5"/>
  <c r="R149" i="5"/>
  <c r="O48" i="5"/>
  <c r="O17" i="5"/>
  <c r="C109" i="5"/>
  <c r="I141" i="5"/>
  <c r="J30" i="5"/>
  <c r="S35" i="5"/>
  <c r="K109" i="5"/>
  <c r="B30" i="5"/>
  <c r="O126" i="5"/>
  <c r="B126" i="5"/>
  <c r="P141" i="5"/>
  <c r="N35" i="5"/>
  <c r="F20" i="5"/>
  <c r="G35" i="5"/>
  <c r="D170" i="5"/>
  <c r="P170" i="5"/>
  <c r="M163" i="5"/>
  <c r="D159" i="5"/>
  <c r="P159" i="5"/>
  <c r="J152" i="5"/>
  <c r="J149" i="5"/>
  <c r="N141" i="5"/>
  <c r="G109" i="5"/>
  <c r="O30" i="5"/>
  <c r="H48" i="5"/>
  <c r="C126" i="5"/>
  <c r="H141" i="5"/>
  <c r="S112" i="5"/>
  <c r="D48" i="5"/>
  <c r="D141" i="5"/>
  <c r="M20" i="5"/>
  <c r="B35" i="5"/>
  <c r="I35" i="5"/>
  <c r="K52" i="5"/>
  <c r="S126" i="5"/>
  <c r="E170" i="5"/>
  <c r="B163" i="5"/>
  <c r="N163" i="5"/>
  <c r="E159" i="5"/>
  <c r="K152" i="5"/>
  <c r="K149" i="5"/>
  <c r="O141" i="5"/>
  <c r="F135" i="5"/>
  <c r="R135" i="5"/>
  <c r="D132" i="5"/>
  <c r="P132" i="5"/>
  <c r="K123" i="5"/>
  <c r="J119" i="5"/>
  <c r="E106" i="5"/>
  <c r="Q106" i="5"/>
  <c r="H99" i="5"/>
  <c r="D88" i="5"/>
  <c r="P88" i="5"/>
  <c r="G81" i="5"/>
  <c r="S81" i="5"/>
  <c r="M74" i="5"/>
  <c r="I59" i="5"/>
  <c r="L44" i="5"/>
  <c r="F39" i="5"/>
  <c r="R39" i="5"/>
  <c r="G30" i="5"/>
  <c r="E27" i="5"/>
  <c r="Q27" i="5"/>
  <c r="K24" i="5"/>
  <c r="H17" i="5"/>
  <c r="K8" i="5"/>
  <c r="K5" i="5"/>
  <c r="G135" i="5"/>
  <c r="S135" i="5"/>
  <c r="L123" i="5"/>
  <c r="B112" i="5"/>
  <c r="I99" i="5"/>
  <c r="H81" i="5"/>
  <c r="I30" i="5"/>
  <c r="I17" i="5"/>
  <c r="L159" i="5"/>
  <c r="I109" i="5"/>
  <c r="J48" i="5"/>
  <c r="N30" i="5"/>
  <c r="N126" i="5"/>
  <c r="J126" i="5"/>
  <c r="B52" i="5"/>
  <c r="R20" i="5"/>
  <c r="I152" i="5"/>
  <c r="S109" i="5"/>
  <c r="R109" i="5"/>
  <c r="P48" i="5"/>
  <c r="C30" i="5"/>
  <c r="G112" i="5"/>
  <c r="K62" i="5"/>
  <c r="R52" i="5"/>
  <c r="M52" i="5"/>
  <c r="F170" i="5"/>
  <c r="C163" i="5"/>
  <c r="O163" i="5"/>
  <c r="F159" i="5"/>
  <c r="L152" i="5"/>
  <c r="L149" i="5"/>
  <c r="Q141" i="5"/>
  <c r="L112" i="5"/>
  <c r="I48" i="5"/>
  <c r="M126" i="5"/>
  <c r="H30" i="5"/>
  <c r="F109" i="5"/>
  <c r="D35" i="5"/>
  <c r="F52" i="5"/>
  <c r="Q109" i="5"/>
  <c r="G170" i="5"/>
  <c r="D163" i="5"/>
  <c r="P163" i="5"/>
  <c r="G159" i="5"/>
  <c r="M152" i="5"/>
  <c r="M149" i="5"/>
  <c r="H135" i="5"/>
  <c r="F132" i="5"/>
  <c r="R132" i="5"/>
  <c r="M123" i="5"/>
  <c r="L119" i="5"/>
  <c r="C112" i="5"/>
  <c r="G106" i="5"/>
  <c r="S106" i="5"/>
  <c r="J99" i="5"/>
  <c r="F88" i="5"/>
  <c r="R88" i="5"/>
  <c r="I81" i="5"/>
  <c r="C74" i="5"/>
  <c r="O74" i="5"/>
  <c r="K59" i="5"/>
  <c r="B44" i="5"/>
  <c r="N44" i="5"/>
  <c r="H39" i="5"/>
  <c r="F35" i="5"/>
  <c r="S30" i="5"/>
  <c r="G27" i="5"/>
  <c r="S27" i="5"/>
  <c r="M24" i="5"/>
  <c r="J17" i="5"/>
  <c r="M8" i="5"/>
  <c r="M5" i="5"/>
  <c r="F149" i="5"/>
  <c r="F123" i="5"/>
  <c r="P109" i="5"/>
  <c r="I112" i="5"/>
  <c r="D109" i="5"/>
  <c r="F30" i="5"/>
  <c r="P35" i="5"/>
  <c r="Q30" i="5"/>
  <c r="M30" i="5"/>
  <c r="S141" i="5"/>
  <c r="N48" i="5"/>
  <c r="B20" i="5"/>
  <c r="H52" i="5"/>
  <c r="L20" i="5"/>
  <c r="J20" i="5"/>
  <c r="B152" i="5"/>
  <c r="B149" i="5"/>
  <c r="G132" i="5"/>
  <c r="B123" i="5"/>
  <c r="G88" i="5"/>
  <c r="D74" i="5"/>
  <c r="C44" i="5"/>
  <c r="B24" i="5"/>
  <c r="B8" i="5"/>
  <c r="B5" i="5"/>
  <c r="C94" i="5"/>
  <c r="F94" i="5"/>
  <c r="E62" i="5"/>
  <c r="I62" i="5"/>
  <c r="D146" i="5"/>
  <c r="P146" i="5"/>
  <c r="L133" i="5"/>
  <c r="M121" i="5"/>
  <c r="J108" i="5"/>
  <c r="M79" i="5"/>
  <c r="H62" i="5"/>
  <c r="H49" i="5"/>
  <c r="M34" i="5"/>
  <c r="M166" i="5"/>
  <c r="L62" i="5"/>
  <c r="K166" i="5"/>
  <c r="Q94" i="5"/>
  <c r="E146" i="5"/>
  <c r="Q146" i="5"/>
  <c r="M133" i="5"/>
  <c r="B121" i="5"/>
  <c r="N121" i="5"/>
  <c r="K108" i="5"/>
  <c r="B79" i="5"/>
  <c r="N79" i="5"/>
  <c r="J62" i="5"/>
  <c r="I49" i="5"/>
  <c r="B34" i="5"/>
  <c r="N34" i="5"/>
  <c r="H94" i="5"/>
  <c r="F146" i="5"/>
  <c r="R146" i="5"/>
  <c r="B133" i="5"/>
  <c r="N133" i="5"/>
  <c r="C121" i="5"/>
  <c r="O121" i="5"/>
  <c r="L108" i="5"/>
  <c r="C79" i="5"/>
  <c r="O79" i="5"/>
  <c r="S62" i="5"/>
  <c r="J49" i="5"/>
  <c r="C34" i="5"/>
  <c r="O34" i="5"/>
  <c r="D62" i="5"/>
  <c r="O166" i="5"/>
  <c r="G146" i="5"/>
  <c r="S146" i="5"/>
  <c r="C133" i="5"/>
  <c r="O133" i="5"/>
  <c r="D121" i="5"/>
  <c r="P121" i="5"/>
  <c r="M108" i="5"/>
  <c r="D79" i="5"/>
  <c r="P79" i="5"/>
  <c r="K49" i="5"/>
  <c r="D34" i="5"/>
  <c r="P34" i="5"/>
  <c r="K94" i="5"/>
  <c r="J94" i="5"/>
  <c r="F62" i="5"/>
  <c r="C166" i="5"/>
  <c r="R62" i="5"/>
  <c r="H146" i="5"/>
  <c r="D133" i="5"/>
  <c r="P133" i="5"/>
  <c r="E121" i="5"/>
  <c r="Q121" i="5"/>
  <c r="B108" i="5"/>
  <c r="N108" i="5"/>
  <c r="E79" i="5"/>
  <c r="Q79" i="5"/>
  <c r="L49" i="5"/>
  <c r="E34" i="5"/>
  <c r="Q34" i="5"/>
  <c r="E94" i="5"/>
  <c r="L94" i="5"/>
  <c r="I94" i="5"/>
  <c r="J166" i="5"/>
  <c r="I146" i="5"/>
  <c r="E133" i="5"/>
  <c r="Q133" i="5"/>
  <c r="F121" i="5"/>
  <c r="R121" i="5"/>
  <c r="C108" i="5"/>
  <c r="O108" i="5"/>
  <c r="F79" i="5"/>
  <c r="R79" i="5"/>
  <c r="M49" i="5"/>
  <c r="F34" i="5"/>
  <c r="R34" i="5"/>
  <c r="J146" i="5"/>
  <c r="F133" i="5"/>
  <c r="R133" i="5"/>
  <c r="G121" i="5"/>
  <c r="S121" i="5"/>
  <c r="D108" i="5"/>
  <c r="P108" i="5"/>
  <c r="G79" i="5"/>
  <c r="S79" i="5"/>
  <c r="B49" i="5"/>
  <c r="N49" i="5"/>
  <c r="G34" i="5"/>
  <c r="S34" i="5"/>
  <c r="E166" i="5"/>
  <c r="P94" i="5"/>
  <c r="B94" i="5"/>
  <c r="M94" i="5"/>
  <c r="G94" i="5"/>
  <c r="N166" i="5"/>
  <c r="N62" i="5"/>
  <c r="G166" i="5"/>
  <c r="L146" i="5"/>
  <c r="H133" i="5"/>
  <c r="I121" i="5"/>
  <c r="F108" i="5"/>
  <c r="R108" i="5"/>
  <c r="I79" i="5"/>
  <c r="D49" i="5"/>
  <c r="P49" i="5"/>
  <c r="I34" i="5"/>
  <c r="D94" i="5"/>
  <c r="P62" i="5"/>
  <c r="O62" i="5"/>
  <c r="B166" i="5"/>
  <c r="B62" i="5"/>
  <c r="M62" i="5"/>
  <c r="I166" i="5"/>
  <c r="M146" i="5"/>
  <c r="I133" i="5"/>
  <c r="J121" i="5"/>
  <c r="G108" i="5"/>
  <c r="S108" i="5"/>
  <c r="J79" i="5"/>
  <c r="E49" i="5"/>
  <c r="Q49" i="5"/>
  <c r="J34" i="5"/>
  <c r="H166" i="5"/>
  <c r="B146" i="5"/>
  <c r="N146" i="5"/>
  <c r="J133" i="5"/>
  <c r="K121" i="5"/>
  <c r="H108" i="5"/>
  <c r="K79" i="5"/>
  <c r="F49" i="5"/>
  <c r="R49" i="5"/>
  <c r="K34" i="5"/>
  <c r="P166" i="5"/>
  <c r="C62" i="5"/>
  <c r="Q62" i="5"/>
  <c r="C146" i="5"/>
  <c r="G49" i="5"/>
  <c r="DB797" i="1"/>
  <c r="DB796" i="1"/>
  <c r="DB786" i="1"/>
  <c r="DB788" i="1"/>
  <c r="DB791" i="1"/>
  <c r="DB787" i="1"/>
  <c r="DB904" i="1"/>
  <c r="DB907" i="1"/>
  <c r="DB893" i="1"/>
  <c r="DB892" i="1"/>
  <c r="DB926" i="1"/>
  <c r="DB911" i="1"/>
  <c r="DB918" i="1"/>
  <c r="DB899" i="1"/>
  <c r="DB891" i="1"/>
  <c r="DB889" i="1"/>
  <c r="Y5" i="3"/>
  <c r="U4" i="3"/>
  <c r="J8" i="3"/>
  <c r="K8" i="3"/>
  <c r="Y10" i="3"/>
  <c r="U10" i="3"/>
  <c r="Y13" i="3"/>
  <c r="U5" i="3"/>
  <c r="DB882" i="1"/>
  <c r="DB878"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<sst xmlns="http://schemas.openxmlformats.org/spreadsheetml/2006/main" count="43543" uniqueCount="6479">
  <si>
    <t>MATRIZ AGENDA PLAN INSTITUCIONAL DE PARTICIPACIÓN</t>
  </si>
  <si>
    <r>
      <t xml:space="preserve">REGISTRO DE REPORTE DIARIO  
</t>
    </r>
    <r>
      <rPr>
        <sz val="8"/>
        <color rgb="FF000000"/>
        <rFont val="Pantalla aptos"/>
      </rPr>
      <t>ESPACIOS YA EJECUTADOS</t>
    </r>
  </si>
  <si>
    <t>SEGUIMIENTO DE COMPROMISOS</t>
  </si>
  <si>
    <t>SEGUIMIENTO Y CUSTODIA DE EVIDENCIAS</t>
  </si>
  <si>
    <t>SEGUIMIENTO A INDICADORES</t>
  </si>
  <si>
    <t>EP-1</t>
  </si>
  <si>
    <t>EP-2</t>
  </si>
  <si>
    <t>EP-3</t>
  </si>
  <si>
    <t>EP-4</t>
  </si>
  <si>
    <t>ED-1</t>
  </si>
  <si>
    <t>ED-2</t>
  </si>
  <si>
    <t>ES-1</t>
  </si>
  <si>
    <t>ES-2</t>
  </si>
  <si>
    <t>ES-3</t>
  </si>
  <si>
    <t>ES-4</t>
  </si>
  <si>
    <t>ES-6</t>
  </si>
  <si>
    <t>N°</t>
  </si>
  <si>
    <t>Nombre</t>
  </si>
  <si>
    <t>Fecha</t>
  </si>
  <si>
    <t>Hora</t>
  </si>
  <si>
    <t>Tipo de Agenda</t>
  </si>
  <si>
    <t>¿Se muestra en el Visor 2024?</t>
  </si>
  <si>
    <t>¿Es una reunión liderada por la OPDC?</t>
  </si>
  <si>
    <t>¿Requiere captura de información E-FO 055 y E-FO 058?</t>
  </si>
  <si>
    <r>
      <t xml:space="preserve">¿Es una reunión referente a POT?
</t>
    </r>
    <r>
      <rPr>
        <i/>
        <sz val="9"/>
        <color rgb="FF000000"/>
        <rFont val="Calibri"/>
      </rPr>
      <t>Sistema de Participación Territorial</t>
    </r>
  </si>
  <si>
    <t>Proceso</t>
  </si>
  <si>
    <t>Modalidad</t>
  </si>
  <si>
    <t>Objetivo</t>
  </si>
  <si>
    <t>Mecanismo de Participación</t>
  </si>
  <si>
    <t>Líder OPDC</t>
  </si>
  <si>
    <r>
      <t xml:space="preserve">Acompañamiento OPDC 
</t>
    </r>
    <r>
      <rPr>
        <sz val="9"/>
        <color rgb="FFFFFFFF"/>
        <rFont val="Calibri"/>
      </rPr>
      <t>(Desplegable)</t>
    </r>
  </si>
  <si>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</si>
  <si>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</si>
  <si>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</si>
  <si>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</si>
  <si>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</si>
  <si>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</si>
  <si>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</si>
  <si>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</si>
  <si>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</si>
  <si>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</si>
  <si>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</si>
  <si>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</si>
  <si>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</si>
  <si>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</si>
  <si>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</si>
  <si>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</si>
  <si>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</si>
  <si>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</si>
  <si>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</si>
  <si>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</si>
  <si>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</si>
  <si>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</si>
  <si>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</si>
  <si>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</si>
  <si>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</si>
  <si>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Tipo de actor</t>
  </si>
  <si>
    <r>
      <t>Clasificación del actor</t>
    </r>
    <r>
      <rPr>
        <sz val="9"/>
        <color rgb="FF000000"/>
        <rFont val="Calibri"/>
      </rPr>
      <t xml:space="preserve"> 
(vinculado al tipo de actor)</t>
    </r>
  </si>
  <si>
    <t>Nombre actor  que lidera</t>
  </si>
  <si>
    <t>Teléfono de actor  que lidera</t>
  </si>
  <si>
    <t>Correo electrónico  de actor que lidera</t>
  </si>
  <si>
    <r>
      <t xml:space="preserve">Localidad 
</t>
    </r>
    <r>
      <rPr>
        <sz val="9"/>
        <color rgb="FF000000"/>
        <rFont val="Calibri"/>
      </rPr>
      <t>(Desplegable)</t>
    </r>
  </si>
  <si>
    <t>L1</t>
  </si>
  <si>
    <t>L2</t>
  </si>
  <si>
    <t>L3</t>
  </si>
  <si>
    <t>L4</t>
  </si>
  <si>
    <t>L5</t>
  </si>
  <si>
    <t>L6</t>
  </si>
  <si>
    <t>Sectores Territoriales</t>
  </si>
  <si>
    <t>S1</t>
  </si>
  <si>
    <t>S2</t>
  </si>
  <si>
    <t>S3</t>
  </si>
  <si>
    <t>S4</t>
  </si>
  <si>
    <t>S5</t>
  </si>
  <si>
    <t>S6</t>
  </si>
  <si>
    <r>
      <t xml:space="preserve">UPL
</t>
    </r>
    <r>
      <rPr>
        <sz val="9"/>
        <color rgb="FF000000"/>
        <rFont val="Calibri"/>
      </rPr>
      <t>(Unidad de Planeamiento Local - Desplegable)</t>
    </r>
  </si>
  <si>
    <t>UPL 1</t>
  </si>
  <si>
    <t>UPL 2</t>
  </si>
  <si>
    <t>UPL 3</t>
  </si>
  <si>
    <t>UPL 4</t>
  </si>
  <si>
    <t>UPL 5</t>
  </si>
  <si>
    <t>UPL 6</t>
  </si>
  <si>
    <t>UPL 7</t>
  </si>
  <si>
    <t>UPL 8</t>
  </si>
  <si>
    <t>UPL 9</t>
  </si>
  <si>
    <t>UPL 10</t>
  </si>
  <si>
    <t>Barrio</t>
  </si>
  <si>
    <t xml:space="preserve">Equipo técnico </t>
  </si>
  <si>
    <t xml:space="preserve">Dirección </t>
  </si>
  <si>
    <t>¿Hace parte de la Formulación PDD?</t>
  </si>
  <si>
    <t>¿A qué categoría pertenece?</t>
  </si>
  <si>
    <t>Número de Asistentes</t>
  </si>
  <si>
    <t>Número de Funcionarios SDP</t>
  </si>
  <si>
    <t>Cantidad total de Participantes</t>
  </si>
  <si>
    <t>Estrategias de Adaptación incluidas</t>
  </si>
  <si>
    <t>E1</t>
  </si>
  <si>
    <t>E2</t>
  </si>
  <si>
    <t>E3</t>
  </si>
  <si>
    <t>Temas relevantes</t>
  </si>
  <si>
    <t>Aval Daniela</t>
  </si>
  <si>
    <t>Número de Compromisos Adquiridos</t>
  </si>
  <si>
    <t>Compromiso 1</t>
  </si>
  <si>
    <t>Compromiso 2</t>
  </si>
  <si>
    <t>Compromiso 3</t>
  </si>
  <si>
    <t>Compromiso 4</t>
  </si>
  <si>
    <t>Compromiso 5</t>
  </si>
  <si>
    <t>Compromiso 6</t>
  </si>
  <si>
    <t>¿Compromisos verificados?</t>
  </si>
  <si>
    <t>Compromisos cumplidos</t>
  </si>
  <si>
    <t>Totalidad Compromisos a devolver a la Ciudadanía</t>
  </si>
  <si>
    <t>Compromisos devuletos a la Ciudadanía</t>
  </si>
  <si>
    <t>Status</t>
  </si>
  <si>
    <t>Aval Claudia</t>
  </si>
  <si>
    <t>Link de Custodia</t>
  </si>
  <si>
    <t>ID de Backup</t>
  </si>
  <si>
    <t>Fecha de Vencimiento</t>
  </si>
  <si>
    <t>Status Cualitativo</t>
  </si>
  <si>
    <r>
      <t xml:space="preserve">E-FO 093 - A-FO 184
</t>
    </r>
    <r>
      <rPr>
        <sz val="9"/>
        <color rgb="FF000000"/>
        <rFont val="Calibri"/>
      </rPr>
      <t>(Acta)</t>
    </r>
  </si>
  <si>
    <r>
      <t xml:space="preserve">Objetivo claro y coherente
</t>
    </r>
    <r>
      <rPr>
        <sz val="9"/>
        <color rgb="FF000000"/>
        <rFont val="Calibri"/>
      </rPr>
      <t>(Desde E-FO 093)</t>
    </r>
  </si>
  <si>
    <t>Intervenciones / Preguntas Ciudadanas</t>
  </si>
  <si>
    <t>Respuestas dadas in Situ</t>
  </si>
  <si>
    <r>
      <t xml:space="preserve">Listado de Asistencia
</t>
    </r>
    <r>
      <rPr>
        <sz val="9"/>
        <color rgb="FF000000"/>
        <rFont val="Calibri"/>
      </rPr>
      <t>(E-FO 093 o enlace)</t>
    </r>
  </si>
  <si>
    <r>
      <t xml:space="preserve">Cantidad de actores convocados según Mapa de Actores
</t>
    </r>
    <r>
      <rPr>
        <sz val="9"/>
        <color rgb="FF000000"/>
        <rFont val="Calibri"/>
      </rPr>
      <t>Database Previa</t>
    </r>
  </si>
  <si>
    <r>
      <t xml:space="preserve">E-FO 058
</t>
    </r>
    <r>
      <rPr>
        <sz val="9"/>
        <color rgb="FF000000"/>
        <rFont val="Calibri"/>
      </rPr>
      <t>(Ficha de Evaluación de los espacios)</t>
    </r>
  </si>
  <si>
    <t>Cantidad de Registros</t>
  </si>
  <si>
    <r>
      <t xml:space="preserve">Cumplimiento
</t>
    </r>
    <r>
      <rPr>
        <sz val="9"/>
        <color rgb="FF000000"/>
        <rFont val="Calibri"/>
      </rPr>
      <t>(Sobre el 30%)</t>
    </r>
  </si>
  <si>
    <r>
      <t xml:space="preserve">E-FO 055
</t>
    </r>
    <r>
      <rPr>
        <sz val="9"/>
        <color rgb="FF000000"/>
        <rFont val="Calibri"/>
      </rPr>
      <t>(Caracterización de actores)</t>
    </r>
  </si>
  <si>
    <r>
      <t xml:space="preserve">Cumplimiento
</t>
    </r>
    <r>
      <rPr>
        <sz val="9"/>
        <color rgb="FF000000"/>
        <rFont val="Calibri"/>
      </rPr>
      <t>(Sobre el 35%)</t>
    </r>
  </si>
  <si>
    <r>
      <t xml:space="preserve">Registro Fotográfico
</t>
    </r>
    <r>
      <rPr>
        <sz val="9"/>
        <color rgb="FF000000"/>
        <rFont val="Calibri"/>
      </rPr>
      <t>(PDF)</t>
    </r>
  </si>
  <si>
    <r>
      <t xml:space="preserve">Convocatoria
</t>
    </r>
    <r>
      <rPr>
        <sz val="9"/>
        <color rgb="FF000000"/>
        <rFont val="Calibri"/>
      </rPr>
      <t>(PDF)</t>
    </r>
  </si>
  <si>
    <t>Cantidad de canales de Convocatoria efectivos</t>
  </si>
  <si>
    <t>Cantidad de contenidos técnicos previos entregados</t>
  </si>
  <si>
    <t>Contenidos Previos entregados</t>
  </si>
  <si>
    <r>
      <t xml:space="preserve">Cantidad de actores a convocar
</t>
    </r>
    <r>
      <rPr>
        <sz val="9"/>
        <color rgb="FF000000"/>
        <rFont val="Calibri"/>
      </rPr>
      <t>Mapa de Actores</t>
    </r>
  </si>
  <si>
    <t>Documentos Adicionales</t>
  </si>
  <si>
    <t>Documentos Adicionales en custodia</t>
  </si>
  <si>
    <t>Observaciones</t>
  </si>
  <si>
    <t>Aval</t>
  </si>
  <si>
    <t>Link de Devolución / Publicación de memorias</t>
  </si>
  <si>
    <t>El objetivo es claro y coherente a la necesidad</t>
  </si>
  <si>
    <t>Convocatoria ligada a dos o más tipos de medios
(Cualitativo)</t>
  </si>
  <si>
    <t>Contenidos entregados previamente
(Cualitativo)</t>
  </si>
  <si>
    <t>Estrategias de Adaptación incluídas
(Cuantitativo)</t>
  </si>
  <si>
    <t>Respuestas dadas sobre el total de inquietudes realizadas
(%)</t>
  </si>
  <si>
    <t xml:space="preserve">Caracterización de actores asistentes
(% sobre el 35% requerido) </t>
  </si>
  <si>
    <t>Escala de respuestas a la metodología acorde con el desarrollo del tema
(Escala)</t>
  </si>
  <si>
    <t>Evidencias completadas en Drive
(%)</t>
  </si>
  <si>
    <t>Compromisos cumplidos
(%)</t>
  </si>
  <si>
    <t>Compromisos devueltos a la ciudadanía
(%)</t>
  </si>
  <si>
    <t>Convocados al proceso a partir del Mapeo de Actores
(%)</t>
  </si>
  <si>
    <t>Gestión: Presentación de la metodología intersectorial de participación para la formulación del PDD</t>
  </si>
  <si>
    <t>OPDC</t>
  </si>
  <si>
    <t>NO</t>
  </si>
  <si>
    <t>SÍ</t>
  </si>
  <si>
    <t>Plan Distrital de Desarrollo</t>
  </si>
  <si>
    <t>Presencial</t>
  </si>
  <si>
    <t xml:space="preserve">Socializar la metodología intersectorial de participación para la formulación del Plan Distrital de Desarrollo. </t>
  </si>
  <si>
    <t>Gestión Institucional</t>
  </si>
  <si>
    <t>Paula Andrea González</t>
  </si>
  <si>
    <t>Valentina González</t>
  </si>
  <si>
    <t>José Francisco Quiroz</t>
  </si>
  <si>
    <t>Norberto Muñoz Morera</t>
  </si>
  <si>
    <t>Rosemberg Prisco Vasquez</t>
  </si>
  <si>
    <t>Yeiker Guerra Sarmiento</t>
  </si>
  <si>
    <t>Yohan David Díaz</t>
  </si>
  <si>
    <t>Diana Carolina Aristizábal</t>
  </si>
  <si>
    <t>Nathalia Guzmán Martínez</t>
  </si>
  <si>
    <t>Luz Maritza Acero</t>
  </si>
  <si>
    <t>Melina Julieta Solano</t>
  </si>
  <si>
    <t>Público</t>
  </si>
  <si>
    <t>Servidores públicos (Distrital)</t>
  </si>
  <si>
    <t>Sin información</t>
  </si>
  <si>
    <t>Distrital</t>
  </si>
  <si>
    <t>No Especifíca</t>
  </si>
  <si>
    <t>Ninguna</t>
  </si>
  <si>
    <t>Auditorio Jardín Botánico</t>
  </si>
  <si>
    <t>Gestión interinstitucional</t>
  </si>
  <si>
    <t>No Aplica</t>
  </si>
  <si>
    <t>Metodología de participación para la formulación del Plan Distrital de Desarrollo, responsabilidades de las partes, proceso de socialización de las herramientas, dinámicas territoriales.</t>
  </si>
  <si>
    <t>No aplica</t>
  </si>
  <si>
    <t>2024-01-17_PRESENTACION METODOLOGIA FORMULACION PDD</t>
  </si>
  <si>
    <t>Subsanado</t>
  </si>
  <si>
    <t>Completo</t>
  </si>
  <si>
    <t xml:space="preserve">Presentación </t>
  </si>
  <si>
    <t>OK</t>
  </si>
  <si>
    <t>Gestión: Reunión Intersectorial - Secretaría de Gobierno - Asuntos Étnicos</t>
  </si>
  <si>
    <t>Realizar gestión interinstitucional para la formulación del PDD.</t>
  </si>
  <si>
    <t>Yeiker José Guerra</t>
  </si>
  <si>
    <t>Gabriel Angarita</t>
  </si>
  <si>
    <t>Gestión interinstitucional PDD.</t>
  </si>
  <si>
    <t>2024-01-23_REUNION INTERSECTORIAL CON GOBIERNO</t>
  </si>
  <si>
    <t>No existente</t>
  </si>
  <si>
    <t xml:space="preserve">OK es reunión de gestión solo tiene acta y listado </t>
  </si>
  <si>
    <t>Gestión: II Presentación de la metodología intersectorial de participación para la formulación del PDD</t>
  </si>
  <si>
    <t>Presentar la estrategia de participación del Plan de Desarrollo</t>
  </si>
  <si>
    <t>María del Pilar Barreto</t>
  </si>
  <si>
    <t>PENDIENTE</t>
  </si>
  <si>
    <t>SuperCADE CAD</t>
  </si>
  <si>
    <t>2024-01-24_PRESENTACION METODOLOGIA FORMULACION PDD</t>
  </si>
  <si>
    <t>Red institucional de Apoyo a las Veedurías Ciudadanas: Presentación planeación participativa del PDD</t>
  </si>
  <si>
    <t>INSTANCIAS</t>
  </si>
  <si>
    <t>Red institucional de veedurías ciudadanas</t>
  </si>
  <si>
    <t>Virtual</t>
  </si>
  <si>
    <t>Sostener sesión mensual de la Red y en el marco de la agenda hacer la presentación de la planeación participativa del PDD.</t>
  </si>
  <si>
    <t>Órganos de control</t>
  </si>
  <si>
    <t>Gloria Osorio</t>
  </si>
  <si>
    <t>gosorio@veeduriadistrital.gov.co</t>
  </si>
  <si>
    <t>Revisión plan de acción, exposición estrategia metodología participativa PDD</t>
  </si>
  <si>
    <t>2024-01-25_SESION ENERO - PRESENTACION ESTRATEGIA PDD</t>
  </si>
  <si>
    <t xml:space="preserve">Ok solo tiene acta </t>
  </si>
  <si>
    <t>Citación sesión JAL Ciudad Bolivar - Conformación CTPD 2024</t>
  </si>
  <si>
    <t>CTPD (Consejo Territorial de Planeación Distrital)</t>
  </si>
  <si>
    <t>Apoyar y orientar la conformación del CTPD 2024.</t>
  </si>
  <si>
    <t>Johanna Catherine Gamez</t>
  </si>
  <si>
    <t>JAL</t>
  </si>
  <si>
    <t>Nancy Viviana Roa Gomez</t>
  </si>
  <si>
    <t>jal.cbolivar@gobiernobogota.gov.co</t>
  </si>
  <si>
    <t>Ciudad Bolívar</t>
  </si>
  <si>
    <t>Suroriente</t>
  </si>
  <si>
    <t>Ruralidad</t>
  </si>
  <si>
    <t>Arborizadora</t>
  </si>
  <si>
    <t>Lucero</t>
  </si>
  <si>
    <t>Cuenca del Tunjuelo</t>
  </si>
  <si>
    <t xml:space="preserve">Diagonal 62 sur # 20F - 20 </t>
  </si>
  <si>
    <t>Informe CTPD proceso de conformación 2024.</t>
  </si>
  <si>
    <t>2024-01-26_CITACION JAL CIUDAD BOLIVAR</t>
  </si>
  <si>
    <t>Taller Actuación Estratégica AEDA - Líderes de JAC Engativá</t>
  </si>
  <si>
    <t>Formulación de Actuaciones Estratégicas</t>
  </si>
  <si>
    <t>Socializar el balance de la Actuación Estratégica Distrito Aeroportuario (AEDA) a los líderes de las Juntas de Acción Comunal de Engativá.</t>
  </si>
  <si>
    <t>Mecanismo de Comunicación para la Participación</t>
  </si>
  <si>
    <t>Comunitario</t>
  </si>
  <si>
    <t>ASOJUNTAS - JAC</t>
  </si>
  <si>
    <t>Martha Ávila</t>
  </si>
  <si>
    <t>mavilah@renobo.com.co</t>
  </si>
  <si>
    <t>Engativá</t>
  </si>
  <si>
    <t>Occidente</t>
  </si>
  <si>
    <t>Subdirección de Planeamiento Local del Occidente</t>
  </si>
  <si>
    <t>Socialización del balance de la Actuación Estratégica Distrito Aeroportuario (AEDA) a los presidentes de las Juntas de Acción Comunal de Engativá.</t>
  </si>
  <si>
    <t>2024-01-26_TALLER AEDA - JAC ENGATIVA</t>
  </si>
  <si>
    <t>Entrega de certificados - Plan de Formación CTPD 2023</t>
  </si>
  <si>
    <t xml:space="preserve">Entregar certificados de reconocimiento al proceso de formación de consejeros que superaron el plan pedagógico. </t>
  </si>
  <si>
    <t>Mecanismo de Fortalecimiento Ciudadano para la Planeación Participativa</t>
  </si>
  <si>
    <t>CTPD</t>
  </si>
  <si>
    <t>Aura Amelia Abril Castro</t>
  </si>
  <si>
    <t>fundamujer2001@gmail.com</t>
  </si>
  <si>
    <t>Auditorio UNAL Facultad de Derecho, Ciencias Políticas y Sociales. Edificio 610</t>
  </si>
  <si>
    <t>Reconocimiento a consejeros por culminación de proceso formativo de acuerdo al Plan de Formación CTPD 2023</t>
  </si>
  <si>
    <t>2024-01-26_ENTREGA CERTIFICADOS 2023</t>
  </si>
  <si>
    <t xml:space="preserve">Certificaciones </t>
  </si>
  <si>
    <t>Ok</t>
  </si>
  <si>
    <t>Gestión: Encuentro Equipo OPDC</t>
  </si>
  <si>
    <t>Gestión del Plan Institucional de Participación Ciudadana</t>
  </si>
  <si>
    <t>Socializar los principales retos que afrontará el Equipo OPDC durante esta vigencia.</t>
  </si>
  <si>
    <t>Humberto Díaz Acosta</t>
  </si>
  <si>
    <t>Cra. 10 #26-21 - Hotel Tequendama</t>
  </si>
  <si>
    <t>Metodología para la Construcción del PDD.</t>
  </si>
  <si>
    <t>2024-01-31_PRIMER ENCUENTRO OPDC</t>
  </si>
  <si>
    <t xml:space="preserve">sólo acta y presentación </t>
  </si>
  <si>
    <t>Gestión: Activación Escuela de Participación</t>
  </si>
  <si>
    <t>Establecer los parámetros del proceso de formación a CTPD y CPL en el marco de formulación del PDD.</t>
  </si>
  <si>
    <t>Presentación de la estrategia de participación del PDD para articular proceso de formación con la Escuela de Participación del CTPD.</t>
  </si>
  <si>
    <t>2024-01-31_ACTIVACION ESCUELA DE PARTICIPACION</t>
  </si>
  <si>
    <t>OK es de gestión solo tiene acta</t>
  </si>
  <si>
    <t>Gestión: Jornada de capacitación del instrumento digital Fase I - Estrategia de Participación del PDD</t>
  </si>
  <si>
    <t>Realizar capacitación del instrumento digital Fase I de la Estrategia de Participación del Plan Distrital de Desarrollo dirigido a colaboradores de las entidades que van a implementar el instrumento.</t>
  </si>
  <si>
    <t>Michael Cruz Roa</t>
  </si>
  <si>
    <t>Laboratorio de Ciudad</t>
  </si>
  <si>
    <t>meet.google.com/yaw-rxch-jcz</t>
  </si>
  <si>
    <t>Sondeos ciudadanos para el Plan de Desarrollo Distrital.</t>
  </si>
  <si>
    <t>2024-01-31_JORNADA DE CAPACITACION INSTRUMENTO FASE I</t>
  </si>
  <si>
    <t>Ok es de gestión solo tiene acta</t>
  </si>
  <si>
    <t>Instalación protocolaria de los Consejos de Planeación Local - CPL</t>
  </si>
  <si>
    <t>Escenarios individuales</t>
  </si>
  <si>
    <t>Acompañar la Instalación protocolaria de la Comisión Intersectorial de Participación</t>
  </si>
  <si>
    <t>La importancia de la participación en los ejercicios locales de planeación estratégica.</t>
  </si>
  <si>
    <t>2024-02-02_INSTALACION PROTOCOLARIA CPL</t>
  </si>
  <si>
    <t>Gestión: Reunión preparatoria SDG-SDP</t>
  </si>
  <si>
    <t xml:space="preserve">Conocer avances de la SecGob frente a la preparación metodologica de participación con grupos étnicos </t>
  </si>
  <si>
    <t>Laura Camila Bechara Cordoba</t>
  </si>
  <si>
    <t>Secretaria de Gobierno / Yamile Ospina</t>
  </si>
  <si>
    <t>Calle 11 # 8 17</t>
  </si>
  <si>
    <t xml:space="preserve">Gestión interinstitucional PDD - Grupos Étnicos </t>
  </si>
  <si>
    <t>2024-02-05_REUNION PREPARATORIA CON SDG</t>
  </si>
  <si>
    <t>Carpeta vacia</t>
  </si>
  <si>
    <t>Gestión: Reunión interinstitucional - Estrategia de participación PDD sectores distritales</t>
  </si>
  <si>
    <t>Auditorio Secretaria Distrital de Planeacion,  CAD</t>
  </si>
  <si>
    <t>2024-02-05_REUNION INTERINSTITUCIONAL ESTRATEGIA PDD</t>
  </si>
  <si>
    <t>Gestión: Reunión interinstitucional - Estrategia de participación PDD con DASCD</t>
  </si>
  <si>
    <t>No especifíca</t>
  </si>
  <si>
    <t>Metodología de participación para la formulación del Plan Distrital de Desarrollo, responsabilidades de las partes, proceso de socialización de las herramientas enfocado en servidores públicos.</t>
  </si>
  <si>
    <t>2024-02-07_REUNION INTERINSTITUCIONAL DASCD</t>
  </si>
  <si>
    <t>Gestión: Tareas de seguimiento - ejercicio de Planeación participativa para regalias</t>
  </si>
  <si>
    <t xml:space="preserve">Coordinar acciones dentro del marco de integrar el componente de regalías en el PDD. </t>
  </si>
  <si>
    <t>Jenny Giraldo</t>
  </si>
  <si>
    <t>310 4126229</t>
  </si>
  <si>
    <t>jgiraldo@sdp.gov.co</t>
  </si>
  <si>
    <t>meet.google.com/hoh-osqb-xar</t>
  </si>
  <si>
    <t>Audiencia con el Alcalde Mayor, Mesa con Actores y Estrategia de Comunicaciones</t>
  </si>
  <si>
    <t>2024-02-08_SEGUIMIENTO EJERCICIO DE PLANEACION PARTICIPATIVA</t>
  </si>
  <si>
    <t>OK es de gestión solo tiene acta y registro fotográfico</t>
  </si>
  <si>
    <t>Conversatorio Nacional 1-2024 de Red de consejeros territoriales de planeación</t>
  </si>
  <si>
    <t>Consejo Territorial de Planeación Nacional</t>
  </si>
  <si>
    <t>Participar en el Conversatorio Nacional 1-2024 cuyo tema principal será la U.A.P.A Unidad Administrativa Especial de alimentación escolar, alimentos para aprender con la participación de toda la sociedad civil.</t>
  </si>
  <si>
    <t>Mecanismo de Diálogo</t>
  </si>
  <si>
    <t>Multiactor</t>
  </si>
  <si>
    <t>Zoilo Chaux Jaramillo</t>
  </si>
  <si>
    <t>ctpenaccioncolombia@gmail.com</t>
  </si>
  <si>
    <t>Enlace Youtube</t>
  </si>
  <si>
    <t>U.A.P.A Unidad Administrativa Especial de alimentación escolar, alimentos para aprender con la participación de toda la sociedad civil.</t>
  </si>
  <si>
    <t>2024-02-09_CONVERSATORIO NACIONAL 1- 2024</t>
  </si>
  <si>
    <t>Gestión: Reunión interinstitucional estrategia de participación PDD con NNA</t>
  </si>
  <si>
    <t xml:space="preserve">Identificar requerimientos técnicos y operativos para implementar Fase I sentires ciudadanos (sondeos) </t>
  </si>
  <si>
    <t>Secretaría Distrital de Integración Social /Katheryne González</t>
  </si>
  <si>
    <t>kgonzalezc@sdis.gov.co</t>
  </si>
  <si>
    <t>&lt;https://teams.microsoft.com/l/meetup-join/19%3ameeting_MTE4MWVkY2YtMTE1My00YTA1LTk5OTYtZjE0NjgyODMzMjZh%40thread.v2/0?context=%7b%22Tid%22%3a%22b3e30808-e9a8-4f2a-9bc1-a760ae910cf5%22%2c%22Oid%22%3a%22e4cb8b56-2512-41bb-908a-bf2d5c70786d%22%7d</t>
  </si>
  <si>
    <t>Reunión interinstitucional estrategia de participación PDD con NNA</t>
  </si>
  <si>
    <t/>
  </si>
  <si>
    <t>2024-02-09_ESTRATEGIA DE PARTICIPACION - NNA</t>
  </si>
  <si>
    <t>OK es reunión de gestión solo tiene acta.</t>
  </si>
  <si>
    <t>Presentación estrategia PDD - Comisión Intersectorial de Participación (CIP)</t>
  </si>
  <si>
    <t>CIP (Comisión Intersectorial de Participación)</t>
  </si>
  <si>
    <t>Presentar la estrategia de Participación para el Plan Distrital de Desarrollo en el marco de la Comisión Intersectorial de Participación.</t>
  </si>
  <si>
    <t>Alcaldía Mayor de Bogotá</t>
  </si>
  <si>
    <t>Presentación de la estrategia de participación del PDD por parte del Jefe de la OPDC.</t>
  </si>
  <si>
    <t>2024-02-09_PRESENTACION ESTRATEGIA PDD</t>
  </si>
  <si>
    <t>Asamblea Acupasa</t>
  </si>
  <si>
    <t xml:space="preserve">Acompañar la sesión y aplicar el instrumento de Sondeos de la Fase I: Sentires ciudadanos </t>
  </si>
  <si>
    <t>Mecanismo de Consulta Ciudadana</t>
  </si>
  <si>
    <t>Maria Angélica Higuera</t>
  </si>
  <si>
    <t>Valentina González Pontón</t>
  </si>
  <si>
    <t>Adriana Piraquive</t>
  </si>
  <si>
    <t>316 2247335</t>
  </si>
  <si>
    <t>adriana.piraquive@gobiernobogota.gov.co</t>
  </si>
  <si>
    <t>Pasquilla (Santa Barbara)</t>
  </si>
  <si>
    <t>Fase I: Sentires Ciudadanos</t>
  </si>
  <si>
    <t>Ruta de participación, aplicación de sondeos y sensibilización ambiental.</t>
  </si>
  <si>
    <t>2024-02-11_ASAMBLEA ACUPASA</t>
  </si>
  <si>
    <t>Gestión: Estrategia con Grupos étnicos - SDG</t>
  </si>
  <si>
    <t>Gestionar con la Secretaría Distrital de Gobierno para la estrategia de participación para la formulación del Plan Distrital de Desarrollo con los Grupos Étnicos.</t>
  </si>
  <si>
    <t xml:space="preserve">Oficina Asesora de Planeación </t>
  </si>
  <si>
    <t xml:space="preserve">Secretaria Distrital de Gobierno </t>
  </si>
  <si>
    <t>Gestión interinstitucional SDG PDD con grupos étnicos.</t>
  </si>
  <si>
    <t>2024-02-13_GESTION SDG - GRUPOS ETNICOS</t>
  </si>
  <si>
    <t xml:space="preserve">OK es de gestión solo tiene acta </t>
  </si>
  <si>
    <t>Presentación participación PDD y sondeos - Consejo de Participación</t>
  </si>
  <si>
    <t>Presentar la estrategia de participación para la formulación del PDD y aplicar los sondeos de sentires ciudadanos.</t>
  </si>
  <si>
    <t>Mónica Lyzeth Cantor</t>
  </si>
  <si>
    <t>Consejo Consultivo</t>
  </si>
  <si>
    <t>Alcaldía Mayor de Bogotá, Aulas Barulé Cra 8 N° 10-65</t>
  </si>
  <si>
    <t>Lenguaje de señas</t>
  </si>
  <si>
    <t>Contenidos adaptados</t>
  </si>
  <si>
    <t>Horarios Acordes</t>
  </si>
  <si>
    <t>Presentación de la estrategia de participación para la formulación del PDD.</t>
  </si>
  <si>
    <t>2024-02-13_PRESENTACION CONSEJO DE PARTICIPACION</t>
  </si>
  <si>
    <t>Sesión del Consejo de Planeación Local Chapinero - Articulación Sondeos referente Local de Ruralidad</t>
  </si>
  <si>
    <t>Realizar articulación con referente Local de Ruralidad de la Localidad de Chapinero para aplicar el instrumento de sondeos.</t>
  </si>
  <si>
    <t>CPL</t>
  </si>
  <si>
    <t>Diego Edilson Gomez</t>
  </si>
  <si>
    <t>310 5791980</t>
  </si>
  <si>
    <t>No registra</t>
  </si>
  <si>
    <t>Chapinero</t>
  </si>
  <si>
    <t>Cerros Orientales</t>
  </si>
  <si>
    <t xml:space="preserve">Alcaldía Local de Chapinero </t>
  </si>
  <si>
    <t xml:space="preserve">Ruta de Participación PDD, articulación para aplicación de sondeos en la ruralidad.  </t>
  </si>
  <si>
    <t>2024-02-13_ARTICULACION REFERENTE CPL CHAPINERO</t>
  </si>
  <si>
    <t xml:space="preserve"> Instalación Comité de Coordinación del PDD</t>
  </si>
  <si>
    <t>Instalar el Comité Distrital de Coordinación del Plan de Desarrollo Distrital.</t>
  </si>
  <si>
    <t>meet.google.com/hme-ckby-nni</t>
  </si>
  <si>
    <t>Instalación del Comité de Coordinación, siguientes fases y actividades en la metodologia de formulación del Plan de Desarrollo, como vamos respecto a la meta de la primera fase.</t>
  </si>
  <si>
    <t>2024-02-14_INSTALACION COMITE</t>
  </si>
  <si>
    <t>Grabación</t>
  </si>
  <si>
    <t xml:space="preserve">Socialización Estrategia PDD - Comité Técnico Distrital de Discapacidad </t>
  </si>
  <si>
    <t>Socializar la estrategia de participación ciudadana para la formulación del PDD al Comité Técnico Distrital de Discapacidad</t>
  </si>
  <si>
    <t>Camilo Andrés Vásquez</t>
  </si>
  <si>
    <t>David Alonzo</t>
  </si>
  <si>
    <t>dalonzo@sdp.gov.co</t>
  </si>
  <si>
    <t>Dirección de Diversidad Sexual, Poblaciones y Géneros</t>
  </si>
  <si>
    <t>https://meet.google.com/srh-wbuz-adt</t>
  </si>
  <si>
    <t>Socialización de la estrategia de participación ciudadana para la formulación del PDD.</t>
  </si>
  <si>
    <t>2024-02-14_SOCIALIZACION ESTRATEGIA - COMITE TECNICO DISTRITAL DE DISCAPACIDAD</t>
  </si>
  <si>
    <t>Presentación</t>
  </si>
  <si>
    <t xml:space="preserve">Grupo Focal de Integración Regional - Taller Subregión Sur - Plan Distrital de Desarrollo </t>
  </si>
  <si>
    <t>Definir los aspectos a trabajar en el Plan Distrital de Desarrollo de la actual administración en lo correspondiente al componente regional.</t>
  </si>
  <si>
    <t>Paola Gomez</t>
  </si>
  <si>
    <t>314 4123790</t>
  </si>
  <si>
    <t>pgomezc@sdp.gov.co</t>
  </si>
  <si>
    <t xml:space="preserve">Oficina de Integración Regional </t>
  </si>
  <si>
    <t>Cámara de Comercio de Bogotá, Sede Soacha. Carrera 7 # 11 – 83, Soacha</t>
  </si>
  <si>
    <t xml:space="preserve">Temas comunes del Plan de Desarrollo de cada municipio e identificación de problemáticas y potencialidades de la relación entre la subregión y Bogotá. </t>
  </si>
  <si>
    <t>Envío de memorias del espacio.</t>
  </si>
  <si>
    <t>Realizado y Devuelto a la Ciudadanía</t>
  </si>
  <si>
    <t>2024-02-15_TALLER SUBREGION SUR</t>
  </si>
  <si>
    <t>https://drive.google.com/file/d/1BijdY2f7Wrk-uBWPPVJHqvZ3LXBTvSIU/view?usp=sharing</t>
  </si>
  <si>
    <t>4 - Buena</t>
  </si>
  <si>
    <t>Consultorio PDD - Sondeos Sentires Ciudadanos con servidores</t>
  </si>
  <si>
    <t>Aplicar el sondeo Sentires Ciudadanos a servidores y colaboradores.</t>
  </si>
  <si>
    <t xml:space="preserve">Kra 30 # 25 - 90 Edificio CAD Portería </t>
  </si>
  <si>
    <t>Accesibilidad Universal</t>
  </si>
  <si>
    <t>Invitación a participar en la formulación del PDD fase Sentires Ciudadanos.</t>
  </si>
  <si>
    <t>2024-02-15_CONSULTORIO PDD</t>
  </si>
  <si>
    <t xml:space="preserve">Grupo Focal de Integración Regional - Taller Subregión Occidente - Plan Distrital de Desarrollo </t>
  </si>
  <si>
    <t>Biblioparque Marqués de San Jorge. Carrera 16 #. 13-23, Funza.</t>
  </si>
  <si>
    <t>2024-02-15_TALLER SUBREGION OCCIDENTE</t>
  </si>
  <si>
    <t>https://drive.google.com/file/d/1zQTYHTfJpZ61zZnMGKVsLUec7YSarSHN/view?usp=sharing</t>
  </si>
  <si>
    <t xml:space="preserve">Grupo Focal de Integración Regional - Taller Subregión Norte - Plan Distrital de Desarrollo </t>
  </si>
  <si>
    <t>Universidad de la Sabana, Chía. Aula AD Portas 409.</t>
  </si>
  <si>
    <t xml:space="preserve">Temas comunes por subregión según el Plan de Desarrollo Local e identificación de problemáticas o potencialidades de la relación con Bogotá. </t>
  </si>
  <si>
    <t>2024-02-16_TALLER SUBREGION NORTE</t>
  </si>
  <si>
    <t>https://drive.google.com/file/d/1d3X6W9BaFKNrXqKfyI3U1Wj1TDjlJZF9/view?usp=sharing</t>
  </si>
  <si>
    <t>5 - Excelente</t>
  </si>
  <si>
    <t>Socialización Estrategia PDD - Sesión JAL Engativá</t>
  </si>
  <si>
    <t xml:space="preserve">Socializar la estrategia de participación para la formulación del PDD </t>
  </si>
  <si>
    <t>Olga Quintero</t>
  </si>
  <si>
    <t>lviscaya@sdp.gov.co</t>
  </si>
  <si>
    <t>Tabora</t>
  </si>
  <si>
    <t>Salitre</t>
  </si>
  <si>
    <t xml:space="preserve"> calle 71 No. 73A – 44</t>
  </si>
  <si>
    <t xml:space="preserve">Envío de presentación </t>
  </si>
  <si>
    <t>2024-02-16_SOCIALIZACION ESTRATEGIA - JAL ENGATIVA</t>
  </si>
  <si>
    <t xml:space="preserve">Grabación y presentación </t>
  </si>
  <si>
    <t>Gestión: Curso CTPD</t>
  </si>
  <si>
    <t>Concretar los contenidos del curso dirigido al CTPD sobre el PDD</t>
  </si>
  <si>
    <t>Diego Alejandro Camacho</t>
  </si>
  <si>
    <t>Sady Casillas</t>
  </si>
  <si>
    <t>310 8846025</t>
  </si>
  <si>
    <t>scasilla@participacionbogota.gov.co</t>
  </si>
  <si>
    <t>Sede central IDPAC</t>
  </si>
  <si>
    <t>Componentes estratégicos de los dos módulos del curso del CTPD sobre PDD.</t>
  </si>
  <si>
    <t>2024-02-19_GESTION CURSO CTPD</t>
  </si>
  <si>
    <t>OK es de gestión tiene solo acta y registro fotográfico.</t>
  </si>
  <si>
    <t>Precisar los contenidos del módulo 1 del curso para el CTPD sobre PDD</t>
  </si>
  <si>
    <t>meet.google.com/zrb-mzrw-pem</t>
  </si>
  <si>
    <t>Contenidos del módulo 1 del curso del CTPD sobre PDD.</t>
  </si>
  <si>
    <t>2024-02-21_GESTION CURSO CTPD</t>
  </si>
  <si>
    <t>Comité Coordinador Intersectorial de Participación PDD</t>
  </si>
  <si>
    <t>Reunión semanal comité coordinador intersectorial PDD</t>
  </si>
  <si>
    <t>https://meet.google.com/bde-vcfz-tik</t>
  </si>
  <si>
    <t>Reporte Final del Sondeo Sentires ciudadanos fase 1 PDD, Preparacion fase 2 por medio de Chatico, Lista blanca de colaboradores para Chatico, importancia de divulgacion de cronogramas de las Entidades.</t>
  </si>
  <si>
    <t>2024-02-21_REUNION DE COMITE</t>
  </si>
  <si>
    <t>Reunión Federación de Juntas - PDD</t>
  </si>
  <si>
    <t>Presentar la estrategia de participación del PDD.</t>
  </si>
  <si>
    <t>https://meet.google.com/iih-ubgq-feb</t>
  </si>
  <si>
    <t>Pedagogía e información sobre qué es el PDD, cómo se formula y la ruta de la participación.</t>
  </si>
  <si>
    <t>2024-02-21_PRESENTACION FEDERACION DE JUNTAS</t>
  </si>
  <si>
    <t>presentación  y Circular 03 de 2024</t>
  </si>
  <si>
    <t>Caminandole al Plan Distrital de Desarrollo: Preparación formativa de los consejeros y consejeras del CTPD - Módulo 1 - Jornada 1</t>
  </si>
  <si>
    <t>Fortaler los conceptos de planeación y desarrollo con los consejeros y consejeras del CTPD</t>
  </si>
  <si>
    <t>https://meet.google.com/tnt-ejsb-hoh</t>
  </si>
  <si>
    <t>Duración del curso para su certificación, Discusiones sobre el desarrollo y sobre la planeación para el desarrollo en Colombia; así mismo, visión de la ciudad y estratégica del PDD.</t>
  </si>
  <si>
    <t>2024-02-22_CURSO CTPD - MODULO 1 JORNADA 1</t>
  </si>
  <si>
    <t>Caminandole al Plan Distrital de Desarrollo: Preparación formativa de los consejeros y consejeras del CTPD - Módulo 1 - Jornada 2</t>
  </si>
  <si>
    <t>Fortalecer los conceptos de los consejeros y consejeras del CTPD sobre el desarrollo y la planeación</t>
  </si>
  <si>
    <t>Plan Distrital de Desarrollo, Formación participativa, Percepciones entorno a Bogotá.</t>
  </si>
  <si>
    <t>2024-02-22_CURSO CTPD - MODULO 1 JORNADA 2</t>
  </si>
  <si>
    <t>Audiencia - Ejercicios de Planeación Participativa del Sistema General de Regalías  2024-2027</t>
  </si>
  <si>
    <t>Sistema General de Regalías</t>
  </si>
  <si>
    <t>Socializar las iniciativas y/o proyectos de inversión susceptibles de ser financiados con las Asignaciones Directas y la Asignación para la Inversión Regional del Sistema General de Regalías que posteriormente serán incorporados en el Plan de Desarrollo Distrital en un capítulo de “Inversiones independiente con cargo al SGR”</t>
  </si>
  <si>
    <t>Paula Guerrero</t>
  </si>
  <si>
    <t>317 2143454</t>
  </si>
  <si>
    <t>pguerrero@sdp.gov.co</t>
  </si>
  <si>
    <t>Dirección Inversiones Estratégicas</t>
  </si>
  <si>
    <t>Av. El Dorado #68d-35 -Cámara de comercio de Bogotá, Sede Salitre – Auditorio, Piso1</t>
  </si>
  <si>
    <t>Metodología priorización iniciativas, Sistema General de Regalias</t>
  </si>
  <si>
    <t>2024-02-23_AUDIENCIA EJERCICIOS DE PLANEACION PARTICIPATIVA - REGALIAS</t>
  </si>
  <si>
    <t>Se adaptó video, pero al final desde la DIE se determinó no proyectarlo</t>
  </si>
  <si>
    <t xml:space="preserve">Presentación, Brief, Libreto </t>
  </si>
  <si>
    <t>Concertar las actividades del módulo 2 del curso del CTPD sobre el PDD</t>
  </si>
  <si>
    <t>meet.google.com/bpv-cehg-wwa</t>
  </si>
  <si>
    <t>Contenidos del módulo 2 del curso para el CTPD.</t>
  </si>
  <si>
    <t>2024-02-23_GESTION CURSO CTPD</t>
  </si>
  <si>
    <t>Mesa de trabajo Preparatoria en Concejo - Foro "Jóvenes Construyendo una Ciudad Sostenible"</t>
  </si>
  <si>
    <t>Acompañar la mesa de trabajo convocada por el HC Jesús Araque, para coordinar el acompañamiento desde la SDP al Foro  "Jóvenes Construyendo una Ciudad Sostenible" organizado por la YMCA Bogotá.</t>
  </si>
  <si>
    <t>Nicolás Esteban Flórez</t>
  </si>
  <si>
    <t>Diana Marcela Fernández</t>
  </si>
  <si>
    <t>Juan Carlos Prieto</t>
  </si>
  <si>
    <t>Concejo de Bogotá</t>
  </si>
  <si>
    <t>Jeannette Herrera</t>
  </si>
  <si>
    <t>311 8470950</t>
  </si>
  <si>
    <t>jpherreraconcejobogota.gov.co</t>
  </si>
  <si>
    <t>Subsecretaría de Planeación de la Inversión</t>
  </si>
  <si>
    <t>Concejo de Bogotá - Cl. 36 #28A-41 - Sala 2 Piso 4</t>
  </si>
  <si>
    <t>Propuesta Foro de Juventudes, metodología y bloques temáticos, Articulación de las Entidades para el Foro organizado por la YMCA, roles de las Entidades, estrategia de participación para la formulación del Plan Distrital de Desarrollo.</t>
  </si>
  <si>
    <t>2024-02-23_MESA PREPARATORIA CONCEJO - FORO JUVENTUD</t>
  </si>
  <si>
    <t>Dirección de Asuntos Étnicos , SDG</t>
  </si>
  <si>
    <t>https://teams.microsoft.com/l/meetup-join/19%253ameeting_Y2M1OTI0YjctYTVhYy00YzIwLTliOTAtNjM0OWM0MDU4YWE1%2540thread.v2/0?context%3D%257b%2522Tid%2522%253a%252214de155f-e192-44da-994d-1913d8658372%2522%252c%2522Oid%2522%253a%25228c154e64-91aa-4adc-aec5-c44dffdd103d%2522%257d&amp;sa=D&amp;source=calendar&amp;usd=2&amp;usg=AOvVaw17EqF5cZLIcQDaU6N1ZBwM</t>
  </si>
  <si>
    <t>2024-02-23_GESTION SDG - GRUPOS ETNICOS</t>
  </si>
  <si>
    <t>Caminandole al Plan Distrital de Desarrollo: Preparación formativa de los consejeros y consejeras del CTPD - Módulo 2 - Jornada 1</t>
  </si>
  <si>
    <t>Brindar herramientas a los consejeros y consejeras del CTPD para la formulación del concepto del PDD</t>
  </si>
  <si>
    <t>https://meet.google.com/dtu-mwvz-nyk</t>
  </si>
  <si>
    <t>Presentación a consejeros, ¿qué es un Plan de Desarrollo? su importancia, impacto en la ciudad, su formulación, fundamentos jurídicos, la  Visión de Ciudad y roles del CTPD ante el PDD 2024-2028.</t>
  </si>
  <si>
    <t>2024-02-26_CURSO CTPD - MODULO 2 JORNADA 1</t>
  </si>
  <si>
    <t xml:space="preserve">Presentación y Pieza de convocatoria </t>
  </si>
  <si>
    <t>Gestión: Reunión Equipo OPDC</t>
  </si>
  <si>
    <t>Dar línea para las actividades propias de la Oficina de Participación y Diálogo de Ciudad.</t>
  </si>
  <si>
    <t>Maria Alejandra Castañeda</t>
  </si>
  <si>
    <t>Fase 2 Sentires Ciudadanos Formulación del PDD</t>
  </si>
  <si>
    <t>2024-02-26_REUNION DE EQUIPO OPDC</t>
  </si>
  <si>
    <t>Caminandole al Plan Distrital de Desarrollo: Preparación formativa de los consejeros y consejeras del CTPD - Módulo 2 - Jornada 2</t>
  </si>
  <si>
    <t>Establecer conocimientos básicos para que los consejeros y consejeras del CTPD aborden el PDD</t>
  </si>
  <si>
    <t>Sarah Lucia Triviño</t>
  </si>
  <si>
    <t>meet.google.com/msf-zkqa-wqq</t>
  </si>
  <si>
    <t>Capacitación hacia las y los Consejeros del CTPD,  visiones de la ciudad y objetivos del plan de desarrollo, fases de la estrategia de participación del PDD y el papel del CTPD.</t>
  </si>
  <si>
    <t>2024-02-26_CURSO CTPD - MODULO 2 JORNADA 2</t>
  </si>
  <si>
    <t>CLIP Sumapaz</t>
  </si>
  <si>
    <t>CLIP (Comisión Local Intersectorial de Participación)</t>
  </si>
  <si>
    <t xml:space="preserve">Acompañar la articulación de los esfuerzos institucionales de participación en la localidad de Sumapaz. </t>
  </si>
  <si>
    <t>Laura Sofia Morales</t>
  </si>
  <si>
    <t>Servidores públicos (local)</t>
  </si>
  <si>
    <t>Cristian Torres</t>
  </si>
  <si>
    <t>323 2073505</t>
  </si>
  <si>
    <t>Sumapaz</t>
  </si>
  <si>
    <t>https://teams.microsoft.com/l/meetup-join/19%3ameeting_NjExZmRiNWYtMjVmZS00NzBmLWI5NWMtNThkYTkyNGNmNWJk%40thread.v2/0?context=%7b%22Tid%22%3a%220f1156f1-406d-4123-99f0-a976b835b9b6%22%2c%22Oid%22%3a%224050f918-a0d6-4762-98be-b8386a732c2e%22%7d</t>
  </si>
  <si>
    <t>Programa Distrital de Estimulos, Invitación a los talleres del PDD, Presentación de la Política Pública de Participación.</t>
  </si>
  <si>
    <t>2024-02-27_SESION FEBRERO</t>
  </si>
  <si>
    <t>CLIP Ciudad Bolívar</t>
  </si>
  <si>
    <t xml:space="preserve">Acompañar la articulación entre instituciones de participación en la localidad de Ciudad Bolívar.  </t>
  </si>
  <si>
    <t>Luisa Pinzón</t>
  </si>
  <si>
    <t>lpinzon@participacionbogota.gov.co</t>
  </si>
  <si>
    <t>https://teams.microsoft.com/l/meetup-join/19%3ameeting_OGJjMGIyZjAtM2Q4YS00NzIyLWIyYTktMDQwNDA1MjBlZjBk%40thread.v2/0?context=%7b%22Tid%22%3a%220f1156f1-406d-4123-99f0-a976b835b9b6%22%2c%22Oid%22%3a%224050f918-a0d6-4762-98be-b8386a732c2e%22%7d</t>
  </si>
  <si>
    <t xml:space="preserve">Agenda estratégica Subred Sur, programa Distrital de estimulos y Política Pública de participación incidente. </t>
  </si>
  <si>
    <t>Instalación del CTPD</t>
  </si>
  <si>
    <t>Instalación del Consejo Territorial de Planeación Distrital (CTPD): designación y elección de la mesa directiva.</t>
  </si>
  <si>
    <t>Ana María Ulloa</t>
  </si>
  <si>
    <t>Mateo López Narváez</t>
  </si>
  <si>
    <t>José Ignacio Albarracín</t>
  </si>
  <si>
    <t>Germán Ramón Jacome</t>
  </si>
  <si>
    <t>Derly Adriana Castillo</t>
  </si>
  <si>
    <t>Johana Gamez y Humberto Díaz</t>
  </si>
  <si>
    <t>3125349806 y 3188799909</t>
  </si>
  <si>
    <t>jgamez@sdp.gov.co</t>
  </si>
  <si>
    <t>Cra. 8 #10-65 Auditorio Huitaca de la Alcaldía Mayor</t>
  </si>
  <si>
    <t xml:space="preserve">Instalación del Consejo Territorial de Planeación Distrital. </t>
  </si>
  <si>
    <t>2024-02-27_INSTALACION CTPD</t>
  </si>
  <si>
    <t xml:space="preserve">Presentación, piezas graficas, video de la sesión, Agenda </t>
  </si>
  <si>
    <t xml:space="preserve">Gestión y participación en Mesa Coordinadora del Consejo Consultivo de Mujeres-CCM </t>
  </si>
  <si>
    <t>Presentar propuesta de formulación Plan de Desarrollo Distrital al Consejo Consultivo de Mujeres de Bogotá-CCM</t>
  </si>
  <si>
    <t>Denis Helbert Morales Roa</t>
  </si>
  <si>
    <t>dmorales@sdmujer.gov.co</t>
  </si>
  <si>
    <t>Dirección de Formulación y Seguimiento de Políticas Públicas</t>
  </si>
  <si>
    <t>Calle 43 No. 27-25</t>
  </si>
  <si>
    <t>Propuesta de fecha para Taller de II fase de formulación del PDD.</t>
  </si>
  <si>
    <t>2024-02-28_PRESENTACION CONSEJO CONSULTIVO DE MUJERES</t>
  </si>
  <si>
    <t>Entrega de propuesta borrador PDD al CTPD</t>
  </si>
  <si>
    <t>DESPACHO</t>
  </si>
  <si>
    <t>Entregar el anteproyecto del Plan Distrital de Desarrollo "Bogotá Camina Segura" al Consejo Territorial de Planeación Distrital.</t>
  </si>
  <si>
    <t>Sebastian Potes Buitrago</t>
  </si>
  <si>
    <t>Claudia Fernanda Pineda</t>
  </si>
  <si>
    <t>Zuly Marcela Mesa</t>
  </si>
  <si>
    <t>David Reinaldo Jojoa</t>
  </si>
  <si>
    <t>Jimmy Alejandro Osorio</t>
  </si>
  <si>
    <t>Auditorio Huitaca - Alcaldía Mayor de Bogotá</t>
  </si>
  <si>
    <t xml:space="preserve">Entrega del proyecto de Plan Distrital de Desarrollo al Consejo Territorial de Planeación Distrital. </t>
  </si>
  <si>
    <t>2024-02-28_ENTREGA DE PROPUESTA PDD - CTPD</t>
  </si>
  <si>
    <t>Link de video del evento, listado de entrega de PDD  al CTPD, Brief</t>
  </si>
  <si>
    <t>Foro de Participación Ciudadana - Apuestas estratégicas del PDD</t>
  </si>
  <si>
    <t>Promover espacios de pedagogía, diálogo y reflexión colectiva acerca de cada objetivo
estratégico del PDD, desde las perspectivas de distintos tipos de actores para la
identificación de sentires, experiencias e ideas comunes que ayuden a orientar la
formulación del PDD.</t>
  </si>
  <si>
    <t>Erika Lizeth Rueda</t>
  </si>
  <si>
    <t>Miguel Silva Moyano Secretario de Planeación</t>
  </si>
  <si>
    <t>msilvam@sdp.gov.co</t>
  </si>
  <si>
    <t>Subsecretaría Planeación de la Inversión, Despacho</t>
  </si>
  <si>
    <t>Fundación Universitaria Konrad Lorenz Carrera 9 Bis #62-43</t>
  </si>
  <si>
    <t>Objetivos del PDD, visión, apuestas, ruta de la participación, panel conversar es el Plan.</t>
  </si>
  <si>
    <t>Envío de acta a los asistentes.</t>
  </si>
  <si>
    <t>2024-02-28_FORO - APUESTAS ESTRATEGICAS DEL PDD</t>
  </si>
  <si>
    <t>Circular 003 2024</t>
  </si>
  <si>
    <t xml:space="preserve">Presentación y piezas comunicativas </t>
  </si>
  <si>
    <t>https://drive.google.com/file/d/12M8aqGIQPZqM80sYwPAUJPwKV92X2x-T/view?usp=sharing</t>
  </si>
  <si>
    <t xml:space="preserve">Rendición de cuentas JAL San Cristóbal </t>
  </si>
  <si>
    <t>Acompañar institucionalmente la rendición de cuentas de la JAL.</t>
  </si>
  <si>
    <t>Juliet Natalia caspera</t>
  </si>
  <si>
    <t>San Cristóbal</t>
  </si>
  <si>
    <t>San Cristobal</t>
  </si>
  <si>
    <t xml:space="preserve">Alcaldia San Cristóbal </t>
  </si>
  <si>
    <t>Presentación de los resultados de la corporación en el año 2023, agradecimientos a los Ediles que hicieron parte de la JAL durante el 2023, y presentación de la nueva conformación para el año 2024.</t>
  </si>
  <si>
    <t>2024-02-29_RENDICION DE CUENTAS JAL SAN CRISTOBAL</t>
  </si>
  <si>
    <t xml:space="preserve">Informe de gestión </t>
  </si>
  <si>
    <t>Gestión: Capacitación Intersectorial Fase II: Aspiraciones Comunes - Formulación PDD</t>
  </si>
  <si>
    <t>Socializar las generalidades de la formulación del PDD y fomentar la participación de los servidores públicos.</t>
  </si>
  <si>
    <t>Privado</t>
  </si>
  <si>
    <t>meet.google.com/vok-reov-jsx</t>
  </si>
  <si>
    <t>Abordaje de los resultados de la primera fase de la estrategia de participacion, generalidades y estrategias para la fase 2, uso de la herramienta "Chatico"</t>
  </si>
  <si>
    <t>2024-02-29_CAPACITACION INTERSECTORIAL FASE II</t>
  </si>
  <si>
    <t xml:space="preserve">Video de sesión </t>
  </si>
  <si>
    <t>Primer foro virtual con Servidores Públicos para la formulación del PDD - DASCD/SDP</t>
  </si>
  <si>
    <t>Raúl Cadena</t>
  </si>
  <si>
    <t>rcadena@serviciocivil.gov.co</t>
  </si>
  <si>
    <t>https://capacitacion.moodle.serviciocivil.gov.co/curso/2168</t>
  </si>
  <si>
    <t>Generalidades de la formulación del PDD y  participación de los servidores públicos.</t>
  </si>
  <si>
    <t>2024-02-29_I FORO VIRTUAL PDD - SERVIDORES</t>
  </si>
  <si>
    <t>Presentación y capacitación chatico</t>
  </si>
  <si>
    <t>Gestión: Preparación Fase II con SDMujer al Consejo Consultivo de Mujeres</t>
  </si>
  <si>
    <t>Presentar a SDMujer la metodología que se tiene pensado implementar con el Consejo Consultivo de Mujeres-CCM para la Fase II "Aspiraciones Comunes" del Plan Distrital de Desarrollo.</t>
  </si>
  <si>
    <t>https://meet.google.com/prw-boza-ayv?authuser=0</t>
  </si>
  <si>
    <t>Taller de II fase de formulación del PDD.</t>
  </si>
  <si>
    <t>2024-02-29_PREPARACION FASE II - SDMUJER</t>
  </si>
  <si>
    <t>Sesión Red Institucional de Apoyo a las Veedurías Ciudadanas</t>
  </si>
  <si>
    <t>Acompañar el Seguimiento al Plan de acción</t>
  </si>
  <si>
    <t>Seguimiento a cada eje del  Plan de acción.</t>
  </si>
  <si>
    <t>2024-02-29_SESION FEBRERO</t>
  </si>
  <si>
    <t>Dialogo Ciudadano para la Construcción del PDD - UPL Suba Rincón</t>
  </si>
  <si>
    <t>Identificar las propuestas ciudadanas para la formulación del Plan de Desarrollo Distrital.</t>
  </si>
  <si>
    <t>Julio César Martínez</t>
  </si>
  <si>
    <t>Suba</t>
  </si>
  <si>
    <t>Noroccidente</t>
  </si>
  <si>
    <t>Suba Rincón</t>
  </si>
  <si>
    <t>Programación, Seguimiento a la inversión y Plan de Desarrollo</t>
  </si>
  <si>
    <t>Salón comunal barrio las Flores - Cra. 108a #140-45</t>
  </si>
  <si>
    <t>Fase II: Aspiraciones Comunes</t>
  </si>
  <si>
    <t xml:space="preserve">Objetivos, programas y soluciones de la propuesta del Plan de Desarrollo Distrital. </t>
  </si>
  <si>
    <t>Envío acta del espacio</t>
  </si>
  <si>
    <t>2024-03-01_DIALOGO CIUDADANO - UPL SUBA RINCON</t>
  </si>
  <si>
    <t>Documento base de proyectos del Plan Distrital de Desarrollo.</t>
  </si>
  <si>
    <t xml:space="preserve">Documento base de proyectos del Plan Distrital de Desarrollo y formatos fisícos chatico </t>
  </si>
  <si>
    <t>https://drive.google.com/file/d/1aqUkEVyXv-Vyw5EI_zEYJ3_mW8Bez559/view?usp=sharing</t>
  </si>
  <si>
    <t>Presentación de la estrategia de Participación del PDD al CCPH</t>
  </si>
  <si>
    <t>Presentar la estrategia de Participación del PDD al CCPH</t>
  </si>
  <si>
    <t>IDPAC</t>
  </si>
  <si>
    <t>IDPAC Instituto de la participación y acción comunal - Sede Principal</t>
  </si>
  <si>
    <t>Estrategia de Participación del PDD al CCPH</t>
  </si>
  <si>
    <t>2024-03-01_PRESENTACIÓN DE LA ESTRATEGIA DE PARTICIPACIÓN DEL PDD AL CCPH</t>
  </si>
  <si>
    <t>Presentación Plan Distrital de Desarroll0</t>
  </si>
  <si>
    <t>Por Completar</t>
  </si>
  <si>
    <t>Plenaria Ordinaria - CTPD</t>
  </si>
  <si>
    <t>Acompañar la elección de comisiones, conformación de la Mesa Directiva, reglamento interno y concepto PDD.</t>
  </si>
  <si>
    <t>Mecanismo de Seguimiento y Evaluación</t>
  </si>
  <si>
    <t>Liliana Urrego</t>
  </si>
  <si>
    <t xml:space="preserve"> https://meet.google.com/nvi-bsrm-eda</t>
  </si>
  <si>
    <t>Declaratoria de Plenaria permanente para abordar las temáticas de la Instancia.</t>
  </si>
  <si>
    <t>2024-03-01_PLENARIA ORDINARIA</t>
  </si>
  <si>
    <t xml:space="preserve">grabación de la sesión, orden del día y chat de la sesión </t>
  </si>
  <si>
    <t>Dialogo Ciudadano para la Construcción del PDD - UPL Restrepo</t>
  </si>
  <si>
    <t>Mario Herrera</t>
  </si>
  <si>
    <t>James Fernando Núñez</t>
  </si>
  <si>
    <t>Hernán Darío Meléndez</t>
  </si>
  <si>
    <t>Antonio Nariño</t>
  </si>
  <si>
    <t>Rafael Uribe Uribe</t>
  </si>
  <si>
    <t>Centro Ampliado</t>
  </si>
  <si>
    <t>Restrepo</t>
  </si>
  <si>
    <t>Salón Comunal barrio La Fraguita - Carrera 25 Bis N° 3-71</t>
  </si>
  <si>
    <t>2024-03-02_DIALOGO CIUDADANO - UPL RESTREPO</t>
  </si>
  <si>
    <t>Documento base PDD</t>
  </si>
  <si>
    <t xml:space="preserve">Documento base de proyectos del Plan Distrital de Desarrollo, Formatos de aportes fisicos </t>
  </si>
  <si>
    <t>https://drive.google.com/file/d/16DsXWRvV9gutWedgeDORKE177VVOK1-L/view</t>
  </si>
  <si>
    <t>Dialogo Ciudadano para la Construcción del PDD - UPL Fontibón</t>
  </si>
  <si>
    <t>Nixon Sandoval Mateus</t>
  </si>
  <si>
    <t>Nicolas Esteban Hernández</t>
  </si>
  <si>
    <t>Fontibón</t>
  </si>
  <si>
    <t xml:space="preserve">Colegio Costa Rica - Carrera 101 No 23 42 </t>
  </si>
  <si>
    <t>Envío acta del espacio.</t>
  </si>
  <si>
    <t>2024-03-02_DIALOGO CIUDADANO - UPL FONTIBON</t>
  </si>
  <si>
    <t xml:space="preserve">Base de datos de UPL </t>
  </si>
  <si>
    <t>https://drive.google.com/file/d/1BJ7dwtDUCTJa-GdkWtouNXbYt8J713kY/view?usp=sharing</t>
  </si>
  <si>
    <t>Diálogo Ciudadano Poblacional para la Construcción del PDD - Consejo Consultivo de Mujeres</t>
  </si>
  <si>
    <t>Apoyar a la SDMujer la identificación de propuestas del Consejo Consultivo de Mujeres de Bogotá -CCM en el marco del proceso de formulación del Plan Distrital de Desarrollo en su Fase II ( Aspiraciones Comunes).</t>
  </si>
  <si>
    <t>https://teams.microsoft.com/l/meetup-join/19%3ameeting_MjhiMDVlODQtMTAzOC00ZDM2LTk1MGEtNTMwNzY1NzM1MjRi%40thread.v2/0?context=%7b%22Tid%22%3a%2262014016-9db4-44c2-bf33-e4366b82fdaa%22%2c%22Oid%22%3a%2230a857c4-693b-4638-8455-ae5dc1affa32%22%7d</t>
  </si>
  <si>
    <t>Apoyar a la SDMujer en la identificación de propuestas del Consejo Consultivo de Mujeres de Bogotá -CCM en el marco del proceso de formulación del Plan Distrital de Desarrollo en su Fase II.</t>
  </si>
  <si>
    <t>Envío de infografías y material presentado.</t>
  </si>
  <si>
    <t>2024-03-04_DIALOGO CIUDADANO POBLACIONAL - CONSULTIVO MUJERES</t>
  </si>
  <si>
    <t>Presentación y  Documento base de proyectos del Plan Distrital de Desarroll0</t>
  </si>
  <si>
    <t>Dialogo Ciudadano para la Construcción del PDD - UPL Usaquén</t>
  </si>
  <si>
    <t>Daniela Velasco Vega</t>
  </si>
  <si>
    <t>Usaquén</t>
  </si>
  <si>
    <t>Norte</t>
  </si>
  <si>
    <t>CODABAS. Carrera 7 # 180 - 75 (Módulo 2, piso 2)</t>
  </si>
  <si>
    <t>Socialización objetivos estratégicos del PDD; inclusión de percepciones ciudadanos y priorización de programas a través del canal Chatico.</t>
  </si>
  <si>
    <t>2024-03-04_DIALOGO CIUDADANO - UPL USAQUEN</t>
  </si>
  <si>
    <t>Documento base de proyectos del Plan Distrital de Desarrollo, Roles de taller</t>
  </si>
  <si>
    <t>https://drive.google.com/file/d/1QV3QTV8nOKzPecLPkzXQS9Xz8o0ggBXq/view?usp=sharing</t>
  </si>
  <si>
    <t>Segundo foro virtual con Servidores Públicos para la formulación del PDD - DASCD/SDP</t>
  </si>
  <si>
    <t>https://capacitacion.moodle.serviciocivil.gov.co/curso/2169</t>
  </si>
  <si>
    <t>Estrategia de participación ciudadana para la formulación del PDD.</t>
  </si>
  <si>
    <t>2024-03-05_II FORO VIRTUAL PDD - SERVIDORES</t>
  </si>
  <si>
    <t xml:space="preserve">Presentacion PDD Y Chatico </t>
  </si>
  <si>
    <t xml:space="preserve">Ok, tiene acta , registro fotográfico, listado de asistencia y docuementos adicionales </t>
  </si>
  <si>
    <t>Dialogo Ciudadano para la Construcción del PDD - UPL Lucero</t>
  </si>
  <si>
    <t>Reinaldo Terrios Andrade</t>
  </si>
  <si>
    <t>Auditorio Manitas ubicado en la Cra 18 72B 70</t>
  </si>
  <si>
    <t>2024-03-05_DIALOGO CIUDADANO - UPL LUCERO</t>
  </si>
  <si>
    <t xml:space="preserve">Documento base PDD y Infografía por objetivos </t>
  </si>
  <si>
    <t>https://drive.google.com/file/d/1Mo5KDfSLgfPLHoAERbRi2yqD8kGYvOcA/view</t>
  </si>
  <si>
    <t>Plenaria CTPD</t>
  </si>
  <si>
    <t>Continuar con el orden del dia de la plenaria del 1 de marzo para la conformación de comisiones y elección de sus coordinadores</t>
  </si>
  <si>
    <t>presidentectpd2024@gmail.com</t>
  </si>
  <si>
    <t>meet.google.com/nso-knfe-qeg</t>
  </si>
  <si>
    <t>Conformación de las comisiones permanentes del CTPD</t>
  </si>
  <si>
    <t>2024-03-05_PLENARIA CTPD</t>
  </si>
  <si>
    <t>63A</t>
  </si>
  <si>
    <t xml:space="preserve">Orden del día y grabación de la sesión </t>
  </si>
  <si>
    <t>Gestión: estrategia de discapacidad y diversidad</t>
  </si>
  <si>
    <t>Orientar la estrategia de participación de diversidad y discapacidad para el PDD</t>
  </si>
  <si>
    <t>Marcial Ortega</t>
  </si>
  <si>
    <t>Mortega@sdp.gov.co</t>
  </si>
  <si>
    <t>Google meet</t>
  </si>
  <si>
    <t>Estrategia de participación diferencial para la formulación del PDD.</t>
  </si>
  <si>
    <t>2024-03-05_GESTION_DIVERSIDAD Y DISCAPACIDAD PDD</t>
  </si>
  <si>
    <t xml:space="preserve">Es de gestión pero tiene acta  , convocatoria y registro fotográfico </t>
  </si>
  <si>
    <t>Conversatorio "¿Por qué se necesita el Plan de Desarrollo pa' arreglar el hueco de la esquina?"</t>
  </si>
  <si>
    <t>Acompañar el diálogo con el Secretario de Planeación, Miguel Silva, organizado por Combo 2600 para informar sobre el Plan de Desarrollo Distrital.</t>
  </si>
  <si>
    <t>Iris Pub Quinta Camacho - Carrera 10A #70-48</t>
  </si>
  <si>
    <t>Importancia del Plan Distrital de Desarrollo.</t>
  </si>
  <si>
    <t>2024-03-05_CONVERSATORIO - COMBO2600</t>
  </si>
  <si>
    <t>Gestión: Coordinación de acciones - Sistema General de Regalias.</t>
  </si>
  <si>
    <t>Coordinar acciones en el marco del Sistema General de Regalias.</t>
  </si>
  <si>
    <t>Paula Andrea Guerrero</t>
  </si>
  <si>
    <t>Dirección de Inversiones Estratégicas</t>
  </si>
  <si>
    <t xml:space="preserve">meet.google.com/vyh-mvwx-shi </t>
  </si>
  <si>
    <t>Propuestas en el marco de la participación del equipo de regalías en los Diálogos Ciudadanos por UPL.</t>
  </si>
  <si>
    <t>2024-03-06_COORDINACION DE ACCIONES</t>
  </si>
  <si>
    <t xml:space="preserve">OK es de gestión solo tiene acta y registro fotográfico </t>
  </si>
  <si>
    <t>Gestión: Metodología Poblacional - diferencial y de género.</t>
  </si>
  <si>
    <t>Definir con la Dirección de Diversidad Sexual, Poblaciones y Géneros (SDP) los lineamientos metodológicos para las estrategias Poblacional-diferencial y de género.</t>
  </si>
  <si>
    <t>https://meet.google.com/ytq-gwpp-ysk</t>
  </si>
  <si>
    <t>Metodología Poblacional - diferencial y de género para el PDD.</t>
  </si>
  <si>
    <t>2024-03-06_METODOLOGIA ENFOQUE POBLACIONAL - DIFERENCIAL Y DE GENERO</t>
  </si>
  <si>
    <t xml:space="preserve">Ok es de gestión solo tiene acta y convocatoria </t>
  </si>
  <si>
    <t>Tercer foro virtual con Servidores Públicos para la formulación del PDD - DASCD/SDP</t>
  </si>
  <si>
    <t>https://capacitacion.moodle.serviciocivil.gov.co/curso/2170</t>
  </si>
  <si>
    <t>2024-03-06_III FORO VIRTUAL PDD - SERVIDORES</t>
  </si>
  <si>
    <t>CLIP Rafael Uribe Uribe</t>
  </si>
  <si>
    <t>Acompañar la articulación entre instituciones de participación en la localidad de Rafael Uribe Uribe.</t>
  </si>
  <si>
    <t xml:space="preserve">Luis Fernando Barreto </t>
  </si>
  <si>
    <t>Disney Sánchez</t>
  </si>
  <si>
    <t>319 2043484</t>
  </si>
  <si>
    <t>Rafael Uribe</t>
  </si>
  <si>
    <t>http://teams.microsoft.com/</t>
  </si>
  <si>
    <t>Socialización de la segunda fase de Estrategia para la formulación PDD.</t>
  </si>
  <si>
    <t>2024-03-06_SESION MARZO</t>
  </si>
  <si>
    <t>Dialogo Ciudadano para la Construcción del PDD - UPL Bosa</t>
  </si>
  <si>
    <t>Joan Sebastian García</t>
  </si>
  <si>
    <t>César Augusto Barrantes</t>
  </si>
  <si>
    <t>Bosa</t>
  </si>
  <si>
    <t>Kennedy</t>
  </si>
  <si>
    <t>Suroccidente</t>
  </si>
  <si>
    <t>Salón Comunal Barrio Antonia Santos -  Calle 65 sur #81f - 06</t>
  </si>
  <si>
    <t>2024-03-06_DIALOGO CIUDADANO - UPL BOSA</t>
  </si>
  <si>
    <t>Documento Base PDD</t>
  </si>
  <si>
    <t xml:space="preserve">Documentos base PDD, Pieza comunicativa , Cuadernillo, QR Chatico </t>
  </si>
  <si>
    <t>https://drive.google.com/file/d/1ScHyFGTeoqj95rdtVAuzq9BsLtr56kkE/view</t>
  </si>
  <si>
    <t>Gestión: Revisión Metas Consejo Distrital de Juventud - PDD - SDIS</t>
  </si>
  <si>
    <t>Acompañar la articulación con la Secretaría Distrital de Integración Social para revisar las metas propuestas por el Consejo Distrital de Juventud.</t>
  </si>
  <si>
    <t>Secretaría Distrital de Integración Social - Carrera 7#32-28 Piso 22</t>
  </si>
  <si>
    <t>Armonización de las propuestas del Consejo Distrital de Juventud para el Plan Distrital de Desarrollo con el Sector Integración Social.</t>
  </si>
  <si>
    <t>2024-03-06_REVISION METAS CONSEJO DISTRITAL DE JUVENTUD - SDIS</t>
  </si>
  <si>
    <t>meet.google.com/oio-bbxn-zfn</t>
  </si>
  <si>
    <t>Cronograma de actividades segunda fase PDD, estrategia de generación de aportes al PDD en terrotorio.</t>
  </si>
  <si>
    <t>2024-03-07_REUNION DE COMITE DE COORDINACION</t>
  </si>
  <si>
    <t xml:space="preserve">Grabación del espacio </t>
  </si>
  <si>
    <t>CLIP La Candelaria</t>
  </si>
  <si>
    <t>Acompañar la articulación de los esfuerzos institucionales de participación en la localidad de La Candelaria</t>
  </si>
  <si>
    <t>Andres Castro Latorre</t>
  </si>
  <si>
    <t>Diana Mutis</t>
  </si>
  <si>
    <t>310 2079889</t>
  </si>
  <si>
    <t>dmutiz@participacionbogota.gov.co</t>
  </si>
  <si>
    <t>La Candelaria</t>
  </si>
  <si>
    <t>Centro Histórico</t>
  </si>
  <si>
    <t>Carrera 7 # 22 - 44 (Dirección de Educación Local de La Candelaria y Santa Fe)</t>
  </si>
  <si>
    <t>Agenda actividades participativas del mes de Abril, chatico y PDD.</t>
  </si>
  <si>
    <t>2024-03-07_SESION MARZO</t>
  </si>
  <si>
    <t>Cuarto foro virtual con Servidores Públicos para la formulación del PDD - DASCD/SDP</t>
  </si>
  <si>
    <t>https://capacitacion.moodle.serviciocivil.gov.co/curso/2171</t>
  </si>
  <si>
    <t>Socialización de las generalidades del PDD y la estrategia de participación ciudadana.</t>
  </si>
  <si>
    <t>2024-03-07_IV FORO VIRTUAL PDD - SERVIDORES</t>
  </si>
  <si>
    <t>Socialización estrategia PDD - Consejo Distrital de Sabios y Sabias</t>
  </si>
  <si>
    <t>Presentar al Consejo Distrital de Sabios y Sabias la estrategia de participación para la formulación del PDD</t>
  </si>
  <si>
    <t>Bárbara Parra Ortíz</t>
  </si>
  <si>
    <t>310 3297018</t>
  </si>
  <si>
    <t>Calle 32 # 16 87</t>
  </si>
  <si>
    <t>Estrategia de participación fase 2 para la formulación del PDD.</t>
  </si>
  <si>
    <t>2024-03-07_PRESENTACION ESTRATEGIA CONSEJO DE SABIOS Y SABIAS</t>
  </si>
  <si>
    <t>Presentación PDD</t>
  </si>
  <si>
    <t xml:space="preserve">Carpeta vacia </t>
  </si>
  <si>
    <t>Gestión: Socialización a colaboradores SDP de Generalidades de la Fase II Aspiraciones Comunes</t>
  </si>
  <si>
    <t>Socializar la metodología de participación de la fase II Aspiraciones Comunes para la elaboración del PDD, a los colaboradores de la SDP</t>
  </si>
  <si>
    <t>https://meet.google.com/fbu-weaq-eor</t>
  </si>
  <si>
    <t>Presentación estrategia participación PDD y delegación UPL</t>
  </si>
  <si>
    <t>2024-03-07_SOCIALIZACION FASE II</t>
  </si>
  <si>
    <t>Ok es de gestión , solo tiene acta y listado de asistencia</t>
  </si>
  <si>
    <t>Gestión: Estrategia de participación con Secretaría Distrital de Gobierno.</t>
  </si>
  <si>
    <t>Orientar a la Secretaría Distrital de Gobierno en la fase 2 de al estrategia de participación de  formulación del PDD.</t>
  </si>
  <si>
    <t>David Romero</t>
  </si>
  <si>
    <t>David.Romeroz@gobiernobogota.gov.co</t>
  </si>
  <si>
    <t>https://teams.microsoft.com/l/meetup-join/19%3ameeting_ODdiYmE4YjktOWM3ZS00NDVjLTk5MjQtM2ViY2YzZWY2OTBk%40thread.v2/0?context=%7b%22Tid%22%3a%2214de155f-e192-44da-994d-1913d8658372%22%2c%22Oid%22%3a%223c5201d6-5585-4bfa-bce9-d631979e3445%22%7d</t>
  </si>
  <si>
    <t>Estrategia de participación para la Fase 2 de formulación del PDD. Estrategia con grupos étnicos.</t>
  </si>
  <si>
    <t>2024-03-07_ORIENTACION ESTRATEGIA SDG</t>
  </si>
  <si>
    <t xml:space="preserve">Ok es de gestión , solo tiene acta y registro fotografico </t>
  </si>
  <si>
    <t>Reunión de aclaración - Vacancias Víctimas CTPD</t>
  </si>
  <si>
    <t>Responder inquietudes sobre las curules de víctimas dentro del CTPD.</t>
  </si>
  <si>
    <t>Rodrigo Garzon Grisales</t>
  </si>
  <si>
    <t>300 6871406</t>
  </si>
  <si>
    <t>rgarzon@sdp.gov.co</t>
  </si>
  <si>
    <t>Alcaldía Mayor - Alta Consejería para las Víctimas</t>
  </si>
  <si>
    <t>Vacancias de organizaciones de víctimas en el CTPD.</t>
  </si>
  <si>
    <t>2024-03-07_REUNION ACLARACION - VACANCIAS VICTIMAS</t>
  </si>
  <si>
    <t>CLIP San Cristóbal</t>
  </si>
  <si>
    <t>Acompañar la articulación de los esfuerzos institucionales de participación en la localidad de San Cristóbal.</t>
  </si>
  <si>
    <t>Reina Esperanza Cordero Vargas</t>
  </si>
  <si>
    <t>rcordero@participacionbogota.gov.co</t>
  </si>
  <si>
    <t xml:space="preserve">Auditorio Alcaldía de San Cristóbal </t>
  </si>
  <si>
    <t>Fases que se tienen previstas para los Encuentros Ciudadanos del Plan de Desarrollo Local.</t>
  </si>
  <si>
    <t>CLIP Usaquén</t>
  </si>
  <si>
    <t>Acompañar la articulación de los esfuerzos institucionales de participación en la localidad de Usaquén.</t>
  </si>
  <si>
    <t>Aida Vanessa Rocha</t>
  </si>
  <si>
    <t>Aleyda Guzmán</t>
  </si>
  <si>
    <t>lguzman@participacionbogota.gov.co</t>
  </si>
  <si>
    <t>Toberín</t>
  </si>
  <si>
    <t>Torca</t>
  </si>
  <si>
    <t>https://teams.microsoft.com/l/meetup-join/19%3ameeting_NGUyZmYyZTUtNmEyNS00MWQwLTg4OTgtYTNhNjI0YzhlNmMy%40thread.v2/0?context=%7b%22Tid%22%3a%220f1156f1-406d-4123-99f0-a976b835b9b6%22%2c%22Oid%22%3a%22238f0383-76da-46d4-a513-6126e5b28292%22%7d</t>
  </si>
  <si>
    <t>Estrategia de redes del cuidado (SDIS),  Diagnóstico de la localidad (IDPAC) , actulización de la agenda de instancias.</t>
  </si>
  <si>
    <t>Coordinación proceso de participación - ASOBARES</t>
  </si>
  <si>
    <t>Presentar la estrategia de participación del PDD y establecer sinergia con la organización.</t>
  </si>
  <si>
    <t>Asociación</t>
  </si>
  <si>
    <t>Asobares</t>
  </si>
  <si>
    <t>presidencia@asobares.org</t>
  </si>
  <si>
    <t>Secretaría Distrital de Planeación</t>
  </si>
  <si>
    <t>Sinergia entre la organización y el proceso de participación del PDD.</t>
  </si>
  <si>
    <t>Enviar pieza gráfica para remitir a los asociados en aras de mover la pieza con las y los asociados para promover la participación en Chatic</t>
  </si>
  <si>
    <t>2024-03-07_COORDINACION ASOBARES</t>
  </si>
  <si>
    <t>Dialogo Ciudadano para la Construcción del PDD - UPL Centro Histórico</t>
  </si>
  <si>
    <t>Juan Pablo Serna</t>
  </si>
  <si>
    <t>Carlos Eduardo Escandón</t>
  </si>
  <si>
    <t>Manuel Fernando Vergara</t>
  </si>
  <si>
    <t>Ana María Gualy</t>
  </si>
  <si>
    <t>Santa Fe</t>
  </si>
  <si>
    <t>Los Mártires</t>
  </si>
  <si>
    <t>Salón comunal del barrio la Perseverancia – Carrera 4 Bis A No 32-64</t>
  </si>
  <si>
    <t>2024-03-07_DIALOGO CIUDADANO - UPL CENTRO HISTORICO</t>
  </si>
  <si>
    <t xml:space="preserve">Fichas propuestas ciudadana fase II </t>
  </si>
  <si>
    <t>https://drive.google.com/file/d/1DNcxKcM1Gt01-91pz4tfiMPnW3rnLNxn/view?usp=sharing</t>
  </si>
  <si>
    <t>Gestión: Articulación SDP - SDG sobre la estrategia de participación de grupos étnicos en el PDD</t>
  </si>
  <si>
    <t>Articular institucionalmente las acciones a desarrollar por la Secretaría de Gobierno y la Secretaría de Planeación con los grupos étnicos en el marco de la formulación del Plan Distrital de Desarrollo.</t>
  </si>
  <si>
    <t>Mariana Botero</t>
  </si>
  <si>
    <t>mbotero@sdp.gov.co</t>
  </si>
  <si>
    <t xml:space="preserve">Secretaría de Planeación. Carrera 30 #25-90. </t>
  </si>
  <si>
    <t>Estrategia de participación distrital del PDD, transversalizacion de enfoques para el desarrollo con los grupos étnicos.</t>
  </si>
  <si>
    <t>2024-03-07_ARTICULACION SDP - SDG - ESTRATEGIA ETNICOS</t>
  </si>
  <si>
    <t>Presentacion PDD</t>
  </si>
  <si>
    <t xml:space="preserve">Ok de gestión: tiene acta, listado de asistencia y documentos adicionales </t>
  </si>
  <si>
    <t>Plenaria Permanente - CTPD</t>
  </si>
  <si>
    <t>Elección de cargos en las Comisiones del CTPD.</t>
  </si>
  <si>
    <t>jfunlaun@gmail.com</t>
  </si>
  <si>
    <t xml:space="preserve"> https://meet.google.com/usk-fybt-jqw</t>
  </si>
  <si>
    <t>Elección de cargos en las Comisiónes del CTPD.</t>
  </si>
  <si>
    <t>2024-03-07_PLENARIA PERMANENTE</t>
  </si>
  <si>
    <t xml:space="preserve">Falta acta por parte de universidad </t>
  </si>
  <si>
    <t>Reunión de coordinación - ACODRES</t>
  </si>
  <si>
    <t>Generar proceso de articulación con el gremio para garantizar su participación en el PDD.</t>
  </si>
  <si>
    <t>Gremio</t>
  </si>
  <si>
    <t>presidencia@acodres.com.co</t>
  </si>
  <si>
    <t>meet.google.com/bxj-xede-hem</t>
  </si>
  <si>
    <t>Estrategia de participación del PDD.</t>
  </si>
  <si>
    <t>Enviar pieza gráfica para remitir a los asociados en aras de mover la pieza con las y los asociados para promover la participación en Chatico.</t>
  </si>
  <si>
    <t>2024-03-08_COORDINACION ACODRES</t>
  </si>
  <si>
    <t>Diálogo Ciudadano Poblacional para la Construcción del PDD - Discapacidad se articula para Caminar Segura por Bogotá</t>
  </si>
  <si>
    <t>GENERAL SDP</t>
  </si>
  <si>
    <t>Recibir las Propuestas al Plan de Desarrollo de Bogotá con Enfoque de Discapacidad - Reflexiones de Aceptación Universal en el Marco del Desarrollo Tecnológico y de Sistemas.</t>
  </si>
  <si>
    <t>Dick Darío Díaz Melendez</t>
  </si>
  <si>
    <t>prodickscapacidad@gmail.com</t>
  </si>
  <si>
    <t xml:space="preserve">Carrera 10 No 19 - 62 - Universidad ECCI </t>
  </si>
  <si>
    <t>Plan Distrital de Desarrollo con Enfoque a la Población con Discapacidad.</t>
  </si>
  <si>
    <t>2024-03-09_DIALOGO CIUDADANO POBLACIONAL - DISCAPACIDAD</t>
  </si>
  <si>
    <t>Dialogo Ciudadano para la Construcción del PDD - UPL Niza</t>
  </si>
  <si>
    <t>Camila María Santana</t>
  </si>
  <si>
    <t>William Jair Gil</t>
  </si>
  <si>
    <t>Mario Calderon</t>
  </si>
  <si>
    <t>macalderonv@educacionbogota.edu.co</t>
  </si>
  <si>
    <t>Niza</t>
  </si>
  <si>
    <t>Cl. 129 #55-55</t>
  </si>
  <si>
    <t xml:space="preserve"> Obtetivos, programas y soluciones en el marco de la formulación del Plan Distrital de Desarrollo (PDD)</t>
  </si>
  <si>
    <t>2024-03-09_DIALOGO CIUDADANO - UPL NIZA</t>
  </si>
  <si>
    <t>https://drive.google.com/file/d/1rc7nHL06gPsuFnfSD7Kmwm1frVKKHyR6/view?usp=sharing</t>
  </si>
  <si>
    <t>Dialogo Ciudadano para la Construcción del PDD - UPL Tabora</t>
  </si>
  <si>
    <t>Marisol Velasco Peña</t>
  </si>
  <si>
    <t>Natalia Zarate</t>
  </si>
  <si>
    <t>natalia.zarate@gobiernobogota.gov.co</t>
  </si>
  <si>
    <t>Alcaldía Local de Engativá - Salón Azul . Cl. 71 #73a-44</t>
  </si>
  <si>
    <t>Objetivos, programas y soluciones del PDD.</t>
  </si>
  <si>
    <t>2024-03-09_DIALOGO CIUDADANO - UPL TABORA</t>
  </si>
  <si>
    <t xml:space="preserve">Fomato propuestas ciudadanas Chatico </t>
  </si>
  <si>
    <t>https://drive.google.com/file/d/1fbqBXhTFPNj0wujQYY28zYl5lmyLtnUV/view?usp=sharing</t>
  </si>
  <si>
    <t>Jornada Pégate al Plan: Pedagogía ciudadana para el manejo e implementación de la herramienta chatico - Ciclovía - Parque de Lourdes</t>
  </si>
  <si>
    <t>Parque de los Hippies Calle 60, Cra. 7</t>
  </si>
  <si>
    <t>2024-03-10_JORNADA PEGATE AL PLAN</t>
  </si>
  <si>
    <t xml:space="preserve">Ok, estos espacio solo tiene acta , registro fotográfico </t>
  </si>
  <si>
    <t>Pedagogía Plan Distrital de Desarrollo a Servidores SDP</t>
  </si>
  <si>
    <t>Dar a conocer a los funcionarios SDP el proyecto del Plan Distrital de Desarrollo 2024-2028, con el cual estamos construyendo, de la mano de la ciudadanía, una mejor ciudad.</t>
  </si>
  <si>
    <t>Mariana Triana Ortiz</t>
  </si>
  <si>
    <t>Julián Camilo Taylor</t>
  </si>
  <si>
    <t>Laura Camila Bechara</t>
  </si>
  <si>
    <t>Diego Nicolás Gutiérrez</t>
  </si>
  <si>
    <t>Plan Distrital de Desarrollo, objetivos y programas.</t>
  </si>
  <si>
    <t>2024-03-11_PEDAGOGIA PDD - SERVIDORES SDP</t>
  </si>
  <si>
    <t xml:space="preserve">Evaluaciones </t>
  </si>
  <si>
    <t>Gestión: Metodologías de Niños, niñas y Adolescentes con SED</t>
  </si>
  <si>
    <t>Definir las metodologías de diálogos con niños, niñas y Adolescentes con la Secretaría de Educación del Distrito.</t>
  </si>
  <si>
    <t>Carlos Iván García</t>
  </si>
  <si>
    <t>Carlos.garcia@educacionbogota.gov.co</t>
  </si>
  <si>
    <t>Estrategia diferencial de niños, niñas y adolescentes para formular el PDD.</t>
  </si>
  <si>
    <t>2024-03-11_METODOLOGIA NNA - SED</t>
  </si>
  <si>
    <t xml:space="preserve">Es de gestión pero tiene listado de asistencia y registro fotográfico </t>
  </si>
  <si>
    <t>Gestión: Construcción de la metodología del proceso PDD con grupos étnicos</t>
  </si>
  <si>
    <t xml:space="preserve">Construir en conjunto con la Dirección de Asuntos Étnicos la metodología de los diálogos a desarrollar con las instancias consultivas de los grupos étnicos que hacen vida en Bogotá, en el marco de la formulación del Plan Distrital de Desarrollo. </t>
  </si>
  <si>
    <t>David Cortes</t>
  </si>
  <si>
    <t>david.araujo@gobiernobogota.gov.co</t>
  </si>
  <si>
    <t>Crr 8 #10-71. Secretaría de Gobierno</t>
  </si>
  <si>
    <t>Productos de Políticas Públicas Étnicas con los programas del PDD,construcción de la metodología de participación para la formulación del PDD.</t>
  </si>
  <si>
    <t>2024-03-11_METODOLOGIA GRUPOS ETNICOS</t>
  </si>
  <si>
    <t xml:space="preserve">OK, es gestión: solo tiene acta </t>
  </si>
  <si>
    <t>CLIP extraordinaria Rafael Uribe Uribe</t>
  </si>
  <si>
    <t>Acompañar la articulación de los esfuerzos institucionales de participación en la localidad de Rafael Uribe Uribe, Definir el cronograma de actividades de Pegate al Plan.</t>
  </si>
  <si>
    <t>Disney Sanchez</t>
  </si>
  <si>
    <t>Calle 32 sur 23 62</t>
  </si>
  <si>
    <t>Programación talleres locales para ala formulación  del Plan de Desarollo.</t>
  </si>
  <si>
    <t>2024-03-11_SESION EXTRAORDINARIA MARZO</t>
  </si>
  <si>
    <t>Reunión de seguimiento al proceso de participación PDD - Veeduría Distrital</t>
  </si>
  <si>
    <t>Acompañar el seguimiento por parte de la Veeduría del proceso de participación del PDD.</t>
  </si>
  <si>
    <t>Dionne Cruz</t>
  </si>
  <si>
    <t>Veeduría Distrital</t>
  </si>
  <si>
    <t>Seguimiento de las acciones de participación previstas en la estrategia del PDD por parte de la Veeduría.</t>
  </si>
  <si>
    <t>Generar un espacio de sensibilización con promotores de la Veeduría Distrital para acompañar los espacios locales.</t>
  </si>
  <si>
    <t>Enviar el avance de sectores y entidades que presentan retrasos para que desde la Veeduría se realice el respectivo control social</t>
  </si>
  <si>
    <t>Realizado y Gestionado</t>
  </si>
  <si>
    <t>2024-03-11_REUNION DE SEGUIMIENTO VEEDURIA</t>
  </si>
  <si>
    <t>Socialización de PDD a la Mesa Distrital de Víctimas del Conflicto Armado</t>
  </si>
  <si>
    <t xml:space="preserve">Socializar Plan de Desarrollo Distrital y la estrategia de participación con la Mesa Distrital de Participación Efectiva para Víctimas del Conflicto. </t>
  </si>
  <si>
    <t>Paola Andrea González</t>
  </si>
  <si>
    <t>Grupos focales</t>
  </si>
  <si>
    <t xml:space="preserve">Calle 16 #9-15 segundo piso </t>
  </si>
  <si>
    <t xml:space="preserve">Socialización del PDD, estrategia de participación, uso de chatico, propuestas y recursos. </t>
  </si>
  <si>
    <t>Reunirnos con la Alta Consejería para las Víctimas para dejar claridad sobre el proceso y hacer el debido seguimiento.</t>
  </si>
  <si>
    <t>2024-03-11_SOCIALIZACION PDD - MESA DE VICTIMAS</t>
  </si>
  <si>
    <t>oK</t>
  </si>
  <si>
    <t>Gestión: Capacitación Chatico - Transmilenio</t>
  </si>
  <si>
    <t>Capacitar a los funcionarios de Transmilenio sobre el uso de Chatico para la recepción de aportes para el PDD.</t>
  </si>
  <si>
    <t>Cra. 26 # 30 - CAD</t>
  </si>
  <si>
    <t>Metodología de la fase II de formulación del PDD, y uso de Chatico.</t>
  </si>
  <si>
    <t>2024-03-11_CAPACITACION TRANSMILENIO</t>
  </si>
  <si>
    <t>Dialogo Ciudadano para la Construcción del PDD - UPL Tunjuelito</t>
  </si>
  <si>
    <t>Tunjuelito</t>
  </si>
  <si>
    <t>Auditorio principal, Casa de la cultura de Tunjuelito - Diagonal 52F sur #27-21</t>
  </si>
  <si>
    <t>Obtetivos, programas y soluciones en el marco de la formulación del Plan Distrital de Desarrollo (PDD), trabajo y educación para el empleo, mantenimiento malla vial, Salud en territorio.</t>
  </si>
  <si>
    <t>2024-03-11_DIALOGO CIUDADANO - UPL TUNJUELITO</t>
  </si>
  <si>
    <t xml:space="preserve">Documento Base del Proyecto Plan Distrital de Desarrollo </t>
  </si>
  <si>
    <t xml:space="preserve">Documentos base PDD y video del taller </t>
  </si>
  <si>
    <t>https://drive.google.com/file/d/1Gi8KOIPmBEeJaUKChr_FcKqrboMb2MRz/view?usp=sharing</t>
  </si>
  <si>
    <t>Acompañar la continuidad del orden del día aprobado: Conformación de la mesa Directiva y Reglamento Interno.</t>
  </si>
  <si>
    <t>https://meet.google.com/jay-odjm-uib</t>
  </si>
  <si>
    <t>Conformación de la Mesa Directiva del CTPD, Reglamento Interno</t>
  </si>
  <si>
    <t>2024-03-11_PLENARIA PERMANENTE</t>
  </si>
  <si>
    <t>Gestión: Articulación con Secretaria de Salud - PDD</t>
  </si>
  <si>
    <t>Abordar y resolver las inquietudes metodológicas surgidas para la fase II del PDD.</t>
  </si>
  <si>
    <t>Luis Antonio</t>
  </si>
  <si>
    <t>311 2009548</t>
  </si>
  <si>
    <t>laestupinan@saludcapital.gov.co</t>
  </si>
  <si>
    <t>https://meet.google.com/mtr-aqzg-bdw?authuser=0&amp;hs=122&amp;ijlm=1710183836832</t>
  </si>
  <si>
    <t>Metodologia PDD y Cronogramas.</t>
  </si>
  <si>
    <t>2024-03-12_ARTICULACION SDS</t>
  </si>
  <si>
    <t xml:space="preserve">Ok es de gestión: tiene acta , listado de asistencia y registro fotográfico </t>
  </si>
  <si>
    <t>CLIP Engativá</t>
  </si>
  <si>
    <t>Acompañar la articulación de los esfuerzos institucionales de participación en la localidad de Engativá.</t>
  </si>
  <si>
    <t>Esperanza Daza</t>
  </si>
  <si>
    <t>edaza@participacionbogota.gov.co</t>
  </si>
  <si>
    <t>Calle 71 # 73a - 44</t>
  </si>
  <si>
    <t>Aprobación actas sesiones CLIP febrero, Presentación CLIP naturaleza y funciones (Dec. 606-202) ,capacitación agentes educativos ICBF, Manejo de violencia intrafamiliar</t>
  </si>
  <si>
    <t>2024-03-12_SESION MARZO</t>
  </si>
  <si>
    <t>Dialogo Ciudadano para la Construcción del PDD - UPL Patio Bonito</t>
  </si>
  <si>
    <t>Nestor Jecfrid Sánchez</t>
  </si>
  <si>
    <t>Nicolás Enrique Moncaleano</t>
  </si>
  <si>
    <t>Patio Bonito</t>
  </si>
  <si>
    <t>Salón Comunal de Patio Bonito - Segundo Sector Cl. 2 N° 87-15</t>
  </si>
  <si>
    <t>Obtetivos, programas y soluciones en el marco de la formulación del Plan Distrital de Desarrollo (PDD)</t>
  </si>
  <si>
    <t>2024-03-12_DIALOGO CIUDADANO - UPL PATIO BONITO</t>
  </si>
  <si>
    <t>Documentos Base PDD</t>
  </si>
  <si>
    <t>https://drive.google.com/file/d/1H3f-Pzngxpw64cmvlbnMRw--KHVjVYbi/view?usp=sharing</t>
  </si>
  <si>
    <t>Presentación metodología para los talleres de diálogos ciudadanos PDD - JAL Sumapaz</t>
  </si>
  <si>
    <t>Realizar articulación de actores para definir los espacios en la Localidad de Sumapaz.</t>
  </si>
  <si>
    <t>Yenny Pulido</t>
  </si>
  <si>
    <t>320 2149489</t>
  </si>
  <si>
    <t>lised_2905e@hotmail.com</t>
  </si>
  <si>
    <t>Por definir</t>
  </si>
  <si>
    <t xml:space="preserve">Plan Distrital de Desarrollo </t>
  </si>
  <si>
    <t>Hacer entrega de la presentación que contiene la ruta de participación para la formulación del Plan Distrital de Desarrollo.</t>
  </si>
  <si>
    <t>Compartir el contacto Chatico, con el fin de que los ediles lo difundan con la comunidad.</t>
  </si>
  <si>
    <t>2024-03-12_PRESENTACION JAL SUMAPAZ</t>
  </si>
  <si>
    <t>Presentación metodología fase II</t>
  </si>
  <si>
    <t>Acompañar la definición de la metodología de evaluación del PDD.</t>
  </si>
  <si>
    <t xml:space="preserve"> https://meet.google.com/jay-odjm-uib</t>
  </si>
  <si>
    <t>Metodología para elaborar el concepto del Plan Dsitrital de Desarrollo.</t>
  </si>
  <si>
    <t>2024-03-12_PLENARIA PERMANENTE</t>
  </si>
  <si>
    <t>Compartir los avances entre las entidades en la aplicación de la segunda fase del PDD</t>
  </si>
  <si>
    <t>https://meet.google.com/bfq-tbmf-uxc</t>
  </si>
  <si>
    <t>Encuentro con Padrinasgos, avance en el desarrollo de metodologias, cronogramas</t>
  </si>
  <si>
    <t>2024-03-13_REUNION COMITE DE COORDINACION DEL PDD</t>
  </si>
  <si>
    <t xml:space="preserve">Grabación de la sesión </t>
  </si>
  <si>
    <t>CLIP Antonio Nariño</t>
  </si>
  <si>
    <t>Acompañar la articulación de los esfuerzos institucionales de participación en la localidad de Antonio Nariño.</t>
  </si>
  <si>
    <t>Alvaro</t>
  </si>
  <si>
    <t>300 2578468</t>
  </si>
  <si>
    <t>Alcaldía Antonio Nariño (Calle 17 Sur # 18 - 49)</t>
  </si>
  <si>
    <t>Eventos de participación mes Abril</t>
  </si>
  <si>
    <t>2024-03-13_SESION MARZO</t>
  </si>
  <si>
    <t>CLIP Teusaquillo</t>
  </si>
  <si>
    <t>Acompañar la articulación de los esfuerzos institucionales de participación en la localidad de Teusaquillo.</t>
  </si>
  <si>
    <t>Jose Pedraza</t>
  </si>
  <si>
    <t>Hpedraza@participacionbogota.gov.co</t>
  </si>
  <si>
    <t>Teusaquillo</t>
  </si>
  <si>
    <t>Tv 19 bis # 38 - 41</t>
  </si>
  <si>
    <t>Plan de acción 2024 CLIP, presentación empresa Metro , articulación  CPL Teusaquillo</t>
  </si>
  <si>
    <t>CLIP Usme</t>
  </si>
  <si>
    <t>Acompañar la articulación de los esfuerzos institucionales de participación en la localidad de Usme.</t>
  </si>
  <si>
    <t>Usme</t>
  </si>
  <si>
    <t>Usme Entrenubes</t>
  </si>
  <si>
    <t>CDC USME</t>
  </si>
  <si>
    <t xml:space="preserve">Encuentros ciudadanos por parte del CPl , Reglamento interno de la instancia de participación CLIP, (funciones y roles) </t>
  </si>
  <si>
    <t>Quinto foro virtual con Servidores Públicos para la formulación del PDD - DASCD/SDP</t>
  </si>
  <si>
    <t>https://meet.google.com/sgv-jhtc-jzv</t>
  </si>
  <si>
    <t>Generalidades de la formulación del PDD,  participación de los servidores públicos.</t>
  </si>
  <si>
    <t>2024-03-13_V FORO VIRTUAL PDD - SERVIDORES</t>
  </si>
  <si>
    <t xml:space="preserve">Ok carpeta con acta , listado de asistencia y resgistro fotográfico </t>
  </si>
  <si>
    <t>Gestión: Concertación con la Consultiva negra - afrocolombiana de la metodología de participación del PDD</t>
  </si>
  <si>
    <t>Concertar la metodología de recolección de aportes para la Fase II de la estrategia de participación del PDD con la consultiva de la comunidad negra-afrocolombiana.</t>
  </si>
  <si>
    <t>Calle 8 #9-64. Casa Afro</t>
  </si>
  <si>
    <t>Socialización del PDD,Definición de la metodología a desarrollar para la recolección de aportes de la comunidad Negra-afrocolombiana en la formulación del PDD</t>
  </si>
  <si>
    <t>2024-03-13_CONCERTACION METODOLOGIA - AFROS</t>
  </si>
  <si>
    <t xml:space="preserve">Ok , solo tiene acta y registro fotográfico </t>
  </si>
  <si>
    <t>Gestión: Revisión de instrumento y articulación -  Dirección de Estratificación</t>
  </si>
  <si>
    <t xml:space="preserve">Articular con la Dirección de Estratificación para revisar las metas definidas, metodología, acompañamiento e instrumento. </t>
  </si>
  <si>
    <t>Secretaría Distrital de Planeación Piso 13</t>
  </si>
  <si>
    <t>Metodología historica de la estratificación y sus avances, método de medición, propuesta de participación y/o comunicación</t>
  </si>
  <si>
    <t>2024-03-13_REVISION DE INSTRUMENTO Y ARTICULACION</t>
  </si>
  <si>
    <t>Ok es de gestión: tiene acta, registro fotográfico y convocatoria</t>
  </si>
  <si>
    <t>Dialogo Ciudadano para la Construcción del PDD - UPL Barrios Unidos</t>
  </si>
  <si>
    <t>Barrios Unidos</t>
  </si>
  <si>
    <t>Auditorio Alcaldía Local de Barrios Unidos - Calle 74A N° 66-07</t>
  </si>
  <si>
    <t xml:space="preserve">Obtetivos, programas y soluciones en el marco de la formulación del Plan Distrital de Desarrollo </t>
  </si>
  <si>
    <t>2024-03-13_DIALOGO CIUDADANO - UPL BARRIOS UNIDOS</t>
  </si>
  <si>
    <t>Documento base de proyectos del Plan Distrital de Desarrollo</t>
  </si>
  <si>
    <t>Fichas de propuestas Ciudadanas y documento base PDD</t>
  </si>
  <si>
    <t xml:space="preserve">Ok </t>
  </si>
  <si>
    <t>https://drive.google.com/file/d/1WKKjctAPrYkEY6pv6jF_OziMwVvN4hIo/view?usp=sharing</t>
  </si>
  <si>
    <t>Comisión Poblacional</t>
  </si>
  <si>
    <t>Reunión consolidación documento para el concepto técnico del PDD</t>
  </si>
  <si>
    <t>Jaqueline Hernández</t>
  </si>
  <si>
    <t>stellaher611@gmail.com</t>
  </si>
  <si>
    <t>https://meet.google.com/ajy-tors-cso</t>
  </si>
  <si>
    <t>Consolidación del documento para el concepto técnico del PDD</t>
  </si>
  <si>
    <t>2024-03-13_COMISIÓN POBLACIONAL</t>
  </si>
  <si>
    <t>Grabación de la sesión</t>
  </si>
  <si>
    <t>CLIP extraordinaria San Cristóbal</t>
  </si>
  <si>
    <t>Reina Esperanza</t>
  </si>
  <si>
    <t>Meet</t>
  </si>
  <si>
    <t xml:space="preserve">Metodología por parte del CPL de encuentros ciudadanos para Plan de Desarrollo Local </t>
  </si>
  <si>
    <t>2024-03-14_SESION EXTRAORDINARIA MARZO</t>
  </si>
  <si>
    <t>CLIP Bosa</t>
  </si>
  <si>
    <t>Acompañar la articulación de los esfuerzos institucionales de participación en la localidad de Bosa.</t>
  </si>
  <si>
    <t>Marcela Tinoco depablos</t>
  </si>
  <si>
    <t>313 2133446</t>
  </si>
  <si>
    <t>mtinoco@participacionbogota.gov.co</t>
  </si>
  <si>
    <t>Edén</t>
  </si>
  <si>
    <t>Porvenir</t>
  </si>
  <si>
    <t>Casa de la participación - Sala #1</t>
  </si>
  <si>
    <t>Aprobación acta anterior, Encuentros ciudadanos Alcaldía Local, Política Pública Participación en Salud,Resolución 984 de 2023,Estímulos 2024, Chatico</t>
  </si>
  <si>
    <t>2024-03-14_SESION MARZO</t>
  </si>
  <si>
    <t>https://teams.microsoft.com/l/meetup-join/19:meeting_MTlkNTg4N2MtMjBjZi00YTRlLTkxOGUtZTBmMzg2MDkyMjg3@thread.v2/0?context=%7B%22Tid%22:%220f1156f1-406d-4123-99f0-a976b835b9b6%22,%22Oid%22:%22430bc0ff-ce83-4fe8-b1ae-8552f898fc40%22%7D</t>
  </si>
  <si>
    <t>Plan de Acción de la CLIP , Actividades de participación para el PDD</t>
  </si>
  <si>
    <t>Jornada Pégate al Plan: Pedagogía ciudadana para el manejo e implementación de la herramienta chatico - STARTCO</t>
  </si>
  <si>
    <t xml:space="preserve">Aplicar instrumento de fase II a través de chatico a patrocinadores, emprendedores, inversionistas, pymes. </t>
  </si>
  <si>
    <t>Renata Rengifo Moyano</t>
  </si>
  <si>
    <t>Juan Gabriel Arboleda</t>
  </si>
  <si>
    <t>jgabriel@starter.com.co</t>
  </si>
  <si>
    <t>Carrera 37 No 24 - 67</t>
  </si>
  <si>
    <t>Priorizacion desde  Chatico la construcción  el PDD</t>
  </si>
  <si>
    <t>2024-03-14_JORNADA PEGATE AL PLAN - STARTCO</t>
  </si>
  <si>
    <t>Gestión: Capacitación Metodología de Participación - Servidores SDP</t>
  </si>
  <si>
    <t>Capacitar a servidores de la SDP en la estrategia de Participación para formular el PDD y en el manejo de Chatico.</t>
  </si>
  <si>
    <t>Auditorio SDP</t>
  </si>
  <si>
    <t>Estrategia de participación para la formulación del PDD.  Uso del ChatBot Chatico</t>
  </si>
  <si>
    <t>2024-03-14_CAPACITACION SERVIDORES SDP</t>
  </si>
  <si>
    <t>Gestión: Concertación con la Consultiva Indígena de la metodología de participación del PDD</t>
  </si>
  <si>
    <t>Concertar con la Consultiva Indígena la metodología de participación en el proceso de recolección de aportes de la II Fase del Plan Distrital de Desarrollo correspondiente a "Aspiraciones Comunes".</t>
  </si>
  <si>
    <t>Calle 9 #9-60. Casa Indígena</t>
  </si>
  <si>
    <t xml:space="preserve">Estrategia participación PDD , Nueva fecha para el abordaje de la metodología </t>
  </si>
  <si>
    <t>2024-03-14_CONCERTACION METODOLOGIA - INDIGENAS</t>
  </si>
  <si>
    <t>Gestión: Capacitación estrategia de participación Fase II PDD con IDPAC</t>
  </si>
  <si>
    <t>Capacitar al equipo del IDPAC sobre las generalidades del PDD, estrategia de participación y Chatico</t>
  </si>
  <si>
    <t>Estrategia de participación PDD, Chatico y contenidos PDD</t>
  </si>
  <si>
    <t>2024-03-14_CAPACITACION FASE II - IDPAC</t>
  </si>
  <si>
    <t>Gestión: Concertación con la Consultiva Raizal de la metodología de participación del PDD</t>
  </si>
  <si>
    <t>Concertar con la Consultiva Raizal la metodología de participación en el proceso de recolección de aportes de la II Fase del Plan Distrital de Desarrollo correspondiente a "Aspiraciones Comunes".</t>
  </si>
  <si>
    <t>Socialización de la estructura general del PDD. acuerdo sobre la metodología de participación para la recolección de propuestas de la comunidad raizal</t>
  </si>
  <si>
    <t>2024-03-14_CONCERTACION METODOLOGIA - RAIZALES</t>
  </si>
  <si>
    <t>Presentación sobre PDD</t>
  </si>
  <si>
    <t xml:space="preserve">Ok, es de gestión tiene acta, lsitado de asistencia, registro fotográfico </t>
  </si>
  <si>
    <t>Dialogo Ciudadano para la Construcción del PDD - UPL Engativá</t>
  </si>
  <si>
    <t>Arley Peña</t>
  </si>
  <si>
    <t>Salón Comunal Barrio Alameda Piso 2  - Calle 64D 105 - 44</t>
  </si>
  <si>
    <t>Envío de memoerias del espacio</t>
  </si>
  <si>
    <t>2024-03-14_DIALOGO CIUDADANO - UPL ENGATIVA</t>
  </si>
  <si>
    <t>Proyecto de acuerdo - PDD 2024-2028</t>
  </si>
  <si>
    <t xml:space="preserve">Documento base PDD </t>
  </si>
  <si>
    <t>https://drive.google.com/file/d/1N8cHkwopb2dR0tcPgjr-eaT70HKrVEEQ/view?usp=sharing</t>
  </si>
  <si>
    <t>Comisión de Participación Ordinaria - CTPD</t>
  </si>
  <si>
    <t>Acompañar la realización de la primer  sesión de la Comisíón de Participación del CTPD.</t>
  </si>
  <si>
    <t>Dick Darío Diaz Melendez</t>
  </si>
  <si>
    <t>ctpdcomisiondeparticipacion@gmail.com</t>
  </si>
  <si>
    <t>https://meet.google.com/uca-qrxr-hwn</t>
  </si>
  <si>
    <t>Plan Distrital de Desarollo</t>
  </si>
  <si>
    <t>2024-03-14_SESION ORDINARIA - COMISION PARTICIPACION</t>
  </si>
  <si>
    <t>Grabación y chat de sesión</t>
  </si>
  <si>
    <t>Sexto foro virtual con Servidores Públicos para la formulación del PDD - DASCD/SDP</t>
  </si>
  <si>
    <t>https://capacitacion.moodle.serviciocivil.gov.co/curso/2174</t>
  </si>
  <si>
    <t>Generalidades de la formulación del PDD , fomentar la participación de los servidores públicos.</t>
  </si>
  <si>
    <t>2024-03-15_VI FORO VIRTUAL PDD - SERVIDORES</t>
  </si>
  <si>
    <t>Sesión Mesa de Cultura Ciudadana</t>
  </si>
  <si>
    <t>Mesa de Cultura Ciudadana</t>
  </si>
  <si>
    <t>Conocer las directrices para garantizar el avance de propuestas sectoriales frente al tema.</t>
  </si>
  <si>
    <t>santiago.trujillo@scrd.gov.co</t>
  </si>
  <si>
    <t xml:space="preserve">Presentación de las perspectivas de la Mesa de Cultura Ciudadana </t>
  </si>
  <si>
    <t>2024-03-15_SESION - MESA DE CULTURA CIUDADANA</t>
  </si>
  <si>
    <t>Gestión: Concertación con la Consultiva Rrom - Gitana de la metodología de participación del PDD</t>
  </si>
  <si>
    <t>Concertar con la Consultiva Rrom-Gitana la metodología de participación en el proceso de recolección de aportes de la II Fase del Plan Distrital de Desarrollo correspondiente a "Aspiraciones Comunes".</t>
  </si>
  <si>
    <t>Cra. 65a #5a-35. Casa Gitana</t>
  </si>
  <si>
    <t>Solicitud de vortechias con los sectores por parte del Pueblo Rrom-Gitano</t>
  </si>
  <si>
    <t>2024-03-15_CONCERTACION METODOLOGIA - PUEBLO RROM</t>
  </si>
  <si>
    <t xml:space="preserve">Ok es de gestion tiene acta , registro fotográfico y documentos adicionales </t>
  </si>
  <si>
    <t>Jornada Pégate al Plan: Pedagogía ciudadana para el manejo e implementación de la herramienta chatico - STARTCO II</t>
  </si>
  <si>
    <t>Aplicación de instrumento  fase Il a través de chatico a patrocinadores, emprendedores, inversionistas, pymes</t>
  </si>
  <si>
    <t>2024-03-15_JORNADA PEGATE AL PLAN - STARTCO II</t>
  </si>
  <si>
    <t>Gestión: Concertación con la Consultiva Palenquera de la metodología de participación del PDD</t>
  </si>
  <si>
    <t>Concertar con la Consultiva Palenquera la metodología de participación en el proceso de recolección de aportes de la II Fase del Plan Distrital de Desarrollo correspondiente a "Aspiraciones Comunes".</t>
  </si>
  <si>
    <t>Estructura general del PDD , co-creación de  metodología  para la recoleccion de propuestas de la comunidad palenquera en el PDD</t>
  </si>
  <si>
    <t>2024-03-15_CONCERTACION METODOLOGIA - PALENQUEROS</t>
  </si>
  <si>
    <t>Plenaria Extraordinaria - CTPD</t>
  </si>
  <si>
    <t>Acompañar la aprobación del reglamento interno.</t>
  </si>
  <si>
    <t>https://meet.google.com/hbz-vdfq-cka</t>
  </si>
  <si>
    <t>Aprobación del reglamento interno</t>
  </si>
  <si>
    <t>2024-03-15_PLENARIA EXTRAORDINARIA</t>
  </si>
  <si>
    <t xml:space="preserve">Orden del día y reglamento </t>
  </si>
  <si>
    <t>Diálogo con personas cuidadoras de personas con discapacidad (DDSPG)</t>
  </si>
  <si>
    <t xml:space="preserve">Orientar la construcción de propuestas ciudadanas para a formulación del PDD a través de información, diálogo, pedagogía y fortalecimiento de la confianza desde la planeación participativa, con las personas cuidadoras de personas con discapacidad. </t>
  </si>
  <si>
    <t>Diana Palma</t>
  </si>
  <si>
    <t>dpalma@sdp.gov.co</t>
  </si>
  <si>
    <t>Calle 31 # 17 - 49 Casa LGTBI Sebastián Romero</t>
  </si>
  <si>
    <t xml:space="preserve">objetivos estratégicos del PDD, se priorizaron algunas metas y programas, se dejaron propuestas abiertas en los cinco objetivos </t>
  </si>
  <si>
    <t>2024-03-16_DIALOGO CIUDADANO POBLACIONAL - DISCAPACIDAD</t>
  </si>
  <si>
    <t>Bases documento del PDD</t>
  </si>
  <si>
    <t>Ok, el fregistro fotografico esta inserto, la opdc solo asiste como acompañante s</t>
  </si>
  <si>
    <t>Dialogo Ciudadano para la Construcción del PDD - UPL Kennedy</t>
  </si>
  <si>
    <t>Alcaldía Local de Kennedy
Tv. 78 K # 41A -04 sur</t>
  </si>
  <si>
    <t>Plan Dristrital de Desarrollo, uso de Chatico</t>
  </si>
  <si>
    <t>2024-03-16_DIALOGO CIUDADANO - UPL KENNEDY</t>
  </si>
  <si>
    <t>Documento base - proyecto PDD</t>
  </si>
  <si>
    <t>Infografía, Pieza de Convocatoria, Documento base PDD, QR Chatico</t>
  </si>
  <si>
    <t>https://drive.google.com/file/d/1YnLK2GlBwe4liNGyWOvFGleCpRq_5mWI/view?usp=sharing</t>
  </si>
  <si>
    <t>Dialogo Ciudadano para la Construcción del PDD - UPL Cerros Orientales -  Sector San Luis y La Sureña</t>
  </si>
  <si>
    <t xml:space="preserve">Salón comunal San Luis Diagonal 96a N° 3a - 98 Este
</t>
  </si>
  <si>
    <t xml:space="preserve">Seguridad, Servicios, productividad, empleo y sostenibilidad en la ruralidad </t>
  </si>
  <si>
    <t>2024-03-16_DIALOGO CIUDADANO - UPL CERROS ORIENTALES - SECTOR SAN LUIS Y LA SUREÑA</t>
  </si>
  <si>
    <t>Documento Base Proyecto PDD</t>
  </si>
  <si>
    <t>Protocolo Diálogos con las Ruralidades - Fase II PDD (2)</t>
  </si>
  <si>
    <t>https://acortar.link/AjFmAd</t>
  </si>
  <si>
    <t>Dialogo Ciudadano para la Construcción del PDD - UPL Cerros Orientales -  Verjones</t>
  </si>
  <si>
    <t xml:space="preserve">
Salón Comunal Cristino Bravo Vereda Verjón Bajo, Santa Fe</t>
  </si>
  <si>
    <t>2024-03-16_DIALOGO CIUDADANO - UPL CERROS ORIENTALES - VERJONES</t>
  </si>
  <si>
    <t>https://sdpgovco.sharepoint.com/:b:/r/sites/DirecciondeParticipacionyComunicacionparalaPlaneacion/Documentos%20compartidos/PROCESOS_OPDC_VIGENCIA%202024-2027/PROCESOS_OPDC_2024/DRIVE%20OPERATIVO/ACTAS%20PARA%20PUBLICACI%C3%93N%202024/ACTA%20%20Dialogo%20Ciudadano%20para%20la%20Construcci%C3%B3n%20del%20PDD%20-%20UPL%20Cerros%20Orientales%20-%20%20Sector%20San%20Luis%20y%20La%20Sure%C3%B1a.pdf?csf=1&amp;web=1&amp;e=0ZJ8Tj</t>
  </si>
  <si>
    <t>Jornada Pégate al Plan: Pedagogía ciudadana para el manejo de la herramienta chatico - Alimentarte</t>
  </si>
  <si>
    <t>Parque el Contry (Calle 127 #11d-90)</t>
  </si>
  <si>
    <t>Herramienta chatico</t>
  </si>
  <si>
    <t>2024-03-16_JORNADA PEGATE AL PLAN - ALIMENTARTE</t>
  </si>
  <si>
    <t>Jornada Pégate al Plan: Pedagogía ciudadana para el manejo e implementación de la herramienta chatico - Parkway</t>
  </si>
  <si>
    <t>Monumento al Almirante José Prudencio Padilla, El Parkway (Av. 24 #37-51)</t>
  </si>
  <si>
    <t>Pedagogía uso de herramienta chatico</t>
  </si>
  <si>
    <t>2024-03-17_JORNADA PEGATE AL PLAN</t>
  </si>
  <si>
    <t>Jornada Pégate al Plan: Pedagogía ciudadana para el manejo e implementación de la herramienta chatico - Conmemoración del día de la Mujer Sumapaceña</t>
  </si>
  <si>
    <t xml:space="preserve">Vereda Auras </t>
  </si>
  <si>
    <t xml:space="preserve">Propuestas para el Plan Distrital de Desarrollo </t>
  </si>
  <si>
    <t>2024-03-17_JORNADA PEGATE AL PLAN - CONMEMORACION MUJER SUMAPACEÑA</t>
  </si>
  <si>
    <t xml:space="preserve">Video evidencia de asistencia </t>
  </si>
  <si>
    <t>Jornada Pégate al Plan: Pedagogía ciudadana para el manejo de la herramienta chatico - Alimentarte II</t>
  </si>
  <si>
    <t xml:space="preserve"> Propuestas ciudadanas para la formulación del Plan de Desarrollo Distrital</t>
  </si>
  <si>
    <t>2024-03-17_JORNADA PEGATE AL PLAN - ALIMENTARTE</t>
  </si>
  <si>
    <t>OK , solo tiene acta y registro fotográfico</t>
  </si>
  <si>
    <t>Gestión: Taller del Plan de desarrollo Distrital -Funcionarios de la Veeduria Distrital.</t>
  </si>
  <si>
    <t>Dar a conocer la metodologia, cronograma y acompañamiento frente al proceso de construcción del Plan de de Desarrollo Distrital.</t>
  </si>
  <si>
    <t>Javier Pinzon Veeduria Distrital</t>
  </si>
  <si>
    <t>320 3434733</t>
  </si>
  <si>
    <t>jpinzon@veeduriadistrital.gov.co</t>
  </si>
  <si>
    <t>Auditorio Secretaria Distrital de Planeación</t>
  </si>
  <si>
    <t>Estrategia de Plan de Desarrollo , uso Catico</t>
  </si>
  <si>
    <t>2024-03-18_TALLER PDD - VEEDURIA DISTRITAL</t>
  </si>
  <si>
    <t>OK, es de gestión tiene acta y registro fotográfico</t>
  </si>
  <si>
    <t>Reunión preparatoria para la realización de Diálogos Ciudadanos con Grupos Étnicos</t>
  </si>
  <si>
    <t>Realizar reunión preparatoria para los Diálogos Ciudadanos con Grupos Étnicos con los enlaces de grupos étnicos de la Secretaría Distrital de Planeacion</t>
  </si>
  <si>
    <t>Edwin Caicedo</t>
  </si>
  <si>
    <t>Edwin.martinez@gobiernobogota.gov.co</t>
  </si>
  <si>
    <t>Secretaría Distrital de Gobierno (Carrera 8# 10-71)</t>
  </si>
  <si>
    <t>Metodología para diálogos ciudadanos; grupos étnicos; articulación institucional</t>
  </si>
  <si>
    <t>2024-03-18_ PREPARATORIA ETNICOS</t>
  </si>
  <si>
    <t xml:space="preserve">Ok es de gestion tiene acta  y listado de asistencia </t>
  </si>
  <si>
    <t>Seguimiento Estrategia de Participación del PDD a DASCD</t>
  </si>
  <si>
    <t xml:space="preserve">Realizar seguimiento y acompañamiento a espacios realizados durante la estrategia territorial de participación. </t>
  </si>
  <si>
    <t>https://meet.google.com/kxb-xfvs-kkh</t>
  </si>
  <si>
    <t xml:space="preserve">Seguimiento a talleres, actualización de cronograma , entrega de evidencias. </t>
  </si>
  <si>
    <t>2024-03-18_SEGUIMIENTO DASCD</t>
  </si>
  <si>
    <t xml:space="preserve">Ok , es de gestión solo cuenta con Acta y registro fotográfico , convocatoria </t>
  </si>
  <si>
    <t>Gestión: II Revisión de instrumento y articulación -  Dirección de Estratificación</t>
  </si>
  <si>
    <t xml:space="preserve">Determinar metodología de apoyo sobre propuestas de participación o comunicación. </t>
  </si>
  <si>
    <t>José Antonio Pinzón</t>
  </si>
  <si>
    <t>jpinzonb@sdp.gov.co</t>
  </si>
  <si>
    <t>ABC de la Estratificación, metodología comunicativa y estrategias</t>
  </si>
  <si>
    <t>2024-03-18_II REVISION DE INSTRUMENTO Y ARTICULACION</t>
  </si>
  <si>
    <t>Ok, es de gestión tiene acta, lsitado de asistencia, registro fotográfico y convocatoria</t>
  </si>
  <si>
    <t>Dialogo Ciudadano para la Construcción del PDD - UPL Chapinero</t>
  </si>
  <si>
    <t>Auditorio, Alcaldía Local de Chapinero - Carrera 13 # 54-74</t>
  </si>
  <si>
    <t>Obtetivos, programas , soluciones en el marco de la formulación del PDD</t>
  </si>
  <si>
    <t xml:space="preserve">Envío de memorias del espacio </t>
  </si>
  <si>
    <t>2024-03-18_DIALOGO CIUDADANO - UPL CHAPINERO</t>
  </si>
  <si>
    <t>Proyecto Plan Distrital de Desarrollo</t>
  </si>
  <si>
    <t>https://drive.google.com/file/d/1svym7fKZE2Oehz0lauLprNWhnx2BsVqh/view?usp=sharing</t>
  </si>
  <si>
    <t>Plenaria Permantente Extraordinaria - CTPD</t>
  </si>
  <si>
    <t>Acompañar la aprobación del Reglamento Interno.</t>
  </si>
  <si>
    <t>https://meet.google.com/foy-xibp-mqj</t>
  </si>
  <si>
    <t>Aprobación del reglamento interno CTPD</t>
  </si>
  <si>
    <t>2024-03-18_PLENARIA EXTRAORDINARIA PERMANENTE</t>
  </si>
  <si>
    <t xml:space="preserve">Grabación de la sesion, aporte al reglamnete , orden del día </t>
  </si>
  <si>
    <t>I Diálogo Ciudadano Poblacional para la Construcción del PDD - Taller Niños, Niñas y Adolescentes - SED-SDP</t>
  </si>
  <si>
    <t>Recoger las propuestas de los Niños, Niñas y Adolescentes con respecto a la fase de aspiraciones comunes del Plan Distrital de Desarrollo.</t>
  </si>
  <si>
    <t>Individual</t>
  </si>
  <si>
    <t xml:space="preserve">Colegio Cultural Popular </t>
  </si>
  <si>
    <t>Fase II PDD</t>
  </si>
  <si>
    <t>2024-03-19_I DIALOGO CIUDADANO POBLACIONAL - NIÑOS, NIÑAS Y ADOLESCENTES</t>
  </si>
  <si>
    <t xml:space="preserve">Documentos de propuesta metodologica </t>
  </si>
  <si>
    <t>CLIP Puente Aranda</t>
  </si>
  <si>
    <t>Acompañar la articulación de los esfuerzos institucionales de participación en la localidad de Puente Aranda.</t>
  </si>
  <si>
    <t>Martha Edid López</t>
  </si>
  <si>
    <t>315 6499699</t>
  </si>
  <si>
    <t>Puente Aranda</t>
  </si>
  <si>
    <t>Auditorio del primer piso de la Alcaldía
Local Pte Aranda</t>
  </si>
  <si>
    <t>Agenda participación Abril, Presentación estrategias formulación PDD</t>
  </si>
  <si>
    <t>2024-03-19_SESION MARZO</t>
  </si>
  <si>
    <t xml:space="preserve">I Diálogo Ciudadano Poblacional para la Construcción del PDD - Consultiva Negra-afrocolombiana </t>
  </si>
  <si>
    <t>Recoger las propuestas de la consultiva negra-afrocolombiana con respecto a la fase de aspiraciones comunes del Plan Distrital de Desarrollo.</t>
  </si>
  <si>
    <t>edwin.martinez@gobiernobogota.gov.co</t>
  </si>
  <si>
    <t>Dirección de Evaluación de Políticas Públicas Distritales, Dirección de Formulación y Seguimiento de Políticas Públicas, Seguimiento a la inversión</t>
  </si>
  <si>
    <t>Casa Afro (Calle 8 #9-64)</t>
  </si>
  <si>
    <t>Propuestas sobre las metas del objetivo estratégico "Bogotá camina segura" del proyecto del PDD por parte de las comunidades negras</t>
  </si>
  <si>
    <t>2024-03-19_DIALOGO CIUDADANO POBLACIONAL - CONSULTIVA AFROCOLOMBIANA</t>
  </si>
  <si>
    <t>En trámite</t>
  </si>
  <si>
    <t xml:space="preserve">Falta que Gobierno , envíe acta </t>
  </si>
  <si>
    <t>I Foro - reglamentación del Manual de Ecourbanismo y Construcción Sostenible - Bienestar</t>
  </si>
  <si>
    <t>Reglamentación de Ecourbanismo y Construcción Sostenible</t>
  </si>
  <si>
    <t>Socializar la reglamentación de las disposiciones de Ecourbanismo y Construcción Sostenible - Decreto 582 de 2023 (generalidades).</t>
  </si>
  <si>
    <t>Camilo Luengas</t>
  </si>
  <si>
    <t>312 4453071</t>
  </si>
  <si>
    <t>camiloandresluengas@gmail.com</t>
  </si>
  <si>
    <t>Subdirección de Eco Urbanismo y Construcción Sostenible</t>
  </si>
  <si>
    <t>http://meet.google.com/prz-ywsw-qew</t>
  </si>
  <si>
    <t>Manual de Eco urbanismo</t>
  </si>
  <si>
    <t>2024-03-19_SOCIALIZACION REGLAMENTACION</t>
  </si>
  <si>
    <t>Abordaje Plan Distrital de Desarrollo -  Summa</t>
  </si>
  <si>
    <t>Acompañar el espacio para abordar las generalidades del Plan Distrital de Desarrollo.</t>
  </si>
  <si>
    <t>Paulina</t>
  </si>
  <si>
    <t>pduquefhi360.org</t>
  </si>
  <si>
    <t>meet.google.com/fiy-opck-gur</t>
  </si>
  <si>
    <t>Apoyo por parte de suma a los espacios de incidencia, apoyo al plan de desarrollo distrital</t>
  </si>
  <si>
    <t>2024-03-19_DIALOGO CON SUMMA</t>
  </si>
  <si>
    <t>Dialogo Ciudadano para la Construcción del PDD - UPL Sumapaz - Cuenca Río Blanco</t>
  </si>
  <si>
    <t>Heriberto Bernal</t>
  </si>
  <si>
    <t xml:space="preserve">Veredas Nazareth y Betania </t>
  </si>
  <si>
    <t>Propuestas Plan Distrital de Desarrollo</t>
  </si>
  <si>
    <t>2024-03-19-DIALOGO CIUDADANO - UPL SUMAPAZ - CUENCA RIO BLANCO</t>
  </si>
  <si>
    <t>Infografía explicativa del PDD y el documento PDD</t>
  </si>
  <si>
    <t>https://acortar.link/ulyGJm</t>
  </si>
  <si>
    <t>Dialogo Ciudadano para la Construcción del PDD - UPL Salitre</t>
  </si>
  <si>
    <t>Auditorio Rafael Riveros del IDPAC Avenida Calle 22 No. 68C-51</t>
  </si>
  <si>
    <t>Popuestas Plan Distrital de Desarrollo</t>
  </si>
  <si>
    <t>2024-03-19_DIALOGO CIUDADANO - UPL SALITRE</t>
  </si>
  <si>
    <t>Documento del Plan Distrital de Desarrollo-PDD</t>
  </si>
  <si>
    <t>QR CHATICO, temas chatico, fichas prpuestas chatico, documentos base PDD, Volantes</t>
  </si>
  <si>
    <t>https://drive.google.com/file/d/1hd1FzAnbId_nLOQXAT9uKhrHdNySFVU6/view?usp=sharing</t>
  </si>
  <si>
    <t>Diálogo ciudadano para la formulación del Plan Distrital de Desarrollo PDD- LGBTI</t>
  </si>
  <si>
    <t>Orientar la construcción de propuestas ciudadanas para la formulación del PDD a través de información, diálogo, pedagogía y fortalecimiento de la confianza desde la planeación participativa, con personas de los sectores LGBTI y consejeros/as consultivos</t>
  </si>
  <si>
    <t>Marcial Alfredo Ortega Avila</t>
  </si>
  <si>
    <t>3002675080</t>
  </si>
  <si>
    <t>mortega@sdp.gov.co</t>
  </si>
  <si>
    <t>calle 23 No. 14 -19 Castillo de las Artes</t>
  </si>
  <si>
    <t>Construcción de propuestas ciudadanas para la formulación del PDD a través de información, diálogo, pedagogía y fortalecimiento de la confianza desde la planeación participativa, con personas de los sectores LGBTI y consejeros/as consultivos</t>
  </si>
  <si>
    <t>2024-03-19_DIALOGO CIUDADANO PARA LA FORMULACION DEL PLAN DISTRITAL DE DESARROLLO PDD- LGBTI</t>
  </si>
  <si>
    <t>147 A</t>
  </si>
  <si>
    <t xml:space="preserve">Ok el acta y el registro fotografico lo paso la Alcaldia / y es una actividad de la direccion de diversidad Sexual </t>
  </si>
  <si>
    <t xml:space="preserve">de </t>
  </si>
  <si>
    <t>Socialización Plan Plurianual de Inversiones - Comisión PDD - CTPD</t>
  </si>
  <si>
    <t>Socializar desde la Subsecretaría de Planeación de la Inversión, de los criterios de asignación sectorial o territorial del plan plurianual de inversiones y los respectivos planes operativos anuales de inversión - POAI en la formulación del borrador del Plan.</t>
  </si>
  <si>
    <t>https://meet.google.com/kem-nyeq-ius</t>
  </si>
  <si>
    <t>Plan Plurianual de Inversiones</t>
  </si>
  <si>
    <t>2024-03-19_SOCIALIZACION PLAN PLURIANUAL DE INVERSIONES</t>
  </si>
  <si>
    <t>Orden del día</t>
  </si>
  <si>
    <t>meet.google.com/zwj-xyfv-yko</t>
  </si>
  <si>
    <t>Avance del estatus de actividades adelantadas en el marco de la segunda fase de la estrategia de participación del PDD Aspiraciones Comunes</t>
  </si>
  <si>
    <t>2024-03-20_REUNION COMITE DE COORDINACION</t>
  </si>
  <si>
    <t>II Diálogo Ciudadano Poblacional para la Construcción del PDD - Taller Niños, Niñas y Adolescentes - SED-SDP</t>
  </si>
  <si>
    <t xml:space="preserve">Colegio Inem Santiago Pérez </t>
  </si>
  <si>
    <t>2024-03-20_II DIALOGO CIUDADANO POBLACIONAL - NIÑOS, NIÑAS Y ADOLESCENTES</t>
  </si>
  <si>
    <t xml:space="preserve">Documento de propuesta metodologica </t>
  </si>
  <si>
    <t>Acompañar la articulación de los esfuerzos institucionales de participación en la localidad de Ciudad Bolívar.</t>
  </si>
  <si>
    <t>Luisa pinzon</t>
  </si>
  <si>
    <t>‪3160503967‬</t>
  </si>
  <si>
    <t>https://teams.microsoft.com/l/meetup-join/19%3ameeting_MjhjZmQyYjgtNWJmOC00ZmNhLTgyODMtOWNhMGQxZjNlZGRh%40thread.v2/0?context=%7b%22Tid%22%3a%220f1156f1-406d-4123-99f0-a976b835b9b6%22%2c%22Oid%22%3a%22e893fafa-8392-44ed-aa11-0e06fb4fa772%22%7d</t>
  </si>
  <si>
    <t xml:space="preserve">Presentación de la estrategia para la formulación del Plan Distrital de Desarrollo y su fase II, Aspiraciones Comunes </t>
  </si>
  <si>
    <t>2024-03-20_SESION MARZO</t>
  </si>
  <si>
    <t>Presentación Estrategia para la formulación PDD</t>
  </si>
  <si>
    <t>Dialogo Ciudadano para la Construcción del PDD - UPL Britalia</t>
  </si>
  <si>
    <t>Judy Jiménez</t>
  </si>
  <si>
    <t>gilmarjac2016@gmail.com</t>
  </si>
  <si>
    <t>Britalia</t>
  </si>
  <si>
    <t>Salón comunal del barrio Gilmar - Carrera 62 #161C - 33</t>
  </si>
  <si>
    <t>Identificar las propuestas ciudadanas para la formulación del Plan de Desarrollo Distrital</t>
  </si>
  <si>
    <t>Envair memorias del espacio</t>
  </si>
  <si>
    <t>2024-03-20_DIALOGO CIUDADANO - UPL BRITALIA</t>
  </si>
  <si>
    <t>El documento base del Plan Distrital de Desarrollo</t>
  </si>
  <si>
    <t>https://drive.google.com/file/d/1o7E5v1oJTbUg5cu2mdyRMr3ZtaZwj6Lt/view?usp=sharing</t>
  </si>
  <si>
    <t>Sesión Extraordinaria Comisión de Desarrollo Regional, Descentralización y Desconcentración del CTPD</t>
  </si>
  <si>
    <t>Acompañar como Secretaría Técnica de la sesión extraordinaria de la Comisión de Desarrollo Regional, Descentralización y Desconcentración, para revisar la metodología de aportes al PDD</t>
  </si>
  <si>
    <t>María Cristina Yela</t>
  </si>
  <si>
    <t>315 7917070</t>
  </si>
  <si>
    <t>19mcyb80.0@gmail.com</t>
  </si>
  <si>
    <t>https://meet.google.com/biv-jgdj-nsv?authuser=0</t>
  </si>
  <si>
    <t>Aportes Proyecto de PDD</t>
  </si>
  <si>
    <t>2024-03-20_SESIÓN EXTRAORDINARIA COMISIÓN DE DESARROLLO REGIONAL CTPD</t>
  </si>
  <si>
    <t>Construir documento de la comisión poblacional para la consolidación del concepto técnico del PDD.</t>
  </si>
  <si>
    <t>https://meet.google.com/vky-wbyh-ige</t>
  </si>
  <si>
    <t>Consolidación documento para el concepto técnico del PDD, formulación de preguntas para la Audiencia Pública del CTPD</t>
  </si>
  <si>
    <t>2024-03-20_COMISIÓN POBLACIONAL</t>
  </si>
  <si>
    <t>Comisión POT Ordinaria - CTPD</t>
  </si>
  <si>
    <t>Acompañar la realización de la primer  sesión de la Comisíón del Plan de Ordenamiento Territorial del CTPD.</t>
  </si>
  <si>
    <t>Cesar Munir Cardenas</t>
  </si>
  <si>
    <t>consejoterritorialdebogota@gmail.com</t>
  </si>
  <si>
    <t>meet.google.com/amw-gtvj-zkd</t>
  </si>
  <si>
    <t>Metodología para las propuestas , observaciónes del PDD</t>
  </si>
  <si>
    <t>2024-03-20_SESION ORDINARIA - COMISION POT</t>
  </si>
  <si>
    <t xml:space="preserve">Video de la sesión, Presentación de la sesión </t>
  </si>
  <si>
    <t>Comisión Ordinaria de Participación - CTPD</t>
  </si>
  <si>
    <t>Acompañar la Segunda Reunión Comisión de Participación</t>
  </si>
  <si>
    <t>https://meet.google.com/hyq-exxk-ito</t>
  </si>
  <si>
    <t xml:space="preserve"> Plan Indicativo y Plurianual con acompañamiento de la Subsecretaría de la Inversión</t>
  </si>
  <si>
    <t>2024-03-20_COMISIÓN ORDINARIA DE PARTICIPACIÓN</t>
  </si>
  <si>
    <t>Grabación y chat de la sesión, ordén del día</t>
  </si>
  <si>
    <t>Sesión Ordinaria - Comisión Intersectorial Diferencial Poblacional</t>
  </si>
  <si>
    <t>Participar de la sesión ordinaria de la Comisión Intersectorial Poblacional Diferencial.</t>
  </si>
  <si>
    <t>Secretaría de Integración Social</t>
  </si>
  <si>
    <t>Avances de la CIPD , definición del plan de acción.</t>
  </si>
  <si>
    <t>2024-03-21_SESION ORDINARIA - COMISION INTERSECTORIAL DIFERENCIAL POBLACIONAL</t>
  </si>
  <si>
    <t>Presentación estrategia de participación de PDD</t>
  </si>
  <si>
    <t>Sesión Extraordinaria de la  Comisión Plan de Desarrollo Distrital</t>
  </si>
  <si>
    <t>Realizar la explicación y aclaración de uso de la matriz , la metodología , las inquietudes por parte del apoyo técnico de la Universidad Nacional sobre la construcción del criterio técnico del PDD por parte del CTPD.</t>
  </si>
  <si>
    <t>Claudia Patricia Solorzano Gutierrez</t>
  </si>
  <si>
    <t>claudiapatriciasolorzano@gmail.com</t>
  </si>
  <si>
    <t>https://meet.google.com/agx-vnyu-dgc</t>
  </si>
  <si>
    <t>Explicación y aclaración de uso de la matriz y la metodología, aclaración de inquietudes por parte del apoyo técnico de la Universidad Nacional</t>
  </si>
  <si>
    <t>2024-03-21_ SESIÓN EXTRAORDINARIA DE LA COMISIÓN PLAN DE DESARROLLO DISTRITAL</t>
  </si>
  <si>
    <t xml:space="preserve">Orden de día </t>
  </si>
  <si>
    <t>CLIP Tunjuelito</t>
  </si>
  <si>
    <t>Acompañar la articulación de los esfuerzos institucionales de participación en la localidad de Tunjuelito.</t>
  </si>
  <si>
    <t>Jhon Santos</t>
  </si>
  <si>
    <t>320 2026914</t>
  </si>
  <si>
    <t>jsantos@participacionbogota.gov.co</t>
  </si>
  <si>
    <t>Centro de Salud El Tunal - Cl. 48c Sur #19c-48,</t>
  </si>
  <si>
    <t>Promoción de la paridad en instancias de participación; Estrategia participación Plan de Desarrollo Distrital; Diálogos ciudadanos</t>
  </si>
  <si>
    <t>2024-03-21_SESION MARZO</t>
  </si>
  <si>
    <t>Gestión:Mesa Rural Bogotá</t>
  </si>
  <si>
    <t>Realizar convocatoria por medio de volantes para el Taller de Diálogo Orientado de Cuenca de Tunjuelo para la construcción del PDD a los y los asistentes de la Mesa Rural.</t>
  </si>
  <si>
    <t>Ruby Puerto</t>
  </si>
  <si>
    <t>316 1500736‬</t>
  </si>
  <si>
    <t>NA</t>
  </si>
  <si>
    <t>Vereda Olarte</t>
  </si>
  <si>
    <t>Usme km 8 vía San Juan de Sumapaz</t>
  </si>
  <si>
    <t>2024-03-21_GESTIÓN_MESA RURAL BOGOTÁ</t>
  </si>
  <si>
    <t>Ok es de gestión solo tiene acta y registro fotográfico</t>
  </si>
  <si>
    <t>Orientar la construcción de propuestas ciudadanas para la formulación del PDD a través de información, diálogo, pedagogía y fortalecimiento de la confianza desde la planeación participativa, con la población perteneciente a los sectores sociales LGBTI en la localidad de Suba.</t>
  </si>
  <si>
    <t>Tibabuyes</t>
  </si>
  <si>
    <t xml:space="preserve">Suba Urbano </t>
  </si>
  <si>
    <t>calle 146 C # 92-78 Casa LGBTI Laura</t>
  </si>
  <si>
    <t>Construcción de propuestas ciudadanas para la formulación del PDD a través de información, diálogo, pedagogía y fortalecimiento de la confianza desde la planeación participativa, con la población perteneciente a los sectores sociales LGBTI en la localidad de Suba.</t>
  </si>
  <si>
    <t>2024-03-21_DIALOGO CIUDADANO PARA LA FORMULACION DEL PDD LGBTI</t>
  </si>
  <si>
    <t>161 A</t>
  </si>
  <si>
    <t xml:space="preserve">OK. es una actividad realizada por la subdireccion LGTBI , el registro fotografico esta inserto en el acta </t>
  </si>
  <si>
    <t xml:space="preserve">completo </t>
  </si>
  <si>
    <t>Dialogo Ciudadano para la Construcción del PDD - UPL Arborizadora</t>
  </si>
  <si>
    <t>Armando Alberto Montañez</t>
  </si>
  <si>
    <t>Casa de la cultura de Ciudad Bolivar, Avenida Calle 61 Sur #59 B-43 Sur</t>
  </si>
  <si>
    <t xml:space="preserve">Superación de la pobreza, actualización del SISBEN, Formalización de organizaciones de recicladores, </t>
  </si>
  <si>
    <t>2024-03-21_DIALOGO CIUDADANO - UPL ARBORIZADORA</t>
  </si>
  <si>
    <t xml:space="preserve">Documento Bases del Plan de Desarrollo Distrital </t>
  </si>
  <si>
    <t xml:space="preserve">Documentos Base  PDD y formato fisíco propuestas chatico </t>
  </si>
  <si>
    <t>https://drive.google.com/file/d/19zLv4DOc-IGnFyUPpTPzrjJZ96DdjvUl/view</t>
  </si>
  <si>
    <t>Gestión: reunión con ACNUR sobre la participación de migrantes en el marco de la formulación del PDD</t>
  </si>
  <si>
    <t>Definir la estrategia de recolección de aportes de la población migrante en Bogotá en el marco de la formulación del Plan Distrital de Desarrollo</t>
  </si>
  <si>
    <t>Andrea Ariza</t>
  </si>
  <si>
    <t>plazassa@unhcr.org</t>
  </si>
  <si>
    <t>https://meet.google.com/wfn-ptud-azs</t>
  </si>
  <si>
    <t>Propuestas metodológicas para la participación de las y los migrantes en el marco de la formulación del PDD</t>
  </si>
  <si>
    <t>2024-03-21_REUNIÓN ACNUR -MIGRANTES EN EL MARCO DE LA FORMULACIÓN DEL PDD</t>
  </si>
  <si>
    <t xml:space="preserve">Ok, es de gestión: tiene acta , listado de asistencia y registro fotográfico </t>
  </si>
  <si>
    <t>I Diálogo Ciudadano Poblacional para la Construcción del PDD - Comunidad Palenquera</t>
  </si>
  <si>
    <t>Recoger los aportes de la comunidad palenquera en el marco de la fase de aspiraciones comunes de la planeación participativa del Plan Distrital de Desarrollo.</t>
  </si>
  <si>
    <t>Manuela Cassiani - Organización Kuagro Monarí Palenge</t>
  </si>
  <si>
    <t>Manuela.cassiani@gobiernobogota.gov.co</t>
  </si>
  <si>
    <t>Posa Wiwa (Carrera 3 #10-72)</t>
  </si>
  <si>
    <t>Socialización de insumos para el proceso de recoleccion de propuestas de la comunidad palenquera en el PDD</t>
  </si>
  <si>
    <t>2024-03-21_I DIALOGO CIUDADANO POBLACIONAL - COMUNIDAD PALENQUERA</t>
  </si>
  <si>
    <t>Falta acta por parte de la instancia</t>
  </si>
  <si>
    <t>Sesión Comisión Intersectorial de Participación (CIP)</t>
  </si>
  <si>
    <t>Acompañar la Construcción y aprobación del Plan de Acción de la Comisión, la modificación al Reglamento Interno de la Comisión y la elección de los miembros de la Unidad Técnica de Apoyo de la Comisión.</t>
  </si>
  <si>
    <t>https://teams.microsoft.com/l/meetup-join/19%3ameeting_NDdkZDIxZjktMjFhOC00Mjg0LWJlMDMtNjBmODQwM2YxM2Uz%40thread.v2/0?context=%7b%22Tid%22%3a%220f1156f1-406d-4123-99f0-a976b835b9b6%22%2c%22Oid%22%3a%22a633c68c-9716-4817-90ed-63669c0835f6%22%7d</t>
  </si>
  <si>
    <t>Plan de acción y reglamento interno de la CIP</t>
  </si>
  <si>
    <t>2024-03-22_SESION CIP</t>
  </si>
  <si>
    <t xml:space="preserve">II Diálogo Ciudadano Poblacional para la Construcción del PDD - Consultiva Negra-afrocolombiana </t>
  </si>
  <si>
    <t>Propuestas alrededor del objetivo 2 del PDD</t>
  </si>
  <si>
    <t>2024-03-22_II DIALOGO CIUDADANO POBLACIONAL - CONSULTIVA AFROCOLOMBIANA</t>
  </si>
  <si>
    <t xml:space="preserve">Falta acta por parte d ela instancia </t>
  </si>
  <si>
    <t xml:space="preserve">Socialización de PDD a la Mesa de Indígenas Víctimas del Conflicto Armado </t>
  </si>
  <si>
    <t>Presentar a los Pueblos Indígenas víctimas del conflicto armado los avances en el Plan Distrital de Desarrollo.</t>
  </si>
  <si>
    <t>Camila Ruiz</t>
  </si>
  <si>
    <t>ccuellar@alcaldiabogota.gov.co</t>
  </si>
  <si>
    <t>Calle 9 # 9-60</t>
  </si>
  <si>
    <t>Metodología para las propuestas de la Mesa en el marco del PDD</t>
  </si>
  <si>
    <t>Gestionar el acompañamiento técnico de la dirección de seguimiento a la inversión de la SDP a 2 espacios con la Mesa de participación efectiva de víctimas indígenas del conflicto armado en la primera semana de abri</t>
  </si>
  <si>
    <t>2024-03-22_PRESENTACION MESA DE INDIGENAS VICTIMAS DEL CONFLICTO</t>
  </si>
  <si>
    <t>Dialogo Ciudadano para la Construcción del PDD - UPL Tibabuyes</t>
  </si>
  <si>
    <t>Parque Berlín (entre calles 139 y 142 con carreras 144 A y 145B) - Calle 142 # 145 - 75</t>
  </si>
  <si>
    <t xml:space="preserve">Contenidos del proyecto del Plan Distrital de Desarrollo, guía de uso de Chatico </t>
  </si>
  <si>
    <t>2024-03-22_DIALOGO CIUDADANO - UPL TIBABUYES</t>
  </si>
  <si>
    <t>Documento base de proyecto del Plan Distrital de Desarrollo</t>
  </si>
  <si>
    <t>Formato de propuesta chatico</t>
  </si>
  <si>
    <t>https://drive.google.com/file/d/1upSp25WbVl40ozFdSQ_V4Fhu72Qj_vLr/view?usp=sharing</t>
  </si>
  <si>
    <t>Socialización de la estrategia de participación PDD - Autoridades Indígenas Bakata (AIB)</t>
  </si>
  <si>
    <t>Atender la invitación para Socialización de la estrategia de participación PDD - Autoridades Indígenas Bakata (AIB)</t>
  </si>
  <si>
    <t>Secretaría Distrital de Gobierno</t>
  </si>
  <si>
    <t>Casa AIB Carrera 8 # 6B - 36</t>
  </si>
  <si>
    <t>2024-03-22_SOCIALIZACIÓN ESTRATEGIA DE PARTICIPACIÓN PDD - AUTORIDADES INDÍGENAS BAKATA (AIB)</t>
  </si>
  <si>
    <t>Acompañamiento como Secretaría Técnica a la sesión extraordinaria de la Comisión de Desarrollo Regional, Descentralización y Desconcentración, para revisar la metodología de aportes al PDD</t>
  </si>
  <si>
    <t xml:space="preserve"> https://meet.google.com/zgw-acvo-dfp</t>
  </si>
  <si>
    <t>Propuestas PDD</t>
  </si>
  <si>
    <t>2024-03-22_SESIÓN EXTRAORDINARIA COMISIÓN DE DESARROLLO REGIONAL</t>
  </si>
  <si>
    <t>Dialogo Ciudadano para la Construcción del PDD - UPL Toberín</t>
  </si>
  <si>
    <t>David Alejandro Mendieta</t>
  </si>
  <si>
    <t>CDC Simón Bolívar (Servitá) 
Calle 165 # 7-38 Salón 202</t>
  </si>
  <si>
    <t>2024-03-22_DIALOGO CIUDADANO - UPL TOBERIN</t>
  </si>
  <si>
    <t>Documento Base proyecto PDD</t>
  </si>
  <si>
    <t>Documentos base PDD</t>
  </si>
  <si>
    <t>https://drive.google.com/file/d/1P-681HB4tL1iUxBsCQQR_O_RQ-WGaqhb/view?usp=sharing</t>
  </si>
  <si>
    <t>Gestión: Preparatoria metodología de participación Pueblos Indígenas</t>
  </si>
  <si>
    <t>Realizar  reunión preparatoria para mostrarle a la Gobernadora Paulina Majis la metodología para la recolección de aportes de II fase del PDD</t>
  </si>
  <si>
    <t>Paulina Majis</t>
  </si>
  <si>
    <t>carmen.chindoy@gobiernobogota.gov.co</t>
  </si>
  <si>
    <t>Casa Indígena Calle 9#9-60</t>
  </si>
  <si>
    <t>Preparatoria del espacio de concertación de la metodologia de participación de los pueblos indígenas en el PDD</t>
  </si>
  <si>
    <t>2024-03-22_PREPARATORIA PUEBLOS INDIGENAS</t>
  </si>
  <si>
    <t xml:space="preserve">Ok ,es de gestión tiene: acta , registro fotográfico y listado de asistencia </t>
  </si>
  <si>
    <t>Dialogo Ciudadano para la Construcción del PDD - UPL Porvenir</t>
  </si>
  <si>
    <t>Salón Comunal Centauros Cra 92a # 56h - 40 sur</t>
  </si>
  <si>
    <t>Propuestas ciudadanas para la construcción del plan distrital de desarrollo</t>
  </si>
  <si>
    <t>2024-03-22_DIALOGO CIUDADANO - UPL PORVENIR</t>
  </si>
  <si>
    <t>Documento  bases proyecto PDD</t>
  </si>
  <si>
    <t>Formatos fisicos propuesta chatico</t>
  </si>
  <si>
    <t>https://drive.google.com/file/d/1P27bbCStNJHor-eeeLgjp40iY7n-86rG/view?usp=sharing</t>
  </si>
  <si>
    <t>Sesión Comisión POT -CTPD</t>
  </si>
  <si>
    <t>Acompañar la finalización de la comisión POT realizada el dia 20 de marzo de 2024</t>
  </si>
  <si>
    <t>munirkadamani2004@gmail.com</t>
  </si>
  <si>
    <t>meet.google.com/vaf-cyws-heo</t>
  </si>
  <si>
    <t xml:space="preserve">Formulación de las preguntas sobre el PDD a los secretarios </t>
  </si>
  <si>
    <t>2024-03-22_SESION COMISION POT- CTPD</t>
  </si>
  <si>
    <t xml:space="preserve">Video y chat de la sesión , Votación de la sesión </t>
  </si>
  <si>
    <t>Dialogo Ciudadano para la Construcción del PDD - UPL Sumapaz - Cuenca Río Sumapaz</t>
  </si>
  <si>
    <t>Luz Miriam Morales</t>
  </si>
  <si>
    <t>312 3412730</t>
  </si>
  <si>
    <t>Vereda Nueva Granada y Vereda Santana</t>
  </si>
  <si>
    <t>Aportes rurales para el Plan Distrital de Desarrollo</t>
  </si>
  <si>
    <t>2024-03-23_DIALOGO CIUDADANO - UPL SUMAPAZ - CUENCA RIO SUMAPAZ</t>
  </si>
  <si>
    <t>Documento Plan Distrital de Desarrollo ,infografía explicativa Plan Distrital de Desarrollo</t>
  </si>
  <si>
    <t xml:space="preserve">Documento base PDD , fichas fisicas de aporte PDD </t>
  </si>
  <si>
    <t>https://acortar.link/HLchso</t>
  </si>
  <si>
    <t>Audiencia Pública del CTPD con Sectores Distritales</t>
  </si>
  <si>
    <t>Clarificar dudas, inquietudes y preguntas que tienen las Consejeras y los Consejeros del CTPD y ciudadanía respecto del Proyecto de Plan Distrital de Desarrollo</t>
  </si>
  <si>
    <t>Liliana Urrego de los Ángeles</t>
  </si>
  <si>
    <t>Auditorio Camilo Torres de la Escuela Superior de Administración Pública - ESAP, Calle 44 # 53-37</t>
  </si>
  <si>
    <t>Recibir propuestas para el concepto del PDD</t>
  </si>
  <si>
    <t>2024-03-23_AUDIENCIA PÚBLICA DEL CTPD CON SECTORES DISTRITALES</t>
  </si>
  <si>
    <t xml:space="preserve">Brief, agenda del día , roles </t>
  </si>
  <si>
    <t xml:space="preserve">Ok se ajusto Acta </t>
  </si>
  <si>
    <t>Comisión poblacional CTPD</t>
  </si>
  <si>
    <t>Aprobar el documento de aportes al concepto del PDD</t>
  </si>
  <si>
    <t>JACQUELINE HERNANDEZ</t>
  </si>
  <si>
    <t>humbertofabiodiazacosta@gmail.com</t>
  </si>
  <si>
    <t xml:space="preserve"> https://meet.google.com/mdd-pwtp-fkj</t>
  </si>
  <si>
    <t>Propuestas comisión poblacional para el concepto del PDD</t>
  </si>
  <si>
    <t>2024-03-23_COMISIÓN POBLACIONAL CTPD</t>
  </si>
  <si>
    <t>Docuemento comision poblacional ,</t>
  </si>
  <si>
    <t>Mesas de trabajo para redacción y consolidación del concepto PDD</t>
  </si>
  <si>
    <t>Realizar el documento concepto del CTPD sobre el PDD</t>
  </si>
  <si>
    <t>Liliana de los Angeles Urrego</t>
  </si>
  <si>
    <t xml:space="preserve">Carrera 30 · 25 - 90, Super CAD, segundo piso CTPD </t>
  </si>
  <si>
    <t>Borrador del Plan Distrital de Desarrollo 2024-2028</t>
  </si>
  <si>
    <t>2024-03-24_MESAS DE TRABAJO PARA REDACCIÓN Y CONSOLIDACIÓN DEL CONCEPTO PDD</t>
  </si>
  <si>
    <t>Video y chat de la sesión</t>
  </si>
  <si>
    <t>Jornada Pégate al Plan: Pedagogía ciudadana para el manejo de la herramienta chatico - Señor de los Milagros</t>
  </si>
  <si>
    <t>Entrada a Monserrate</t>
  </si>
  <si>
    <t>Contrucción iniciativas plan de desarrollo</t>
  </si>
  <si>
    <t>2024-03-24_JORNADA PEGATE AL PLAN - SEÑOR DE LOS MILAGROS</t>
  </si>
  <si>
    <t xml:space="preserve">Formato fisicos propuesta chatico </t>
  </si>
  <si>
    <t>Comisión accidental redactora concepto PDD</t>
  </si>
  <si>
    <t xml:space="preserve">Redacción concepto Plan Distrital de  Desarrollo </t>
  </si>
  <si>
    <t>Liliana Urrego Navarro</t>
  </si>
  <si>
    <t>funlaun@gmail.com</t>
  </si>
  <si>
    <t>https://tel.meet/hjq-ujrs-nms?pin=2659448860485</t>
  </si>
  <si>
    <t>Redacción concepto PDD</t>
  </si>
  <si>
    <t>2024-03-25_COMISIÓN ACCIDENTAL REDACTORA CONCEPTO PDD</t>
  </si>
  <si>
    <t xml:space="preserve">Libreto, Borrado de metodología,documento Reunión Comisión Redactora del concepto del PDD
</t>
  </si>
  <si>
    <t xml:space="preserve">OK, SE Ajusto el acta por parte de la Universidad </t>
  </si>
  <si>
    <t xml:space="preserve">Comisión POT extraordinaria </t>
  </si>
  <si>
    <t xml:space="preserve">Realizar lor aportes por parte de la Comisón para el concepto PDD </t>
  </si>
  <si>
    <t>https://meet.google.com/nns-xase-tbf?authuser=0</t>
  </si>
  <si>
    <t>Concepto PDD de la comisión POT</t>
  </si>
  <si>
    <t>2024-03-25_COMISIÓN POT EXTRAORDINARIA</t>
  </si>
  <si>
    <t xml:space="preserve">Video y chat de la sesión y orden del día </t>
  </si>
  <si>
    <t xml:space="preserve">III Diálogo Ciudadano Poblacional para la Construcción del PDD - Consultiva Negra-afrocolombiana </t>
  </si>
  <si>
    <t>Recoger las propuestas de la consultiva negra-afrocolombiana con respecto a la fase de aspiraciones comunes del Plan Distrital de Desarrollo</t>
  </si>
  <si>
    <t xml:space="preserve">Recolección de propuestas alrededor del objetivo 3, 4 y 5 del PDD </t>
  </si>
  <si>
    <t>2024-03-26_III DIÁLOGO CIUDADANO POBLACIONAL PDD - CONSULTIVA NEGRA-AFROCOLOMBIANA</t>
  </si>
  <si>
    <t>Sesión Extraordinaria de la Comisión de Plan Distrital de Desarrollo del CTPD</t>
  </si>
  <si>
    <t>Consolidar el texto que el Coordinador leerá en nombre de la comisión en el Acto Protocolario de entrega del concepto del CPTD.</t>
  </si>
  <si>
    <t>Claudia Patricia Solorzano</t>
  </si>
  <si>
    <t>https://meet.google.com/ikj-kdhk-xze?authuser=0</t>
  </si>
  <si>
    <t>Consolidar el texto que el Coordinador leerá en nombre de la comisión en el Acto Protocolario de entrega del concepto del CPTD</t>
  </si>
  <si>
    <t>2024-03-26_SESIÓN EXTRAORDINARIA DE LA COMISIÓN DE PDD DEL CTPD</t>
  </si>
  <si>
    <t>Plenaria extraordinaria CTPD</t>
  </si>
  <si>
    <t>Aprobar el concepto frente aL PDD</t>
  </si>
  <si>
    <t xml:space="preserve"> https://meet.google.com/xeq-eiwq-aaf</t>
  </si>
  <si>
    <t>Aprobación del concepto del PDD</t>
  </si>
  <si>
    <t>2024-03-26_PLENARIA EXTRAORDINARIA</t>
  </si>
  <si>
    <t>Diálogo Ciudadano para la Construcción del PDD - Recicladores</t>
  </si>
  <si>
    <t>Magda Barinas</t>
  </si>
  <si>
    <t>310 3301336</t>
  </si>
  <si>
    <t>Inclusión de propuestas de líderes recicladores a la formulación del PDD</t>
  </si>
  <si>
    <t xml:space="preserve">Envío de acta a los participantes </t>
  </si>
  <si>
    <t>2024-03-26_DIALOGO CIUDADANO - RECICLADORES</t>
  </si>
  <si>
    <t xml:space="preserve">No aplica </t>
  </si>
  <si>
    <t xml:space="preserve">Oficio de comisión </t>
  </si>
  <si>
    <t>https://drive.google.com/file/d/1qbX-l2oIcC78FvW0BUq7ar1iQtqqLbwn/view?usp=sharing</t>
  </si>
  <si>
    <t>Construir el documento de la Comisión PDD para la entrega del concepto del CPTD del PDD</t>
  </si>
  <si>
    <t>https://meet.google.com/ywu-ggqj-epv</t>
  </si>
  <si>
    <t>Construcción del documento de la Comisión de Pla Distrital de Desarrollo sobre el Concepto del PDD del CTPD</t>
  </si>
  <si>
    <t>2024-03-27_ SESIÓN EXTRAORDINARIA DE LA COMISIÓN DE PLAN DISTRITAL DE DESARROLLO DEL CTPD</t>
  </si>
  <si>
    <t xml:space="preserve">Falta acta de la universidad </t>
  </si>
  <si>
    <t xml:space="preserve">Comisión POT extraordinaria del CTPD </t>
  </si>
  <si>
    <t>Ajustar  el documento del concepto PDD</t>
  </si>
  <si>
    <t>324 4150125</t>
  </si>
  <si>
    <t>meet.google.com/wkp-xznm-wuk</t>
  </si>
  <si>
    <t xml:space="preserve">Elaboración del documento concepto PDD </t>
  </si>
  <si>
    <t>2024-03-27_COMISIÓN POT EXTRAORDINARIA DEL CTPD</t>
  </si>
  <si>
    <t>Orden del día, grabación y chat de la sesión</t>
  </si>
  <si>
    <t>Comisión Extraordinaria de Participación</t>
  </si>
  <si>
    <t>Revisar los aportes de la comisión para el Concepto del PDD</t>
  </si>
  <si>
    <t>https://meet.google.com/ubi-wxge-vmz</t>
  </si>
  <si>
    <t>Redacción del Concepto del PDD</t>
  </si>
  <si>
    <t>2024-03-27_COMISIÓN EXTRAORDINARIA DE PARTICIPACIÓN</t>
  </si>
  <si>
    <t>Grabación  de la sesión, ordén del día</t>
  </si>
  <si>
    <t>Comisión de Participación del CTPD</t>
  </si>
  <si>
    <t>Avanzar en la Construcción del Concepto del PDD</t>
  </si>
  <si>
    <t>Dick Darío Díaz Meléndez</t>
  </si>
  <si>
    <t>https://meet.google.com/bwk-stwo-xnn</t>
  </si>
  <si>
    <t>Construcción del Concepto del PDD</t>
  </si>
  <si>
    <t>2024-03-29_COMISIÓN DE PARTICIPACIÓN DEL CTPD</t>
  </si>
  <si>
    <t xml:space="preserve">Link de grabación  y chat </t>
  </si>
  <si>
    <t>Comisión extarordinaria POT del CTPD</t>
  </si>
  <si>
    <t xml:space="preserve">Terminar el documento concepto PDD por parte de la comisión POT </t>
  </si>
  <si>
    <t>https://meet.google.com/iom-fdvw-krh?authuser=0</t>
  </si>
  <si>
    <t>Aportes para el documento concepto PDD</t>
  </si>
  <si>
    <t>2024-03-29_COMISIÓN EXTARORDINARIA POT DEL CTPD</t>
  </si>
  <si>
    <t xml:space="preserve">Orden del día </t>
  </si>
  <si>
    <t xml:space="preserve">Revisar listado de asistencia de acta </t>
  </si>
  <si>
    <t>Comisión Extraordinaria Poblacional</t>
  </si>
  <si>
    <t>Consolidar el concepto técnico del Plan Distrital de Desarrollo</t>
  </si>
  <si>
    <t>https://meet.google.com/xvx-yegr-xri?pli=1&amp;authuser=1</t>
  </si>
  <si>
    <t>Construcción de documento para la consolidación del concepto técnico del PDD</t>
  </si>
  <si>
    <t>2024-03-29_COMISIÓN EXTRAORDINARIA POBLACIONAL</t>
  </si>
  <si>
    <t xml:space="preserve">Grabación  de la sesión, documentos de comisión poblacional </t>
  </si>
  <si>
    <t>Sesión Extraordinaria de la Comisión Desarrollo Regional,  Descentralización y Desconcentración</t>
  </si>
  <si>
    <t>Revisar la metodología de aportes al PDD</t>
  </si>
  <si>
    <t>https://meet.google.com/qjx-kjcd-guf</t>
  </si>
  <si>
    <t>Construcción de propuestas para el PDD por parte de la Comisión de Desarrollo Regional del CTPD</t>
  </si>
  <si>
    <t>2024-03-29_SESIÓN EXTRAORDINARIA DE LA COMISIÓN DESARROLLO REGIONAL</t>
  </si>
  <si>
    <t>Comisión redactora concepto PDD</t>
  </si>
  <si>
    <t>Emitir concepto PDD</t>
  </si>
  <si>
    <t>hdiaza@sdp.gov.co</t>
  </si>
  <si>
    <t>https://meet.google.com/bnf-cson-wcn</t>
  </si>
  <si>
    <t>Redacción del concepto PDD</t>
  </si>
  <si>
    <t>2024-03-30_ COMISIÓN REDACTORA CONCEPTO</t>
  </si>
  <si>
    <t xml:space="preserve">Concepto final y libreto presentador </t>
  </si>
  <si>
    <t xml:space="preserve">OK SE AJUSTO ACTA </t>
  </si>
  <si>
    <t>Plenaria extraordinaria permanente CTPD</t>
  </si>
  <si>
    <t>https://meet.google.com/auy-iaof-dwa</t>
  </si>
  <si>
    <t>2024-03-30_PLENARIA EXTRAORDINARIA PERMANENTE CTPD</t>
  </si>
  <si>
    <t xml:space="preserve">Orden del día y concepto Final </t>
  </si>
  <si>
    <t>Carmen Chindoy</t>
  </si>
  <si>
    <t>maria.chindoy@gobiernobogota.gov.co</t>
  </si>
  <si>
    <t>Casa Indigena (Calle 9 #9-60)</t>
  </si>
  <si>
    <t>Metodología de participación PDD; Conpes 37; armonización de PDD y PP</t>
  </si>
  <si>
    <t>2024-04-01_CONCERTACION METODOLOGIA - INDIGENAS</t>
  </si>
  <si>
    <t xml:space="preserve">Presentacion metodologica PDD </t>
  </si>
  <si>
    <t xml:space="preserve">OK es de gestión : tiene acta, registro fotográfico ,  convocatoria y documentos adicionales  </t>
  </si>
  <si>
    <t>Diálogo Ciudadano para la Construcción del PDD - UPL Torca</t>
  </si>
  <si>
    <t xml:space="preserve">Nancy Stella Villa </t>
  </si>
  <si>
    <t>marianieto@edca.edu.co</t>
  </si>
  <si>
    <t>UDCA Calle 222 # 55-37</t>
  </si>
  <si>
    <t>2024-04-01_DIALOGO CIUDADANO - UPL TORCA</t>
  </si>
  <si>
    <t>Documento Base Proyecto PDD 2024-2028</t>
  </si>
  <si>
    <t>Roles de taller y Documentos Base PDD</t>
  </si>
  <si>
    <t>https://drive.google.com/file/d/1-dhr59fZNgHu37VCi0OVKiYgODktnkHt/view?usp=sharing</t>
  </si>
  <si>
    <t>Metodología Estratificación. Participación - Comunicaciones</t>
  </si>
  <si>
    <t>Determinar metodología de apoyo sobre propuestas de participación o comunicación entre la Oficina de Participación y Comunicaciones.</t>
  </si>
  <si>
    <t>https://meet.google.com/gfw-cpkr-aot</t>
  </si>
  <si>
    <t>Metodología, estrategia, casos reales y posibles métodos de socialización.</t>
  </si>
  <si>
    <t>2024-04-01_METODOLOGIA - COMUNICACIONES</t>
  </si>
  <si>
    <t xml:space="preserve">Ok es de gestión : solo tiene acta, registro fotográfico y convocatoria </t>
  </si>
  <si>
    <t>Entrega de concepto del PDD por parte del CTPD al Alcalde Mayor</t>
  </si>
  <si>
    <t>Entregar el concepto emitido por el Consejo Territorial de Planeación Distrital del PDD al Alcalde Mayor.</t>
  </si>
  <si>
    <t>Liliana de los Ángeles Urrego Navarro Presidenta CTPD</t>
  </si>
  <si>
    <t>Auditorio Huitaca</t>
  </si>
  <si>
    <t>Despliegue del concepto técnico del PDD por objetivos estratégicos en cada una de las comisiones del CTPD (Plan Distrital de Desarrollo, Regional, Participación, Poblacional, POT)</t>
  </si>
  <si>
    <t>2024-04-01_ENTREGA CONCEPTO CTPD - PDD</t>
  </si>
  <si>
    <t>Brief, orden del dia ,libreto de la jornada , minuto a minuto</t>
  </si>
  <si>
    <t>Clip Santa Fé</t>
  </si>
  <si>
    <t>Acompañar la articulación de los esfuerzos institucionales de participación en la localidad de Santa Fé</t>
  </si>
  <si>
    <t>Maria Fernanda Doncel</t>
  </si>
  <si>
    <t>301 2144352</t>
  </si>
  <si>
    <t>mafe51@live.com</t>
  </si>
  <si>
    <t>Cl. 21 #5-74</t>
  </si>
  <si>
    <t>Dia de la niñez, Estrategia Formulación PDL , Estatrategia formulación PDD</t>
  </si>
  <si>
    <t>2024-04-02_SESION ABRIL</t>
  </si>
  <si>
    <t xml:space="preserve">Presentación PDD -SDP </t>
  </si>
  <si>
    <t>Jornada Pégate al Plan: Pedagogía ciudadana para el manejo e implementación de la herramienta chatico - Universidad Agustiniana</t>
  </si>
  <si>
    <t>Avenida Carrera 86 # 11b - 95</t>
  </si>
  <si>
    <t xml:space="preserve">Plan de desarrollo distrital, 5 objetivos, propuestas. </t>
  </si>
  <si>
    <t>2024-04-02_JORNADA PEGATE AL PLAN - UNIVERSIDAD AGUSTINIANA</t>
  </si>
  <si>
    <t xml:space="preserve">Evaluaciones , fichas fisícas de Chatico </t>
  </si>
  <si>
    <t>CLIP Fontibón</t>
  </si>
  <si>
    <t>Acompañar la articulación de los esfuerzos institucionales de participación en la localidad de Fontibón en el mes de abril.</t>
  </si>
  <si>
    <t>Nohora Rodríguez</t>
  </si>
  <si>
    <t>nrodriguez@participacionbogota.gov.co</t>
  </si>
  <si>
    <t xml:space="preserve">Fontibón </t>
  </si>
  <si>
    <t>Carrera 99 No. 19 - 43</t>
  </si>
  <si>
    <t xml:space="preserve">Encuentros Ciudadanos,  Estrategia segunda Fase de la Formulación del PDD y Fortalecimiento de instancias </t>
  </si>
  <si>
    <t xml:space="preserve">Gestión: Preparatoria Vortacko I con el pueblo Rrom </t>
  </si>
  <si>
    <t>Cocertar con el pueblo Rrom la metolodogia para el Vortacko I</t>
  </si>
  <si>
    <t>https://teams.microsoft.com/l/meetup-join/19%3ameeting_NmNjOWZiM2UtMDU4ZC00ZmNiLWJiY2YtZGY2NDg2MzU0Nzgy%40thread.v2/0?context=%7b%22Tid%22%3a%2214de155f-e192-44da-994d</t>
  </si>
  <si>
    <t>Roles de la SDG y la SDP en el abordaje del Vortacko Rrom alrededor del proceso de formulación del PDD</t>
  </si>
  <si>
    <t>2024-04-02_PREPARATORIA VORTACKO I -PUEBLO RROM</t>
  </si>
  <si>
    <t xml:space="preserve">OK es de gestión: tiene acta y convocatoria </t>
  </si>
  <si>
    <t>Secretarios a la calle</t>
  </si>
  <si>
    <t>Acompañar la articulación de Dialogos ciudadanos para la formulación del Plan Distrital de Desarrollo</t>
  </si>
  <si>
    <t>La Soledad</t>
  </si>
  <si>
    <t>CAI de la Soledad - Parkway</t>
  </si>
  <si>
    <t>Formulación de PDD con enfasis en segurididad e infraestructuras de seguridad</t>
  </si>
  <si>
    <t>2024-04-02_SECRETARIOS A LA CALLE</t>
  </si>
  <si>
    <t>meet.google.com/chh-oeyb-nan</t>
  </si>
  <si>
    <t>Avance por entidad en la estrategia de participación del Plan Distrital de Desarrollo</t>
  </si>
  <si>
    <t>2024-04-03_COMITE COORDINADOR INTERSECTORIAL DE PARTICIPACION PDD</t>
  </si>
  <si>
    <t>I Diálogo Ciudadano Poblacional para la Construcción del PDD - Consultiva Indígena</t>
  </si>
  <si>
    <t>Recoger los aportes de los pueblos indígenas en el marco de la fase de aspiraciones comunes de la planeación participativa del Plan Distrital de Desarrollo</t>
  </si>
  <si>
    <t>Casa Indígena (Calle 9 #9-60)</t>
  </si>
  <si>
    <t xml:space="preserve">Plan Distrital de Desarrollo Pueblos Indígenas </t>
  </si>
  <si>
    <t>2024-04-03_I DIALOGO CIUDADANO POBLACIONAL - CONSULTIVA INDIGENA</t>
  </si>
  <si>
    <t>Taller diálogos ciudadanos - Mesa de trabajo con Sociedad Civil de cara a la construcción del PDD-SUMMA</t>
  </si>
  <si>
    <t xml:space="preserve">Acompañar la identificación de propuestas del PDD mediante taller con diálogos ciudadanos en mesa de trabajo con Sociedad Civil </t>
  </si>
  <si>
    <t>Paulina Duque</t>
  </si>
  <si>
    <t>pduque@fhi360.org</t>
  </si>
  <si>
    <t xml:space="preserve">secretario o Juan Carlos Prieto </t>
  </si>
  <si>
    <t>10 mesas en torno a los 5 objetivos de cara a la construcción del plan distrital de desarrollo con los ciudadanos</t>
  </si>
  <si>
    <t>2024-04-03_TALLER DIALOGO CIUDADANO-SUMMA</t>
  </si>
  <si>
    <t>Se envio los 5 objetivos del PDD</t>
  </si>
  <si>
    <t xml:space="preserve">Evaluaciones del espacios , acta del espacio realizada SUMMA </t>
  </si>
  <si>
    <t>Acompañar la articulación de los esfuerzos institucionales de participación en la localidad de Rafel Uribe Uribe en el mes de abril.</t>
  </si>
  <si>
    <t>Reina Sanchez</t>
  </si>
  <si>
    <t>dsanchez@participacionbogota.gov.co</t>
  </si>
  <si>
    <t>Alcaldía Local De Rafael Uribe Uribe Calle 32 Sur 23 62</t>
  </si>
  <si>
    <t>Diligenciamiento  de 25 formatos con diversas propuestas PDD , programación 4 acciones "Toma alcaldia local " , toma centro comercial caracas, toma cdc, toma 10 comedores comunitarios</t>
  </si>
  <si>
    <t>2024-04-03_SESION ABRIL</t>
  </si>
  <si>
    <t xml:space="preserve">formatos físico chatico </t>
  </si>
  <si>
    <t xml:space="preserve">I Vortako Virtual 1 Sesión: Participación Consejo </t>
  </si>
  <si>
    <t>Escuchar a la consultiva Rrom  en relación con derecho de petición radicada a la SDG</t>
  </si>
  <si>
    <t>Dirección de Asuntoes Étnicos - Secretaría Distrital de Gobierno SDG</t>
  </si>
  <si>
    <t xml:space="preserve">Dirección de Formulación y Seguimiento de Políticas Públicas, Dirección de Planeación Insitutucional </t>
  </si>
  <si>
    <t>https://teams.microsoft.com/l/meetup-join/19%3ameeting_MzYzMjEzODAtZjQ1Mi00ZTk3LWFkZmQtYTkwMWNiZThmZTY4%40thread.v2/0?context=%7b%22Tid%22%3a%2214de155f-e192-44da-994d-1913d8658372%22%2c%22Oid%22%3a%2204a273b8-28ba-4099-9b31-ca5e8d396a0f%22%7d</t>
  </si>
  <si>
    <t>Armonización de los productos concertados de política pública en los programas y metas del plan distrital de desarrollo</t>
  </si>
  <si>
    <t>2024-04-03_I VORTAKO _ PARTICIPACION CONSEJO</t>
  </si>
  <si>
    <t>Solicitud de actas a SDG</t>
  </si>
  <si>
    <t>Orientar la construcción de propuestas ciudadanas para la formulación del PDD a través de información, diálogo, pedagogía y fortalecimiento de la confianza desde la planeación participativa, con las personas de los sectores sociales LGBTI del Sur en la Casa Edward Hernández.</t>
  </si>
  <si>
    <t>Tintal</t>
  </si>
  <si>
    <t>Nuevo Kennedy</t>
  </si>
  <si>
    <t xml:space="preserve"> Calle 36 Sur #78K-58  Casa Edward Hernández</t>
  </si>
  <si>
    <t>Construcción de propuestas ciudadanas para la formulación del PDD a través de información, diálogo, pedagogía y fortalecimiento de la confianza desde la planeación participativa, con las personas de los sectores sociales LGBTI del Sur en la Casa Edward Hernández.</t>
  </si>
  <si>
    <t>2024-04-03_DIALOGO CIUDADANO PARA LA FORMULACION DEL PDD LGBTI</t>
  </si>
  <si>
    <t>207 A</t>
  </si>
  <si>
    <t xml:space="preserve">OK, Es una reunion de la subdireccion LGTBI, el registro fotografico esta inserto en   el acta </t>
  </si>
  <si>
    <t>Dialogo Ciudadano para la Construcción del PDD - UPL Puente Aranda</t>
  </si>
  <si>
    <t>Centro Nacional de Hotelería - SENA, Salón Arrayanes (Av. Cra 30 #15-53)</t>
  </si>
  <si>
    <t>Identificación de  las propuestas ciudadanas para la formulación del Plan de Desarrollo Distrital.</t>
  </si>
  <si>
    <t>2024-04-03_DIALOGO CIUDADANO - UPL PUENTE ARANDA</t>
  </si>
  <si>
    <t>Documento - propuesta de plan distrital de desarrollo</t>
  </si>
  <si>
    <t>https://drive.google.com/file/d/18UkBY4UWqtp1foG7dhf_iybdCpfVrnCp/view?usp=sharing</t>
  </si>
  <si>
    <t>Plan de trabajo Acciones Afirmativas art 66 - Comunidad Palenquera</t>
  </si>
  <si>
    <t>Políticas Públicas</t>
  </si>
  <si>
    <t>Establecer el plan de trabajo con la comunidad palenquera para el cumplimiento del Plan Integral de Acciones Afirmativas establecido en el articulo 66 del PDD 2020-2024.</t>
  </si>
  <si>
    <t>Manuela Cassiani</t>
  </si>
  <si>
    <t>manuela.cassiani@gobiernobogota.gov.co</t>
  </si>
  <si>
    <t>Posá Wiwa (Carrera 3 #10-72)</t>
  </si>
  <si>
    <t>Plan de trabajo para ejecutar acciones afirmativas; articulo 66</t>
  </si>
  <si>
    <t>2024-04-04_PLAN DE TRABAJO ACCIONES AFIRMATIVAS - COMUNIDAD PALENQUERA</t>
  </si>
  <si>
    <t>Tabla de seguimiento Acciones Concertadas entre la ciudadanía y la administración</t>
  </si>
  <si>
    <t>III Diálogo Ciudadano Poblacional para la Construcción del PDD - Taller Niños, Niñas y Adolescentes - SED-SDP</t>
  </si>
  <si>
    <t xml:space="preserve">Colegio Nacional del Comercio </t>
  </si>
  <si>
    <t xml:space="preserve">PDD Fase II Aspiraciones comunes </t>
  </si>
  <si>
    <t>2024-04-04_III DIALOGO CIUDADANO POBLACIONAL - NIÑOS, NIÑAS Y ADOLESCENTES</t>
  </si>
  <si>
    <t>Carpeta vacía</t>
  </si>
  <si>
    <t>II Foro - reglamentación del Manual de Ecourbanismo y Construcción Sostenible - Ambiente</t>
  </si>
  <si>
    <t xml:space="preserve"> Acompañar el foro Eco urbanismo con enfasis en Bienestar: aspectos relacionados con el confort acústico, térmico, lumínico y la calidad del aire al interior de las edificaciones.</t>
  </si>
  <si>
    <t>Juan Nicolas Rincon</t>
  </si>
  <si>
    <t>313 2612711</t>
  </si>
  <si>
    <t>nicolas.rincon@ambientebogota.gov.co</t>
  </si>
  <si>
    <t>https://meet.google.com/ybo-enew-ghp?hs=224</t>
  </si>
  <si>
    <t xml:space="preserve">Socialización de norma urbana bioclimática </t>
  </si>
  <si>
    <t>2024-04-04_ SEGUNDO FORO ECO URBANISMO</t>
  </si>
  <si>
    <t>Lourdes Aleyda Guzman Escandon</t>
  </si>
  <si>
    <t>Calle 120A # 7 - 55.</t>
  </si>
  <si>
    <t xml:space="preserve">Explicación de Encuentros Ciudadanos Locales en Usaquén, explicación del proceso adelantado por la SDP en la formulación del PDD, invitación a taller de Diálogos Cidadanos UPL Usaquén y UPL Cerros </t>
  </si>
  <si>
    <t>2024-04-04_SESION ABRIL</t>
  </si>
  <si>
    <t>Presentación CLIP PDD</t>
  </si>
  <si>
    <t>Mesa de Seguimiento en Concejo - Foro "Jóvenes Construyendo una Ciudad Sostenible"</t>
  </si>
  <si>
    <t>Acompañar la articulación entre la ACJ_YMCA y Secretaría Distrital de Integración Social para la recepción de las propuestas de los Jóvenes producto del Foro "Jóvenes Construyendo una Ciudad Sostenible"</t>
  </si>
  <si>
    <t xml:space="preserve">Concejo de Bogotá - Cl. 36 #28A-41 </t>
  </si>
  <si>
    <t>Propuestas de los Jóvenes para el Plan Distrital de Desarrollo orientadas a las temáticas de  Convivencia, Paz y Cuidado de la Vida; Desarrollo y superación de la pobreza y Planeta Sostenible.</t>
  </si>
  <si>
    <t>2024-04-04_MESA DE SEGUIMIENTO - FORO DE JOVENES</t>
  </si>
  <si>
    <t xml:space="preserve">Documento propuesta jovenes </t>
  </si>
  <si>
    <t xml:space="preserve">OK </t>
  </si>
  <si>
    <t>III Revisión de estrategia -  Dirección de Estratificación</t>
  </si>
  <si>
    <t>Secretaría Distrital de Planeación (Piso 13)</t>
  </si>
  <si>
    <t xml:space="preserve">Introducción de la estratificación, metodología, ediciones, avances, casos reales, estrategia de comunicación y de territorio.  </t>
  </si>
  <si>
    <t>2024-04-04_III REVISION DE ESTRATEGIA - DIRECCION DE ESTRATIFICACION</t>
  </si>
  <si>
    <t>Encuentro Estratégico Grupo de Juventud Bogotá Cali.</t>
  </si>
  <si>
    <t>Identificar las propuestas ciudadanas para formularlas en el PDD, del grupo de juventud "Incidir para Existir" acompañado por Movilizatorio y financiado por el Fondo de las Naciones Unidas para la Democracia.</t>
  </si>
  <si>
    <t>María José Pinzón</t>
  </si>
  <si>
    <t>310 3450203</t>
  </si>
  <si>
    <t>mariajose.pinzon@movilizatorio.org</t>
  </si>
  <si>
    <t>https://meet.google.com/fub-dxuv-npz</t>
  </si>
  <si>
    <t>Incidencias futuras de parte del grupo de juventud del Movilizatorio de Bogotá, en decisiones en materia de administración pública.</t>
  </si>
  <si>
    <t>2024-04-04_ENCUENTRO ESTRATEGICO -JUVENTUD BOGOTA CALI</t>
  </si>
  <si>
    <t xml:space="preserve">presentación  PDD Y gravacion del espacio </t>
  </si>
  <si>
    <t>Gestión: Diálogo Ciudadano Población Migrante - ACNUR / SDP</t>
  </si>
  <si>
    <t>Recolectar las propuestas de la población migrante en la fase de "Aspiraciones Comunes" en el marco de la planeación participativa del Plan de Desarrollo Distrital</t>
  </si>
  <si>
    <t>Tatiana Santafe</t>
  </si>
  <si>
    <t>Fundación Niñas para la Paz - Calle 100 #8A - 55</t>
  </si>
  <si>
    <t>Concertacion de metodología para la recolección de aportes al PDD</t>
  </si>
  <si>
    <t>2024-04-04_GESTION_DIALOGO CIUDADANO ACNUR</t>
  </si>
  <si>
    <t xml:space="preserve">Ok es de gestión : tiene acta y listado de asistencia </t>
  </si>
  <si>
    <t>Acompañar la articulación de los esfuerzos institucionales de participación en la localidad de San Cristóbal en el mes de abril</t>
  </si>
  <si>
    <t>CDC La Victoria CL 37 B Bis Sur # 2 - 81 Este.</t>
  </si>
  <si>
    <t>Exposición de estrategia de participación del PDD, explicación de la metodología para los encuentros ciudadanos (capacitación para las entidades)</t>
  </si>
  <si>
    <t>Presentación Normatividad y Planos UPL Tabora</t>
  </si>
  <si>
    <t>Proyectos Integrales de Proximidad</t>
  </si>
  <si>
    <t xml:space="preserve">Presentación Normatividad y Planos UPL Tabora , dando respuesta a un derecho de petición </t>
  </si>
  <si>
    <t>Mario Edilberto Torres</t>
  </si>
  <si>
    <t>veeduriaciudadanalaespanola@gmail.com</t>
  </si>
  <si>
    <t>La Española</t>
  </si>
  <si>
    <t>Calle 83A # 85A 17</t>
  </si>
  <si>
    <t xml:space="preserve">Presentación Normativa y afectación residencial de proyecto avenida ciudad de Cali por obra de Troncal Transmilenio  </t>
  </si>
  <si>
    <t>2024-04-04_PRESENTACION NORMATIVIDAD Y PLANOS UPL TABORA</t>
  </si>
  <si>
    <t>Presentación UPL Engativa</t>
  </si>
  <si>
    <t>Dialogo Ciudadano para la Construcción del PDD - UPL Usme Entrenubes</t>
  </si>
  <si>
    <t>Lugar El auditorio N° 2, ALCALDIA LOCAL DE USME Cl. 137 Sur #3a-44, Bogotá</t>
  </si>
  <si>
    <t>Envío de memorias del espacio</t>
  </si>
  <si>
    <t>2024-04-04_DIALOGO CIUDADANO - UPL USME ENTRENUBES</t>
  </si>
  <si>
    <t xml:space="preserve">Documento base del PDD </t>
  </si>
  <si>
    <t xml:space="preserve">Propuestas fisícas Chatico , documentos base PDD </t>
  </si>
  <si>
    <t>https://drive.google.com/file/d/1Y_roRa1bPOJ-sapJEPu3VoUySeZRk3xi/view?usp=sharing</t>
  </si>
  <si>
    <t>Dialogo Ciudadano para la Construcción del PDD - UPL Rafael Uribe Uribe</t>
  </si>
  <si>
    <t>Junta de Acción Comunal barrio Molinos del Sur
Calle 49D bis Sur # 5U - 26</t>
  </si>
  <si>
    <t>2024-04-04_DIALOGO CIUDADANO - UPL RAFAEL URIBE URIBE</t>
  </si>
  <si>
    <t>Borrador plan dedesarrollo</t>
  </si>
  <si>
    <t xml:space="preserve">Formatos físicos Chatico </t>
  </si>
  <si>
    <t>https://drive.google.com/file/d/11f3Z2e8WTto9imCUjGShjY82BWOeKAKd/view?usp=sharing</t>
  </si>
  <si>
    <t>Sesión extraordinaria de la Red de Veedurías</t>
  </si>
  <si>
    <t xml:space="preserve">Definir hoja de ruta taller PDD con Veedurías Ciudadanas </t>
  </si>
  <si>
    <t>https://meet.google.com/cob-mwjp-oqi?hs=224</t>
  </si>
  <si>
    <t>Planeación taller PDD con veedurías, Metodología fase II aspiraciones comunes</t>
  </si>
  <si>
    <t>2024-04-05_SESION EXTRAORDINARIA DE LA RED DE VEEDURIAS</t>
  </si>
  <si>
    <t>Dialogo Ciudadano para la Construcción del PDD - UPL Sumapaz - Cuenca Río Sumapaz - Santo Domingo</t>
  </si>
  <si>
    <t>Edna Rocio</t>
  </si>
  <si>
    <t>310 7522789</t>
  </si>
  <si>
    <t>Subdirección de Planeamiento Rural Sostenible</t>
  </si>
  <si>
    <t xml:space="preserve">Salón comunal Vereda Santo Domingo </t>
  </si>
  <si>
    <t xml:space="preserve">Necesidades de la ruralidad frente a seguridad, bien-estar, desarrollo económico, ordenamiento territorial y gobernabilidad. </t>
  </si>
  <si>
    <t>2024-04-05_DIALOGO CIUDADANO - UPL SUMAPAZ - SANTO DOMINGO</t>
  </si>
  <si>
    <t>Documentos Base PDD e infográfia PDD</t>
  </si>
  <si>
    <t xml:space="preserve">Formatos físicos chatico , infografía objetivos PDD y Documentos Base Pdd </t>
  </si>
  <si>
    <t>https://drive.google.com/file/d/1IUIMDojGhDgBktcV1VIdGFNsNtnBM44E/view?usp=sharing</t>
  </si>
  <si>
    <t>Diálogo con el Cabildo Indígena Muisca de Suba</t>
  </si>
  <si>
    <t>Sistema de Sitios Sagrados Muyscas</t>
  </si>
  <si>
    <t>Realizar un espacio de Diálogo con el Gobernador Muisca de Suba y el Secretario de Planeción.</t>
  </si>
  <si>
    <t>Carrera 86 #147-23 Cabildo Indígena Muisca de Suba</t>
  </si>
  <si>
    <t>Plan de vida Muisca; Plan de Desarrollo; Política Publica</t>
  </si>
  <si>
    <t>2024-04-05_DIALOGO CON CABILDO MUYSCA DE SUBA</t>
  </si>
  <si>
    <t xml:space="preserve">Presentación cabildo Indigena </t>
  </si>
  <si>
    <t>II Diálogo Ciudadano Poblacional para la Construcción del PDD - Comunidad Palenquera</t>
  </si>
  <si>
    <t xml:space="preserve">Recolección de propuestas de la comunidad palenquera alrededor de la formulación del Plan Distrital de Desarrollo </t>
  </si>
  <si>
    <t>2024-04-05_I DIALOGO CIUDADANO POBLACIONAL - COMUNIDAD PALENQUERA</t>
  </si>
  <si>
    <t xml:space="preserve">Falta acta y convocatoria </t>
  </si>
  <si>
    <t>Dialogo Ciudadano para la Construcción del PDD - UPL Suba</t>
  </si>
  <si>
    <t>Punto de Integración Social (SDIS), dirección: Carrera 91 # 146C - 15 (ingreso por la puerta lateral sobre la calle 146C)</t>
  </si>
  <si>
    <t>Propuestas ciudadanas para la formulación del Plan de Desarrollo Distrital.</t>
  </si>
  <si>
    <t>2024-04-05_DIALOGO CIUDADANO - UPL SUBA</t>
  </si>
  <si>
    <t xml:space="preserve">Formato fisíco propuestas Chatico, Pieza comunnicativa </t>
  </si>
  <si>
    <t>https://drive.google.com/file/d/1GOg3DT7XlAFvFQ8oCUAEItrb5YNQ6oJl/view?usp=sharing</t>
  </si>
  <si>
    <t>Dialogo Ciudadano para la Construcción del PDD - UPL El Edén</t>
  </si>
  <si>
    <t>Calle 51C Sur # 81F - 15 Salón comunal del barrio El Carmelo</t>
  </si>
  <si>
    <t>2024-04-05_DIALOGO CIUDADANO - UPL EL EDEN</t>
  </si>
  <si>
    <t>Propuesta PDD</t>
  </si>
  <si>
    <t>Formatos fisicos propuestas Chatico</t>
  </si>
  <si>
    <t>https://drive.google.com/file/d/1RdbyUvFxopovoDa3WCsLgWHOPhCpMkE2/view?usp=sharing</t>
  </si>
  <si>
    <t>Orientar la construcción de propuestas ciudadanas para a formulación del PDD a través de información, diálogo, pedagogía y fortalecimiento de la confianza desde la planeación participativa, con las personas cuidadoras de personas con discapacidad.</t>
  </si>
  <si>
    <t>Calle 31 # 17- 49 Casa LGTBI Sebastián Romero</t>
  </si>
  <si>
    <t>2024-04-06_DIALOGO CON PERSONAS CUIDADORAS DE PERSONAS CON DISCAPACIDAD (DDSPG)</t>
  </si>
  <si>
    <t>226 A</t>
  </si>
  <si>
    <t xml:space="preserve">ok, el registro fotografico se encuetra inserto en el acta, esta reu la realizo otra dependencia </t>
  </si>
  <si>
    <t>Dialogo Ciudadano para la Construcción del PDD - UPL Teusaquillo</t>
  </si>
  <si>
    <t>IED Palermo - Cra. 23 # 49-37</t>
  </si>
  <si>
    <t>2024-04-06_DIALOGO CIUDADANO - UPL TEUSAQUILLO</t>
  </si>
  <si>
    <t>https://drive.google.com/file/d/1piQy0G86A-M0SqZRHmFXr_8XBS0SnvuP/view?usp=sharing</t>
  </si>
  <si>
    <t>Diálogo Ciudadano Poblacional para la Construcción del PDD - Pueblo Raizal</t>
  </si>
  <si>
    <t>Recoger los aportes del pueblo raizal en el marco de la fase de aspiraciones comunes de la planeación participativa del Plan Distrital de Desarrollo</t>
  </si>
  <si>
    <t>Marcus Hooker</t>
  </si>
  <si>
    <t>Marcus.hooker@gobiernobogota.gov.co</t>
  </si>
  <si>
    <t>Aportes de la comunidad Raizal alrededor de la formulación del Plan Distrital de Desarrollo</t>
  </si>
  <si>
    <t>2024-04-06_DIALOGO CIUDADANO POBLACIONAL - PUEBLO RAIZAL</t>
  </si>
  <si>
    <t xml:space="preserve">Falta acta por parte de Gobierno </t>
  </si>
  <si>
    <t>Dialogo Ciudadano para la Construcción del PDD - UPL Cuenca del Tunjuelo</t>
  </si>
  <si>
    <t>Propuestas para el PDD con enfoque Ruralidad.</t>
  </si>
  <si>
    <t>2024-04-06_DIALOGO CIUDADANO - UPL CUENCA DEL TUNJUELO</t>
  </si>
  <si>
    <t>Documento Bases PDD</t>
  </si>
  <si>
    <t xml:space="preserve">Documentos base PDD  y formatos físicos chatico </t>
  </si>
  <si>
    <r>
      <rPr>
        <sz val="8"/>
        <rFont val="Calibri"/>
      </rPr>
      <t xml:space="preserve">https://drive.google.com/file/d/1iIde_2BjpIjgHJDb0PxYC7Z-jsx80sto/view?usp=sharing   </t>
    </r>
    <r>
      <rPr>
        <u/>
        <sz val="8"/>
        <color rgb="FF1155CC"/>
        <rFont val="Calibri"/>
      </rPr>
      <t>https://drive.google.com/file/d/1UiXgHNuduqFqrViGn3d22AEuuOP1n6YB/view?usp=sharing</t>
    </r>
  </si>
  <si>
    <t>Jornada Pégate al Plan: Pedagogía ciudadana para el manejo de la herramienta chatico - Theatron</t>
  </si>
  <si>
    <t>Edison Rodriguez</t>
  </si>
  <si>
    <t>Calle 58 # 10-32</t>
  </si>
  <si>
    <t>2024-04-06_JORNADA PEGATE AL PLAN - THEATRON</t>
  </si>
  <si>
    <t xml:space="preserve">Formatos Chaticos Físicos </t>
  </si>
  <si>
    <t xml:space="preserve">Pedagogía Chatico CPL Usaquen </t>
  </si>
  <si>
    <t>Realizar un taller  con el CPL de la localidad de Usaquen sobre la herramienta chatico para la presentación de propuestas al PDD.</t>
  </si>
  <si>
    <t>https://meet.google.com/ohd-ddqw-zgd</t>
  </si>
  <si>
    <t>Pedagogía a los representantes del CPL Usaquen sobre el manejo de la herramienta Chatico para la presentación de propuestas  del PDD</t>
  </si>
  <si>
    <t>2024-04-06_PEDAGOGIA CHATICO CPL USAQUEN</t>
  </si>
  <si>
    <t>Presentanción Proyecto Plan de Desarrollo</t>
  </si>
  <si>
    <t>Dialogo Ciudadano para la Construcción del PDD - UPL Cerros Orientales - Altos de Serrezuela</t>
  </si>
  <si>
    <t>Narciso Moreno</t>
  </si>
  <si>
    <t xml:space="preserve">Altos de Serrezuela </t>
  </si>
  <si>
    <t>Salón Escuela Altos de Serrezuela</t>
  </si>
  <si>
    <t>Seguridad, servicios sociales y publicos, educacion, vivienda y gobernanza</t>
  </si>
  <si>
    <t>2024-04-07_DIALOGO CIUDADANO -UPL CERROS ORIENTALES - ALTOS DE SERREZUELA</t>
  </si>
  <si>
    <t>Documento proyecto del PDD</t>
  </si>
  <si>
    <t xml:space="preserve">Formatos Físicos  propuestas Chatico </t>
  </si>
  <si>
    <t>https://drive.google.com/file/d/1piFzYzYuXcx8NG3ZyrYwnpRxnV73bBT3/view?usp=sharing</t>
  </si>
  <si>
    <t>Dialogo Ciudadano para la Construcción del PDD - UPL Cerros Orientales - Manantial y El Triangulo</t>
  </si>
  <si>
    <t>Hector Alvarez</t>
  </si>
  <si>
    <t xml:space="preserve">Manantial y El Triangulo </t>
  </si>
  <si>
    <t>Salón Nodo de Biodiversidad Cerros Orientales Ecobarrio Manantial</t>
  </si>
  <si>
    <t>Propuestas al Plan Distrital de Desarrollo</t>
  </si>
  <si>
    <t>2024-04-07_DIALOGO CIUDADANO -UPL CERROS ORIENTALES - MANANTIAL Y EL TRIANGULO</t>
  </si>
  <si>
    <t>https://drive.google.com/file/d/1-B-KwtTaReX50kXuPu2bSaSo5H7Z8ZpX/view?usp=sharing</t>
  </si>
  <si>
    <t>Jornada Pégate al Plan: Pedagogía ciudadana para el manejo de la herramienta chatico - Evento Gran Estación</t>
  </si>
  <si>
    <t>Ciudad Salitre Oriental</t>
  </si>
  <si>
    <t>Equipo Despacho SDP</t>
  </si>
  <si>
    <t>Plazoleta principal Centro Comercial Gran Estación - Av. El Dorado con carrera 66</t>
  </si>
  <si>
    <t>2024-04-07_JORNADA PEGATE AL PLAN - GRAN ESTACION</t>
  </si>
  <si>
    <t>Formato Propuestas fiísicas Chatico</t>
  </si>
  <si>
    <t>Encuentro Estratégico - integrantes del proyecto "Incidir para existir"- Jovenes</t>
  </si>
  <si>
    <t>Formular propuestas para el PDD con el enfoque de juventud.</t>
  </si>
  <si>
    <t>Super CADE CAD Ave Cra 30 #25 - 90 Torre B, Bogotá</t>
  </si>
  <si>
    <t>Propuestas para el PDD con el enfoque de juventud</t>
  </si>
  <si>
    <t>2024-04-08_ENCUENTRO ESTRATEGICO - INCIDIR PARA EXISTIR - JOVENES</t>
  </si>
  <si>
    <t>Relatoria de la sesion por parte del grupo "movilizatorio"</t>
  </si>
  <si>
    <t>https://drive.google.com/file/d/1yrNIqMr4brHWETxEaO2hcdxij4j1sXDP/view?usp=sharing</t>
  </si>
  <si>
    <t>Gestión: Documento Estrategia Participación Regalías y Plan de Acción</t>
  </si>
  <si>
    <t>Facilitar la socialización del documento a diseñar dentro del contexto de la estrategia de participación, así como realizar un seguimiento a las acciones proyectadas dentro del componente de regalias</t>
  </si>
  <si>
    <t>Inversiones Estratégicas</t>
  </si>
  <si>
    <t>https://meet.google.com/tpv-iywc-kzz?authuser=0</t>
  </si>
  <si>
    <t>Plan de Acción de Regalías, Documento de la Estrategia y Evento de Audiencia para el 29 de abril</t>
  </si>
  <si>
    <t>2024-04-08_DOCUMENTO ESTRATEGIA-PLAN DE ACCION</t>
  </si>
  <si>
    <t>Jornada Pégate al Plan: Pedagogía ciudadana para el manejo de la herramienta chatico - Universidad Nacional</t>
  </si>
  <si>
    <t>Nicolas Camilo Zorro</t>
  </si>
  <si>
    <t>Universidad Nacional Ave Cra 30 #45-3</t>
  </si>
  <si>
    <t xml:space="preserve">  Propuestas ciudadanas para la construcción del plan distrital de desarrollo</t>
  </si>
  <si>
    <t>2024-04-08_JORNADA PEGATE AL PLAN - UNIVERSIDAD NACIONAL</t>
  </si>
  <si>
    <t>Formatos Físicos Chatico</t>
  </si>
  <si>
    <t>Dialogo Ciudadano -Mesa de Víctimas Indígenas del Conflicto Armado</t>
  </si>
  <si>
    <t>Analizar las proupuestas de la Mesa en el marco del PDD</t>
  </si>
  <si>
    <t>Lorena Valbuena</t>
  </si>
  <si>
    <t>300 7457085</t>
  </si>
  <si>
    <t>alvalbuena@alcaldiabogota.gov.co</t>
  </si>
  <si>
    <t>Casa Indígena - Calle 9na</t>
  </si>
  <si>
    <t>Propuestas de la MIV al PDD</t>
  </si>
  <si>
    <t>2024-04-08_DIALOGO CIUDADANO -VICTIMAS INDIGENAS DEL CONFLICTO ARMADO</t>
  </si>
  <si>
    <t>Documento de propuestas al PDD</t>
  </si>
  <si>
    <t>Gestión: socialización ruta de trabajo grupos étnicos PDD al Concejal Oscar Bastidas</t>
  </si>
  <si>
    <t>Socializar la ruta de trabajo desarrollada con los grupos étnicos en Bogotá en el marco de la formulación del PDD</t>
  </si>
  <si>
    <t>Concejo de Bogotá (Calle 36 #28A-41)</t>
  </si>
  <si>
    <t>Ruta de la participación de los grupos étnicos en torno a la formulación del Plan Distrital de Desarrollo</t>
  </si>
  <si>
    <t>2024-04-08_RUTA DE TRABAJO GRUPOS ETNICOS PDD</t>
  </si>
  <si>
    <t>Presentación Proceso de participación ciudadana en la construcción PDD</t>
  </si>
  <si>
    <t xml:space="preserve">Es de gestión : tiene acta , registro fotográfico y documentos adicioanales  </t>
  </si>
  <si>
    <t>Vortako Consejo Consultivo Rrom</t>
  </si>
  <si>
    <t>Verificación del diligenciamiento de la matriz de armonización de los productos de Política Pública y Plan Distrital de Desarrollo.</t>
  </si>
  <si>
    <t>Claudio Rodriguez</t>
  </si>
  <si>
    <t>claudio.rodriguez@gobiernobogota.gov.co</t>
  </si>
  <si>
    <t>Vortako de verificación productos de politica pública en PDD</t>
  </si>
  <si>
    <t>2024-04-08_ II VORTAKO - PUEBLO RROM</t>
  </si>
  <si>
    <t>Matriz Vortako PDD</t>
  </si>
  <si>
    <t>Diálogo Ciudadano para la Construcción del PDD - UPL Usaquén</t>
  </si>
  <si>
    <t>Edelmira Pava</t>
  </si>
  <si>
    <t>jacbcgc@gmail.com</t>
  </si>
  <si>
    <t>Cedro Golf</t>
  </si>
  <si>
    <t>CARRERA 7A # 150 - 01 La Casona. Parque Cedro Golf</t>
  </si>
  <si>
    <t xml:space="preserve">Priorización y diligenciamiento de nuevas propuestas para la formulación del Plan Distrital de formulación dentro de los 5 objetivos estratégicos </t>
  </si>
  <si>
    <t>Enviar memorias a los participantes</t>
  </si>
  <si>
    <t>2024-04-08_DIALOGO CIUDADANO - UPL USAQUEN</t>
  </si>
  <si>
    <t>Borrador del Documento Base del PDD</t>
  </si>
  <si>
    <t xml:space="preserve">Borrador del Documento Base del PDD y formatos fisíco chatico </t>
  </si>
  <si>
    <t>https://drive.google.com/file/d/11cSVknvdqadvvMY1wm78EM4K6-SnUa_Y/view?usp=sharing</t>
  </si>
  <si>
    <t>Dialogo Ciudadano para la Construcción del PDD - UPL Tintal</t>
  </si>
  <si>
    <t>Universitaria Uniagustiniana
Avenida Ciudad de Cali (Carrera 86) # 11b-95 Sede Tagaste</t>
  </si>
  <si>
    <t xml:space="preserve">Segunda fase de formulación del Plan Distristal de Desarrollo, recolección de propuestas, pedagogía de la plataforma chatico   </t>
  </si>
  <si>
    <t>2024-04-08_DIALOGO CIUDADANO - UPL TINTAL</t>
  </si>
  <si>
    <t>Documento Bases_Proyecto PDD 2024-2028</t>
  </si>
  <si>
    <t xml:space="preserve">Documentos base PDD e Inforgráfia </t>
  </si>
  <si>
    <t>https://drive.google.com/file/d/19fZ32EH6nd7TTnppUc3mnt0jxQoEZf6q/view?usp=sharing</t>
  </si>
  <si>
    <t>Reunión Junta Directiva del CTPD</t>
  </si>
  <si>
    <t>Organización y solicitud de mesas de trabajo - Revisión de requerimientos y solicitudes de consejeros al correo del CTPD y Comité técnico de seguimiento - convenio con UNAD</t>
  </si>
  <si>
    <t>Liliana de los Ángeles Urrego Navarro</t>
  </si>
  <si>
    <t>https://meet.google.com/ypn-rvvz-hpm</t>
  </si>
  <si>
    <t>Organización y solicitud de mesas de trabajo , Revisión de requerimientos y solicitudes de consejeros al correo del CTPD , Comité técnico de seguimiento - convenio con UNAD</t>
  </si>
  <si>
    <t>2024-04-08_JUNTA DIRECTIVA CTPD</t>
  </si>
  <si>
    <t>Diálogo Ciudadano Poblacional para la Construcción del PDD - Vendedores informales</t>
  </si>
  <si>
    <t>Identificar las propuestas ciudadanas para la formulación del Plan Distrital de Desarrollo por parte de Vendedores Informalles</t>
  </si>
  <si>
    <t>Miguel Silva</t>
  </si>
  <si>
    <t>http://meet.google.com/yfy-sywk-kmk</t>
  </si>
  <si>
    <t>Propuestas para la formulación del PDD</t>
  </si>
  <si>
    <t>2024-04-08_DIALOGO CIUDADANO - VENDEDORES INFORMALES</t>
  </si>
  <si>
    <t>Grabación del espacio</t>
  </si>
  <si>
    <t>Jornada Pégate al Plan: Pedagogía ciudadana para el manejo de la herramienta chatico -Universidad UNINPAHU</t>
  </si>
  <si>
    <t>La soledad</t>
  </si>
  <si>
    <t>diagonal 40a #15-67 sede 23</t>
  </si>
  <si>
    <t>Identificación de las propuestas ciudadanas para la formulación del Plan de Desarrollo Distrital</t>
  </si>
  <si>
    <t>2024-04-09_JORNADA PEGATE AL PLAN - UNIVERSIDAD UNINPAHU</t>
  </si>
  <si>
    <t>Evaluciones del espacio , Formatos fisicos chatico</t>
  </si>
  <si>
    <t>Jornada Pégate al Plan: Pedagogía ciudadana para el manejo de la herramienta chatico -Universidad UNAD</t>
  </si>
  <si>
    <t>William Hernan Jimenez Salgar</t>
  </si>
  <si>
    <t>rectoria@unad.edu.co</t>
  </si>
  <si>
    <t>Sede Nacional José Celestino Mutis, Barrio Restrepo Calle 14 Sur # 14 – 23 Edificio inteligente 2 piso.</t>
  </si>
  <si>
    <t>Objetivos Plan Distrital de Desarrollo, Recolección propuestas</t>
  </si>
  <si>
    <t>2024-04-09_JORNADA PEGATE AL PLAN - UNIVERSIDAD UNAD</t>
  </si>
  <si>
    <t>Formatos fisicos chatico</t>
  </si>
  <si>
    <t xml:space="preserve">II Diálogo Ciudadano Poblacional para la Construcción del PDD - Consultiva Indígena </t>
  </si>
  <si>
    <t xml:space="preserve">Recoger los aportes de los Pueblos Indígenas en el marco de la fase de aspiraciones comunes de la planeacion participativa del Plan Distrital de Desarrollo </t>
  </si>
  <si>
    <t>María.chindoy@gobiernobogota.gov.co</t>
  </si>
  <si>
    <t>Casa de Pensamiento Indígena (Calle 9#9-60)</t>
  </si>
  <si>
    <t>Plan Distrital de Desarrollo; Consultiva de Pueblos Insigenss; Conpes 37</t>
  </si>
  <si>
    <t>1.Realizar un espacio de diálogo con el consultivo indígena el próximo 11 de abril de 2024 en la Casa de Pensamiento Indígena para recolectar sus propuestas y recomendaciones al contenido programático del Plan Distrital de Desarrollo.</t>
  </si>
  <si>
    <t>2024-04-09_II DIALOGO CIUDADANO POBLACIONAL - CONSULTIVA INDIGENA</t>
  </si>
  <si>
    <t>Pedagogía ciudadana para el manejo de la herramienta chatico -JAL Usaquén</t>
  </si>
  <si>
    <t>Realizar un espacio pedagógico con la JAL de la localidad de Usaquén sobre la herramienta Chatico para participar en la formulación del PDD.</t>
  </si>
  <si>
    <t>Andrés Ardilla</t>
  </si>
  <si>
    <t>andresfel.ardila@urosario.edu.co</t>
  </si>
  <si>
    <t xml:space="preserve">Calle 123 # 7 - 51 Oficina 507 Sede JAL Usaquén </t>
  </si>
  <si>
    <t xml:space="preserve">Fases para la estrategia de participación del PDD, explicación de los 5 objetivos estratégicos  sus programas,  preguntas y respuestas del proceso adelantado por la SDP </t>
  </si>
  <si>
    <t>Invitar a los ediles y edilesas al evento del 18 de abril, Audiencia Plurianual de Inversiones para localidad de Usaquén</t>
  </si>
  <si>
    <t>Envió presentación y documento borrador que tenía en ese momento el CTPD, recordando que es un documento de trabajo que pudo haber sido modificado en el mientras tanto y que será modificado en la etapa deliberativa en el Consejo Distrital, para así revisar los temas de valor de esterilizaciones, libertad de culto, construcción de URI y continuidad del programa de la administración anterior “Parceros por Bogotá”</t>
  </si>
  <si>
    <t>2024-04-09_PEDAGOGIA CHATICO-JAL USAQUEN</t>
  </si>
  <si>
    <t>Evaluación del espacio , material pedagogico de talleres de dialogo por UPL</t>
  </si>
  <si>
    <t>Pedagogía ciudadana para el manejo de la herramienta chatico -JAL  Kennedy</t>
  </si>
  <si>
    <t>Presentar la propuesta de formulación del PDD</t>
  </si>
  <si>
    <t>sin información</t>
  </si>
  <si>
    <t>Sin Información</t>
  </si>
  <si>
    <t>JAL.kennedy@gobiernobogota.gov.co</t>
  </si>
  <si>
    <t>Alcaldía Local de Kennedy- Transversal 78k # 41a 04 sur</t>
  </si>
  <si>
    <t>Fase de la  formulación del PDD</t>
  </si>
  <si>
    <t>RESPUESTA. Se hizo envió de correo, se realizaron llamadas y se envió por WhatsApp la invitación del evento del 18 en días previos, debido a que el lugar en el que se desarrolló la actividad fue en la Universidad Nueva Granada.</t>
  </si>
  <si>
    <t>2024-04-09_PEDAGOGIA CHATICO-JAL KENNEDY</t>
  </si>
  <si>
    <t>Diálogo Ciudadano para la Construcción del PDD -  Veedurías Ciudadanas</t>
  </si>
  <si>
    <t>Organización o veeduría ciudadana</t>
  </si>
  <si>
    <t>Casa de Control Social Avenida 32 No. 16-87</t>
  </si>
  <si>
    <t>Objetivos del PDD, priorización propuestas chatico</t>
  </si>
  <si>
    <t>2024-04-09_TALLER PDD CON VEEDURIAS CIUDADANAS</t>
  </si>
  <si>
    <t>Se envió el documento propuesta PDD</t>
  </si>
  <si>
    <t xml:space="preserve">Formatos físicos chatico </t>
  </si>
  <si>
    <t>https://drive.google.com/file/d/1X9LSyGH7eMmtMYKNcFGYLZq2qmum7cLy/view?usp=sharing</t>
  </si>
  <si>
    <t xml:space="preserve">Diálogo Ciudadano para la Construcción del PDD - UPL San Cristóbal </t>
  </si>
  <si>
    <t xml:space="preserve">San Cristobal </t>
  </si>
  <si>
    <t xml:space="preserve"> Salón comunal Barrio Granada Sur - Cra. 2 Este #20A Sur</t>
  </si>
  <si>
    <t>2024-04-09_DIALOGO CIUDADANO - UPL SAN CRISTOBAL</t>
  </si>
  <si>
    <t xml:space="preserve">Documento base del Plan Del Desarrollo Distrital </t>
  </si>
  <si>
    <t>https://drive.google.com/file/d/1Ft2a9aytEo0wp3K6eH-x3Czwc15_cvSF/view?usp=sharing</t>
  </si>
  <si>
    <t>Capacitación Chatico - Jornadas Pegate al Plan</t>
  </si>
  <si>
    <t>Capacitar al equipo de IDIPRON en la herramienta chatico para el desarrollo de Jornadas Pégate al Plan</t>
  </si>
  <si>
    <t>Yolanda Calderón</t>
  </si>
  <si>
    <t>ycalderon@sdp.gov.c</t>
  </si>
  <si>
    <t>https://meet.google.com/kse-uupn-bcu</t>
  </si>
  <si>
    <t>Pedagogía Herramienta Chatico</t>
  </si>
  <si>
    <t>2024-04-09_CAPACITACION CHATICO - JORNADAS PEGATE AL PLAN</t>
  </si>
  <si>
    <t>Jose H. Pedraza</t>
  </si>
  <si>
    <t>hpedraza@participacionbogota.gov.co</t>
  </si>
  <si>
    <t xml:space="preserve">Teusaquillo </t>
  </si>
  <si>
    <t>Transversal 18 bis # 38-41</t>
  </si>
  <si>
    <t>Plan de acción de la instancia: IDPAC y Encuentros Ciudadanos: A. Local</t>
  </si>
  <si>
    <t>2024-04-10_SESION ABRIL</t>
  </si>
  <si>
    <t>Plan de acción CLIP, infografía pegate al plan</t>
  </si>
  <si>
    <t>Jornada Pégate al Plan: Pedagogía ciudadana para el manejo de la herramienta chatico -Toma chatico a la Konrad</t>
  </si>
  <si>
    <t xml:space="preserve">Secretario y Subsecretario </t>
  </si>
  <si>
    <t>fundación universitaria Konrad Lorenz 
Carrera 9 bis # 68-43</t>
  </si>
  <si>
    <t>Pedagógia del PDD, Uso de la herramienta chatico</t>
  </si>
  <si>
    <t>2024-04-10_JORNADA PEGATE AL PLAN - KONRAD</t>
  </si>
  <si>
    <t xml:space="preserve">Evaluaciones del espacio </t>
  </si>
  <si>
    <t>Diálogo ciudadano Participación en el PDD (programa radial)</t>
  </si>
  <si>
    <t>Rendición de Cuentas - GAB</t>
  </si>
  <si>
    <t>Rendir cuentas sobre el avance del proceso de participación en el marco del PDD</t>
  </si>
  <si>
    <t>Melina Solano</t>
  </si>
  <si>
    <t>msolano@sdp.gov.co</t>
  </si>
  <si>
    <t>Universidad Konrad Lorenz Calle 62 # 9-43</t>
  </si>
  <si>
    <t>rendir cuentas sobre resultados estrategia de participación, avances de gestión, actores participantes, Chatico, ruta del PDD</t>
  </si>
  <si>
    <t>2024-04-10_DIALOGO CIUDADANO PARTICIPACION EN EL PDD - PROGRAMA RADIAL</t>
  </si>
  <si>
    <t>Audio programa Radial</t>
  </si>
  <si>
    <t>Comite Tecnico- CTPD</t>
  </si>
  <si>
    <t>Realizar el seguimiento al convenio 339 de 2024</t>
  </si>
  <si>
    <t>presidentactpd2024@gmail.com</t>
  </si>
  <si>
    <t>Carrera 30 No. 25 - 90- Super CAD piso 2</t>
  </si>
  <si>
    <t>Seguimiento al convenio 339 de 2024</t>
  </si>
  <si>
    <t>2024-04-10_ COMITE TECNICO- CTPD</t>
  </si>
  <si>
    <t>Orden del día, grabación de la reunión , presentación comite técnico</t>
  </si>
  <si>
    <t>Diálogo Ciudadano Población Migrante</t>
  </si>
  <si>
    <t>Recolectar las propuestas de la población migrante en torno a la formulación del Plan Distrital de Desarrollo</t>
  </si>
  <si>
    <t>Juan Pablo II</t>
  </si>
  <si>
    <t>Cra. 18q #68 Sur-10 a 68 Sur-42 (Plazoleta del Sapo, Barrio Juan Pablo II)</t>
  </si>
  <si>
    <t xml:space="preserve">Recolección de propuestas alrededor de los 5 objetivos estratégicos del Plan Distrital de Desarrollo </t>
  </si>
  <si>
    <t>2024-04-10_DIALOGO CIUDADANO POBLACION MIGRANTE</t>
  </si>
  <si>
    <t>Propuestas fisicas chatico</t>
  </si>
  <si>
    <t>https://drive.google.com/file/d/1Ud7osza4ivA-vMCnxCe0SKoOvXEAh3eb/view?usp=sharing</t>
  </si>
  <si>
    <t>Acompañar la articulación de los esfuerzos institucionales de participación en la localidad de Antonio Nariño</t>
  </si>
  <si>
    <t>Alcaldía Local de Antonio Nariño - Cl 17 Sur #18-49</t>
  </si>
  <si>
    <t>Proceso de Participación PDD, Encuentros ciudadanos para la estructuración de los Planes de Desarrollo Locales</t>
  </si>
  <si>
    <t>Presentación SDP-CLIP estretegia formulación PDD</t>
  </si>
  <si>
    <t>Definir encuentros ciudadanos y plan de acción 2024</t>
  </si>
  <si>
    <t>Reina esperanza</t>
  </si>
  <si>
    <t>Quiroga</t>
  </si>
  <si>
    <t>Calle 32sur 23 62</t>
  </si>
  <si>
    <t>Metodologia Encuentros Ciudadanos y Rendición de cuentas</t>
  </si>
  <si>
    <t>2024-04-10_SESION EXTRAORDINARIA ABRIL</t>
  </si>
  <si>
    <t>Pedagogía Chatico - Comisión Local de Movilidad de Suba</t>
  </si>
  <si>
    <t xml:space="preserve"> Socializar el  PDD ,  explicar el uso de Chatico</t>
  </si>
  <si>
    <t>Consejo Local</t>
  </si>
  <si>
    <t>Consejo Local de Movilidad de Suba</t>
  </si>
  <si>
    <t>Calle 146 C Bis No. 90 - 57</t>
  </si>
  <si>
    <t>Socialización PDD y Chatico</t>
  </si>
  <si>
    <t>2024-04-10_PEDAGOGIA CHATICO-CLM SUBA</t>
  </si>
  <si>
    <t>Acompañar la articulación de los esfuerzos institucionales de participación en la localidad de Bosa</t>
  </si>
  <si>
    <t>Marcela Tinoco</t>
  </si>
  <si>
    <t>Bosa Centro</t>
  </si>
  <si>
    <t>Casa de la participación Bosa - Tv. 87c #59 10, Bogotá</t>
  </si>
  <si>
    <t xml:space="preserve">Fases PDD y encuentros ciudadanos </t>
  </si>
  <si>
    <t>2024-04-11_SESION ABRIL</t>
  </si>
  <si>
    <t>Reunion con Secretaría de Cultura, Recreación y Deporte</t>
  </si>
  <si>
    <t>Establecer parámetros de la estrategia de comunicaciones del PDD</t>
  </si>
  <si>
    <t>meet.google.com/gzy-qwdn-sdn</t>
  </si>
  <si>
    <t>Estrategia de Participación del Plan de Desarrollo por fases, y la fecha de la culminación de la segunda fase: Aspiraciones Comunes</t>
  </si>
  <si>
    <t>2024-04-11_COMUNICACIONES SDRD</t>
  </si>
  <si>
    <t>Socialización de proyecto de Decreto AE Distrito Aeroportuario</t>
  </si>
  <si>
    <t>Socializar el proyecto de Decreto de adopción para la AEDA y recibir aportes de líderes comunitarios para la formulación del instrumento</t>
  </si>
  <si>
    <t>Santiago Carvajal</t>
  </si>
  <si>
    <t>scarvajal@sdp.gov.co</t>
  </si>
  <si>
    <t>Sabanas del Dorado - Álamos</t>
  </si>
  <si>
    <t>Socialización del proyecto de Decreto de adopción para la AEDA</t>
  </si>
  <si>
    <t>2024-04-11_SOCIALIZACION DECRETO AEDA</t>
  </si>
  <si>
    <t xml:space="preserve">Presentación AE distrito aeroportuario </t>
  </si>
  <si>
    <t>Diálogo Ciudadano para la construcción de PDD - Organizaciones de defensa de derechos de la población migrante</t>
  </si>
  <si>
    <t>Recolectar las propuestas y recomendaciones de las organizaciones no gubernamentales en pro de los derechos de la población migrante internacional en el marco de la formulación del Plan Distrital de Desarrollo</t>
  </si>
  <si>
    <t>plazassa@unhcr.or</t>
  </si>
  <si>
    <t>Carrera 30 #25-90 (Segundo piso CAD)</t>
  </si>
  <si>
    <t>Recolección de propuestas y recomendaciones a los sectores sobre las metas del PDD</t>
  </si>
  <si>
    <t>2024-04-11_DIÁLOGO CIUDADANO -ORG. POBLACION MIGRANTE</t>
  </si>
  <si>
    <t>Propuesta de abordaje metodológico y matriz de identificación de productos de Políticas Públicas con las metas del PDD.</t>
  </si>
  <si>
    <t>https://drive.google.com/file/d/1EkS5dsnimrblf17XPyiEDydl9daIHU9v/view?usp=sharing</t>
  </si>
  <si>
    <t>III Diálogo Ciudadano para la construcción de PDD - Consultiva Indigena</t>
  </si>
  <si>
    <t xml:space="preserve">Recoger los aportes de los Pueblos Indígenas en el marco de aspiraciones comunes para la planeación participativa del Plan Distrital de Desarrollo. </t>
  </si>
  <si>
    <t xml:space="preserve">Calle 9#9-60 Casa de Pensamiento Indígena </t>
  </si>
  <si>
    <t>Plan distrital de desarrollo: Consultiva de Pueblos Indigenas</t>
  </si>
  <si>
    <t>2024-04-11_III DIALOGO CIUDADANO - CONSULTIVA INDIGENA</t>
  </si>
  <si>
    <t>Mesa Directiva CTPD</t>
  </si>
  <si>
    <t xml:space="preserve">
Propuesta para mesas técnicas de trabajo - Presentación ante la mesa directiva de y solicitudes de inclusión de sectores en el CTPD (voluntarios, jueces de paz y otros).</t>
  </si>
  <si>
    <t xml:space="preserve">
https://meet.google.com/awb-sjgw-yxf</t>
  </si>
  <si>
    <t>Propuesta para mesas técnicas de trabajo - Presentación ante la mesa directiva de y solicitudes de inclusión de sectores en el CTPD (voluntarios, jueces de paz y otros).</t>
  </si>
  <si>
    <t>2024-04-11_MESA DIRECTIVA CTPD</t>
  </si>
  <si>
    <t>Orden del día, documentos de metodología mesas de trabajo, votaciones mesa</t>
  </si>
  <si>
    <t>Jornada Pégate al Plan: Pedagogía ciudadana para el manejo de la herramienta chatico - Supercade CAD</t>
  </si>
  <si>
    <t>Jennyfert Johana Martínez Aranda</t>
  </si>
  <si>
    <t>jmartineza@sdp.gov.co</t>
  </si>
  <si>
    <t>Carrera 30 #  25 - 90</t>
  </si>
  <si>
    <t>Identificación de nuevas propuesta y priorización de propuestas en el marco de la formulación del PDD</t>
  </si>
  <si>
    <t>2024-04-12_JORNADA PEGATE AL PLAN- SUPERCADE CAD</t>
  </si>
  <si>
    <t>Jornada Pégate al Plan: Pedagogía ciudadana para el manejo de la herramienta chatico - Alcaldia Teusaquillo</t>
  </si>
  <si>
    <t>Transversal 18 Bis #38-41</t>
  </si>
  <si>
    <t xml:space="preserve"> Pedagogía ciudadana para el manejo de la herramienta chatico - Alcaldia Teusaquillo</t>
  </si>
  <si>
    <t>2024-04-12_JORNADA PEGATE AL PLAN - ALCALDIA TEUSAQUILLO</t>
  </si>
  <si>
    <t>Formatos chatico físico</t>
  </si>
  <si>
    <t>Jornada Pégate al Plan: Pedagogía ciudadana para el manejo de la herramienta chatico - Movistar Arena</t>
  </si>
  <si>
    <t>Sebastián Pulido</t>
  </si>
  <si>
    <t>sebastian.pulido@movistararena.co</t>
  </si>
  <si>
    <t>Movistar Arena - Diagonal 61c #26-36</t>
  </si>
  <si>
    <t>Pedagogía sobre Plan Distrital de Desarrollo; Priorización de propuestas</t>
  </si>
  <si>
    <t>2024-04-12_JORNADA PEGATE AL PLAN - MOVISTAR ARENA</t>
  </si>
  <si>
    <t>Jornada Pégate al Plan: Pedagogía ciudadana para el manejo de la herramienta chatico - Universidad Católica</t>
  </si>
  <si>
    <t>Victor Manuel Díaz</t>
  </si>
  <si>
    <t>(601)4433700 Ext: 3093</t>
  </si>
  <si>
    <t>vmdiaz@ucatolica.edu.co</t>
  </si>
  <si>
    <t>Universidad Católica Sede 4, Carrera 13 # 47 - 49</t>
  </si>
  <si>
    <t>Aplicar Chatico para recoger aporte de Plan Distrital de Desarrollo</t>
  </si>
  <si>
    <t>2024-04-12_JORNADA PEGATE AL PLAN - UNIVERSIDAD CATOLICA</t>
  </si>
  <si>
    <t xml:space="preserve">Compartir entre las entidades cabezas de sector los avances y retos de la aplicación de la segunda fase de la estrategia de participación del PDD: “Aspiraciones Comunes”  </t>
  </si>
  <si>
    <t>https://meet.google.com/auw-crpn-xog</t>
  </si>
  <si>
    <t>Reporte de participación en Chatico a corte del 11 de abril, Reporte por entidad en el desarrollo de las actividades y almacenamiento de evidencias</t>
  </si>
  <si>
    <t>2024-04-12_COMITE COORDINADOR INTERSECTORIAL DE PARTICIPACION PDD</t>
  </si>
  <si>
    <t>Jornada Pégate al Plan: Pedagogía ciudadana para el manejo de la herramienta chatico - Audiencia de Rendición de Cuentas 2023 - FDL Kennedy</t>
  </si>
  <si>
    <t>Aplicar el instrumento de fase II  en el marco de la Audiencia Pública de Rendición de Cuentas 2023</t>
  </si>
  <si>
    <t>Rocío del Pilar Fajardo Vargas</t>
  </si>
  <si>
    <t xml:space="preserve">Kennedy </t>
  </si>
  <si>
    <t xml:space="preserve">Tv 78k No 41a - 04 Sur </t>
  </si>
  <si>
    <t xml:space="preserve">Metas cumplidas, indicadores, presupuestos. </t>
  </si>
  <si>
    <t>2024-04-12_APLICACION CHATICO-RENDICION DE CUENTAS KENNEDY</t>
  </si>
  <si>
    <t>Reunión Pueblo Muisca para recepción de sus propuestas en torno al PDD</t>
  </si>
  <si>
    <t>Realizar reunión con los Cabildos Muiscas de Suba y Bosa con la finalidad de recibir sus propuestas para el Plan Distrital de Desarrollo.</t>
  </si>
  <si>
    <t>Yeisson Triviño</t>
  </si>
  <si>
    <t>cabildomuiscasuba@gmail.com</t>
  </si>
  <si>
    <t>Cabildos Muiscas de Suba y Bosa</t>
  </si>
  <si>
    <t>Posa Wiwa Carrera 3 #10-72</t>
  </si>
  <si>
    <t xml:space="preserve">Plan Distrital de Desarrollo; Plan de Vida Muisca </t>
  </si>
  <si>
    <t>2024-04-12_ PUEBLO MUISCA PROPUESTAS PDD</t>
  </si>
  <si>
    <t xml:space="preserve">Ok es de gestión: tiene acta , registro fotográfico y listado de asistencia </t>
  </si>
  <si>
    <t>Articulación intersectorial para las Asambleas Ciudadanas</t>
  </si>
  <si>
    <t>Asambleas Ciudadanas Colaborativas</t>
  </si>
  <si>
    <t>Articular acciones entre sociedad civil, GAB e IDPAC para realizar las Asambleas ciudadanas.</t>
  </si>
  <si>
    <t>Felipe Rey</t>
  </si>
  <si>
    <t>reyfelipe@gmail.com</t>
  </si>
  <si>
    <t>https://meet.google.com/dte-mwcz-phr?authuser=3</t>
  </si>
  <si>
    <t>Articulación con GAB, IDPAC, organizaciones sociales y SDP, para gestionar asambleas ciudadanas</t>
  </si>
  <si>
    <t>2024-04-12_ARTICULACION ASAMBLEAS CIUDADANAS</t>
  </si>
  <si>
    <t>Ok es de gestión: tiene acta , convocatoria y registro fotográfico</t>
  </si>
  <si>
    <t>Identificar Mesas de trabajo en el marco del  PDD</t>
  </si>
  <si>
    <t>Mesas de trabajo CTPD y Distrito Capital para el PDD</t>
  </si>
  <si>
    <t>2024-04-12_PLENARIA CTPD</t>
  </si>
  <si>
    <t xml:space="preserve">ok, se ajusto el acta por parte de la Universidad </t>
  </si>
  <si>
    <t>Jornada Pégate al Plan: Pedagogía ciudadana para el manejo de la herramienta chatico  - Rendición de Cuentas Alcaldía Local de Rafael Uribe Uribe</t>
  </si>
  <si>
    <t>Aplicación de Chatico a los asistentes de la rendición de cuentas.</t>
  </si>
  <si>
    <t>Carlos Castillo</t>
  </si>
  <si>
    <t>310 2558764</t>
  </si>
  <si>
    <t>Alexander.castillo@gobiernobogota.gov.co</t>
  </si>
  <si>
    <t>Colegio Enrique Olaya Herrera</t>
  </si>
  <si>
    <t>presentar iniciativas a través de la plataforma Chatico</t>
  </si>
  <si>
    <t>2024-04-14_APLICACION CHATICO - RENDICION DE CUENTAS RUU</t>
  </si>
  <si>
    <t xml:space="preserve">Formatos chatico </t>
  </si>
  <si>
    <t>Mesa de trabajo Comisión Poblacional- CTPD</t>
  </si>
  <si>
    <t>Realizar mesas de trabajo entre el CTPD y la Administración Distrital con el propósito de discutir el concepto del PDD.</t>
  </si>
  <si>
    <t>Jacqueline Hérnandez</t>
  </si>
  <si>
    <t>Secretaría Distrital de Planeación ( Carrera 30 #25-90) - CTPD</t>
  </si>
  <si>
    <t>Propuestas prioritarias del concepto técnico PDD - Objetivo 2</t>
  </si>
  <si>
    <t>2024-04-15_MESA DE TRABAJO COMISION POBLACIONAL</t>
  </si>
  <si>
    <t>Identificar las propuestas ciudadanas para la formulación del Plan Distrital de Desarrollo</t>
  </si>
  <si>
    <t>Jennifert Martinez</t>
  </si>
  <si>
    <t>Avenida Carrera 30 # 25-90</t>
  </si>
  <si>
    <t>Plan Distrital de desarrollo y sus cinco objetivos</t>
  </si>
  <si>
    <t>2024-04-15_JORNADA PEGATE AL PLAN - SUPERCADE CAD</t>
  </si>
  <si>
    <t xml:space="preserve"> formatos físicos chatico </t>
  </si>
  <si>
    <t>Diálogo Ciudadano Población con Discapacidad Visual para la construcción del PDD</t>
  </si>
  <si>
    <t>Recolectar las propuestas de la población con discapacidad visual en la fase de ""Aspiraciones Comunes"" en el marco de la planeación participativa del Plan de Desarrollo Distrital</t>
  </si>
  <si>
    <t xml:space="preserve">Calle 2A 24-47 </t>
  </si>
  <si>
    <t xml:space="preserve">Formulación del PDD, objetivos, programas, acciones y propuestas. </t>
  </si>
  <si>
    <t>2024-04-15_DIALOGO CIUDADANO - DISCAPACIDAD VISUAL PDD</t>
  </si>
  <si>
    <t>Caracterización, evaluación y formatos fisicos de Chatico</t>
  </si>
  <si>
    <t xml:space="preserve">Gestión: Reunión con Autoridades Indígenas de Bakatá -AIB y SDG para la construcción del PDD </t>
  </si>
  <si>
    <t>Dar trámite a la solicitud por parte de Otras Formas Organizativas denominadas Autoridades Indígenas de Bakata (AIB) en la armonización de un diálogo participativo en el marco del nuevo Plan de Desarrollo.</t>
  </si>
  <si>
    <t>Arley Pastas</t>
  </si>
  <si>
    <t>hesvar.pastas@gobiernobogota.gov.co</t>
  </si>
  <si>
    <t xml:space="preserve">Calle 11 No. 8-17  </t>
  </si>
  <si>
    <t xml:space="preserve">PDD; otras formas de gobierno; autoridades indígenas </t>
  </si>
  <si>
    <t>2024-04-15_REUNION - AUTORIDADES INDIGENAS BAKATA -AIB Y SDG</t>
  </si>
  <si>
    <t xml:space="preserve">Ok es de gestión tiene acta, listado de asistencia y regsitro fotográfico </t>
  </si>
  <si>
    <t>Reunión Líder stonewall</t>
  </si>
  <si>
    <t>Política Pública LGBTI</t>
  </si>
  <si>
    <t>Realizar articulación y apoyo a evento, en cumplimiento al plan de acción de la política pública LGBTI</t>
  </si>
  <si>
    <t>Nehemias Gómez</t>
  </si>
  <si>
    <t>nemias.gomez.investigador@gmail.com</t>
  </si>
  <si>
    <t>Secretaría Distrital de Planeación, Ave Cra 30 #25-90</t>
  </si>
  <si>
    <t xml:space="preserve">Articulación para apoyo a la organización stonewall dando cumplimiento al plan de acción de la política pública LGBTI </t>
  </si>
  <si>
    <t>2024-04-15_REUNION LIDER STONEWALL</t>
  </si>
  <si>
    <t>Capacitación virtual Plan Plurianual de Inversiones PDD</t>
  </si>
  <si>
    <t>Capacitar  virtualmente sobre el  Plan Plurianual de Inversiones PDD  a funcionarios del distrito que implementarán Audiencias Públicas</t>
  </si>
  <si>
    <t>https://tel.meet/ygg-mrdx-ifi?pin=5752820655403</t>
  </si>
  <si>
    <t>Capacitación para las audiencias públicas del plan plurianual de inversiones con la SDP y entidades de apoyo</t>
  </si>
  <si>
    <t>2024-04-15_CAPACITACION PLAN PLURIANUAL DE INVERSIONES PDD</t>
  </si>
  <si>
    <t>Presentación capacitación PPI</t>
  </si>
  <si>
    <t>CLIP - Puente Aranda</t>
  </si>
  <si>
    <t>Auditorio del primer piso de la Alcaldía - Cl. 4 #31D-30</t>
  </si>
  <si>
    <t xml:space="preserve">Dialogos Ciudadanos, Herramienta Chatico e informe de propuestas, Audiencia Publica de Plan Plurianual </t>
  </si>
  <si>
    <t>2024-04-16_SESION ABRIL</t>
  </si>
  <si>
    <t>Reunión Preparatoria Audiencia PPI - Sumapaz I</t>
  </si>
  <si>
    <t xml:space="preserve">Brindar lineamientos para el desarrollo de la Audiencia PPI - Localidad Sumapaz rio cuenca sumapaz </t>
  </si>
  <si>
    <t>Subdirección de Consolidación, Subdirección de Mejoramiento Integral, Subdirección de Economía Urbana, Rural y Regional</t>
  </si>
  <si>
    <t>https://meet.google.com/tck-bgag-crs</t>
  </si>
  <si>
    <t>Plan Plurianual de Inversiones; Audiencia pública de Sumapaz PPI; Metodología de participación para la socialización del PPI; Roles</t>
  </si>
  <si>
    <t>2024-04-17_ REUNION PREPARATORIA AUDIENCIA PPI - SUMAPAZ - RIO SUMAPAZ</t>
  </si>
  <si>
    <t xml:space="preserve">OK es de gestión tiene acta y registro fotográfico </t>
  </si>
  <si>
    <t>Reunión Preparatoria Audiencia PPI - Sumapaz II</t>
  </si>
  <si>
    <t>Brindar lineamientos para el desarrollo de la Audiencia PPI - Localidad Sumapaz rio cuenca Blanco</t>
  </si>
  <si>
    <t>Plan Plurianual de Inversiones; Audiencia pública de Sumapaz II PPI; Metodología de participación para la socialización del PPI; Roles</t>
  </si>
  <si>
    <t>2024-04-17_REUNION PREPARATORIA AUDIENCIA PPI - SUMAPAZ - RIO BLANCO</t>
  </si>
  <si>
    <t>Reunión Preparatoria Audiencia PPI - Suba</t>
  </si>
  <si>
    <t>Brindar lineamientos para el desarrollo de la Audiencia PPI - Localidad Suba</t>
  </si>
  <si>
    <t>Miguel Chiappe</t>
  </si>
  <si>
    <t>304 5643837</t>
  </si>
  <si>
    <t>meet.google.com/udc-eudz-sjf</t>
  </si>
  <si>
    <t>Metodología para la Audiencia PPI de Suba</t>
  </si>
  <si>
    <t>2024-04-17_REUNION PREPARATORIA AUDIENCIA PPI - SUBA</t>
  </si>
  <si>
    <t xml:space="preserve">Ok es gestión: solo tiene acta y convocatoria </t>
  </si>
  <si>
    <t>Reunión Preparatoria Audiencia PPI - Ciudad Bolívar</t>
  </si>
  <si>
    <t>Brindar lineamientos para el desarrollo de la Audiencia PPI - Localidad Ciudad Bolívar</t>
  </si>
  <si>
    <t>Pilar Montagut</t>
  </si>
  <si>
    <t>312 3050160</t>
  </si>
  <si>
    <t>pmontagut@sdp.gov.co</t>
  </si>
  <si>
    <t>Dirección de Planeación del Desarrollo Social</t>
  </si>
  <si>
    <t>https://meet.google.com/bub-tchw-ygj</t>
  </si>
  <si>
    <t>Agenda y metodología para la Audiencia PPI de Ciudad Bolivar</t>
  </si>
  <si>
    <t>2024-04-17_REUNION PREPARATORIA AUDIENCIA PPI - CIUDAD BOLIVAR</t>
  </si>
  <si>
    <t xml:space="preserve">Es de gestión : tiene acta , registro fotográfico y convocatoria </t>
  </si>
  <si>
    <t>Reunión Preparatoria Audiencia PPI - Puente Aranda</t>
  </si>
  <si>
    <t>Brindar lineamientos para el desarrollo de la Audiencia PPI - Localidad Puente Aranda</t>
  </si>
  <si>
    <t>https://meet.google.com/oda-kism-azq</t>
  </si>
  <si>
    <t>Metodología audiencia pública plan plurianual de inversión</t>
  </si>
  <si>
    <t>2024-04-17_REUNION PREPARATORIA AUDIENCIA PPI - PUENTE ARANDA</t>
  </si>
  <si>
    <t>presentación preparatoria PPI</t>
  </si>
  <si>
    <t xml:space="preserve">Ok es de gestión: tiene acta, registro fotográfico , docuentos adicionales </t>
  </si>
  <si>
    <t>Reunión Preparatoria Audiencia PPI - Kennedy</t>
  </si>
  <si>
    <t>Brindar lineamientos para el desarrollo de la Audiencia PPI - Localidad Kennedy</t>
  </si>
  <si>
    <t>https://meet.google.com/dxp-qkzf-ieh</t>
  </si>
  <si>
    <t>Metodología, trabajo en mesas y priorización de inversión de programas.</t>
  </si>
  <si>
    <t>2024-04-17_REUNION PREPARATORIA AUDIENCIA PPI - KENNEDY</t>
  </si>
  <si>
    <t>presentación preparatori PPI</t>
  </si>
  <si>
    <t xml:space="preserve">Ok es gestión: solo tiene acta , registro fotográfico y convocatoria </t>
  </si>
  <si>
    <t>Reunión Preparatoria Audiencia PPI - Engativa</t>
  </si>
  <si>
    <t>Brindar lineamientos para el desarrollo de la Audiencia PPI - Localidad Engativa</t>
  </si>
  <si>
    <t>https://meet.google.com/uyu-nhid-jqg?hs=224</t>
  </si>
  <si>
    <t>Plan Plurianual de Inversiones; Audiencia pública de Engativa PPI; Metodología de participación para la socialización del PPI; Roles</t>
  </si>
  <si>
    <t>2024-04-17_REUNION PREPARATORIA AUDIENCIA PPI - ENGATIVA</t>
  </si>
  <si>
    <t xml:space="preserve">Ok es gestión: solo tiene acta , registro fotográfico y documentos adicionales </t>
  </si>
  <si>
    <t>Reunión Preparatoria Audiencia PPI - Rafael Uribe Uribe</t>
  </si>
  <si>
    <t>Brindar lineamientos para el desarrollo de la Audiencia PPI - Localidad Rafael Uribe Uribe</t>
  </si>
  <si>
    <t>Sergio Layton</t>
  </si>
  <si>
    <t>slaiton@sdp.gov.co</t>
  </si>
  <si>
    <t>https://meet.google.com/kqm-ahaa-ket</t>
  </si>
  <si>
    <t>Plan Plurianual de Inversiones; Audiencia pública de Rafael Uribre Uribe PPI; Metodología de participación para la socialización del PPI; Roles</t>
  </si>
  <si>
    <t>2024-04-17_REUNION PREPARATORIA AUDIENCIA PPI - RUU</t>
  </si>
  <si>
    <t>Ok es de gestión : tiene acta y documentos adicionales</t>
  </si>
  <si>
    <t>Reunión Preparatoria Audiencia PPI - Antonio Nariño</t>
  </si>
  <si>
    <t>Brindar lineamientos para el desarrollo de la Audiencia PPI - Localidad Antonio Nariño</t>
  </si>
  <si>
    <t>Angelica Hernandez</t>
  </si>
  <si>
    <t>Subsecretaria de la Información</t>
  </si>
  <si>
    <t>https://meet.google.com/zss-jgkc-rzv?authuser=0</t>
  </si>
  <si>
    <t>Plan Plurianual de Inversiones; Audiencia pública de Antonio Nariño PPI; Metodología de participación para la socialización del PPI; Roles</t>
  </si>
  <si>
    <t>2024-04-17_REUNION PREPARATORIA AUDIENCIA PPI - ANTONIO NARIÑO</t>
  </si>
  <si>
    <t xml:space="preserve">Ok es de gestión: acta y convocatoria </t>
  </si>
  <si>
    <t xml:space="preserve">Reunión Preparatoria Audiencia PPI - Fontibón </t>
  </si>
  <si>
    <t>Brindar lineamientos para el desarrollo de la Audiencia PPI - Localidad Fontibon</t>
  </si>
  <si>
    <t>https://meet.google.com/yrk-gfow-jtu?authuser=0</t>
  </si>
  <si>
    <t>Plan Plurianual de Inversiones; Audiencia pública de Fontibón PPI; Metodología de participación para la socialización del PPI; Roles</t>
  </si>
  <si>
    <t>2024-04-17_REUNION PREPARATORIA AUDIENCIA PPI - FONTIBON</t>
  </si>
  <si>
    <t>Reunión Preparatoria Audiencia PPI - Tunjuelito</t>
  </si>
  <si>
    <t>Brindar lineamientos para el desarrollo de la Audiencia PPI - Localidad Tunjuelito</t>
  </si>
  <si>
    <t>Fabián Sanchez Rojas</t>
  </si>
  <si>
    <t>anavarrete@participacionbogota.gov.co</t>
  </si>
  <si>
    <t>https://meet.google.com/inb-qpjo-ski</t>
  </si>
  <si>
    <t>Plan Plurianual de Inversiones; Audiencia pública de Tunjuelito PPI; Metodología de participación para la socialización del PPI; Roles</t>
  </si>
  <si>
    <t>2024-04-17_REUNION PREPARATORIA AUDIENCIA PPI - TUNJUELITO</t>
  </si>
  <si>
    <t xml:space="preserve">grabación del espacio </t>
  </si>
  <si>
    <t>Ok de gestión : acta , registro fotográfico . documentos adicionales</t>
  </si>
  <si>
    <t>Reunión Preparatoria Audiencia PPI - Bosa</t>
  </si>
  <si>
    <t>Brindar lineamientos para el desarrollo de la Audiencia PPI - Localidad Bosa</t>
  </si>
  <si>
    <t>Fanny Chaparro</t>
  </si>
  <si>
    <t>fchaparro@sdp.gov.co</t>
  </si>
  <si>
    <t xml:space="preserve"> https://meet.google.com/mge-zsxj-ivc</t>
  </si>
  <si>
    <t>Plan Plurianual de Inversiones; Audiencia pública de Bosa PPI; Metodología de participación para la socialización del PPI; Roles</t>
  </si>
  <si>
    <t>2024-04-17_REUNION PREPARATORIA AUDIENCIA PPI - BOSA</t>
  </si>
  <si>
    <t>Presentacion preparatoria PPI</t>
  </si>
  <si>
    <t xml:space="preserve">OK es de gestión: tiene acta , convocatoria y documentos adicioanales </t>
  </si>
  <si>
    <t>Reunión Preparatoria Audiencia PPI - San Cristobal</t>
  </si>
  <si>
    <t>Brindar lineamientos para el desarrollo de la Audiencia PPI - Localidad San Cristobal</t>
  </si>
  <si>
    <t>Catalina</t>
  </si>
  <si>
    <t xml:space="preserve">San Cristóbal </t>
  </si>
  <si>
    <t>https://meet.google.com/uhe-rjjx-tex</t>
  </si>
  <si>
    <t>Agenda y metodología para la Audiencia PPI de San Cristobal</t>
  </si>
  <si>
    <t>2024-04-17_REUNION PREPARATORIA AUDIENCIA PPI - SAN CRISTOBAL</t>
  </si>
  <si>
    <t xml:space="preserve">OK es de gestión : solo tiene acta y registro fotográfico </t>
  </si>
  <si>
    <t>Reunión Preparatoria Audiencia PPI -  Los Mártires</t>
  </si>
  <si>
    <t>Brindar lineamientos para el desarrollo de la Audiencia PPI - Localidad Mártires</t>
  </si>
  <si>
    <t>300 4458788</t>
  </si>
  <si>
    <t>https://meet.google.com/kqw-wtxz-fke</t>
  </si>
  <si>
    <t>Plan Plurianual de Inversiones; Audiencia pública de Los Martires PPI; Metodología de participación para la socialización del PPI; Roles</t>
  </si>
  <si>
    <t>2024-04-17_REUNION PREPARATORIA AUDIENCIA PPI - LOS MARTIRES</t>
  </si>
  <si>
    <t>Presentación PPI</t>
  </si>
  <si>
    <t>CLIP Kennedy</t>
  </si>
  <si>
    <t>Acompañar la articulación de los esfuerzos institucionales de participación en la localidad de Kennedy</t>
  </si>
  <si>
    <t>Cristian Villarreal</t>
  </si>
  <si>
    <t xml:space="preserve">Transversal 78K No. 41A-04 Sur (Alcaldía Local de Kennedy) </t>
  </si>
  <si>
    <t>Encuentros ciudadanos Alcaldía Local de Kennedy.Programa Jóvenes en Paz. Fase  II Plan Distrital de Desarrollo y Politica pública de participación.</t>
  </si>
  <si>
    <t>2024-04-17_SESION ABRIL</t>
  </si>
  <si>
    <t>Primer comité de participación ciudadana - Proyecto Manzana del cuidado del Porvenir Gibraltar</t>
  </si>
  <si>
    <t>Acompañar el primer comité de participación ciudadana del contrato de la Manzana del cuidado del Porvenir (Gibraltar) en donde se informaran aspectos importantes sobre el avance del proyecto.</t>
  </si>
  <si>
    <t>Cra 90 A # 45 A - 15 Sur (Conjunto Compartir La Margarita III)</t>
  </si>
  <si>
    <t xml:space="preserve">Avances en contenido ambiental, fauna, seguridad y salud en el trabajo; y social. </t>
  </si>
  <si>
    <t>2024-04-17_COMITE DE PARTICIPACION CIUDADANA - PROYECTO PORVENIR GIBRALTAR</t>
  </si>
  <si>
    <t>Reunión Preparatoria Audiencia PPI -  Santa Fé</t>
  </si>
  <si>
    <t>Brindar lineamientos para el desarrollo de la Audiencia PPI - Localidad Santa Fé</t>
  </si>
  <si>
    <t>https://meet.google.com/age-bhxg-vst</t>
  </si>
  <si>
    <t>Plan Plurianual de Inversiones; Audiencia pública de Santa Fe PPI; Metodología de participación para la socialización del PPI; Roles</t>
  </si>
  <si>
    <t>2024-04-17_REUNION PREPARATORIA AUDIENCIA PPI - SANTA FE</t>
  </si>
  <si>
    <t>Presentación preparatoria PPI Santa fé</t>
  </si>
  <si>
    <t>Ok es de gestión : tiene acta , registro fotográfico, documentos adicionales.</t>
  </si>
  <si>
    <t>Reunión Preparatoria Audiencia PPI - Usaquén</t>
  </si>
  <si>
    <t xml:space="preserve">Brindar lineamientos para el desarrollo de la Audiencia PPI - Localidad Usaquén </t>
  </si>
  <si>
    <t>Olga Lucia Serrano</t>
  </si>
  <si>
    <t>olgalserranof@gmail.com</t>
  </si>
  <si>
    <t xml:space="preserve">Escuela de Infanteria </t>
  </si>
  <si>
    <t>https://meet.google.com/ave-dknh-acq</t>
  </si>
  <si>
    <t>Plan Plurianual de Inversiones; Audiencia pública de Usaquen PPI; Metodología de participación para la socialización del PPI; Roles</t>
  </si>
  <si>
    <t>2024-04-17_REUNION PREPARATORIA AUDIENCIA PPI - USAQUEN</t>
  </si>
  <si>
    <t xml:space="preserve">OK es de gestión : acta y convocatoria </t>
  </si>
  <si>
    <t>Reunión Preparatoria Audiencia PPI - Teusaquillo</t>
  </si>
  <si>
    <t>Brindar lineamientos para el desarrollo de la Audiencia PPI - Localidad Teusaquillo</t>
  </si>
  <si>
    <t>Eva Rocío Morales</t>
  </si>
  <si>
    <t>Eva.morales@gobiernobogota.gov.co</t>
  </si>
  <si>
    <t>Dirección de Planeación del Desarrollo Económico</t>
  </si>
  <si>
    <t>meet.google.com/mev-ebex-iex</t>
  </si>
  <si>
    <t>Plan Plurianual de Inversiones; Audiencia pública de Teusaquillo  PPI; Metodología de participación para la socialización del PPI; Roles</t>
  </si>
  <si>
    <t>2024-04-17_REUNION PREPARATORIA AUDIENCIA PPI - TEUSAQUILLO</t>
  </si>
  <si>
    <t xml:space="preserve">Ok es de gestión: acta, registro fotográfico , listado de asistencia </t>
  </si>
  <si>
    <t>Reunión Preparatoria Audiencia PPI - La Candelaria</t>
  </si>
  <si>
    <t>Brindar lineamientos para el desarrollo de la Audiencia PPI - Localidad La Candelaria</t>
  </si>
  <si>
    <t>Monica Andrea Leal Diaz</t>
  </si>
  <si>
    <t>monica.leal@gobiernobogota.gov.co</t>
  </si>
  <si>
    <t xml:space="preserve">La Candelaria </t>
  </si>
  <si>
    <t>Subdirección de Planeamiento Local del Centro Ampliado</t>
  </si>
  <si>
    <t xml:space="preserve">https://meet.google.com/ksh-kacg-dsd </t>
  </si>
  <si>
    <t>Plan Plurianual de Inversiones; Audiencia pública de La Candelaria PPI; Metodología de participación para la socialización del PPI; Roles</t>
  </si>
  <si>
    <t>2024-04-17_REUNION PREPARATORIA AUDIENCIA PPI - LA CANDELARIA</t>
  </si>
  <si>
    <t>PTT  Preparatoria PPE</t>
  </si>
  <si>
    <t>Reunión Preparatoria Audiencia PPI - Usme</t>
  </si>
  <si>
    <t>Brindar lineamientos para el desarrollo de la Audiencia PPI - Localidad Usme</t>
  </si>
  <si>
    <t>Carlos Alberto Castañeda Castrillón</t>
  </si>
  <si>
    <t>cacastaneda@sdp.gov.co</t>
  </si>
  <si>
    <t>El Virrey, Usme</t>
  </si>
  <si>
    <t>Dirección de Evaluación de Políticas Públicas Distritales</t>
  </si>
  <si>
    <t>meet.google.com/jyg-ddyn-eko</t>
  </si>
  <si>
    <t>Plan Plurianual de Inversiones; Audiencia pública de Usme PPI; Metodología de participación para la socialización del PPI; Roles</t>
  </si>
  <si>
    <t>2024-04-17_REUNION PREPARATORIA AUDIENCIA PPI - USME</t>
  </si>
  <si>
    <t>Ok es de gestión: acta , listado de asstencia, registro fotográfico, convocatoria y documentos adicionales</t>
  </si>
  <si>
    <t>Reunión Preparatoria Audiencia PPI - Barrios Unidos</t>
  </si>
  <si>
    <t>Brindar lineamientos para el desarrollo de la Audiencia PPI - Localidad  Barrios Unidos</t>
  </si>
  <si>
    <t>Sin informacion</t>
  </si>
  <si>
    <t xml:space="preserve">Barrios Unidos </t>
  </si>
  <si>
    <t>meet.google.com/nsm-epxn-byp</t>
  </si>
  <si>
    <t>Plan Plurianual de Inversiones; Audiencia pública de Barrios Unidos PPI; Metodología de participación para la socialización del PPI; Roles</t>
  </si>
  <si>
    <t>2024-04-17_REUNION PREPARATORIA AUDIENCIA PPI - BARRIOS UNIDOS</t>
  </si>
  <si>
    <t>Presentación de reu preparatoria Audiencias PPI</t>
  </si>
  <si>
    <t xml:space="preserve">OK es de gestión : tiene acta , resgistro fotográficos , convocatoria y registro fotográfico </t>
  </si>
  <si>
    <t>Segunda reunión Preparatoria Audiencia PPI - Puente Aranda</t>
  </si>
  <si>
    <t>https://meet.google.com/zim-yktg-hvh</t>
  </si>
  <si>
    <t xml:space="preserve">Metodología audiencia pública plan plurianual de inversión </t>
  </si>
  <si>
    <t>2024-04-17_ SEGUNDA REUNION PREPARATORIA AUDIENCIA PPI - PUENTE ARANDA</t>
  </si>
  <si>
    <t>Segunda reunión Preparatoria Audiencia PPI - Chapinero</t>
  </si>
  <si>
    <t>Brindar lineamientos para el desarrollo de la Audiencia PPI - Localidad Chapinero</t>
  </si>
  <si>
    <t>https://meet.google.com/yue-hyog-zdk</t>
  </si>
  <si>
    <t>Plan Plurianual de Inversiones; Audiencia pública de Chapienro PPI; Metodología de participación para la socialización del PPI; Roles</t>
  </si>
  <si>
    <t>2024-04-17_REUNION PREPARATORIA AUDIENCIA PPI - CHAPINERO</t>
  </si>
  <si>
    <t xml:space="preserve">Presentacion prepratoria PPI , presnetación PPI y grabación de la sesión </t>
  </si>
  <si>
    <t xml:space="preserve">Ok es de gestión: acta, documentos adcionales y regsitro fotográfico </t>
  </si>
  <si>
    <t>Segunda capacitación - Audiencias Plan Plurianual de Inversiones</t>
  </si>
  <si>
    <t>Reforzar la capacitación a directivos y líderes OPDC responsables de las audiencias el plan plurianual de inversiones</t>
  </si>
  <si>
    <t>https://meet.google.com/iez-npad-qem</t>
  </si>
  <si>
    <t>Capacitación para las audiencias del plan plurianual de inversiones</t>
  </si>
  <si>
    <t>2024-04-18_SEGUNDA CAPACITACION - AUDIENCIAS PLAN PLURIANUAL DE INVERSIONES</t>
  </si>
  <si>
    <t xml:space="preserve">Ok es de gestión :acta , registro fotográfico, documentos adicionales, convocatoria  </t>
  </si>
  <si>
    <t>Encuentro ciudadano Cabildo Muisca de Suba</t>
  </si>
  <si>
    <t>Acompañar al Cabildo Muisca de Suba en la realización del encuentro ciudadano en relación del Plan Distrital de Desarrollo.</t>
  </si>
  <si>
    <t>Adriana Martinez</t>
  </si>
  <si>
    <t>Cabildo Indígena Muisca de Suba</t>
  </si>
  <si>
    <t>Carrera 86A n.º 145-50 Parque Mirador de los Nevados</t>
  </si>
  <si>
    <t xml:space="preserve">Plan Distrital de Desarrollo; Plan de Desarrollo Local; Pueblo Muisca; </t>
  </si>
  <si>
    <t>2024-04-18_ENCUENTRO CIUDADANO CABILDO MUISCA DE SUBA</t>
  </si>
  <si>
    <t xml:space="preserve">Ok es de gestión: tiene acta , registro fotográfico y listado de asistencia funcionarios y convocatoria </t>
  </si>
  <si>
    <t>Audiencia PPI-Formulación PDD- Localidad Ciudad Bolívar</t>
  </si>
  <si>
    <t>Promover la información sobre la formulación del Plan Plurianual de Inversiones de Bogotá, para que la ciudadanía interesada pueda realizar propuestas de priorización de las inversiones,</t>
  </si>
  <si>
    <t xml:space="preserve">Avenida calle 61 sur # 59b - 43 sur Casa de la cultura de Ciudad Bolívar </t>
  </si>
  <si>
    <t>Plan Plurianual de Inversiones , Priorización de presupuestos, programas, estrategias y objetivos del PDD</t>
  </si>
  <si>
    <t>2024-04-18_AUDIENCIA PPI - CIUDAD BOLIVAR</t>
  </si>
  <si>
    <t xml:space="preserve">DP Rrom, presentación PPI Y Foto de programas Priorizados </t>
  </si>
  <si>
    <t>https://drive.google.com/file/d/1KNVkPLYqikykddokwf3u-sBY5oKyIiGi/view?usp=sharing</t>
  </si>
  <si>
    <t>3 - Aceptable</t>
  </si>
  <si>
    <t>Audiencia PPI-Formulación PDD- Localidad Usaquén</t>
  </si>
  <si>
    <t>No especifica</t>
  </si>
  <si>
    <t xml:space="preserve">Universidad Militar- auditorio Esteban Jaramillo ,torre B, Kr 11 # 101 - 80 </t>
  </si>
  <si>
    <t>2024-04-18_AUDIENCIA PPI-USAQUEN</t>
  </si>
  <si>
    <t xml:space="preserve">Presentación PPI y DP Rrom escaneados </t>
  </si>
  <si>
    <t>https://drive.google.com/file/d/1KTMY5kH7Ds-RZ4XgQkNBbTbKHsiWfCOg/view?usp=sharing</t>
  </si>
  <si>
    <t>Audiencia PPI-Formulación PDD- Localidad Chapinero</t>
  </si>
  <si>
    <t>Federico Ballesteros</t>
  </si>
  <si>
    <t>federico.santiago@gobiernobogota.gov.co</t>
  </si>
  <si>
    <t>Barrio Chapinero</t>
  </si>
  <si>
    <t>Auditorio Alcaldía Local de Chapinero - Carrera 13 # 54 - 74</t>
  </si>
  <si>
    <t>2024-04-18_AUDIENCIA PPI-CHAPINERO</t>
  </si>
  <si>
    <t>DP Rrom escaneados y formulario de resultado de google formas relatoria</t>
  </si>
  <si>
    <t>https://drive.google.com/file/d/10haiByv-VX_E0yI4rngQDlIoF8KQzlYB/view?usp=sharing</t>
  </si>
  <si>
    <t>Audiencia PPI-Formulación PDD- Localidad Usme</t>
  </si>
  <si>
    <t>Yamile Romero</t>
  </si>
  <si>
    <t>cdcusmejcs@gmail.com</t>
  </si>
  <si>
    <t>El Virrey</t>
  </si>
  <si>
    <t>CDC Julio César Sánchez. Calle 91 Sur #4C-26 Este</t>
  </si>
  <si>
    <t>2024-04-18_AUDIENCIA PPI - USME</t>
  </si>
  <si>
    <t xml:space="preserve">Presentación PPI </t>
  </si>
  <si>
    <t>https://drive.google.com/file/d/1Tl5emPyFYvvUs01ZoNj8YaVoWSc-IEla/view?usp=sharing</t>
  </si>
  <si>
    <t>Audiencia PPI-Formulación PDD- Localidad Antonio Nariño</t>
  </si>
  <si>
    <t>Paula Andrea Pedraza</t>
  </si>
  <si>
    <t>paula.pedraza@gobiernobogota.gov.co</t>
  </si>
  <si>
    <t>Calle 17 Sur No. 18 – 49 piso 1 salón de protocolo</t>
  </si>
  <si>
    <t>Envío de memorias del espacio y presentación de contenido expuesta.</t>
  </si>
  <si>
    <t>2024-04-18_AUDIENCIA PPI - ANTONIO NARIÑO</t>
  </si>
  <si>
    <t>Ninguno</t>
  </si>
  <si>
    <t>DP Rrom</t>
  </si>
  <si>
    <t>https://drive.google.com/file/d/167nns2Su2npp1X9LbF83L_kUyc6RY7tj/view?usp=sharing</t>
  </si>
  <si>
    <t>Audiencia PPI-Formulación PDD- Localidad Santa Fe</t>
  </si>
  <si>
    <t>Henry Calderon</t>
  </si>
  <si>
    <t>cdclourdes@sdis.gov.co</t>
  </si>
  <si>
    <t>Lourdes</t>
  </si>
  <si>
    <t>Oficina Laboratorio de ciudad</t>
  </si>
  <si>
    <t>Carrera 2 #4-06 CDC Lourdes</t>
  </si>
  <si>
    <t>2024-04-18_AUDIENCIA PPI- SANTA FE</t>
  </si>
  <si>
    <t>Resultado google Forms relatoria por mesas</t>
  </si>
  <si>
    <t>https://drive.google.com/file/d/1dTFpsmYDCumfRen6DVNCrGCUoXRMSVPX/view?usp=sharing</t>
  </si>
  <si>
    <t>Audiencia PPI-Formulación PDD- Localidad Rafael Uribe Uribe</t>
  </si>
  <si>
    <t>Calle 32 sur # 23 62</t>
  </si>
  <si>
    <t>2024-04-18_AUDIENCIA PPI- RAFAEL URIBE</t>
  </si>
  <si>
    <t>https://drive.google.com/file/d/1NU7AjNo4uofIvHniUqNem8qsfN1MJYpP/view?usp=sharing</t>
  </si>
  <si>
    <t xml:space="preserve">Audiencia PPI-Formulación PDD- Localidad San Cristóbal </t>
  </si>
  <si>
    <t>Rosa Angélica Robayo</t>
  </si>
  <si>
    <t>Barrio San Blas</t>
  </si>
  <si>
    <t>AV 1de Mayo No. 1 - 40 Sur</t>
  </si>
  <si>
    <t>2024-04-18_AUDIENCIA PPI-SAN CRISTOBAL</t>
  </si>
  <si>
    <t xml:space="preserve">Presentación Plan Plurianual de Inversiones Distrital </t>
  </si>
  <si>
    <t>https://drive.google.com/file/d/1-uxPahn1OoPUVF7zHKn7w_aVwsEmBo4w/view?usp=sharing</t>
  </si>
  <si>
    <t xml:space="preserve">Audiencia PPI-Formulación PDD- Localidad Barrios Unidos </t>
  </si>
  <si>
    <t xml:space="preserve">YAJAIRA CUESTAS	</t>
  </si>
  <si>
    <t xml:space="preserve">CALLE 74A No 63-07
AUDITORIO TOMAS CARRASQUILLA
</t>
  </si>
  <si>
    <t>2024-04-18_AUDIENCIA PPI BARRIOS UNIDOS</t>
  </si>
  <si>
    <t xml:space="preserve">DP Rrom , presentacion PPI y Brief de la sesisón </t>
  </si>
  <si>
    <t>https://drive.google.com/file/d/1xt1IvW9P4OXYa9n7h1fRW5tO-KjW4oAA/view?usp=sharing</t>
  </si>
  <si>
    <t xml:space="preserve">Audiencia PPI-Formulación PDD- Localidad Kennedy </t>
  </si>
  <si>
    <t>Rocío Fajardo</t>
  </si>
  <si>
    <t>rocio.fajardo@gobiernobogota.gov.co</t>
  </si>
  <si>
    <t>Transversal 78K No. 41A-04 Sur - Auditorio 1P [Sala C] (Alcaldía Local de Kennedy)</t>
  </si>
  <si>
    <t>2024-04-18_AUDIENCIA PPI- KENNEDY</t>
  </si>
  <si>
    <t xml:space="preserve">Presentación PPI  y DP Rrom </t>
  </si>
  <si>
    <t>https://drive.google.com/file/d/1FOAqaB-DsKG9kEaquG9-3NKbFZxGmjUp/view?usp=sharing</t>
  </si>
  <si>
    <t>Audiencia PPI-Formulación PDD- Localidad Suba</t>
  </si>
  <si>
    <t>Rincón de suba</t>
  </si>
  <si>
    <t>Carrera 94C # 129 A - 04 , Colegio Gerardo Paredes</t>
  </si>
  <si>
    <t>2024-04-18_AUDIENCIA PPI- SUBA</t>
  </si>
  <si>
    <t xml:space="preserve">Presentación PPI  Y DP Rrom </t>
  </si>
  <si>
    <t>https://drive.google.com/file/d/1CyQP46eHRQx54PW84RtKTPnTLDjTuFeS/view?usp=sharing</t>
  </si>
  <si>
    <t>Audiencia PPI-Formulación PDD- Localidad Bosa</t>
  </si>
  <si>
    <t>Sandra Milena Gonzales</t>
  </si>
  <si>
    <t>316 3958522</t>
  </si>
  <si>
    <t>milegonzalez.inmo@gmail.com</t>
  </si>
  <si>
    <t>Bosa centro</t>
  </si>
  <si>
    <t xml:space="preserve">CASA DE LA PARTICIPACIÓN BOSA (Cra. 80k #61-28) </t>
  </si>
  <si>
    <t>2024-04-18_AUDIENCIA PPI BOSA</t>
  </si>
  <si>
    <t>https://drive.google.com/file/d/1aGYWUllfWI_h353Z9oTd1ENtkpomA_oq/view?usp=sharing</t>
  </si>
  <si>
    <t>Audiencia PPI-Formulación PDD- Localidad Tunjuelito</t>
  </si>
  <si>
    <t xml:space="preserve">Hugo García </t>
  </si>
  <si>
    <t>300 5013265</t>
  </si>
  <si>
    <t>hugo.garcia@gobiernobogota.gov.co</t>
  </si>
  <si>
    <t>San Carlos</t>
  </si>
  <si>
    <t xml:space="preserve">Auditorio principal de la alcaldía local de Tunjuelito - Diagonal 50 A No. 18 – 48 </t>
  </si>
  <si>
    <t>2024-04-18_AUDIENCIA PPI-TUNJUELITO</t>
  </si>
  <si>
    <t>Link del Podcast con P de participación, sobre la asignación de recursos</t>
  </si>
  <si>
    <t>https://drive.google.com/file/d/10wg0SW2jRU5YDmgtSaUMo5XnlEWmIfsj/view?usp=sharing</t>
  </si>
  <si>
    <t xml:space="preserve">Audiencia PPI-Formulación PDD- Localidad Fontibón </t>
  </si>
  <si>
    <t>Centro fontibon</t>
  </si>
  <si>
    <t>Cra 99 # 19- 43 1 er piso</t>
  </si>
  <si>
    <t>2024-04-18_AUDIENCIA PPI-FONTIBON</t>
  </si>
  <si>
    <t xml:space="preserve">DP Rrom, presentación PPI </t>
  </si>
  <si>
    <t>https://drive.google.com/file/d/1jASYTnyPzupv2SPw-Ik8cAZh1OpoeQgr/view?usp=sharing</t>
  </si>
  <si>
    <t>Audiencia PPI-Formulación PDD- Localidad Puente Aranda</t>
  </si>
  <si>
    <t>Calle 4 # 31 D - 40</t>
  </si>
  <si>
    <t>2024-04-18_AUDIENCIA PPI-PUENTE ARANDA</t>
  </si>
  <si>
    <t>https://drive.google.com/file/d/1aKlBKFisTab4y3IVhSk1fR9Qp74WW7Vq/view?usp=sharing</t>
  </si>
  <si>
    <t>Audiencia PPI-Formulación PDD- Localidad Teusaquillo</t>
  </si>
  <si>
    <t>(301) 654-7014</t>
  </si>
  <si>
    <t>La Magdalena</t>
  </si>
  <si>
    <t xml:space="preserve">Alcaldía Local de Teusaquillo Tv 18 bis # 38-41 </t>
  </si>
  <si>
    <t>tramitar Derecho de petición de Luís Eduardo Barbosa, representante de Capellanes ASMIPAZ</t>
  </si>
  <si>
    <t>2024-04-18_AUDIENCIA PPI-TEUSAQUILLO</t>
  </si>
  <si>
    <t>DP RROM Y INDIVIDUAL. presentación PPI</t>
  </si>
  <si>
    <t>https://drive.google.com/file/d/1q5vaZJphmrLdXus9jHZd8crdNWP2MHQT/view?usp=sharing</t>
  </si>
  <si>
    <t>Audiencia PPI-Formulación PDD- Localidad Engativá</t>
  </si>
  <si>
    <t>Boyaca</t>
  </si>
  <si>
    <t>2024-04-18_AUDIENCIA PPI-ENGATIVA</t>
  </si>
  <si>
    <t xml:space="preserve">DP Rrom </t>
  </si>
  <si>
    <t>https://drive.google.com/file/d/1YiKyLZgqZnQu5Jm7nILya6f7V9uZahJk/view?usp=sharing</t>
  </si>
  <si>
    <t>Audiencia PPI-Formulación PDD- Localidad Los Mártires</t>
  </si>
  <si>
    <t>⁠dalonzo@sdp.gov.co</t>
  </si>
  <si>
    <t>Carrera 18 bis #23-30</t>
  </si>
  <si>
    <t>2024-04-18_AUDIENCIA PPI-MARTIRES</t>
  </si>
  <si>
    <t>Presentación PPI y piezas comunicativas , DP Rrom</t>
  </si>
  <si>
    <t>https://drive.google.com/file/d/12bmKnpfoNKPZQe2tibvki4lbT1Jpvgmt/view?usp=sharing</t>
  </si>
  <si>
    <t xml:space="preserve">Audiencia PPI-Formulación PDD- Localidad La Candelaría </t>
  </si>
  <si>
    <t>Nelly Parra</t>
  </si>
  <si>
    <t>N/A</t>
  </si>
  <si>
    <t>Carrera 5 # 12B-49</t>
  </si>
  <si>
    <t>2024-04-18_AUDIENCIA PPI-CANDELARIA</t>
  </si>
  <si>
    <t xml:space="preserve">DP Rrom y resultados google formas relatoria </t>
  </si>
  <si>
    <t>https://drive.google.com/file/d/1DNrnQAV1ddbnsu2xU07HU4d2QPiG5NN_/view?usp=sharing</t>
  </si>
  <si>
    <t>Articulación  SDP-Equipo UNAL :Vivienda</t>
  </si>
  <si>
    <t>Iniciar cooperación entre la SDP con grupo académico de UNAL sobre proyecto de Cooperativa de vivienda</t>
  </si>
  <si>
    <t>Ramon Bermudez</t>
  </si>
  <si>
    <t>321 3640250</t>
  </si>
  <si>
    <t>Si información</t>
  </si>
  <si>
    <t xml:space="preserve">Presentación proyecto cooperativa de vivienda,  recomendacion por parte de SDP sobre el proyecto </t>
  </si>
  <si>
    <t>2024-04-19_ARTICULACION SDP-EQUIPO UNAL _VIVIENDA</t>
  </si>
  <si>
    <t>Audiencia PPI-Formulación PDD- Localidad Sumapaz - Cuenca río Blanco</t>
  </si>
  <si>
    <t>Omar Castaño</t>
  </si>
  <si>
    <t>Sede alcaldía local, vereda Betania</t>
  </si>
  <si>
    <t>2024-04-20_AUDIENCIA PPI CUENCA RIO BLANCO</t>
  </si>
  <si>
    <t xml:space="preserve">Falta caracterización </t>
  </si>
  <si>
    <t>https://drive.google.com/file/d/1tLA4YHZlRcg2ezscLLrsj_ugrm3gAf8b/view?usp=sharing</t>
  </si>
  <si>
    <t>Audiencia PPI-Formulación PDD- Localidad Sumapaz - Cuenca río Sumapaz</t>
  </si>
  <si>
    <t>Elsy Noreyi</t>
  </si>
  <si>
    <t>320 4624366</t>
  </si>
  <si>
    <t>Noaplica@gm.com</t>
  </si>
  <si>
    <t>Salón comunal vereda La Unión</t>
  </si>
  <si>
    <t>2024-04-20_AUDIENCIA PPI RIO SUMAPAZ</t>
  </si>
  <si>
    <t>https://drive.google.com/file/d/1AOhdQD0Bi39avHKTbpCNZBhizn3jRLVg/view?usp=sharing</t>
  </si>
  <si>
    <t xml:space="preserve">Llevar a cabo, con todas las entidades del sector, el cierre de las actividades con ciudadanía de la segunda fase de la estrategia de participación del PDD: “aspiraciones comunes” </t>
  </si>
  <si>
    <t>meet.google.com/xjk-obpx-ohc</t>
  </si>
  <si>
    <t>Cierre de la estrategia de participación via chatico, reporte de capital humano y monetario utilizado por las entidades en fase 1 y fase 2</t>
  </si>
  <si>
    <t>2024-04-19_COMITE COORDINADOR INTERSECTORIAL DE PARTICIPACION PDD</t>
  </si>
  <si>
    <t>Comité coordinador - asambleas ciudadanas</t>
  </si>
  <si>
    <t>Coordinar con GAB, IDPAC y organizaciones de la sociedad civil las asambleas ciudadanas</t>
  </si>
  <si>
    <t>https://meet.google.com/gtu-uouj-khd</t>
  </si>
  <si>
    <t>Gestión de cronograma, avances para las asambleas ciudadanas</t>
  </si>
  <si>
    <t>2024-04-19_COMITE COORDINADOR - ASAMBLEAS CIUDADANAS</t>
  </si>
  <si>
    <t xml:space="preserve">Ok es de gestión : acta, registro fotográfico , convocatoria </t>
  </si>
  <si>
    <t>Comisión POT ordianria del CTPD</t>
  </si>
  <si>
    <t>Socializar el plan de acción 2024</t>
  </si>
  <si>
    <t>https://meet.google.com/wfp-atyi-rqq</t>
  </si>
  <si>
    <t xml:space="preserve"> Por falta de quorum nose puedo discutir el plan de acción 2024</t>
  </si>
  <si>
    <t>2024-04-19_COMISION POT ORDINARIA - CTPD</t>
  </si>
  <si>
    <t>Reunión de trabajo secretaría de gobierno - CTPD</t>
  </si>
  <si>
    <t xml:space="preserve">Revisar la herramienta de control presupuestal </t>
  </si>
  <si>
    <t xml:space="preserve">Avenida Carrera 30 # 25-90 Piso 2 CTPD </t>
  </si>
  <si>
    <t>Procesos de participación , herramienta de control social para seguimiento a la inversión</t>
  </si>
  <si>
    <t>2024-04-19_REUNION DE TRABAJO SECRETARIA DE GOBIERNO - CTPD</t>
  </si>
  <si>
    <t>Grabación del espacio y matriz seguimiento PDD</t>
  </si>
  <si>
    <t>Comisión de Participación CTPD</t>
  </si>
  <si>
    <t>Aprobar el Plan de Acción de la Comisión</t>
  </si>
  <si>
    <t>Dick Dario Diaz Melendez</t>
  </si>
  <si>
    <t>https://meet.google.com/aar-cowq-nwv</t>
  </si>
  <si>
    <t>Aprobación del Plan de Acción de la Comisión de Participación</t>
  </si>
  <si>
    <t>2024-04-19_COMISION DE PARTICIPACION - CTPD</t>
  </si>
  <si>
    <t>Reunión Consejeras de Mujeres y Organizaciones de personas cuidadoras CTPD</t>
  </si>
  <si>
    <t>Socializar los aportes que brindan las consejeras de mujeres de Bogotá  a la implementación  el enfoque de género en el marco del Plan Distrital de Desarrollo al secretario de SDP</t>
  </si>
  <si>
    <t>Miguel Silva Moyano</t>
  </si>
  <si>
    <t xml:space="preserve">Kra 30 # 25 - 90 Piso 8 </t>
  </si>
  <si>
    <t>PDD, Sistema Distrital del cuidado, enfoque de género</t>
  </si>
  <si>
    <t>2024-04-21_CONSEJERAS DE MUJERES Y PERSONAS CUIDADORAS - CTPD</t>
  </si>
  <si>
    <t>Consultorio PDD - Concejo: Jornada 1 Sector Movilidad</t>
  </si>
  <si>
    <t>Atender las inquietudes y/o comentarios provenientes del Concejo de Bogotá frente a la formulación del PDD</t>
  </si>
  <si>
    <t xml:space="preserve">Secretaria de Movilidad. </t>
  </si>
  <si>
    <t>Concejo Distrital</t>
  </si>
  <si>
    <t>Cl. 36 #28A-41 Concejo de Bogotá</t>
  </si>
  <si>
    <t>Fase III: Acuerdos para la Ciudad</t>
  </si>
  <si>
    <t xml:space="preserve">Concultas por parte de Concejales  frente al PDD en torno a temas de movilidad, IDU Y Unidad de mantenimiento vial. </t>
  </si>
  <si>
    <t xml:space="preserve">Envío de memorias a los asistentes </t>
  </si>
  <si>
    <t>2024-04-22_CONSULTORIO PDD- JORNADA 1 - MOVILIDAD</t>
  </si>
  <si>
    <t xml:space="preserve">Matriz de respuesta de entidades </t>
  </si>
  <si>
    <t>https://acortar.link/aVZfJ7</t>
  </si>
  <si>
    <t>Gestión: Reunión plan de trabajo Acciones Afirmativas con la Comunidad Palenquera</t>
  </si>
  <si>
    <t>Elaborar el plan de trabajo con la finalidad de implementar las acciones afirmativas faltantes con la Comunidad Palenquera.</t>
  </si>
  <si>
    <t>Manuela.cassiani@gobiernobogota.gov</t>
  </si>
  <si>
    <t>Comunidad Palenquera</t>
  </si>
  <si>
    <t>Carrera 3 #10-72 Posa Wiwa</t>
  </si>
  <si>
    <t>Plan de trabajo para el cumplimiento de las acciones afirmativas de la vigencia 2024</t>
  </si>
  <si>
    <t>2024-04-22_PLAN DE TRABAJO ACCIONES AFIRMATIVAS -COMUNIDAD PALENQUERA</t>
  </si>
  <si>
    <t>OK es de gestión: acta, listado de asistencia y registro fotográfico</t>
  </si>
  <si>
    <t>Reunión de Gestión Ágora Metropolitana</t>
  </si>
  <si>
    <t>Reglamentación de Ágora Metropolitana</t>
  </si>
  <si>
    <t>Acompañar  la reglamentación de Ágora Metropolitana y proporcionar las observaciones debidas por parte de la OPDC</t>
  </si>
  <si>
    <t>Oficina Integración Regional</t>
  </si>
  <si>
    <t>Auditorio piso 8 SDP</t>
  </si>
  <si>
    <t>Reglamentacion Agora Metropolitana ,Asambleas Ciudadanas</t>
  </si>
  <si>
    <t>2024-04-22_REUNION DE GESTION AGORA METROPOLITANA</t>
  </si>
  <si>
    <t>Sesión Red Institucional de Veedurías Ciudadanas</t>
  </si>
  <si>
    <t>Realizar el seguimiento plan de acción de la red</t>
  </si>
  <si>
    <t>Aprobación actas 134 y 135, Relanzamiento de la Red Institucional de Apoyo a las Veedurías, diplomados y cursos de extensión a los veedores y veedoras ciudadanas, diplomado de Control Social</t>
  </si>
  <si>
    <t>2024-04-22_SESION RED INSTITUCIONAL DE VEEDURIAS CIUDADANAS</t>
  </si>
  <si>
    <t>Segunda mesa pública de participación ciudadana -SGR</t>
  </si>
  <si>
    <t xml:space="preserve">Presentar los proyectos de inversión susceptibles de ser financiados con las Asignaciones Directas y la Asignación para la Inversión Regional del Sistema General de Regalías que posteriormente serán incorporados en el Plan de Desarrollo Distrital </t>
  </si>
  <si>
    <t>paula.aguerrero@gmail.com</t>
  </si>
  <si>
    <t>Sistema General de Regalias, Iniciativas y proyectos de Inversión</t>
  </si>
  <si>
    <t>2024-04-22_SEGUNDA MESA PUBLICA DE PARTICIPACION CIUDADANA -SGR</t>
  </si>
  <si>
    <t>Libreto, minuto a minuto, grabación de la sesión</t>
  </si>
  <si>
    <t xml:space="preserve">Devolución concepto proyecto PDD por parte del Alcalde Mayor al CTPD </t>
  </si>
  <si>
    <t xml:space="preserve">Devolver los resultados del análisis sobre el concepto del borrador del proyecto de PDD al CTPD por parte del Alcalde Mayor y su gabinete distrital. </t>
  </si>
  <si>
    <t>Oficina Asesora de Comunicaciones y Despacho SDP</t>
  </si>
  <si>
    <t xml:space="preserve">Cra 8 N° 10-65 - Auditorio Huitaca </t>
  </si>
  <si>
    <t xml:space="preserve">Respuesta de los resultados del análisis sobre el concepto del borrador del proyecto de PDD al CTPD por parte del Alcalde Mayor y su gabinete distrital. </t>
  </si>
  <si>
    <t>2024-04-22_DEVOLUCION CONCEPTO PROYECTO PDD</t>
  </si>
  <si>
    <t xml:space="preserve">Minuto a Minuto administración Distrital, presnetación entrega CTPD </t>
  </si>
  <si>
    <t>Consultorio PDD - Concejo: Jornada 2 Sector Movilidad</t>
  </si>
  <si>
    <t>Secretaria de Movilidad.</t>
  </si>
  <si>
    <t xml:space="preserve">Concultas por parte de Concejales  frente al PDD en torno a movilidad, Metro, Transmilenio y movilidad sostenible  </t>
  </si>
  <si>
    <t>2024-04-23_CONSULTORIO PDD- JORNADA 2 - MOVILIDAD</t>
  </si>
  <si>
    <t xml:space="preserve">Presentación SDP-PDD y Matriz resultados  respuesta  sector movilidad </t>
  </si>
  <si>
    <t>https://drive.google.com/file/d/1UIZHrhjO-1QohIosukhFRYfg66UgDGij/view?usp=sharing</t>
  </si>
  <si>
    <t xml:space="preserve"> Capacitación POT- JAL  Kennedy</t>
  </si>
  <si>
    <t>Generalidades POT</t>
  </si>
  <si>
    <t xml:space="preserve">Acompañar sesión de la JAL sobre la  socialización del POT </t>
  </si>
  <si>
    <t>https://tel.meet/oey-norq-uda?pin=4967612829454</t>
  </si>
  <si>
    <t>Generalides del POT, áreas de actividad, usos de suelo y mitigación urbanistica.</t>
  </si>
  <si>
    <t>2024-04-23_CAPACITACION POT- JAL KENNEDY</t>
  </si>
  <si>
    <t xml:space="preserve">Compartir entre las entidades cabezas de sector los avances respecto a la Estrategia de Participación del Plan Distrital de Desarrollo </t>
  </si>
  <si>
    <t>meet.google.com/xgf-escq-idz</t>
  </si>
  <si>
    <t>Estado de evidencias de la segunda fase de la estrategia de participacion por parte de las entidades cabezas de sector</t>
  </si>
  <si>
    <t>2024-04-24_COMITE COORDINADOR INTERSECTORIAL DE PARTICIPACION PDD</t>
  </si>
  <si>
    <t>Recomendaciones al PDD por NNA en Concejo de Bogotá</t>
  </si>
  <si>
    <t>Acompañar la Presentación por parte de NNA recomendaciones al PDD en Concejo de Bogotá.</t>
  </si>
  <si>
    <t>Save The Children y Niñez Ya</t>
  </si>
  <si>
    <t>Comisión Permanente Plan Distrital de Desarrollo Concejo de Bogotá - Situación de la Infancia</t>
  </si>
  <si>
    <t>2024-04-24_RECOMENDACIONES AL PDD POR NNA</t>
  </si>
  <si>
    <t>No subido</t>
  </si>
  <si>
    <t xml:space="preserve">Carta al consejo </t>
  </si>
  <si>
    <t xml:space="preserve">Falta evidencias </t>
  </si>
  <si>
    <t>Consultorio PDD - Concejo: Jornada 3 Sector Seguridad</t>
  </si>
  <si>
    <t>Enviar memorias del espacio a los asistentes</t>
  </si>
  <si>
    <t>2024-04-24_CONSULTORIO PDD- JORNADA 3 - SEGURIDAD</t>
  </si>
  <si>
    <t xml:space="preserve">Presentación consultorio POT Y matriz de </t>
  </si>
  <si>
    <t>https://drive.google.com/file/d/1BDbO2kDhbIIou7WwjzpM1qHc5aEr-efM/view?usp=sharing</t>
  </si>
  <si>
    <t>Gestión: Revisión cronograma participación ZIBO - Renobo</t>
  </si>
  <si>
    <t>Revisar el  cronograma que se tiene planeado para AE ZIBO por parte  Renobo y los espacios  que serán acompañados  desde la OPDC y la SDP</t>
  </si>
  <si>
    <t>https://meet.google.com/vvi-ymry-abf?authuser=0</t>
  </si>
  <si>
    <t>Cronograma AE pieza ZIBO - UPL Puente Aranda</t>
  </si>
  <si>
    <t>2024-04-24_REVISION CRONOGRAMA PARTICIPACION ZIBO - RENOBO</t>
  </si>
  <si>
    <t>Sesión JAL - PEMP Teusaquillo</t>
  </si>
  <si>
    <t>Acompanar la sesión de JAL Teusaquillo para Informe sobre el estado de la implementación del PEMP TEUSAQUILLO</t>
  </si>
  <si>
    <t>Luis Carlos Miguel Barrera Lombana</t>
  </si>
  <si>
    <t>Jal.teusaquillo@gobiernobogota.gov.co</t>
  </si>
  <si>
    <t xml:space="preserve">https://us02web.zoom.us/j/83738175064 </t>
  </si>
  <si>
    <t>Informe implementación del pemp teusaquillo</t>
  </si>
  <si>
    <t>2024-04-24_SESION JAL - TEUSAQUILLO</t>
  </si>
  <si>
    <t>Comisión Poblacional -CTPD</t>
  </si>
  <si>
    <t>Formular el Plan de Acción 2024</t>
  </si>
  <si>
    <t>301 3090210</t>
  </si>
  <si>
    <t>https://meet.google.com/exk-cuyd-nuy</t>
  </si>
  <si>
    <t>Plan de acción 2024</t>
  </si>
  <si>
    <t>2024-04-24_COMISION POBLACIONAL CTPD</t>
  </si>
  <si>
    <t>Gestión: Socialización a  la Comunidad Negra Afrocolombiana de Rafael Uribe respecto al PDD</t>
  </si>
  <si>
    <t>Acompañar la socialización sobre el PDD a la comunidad Negra Afrocolombiana de Rafael Uribe de cara a la realización de los Encuentros Ciudadanos de los PDL</t>
  </si>
  <si>
    <t>Jose Mena</t>
  </si>
  <si>
    <t>Jose.mena@gobiernobogota.gov.co</t>
  </si>
  <si>
    <t>Comunidad Negra Afrocolombiana residente en la Localidad de Rafael Uribe Uribe</t>
  </si>
  <si>
    <t>Calle 32 sur # 23-62 Alcaldia Local de Rafael Uribe Uribe</t>
  </si>
  <si>
    <t xml:space="preserve">Plan Distrital de Desarrollo; Población Diferencial; Encuentros Ciudadanos </t>
  </si>
  <si>
    <t>2024-04-24_GESTION_ SOCIALIZACION AFO - RAFAEL URIBE PDD</t>
  </si>
  <si>
    <t>Ok es de gestión: tiene acta , listado de asistencia y registro fotográfico</t>
  </si>
  <si>
    <t>Sesión Ordinaria Comisión de Plan Distrital de Desarrollo del CTPD</t>
  </si>
  <si>
    <t xml:space="preserve">Construir, acordar y aprobar el plan de acción de la Comisión PDD del CTPD para la vigencia 2024. </t>
  </si>
  <si>
    <t>https://meet.google.com/vby-ccoi-pgz</t>
  </si>
  <si>
    <t>Plan de Acción Comisión PDD - CTPD</t>
  </si>
  <si>
    <t>2024-04-24_ SESION ORDINARIA COMISION PDD - CTPD</t>
  </si>
  <si>
    <t xml:space="preserve">Orden de día y link de grabación de la sesión </t>
  </si>
  <si>
    <t>CLIP Candelaria</t>
  </si>
  <si>
    <t>Acompañar la articulación de los esfuerzos institucionales de participación en la localidad de Candelaria</t>
  </si>
  <si>
    <t>CLIP</t>
  </si>
  <si>
    <t>Diana Alexandra Mutis</t>
  </si>
  <si>
    <t>(57) (1) 2417900/30 ext. 51162</t>
  </si>
  <si>
    <t>https://teams.microsoft.com/l/meetup-join/19%3ameeting_YzU1MjZjZmYtNzZkYS00NDIxLWI0NDUtZjRmNjZmNTNiMGUy%40thread.v2/0?context=%7b%22Tid%22%3a%220f1156f1-406d-4123-99f0-a976b835b9b6%22%2c%22Oid%22%3a%22b142065a-d40f-4349-8c8f-d933cf872452%22%7d</t>
  </si>
  <si>
    <t>Recolección de información sobre el funcionamiento de las Instancias de Participación Locales, Encuentros Ciudadanos. Presentación SDP Estrategia Participación PDD</t>
  </si>
  <si>
    <t>2024-04-25_SESION ABRIL</t>
  </si>
  <si>
    <t>Presentación PDD y Circular 006 del 2024</t>
  </si>
  <si>
    <t>Consultorio PDD - Concejo: Jornada 4 Sector Seguridad</t>
  </si>
  <si>
    <t>Bomberos, valores de una estación de bomberos, rango de acción de una estación y control de los hidrantes.</t>
  </si>
  <si>
    <t>2024-04-25_CONSULTORIO PDD- JORNADA 4 - SEGURIDAD</t>
  </si>
  <si>
    <t xml:space="preserve">Matriz de respuesta del scetor seguridad </t>
  </si>
  <si>
    <t>https://drive.google.com/file/d/1YFBOvx9nS5c4Bnb8dV9awBSdj2QGlkYm/view?usp=sharing</t>
  </si>
  <si>
    <t>Sesión ordinaria del Consejo Distrital de Propiedad Horizontal</t>
  </si>
  <si>
    <t>CCPH (Consejo Consultivo de Propiedad Horizontal)</t>
  </si>
  <si>
    <t>Atender la Invitación a la sesión ordinaria del Consejo Distrital de Propiedad Horizontal</t>
  </si>
  <si>
    <t>Eduar David Martínez Segura</t>
  </si>
  <si>
    <t>IDPAC Avenida Calle 22 # 68C-51</t>
  </si>
  <si>
    <t>apoyo uno de los puntos del orden del día relacionado con las fases 3 y 4 de participación en el PDD</t>
  </si>
  <si>
    <t>2024-04-25_SESION CONSEJO DE PROPIEDAD HORIZONTAL</t>
  </si>
  <si>
    <t>Mesa de trabajo elección representante organizaciones de personas con discapacidad al CPTD</t>
  </si>
  <si>
    <t xml:space="preserve">Orientar a los sectores en el marco del decreto 580 de 2023 </t>
  </si>
  <si>
    <t>https://meet.google.com/qqi-txuw-ukg</t>
  </si>
  <si>
    <t xml:space="preserve">Decreto 580 de 2023 para el ejercicio de delegación al CTPD </t>
  </si>
  <si>
    <t>2024-04-25_ELECCION - CURUL CTPD - DISCAPACIDAD</t>
  </si>
  <si>
    <t>Plenaria Ordinaria CTPD</t>
  </si>
  <si>
    <t>Analizar la respuesta dada por la administración al concepto sobre el PDD</t>
  </si>
  <si>
    <t>https://meet.google.com/rbo-eyiq-zbg</t>
  </si>
  <si>
    <t>Informe de contextualización de lo que ha pasado después de la cancelación de las mesas técnicas hasta la actividad del 22 de abril de 2024.</t>
  </si>
  <si>
    <t>2024-04-25_PLENARIA ORDINARIA CTPD</t>
  </si>
  <si>
    <t xml:space="preserve">Votación comisión, orden del día </t>
  </si>
  <si>
    <t xml:space="preserve">OK  COMPLETA </t>
  </si>
  <si>
    <t>Acto protocolario NNA - Alcaldía Mayor</t>
  </si>
  <si>
    <t>Realizar taller creativo con los NNA en el marco del acto protocolarios liderado por la SED</t>
  </si>
  <si>
    <t>Secretaría de Educación del Distrito</t>
  </si>
  <si>
    <t>Aportes de los NNA al PDD</t>
  </si>
  <si>
    <t>2024-04-26_ACTO PROTOCOLARIO NNA - ALCALDIA MAYOR</t>
  </si>
  <si>
    <t>Consultorio PDD - Concejo: Jornada 5 Sector Gobierno</t>
  </si>
  <si>
    <t>Juan Pablo Sandoval</t>
  </si>
  <si>
    <t>jsandoval@sdp.gov.co</t>
  </si>
  <si>
    <t>2024-04-26_CONSULTORIO PDD- JORNADA 5 - GOBIERNO</t>
  </si>
  <si>
    <t>Matriz de respustas de consultorio, presentación PDD</t>
  </si>
  <si>
    <t>https://drive.google.com/file/d/1cI1KBohmfncbj-Igq6GuGzXVnRhV8_rU/view?usp=sharing</t>
  </si>
  <si>
    <t>Sesión Comisión quinta de Presupuesto y Economía Local- JAL Teusaquillo</t>
  </si>
  <si>
    <t>Acompañar la sesión para escuchar a propietarios y copropietarios de Bienes de interés cultural.</t>
  </si>
  <si>
    <t>Pedro Alexander Moreno Rivera</t>
  </si>
  <si>
    <t>300 7084333</t>
  </si>
  <si>
    <t>Transversal 28 B # 36-39 - JAL Teusaquillo</t>
  </si>
  <si>
    <t>Mecanismos financieros para el mantenimiento y conservación. (Bienes de interés cultural)</t>
  </si>
  <si>
    <t>2024-04-26_SESION - JAL TEUSAQUILLO</t>
  </si>
  <si>
    <t xml:space="preserve">Mesa de trabajo sector republica de Canadá y Santa Marta </t>
  </si>
  <si>
    <t>Legalización Urbanística</t>
  </si>
  <si>
    <t xml:space="preserve">Acompañar el proceso de legalización de barrios en el sector de Canadá y Santa Marta </t>
  </si>
  <si>
    <t>Luis Francisco Martínez</t>
  </si>
  <si>
    <t>papeleriagalaga@gmail.com</t>
  </si>
  <si>
    <t xml:space="preserve">Villa esperanza </t>
  </si>
  <si>
    <t>Subdirección de Mejoramiento Integral</t>
  </si>
  <si>
    <t xml:space="preserve">Barrio villa esperanza sector capilla </t>
  </si>
  <si>
    <t xml:space="preserve">Acompañamiento y sensibilización a la comunidad asistente frente a legalización de barrios para el sector de Canadá y Santa Marta </t>
  </si>
  <si>
    <t>2024-04-27_MESA DE TRABAJO - SECTOR REPUBLICA DE CANADA Y SANTA MARTA</t>
  </si>
  <si>
    <t>Socialización Plan Participación Ciudadana - Consejo Consultivo LGBTI</t>
  </si>
  <si>
    <t>Socializar el Plan Institucional de Participación Ciudadana (PIPC) al Consejo Consultivo LGBTI</t>
  </si>
  <si>
    <t>Fredy Rincon</t>
  </si>
  <si>
    <t>‪3006574555‬</t>
  </si>
  <si>
    <t>consejoconsultivolgbt@sdp.gov.co</t>
  </si>
  <si>
    <t>https://meet.google.com/mhk-hfvu-vbu?hs=224</t>
  </si>
  <si>
    <t>Socialización del Plan Institucional de Participación Ciudadana (PIPC) al Consejo Consultivo LGBTI</t>
  </si>
  <si>
    <t>2024-04-29_SOCIALIZACION PIPC - CONSEJO CONSULTIVO LGBTI</t>
  </si>
  <si>
    <t>Presentación PIPC</t>
  </si>
  <si>
    <t>Plenaria Permanente CTPD</t>
  </si>
  <si>
    <t>Dar continuidad al orden del día establecido en la Plenaria ordinaria del 25 de abril de 2024</t>
  </si>
  <si>
    <t>https://meet.google.com/htr-faou-dra</t>
  </si>
  <si>
    <t>Continuidad al orden del día de la plenaria ordinaria del CTPD del pasado 25 de abril de 2024</t>
  </si>
  <si>
    <t>2024-04-29_PLENARIA PERMANENTE CTPD</t>
  </si>
  <si>
    <t xml:space="preserve">Matriz de revisión de concepto CTPD, orden día, informe ejecutivo respuesta CTPD </t>
  </si>
  <si>
    <t xml:space="preserve">Ok, se ajusto acta y listado de asistencia </t>
  </si>
  <si>
    <t>Gestion: Estrategia de Participacion Plan Maestro del Sistema de Cuidado</t>
  </si>
  <si>
    <t>Definir con la  subdireccion de planes maestros, la estrategia de participacion</t>
  </si>
  <si>
    <t>Paola Caceres</t>
  </si>
  <si>
    <t>pcaceres@sdp.gov.co</t>
  </si>
  <si>
    <t>meet.google.com/uuj-qqse-fce</t>
  </si>
  <si>
    <t xml:space="preserve"> Definición de la estrategia de participacion</t>
  </si>
  <si>
    <t>2024-04-30_GESTION_ ESTRATEGIA DE PARTICIPACIÓN</t>
  </si>
  <si>
    <t>Ok es gestión : acta y registro fotográfico</t>
  </si>
  <si>
    <t>Consultorio PDD - Concejo: Jornada 7 Sector Ambiente</t>
  </si>
  <si>
    <t>William Arturo González</t>
  </si>
  <si>
    <t xml:space="preserve">Procesos de participación ciudadana, gestión de residuos sólidos y la atención a situaciones de riesgo.  </t>
  </si>
  <si>
    <t>Enviar memorias del espacio a los participantes</t>
  </si>
  <si>
    <t>2024-04-30_CONSULTORIO PDD- JORNADA 7 - AMBIENTE</t>
  </si>
  <si>
    <t>Matriz de  respuesta de Consultorio</t>
  </si>
  <si>
    <t>https://acortar.link/p6yxiT</t>
  </si>
  <si>
    <t>CLIP Ciudad Bolivar</t>
  </si>
  <si>
    <t>Acompañar la articulación de los esfuerzos institucionales de participación en la localidad de Ciudad Bolivar</t>
  </si>
  <si>
    <t>Andrés Felipe Verdugo</t>
  </si>
  <si>
    <t>Ciudad Bolivar</t>
  </si>
  <si>
    <t>Encuentros ciudadanos, Estrategia Jóvenes a la E,Comité de impulso del Consejo Local de la Bici.</t>
  </si>
  <si>
    <t>2024-04-30_SESION ABRIL</t>
  </si>
  <si>
    <t>Jornada de la socialización virtual del ajuste a la propuesta de formulación del PPRU “Textilia”.</t>
  </si>
  <si>
    <t>Planes Parciales de Renovación Urbana</t>
  </si>
  <si>
    <t>Socialización del ajuste a la propuesta de formulación del Plan Parcial de Renovación Urbana “Textilia”</t>
  </si>
  <si>
    <t>Andrea Sandoval</t>
  </si>
  <si>
    <t>urb.andrea.sandoval@gmail.com</t>
  </si>
  <si>
    <t>Salazar Gómez</t>
  </si>
  <si>
    <t>https://meet.google.com/nqb-tupq-nvx</t>
  </si>
  <si>
    <t>Ajustes a la formulación del PPRU Textilia</t>
  </si>
  <si>
    <t>Envío de la presentación y grabación del espacio de participación y socialización de la propuesta ajustada del Plan Parcial “Textilia”</t>
  </si>
  <si>
    <t>Envío de acta del espacio de participación y socialización de la propuesta ajustada del Plan Parcial “Textilia”.</t>
  </si>
  <si>
    <t>2024-04-30_SOCIALIZACION PPRU “TEXTILIA”</t>
  </si>
  <si>
    <t xml:space="preserve">Documentos  y Cartografía/mapa del polígono de la  formulación del Plan Parcial de Renovación Urbana “Textilia” </t>
  </si>
  <si>
    <t>Presentación SOCIALIZACIÓN  DE LA FORMULACIÓN AJUSTADA DEL
PLAN PARCIAL DE RENOVACIÓN URBANA  “TEXTILIA SDP  y ajustes</t>
  </si>
  <si>
    <t>https://drive.google.com/file/d/1TVF8wTfUqM8jF2WhDt04Y-HG7gcbUQqv/view?usp=sharing</t>
  </si>
  <si>
    <t xml:space="preserve">Compartir los avances en la estrategia de participación por parte de las cabezas de sector del distrito y dar indicaciones respecto de la Fase 3: "Acuerdos para la Ciudad"  de la estrategia de participación del PDD </t>
  </si>
  <si>
    <t xml:space="preserve"> https://meet.google.com/uhn-iskd-qrw</t>
  </si>
  <si>
    <t xml:space="preserve">Inicio de Fase 3 "Acuerdos para la ciudad", explicación breve de la fase y sus acciones, pausa de las reuniones del comite hasta terminar la fase. </t>
  </si>
  <si>
    <t>2024-05-02_COMITE COORDINADOR INTERSECTORIAL DE PARTICIPACION PDD</t>
  </si>
  <si>
    <t>Consultorio PDD - Concejo: Jornada 8 Sector Salud</t>
  </si>
  <si>
    <t xml:space="preserve">Fortalecimiento de la prestación de los servicios sociales en salud, mejora en la atención institucional, métodos de evaluación de la atención, cobertura de las rutas de atención, tercerización. </t>
  </si>
  <si>
    <t>2024-05-02_CONSULTORIO PDD- JORNADA 8 - SALUD</t>
  </si>
  <si>
    <t xml:space="preserve">Matriz consultorio PDD -sector salud </t>
  </si>
  <si>
    <t>https://acortar.link/QmB19S</t>
  </si>
  <si>
    <t>CDC Lourdes - Calle 6 #51-3a</t>
  </si>
  <si>
    <t>Caracterización actores Sub-Red Centro Oriente. Conformación de las JAC de La Candelaria. Construcción y priorización de acciones para mitigar problemas de participación ciudadana</t>
  </si>
  <si>
    <t>2024-05-02_SESION MAYO</t>
  </si>
  <si>
    <t>Agenda CLIP</t>
  </si>
  <si>
    <t>Dar continuidad a la plenaria ordinaria del 25 de abril que no agotó el orden del día</t>
  </si>
  <si>
    <t>https://meet.google.com/eus-kawm-ush</t>
  </si>
  <si>
    <t>Socialización de  la matriz enviada como respuesta al concepto emitido frente al PDD</t>
  </si>
  <si>
    <t>2024-05-02_PLENARIA PERMANENTE CTPD</t>
  </si>
  <si>
    <t>Grabación de la sesión, orden de día, chat</t>
  </si>
  <si>
    <t xml:space="preserve">OK, Se ajusto listado de asistencia. </t>
  </si>
  <si>
    <t>Recorrido AE ZIBO - JAC Puente Aranda</t>
  </si>
  <si>
    <t>Acompañar a RenoBo y la JAC de Puente Aranda en un recorrido por el poligono de la AE en formulación pieza ZIBO</t>
  </si>
  <si>
    <t>Angela Milena Escobar</t>
  </si>
  <si>
    <t>aescobare@renobo.com.co</t>
  </si>
  <si>
    <t>Biblioteca Central Universidad Distrital Francisco José de Caldas, Cra. 32 #12-70</t>
  </si>
  <si>
    <t>Formulación AE pieza ZIBO en la UPL Puente Aranda</t>
  </si>
  <si>
    <t>2024-05-03_RECORRIDO AE ZIBO - JAC PUENTE ARANDA</t>
  </si>
  <si>
    <t>Consultorio PDD - Concejo: Jornada 9 Sector Salud</t>
  </si>
  <si>
    <t>Regulación Consumo SPA, atención con enfoque diferencial, servicio en la clínica de género para tránsitos seguros, modelo de atención en salud actual, inspección de vigilancia y control</t>
  </si>
  <si>
    <t>2024-05-03_CONSULTORIO PDD- JORNADA 9 - SALUD</t>
  </si>
  <si>
    <t>Matriz de respuesta de Salud</t>
  </si>
  <si>
    <t>https://drive.google.com/file/d/1_GgHNAXsDsEffBnXYcMcukcgm7XlUqOT/view?usp=sharing</t>
  </si>
  <si>
    <t>Sesión de Concejo - Formulación PDD</t>
  </si>
  <si>
    <t>Acompañar la discusión del proyecto de acuerdo del Plan Distrital de Desarrollo de cara al proceso de debate para su aprobación en el Concejo Distrital</t>
  </si>
  <si>
    <t>310 5844361</t>
  </si>
  <si>
    <t>Despacho</t>
  </si>
  <si>
    <t>Presentación general del Plan Distrital de Desarrollo y el Plan Plurianual de Inversión.</t>
  </si>
  <si>
    <t>2024-05-03_SESION DE CONCEJO - FORMULACION PDD</t>
  </si>
  <si>
    <t xml:space="preserve">Matriz de respuesta de Consejo </t>
  </si>
  <si>
    <t>Acompañar la articulación de los esfuerzos institucionales de participación en la localidad de Usaquén</t>
  </si>
  <si>
    <t>Aleyda Guzman</t>
  </si>
  <si>
    <t xml:space="preserve"> 300 4241263</t>
  </si>
  <si>
    <t>https://teams.microsoft.com/l/meetup-join/19%3ameeting_ZTY2NDhmYzQtZTIyYi00MWFkLThhNDgtMTUzMWU5ZjgxOTFh%40thread.v2/0?context=%7b%22Tid%22%3a%220f1156f1-406d-4123-99f0-a976b835b9b6%22%2c%22Oid%22%3a%22238f0383-76da-46d4-a513-6126e5b28292%22%7d</t>
  </si>
  <si>
    <t>Aprobación del acta anterior, Presentación del IDRG (CLGRCC), Plan de Acción CLIP</t>
  </si>
  <si>
    <t>2024-05-03_SESION MAYO</t>
  </si>
  <si>
    <t>Gestión :Socialización plan decenal de lenguas Étnicas -UNAD</t>
  </si>
  <si>
    <t>Acompañar la  invitación de la UNAD a la socialización del Plan Decenal de Lenguas Étnicas.</t>
  </si>
  <si>
    <t>Diego Tellez</t>
  </si>
  <si>
    <t>Diego.tellez@unad.edu.co</t>
  </si>
  <si>
    <t>Calle 14 Sur #14-23</t>
  </si>
  <si>
    <t xml:space="preserve">Pervivencia de las lenguas étnicas a través del Plan Decenal de Lenguas </t>
  </si>
  <si>
    <t>2024-05-03_SOCIALIZACION PLAN DECENAL DE LENGUAS ETNICAS -UNAD</t>
  </si>
  <si>
    <t xml:space="preserve">OK es de gestión tiene :convocatoria,registro fotográfico, acta </t>
  </si>
  <si>
    <t>Taller  Modelo de Relacionamiento con la Ciudadanía</t>
  </si>
  <si>
    <t>Establecer lineamientos para gestionar de manera integral la relación con la ciudadanía.</t>
  </si>
  <si>
    <t>10-99, Cra. 8 #10-1- Alcaldía Mayor de Bogotá</t>
  </si>
  <si>
    <t>Escenarios de relacionamiento con las políticas del Modelo Integrado de Gestión, MIPG.</t>
  </si>
  <si>
    <t>2024-05-03_TALLER MODELO DE RELACIONAMIENTO CON LA CIUDADANÍA</t>
  </si>
  <si>
    <t>Implementar el comité interinstitucional semanal para la gestión de las asambleas ciudadanas</t>
  </si>
  <si>
    <t>meet.google.com/gtu-uouj-khd</t>
  </si>
  <si>
    <t>Avance de las asambleas para 2024 y ruta de trabajo para los ciclos deliberativos de acuerdo a PDD</t>
  </si>
  <si>
    <t>2024-05-03_COMITE COORDINADOR - ASAMBLEAS CIUDADANAS</t>
  </si>
  <si>
    <t>Recorrido AE Chapinero verde e inteligente</t>
  </si>
  <si>
    <t>Acompañar el  reconocimiento del territorio junto a líderes comunitarios, bajo la coordinación del Operador Urbano</t>
  </si>
  <si>
    <t>Dirección de Planeamiento Local</t>
  </si>
  <si>
    <t>Por confirmar</t>
  </si>
  <si>
    <t xml:space="preserve">Punto claves para la AE Chapinero Verde e inteligente, PIP de la UPL Chapinero y Ruta de participación de la AE </t>
  </si>
  <si>
    <t>2024-05-03_RECORRIDO AE CHAPINERO VERDE E INTELIGENTE</t>
  </si>
  <si>
    <t>Gestión:Socialización SPT a Subdirecciones Territoriales</t>
  </si>
  <si>
    <t>Socializar a las subdirecciones territoriales de la SDP los contenidos y objetivos del Sistema de Participación Territorial</t>
  </si>
  <si>
    <t>Maria Monica Montealegre Murillo</t>
  </si>
  <si>
    <t>mmontealegre@sdp.gov.co</t>
  </si>
  <si>
    <t>SDP</t>
  </si>
  <si>
    <t>Instalaciones SDP</t>
  </si>
  <si>
    <t>Contenidos generales y los componentes del Sistema de Participación Territorial según el Decreto 555 del 2021</t>
  </si>
  <si>
    <t>2024-05-03_SOCIALIZACION SPT A SUBDIRECCIONES TERRITORIALES</t>
  </si>
  <si>
    <t xml:space="preserve">Presentación sistema de participación </t>
  </si>
  <si>
    <t xml:space="preserve">OK es de gestión tiene :convocatoria,registro fotográfico, acta , listado de asistencia y documentos adicionales </t>
  </si>
  <si>
    <t>Consultorio PDD - Concejo: Jornada 10- Sector Integración Social</t>
  </si>
  <si>
    <t>Recepción de inquietudes sobre el Plan Distrital de Desarrollo dirigidas a la secretaría distrital de integración social</t>
  </si>
  <si>
    <t>Enviar memorias del espacio</t>
  </si>
  <si>
    <t>2024-05-06_CONSULTORIO PDD- JORNADA 10 - INTEGRACION SOCIAL</t>
  </si>
  <si>
    <t>Matrz del sector integración social</t>
  </si>
  <si>
    <t>https://drive.google.com/file/d/1iNhX3xmcLZ8sbZPiUse_bffqQTWWCsfY/view?usp=sharing</t>
  </si>
  <si>
    <t>Sesión de Concejo - Formulación PDD- 06-05-2024</t>
  </si>
  <si>
    <t xml:space="preserve">Preguntas y respuestas sobre las metas y programas del Objetivo 1 Bogotá Camina Segura del PDD. </t>
  </si>
  <si>
    <t>2024-05-06_ SESION DE CONCEJO - FORMULACION PDD</t>
  </si>
  <si>
    <t xml:space="preserve">Matriz de respuesta de 6 mayo </t>
  </si>
  <si>
    <t>Sesión Consejo Distrital de Propiedad Horizontal</t>
  </si>
  <si>
    <t>Revisar propuestas del Plan de Distrital de Desarrollo</t>
  </si>
  <si>
    <t>Carrera 30 # 25-90 - CAD Piso 8</t>
  </si>
  <si>
    <t>Propuestas para inclusión en Plan Distrital de Desarrollo</t>
  </si>
  <si>
    <t>2024-05-06_SESION CONSEJO DE PROPIEDAD HORIZONTAL</t>
  </si>
  <si>
    <t xml:space="preserve">Presentación de resultados de Participación UPL Sumapaz- JAL </t>
  </si>
  <si>
    <t>Presentar los resultados de las actividades de participación realizadas en la UPL Sumapaz, ante la Junta Administradora Local</t>
  </si>
  <si>
    <t>jal.sumapaz@gobiernobogota.gov.co</t>
  </si>
  <si>
    <t>Pendiente</t>
  </si>
  <si>
    <t xml:space="preserve">Resultados de participación del Plan Distrital de Desarrollo y el Plan de Desarrollo Local </t>
  </si>
  <si>
    <t>Enviar la base de aportes rurales, con el fin de que los ediles puedan conocer en detalle los aportes abiertos realizados en las UPL rurales.</t>
  </si>
  <si>
    <t>2024-05-06_PRESENTACION DE RESULTADOS UPL SUMAPAZ- JAL</t>
  </si>
  <si>
    <t xml:space="preserve">Dar continuidad al orden del día de la plenaria ordinaria del 25 de abril de 2024 </t>
  </si>
  <si>
    <t xml:space="preserve"> https://meet.google.com/qbo-qtjo-gxi</t>
  </si>
  <si>
    <t>Planes de acción de las comisiones del CTPD ,no se  terminó el orden del dia</t>
  </si>
  <si>
    <t>2024-05-06_PLENARIA PERMANENTE CTPD</t>
  </si>
  <si>
    <t xml:space="preserve">ok </t>
  </si>
  <si>
    <t>Consultorio PDD - Concejo: Jornada 11- Sector Integración Social</t>
  </si>
  <si>
    <t>Inquietudes del Concejo Distrital sobre los programas y metas del sectori integración social</t>
  </si>
  <si>
    <t>2024-05-07_CONSULTORIO PDD- JORNADA 11 - INTEGRACION SOCIAL</t>
  </si>
  <si>
    <t>Matriz de repsuesta de integración social , presentación consultorio PDD</t>
  </si>
  <si>
    <t>https://drive.google.com/file/d/1KST_nUBVW0pKatHJRbWIGVA5gdz82ZtJ/view?usp=sharing</t>
  </si>
  <si>
    <t>Metas del Objetivo 2 del Plan Distrital de D.esarrollo</t>
  </si>
  <si>
    <t>2024-05-07_SESION DE CONCEJO - FORMULACION PDD</t>
  </si>
  <si>
    <t xml:space="preserve">Matriz de preguntas de la sesión del 7 de mayo </t>
  </si>
  <si>
    <t>CLIP Santa Fé</t>
  </si>
  <si>
    <t>Johana Rodriguez</t>
  </si>
  <si>
    <t>johannac.rodriguez@gobiernobogota.gov.co</t>
  </si>
  <si>
    <t>Cl. 6 #51 3a, Bogotá-CDC Lourdes</t>
  </si>
  <si>
    <t>Reglamentacion CLIP , Encuentros Ciudadanos</t>
  </si>
  <si>
    <t>2024-05-07_SESION MAYO</t>
  </si>
  <si>
    <t>Reglamento interno CLIP</t>
  </si>
  <si>
    <t>Acompañar la articulación de los esfuerzos institucionales de participación en la localidad de Fontibón</t>
  </si>
  <si>
    <t xml:space="preserve"> 
Carrera 99 No. 19 - 43</t>
  </si>
  <si>
    <t>Aclaraciones relacionas con el desarrollo del PDL</t>
  </si>
  <si>
    <t xml:space="preserve">Agenda clip, Presentación observaciones encuentros ciudadanos </t>
  </si>
  <si>
    <t>Gestión: Reunión con IPDC sobre Sistema Sitios Sagrados Muisca y SPT</t>
  </si>
  <si>
    <t>Contextualizar  el producto de política pública del  Pueblo Muisca articulado con el Sistema de Participación Territoria</t>
  </si>
  <si>
    <t>Giovanna Torres Torres</t>
  </si>
  <si>
    <t>giovanna.torres@idpc.gov.co</t>
  </si>
  <si>
    <t>Av carrera 30 #25-90 Piso 2 CAD</t>
  </si>
  <si>
    <t>Sistema de Sitios Sagrados Muisca; Sistema de Participación Territorial; Resolución 2664</t>
  </si>
  <si>
    <t>2024-05-07_SISTEMA SITIOS SAGRADOS MUISCA Y SPT-IDPC</t>
  </si>
  <si>
    <t xml:space="preserve">Ok gestión : acta, registro fotográfico, listado de asistencia </t>
  </si>
  <si>
    <t xml:space="preserve"> Reunión con USAID y FHI360</t>
  </si>
  <si>
    <t>Acompañar la socialización del proceso de articulación USAID - FHI360 - SDP</t>
  </si>
  <si>
    <t xml:space="preserve"> Cra. 7 #74 No. 56</t>
  </si>
  <si>
    <t>Proceso de participación del Plan Distrital de Desarrollo.</t>
  </si>
  <si>
    <t>2024-05-07_REUNION CON USAID Y FHI360</t>
  </si>
  <si>
    <t>Consultorio PDD - Concejo: Jornada 12- Sector Cultura</t>
  </si>
  <si>
    <t>Inquietudes relacionadas con el sector de cultura, recreación y deportes, consignados en el Plan Distrutal de Desarrollo..</t>
  </si>
  <si>
    <t>Eniar memorias del espacio</t>
  </si>
  <si>
    <t>2024-05-08_CONSULTORIO PDD- JORNADA 12 - CULTURA</t>
  </si>
  <si>
    <t>Presentación PDD, matriz de respuesta consultorio PDD Cultura</t>
  </si>
  <si>
    <t>https://drive.google.com/file/d/13Nn6zu6uRlBOnBA-Ji0y9EqrEpAgq9lu/view?usp=sharing</t>
  </si>
  <si>
    <t>José Humberto Pedraza Ángel</t>
  </si>
  <si>
    <t>316 389 6199</t>
  </si>
  <si>
    <t>Transversal 18 bis No. 38- 41 - Alcaldía Local de Teusaquillo</t>
  </si>
  <si>
    <t>Concepto AE como herramienta de planificación. Alcance en el territorio y Tiempos,  AE Calle 72.</t>
  </si>
  <si>
    <t>2024-05-08_SESION MAYO</t>
  </si>
  <si>
    <t>Situación de la población infantil, la seguridad alimentaria, la salud pública, la formación para el trabajo, el emprendimiento, la inclusión laboral,  el turismo, la competitividad empresarial y la Ciencia, Tecnología e Innovación (CTI)</t>
  </si>
  <si>
    <t>2024-05-08_SESION DE CONCEJO - FORMULACION PDD</t>
  </si>
  <si>
    <t xml:space="preserve">Matriz preguntas sesion 8 de mayo </t>
  </si>
  <si>
    <t>Alvaro Córdoba</t>
  </si>
  <si>
    <t>acordoba@participacionbogota.gov.co</t>
  </si>
  <si>
    <t>https://teams.microsoft.com/dl/launcher/launcher.html?url=%2F_%23%2Fl%2Fmeetup-join%2F19%3Ameeting_OGJlMTlkNmMtZjQ2MC00Y2Q4LTgzMWQtOTRkNzIwOTViODdi%40thread.v2%2F0%3Fcontext%3D%257b%2522Tid%2522%253a%2522b3e30808-e9a8-4f2a-9bc1-a760ae910cf5%2522%252c%2522Oid%2522%253a%252237611154-6326-474d-9819-3be8738dadde%2522%257d%26anon%3Dtrue&amp;type=meetup-join&amp;deeplinkId=e1bf15c8-c718-49c3-845c-eefa8297ed32&amp;directDl=true&amp;msLaunch=true&amp;enableMobilePage=true&amp;suppressPrompt=true</t>
  </si>
  <si>
    <t>Encuentros ciudadanos en la localidad, borrador de control interno.</t>
  </si>
  <si>
    <t>Gestión: Reunión Junta Directiva / incentivos y bolsa logística CTPD</t>
  </si>
  <si>
    <t xml:space="preserve">Establecer compromisos respecto del plan de incentivos y bolsa logística para el CTPD </t>
  </si>
  <si>
    <t xml:space="preserve">Ave Cra 30 #25-90 Piso 8 OPDC </t>
  </si>
  <si>
    <t>Bolsa Logistica, recursos financieros y presupuestales del CTPD</t>
  </si>
  <si>
    <t>2024-05-08_REUNION JUNTA DIRECTIVA - INCENTIVOS Y BOLSA LOGISTICA CTPD</t>
  </si>
  <si>
    <t>Sesión Ordinaria de la Comisión de Desarrollo Regional - CTPD</t>
  </si>
  <si>
    <t>Realizar la socialización y la construcción del Plan de Acción de la Comisión de Desarrollo Regional del CTPD.</t>
  </si>
  <si>
    <t>https://meet.google.com/swq-cpck-fob</t>
  </si>
  <si>
    <t>Plan de Acción de la Comisión de Desarrollo Regional del CTPD.</t>
  </si>
  <si>
    <t>2024-05-08_SESION ORDINARIA COMISION DESARROLLO REGIONAL CTPD</t>
  </si>
  <si>
    <t>Orden del día y link de grabación</t>
  </si>
  <si>
    <t>Comité técnico- CTPD</t>
  </si>
  <si>
    <t>hacer seguimiento al convenio con la UNAD para el apoyo al CTPD</t>
  </si>
  <si>
    <t>piso 8 super cad carrera 30 con 26</t>
  </si>
  <si>
    <t xml:space="preserve">Avances de actividades del CTPD </t>
  </si>
  <si>
    <t>2024-05-08_ COMITE TECNICO- CTPD</t>
  </si>
  <si>
    <t>Consultorio PDD - Concejo: Jornada 13- Sector Cultura</t>
  </si>
  <si>
    <t>Inquietudes relacionadas con el sector de cultura, recreación y deportes, consignados en el Plan Distrutal de Desarrollo.</t>
  </si>
  <si>
    <t>Devolución de las memorias del espacio</t>
  </si>
  <si>
    <t>2024-05-09_CONSULTORIO PDD- JORNADA 13 - CULTURA</t>
  </si>
  <si>
    <t>https://drive.google.com/file/d/17IuJy_j4mK8v06VbvP3v7Tliz6As9lxv/view?usp=sharing</t>
  </si>
  <si>
    <t>Reunión concejal Ponente Clara Lucia Sandoval</t>
  </si>
  <si>
    <t>Atender las solicitudes y comentarios de la concejal ponente Clara Lucia Sandoval</t>
  </si>
  <si>
    <t>Ave Cra 30 #25-90, Bogotá, Piso 8 Salsa E</t>
  </si>
  <si>
    <t xml:space="preserve">Dudas para la propuesta de ponencia de la concejal Clara Lucia Sandoval, del sector Hacienda, Educación, Hábitat, Desarrollo Económico y Seguridad </t>
  </si>
  <si>
    <t>2024-05-09_REUNION CONCEJAL PONENTE CLARA LUCIA SANDOVAL</t>
  </si>
  <si>
    <t>(57) (1) 2417900</t>
  </si>
  <si>
    <t>Avenida Calle 22 No. 68C -51</t>
  </si>
  <si>
    <t xml:space="preserve">Generalidades del POT y UPL. </t>
  </si>
  <si>
    <t>2024-05-09_SESION MAYO</t>
  </si>
  <si>
    <t>Programas y metas del objetivo 4 del Plan Distrital de Desarollo, ordenamiento territorial</t>
  </si>
  <si>
    <t>2024-05-09_ SESION DE CONCEJO - FORMULACION PDD</t>
  </si>
  <si>
    <t>Matriz de respuesta del 9 mayo</t>
  </si>
  <si>
    <t xml:space="preserve">Acta incompleta </t>
  </si>
  <si>
    <t>CLIP Barrios Unidos</t>
  </si>
  <si>
    <t>Acompañar la articulación de los esfuerzos institucionales de participación en la localidad de Barrios Unidos</t>
  </si>
  <si>
    <t>Aurora Esperanza Daza</t>
  </si>
  <si>
    <t>300 569 8632</t>
  </si>
  <si>
    <t>José Joaquín Vargas</t>
  </si>
  <si>
    <t>Calle 66c # 66 - 15 Colegio Naval</t>
  </si>
  <si>
    <t>Propuestas para Plan de acción 2024, Plan de Desarrollo Local, CPL,  encuentros Ciudadanos</t>
  </si>
  <si>
    <t>Mesa de Gestión Territorial Barrio Nuevo Chile -JAC</t>
  </si>
  <si>
    <t>Acompañar a la JAC del barrio Nuevo Chile en el espacio donde se expondrá la reglamentación de la UPL BOSA</t>
  </si>
  <si>
    <t>Fabián Eduardo Rodríguez</t>
  </si>
  <si>
    <t>frodriguezc@sdp.gov.co</t>
  </si>
  <si>
    <t>Barrio Nuevo Chile</t>
  </si>
  <si>
    <t>CRA 72 F N 56 A 27 sur casa de la Juventud Barrio Nuevo Chile</t>
  </si>
  <si>
    <t>Reglamentación del POT en cuanto la malla vial, la reglamentación de las UPL en especial la de Bosa</t>
  </si>
  <si>
    <t>2024-05-09_MESA DE GESTION TERRITORIAL BARRIO NUEVO CHILE -JAC</t>
  </si>
  <si>
    <t xml:space="preserve">Dar continuidad al orden del dia de la plenaria ordinaria del 25 de abril de 2024 </t>
  </si>
  <si>
    <t>Liliana urrego navarro</t>
  </si>
  <si>
    <t>meet.google.com/puu-xxep-ndo</t>
  </si>
  <si>
    <t>Plan de acción del CTPD y de las comisiones</t>
  </si>
  <si>
    <t>2024-05-09_PLENARIA PERMANENTE CTPD</t>
  </si>
  <si>
    <t>Orden del día, formatos de transporte para CTPD</t>
  </si>
  <si>
    <t>Inquietudes y preguntas del PDD a sectores de Integración, Mujer, Salud, Ambiente, Cultura y Movilidad</t>
  </si>
  <si>
    <t>2024-05-10_REUNIÓN CONCEJAL PONENTE CLARA LUCIA SANDOVAL</t>
  </si>
  <si>
    <t>Consultorio PDD - Concejo: Jornada 14- Sector Desarrollo Económico</t>
  </si>
  <si>
    <t>Alternativas de emprendimiento, Plan de Acción de Política Pública de Vendedores Informales</t>
  </si>
  <si>
    <t>2024-05-10_CONSULTORIO PDD- JORNADA 14 - DESARROLLO ECONOMICO</t>
  </si>
  <si>
    <t>Matriz consultorio desarrollo economico</t>
  </si>
  <si>
    <t>https://acortar.link/rQKvHr</t>
  </si>
  <si>
    <t>Sesión de Concejo - Formulación PDD - Mañana</t>
  </si>
  <si>
    <t>objetivo 5,generalidades programa 33 del PDD, Inconsistencias de los servidores públicos de cara a la ciudadanía, ciudad mas conectiva y digital, modelos de gobernanza, Crecimiento progresivo de la cartera nacional, Percepciones de los ciudadanos hacia los entes del distrito</t>
  </si>
  <si>
    <t>2024-05-10_ SESION DE CONCEJO - FORMULACION PDD</t>
  </si>
  <si>
    <t>Matriz sesion 10 de mayo</t>
  </si>
  <si>
    <t>Cronograma de asamblea, revisión convocatoria base de datos, requerimiento de comunicación para asambleas</t>
  </si>
  <si>
    <t>2024-05-10_COMITE COORDINADOR - ASAMBLEAS CIUDADANAS</t>
  </si>
  <si>
    <t>OK es de gesttión tiene acta y registro fotográifico</t>
  </si>
  <si>
    <t>Sesión de Concejo - Formulación PDD - Tarde</t>
  </si>
  <si>
    <t>Recolectar propuestas ciuadadanas sobre el Plan distrital de Desarrollo.</t>
  </si>
  <si>
    <t>Audiencia Clara lucia Sandoval,  protección animal, Temas en relacion a casa ecologica, movimientos animalistas, proteccion a fauna.</t>
  </si>
  <si>
    <t>2024-05-10_ REUNION CONCEJO - FORMULACION PDD</t>
  </si>
  <si>
    <t>Encuentro nacional de jóvenes negros, afrocolombianos, palenqueros y Raizales.</t>
  </si>
  <si>
    <t>Acompañar el encuentro nacional de jóvenes negros, afrocolombianos, palenqueros y Raizales del Consejo Nacional de Paz Afrocolombiano</t>
  </si>
  <si>
    <t>Laurent Micolta</t>
  </si>
  <si>
    <t>Conpapaz.info@gmail.com</t>
  </si>
  <si>
    <t>Calle 12 #1-17 Universidad Externado</t>
  </si>
  <si>
    <t>Formación política y participativa de los jovenes</t>
  </si>
  <si>
    <t>2024-05-10_ENCUENTRO NACIONAL DE JOVENES AFRO, PALENQUEROS Y RAIZALES</t>
  </si>
  <si>
    <t>Ok es de gestión : acta , registro fotográfico, listado de asistencia</t>
  </si>
  <si>
    <t>Gestión:coordinación para propuesta Agora</t>
  </si>
  <si>
    <t xml:space="preserve">Coordinar la propuesta de implementación del proceso de Ágora Metropolitana </t>
  </si>
  <si>
    <t>Freddy Martínez</t>
  </si>
  <si>
    <t>Michael Cruz</t>
  </si>
  <si>
    <t>mcruzr@sdp.gov.co</t>
  </si>
  <si>
    <t>CAD - PISO 8</t>
  </si>
  <si>
    <t>Propuesta de selección de participantes de Bogotá y Cundinamarca.</t>
  </si>
  <si>
    <t>2024-05-10_GESTION_COORDINACION PARA PROPUESTA AGORA</t>
  </si>
  <si>
    <t>Recorrido AE ZIBO JAC Teusaquillo</t>
  </si>
  <si>
    <t>(601) 3599494 Ext. 448</t>
  </si>
  <si>
    <t>Quinta Paredes</t>
  </si>
  <si>
    <t>Centro de Eventos Carpa Corferias, Cl. 20 #36-44</t>
  </si>
  <si>
    <t>Movilidad. y reúso. Reverdecimiento y corredores de turismo. Reactivación económica y corredores de turismo.</t>
  </si>
  <si>
    <t>2024-05-11_RECORRIDO AE ZIBO - JAC TEUSAQUILLO</t>
  </si>
  <si>
    <t xml:space="preserve">recorrido en formato pdf </t>
  </si>
  <si>
    <t xml:space="preserve">Ok, nota no existe convocatoris por que el espacio fue convocado por RENOBO </t>
  </si>
  <si>
    <t>Gestión: Acompañamiento espacio de diálogo Sec. Gobierno con Cabildo Muisca de Suba</t>
  </si>
  <si>
    <t xml:space="preserve">Acompañar el espacio de diálogo entre la Sec. De gobierno y el Pueblo Muisca de Suba en términos de la incidencia en el Plan Distrital de Desarrollo. </t>
  </si>
  <si>
    <t>David Cortez</t>
  </si>
  <si>
    <t>David.araujo@gobiernobogota.gov.co</t>
  </si>
  <si>
    <t xml:space="preserve">Plan Distrital de Desarrollo; Plan de Vida Muisca; Sistema de Sitios Sagrados; Planes Parciales </t>
  </si>
  <si>
    <t>2024-05-11_DIALOGO SDG - CABILDO MUISCA DE SUBA DE SUBA</t>
  </si>
  <si>
    <t>Gestión: Revisión propuesta Agora Metropolitana</t>
  </si>
  <si>
    <t>Revisar la propuesta  sobre el proceso de ágora Metropolitana a cargo de Felipe Rey</t>
  </si>
  <si>
    <t>https://meet.google.com/anu-hmwh-jbx?hs=224</t>
  </si>
  <si>
    <t>Normatividad del Ágora metropolitana
Requerimientos para formular el Ágora Metropolitana</t>
  </si>
  <si>
    <t>2024-05-13_REVISION PROPUESTA AGORA METROPOLITANA</t>
  </si>
  <si>
    <t>Escuela de Pensamiento: Socialización interna - Plan Institucional de Participación Ciudadana</t>
  </si>
  <si>
    <t>Socializar el Plan Institucional de Participación Ciudadana con los Funcionarios de la Secretaría Distrital de Planeación.</t>
  </si>
  <si>
    <t xml:space="preserve">Dayana </t>
  </si>
  <si>
    <t>https://www.youtube.com/watch?v=66DcYokSI24</t>
  </si>
  <si>
    <t>Plan Institucional de Participación Ciudadana.</t>
  </si>
  <si>
    <t>2024-05-14_ESCUELA DE PENSAMIENTO</t>
  </si>
  <si>
    <t>416 A</t>
  </si>
  <si>
    <t>Acompañar la articulación de los esfuerzos institucionales de participación en la localidad de Engativá</t>
  </si>
  <si>
    <t>Esperanza Daza Maldonado</t>
  </si>
  <si>
    <t>Calle 71 # 73a-44</t>
  </si>
  <si>
    <t xml:space="preserve">Desarrollo de Encuentros Ciudadanos, Sectores Sociales Incidentes, Mecanismos de Participación CLIP </t>
  </si>
  <si>
    <t>2024-05-14_SESION MAYO</t>
  </si>
  <si>
    <t>Consultorio PDD - Concejo: Jornada 15- Sector Hábitat</t>
  </si>
  <si>
    <t>Metas del Plan Distrital de Desarrollo  para el sector Hábitat</t>
  </si>
  <si>
    <t>2024-05-14_CONSULTORIO PDD- JORNADA 15 - HABITAT</t>
  </si>
  <si>
    <t xml:space="preserve">Matriz  de consultorio </t>
  </si>
  <si>
    <t>https://drive.google.com/file/d/1r_oH4TRfvAob1aXFJlK2U4WvxdiBmhRZ/view?usp=sharing</t>
  </si>
  <si>
    <t>Propuestas sobre el Río Bogotá. historia, proyectos, avances de obras, costos, impactos y posibles beneficios.</t>
  </si>
  <si>
    <t>2024-05-14_SESION DE CONCEJO - FORMULACION PDD</t>
  </si>
  <si>
    <t xml:space="preserve">Matriz  de respuesta del día 14 mayo </t>
  </si>
  <si>
    <t>SLIS TUNJUELITO (Diagonal 47 A SUR 53 B 27 sur) en el Auditorio.</t>
  </si>
  <si>
    <t>Programa "Oferta preferente" SDHT; Encuentros ciudadanos ALT</t>
  </si>
  <si>
    <t>Reunión: Propuesta de Asamblea deliberativa Metropolitana - Agora</t>
  </si>
  <si>
    <t>Revisar Propuesta de Asamblea deliberativa Metropolitana - Agora</t>
  </si>
  <si>
    <t>Oficina de Integracion Regional</t>
  </si>
  <si>
    <t>Reglamentacion Agora Metropolitana, representatividad demográficamente representativos de género, edad, municipio y estrato</t>
  </si>
  <si>
    <t>2024-05-14_PROPUESTA DE ASAMBLEA DELIBERATIVA METROPOLITANA - AGORA</t>
  </si>
  <si>
    <t xml:space="preserve">Presentación propuesta asambleas </t>
  </si>
  <si>
    <t xml:space="preserve">OK es de gestión tiene acta , documentos adicionales, registro fotográfico, listado de asistencia </t>
  </si>
  <si>
    <t>Gestión: Pedagogía del Plan Distrital de Desarrollo</t>
  </si>
  <si>
    <t>Revisar el componente de pedagogía del PDD con FHI360</t>
  </si>
  <si>
    <t>https://teams.microsoft.com/l/meetup-join/19%3ameeting_ZjRhMGUxYzUtNjBiYi00ZmQwLThlZDAtODZjODgwOWNhNmI2%40thread.v2/0?context=%7b%22Tid%22%3a%2226ae6adf-61be-443f-8dc4-6531b61a9a38%22%2c%22Oid%22%3a%229b024aee-a47e-4639-b10e-8327e14a5502%22%7d</t>
  </si>
  <si>
    <t>Propuesta de pedagogía para el Plan Distrital de Desarrollo; Contratación de una consultora en pedagogía; obligaciones contractuales de consultora en pedagogía.</t>
  </si>
  <si>
    <t>2024-05-14_GESTIÓN_ PEDAGOGIA PDD - FHI360</t>
  </si>
  <si>
    <t>Falta acta</t>
  </si>
  <si>
    <t>Recolectar propuestas ciuadadanas sobre el Plan distrital de Desarrollo, en conrdinación con  la concejala Clara Lucia Sandoval</t>
  </si>
  <si>
    <t>Recepción propuestas Plan Districtal de Desarrollo</t>
  </si>
  <si>
    <t>2024-05-14_REUNION CONCEJO - FORMULACION PDD</t>
  </si>
  <si>
    <t>Reunión vicepresidente del CTPD</t>
  </si>
  <si>
    <t>Configurar informe del inventario de todas las propuestas que fueron allegadas el CTPD, en el marco de la revisión del Plan de Desarrollo Distrital.</t>
  </si>
  <si>
    <t>Héctor Hugo Álvarez Cubillos</t>
  </si>
  <si>
    <t>hhac2000@yahoo.com</t>
  </si>
  <si>
    <t xml:space="preserve">Secretaria Distrital de Planeación - CTPD 2 PISO SUPERCADE </t>
  </si>
  <si>
    <t xml:space="preserve"> Informe del inventario de  las propuestas que fueron allegadas el CTPD del Plan Ditrital de Desarrollo</t>
  </si>
  <si>
    <t>2024-05-14_REUNION VICEPRESIDENTE DEL CTPD</t>
  </si>
  <si>
    <t>Consultorio PDD - Concejo: Jornada 16- Sector Educación</t>
  </si>
  <si>
    <t>Secretaría de Educación</t>
  </si>
  <si>
    <t>No se trataron temas</t>
  </si>
  <si>
    <t>Enviar memorias a asistentes  ( solo hubo asistentes SDP)</t>
  </si>
  <si>
    <t>2024-05-15_CONSULTORIO PDD- JORNADA 16 - EDUCACION</t>
  </si>
  <si>
    <t>https://drive.google.com/file/d/1VczUb3zmt09OTaTJa5Y6uRaYkKoL-CF0/view?usp=sharing</t>
  </si>
  <si>
    <t>Av. Cra. 60 No. 57 - 60, Teusaquillo, Biblioteca Virgilio Barco</t>
  </si>
  <si>
    <t xml:space="preserve">Inquietudes y/o comentarios  frente a  participación, bienestar, seguridad en la formulación del PDD, </t>
  </si>
  <si>
    <t>2024-05-15_ SESION DE CONCEJO - FORMULACIÓN PDD</t>
  </si>
  <si>
    <t xml:space="preserve">Matriz de preguntas de la sesion </t>
  </si>
  <si>
    <t>Actualiación de instancias, Violencia política a las  mujeres, cierre de encuentros ciudadanos, resultados de propuestas incluidas en la propuesta del PDD y fase II: aspiraciones comunes.</t>
  </si>
  <si>
    <t>2024-05-15_SESION MAYO</t>
  </si>
  <si>
    <t>Presentacion pdd clip</t>
  </si>
  <si>
    <t>Capacitación Sistema de Participación Territorial</t>
  </si>
  <si>
    <t>Socializar los contenidos del Sistema de Participación Territorial con los líderes de los setores del MOT y quienes acompañan a las entidades.</t>
  </si>
  <si>
    <t>Camilo Vásquez</t>
  </si>
  <si>
    <t>314 2045593</t>
  </si>
  <si>
    <t>camavasquezsdp@gmail.com</t>
  </si>
  <si>
    <t>Equipo OPDC</t>
  </si>
  <si>
    <t>Sede de la Secretaría Distrital de Planeación</t>
  </si>
  <si>
    <t xml:space="preserve"> componentes del Decreto 599 de 2023 mediante el que de reglamenta el Sistema de Participación Territorial</t>
  </si>
  <si>
    <t>2024-05-15_CAPACITACION SPT</t>
  </si>
  <si>
    <t>OK es de gestión: teiene acta , convocatoria , listado de asistencia registro fotografico</t>
  </si>
  <si>
    <t>Plan de Acción PPR - Sector Planeación</t>
  </si>
  <si>
    <t xml:space="preserve">Realizar el seguimiento individual al plan de acción de la PP Ruralidad </t>
  </si>
  <si>
    <t>Miguel Muñoz</t>
  </si>
  <si>
    <t>301 3877386</t>
  </si>
  <si>
    <t>politicapublicaderuralidad@sdp.gov.co</t>
  </si>
  <si>
    <t>meet.google.com/wne-vvtg-frb</t>
  </si>
  <si>
    <t xml:space="preserve">Observaciones sobre las herramientas, proceso de seguimiento de la PPR 2024 , Ajustes de forma identificados por la Dirección de Formulación y seguimiento a políticas públicas </t>
  </si>
  <si>
    <t>2024-05-15_PLAN DE ACCON PPR - SECTOR PLANEACION</t>
  </si>
  <si>
    <t>OK es de gestión: teiene acta , convocatoria y registro fotografico</t>
  </si>
  <si>
    <t>Revisar el plan de acción de la comisión Poblacional -CTPD</t>
  </si>
  <si>
    <t>Jacqueline Hérnandes</t>
  </si>
  <si>
    <t>https://meet.google.com/pcv-rkhz-coi</t>
  </si>
  <si>
    <t>Capacitación sobre el Plan de Acción</t>
  </si>
  <si>
    <t>2024-05-15_COMISION POBLACIONAL - CTPD</t>
  </si>
  <si>
    <t>Gestión - Capacitación para categorización de propuestas abiertas PDD</t>
  </si>
  <si>
    <t>Capacitar al equipo OPDC sobre la metodología para categorizar propuestas abiertas del PDD</t>
  </si>
  <si>
    <t>meet.google.com/mbr-dfax-xdt</t>
  </si>
  <si>
    <t>Categorización Propuestas Abiertas Plan Distrital de Desarrollo</t>
  </si>
  <si>
    <t>2024-05-15_GESTIÓN - CAPACITACION - CATEGORIZACION ROPUESTAS ABIERTAS PDD</t>
  </si>
  <si>
    <t xml:space="preserve">Ok es de gestión tiene :convocatoria,registro fotográfico, acta , listado de asistencia </t>
  </si>
  <si>
    <t>Consultorio PDD - Concejo: Jornada 17- Sector Mujer</t>
  </si>
  <si>
    <t>Subsecretaría de la Inversión de Planeación</t>
  </si>
  <si>
    <t>Devolución del acta</t>
  </si>
  <si>
    <t>2024-05-16_CONSULTORIO PDD- JORNADA 17 - MUJER</t>
  </si>
  <si>
    <t>https://drive.google.com/file/d/1_ZpPdfY_jNSHj-nEmLa8BRUv3qmHFNHr/view?usp=sharing</t>
  </si>
  <si>
    <t>Lineamientos para la categorización de propuestas ciudadanas en el marco del PDD</t>
  </si>
  <si>
    <t>2024-05-16_GESTIÓN - CAPACITACION - CATEGORIZACION PROPUESTAS ABIERTAS PDD</t>
  </si>
  <si>
    <t xml:space="preserve">OK es de gestión : tiene acta, Registro fotográfico, listado de asistencia </t>
  </si>
  <si>
    <t>Consultorio PDD - Concejo: Jornada 18- Sector Gestión Pública</t>
  </si>
  <si>
    <t>Devolver acta a los asistentes</t>
  </si>
  <si>
    <t>2024-05-16_CONSULTORIO PDD- JORNADA 18 - GESTION PUBLICA</t>
  </si>
  <si>
    <t>https://drive.google.com/file/d/1LQpMSc4uJfs2qzOuTlg104PKKN7edB9Q/view?usp=sharing</t>
  </si>
  <si>
    <t>Socialización Sistema de Participación Territorial - Renobo</t>
  </si>
  <si>
    <t>Sistema de Participación Territorial</t>
  </si>
  <si>
    <t>Socializar a Renobo los componentes del Sistema de Participación Territorial</t>
  </si>
  <si>
    <t>Camilo Vasquez</t>
  </si>
  <si>
    <t>Renobo</t>
  </si>
  <si>
    <t>Sede Renobo. Autopista Norte Calle 102</t>
  </si>
  <si>
    <t xml:space="preserve">Componentes del Sistema de Participación Territorial </t>
  </si>
  <si>
    <t>2024-05-16_SOCIALIZACION SPT - RENOBO</t>
  </si>
  <si>
    <t>Presentación SPT</t>
  </si>
  <si>
    <t xml:space="preserve">Ok es de gestión : tiene acta, documentos adicionales, listado de asistencia </t>
  </si>
  <si>
    <t>Sesión Extraordinaria Comisión Desarrollo Regional - CTPD</t>
  </si>
  <si>
    <t xml:space="preserve">Socializar y plantear las propuestas para el complemento del Plan de Acción 2024 de la Comisión de Desarrollo Regional del CTPD.
</t>
  </si>
  <si>
    <t xml:space="preserve"> https://meet.google.com/mdz-ruop-osj</t>
  </si>
  <si>
    <t>Plan de Acción 2024 Comisión Desarrollo Regional - CTPD</t>
  </si>
  <si>
    <t>2024-05-16_SESION EXTRAORDINARIA COMISION DESARROLLO REGIONAL CTPD</t>
  </si>
  <si>
    <t>Link de grabación y orden del día</t>
  </si>
  <si>
    <t xml:space="preserve">ok ACTA COMPLETA </t>
  </si>
  <si>
    <t>Plan de trabajo Sistema de Participación Territorial con Pueblo Muisca de Suba y Bosa</t>
  </si>
  <si>
    <t>Elaborar plan de trabajo para seguimiento al Sistema de Sitios Sagrados Muisca a través del espacio especializado del Sistema de Participación Territorial.</t>
  </si>
  <si>
    <t>Jeisson Triviño</t>
  </si>
  <si>
    <t>Cabildomuiscasuba@gmail.com</t>
  </si>
  <si>
    <t>Pueblo Muisca de Suba y Bosa</t>
  </si>
  <si>
    <t>Dirección de Planeamiento Local, Subdirección de Planeamiento Local del Sur Occidente, Subdirección de Planeamiento Local del Noroccidente</t>
  </si>
  <si>
    <t>Cabildo Indígena Muisca de Suba - Carrera 86#147-23</t>
  </si>
  <si>
    <t xml:space="preserve">Plan de acción SPT; sistema de sitios sagrados Muisca; </t>
  </si>
  <si>
    <t>2024-05-16_PLAN DE TRABAJO SPT - PUEBLO MUISCA DE SUBA Y BOSA</t>
  </si>
  <si>
    <t>Gestión: Seguimiento - PIPC 2024 - EcoUrbanismo y Construcción Sostenible</t>
  </si>
  <si>
    <t>Realizar seguimiento con la Dirección de Ecourbanismo y Construcción Sostenible frente al PIPCs 2024.</t>
  </si>
  <si>
    <t>Juliana Ossa</t>
  </si>
  <si>
    <t>320 3502375</t>
  </si>
  <si>
    <t>jossa@sdp.gov.co</t>
  </si>
  <si>
    <t>Subdirección de Eco urbanismo y Construcción Sostenible</t>
  </si>
  <si>
    <t>https://meet.google.com/unb-dwxs-yjb</t>
  </si>
  <si>
    <t>Documento de estrategia de participación 2024 con Ecourbanismo, Espacios de participación con grupos de valor</t>
  </si>
  <si>
    <t>2024-05-16_ SEGUIMIENTO - PIPC 2024 - ECOURBANISMO Y CONSTRUCCIÓN SOSTENIBLE</t>
  </si>
  <si>
    <t>Matriz PIPC 2024</t>
  </si>
  <si>
    <t xml:space="preserve">OK es de gestión tiene : acta , listado de asistencia , registro fotográfico y convocatoria </t>
  </si>
  <si>
    <t>Plenaria permanente CTPD</t>
  </si>
  <si>
    <t>Dar continuidad al orden el dia aprobado en la plenaria ordinaria del 25 de abril</t>
  </si>
  <si>
    <t xml:space="preserve"> https://meet.google.com/khe-dhfd-nzr</t>
  </si>
  <si>
    <t>Terminar con el orden del dia de la plenaria ordinaria del 25 de abril, donde se debatieron temas como las recargas de celulares y la actualización de las actividades del plan de acción 2024</t>
  </si>
  <si>
    <t>2024-05-16_PLENARIA PERMANENTE CTPD</t>
  </si>
  <si>
    <t>Acompañamiento a Presentación Formulación Actuación Estratégica Calle 72</t>
  </si>
  <si>
    <t>Acompañar  la sesión donde se va a Presentar  la AE  Calle 72 y Establecer enlaces con enfoque diferencial</t>
  </si>
  <si>
    <t>John Jairo García Pulido</t>
  </si>
  <si>
    <t>jgarciap@renobo.com.co</t>
  </si>
  <si>
    <t>https://meet.google.com/jpm-oaod-zts</t>
  </si>
  <si>
    <t xml:space="preserve"> AE Calle 72 - descripción, vocación y zona de intervención del polígono.</t>
  </si>
  <si>
    <t>2024-05-17_FORMULACION AE CALLE 72</t>
  </si>
  <si>
    <t>PPT AE CALLE 72</t>
  </si>
  <si>
    <t xml:space="preserve">OK Esta asistencia fue liderada por renobo y por ser virtual no se conto con listado de asistencia </t>
  </si>
  <si>
    <t>Capacitación Actuaciones Estratégicas</t>
  </si>
  <si>
    <t>Revisar las generalidades del instrumento, la priorización de AE para el presente año y definir acciones frente al rol de la SDP en la formulación</t>
  </si>
  <si>
    <t>Marco normativo y priorización de AE</t>
  </si>
  <si>
    <t>2024-05-17_CAPACITACION ACTUACIONES ESTRATEGICAS</t>
  </si>
  <si>
    <t>Presentación AE</t>
  </si>
  <si>
    <t xml:space="preserve">OK es de gestión : acta , listado de asistencia y documentos adicionales </t>
  </si>
  <si>
    <t>Primera sesión de la Subcomisión Permanente del Sistema de Participación Territorial</t>
  </si>
  <si>
    <t>Aprobar el Plan Operativo Anual de la vigencia 2024 del Sistema de Participación Territorial</t>
  </si>
  <si>
    <t>Juan Carlos Prieto García</t>
  </si>
  <si>
    <t>315 2487029</t>
  </si>
  <si>
    <t>jprieto@sdp.gov.co</t>
  </si>
  <si>
    <t>Contenidos del Sistema según el Decreto 599 de 2023; Estados de los planes de acción 2024; Proceso operativo de reportes trimestrales</t>
  </si>
  <si>
    <t>2024-05-17_SUBCOMISIÓN PERMANENTE DEL SPT</t>
  </si>
  <si>
    <t>Presentación SPT, matriz reporte trimestral , documentos operativo  SPT</t>
  </si>
  <si>
    <t>Gestion - Presentación propuesta Asamblea Deliberativa Agora</t>
  </si>
  <si>
    <t>Reglamentacion Agora Metropolitana, representatividad demográficamente representativos de género, edad, municipio y estrato y procedimiento operativo para tratar temas en el Agora</t>
  </si>
  <si>
    <t>2024-05-17_PROPUESTA DE ASAMBLEA DELIBERATIVA METROPOLITANA - AGORA</t>
  </si>
  <si>
    <t>Ok es de gestión tiene : acta , listado de asistencia , registro fotográfico</t>
  </si>
  <si>
    <t>Gestión: Reunión preparatoria acción afirmativa con Comunidad Raizal</t>
  </si>
  <si>
    <t xml:space="preserve">Realizar reunión preparatoria para la actividad de acción afirmativa con la Comunidad Raizal. </t>
  </si>
  <si>
    <t>Comunidad Raizal</t>
  </si>
  <si>
    <t>https://meet.google.com/jyc-wxht-ofc</t>
  </si>
  <si>
    <t>Acción afirmativa; Comunidad Raizal; Política Pública de Comunidad Raizal</t>
  </si>
  <si>
    <t>2024-05-17_REUNION PREPARATORIA ACCION AFIRMATIVA CON COMUNIDAD RAIZAL Y PALENQUERA</t>
  </si>
  <si>
    <t xml:space="preserve">Ok es de gestión tiene : acta , listado de asistencia , registro fotográfico, convocatoria </t>
  </si>
  <si>
    <t>Comisón POT del CTPD</t>
  </si>
  <si>
    <t xml:space="preserve">Socializar el Plan de Acción 2024 de la Comisión POT </t>
  </si>
  <si>
    <t>munircardenas12@hotmail.com</t>
  </si>
  <si>
    <t>meet.google.com/vqw-cgnn-moa</t>
  </si>
  <si>
    <t xml:space="preserve">Metodología para la construcción del plan de acción de la comisión </t>
  </si>
  <si>
    <t>2024-05-17_COMISION POT - CTPD</t>
  </si>
  <si>
    <t>Transmicable San Cristóbal -JAL San Cristóbal</t>
  </si>
  <si>
    <t>Acompañar la socialización por parte del IDU y Renobo para la contratación y ejecución   de Transmicable para San Cristóbal</t>
  </si>
  <si>
    <t>Diana Ramírez</t>
  </si>
  <si>
    <t>diana.ramirez@sdp.gov.co</t>
  </si>
  <si>
    <t>Av primera de mayo 1 40</t>
  </si>
  <si>
    <t xml:space="preserve">Contrato de obra Transmicable San Cristóbal </t>
  </si>
  <si>
    <t>2024-05-18_TRANSMICABLE SAN CRISTOBAL -JAL SAN CRISTOBAL</t>
  </si>
  <si>
    <t>Mesa de trabajo AEDA</t>
  </si>
  <si>
    <t>Revisar la adopción de la AEDA</t>
  </si>
  <si>
    <t>Gobierno Nacional</t>
  </si>
  <si>
    <t>Puerta de Teja</t>
  </si>
  <si>
    <t>Salón comunal Puerta de Teja - CRA 96a # 25g - 26</t>
  </si>
  <si>
    <t>Respuesta a cuestionario enviado por Senador David Luna</t>
  </si>
  <si>
    <t>2024-05-18_MESA DE TRABAJO AEDA</t>
  </si>
  <si>
    <t>Capacitar el Plan de Acción Comisión Poblacional</t>
  </si>
  <si>
    <t>Jacqueline Hernández</t>
  </si>
  <si>
    <t>https://meet.google.com/cdh-vrhx-poi</t>
  </si>
  <si>
    <t>Plan de Acción a cargo de la UNAD, Plan de Acción de la Comisión que será presentado en Plenaria</t>
  </si>
  <si>
    <t>2024-05-18_COMISION POBLACIONAL -CTPD</t>
  </si>
  <si>
    <t>Objetivos proyecto de acuerdo PDD , Financiamiento PDD</t>
  </si>
  <si>
    <t>2024-05-20_ SESION DE CONCEJO - FORMULACION PDD</t>
  </si>
  <si>
    <t xml:space="preserve">Ponencia Concejales  y Matriz de preguntas de la sesión </t>
  </si>
  <si>
    <t>Articulación con DPL - Proyectos PIP y Participación</t>
  </si>
  <si>
    <t>Realizar articulación con la DPL para avanzar en la definición de la estrategia de participación para las UPL y sus respectivos PIP, en el marco de las reuniones de socialización que han surgido.</t>
  </si>
  <si>
    <t>meet.google.com/obe-ugzj-kgc</t>
  </si>
  <si>
    <t>Contexto del estado de las UPL, solicitud de lineamientos y requerimientos de participación de PIP para definir estrategia de participación y solicitud de gestión para la articulación con la SPI .</t>
  </si>
  <si>
    <t>2024-05-20_ARTICULACION CON DPL - PROYECTOS PIP Y PARTICIPACION</t>
  </si>
  <si>
    <t>Comisión de Participación- CTPD</t>
  </si>
  <si>
    <t>Revisar el Plan de Acción de la Comisión de participación</t>
  </si>
  <si>
    <t>Dick Dario Diaz</t>
  </si>
  <si>
    <t>https://meet.google.com/ryt-hstz-fjm</t>
  </si>
  <si>
    <t>Plan de Acción de la Comisión de Participación</t>
  </si>
  <si>
    <t>2024-05-20_COMISIÓN DE PARTICIPACION- CTPD</t>
  </si>
  <si>
    <t xml:space="preserve">Presentación UNAD, </t>
  </si>
  <si>
    <t>Sesión Ordinaria de la Comisión Plan de Desarrollo Distrital CTPD</t>
  </si>
  <si>
    <t>Realizar la socialización y la construcción del Plan de Acción de la Comisión de Plan de Desarrollo Distrital.</t>
  </si>
  <si>
    <t>https://meet.google.com/nnd-vejw-pfn</t>
  </si>
  <si>
    <t>Plan de Acción de la Comisión de Plan de Desarrollo Distrital</t>
  </si>
  <si>
    <t>2024-05-20_ SESION ORDINARIA COMISION PDD - CTPD</t>
  </si>
  <si>
    <t>Link de grabación, orden del día</t>
  </si>
  <si>
    <t>Apuestas de la segunda versión de Smart City</t>
  </si>
  <si>
    <t>Ferias de Alto Nivel</t>
  </si>
  <si>
    <t>Acompañar la sesión de revisión de los alcances de la segunda versión de Smart City</t>
  </si>
  <si>
    <t>Secretaría de Desarrollo Económico</t>
  </si>
  <si>
    <t>Corferias</t>
  </si>
  <si>
    <t>Oficina Laboratorio de Ciudad</t>
  </si>
  <si>
    <t>Cra. 37 #24 - 67</t>
  </si>
  <si>
    <t>Segunda versión de la feria Smart City y alcances previstos.</t>
  </si>
  <si>
    <t>2024-05-21_APUESTAS II SMART CITY</t>
  </si>
  <si>
    <t xml:space="preserve">Acompañar la articulación de los esfuerzos institucionales de participación en la localidad de Puente Aranda
</t>
  </si>
  <si>
    <t>Martha Edid Lopez</t>
  </si>
  <si>
    <t>mlopez@participacionbogota.gov.co</t>
  </si>
  <si>
    <t xml:space="preserve"> Alcaldía Local de Puente Aranda Cl. 4 #31D-30</t>
  </si>
  <si>
    <t>Encuentro Ciudadanos Localidad Puente Aranda, Actuación Estratégicas ZIBO,  Observatorio Puente Aranda</t>
  </si>
  <si>
    <t>2024-05-21_SESION MAYO</t>
  </si>
  <si>
    <t>DPL -Lineamientos estrategia de participación - servicios públicos</t>
  </si>
  <si>
    <t xml:space="preserve">Acompañar  la subdirección de Planes Maestros en la definición de la estrategia de participación - servicios públicos   </t>
  </si>
  <si>
    <t>Paola Andrea Gamez</t>
  </si>
  <si>
    <t>pgamez@sdp.gov.co</t>
  </si>
  <si>
    <t>Subdirección de Planes Mastros</t>
  </si>
  <si>
    <t>meet.google.com/fru-bvhk-sjs</t>
  </si>
  <si>
    <t xml:space="preserve">Diligenciamiento documento de la estrategia </t>
  </si>
  <si>
    <t>2024-05-21_LINEAMIENTOS ESTRATEGIA DE PARTICIPACIÓN - SERVICIOS PUBLICOS</t>
  </si>
  <si>
    <t>Ok es de gestión : acta , registro fotografico y convocatoria</t>
  </si>
  <si>
    <t>Sesión de vocero y no voceros</t>
  </si>
  <si>
    <t>2024-05-21_ SESION DE CONCEJO - FORMULACION PDD</t>
  </si>
  <si>
    <t xml:space="preserve">Matriz de preguntas de la sesión </t>
  </si>
  <si>
    <t>Taller de diálogo  Actuación Estratégica Campín 7 de Agosto</t>
  </si>
  <si>
    <t>Construcción de Directrices de Actuaciones Estratégicas</t>
  </si>
  <si>
    <t>Socializar  y construir las directrices para la formulación de la Actuación Estratégica Campín 7 de Agosto</t>
  </si>
  <si>
    <t>Juan Carlos Bohorquez</t>
  </si>
  <si>
    <t>7 de Agosto</t>
  </si>
  <si>
    <t>Dirección de Planeamiento Local, Subdirección de Planeamiento Local del Centro Ampliado</t>
  </si>
  <si>
    <t>Cra. 27a #63b13</t>
  </si>
  <si>
    <t>No se logró desarrollar el espacio</t>
  </si>
  <si>
    <t>Enviar documentación técnica frente a la AE para la ciudadanía interesada en participar</t>
  </si>
  <si>
    <t>Organizar espacios con presidentes de JAC para realizar la exposición de las generalidades (espacios que pueden desarrollarse en las instalaciones de la SDP)</t>
  </si>
  <si>
    <t>Realizar recorridos con ciudadanos que manifiesten interés en participar activa y respetuosamente</t>
  </si>
  <si>
    <t>2024-05-21_ TALLER DE DIÁLOGO ACTUACIÓN ESTRATÉGICA CAMPÍN 7 DE AGOSTO</t>
  </si>
  <si>
    <t xml:space="preserve">PPT AE Campin, ficha del proyecto, videos de interrupción ,PPT AE Campin SDP </t>
  </si>
  <si>
    <t>https://drive.google.com/file/d/1qCwv0Nr6JQmqjwqtrlUwRehdomOkG74K/view?usp=sharing</t>
  </si>
  <si>
    <t>Votación del articulado del Plan Distrital de Desarrollo</t>
  </si>
  <si>
    <t>2024-05-22_ SESION DE CONCEJO - FORMULACION PDD - MAÑANA</t>
  </si>
  <si>
    <t>Reunión - Concejal Julian Triana</t>
  </si>
  <si>
    <t>En el marco del Sistema de Participación Territorial  brindar información sobre la participación en la reglamentación de las UPL durante el 2022 y 2023</t>
  </si>
  <si>
    <t>Participación ciudadana en los PIP en el marco de PDD</t>
  </si>
  <si>
    <t>2024-05-22_ REUNION - CONCEJAL JULIAN TRIANA</t>
  </si>
  <si>
    <t>Gestión - Sistema de Participación Territorial - Sector Ambiente</t>
  </si>
  <si>
    <t xml:space="preserve">Atender la solicitud de la Secretaria de Ambiente en relación a la contextualización del SPT a las 4 entidades que conforman el Sector Ambiente </t>
  </si>
  <si>
    <t>Sergio Burgos</t>
  </si>
  <si>
    <t>315 6646425</t>
  </si>
  <si>
    <t>sergio.burgos@ambientebogota.gov.co</t>
  </si>
  <si>
    <t>meet.google.com/inv-juyh-gsz</t>
  </si>
  <si>
    <t>Herramientas del SPT, Plan de Acción Sector Ambiente</t>
  </si>
  <si>
    <t>2024-05-22_SISTEMA DE PARTICIPACION TERRITORIAL - SECTOR AMBIENTE</t>
  </si>
  <si>
    <t>2024-05-22_ SESION DE CONCEJO - FORMULACION PDD - TARDE</t>
  </si>
  <si>
    <t>Matriz de respuesta -jornada tarde</t>
  </si>
  <si>
    <t>Sesión plenaria de aprobación de parte de artículos del PDD</t>
  </si>
  <si>
    <t>2024-05-23_ SESION DE CONCEJO - FORMULACIÓN PDD - MAÑANA</t>
  </si>
  <si>
    <t>Matriz de respuesta -jornada mañana</t>
  </si>
  <si>
    <t>Audiencia del Decreto 563 de 2023</t>
  </si>
  <si>
    <t>Socializar el proceso de modificación del Decreto 563 de 2023 en el marco del SPT</t>
  </si>
  <si>
    <t>Sergio Pachón</t>
  </si>
  <si>
    <t>Congreso de la República - Cra. 7 #10-00</t>
  </si>
  <si>
    <t>Modificación del Decreto 563 de 2023</t>
  </si>
  <si>
    <t>2024-05-23_AUDIENCIA DEL DECRETO 563 DE 2023</t>
  </si>
  <si>
    <t>Reunión de articulación- DPL</t>
  </si>
  <si>
    <t>Articular el trabajo conjunto para las estrategias de participación UPL y AE de acuerdo con el contexto, alcances y ciclos de ambos instrumentos.</t>
  </si>
  <si>
    <t>Edificio CAD piso 8</t>
  </si>
  <si>
    <t>Contexto y articulación para las estrategias de participación UPL y AE</t>
  </si>
  <si>
    <t>2024-05-23_REUNION DE ARTICULACION- DPL</t>
  </si>
  <si>
    <t>Ok es de gestión: acta, listado de asistencia y convocatoria</t>
  </si>
  <si>
    <t>Audiencia Publica - El cambio debe verse en el Centro de Bogotá</t>
  </si>
  <si>
    <t>Acompañar la discusión del desarrollo urbano para la UPL Centro Histórico.</t>
  </si>
  <si>
    <t>Martha Avila</t>
  </si>
  <si>
    <t>mavilad@sdp.gov.co</t>
  </si>
  <si>
    <t>Planes Urbanos en el Centro Histórico, Espacios de participación cidadana en el Barrio San Bernardo, Normativa para desarrollo Urbano en el barrio San Bernardo</t>
  </si>
  <si>
    <t>2024-05-23_AUDIENCIA PUBLICA - EL CAMBIO DEBE VERSE EN EL CENTRO DE BOGOTÁ</t>
  </si>
  <si>
    <t>Sesión Consejo de Propiedad Horizontal</t>
  </si>
  <si>
    <t>Acompañamiento a la sesión del CDPH</t>
  </si>
  <si>
    <t xml:space="preserve">IDPAC </t>
  </si>
  <si>
    <t>https://teams.microsoft.com/l/meetup-join/19%3ameeting_NGJlYjM2ZjItNjM1ZS00NzU4LWJhMzctYmM1MzBkZDA2Zjk5%40thread.v2/0?context=%7b%22Tid%22%3a%220f1156f1-406d-4123-99f0-a976b835b9b6%22%2c%22Oid%22%3a%2228e5563c-fcfc-4492-9b8f-d9bf0268da71%22%7d</t>
  </si>
  <si>
    <t>Balance de las acciones respecto a PDD y Política Pública</t>
  </si>
  <si>
    <t>2024-05-23_SESION CONSEJO DE PROPIEDAD HORIZONTAL</t>
  </si>
  <si>
    <t xml:space="preserve">ok Evidencias completas </t>
  </si>
  <si>
    <t xml:space="preserve">Aprobacion de articulos del  Plan Distritral de Desarrollo </t>
  </si>
  <si>
    <t>2024-05-23_ SESION DE CONCEJO - FORMULACION PDD - TARDE</t>
  </si>
  <si>
    <t>ok</t>
  </si>
  <si>
    <t>2024-05-24_ SESION DE CONCEJO - FORMULACIÓN PDD - MAÑANA</t>
  </si>
  <si>
    <t>Consolidar la arquitectura de las asambleas ciudadanas con organizaciones de la sociedad civil</t>
  </si>
  <si>
    <t>320 8382088</t>
  </si>
  <si>
    <t>Sala B piso 5 de la SDP - edificio CAD</t>
  </si>
  <si>
    <t xml:space="preserve">Construcción del documento para la meta asamblea ciudadana </t>
  </si>
  <si>
    <t>2024-05-24_COMITE COORDINADOR - ASAMBLEAS CIUDADANAS</t>
  </si>
  <si>
    <t>Ok es de gestión : tiene acta , registro fotográfico , listado de asistencia y convocatoria</t>
  </si>
  <si>
    <t>Generalidades POT y UPL/PIP - Sectores Suoriente y Ruralidad</t>
  </si>
  <si>
    <t>Socializar contenidos POT - UPL y PIP para las localidades de Usme, Tunjuelito, Ciudad Bolívar y Sumapaz</t>
  </si>
  <si>
    <t>601 3358000 ext 8512</t>
  </si>
  <si>
    <t>Arborizadora alta, Ciudad Bolívar</t>
  </si>
  <si>
    <t xml:space="preserve">Carrera 44 D # 69-32 SUR - Unidad de Servicios de Salud Manuela Beltrán </t>
  </si>
  <si>
    <t>Plan de Ordenamiento Territorial decreto 555; Unidades de Planeamiento Local; Proyectos Integrales de Proximidad; Estrategia de participación formulación UPL</t>
  </si>
  <si>
    <t>2024-05-24_GENERALIDADES POT Y UPL-PIP</t>
  </si>
  <si>
    <t xml:space="preserve">Presentacion sur oriente y presentacion Upl Rural </t>
  </si>
  <si>
    <t>Proceso de debate para aprobación de Plan Distrital de Desarrollo</t>
  </si>
  <si>
    <t>2024-05-24_ SESION DE CONCEJO - FORMULACIÓN PDD - TARDE</t>
  </si>
  <si>
    <t xml:space="preserve">Matriz de respuesta sesión tarde  </t>
  </si>
  <si>
    <t>Comisión POT del CTPD</t>
  </si>
  <si>
    <t>munircardenas12@gmail.com</t>
  </si>
  <si>
    <t>meet.google.com/ffk-ndwy-jio</t>
  </si>
  <si>
    <t>Plan de acción 2024 de la comisión POT</t>
  </si>
  <si>
    <t>2024-05-24_COMISION POT - CTPD</t>
  </si>
  <si>
    <t>Incompleto</t>
  </si>
  <si>
    <t>Grabación de la sesión y transcripción del CHAT</t>
  </si>
  <si>
    <t xml:space="preserve">Falta acta por parte de la universidad </t>
  </si>
  <si>
    <t>Sesión  Extraordinaria Comisión Desarrollo Regional CTPD</t>
  </si>
  <si>
    <t>Realizar el acompañamiento como secretaría técnica a la Comisión de Desarrollo Regional del CTPD.</t>
  </si>
  <si>
    <t>https://meet.google.com/drg-jgtb-xzp</t>
  </si>
  <si>
    <t xml:space="preserve">Socialización de aspectos trabajados en la reunión con RAPE, formulario de revisión de problemáticas. Propuesta de las actividades acordes a la problematización trabajada </t>
  </si>
  <si>
    <t>2024-05-24_SESION EXTRAORDINARIA COMISION DESARROLLO REGIONAL CTPD</t>
  </si>
  <si>
    <t xml:space="preserve">Link grabación y orden del día </t>
  </si>
  <si>
    <t xml:space="preserve">Ok, se adjunto acta </t>
  </si>
  <si>
    <t>Proyecto de Acuerdo distrital 368 de 2024; Discusión y aprobación articulado</t>
  </si>
  <si>
    <t>2024-05-25_SESION DE CONCEJO - FORMULACIÓN PDD - MAÑANA</t>
  </si>
  <si>
    <t xml:space="preserve">Matriz de respuesta de la sesion mañana </t>
  </si>
  <si>
    <t>Audiencia Pública de Rendición de Cuentas IDPAC vigencia 2023</t>
  </si>
  <si>
    <t>Acompañar en calidad de entidad invitada, la rendición de cuentas del IDPAC 2023</t>
  </si>
  <si>
    <t>Juan Pablo Camacho, director IDPAC</t>
  </si>
  <si>
    <t>PBX: (57) (1) 2417900 - 2417930</t>
  </si>
  <si>
    <t>rendiciondecuentas@participacionbogota.gov.co</t>
  </si>
  <si>
    <t xml:space="preserve">Fundación Universidad Jorge Tadeo Lozano Aula Máxima - Entrada Principal </t>
  </si>
  <si>
    <t>Rendición de cuentas del IDPAC</t>
  </si>
  <si>
    <t>2024-05-25_RENDICION DE CUENTAS IDPAC</t>
  </si>
  <si>
    <t xml:space="preserve">Informe de gestión vigencia2023,Noticia </t>
  </si>
  <si>
    <t>Actividad de cumplimento para acción afirmativa con Comunidad Raizal</t>
  </si>
  <si>
    <t>Realizar actividad de socialización de la política pública de negros afrocolombianos, palenqueros y raizales en el marco de cumplimiento de  la acción afirmativa pendiente por ejecutar con la Comunidad Raizal</t>
  </si>
  <si>
    <t xml:space="preserve">Organización ORFA en representación de la Comunidad Raizal residente en Bogota  </t>
  </si>
  <si>
    <t>Parque de los Niños y de las Niñas (Av. La Esmeralda #63-12)</t>
  </si>
  <si>
    <t xml:space="preserve">Acción afirmativa; conpes distrital 38; comunidad raizales </t>
  </si>
  <si>
    <t>Enviar el acta y listado de asistencia de la actividad.</t>
  </si>
  <si>
    <t>2024-05-25_ ACCION AFIRMATIVA CON COMUNIDAD RAIZAL</t>
  </si>
  <si>
    <t xml:space="preserve">No </t>
  </si>
  <si>
    <t>https://acortar.link/YEo1k1</t>
  </si>
  <si>
    <t>Acompañar la discusión del proyecto de acuerdo del Plan Distrital de Desarrollo, de cara al proceso de debate para su aprobación en el Concejo Distrital</t>
  </si>
  <si>
    <t>Metas y vigencia del Plan Distrital de Desarrollo.</t>
  </si>
  <si>
    <t>2024-05-25_SESION DE CONCEJO - FORMULACIÓN PDD - TARDE</t>
  </si>
  <si>
    <t>Matriz pregunta sesion tarde</t>
  </si>
  <si>
    <t>Gala Sergio Urrego</t>
  </si>
  <si>
    <t>Destacar el activismo de toda una vida en prevención de la discriminación.</t>
  </si>
  <si>
    <t>Fundación Sergio Urrego</t>
  </si>
  <si>
    <t>contacto@sergiourrego.org</t>
  </si>
  <si>
    <t>Macarena</t>
  </si>
  <si>
    <t>Cra. 7 #N. 28-66- Museo Nacional de Colombia</t>
  </si>
  <si>
    <t>2024-05-25_GALA SERGIO URREGO</t>
  </si>
  <si>
    <t>Reunión con presidentes de JAC con incidencia en la APP Campin y AE Campin 7 de agosto</t>
  </si>
  <si>
    <t>Acompañar la respuesta de inquietudes respecto a la APP Campin y AE Campin 7 de Agosto de manera preliminar para posteriormente organizar las actividades de participación</t>
  </si>
  <si>
    <t xml:space="preserve">Nicolas de Federman, San Luis, Campin, Campinsito, etc </t>
  </si>
  <si>
    <t>Super CADE Cra 30. Sala piso 5</t>
  </si>
  <si>
    <t>Compromisos para el desarrollo de las actividades de participación en torno a la formulación de la AE Campin 7 de agosto</t>
  </si>
  <si>
    <t>2024-05-27_ PRESIDENTES DE JAC - APP CAMPIN Y AE CAMPIN 7 DE AGOSTO</t>
  </si>
  <si>
    <t>Gestión: concertación acciones afirmativas Pueblo Rrom</t>
  </si>
  <si>
    <t>Concertar el plan de trabajo para el cumplimiento del Plan Integral de Acciones Afirmativas de la vigencia 2024 con el Pueblo Rrom Gitano</t>
  </si>
  <si>
    <t>https://teams.microsoft.com/l/meetup-join/19%3ameeting_OWQzMjk5NDEtNDA5MC00MDIyLTk4ZmUtY2EzYjFkZTUyYzJh%40thread.v2/0?context=%7b%22Tid%22%3a%2214de155f-e192-44da-994d-1913d8658372%22%2c%22Oid%22%3a%2204a273b8-28ba-4099-9b31-ca5e8d396a0f%22%7d</t>
  </si>
  <si>
    <t>Plan de trabajo para el cumplimiento de la acción afirmativa del art 66 del PDD 2020-2024 con el Pueblo Rrom Gitano</t>
  </si>
  <si>
    <t>2024-05-27_CONCERTACION ACCIONES AFIRMATIVAS PUEBLO RROM</t>
  </si>
  <si>
    <t>Capacitación - UPL y PIP líderes sectores MOT</t>
  </si>
  <si>
    <t>Capacitar a los líderes de los 7 sectores MOT en tema Unidades de Planeamiento Local y Proyectos Integrales de Proximidad, contexto y continuación de estrategia.</t>
  </si>
  <si>
    <t>Cra 30 # 25 - 90</t>
  </si>
  <si>
    <t xml:space="preserve">Contexto POT, UPL, PIP y Ruta de participación. </t>
  </si>
  <si>
    <t>2024-05-27_CAPACITACION - UPL Y PIP LIDERES SECTORES MOT</t>
  </si>
  <si>
    <t>Presentación capacitacion UPL</t>
  </si>
  <si>
    <t xml:space="preserve">Ok es de gestión: tiene acta , listado de asistencia, convocatoria y documentos adicionales </t>
  </si>
  <si>
    <t>Proyecto de acuerdo segundo Debate del proyecto de acuerdo 368 de 2024 mediante el cual se adopta el plan de desarrollo económico, social, ambiental y de obras públicas del Distrito Capital 2024-2027</t>
  </si>
  <si>
    <t>2024-05-28_SESION DE CONCEJO - FORMULACION PDD - MAÑANA</t>
  </si>
  <si>
    <t>Matriz  de respuestas  de sesion tarde 28 mayo</t>
  </si>
  <si>
    <t xml:space="preserve"> Sesión extraordinaria - Mesa Distrital de Víctimas</t>
  </si>
  <si>
    <t>Acompañar la sesión extraordinaria para analizar las propuestas del PDD.</t>
  </si>
  <si>
    <t>MDPEV</t>
  </si>
  <si>
    <t>stecnicamdpev@personeriabogota.gov.co</t>
  </si>
  <si>
    <t>Dirección de Planeación del Desarrollo Social, Subsecretario de políticas publicas</t>
  </si>
  <si>
    <t>Cra 10 # 27-51 torre norte - 2 piso - zona comercial oficina 201 – 202.</t>
  </si>
  <si>
    <t>Inquietudes de la Mesa sobre propuesta para el PDD Y Plan de Acción Distrital 2024 - 2028</t>
  </si>
  <si>
    <t>2024-05-28_SESIÓN EXTRAORDINARIA - MESA DISTRITAL DE VICTIMAS</t>
  </si>
  <si>
    <t>presentación victimas pdd</t>
  </si>
  <si>
    <t>Encuentro Fundación Colombia 2050</t>
  </si>
  <si>
    <t>Realizar un encuentro con la Fundación Colombia 2050 para garantizar un espacio de articulación de perspectivas juveniles con diversas instancias de la administración distrital.</t>
  </si>
  <si>
    <t>Agremiación o sociedad</t>
  </si>
  <si>
    <t>Articulación del portafolio Fundación Colombia 2050 con procesos de participación estratéticos de la SDP.</t>
  </si>
  <si>
    <t>2024-05-28_ENCUENTRO FUNDACIÓN COLOMBIA 2050</t>
  </si>
  <si>
    <t>Evento - conmemoración 129 años de la Unidad de Bomberos de Bogotá</t>
  </si>
  <si>
    <t>Acompañar el homenaje a los 129 años del Cuerpo Oficial de Bomberos de Bogotá.</t>
  </si>
  <si>
    <t>Unidad Administrativa Cuerpo de Bomberos</t>
  </si>
  <si>
    <t>Plaza de Bolívar de Bogotá</t>
  </si>
  <si>
    <t>Homenaje a la Unidad Especial Cuerpo de Bomberos Bogotá; Reconocimiento por años de servicio a bomberos activos, retirados y fallecidos; Palabras secretario Seguridad y Alcalde Mayor.</t>
  </si>
  <si>
    <t>2024-05-28_EVENTO - CONMEMORACION 129 AÑOS DE LA UNIDAD DE BOMBEROS</t>
  </si>
  <si>
    <t>CLIP Mártires</t>
  </si>
  <si>
    <t xml:space="preserve">Acompañar la articulación entre instituciones de participación en la localidad de Los Mártires.  </t>
  </si>
  <si>
    <t>Samper Mendoza</t>
  </si>
  <si>
    <t>Secretaría Distrital de Integración Social (Diagonal 22 b Bis # 20 - 51  Auditorio - Samper Mendoza)</t>
  </si>
  <si>
    <t>Estado y avance proceso de Planeación Participativa (Encuentros Ciudadanos) para el Plan Desarrollo Local, Planes de capacitación para Sistema Distrital de Participación Ciudadana</t>
  </si>
  <si>
    <t>2024-05-28_SESION MAYO</t>
  </si>
  <si>
    <t>Reunión Junta Directiva CTPD</t>
  </si>
  <si>
    <t xml:space="preserve">Revisión de concepto de inclusión de nuevos sectores ante el CTPD, consolidado Plan de Acción CTPD y consolidado de solicitud de recargas CTPD. </t>
  </si>
  <si>
    <t xml:space="preserve">Piso 2 - CTPD </t>
  </si>
  <si>
    <t>2024-05-28_JUNTA DIRECTIVA CTPD</t>
  </si>
  <si>
    <t xml:space="preserve">Grabación de la sesión , orden del día y respuesta SDP </t>
  </si>
  <si>
    <t>Gestión: Mesa intersectorial  SPT -SSSM</t>
  </si>
  <si>
    <t>Realizar mesa intersectorial para definir competencias, incidencia y alcances del escenario del Pueblo Muisca en el Sistema de Participación Territorial.</t>
  </si>
  <si>
    <t>Giovanna Torres</t>
  </si>
  <si>
    <t xml:space="preserve">Av. Carrera 30 #25-90 </t>
  </si>
  <si>
    <t>Sistema de sitios sagrados Muisca; resolución 2664 de 2023; sistema de participación territorial</t>
  </si>
  <si>
    <t>2024-05-28_GESTION_ MESA INTERSECTORIAL SPT -SSSM</t>
  </si>
  <si>
    <t>Ok es de gestión : tiene acta , listado de asistencia , registro fotografico y convocatoria</t>
  </si>
  <si>
    <t>completo</t>
  </si>
  <si>
    <t>Proyecto de Acuerdo distrital 368 de 2024; supresión de articulos</t>
  </si>
  <si>
    <t>2024_05_28_SESION DE CONCEJO - FORMULACION PDD - TARDE</t>
  </si>
  <si>
    <t xml:space="preserve">Matriz de respuestas jornada mañana </t>
  </si>
  <si>
    <t>Mesa de trabajo Foro - Veeduría Distrital</t>
  </si>
  <si>
    <t>Continuar plan de acción de la red y aunar esfuerzos para el desarrollo del foro y diplomado</t>
  </si>
  <si>
    <t>gosorio@veeduriadisrital.gov.co</t>
  </si>
  <si>
    <t>Sala de juntas rectoría Universidad Distrital</t>
  </si>
  <si>
    <t xml:space="preserve">Planeación actividad foro del segundo semestre en el marco de plan de acción de la Red institucional de Apoyo a las Veedurías Ciudadanas </t>
  </si>
  <si>
    <t>2024-05-29_ MESA DE TRABAJO FORO - VEEDURIA DISTRITAL</t>
  </si>
  <si>
    <t>sesión plenaria y discusión de articulos con temas de: procesos de Renovación urbana, seguridad y justicia social, suelo para viviendas, agua en bogotá, desarrollo urbano y pobreza.</t>
  </si>
  <si>
    <t>2024_05_29_SESION DE CONCEJO - FORMULACION PDD -MAÑANA</t>
  </si>
  <si>
    <t xml:space="preserve">Matriz de respuestas PDD </t>
  </si>
  <si>
    <t>Socialización Plan Parcial de Desarrollo Los Búhos</t>
  </si>
  <si>
    <t>Planes Parciales de Desarrollo</t>
  </si>
  <si>
    <t>Socializar la Formulación del Plan Parcial de Desarrollo Los Búhos , recibir aportes y solucionar inquietudes de la ciudadania interesada</t>
  </si>
  <si>
    <t>sub.renovacionurbana@sdp.gov.co</t>
  </si>
  <si>
    <t>POZ Norte</t>
  </si>
  <si>
    <t>Subdirección de Renovación Urbana y Desarrollo</t>
  </si>
  <si>
    <t>Punto de Atención al Ciudadano Lagos de Torca - Autopista Nte. #224-60</t>
  </si>
  <si>
    <t>Propuesta de formulación del Plan Parcial de Desarrollo Los Búhos, socialización de inquietudes, aportes e inconformidades de los vinculados y vecinos del Plan Parcial.</t>
  </si>
  <si>
    <t>Envío de la presentación y grabación del espacio de participación y socialización de la propuesta ajustada del Plan Parcial de Desarrollo “Los Búhos”.</t>
  </si>
  <si>
    <t>Envío de acta del espacio de participación y socialización de la propuesta ajustada del Plan Parcial de Desarrollo “Los Búhos</t>
  </si>
  <si>
    <t>Traslado del Derecho de Petición Verbal de la Señora María del Carmen Pinilla</t>
  </si>
  <si>
    <t>2024-05-29_SOCIALIZACION PPD LOS BUHOS</t>
  </si>
  <si>
    <t xml:space="preserve">Cartografia y Documentos plan de desarrollo los buhos </t>
  </si>
  <si>
    <t xml:space="preserve">Presentacion de PDD </t>
  </si>
  <si>
    <t>https://acortar.link/pIH6mC</t>
  </si>
  <si>
    <t>Convocatoria de elección de organizaciones sociales al CTPD por parte de la SDS</t>
  </si>
  <si>
    <t xml:space="preserve">Elegir la vacante de la curul por organizaciones sociales de discapacidad para el CTPD </t>
  </si>
  <si>
    <t>Olga Lucia Mancera Leguizamon</t>
  </si>
  <si>
    <t>601 3649090</t>
  </si>
  <si>
    <t>olmancera@saludcapital.gov.co</t>
  </si>
  <si>
    <t>Carrera 65 # 103 – 66 - Unidad Médica Hospitalaria Especializada en Salud (UMHE) Fray
Bartolomé de las Casas</t>
  </si>
  <si>
    <t>2024-05-29_ ELECCION DE ORGANIZACIONES - SDS</t>
  </si>
  <si>
    <t xml:space="preserve">Ok, soloi se asistio como asistente </t>
  </si>
  <si>
    <t>Acompañar el proceso de articulación institucional para la participación ciudadana en la localidad de Ciudad Bolivar.</t>
  </si>
  <si>
    <t>Jimmy Martinez Castro</t>
  </si>
  <si>
    <t>jmcastro@participacionbogota.gov.co</t>
  </si>
  <si>
    <t>https://teams.microsoft.com/l/meetup-join/19%3ameeting_ZTJmNzI3ZjUtNTRjMC00ZjRlLTk5NGEtNDBkMWZhZWExZjg0%40thread.v2/0?context=%7b%22Tid%22%3a%220f1156f1-406d-4123-99f0-a976b835b9b6%22%2c%22Oid%22%3a%22d1aec604-84bf-41fe-898e-8330e07d11b8%22%7d</t>
  </si>
  <si>
    <t>Se realizó la presentación de resultados para la localidad de Ciudad Bolivar de la segunda fase de construcción del plan de desarrollo aspiraciones</t>
  </si>
  <si>
    <t>2024-05-29_SESION MAYO</t>
  </si>
  <si>
    <t xml:space="preserve">Presentacion del PDD </t>
  </si>
  <si>
    <t>Discusión y aprobación de artículos del PDD.</t>
  </si>
  <si>
    <t>2024_05_29_SESION DE CONCEJO - FORMULACION PDD - TARDE</t>
  </si>
  <si>
    <t>Evento virtual  socialización resultados Encuesta Servidores- Veeduría Distrital-IIPC</t>
  </si>
  <si>
    <t>Socializar la consolidación de los resultados del IIPC (2021, 2022 y 2023) y los resultados de la Encuesta de percepción de servidores y colaboradores sobre participación y control social en el Distrito Capital aplicada en el año 2024.</t>
  </si>
  <si>
    <t>Yessica Alexandra Lucero Acero</t>
  </si>
  <si>
    <t>ylucero@veeduriadistrital.gov.co</t>
  </si>
  <si>
    <t>https://meet.google.com/ijr-yrtw-jbn</t>
  </si>
  <si>
    <t xml:space="preserve">Resultados índice institucional de participación ciudadana </t>
  </si>
  <si>
    <t>2024-05-29_SOCIALIZACION RESULTADOS ENCUESTA SERVIDORES</t>
  </si>
  <si>
    <t>Vencido</t>
  </si>
  <si>
    <t>Gestión: Plan de trabajo para acciones afirmativas Comunidad Negra Afrocolombiana</t>
  </si>
  <si>
    <t>Elaborar el plan de trabajo para la realización de actividades que permitan cumplir con las acciones afirmativas que la OPDC tiene con la comunidad negra afrocolombiana.</t>
  </si>
  <si>
    <t>edwin.caicedo@gobierbobogota.gov.co</t>
  </si>
  <si>
    <t xml:space="preserve">Comunidad negra afrocolombiana </t>
  </si>
  <si>
    <t>https://meet.google.com/ttr-xwhw-yvm</t>
  </si>
  <si>
    <t>Construcción del plan de trabajo para las acciones afirmativas correspondientes a la vigencia 2023</t>
  </si>
  <si>
    <t>2024-05-29_PLAN DE TRABAJO PARA ACCIONES AFIRMATIVAS COMUNIDAD NEGRA AFROCOLOMBIANA</t>
  </si>
  <si>
    <t>Lectura de la respuesta a la solicitud de concepto jurídico, respecto de la inclusión de los sectores de voluntariado y jueces de paz al CTPD. Recargas de celulares.</t>
  </si>
  <si>
    <t>Liliana de Los Ángeles de Urrego Navarro</t>
  </si>
  <si>
    <r>
      <rPr>
        <sz val="8"/>
        <rFont val="Calibri"/>
      </rPr>
      <t xml:space="preserve">Piso 2 - CTPD -  </t>
    </r>
    <r>
      <rPr>
        <u/>
        <sz val="8"/>
        <color rgb="FF1155CC"/>
        <rFont val="Calibri"/>
      </rPr>
      <t>https://meet.google.com/xuj-bdts-pnu</t>
    </r>
  </si>
  <si>
    <t>2024-05-29_MESA DIRECTIVA CTPD</t>
  </si>
  <si>
    <t xml:space="preserve">PPT Orden del dia </t>
  </si>
  <si>
    <t>Revisar ajuste a la Propuesta de Asamblea deliberativa Metropolitana - Agora</t>
  </si>
  <si>
    <t>https://meet.google.com/bvw-scnx-cxw</t>
  </si>
  <si>
    <t>Propuesta reglamentacion Agora Metropolitana, modo de selección de los participantes y conformación</t>
  </si>
  <si>
    <t>2024-05-30_PRESENTACIÓN PROPUESTA ASAMBLEA DELIBERATIVA AGORA</t>
  </si>
  <si>
    <t xml:space="preserve">Es de gestión: tiene acta , listado de asistencia y  registro fotografico </t>
  </si>
  <si>
    <t>Evento - Experiencias Inspiradoras: Comités Ciudadanos</t>
  </si>
  <si>
    <t>Presentar los comités ciudadanos del POT como experiencia de control social y de promoción a la participación</t>
  </si>
  <si>
    <t>July Carolina Romero Ortiz</t>
  </si>
  <si>
    <t>jromero@veeduriadistrital.gov.co</t>
  </si>
  <si>
    <t>Cl 26b #5-93-Planetario de Bogotá</t>
  </si>
  <si>
    <t>Experiencias de control social y participación</t>
  </si>
  <si>
    <t>2024-05-30_EVENTO - EXPERIENCIAS INSPIRADORAS</t>
  </si>
  <si>
    <t>Mesa de trabajo Estrategia Microterritorial -  JAC</t>
  </si>
  <si>
    <t>Trabajo de Estrategia Micro territorial, para dignatarias y dignatarios de las JAC y la Asociación de Juntas de Acción Comunal para la discusión y avances en los objetivos en torno a la Localidad de Suba.</t>
  </si>
  <si>
    <t xml:space="preserve">Ana Isabel Hortua Salcedo </t>
  </si>
  <si>
    <t>alcalde.suba@gobiernobogota.gov.co</t>
  </si>
  <si>
    <t xml:space="preserve">
Biblioteca Francisco José de Caldas, Carrera 92 No. 146 C - 24</t>
  </si>
  <si>
    <t>Trabajo de Estrategia Micro territorial, para dignatarias y dignatarios de las JAC y la Asociación de Juntas de Acción Comunal para la discusión y avances en los objetivos en torno a la Localidad Suba</t>
  </si>
  <si>
    <t>2024-05-30_MESA DE TRABAJO ESTRATEGIA MICROTERRITORIAL - JAC</t>
  </si>
  <si>
    <t>Aprobación del Acuerdo 368 de 2024 donde se establece el Plan Distrital de Desarrollo 2024-2027 Bogotá Camina Segura</t>
  </si>
  <si>
    <t>2024-05-30_ SESION DE CONCEJO - FORMULACION PDD</t>
  </si>
  <si>
    <t xml:space="preserve">lunes, 3 de Junio </t>
  </si>
  <si>
    <t>Matriz de preguntas PDD 30/05/2024</t>
  </si>
  <si>
    <t xml:space="preserve">Falta ajustar asistencia  en el Acta </t>
  </si>
  <si>
    <t>Realizar el acompañamiento como secretaria técnica a la Comisión de Desarrollo Regional del CTPD, para realizar la aprobación del Plan de Acción de la Comisión.</t>
  </si>
  <si>
    <t>https://meet.google.com/nwh-sbnk-bzr</t>
  </si>
  <si>
    <t>Único punto, plan de acción.</t>
  </si>
  <si>
    <t>2024-05-30_SESION EXTRAORDINARIA COMISION DESARROLLO REGIONAL CTPD</t>
  </si>
  <si>
    <t xml:space="preserve">Link de grabación y orden del día </t>
  </si>
  <si>
    <t xml:space="preserve">Ok . evidencias completas </t>
  </si>
  <si>
    <t>Dar continuidad al plan de acción establecido</t>
  </si>
  <si>
    <t>Faltante</t>
  </si>
  <si>
    <t>Avance plan de acción red</t>
  </si>
  <si>
    <t>2024-05-30_SESION JUNIO - RED DE VEEDURIAS</t>
  </si>
  <si>
    <t>Retroalimentación proyecto Asambleas Deliberativas</t>
  </si>
  <si>
    <t>Presentar los avances de elaboración del Proyecto para compartir retroalimentación y compromisos</t>
  </si>
  <si>
    <t>Carrera 30 # 25-90, piso 8</t>
  </si>
  <si>
    <t>Avances proyecto asamblea deliberativa</t>
  </si>
  <si>
    <t>2024-05-30_RETROALIMENTACION PROYECTO ASAMBLEAS DELIBERATIVAS</t>
  </si>
  <si>
    <t xml:space="preserve">OK reu de gestion </t>
  </si>
  <si>
    <t>Plenaria ordinaria CTPD</t>
  </si>
  <si>
    <t>Presentación del Plan Territorial de Salud SDS, Lectura de la respuesta a la solicitud de concepto jurídico, respecto de la inclusión de los sectores de voluntariado y jueces de paz al CTPD y socialización de decisión tomada por la mesa directiva, Plan de acción CTPD 2024.(presentación UNAD), Activación del comité de convivencia del CTPD.</t>
  </si>
  <si>
    <t xml:space="preserve"> https://meet.google.com/ret-cpra-xdo</t>
  </si>
  <si>
    <t>Presentación del Plan Territorial de Salud SDS.  Activación del comité de convivencia del CTPD. Recargas de celulares.  Análisis del ejercicio del PDD</t>
  </si>
  <si>
    <t>2024-05-30_PLENARIA ORDINARIA CTPD</t>
  </si>
  <si>
    <t xml:space="preserve">Grabación de plenaria, orden del dia de plenara, formato de transporte </t>
  </si>
  <si>
    <t>Acompañar la articulación de los esfuerzos institucionales de participación en la localidad de Usme</t>
  </si>
  <si>
    <t>Oswaldo</t>
  </si>
  <si>
    <t>https://teams.microsoft.com/l/meetup-join/19%3ameeting_MDg3M2VlNGUtZTE3Ni00MzBlLWIzNTAtNmYzYTg0MzUzNmQ4%40thread.v2/0?context=%7b%22Tid%22%3a%2214de155f-e192-44da-994d-1913d8658372%22%2c%22Oid%22%3a%22f555f17c-d2af-4840-b055-999507699c5a%22%7d</t>
  </si>
  <si>
    <t>Avances entorno al PDD y resultados de la fase Aspiraciones comunes, Reactivación del STP y Re activación de presupuestos participativos en sus fases 1 y 2.</t>
  </si>
  <si>
    <t>2024-05-30_SESION MAYO</t>
  </si>
  <si>
    <t>Gestión: Plan de trabajo para acciones afirmativas con Comunidad Palenquera</t>
  </si>
  <si>
    <t>Elaborar plan de trabajo que permita cumplir con las acciones afirmativas que la OPDC tiene con la comunidad palenquera</t>
  </si>
  <si>
    <t>Comunidad palenquera</t>
  </si>
  <si>
    <t>Av. Carrera 30 #25-90</t>
  </si>
  <si>
    <t>Definición de recursos y fechas de acciones afirmativas</t>
  </si>
  <si>
    <t>2024-05-31_PLAN DE TRABAJO PARA ACCIONES AFIRMATIVAS CON COMUNIDAD PALENQUERA</t>
  </si>
  <si>
    <t>Comité coordinador - Asambleas ciudadanas</t>
  </si>
  <si>
    <t>Avanzar con aspectos operativos de convocatoria de meta asamblea</t>
  </si>
  <si>
    <t>Convocatoria meta asamblea</t>
  </si>
  <si>
    <t>2024-05-31_COMITE COORDINADOR - ASAMBLEAS CIUDADANAS</t>
  </si>
  <si>
    <t>Reunión preparatoria para talleres de AE Campín 7 de Agosto con presidentes de JAC</t>
  </si>
  <si>
    <t>Definir las estrategias de participación conjuntas con los presidentes de las JAC para los talleres de formulación de la AE Campin 7 de agosto.</t>
  </si>
  <si>
    <t>Martha Milena Avila de la Hoz</t>
  </si>
  <si>
    <t>Kra 30 # 25 - 90 Pisos 5 Sala B</t>
  </si>
  <si>
    <t>Información técnica a los presidentes de las JAC de la AE Campin 7 de agosto para transmitir en sus respectivas comunidades.</t>
  </si>
  <si>
    <t>2024-05-31_REUNION PREPARATORIA - PRESIDENTES JAC</t>
  </si>
  <si>
    <t xml:space="preserve">Documentos compilados  y Decretos  </t>
  </si>
  <si>
    <t>Gestión: Construcción de agenda - Sector Suroccidente</t>
  </si>
  <si>
    <t>Construir la agenda del sector conjuntamente con la DPL.</t>
  </si>
  <si>
    <t>Fabián Rodríguez</t>
  </si>
  <si>
    <t>https://meet.google.com/esw-pgho-emn</t>
  </si>
  <si>
    <t xml:space="preserve">Ruta de la participación 2022-2023, generalidades del sector Suroccidente, Upl´s, AE, PIP. </t>
  </si>
  <si>
    <t>2024-05-31_CONSTRUCCION DE AGENDA - SECTOR SUROCCIDENTE</t>
  </si>
  <si>
    <t xml:space="preserve">OK  Reunion de GESTION CONTIENE  : acta, convocatoria , y registro fotografico </t>
  </si>
  <si>
    <t>Encuentro Ciudadano Local - Sumapaz</t>
  </si>
  <si>
    <t>Planes de Desarrollo Local</t>
  </si>
  <si>
    <t>Recoger aportes de la comunidad para el Plan de Desarrollo Local de Sumapaz.</t>
  </si>
  <si>
    <t>ctorres@gobiernobogota.gov.co</t>
  </si>
  <si>
    <t>Sumapaceña</t>
  </si>
  <si>
    <t xml:space="preserve">Centro Poblado Nazareth </t>
  </si>
  <si>
    <t xml:space="preserve">Conceptos de gasto para la formulación del Plan de Desarrollo Local. </t>
  </si>
  <si>
    <t>2024-06-03_ENCUENTRO CIUDADANO LOCAL - SUMAPAZ</t>
  </si>
  <si>
    <t>CLIP Santa Fe</t>
  </si>
  <si>
    <t>Acompañar la articulación de los esfuerzos institucionales de participación en la localidad de Santa Fe</t>
  </si>
  <si>
    <t>Cra2#4-10 (CDC Lourdes)</t>
  </si>
  <si>
    <t>Resultado fase 2 Aspiraciones Comunes PDD,  Programa de Oferta Preferente de Subsidios de Vivienda, Casa de experiencias de la participación - IDPAC y Balance conceptos de gasto Alcaldía Local</t>
  </si>
  <si>
    <t>2024-06-04_SESION JUNIO</t>
  </si>
  <si>
    <t xml:space="preserve">Presentacion  del resultados del PDD </t>
  </si>
  <si>
    <t xml:space="preserve">OK Evifdencias completas </t>
  </si>
  <si>
    <t>Acompañar el proceso de articulación institucional para la participación ciudadana en la localidad de fontibón y socializar los resultados de segunda fase PDD</t>
  </si>
  <si>
    <t>Nohora Rodriguez</t>
  </si>
  <si>
    <t>Fontibón centro</t>
  </si>
  <si>
    <t>Alcaldía local de fontibon</t>
  </si>
  <si>
    <t>Socialización Resultados Fase II: Aspiraciones Comunes, Plan de Desarrollo “Bogotá Camina Segura – 2024 – 2027”, Socialización ganadores Proyecto Fortalecimiento de Instancias, Varios</t>
  </si>
  <si>
    <t xml:space="preserve">Ok EvIdencias completas </t>
  </si>
  <si>
    <t>Continuar Con El Orden Del Dia De La Plenaria Ordinaria Del 30 De Marzo</t>
  </si>
  <si>
    <t>https://meet.google.com/jti-wabi-odb</t>
  </si>
  <si>
    <t>Activación del comité de convivencia y recargas para el CTPD</t>
  </si>
  <si>
    <t>2024-06-04_PLENARIA PERMANENTE</t>
  </si>
  <si>
    <t xml:space="preserve">presentacion ortden del dia, grabación de plenaria </t>
  </si>
  <si>
    <t>Revisión de compromisos con Cabildo Muisca de Suba</t>
  </si>
  <si>
    <t>Revisar el estado de los compromisos adquiridos con el Cabildo Muisca de Suba en el marco del Sistema de Participación Territorial</t>
  </si>
  <si>
    <t>Cabildo Muisca de Suba</t>
  </si>
  <si>
    <t>Secretaria Distrital de Gobierno</t>
  </si>
  <si>
    <t>Sistema de Participación Territorial; Sistema de Sitios Sagrados Muisca; Decret0 612; Política Pública para los Pueblos Indígenas</t>
  </si>
  <si>
    <t>2024-06-04_REVISION DE COMPROMISOS - CABILDO MUISCA DE SUBA</t>
  </si>
  <si>
    <t xml:space="preserve">Falta subir acta final por parte del cabildo muisca </t>
  </si>
  <si>
    <t>Comite Intersectorial del PDD</t>
  </si>
  <si>
    <t>Realizar el seguimiento a las acciones previstas en la estrategia de participación del PDD</t>
  </si>
  <si>
    <t>Las Americas</t>
  </si>
  <si>
    <t xml:space="preserve">https://meet.google.com/rgr-dzux-doc?hs=224  </t>
  </si>
  <si>
    <t>Balance Fase uno y Fase 2 PDD</t>
  </si>
  <si>
    <t>Envío de la PPT y la Circular 17. </t>
  </si>
  <si>
    <t>2024-06-05_COMITE INTERSECTORIAL DEL PDD</t>
  </si>
  <si>
    <t xml:space="preserve">Documento circular fase 3 y 4 / presentacion del PDD Interinstitucional </t>
  </si>
  <si>
    <t xml:space="preserve">OK. es de gestion </t>
  </si>
  <si>
    <t xml:space="preserve">Acompañar el proceso de articulación institucional para la participación ciudadana en la localidad de Sumapaz. </t>
  </si>
  <si>
    <t>Cristian David Rincón</t>
  </si>
  <si>
    <t>rincon@participacionbogota.gov.co</t>
  </si>
  <si>
    <t>https://teams.microsoft.com/l/meetup-join/19%3ameeting_NTUxNzg2NWMtNmExZS00OTFhLWI4NzQtZDNhMWEyOTYzOWI4%40thread.v2/0?context=%7b%22Tid%22%3a%220f1156f1-406d-4123-99f0-a976b835b9b6%22%2c%22Oid%22%3a%22acdfd3a1-8938-4ca8-85b7-1809dbc8ce08%22%7d</t>
  </si>
  <si>
    <t xml:space="preserve">Organigrama IDPAC, Plan de Acción de la CLIP, Salud Mental, Derechos Humanos, articulación agenda territorial, resultados chatico. </t>
  </si>
  <si>
    <t>2024-06-05_SESION JUNIO</t>
  </si>
  <si>
    <t>Gestión: Preparatoria Acción Afirmativa Pueblo Rrom - Gitano</t>
  </si>
  <si>
    <t xml:space="preserve">Definir actividad, fecha y ejecución financiera de la acción afirmativa de la OPDC con el Pueblo Rrom Gitano en el marco del articulo 66 del PDD 2020-2024. </t>
  </si>
  <si>
    <t>Dalila Gómez</t>
  </si>
  <si>
    <t>anadalilagb@gmail.com</t>
  </si>
  <si>
    <t>https://meet.google.com/jpf-chxn-jev</t>
  </si>
  <si>
    <t xml:space="preserve">Definición de fechas y ejecución financiera de la acción afirmativa </t>
  </si>
  <si>
    <t>2024-06-05_PREPARATORIA ACCION AFIRMATIVA PUEBLO RROM - GITANO</t>
  </si>
  <si>
    <t>Acompañar la articulación de los esfuerzos institucionales de participación en la localidad de Rafael Uribe Uribe y presentar el estado actual del PDD.</t>
  </si>
  <si>
    <t>Álvaro Córdoba Álvarez</t>
  </si>
  <si>
    <t>Colinas</t>
  </si>
  <si>
    <t>Carrera 13B # 31G – 40 Sur.  CDC COLINAS</t>
  </si>
  <si>
    <t>Socialización de los resultados de la segunda fase de construcción del PDD</t>
  </si>
  <si>
    <t>Ok.Evidencias completas  la asistencia esta en el acta</t>
  </si>
  <si>
    <t>Gestión: Reunión con Veeduría Distrital</t>
  </si>
  <si>
    <t>Establecer una hoja de ruta para la creación de los Comités de la Ciudadanía en el marco del Sistema de Participación Territorial</t>
  </si>
  <si>
    <t>Juan Mesa</t>
  </si>
  <si>
    <t>jmesac@renobo.com.co</t>
  </si>
  <si>
    <t>Calle 32 No. 16</t>
  </si>
  <si>
    <t>Articulación de los Comités de la Ciudadanía en las Actuaciones Estratégicas</t>
  </si>
  <si>
    <t>2024-06-05_REUNION CON VEEDURIA DISTRITAL</t>
  </si>
  <si>
    <t xml:space="preserve">PPT Sistema de Participacion territorial </t>
  </si>
  <si>
    <t>Acompañar la articulación de los esfuerzos institucionales de participación en la localidad de La Candelaria.</t>
  </si>
  <si>
    <t>Casa Comunitaria del Zipa (Calle 9 # 3 - 37)</t>
  </si>
  <si>
    <t>Presentación del análisis del espacio de respuestas al concepto emitido por el CTPD frente al PDD, para la Localidad de Usaquén, el objetivo priorizado fue, Bogotá avanza en su seguridad, Bogotá confía en su Bien-estar y Bogotá confía en su Gobierno.</t>
  </si>
  <si>
    <t>2024-06-06_SESION JUNIO</t>
  </si>
  <si>
    <t xml:space="preserve">PPT PDD Analisis de preguntas al concepto emitido al CTPD </t>
  </si>
  <si>
    <t xml:space="preserve">Ok Evifdencias completas </t>
  </si>
  <si>
    <t>Gestión: Preparación de metodologías para actividades de acciones afirmativas - Comunidad Palenquera</t>
  </si>
  <si>
    <t>Elaborar y concertar las metodologías para la realización de actividades que permitan dar cumplimiento a las acciones afirmativas que se tienen con la Comunidad Palenquera</t>
  </si>
  <si>
    <t>Carrera 3#10-72 Posa Wiwa</t>
  </si>
  <si>
    <t>Definición de fechas, bosquejo de metodología y ejecución financiera de las acciones afirmativas</t>
  </si>
  <si>
    <t>2024-06-06_PREPARACION DE METODOLOGIAS PARA ACTIVIDADES DE ACCIONES AFIRMATIVAS - COMUNIDAD PALENQUERA</t>
  </si>
  <si>
    <t xml:space="preserve">OK evidencias completas </t>
  </si>
  <si>
    <t>Calle 120 A No. 7-55</t>
  </si>
  <si>
    <t>presentación del proceso de participación de encuentros ciudadanos, presentación de los resultados de participación por localidad en el PDD</t>
  </si>
  <si>
    <t xml:space="preserve">Presentacion de resultados del PDD fase 2 </t>
  </si>
  <si>
    <t xml:space="preserve">OK. Evidencias completas </t>
  </si>
  <si>
    <t>Seguimiento Secretaría de Planeación de Cundinamarca</t>
  </si>
  <si>
    <t>Presentar avances propuesta Agora Metropolitana</t>
  </si>
  <si>
    <t>Oficina Integracion Regional</t>
  </si>
  <si>
    <t>Gobernación de Cundinamarca, calle 26 #51-53</t>
  </si>
  <si>
    <t>Reglamentación Ágora metropolitana</t>
  </si>
  <si>
    <t>2024-06-06_SEGUIMIENTO SECRETARIA DE PLANEACION DE CUNDINAMARCA</t>
  </si>
  <si>
    <t>Acompañar la articulación de los esfuerzos institucionales de participación en la localidad de San Cristóbal y presentar el estado actual del PDD.</t>
  </si>
  <si>
    <t>Heidy Natalie Garcia Gonzalez</t>
  </si>
  <si>
    <t>hgarcia@participacionbogota.gov.co</t>
  </si>
  <si>
    <t>Auditorio de la Alcaldía Local de San Cristóbal - Cl. 20 Sur, San Cristóbal, Bogotá</t>
  </si>
  <si>
    <t>Estado actual del PDD, resultados de los encuentros ciudadanos e inicio de las fases 1 y 2 de los presupuestos participativos.</t>
  </si>
  <si>
    <t xml:space="preserve">PPT plan de desarrollo PDD </t>
  </si>
  <si>
    <t>Continuar con el orden del día de la plenaria ordinaria del 30 de marzo de 2024</t>
  </si>
  <si>
    <t>https://teams.microsoft.com/l/meetup-join/19%3ameeting_NTczOGE3MzMtZjNiNi00MWQzLTgzMWYtYzI3YzI5NWNhNGI2%40thread.v2/0?context=%7b%22Tid%22%3a%22823ace76-f3f5-4396-9a3b-bb149c779beb%22%2c%22Oid%22%3a%228b219c5d-e070-459b-bb43-69273d60b008%22%7d</t>
  </si>
  <si>
    <t>Beneficio de las recargas para el CTPD</t>
  </si>
  <si>
    <t>2024-06-06_PLENARIA PERMANENTE</t>
  </si>
  <si>
    <t xml:space="preserve">Formato de ingreso de de dias habiles, orden del dia de la plenaria </t>
  </si>
  <si>
    <t>Recorrido AE Campín 07 de Agosto - Sector 07 de Agosto</t>
  </si>
  <si>
    <t>Realizar un recorrido con la comunidad para informar sobre las directrices de la AE sector 7 de agosto.</t>
  </si>
  <si>
    <t>Martha Ávila De la Hoz</t>
  </si>
  <si>
    <t>Benjamín Herrera</t>
  </si>
  <si>
    <t>Avenida NQS con Calle 64</t>
  </si>
  <si>
    <t>Empoderar a los presidentes de las JAC de la AE Campin 7 de agosto con información técnica y de primera mano para que la puedan transmitir en sus respectivas comunidades.</t>
  </si>
  <si>
    <t xml:space="preserve">Devolución del acta a los asistentes. </t>
  </si>
  <si>
    <t xml:space="preserve"> Llevar a cabo una mesa de trabajo con el gremio de automotores dentro del barrio agosto.       Fecha tentativa para esta reunión es el 17 o 18 de junio, esta reunión será confirmada por parte de la profesional Martha Ávila, de la Dirección de Planeamiento Local de la SDP</t>
  </si>
  <si>
    <t>2024-06-07_RECORRIDO AE CAMPIN 7 DE AGOSTO - SECTOR 7 DE AGOSTO</t>
  </si>
  <si>
    <t xml:space="preserve">OK evidencias completas / falta anonimizar acta </t>
  </si>
  <si>
    <t>https://acortar.link/FduN4O</t>
  </si>
  <si>
    <t>Avanzar en base de datos y mecanismos para convocatoria</t>
  </si>
  <si>
    <t>meet.google.com/sfb-wsqh-wnz</t>
  </si>
  <si>
    <t>Gestiones convocatoria, temas comunicaciones</t>
  </si>
  <si>
    <t>2024-06-07_COMITE COORDINADOR - ASAMBLEAS CIUDADANAS</t>
  </si>
  <si>
    <t xml:space="preserve">OK Reu degestion:acta y registro fotografico </t>
  </si>
  <si>
    <t>Segunda sesión de la Subcomisión Permanente del Sistema de Participación Territorial</t>
  </si>
  <si>
    <t>Aprobar el Plan Operativo Anual y el protocolo de reportes de la Subcomisión</t>
  </si>
  <si>
    <t>Sede Secretaría de Planeación - Carrera 30 No. 26</t>
  </si>
  <si>
    <t>Aprobación del Plan Operativo Anual - 2024 - Aprobación de esquema de reportes trimestrales</t>
  </si>
  <si>
    <t>La SDP enviará a los sectores la documentación expuesta en la sesión</t>
  </si>
  <si>
    <t xml:space="preserve">La SDP enviará a los sectores el acta de la reunión. </t>
  </si>
  <si>
    <t xml:space="preserve">La SDP, cuando tenga los Planes sectoriales, enviará a el Plan Operativo Anual a los sectores, quienes deberán publicarlo en sus páginas web. </t>
  </si>
  <si>
    <t>Por realizar</t>
  </si>
  <si>
    <t>2024-06-07_2DA SUBCOMISION PERMANANTE DEL SPT</t>
  </si>
  <si>
    <t xml:space="preserve">PPT Sistema de participación territorial, Matriz de aportes trimestrales, documentos de aportes operativos </t>
  </si>
  <si>
    <t xml:space="preserve">anoniomizar acta </t>
  </si>
  <si>
    <t>Taller de Diálogo  Actuación Estratégica Montevideo</t>
  </si>
  <si>
    <t>Socializar  y construir las directrices para la formulación de la Actuación Estratégica Montevideo</t>
  </si>
  <si>
    <t>Juan Carlos Bocanegra</t>
  </si>
  <si>
    <t>correspondencia@participacionbogota.gov.co</t>
  </si>
  <si>
    <t>Montevideo - UPL Puente Aranda</t>
  </si>
  <si>
    <t>Avenida Calle 22 # 68C - 51</t>
  </si>
  <si>
    <t>El alcance de AE Montevideo, Territorios y Actores que involucrados en AE, Aspectos Técnicos de AE Montevideo: A. Movilidad, B. Reverdecimiento, C. Reactivación y D. Ciudad Inteligente.</t>
  </si>
  <si>
    <t xml:space="preserve">Devolver el acta a los participantes </t>
  </si>
  <si>
    <t>2024-06-07_TALLER DE DIALOGO - AE MONTEVIDEO</t>
  </si>
  <si>
    <t xml:space="preserve">PPT A.E. MONTEVIDEO </t>
  </si>
  <si>
    <t xml:space="preserve">Ok. evidencias completas </t>
  </si>
  <si>
    <t>https://acortar.link/peDVDz</t>
  </si>
  <si>
    <t>Recorrido AE estratégica Campin 7 de agosto sector Campin</t>
  </si>
  <si>
    <t>Informar a la comunidad las directrices de la AE campin 7 de agosto sector 7 de agosto</t>
  </si>
  <si>
    <t>Carrera 24 calle 62</t>
  </si>
  <si>
    <t>Empoderar a los presidentes de las JAC de la AE Campin 7 de agosto con información técnica y de primera mano para que la puedan transmitir en sus respectivas comunidades.</t>
  </si>
  <si>
    <t xml:space="preserve">Traslado derecho peticion María Cristina Monroy </t>
  </si>
  <si>
    <t>Realizado y Trasladado por competencia</t>
  </si>
  <si>
    <t>2024-06-08_RECORRIDO AE CAMPIN 7 DE AGOSTO - SECTOR CAMPIN</t>
  </si>
  <si>
    <t>https://acortar.link/7qKrws</t>
  </si>
  <si>
    <t>El real</t>
  </si>
  <si>
    <t>Reconocimiento geográfico por el territorio, aspectos relevantes como la comprensión y aprensión geográfica de la estructura local, dinámicas poblacionales, sociales, económicas y productivas de la localidad</t>
  </si>
  <si>
    <t>2024-06-11_SESION JUNIO</t>
  </si>
  <si>
    <t xml:space="preserve">Norma Urbana Nuevo POT - JAL San Cristóbal </t>
  </si>
  <si>
    <t>Acompañamiento a la Subdirección de Planeamiento Local frente a la norma Urbana del Nuevo POT</t>
  </si>
  <si>
    <t>Carlos Iregui</t>
  </si>
  <si>
    <t>3133483438</t>
  </si>
  <si>
    <t>Cirefui@sdp.gov.co</t>
  </si>
  <si>
    <t xml:space="preserve">Alcaldía de San Cristóbal </t>
  </si>
  <si>
    <t>Presentación a la JAL de San Cristóbal acerca de las intervenciones (conversatorios, recorridos) que se realizaron durante el año 2023.</t>
  </si>
  <si>
    <t>2024-06-11_NORMA URBANA NUEVO POT EN SAN CRISTOBAL</t>
  </si>
  <si>
    <t xml:space="preserve">oK Evidencias completas </t>
  </si>
  <si>
    <t>Acompañamiento Sesión JAL Tunjuelito PDD - inversión Plan de Desarrollo Local</t>
  </si>
  <si>
    <t>Acompañar a la SPL Suroriente en dar informe sobre cuál es la proyección de inversión respecto de la Localidad de Tunjuelito, en el marco del PDD 2024-2027, en lo referente al la estrategia de participación.</t>
  </si>
  <si>
    <t>Nancy Eliana Pedraza Roa</t>
  </si>
  <si>
    <t>jaltunjuelito@gmail.com</t>
  </si>
  <si>
    <t>Alcaldía Local de Tunjuelito - Diagonal 50 A 18-48 sur, piso 3.</t>
  </si>
  <si>
    <t>Informe sobre inversión de PDD en la localidad Tunjuelito; Estrategia de participación formulación PDD; Respuesta de entidades a Propuestas de la JAL Tunjuelito al PDD</t>
  </si>
  <si>
    <t>2024-06-11_SESIÓN JAL TUNJUELITO PDD</t>
  </si>
  <si>
    <t xml:space="preserve">PPT  JAL TUNJUELITO </t>
  </si>
  <si>
    <t xml:space="preserve">oK. tiene listado en excel, teniendo encuenta que es un espacio de la JAL, y ellos no manejan listado de asistencia solo el que se evidencia en el acta </t>
  </si>
  <si>
    <t>Gestión: Construcción agenda - Sector Suroriente</t>
  </si>
  <si>
    <t xml:space="preserve">Construcción de la implementación de la estrategia de participación del POT junto con la subdirección de planeamiento local sur oriente </t>
  </si>
  <si>
    <t>Jose Miguel Perez</t>
  </si>
  <si>
    <t>3105637717</t>
  </si>
  <si>
    <t>jperez@sdp.gov.co</t>
  </si>
  <si>
    <t>Secretaria de planeación piso 5</t>
  </si>
  <si>
    <t>Construcción de la estrategia de participación para POT</t>
  </si>
  <si>
    <t>2024-06-11_CONSTRUCCIÓN AGENDA SUR ORIENTAL</t>
  </si>
  <si>
    <t xml:space="preserve">OK Reu. de gestion contiene acta listado asistencia y registro fot </t>
  </si>
  <si>
    <t>Mesa de Actuación estratégica Chucua la vaca - concejal Fernando López</t>
  </si>
  <si>
    <t>Acompañar la mesa de la AE de Chucua la vaca solicitada por el concejal Fernando López.</t>
  </si>
  <si>
    <t>HC Fernando López</t>
  </si>
  <si>
    <t>Secretaría distrital de planeación, piso 13.</t>
  </si>
  <si>
    <t>De la AE, defición, etapas, espacios de participación ciudadana, mitos, verdades, beneficios y PRM.</t>
  </si>
  <si>
    <t>2024-06-11_ MESA AE CHUCUA LA VACA - HC FERNANDO LOPEZ</t>
  </si>
  <si>
    <t>CLIP Chapinero</t>
  </si>
  <si>
    <t>Acompañar la articulación de los esfuerzos institucionales de participación en la localidad de Chapinero</t>
  </si>
  <si>
    <t>Alejandro Igua</t>
  </si>
  <si>
    <t>aigua@participacionbogota.onmicrosoft.com</t>
  </si>
  <si>
    <t>Carrera 13 #54-74 Alcaldía Local de Chapinero, Auditorio principal</t>
  </si>
  <si>
    <t xml:space="preserve">Resultados encuentros ciudadanos, Chikana, Estategia para la formulacion PDD y Análisis del espacio de respuestas al concepto emitido por el CTPD frente al plan distrital de desarrollo. </t>
  </si>
  <si>
    <t xml:space="preserve">PPT Presentación para la CLIP PDD </t>
  </si>
  <si>
    <t>Gestión: Construcción de agenda Sector Rural - SPRS y OPDC</t>
  </si>
  <si>
    <t xml:space="preserve">Definir en articulación con la SPRS la agenda de participación que se desarrollará en el Sector Rural en relación a las UPL y PIP </t>
  </si>
  <si>
    <t>Edward Buitrago</t>
  </si>
  <si>
    <t>301 5498010</t>
  </si>
  <si>
    <t>Ebuitragot@sdp.gov.co</t>
  </si>
  <si>
    <t xml:space="preserve">Secretaria Distrital de Planeación </t>
  </si>
  <si>
    <t xml:space="preserve">Ruta de Participación POT, Proyectos Integrales de proximidad  y agenda de ruralidad </t>
  </si>
  <si>
    <t>2024-06-11_CONSTRUCCION DE AGENDA SECTOR RURAL</t>
  </si>
  <si>
    <t xml:space="preserve">PPT RURALIDAD </t>
  </si>
  <si>
    <t>Análisis del ejercicio del PDD desde el concepto hasta hoy que fue aprobado.</t>
  </si>
  <si>
    <t>Enlace teams reunión</t>
  </si>
  <si>
    <t xml:space="preserve">Dar continuidad a la planaria ordinaria del CTPD con el tema de las recargas </t>
  </si>
  <si>
    <t>2024-06-11_PLENARIA PERMANENTE CTPD</t>
  </si>
  <si>
    <t xml:space="preserve">Orden del dia de plenaria </t>
  </si>
  <si>
    <t xml:space="preserve">OK . Evidencias completas </t>
  </si>
  <si>
    <t>Martha Edith López Hernández</t>
  </si>
  <si>
    <t>Diagonal 50 A # 18 – 48 sur barrio San Carlos</t>
  </si>
  <si>
    <t>Presentación del decreto 606 Sistema Distrital de Planeación IDPAC; Exposición cierre de encuentros ciudadanos, Exposición Analísis resultados concepto CTPD al PDD (SDP)</t>
  </si>
  <si>
    <t>2024-06-12_SESION JUNIO</t>
  </si>
  <si>
    <t>PPT PRESENTACION PDD</t>
  </si>
  <si>
    <t>José Humberto Pedraza</t>
  </si>
  <si>
    <t>316 3896199</t>
  </si>
  <si>
    <t>Tv. 18 Bis No. 38-41.</t>
  </si>
  <si>
    <t>Reglamento interno, nuevos liderazgos y salario emocional, balance de los encuentros ciudadanos y la SDP expuso los resultados fase 2: aspiraciones comunes PDD.</t>
  </si>
  <si>
    <t>2024-06_12_SESION JUNIO</t>
  </si>
  <si>
    <t xml:space="preserve">PPT de propuestas abiertas  PDD </t>
  </si>
  <si>
    <t xml:space="preserve">OK Evidencias completas </t>
  </si>
  <si>
    <t>Avanzada Evento en el marco del PRIDE</t>
  </si>
  <si>
    <t xml:space="preserve">Realizar avanzada en el marco del cumplimiento al plan de acción de la PPLGBTI </t>
  </si>
  <si>
    <t>Dahiana Gonzalez</t>
  </si>
  <si>
    <t>Dgonzalez@sdp.gov.co</t>
  </si>
  <si>
    <t xml:space="preserve">Cra 7 # 11-10 </t>
  </si>
  <si>
    <t>Avanzada para apoyo a la Dirección de diversidad sexual, poblacional y genero en evento en el marco del pride LGBTIQ</t>
  </si>
  <si>
    <t>2024-06-12_AVANZADA EVENTO EN EL MARCO DEL PRIDE</t>
  </si>
  <si>
    <t xml:space="preserve">Capacitación AE y SPT - Veeduría Distrital </t>
  </si>
  <si>
    <t>Capacitar al equipo territorial de la Veeduría Distrital en las generalidades de las AE y el SPT</t>
  </si>
  <si>
    <t xml:space="preserve">Magda Ayala </t>
  </si>
  <si>
    <t>Casa de control social - Veeduría Distrital</t>
  </si>
  <si>
    <t>Generalidades del SPT y los Comités Ciudadanos en el marco de la formulación de la AE</t>
  </si>
  <si>
    <t>2024-06-12_CAPACITACIÓN AE Y SPT - VEEDURÍA DISTRITAL</t>
  </si>
  <si>
    <t xml:space="preserve">PPT TRATAMIENTOS URBANISTICOS </t>
  </si>
  <si>
    <t xml:space="preserve">OK, Evidencias completas </t>
  </si>
  <si>
    <t>Acompañar la articulación de los esfuerzos institucionales de participación en la localidad de Ciudad Bolivar</t>
  </si>
  <si>
    <t>Jaime Eduardo Martinez Castro</t>
  </si>
  <si>
    <t>Enlace reunión 2024-06-12</t>
  </si>
  <si>
    <t>Estrategia de participación ciudadana con procesos formativos, fortalecimiento a las instancias de participación</t>
  </si>
  <si>
    <t>Mesa de trabajo -  Patio Bonito II</t>
  </si>
  <si>
    <t>Acompañar la Mesa de diálogo entre entidades frente a problemitas en el sector de Patio bonito II.</t>
  </si>
  <si>
    <t>Manuel Calderón Ramírez</t>
  </si>
  <si>
    <t>manuel.calderon@gobiernobogota.gov.co</t>
  </si>
  <si>
    <t>Patio Bonito II</t>
  </si>
  <si>
    <t>Carrera 87 #1-85 Salón Comunal Patio Bonito II</t>
  </si>
  <si>
    <t xml:space="preserve">Problematicas del sector: Inseguridad, invación del espacio público, microtráfico, eduación, falencia con redes de acueducto y programas sociales para infancia, adolescencia y adulto mayor. </t>
  </si>
  <si>
    <t>2024-06-12_MESA DE TRABAJO - PATIO BONITO II</t>
  </si>
  <si>
    <t xml:space="preserve">OK Evidencias completas/ convocatoria no se realizo por parte de la OPDC porque fue una invitacion realizada por Gobierno de Bogota </t>
  </si>
  <si>
    <t>Socialización Sistema de Participación Territorial - Comité Ciudadano UPL 32 - Teusaquillo</t>
  </si>
  <si>
    <t>Realizar la presentación del SPT al Comité Ciudadano de la UPL # 32.</t>
  </si>
  <si>
    <t xml:space="preserve">https://meet.google.com/eys-qocf-ojw?hs=224
</t>
  </si>
  <si>
    <t>Sistema de participación territorial al comite pot upl # 32.</t>
  </si>
  <si>
    <t>2024-06-12_VIRTUAL SPT UPL 33</t>
  </si>
  <si>
    <t xml:space="preserve">Decreto 599 de 2023, PTT S.P.T, Propuesta de comites </t>
  </si>
  <si>
    <t>Acompañar la articulación de los esfuerzos institucionales de participación en la localidad de Barrios Unidos.</t>
  </si>
  <si>
    <t>Martha Consuelo Cubillos Martinez</t>
  </si>
  <si>
    <t>mccubillos@sdis.gov.co</t>
  </si>
  <si>
    <t>San Fernando</t>
  </si>
  <si>
    <t>Carrera 57 #67 d 31 Piso 5o.</t>
  </si>
  <si>
    <t>Oferta territorial del IDPAC, revisión de agenda interistitucional, resultados de fase dos:aspiraciones comunes PDD y RenoBo presentó AE.</t>
  </si>
  <si>
    <t>2024-06-13_SESION JUNIO</t>
  </si>
  <si>
    <t xml:space="preserve">PPT PRESENTACION A LA CLIP PDD </t>
  </si>
  <si>
    <t xml:space="preserve">OK,. Evidencias completas </t>
  </si>
  <si>
    <t>Casa de la participación (Carrera 80 I No. 61 - 05 Sur)</t>
  </si>
  <si>
    <t>Presentación participación PDD. Presentación PP MYEG. Habitabilidad en Calle y mecanismos del SDIS</t>
  </si>
  <si>
    <t xml:space="preserve">OK.Evidencias completas </t>
  </si>
  <si>
    <t>Gestión: II Reunión: construcción de agenda - Sector Sur occidente</t>
  </si>
  <si>
    <t>Construir plan de trabajo de acciones afirmativas - sector Sur occidente.</t>
  </si>
  <si>
    <t>TRD, Georreferenciación, Actuaciones estratégicas y PIPs - reservas</t>
  </si>
  <si>
    <t>2024-06-13_CONSTRUCCION DE AGENDA - SECTOR SUR OCCIDENTE II</t>
  </si>
  <si>
    <t>Reunión articulación Mesa LGBTI</t>
  </si>
  <si>
    <t>Realizar articulación para marcha LGBTI en cumplimiento al plan de accion de la política publica LGBTI</t>
  </si>
  <si>
    <t>Ruben Gomez</t>
  </si>
  <si>
    <t>gomezcomplices@hotmail.com</t>
  </si>
  <si>
    <t>Carrera 30 No. 25 - 90 CAD</t>
  </si>
  <si>
    <t>Articulacion con mesa lgbti de bogota para apoyo en el pride dando respuesta al plan de accion de la politica publica lgbti desde la OPDC</t>
  </si>
  <si>
    <t>2024-06-13_REUNION ARTICULACION MESA LGBTI</t>
  </si>
  <si>
    <t xml:space="preserve">OK EVIDENCIAS COMPLETAS </t>
  </si>
  <si>
    <t>Continuar con la plenaria ordinaria del 30 de mayo</t>
  </si>
  <si>
    <t>3188799909</t>
  </si>
  <si>
    <t>Super CADE PISO 2</t>
  </si>
  <si>
    <t>Planes de acción del CTPD</t>
  </si>
  <si>
    <t>2024-06-13_PLENARIA PERMANENTE CTPD</t>
  </si>
  <si>
    <t xml:space="preserve">Presentacion de la UNAD ,  Oficio de jueces de paz, oficio del sector voluntariado , Transcripcion, orden de plenaria </t>
  </si>
  <si>
    <t>Enlace de reunión</t>
  </si>
  <si>
    <t>Georreferenciación y PIPs - reservas</t>
  </si>
  <si>
    <t>2024-06-14_II CONSTRUCCIÓN DE AGENDA - SECTOR SUR OCCIDENTE</t>
  </si>
  <si>
    <t>I Taller de Diálogo Ciudadano - AE Campín 7 de agosto</t>
  </si>
  <si>
    <t>Benjamin Herrera</t>
  </si>
  <si>
    <t>Salón comunal JAC Benjamín Herrera - Calle 63B # 27B-14</t>
  </si>
  <si>
    <t>Diálogo Taller AE Campin 7 de Agosto- No se desarrolló de acuerdo a la metodología inicial planteada pero se pudo recoger algunos aportes ciudadanos con metodología en calle</t>
  </si>
  <si>
    <t>Envío de información y memorias del espacio. </t>
  </si>
  <si>
    <t>2024-06-14_I TALLER DE DIALOGO - AE CAMPIN 7 DE AGOSTO</t>
  </si>
  <si>
    <t xml:space="preserve">PPT presentacion AE CAMPIN 7 de agosto </t>
  </si>
  <si>
    <t xml:space="preserve">falta anonimizar acta </t>
  </si>
  <si>
    <t>https://acortar.link/8uZ985</t>
  </si>
  <si>
    <t>II Taller de Diálogo Ciudadano - AE Campín 7 de agosto</t>
  </si>
  <si>
    <t>San Luis</t>
  </si>
  <si>
    <t>Universidad TEINCO - Calle 63 no. 22- 39</t>
  </si>
  <si>
    <t>Presentación de la AE campin 7 de agosto, 4 pilares: reverdecer y cuidado. movilidad y reactivación.</t>
  </si>
  <si>
    <t>2024-06-14_II TALLER DE DIALOGO - AE CAMPIN 7 DE AGOSTO</t>
  </si>
  <si>
    <t xml:space="preserve">OK Evidencias ajustadas </t>
  </si>
  <si>
    <t>https://acortar.link/0s6mOf</t>
  </si>
  <si>
    <t>III Taller de Diálogo Ciudadano - AE Campín 7 de agosto</t>
  </si>
  <si>
    <t>El Rosario</t>
  </si>
  <si>
    <t>Salón comunal El Rosario - Calle 63B# 35 - 26</t>
  </si>
  <si>
    <t>Actuacion estrategica Campin 7 de agosto y dificultades y oportunidades en el territorio.</t>
  </si>
  <si>
    <t xml:space="preserve">Devolver memorias del espacio </t>
  </si>
  <si>
    <t xml:space="preserve">Envio Decreto moradores </t>
  </si>
  <si>
    <t>2024-06-14_III TALLER DE DIALOGO - AE CAMPIN 7 DE AGOSTO</t>
  </si>
  <si>
    <t xml:space="preserve">ok. pendiente devolucion acta </t>
  </si>
  <si>
    <t>https://acortar.link/AJg3a5</t>
  </si>
  <si>
    <t>Gestión: II mesa intersectorial SPT - Escenario especializado SSSM</t>
  </si>
  <si>
    <t>Realizar mesa intersectorial con el objetivo de evidenciar los procesos que han llevado a cabo los cabildos Muisca de suba y Bosa con las diferentes secretarias</t>
  </si>
  <si>
    <t>David Henao Neuta</t>
  </si>
  <si>
    <t>djneuta@gmail.com</t>
  </si>
  <si>
    <t xml:space="preserve">Pueblo muisca de bogota </t>
  </si>
  <si>
    <t xml:space="preserve">Av carrera 30 # 25-90 </t>
  </si>
  <si>
    <t>Sistema de Participación Territorial; Sistema de Sitios Sagrados Muisca; Resolución 2664</t>
  </si>
  <si>
    <t>2024-06-14_GESTIÓN II MESA INTERSECTORIAL SPT - ESCENARIO ESPECIALIZADO SSSM</t>
  </si>
  <si>
    <t xml:space="preserve">OK reunion de gestion </t>
  </si>
  <si>
    <t>La Noche y Las Luciérnagas</t>
  </si>
  <si>
    <t>OPDC: Apoyar y acompañar este espacio en cumplimiento a meta del plan de accion DSPG: Coordinar este espacio en el marco de la agenda del PIPC</t>
  </si>
  <si>
    <t>Jorge Peñuela</t>
  </si>
  <si>
    <t>jpenuela@udistrital.edu.co</t>
  </si>
  <si>
    <t>Centro Cultural La Media Torta | Calle 18 No. 1-05</t>
  </si>
  <si>
    <t>Se apoyó evento dando cumplimiento de una de las metas del plan de acción de la política pública LGBTIQ</t>
  </si>
  <si>
    <t>2024-06-15_LA NOCHE Y LAS LUCIERNAGAS</t>
  </si>
  <si>
    <t xml:space="preserve">Ok.  sin, embargo no se levanto listado de asistencia por la modalidad del espacio </t>
  </si>
  <si>
    <t>Comité Intersectorial Ampliado del PDD - Fase 4</t>
  </si>
  <si>
    <t xml:space="preserve">Presentar los lineamientos de la fase 4 de la Estrategia de Participación del Plan Distrital de Desarrollo. </t>
  </si>
  <si>
    <t>Enlace de Reunión</t>
  </si>
  <si>
    <t>Temas de la Fase 4 Plan Distrital de Desarrollo</t>
  </si>
  <si>
    <t xml:space="preserve">Envio presentación </t>
  </si>
  <si>
    <t>2024-06-17_COMITE INTERSECTORIAL AMPLIADO DEL PDD - FASE 4</t>
  </si>
  <si>
    <t xml:space="preserve">ptt Comite intersectorial </t>
  </si>
  <si>
    <t>Socialización AEDA</t>
  </si>
  <si>
    <t>Socializar el estado de avance de la formulación/adopción de la AEDA</t>
  </si>
  <si>
    <t>Jose Perdomo</t>
  </si>
  <si>
    <t>Villa Gladys</t>
  </si>
  <si>
    <t>Calle 64 # 112b-47- Conjunto Bonaire</t>
  </si>
  <si>
    <t>Socialización de las generalidades de la adopción de la AEDA</t>
  </si>
  <si>
    <t>2024-06-17_SOCIALIZACION AEDA</t>
  </si>
  <si>
    <t xml:space="preserve">Ok. Evidencias completas </t>
  </si>
  <si>
    <t>Gestión: Reunión seguimiento DPL - OPDC</t>
  </si>
  <si>
    <t>Realizar retroalimentación del avance de construcción de agendas por sector, aclarar tema de modificación de decretos y proponer ruta de trabajo.</t>
  </si>
  <si>
    <t>Subdirección de Planeamiento Local</t>
  </si>
  <si>
    <t>Carrera 30 # 25 - 90, edificio CAD piso 8</t>
  </si>
  <si>
    <t>Plan de contingencia para la definición de las agendas sectores MOT</t>
  </si>
  <si>
    <t>2024-06-17_REUNIÓN SEGUIMIENTO DPL - OPDC</t>
  </si>
  <si>
    <t xml:space="preserve">Reu. gestion contiene acta, listado de asistencia, convocatoria </t>
  </si>
  <si>
    <t>Gestión con actores estratégicos - Localidad Candelaria</t>
  </si>
  <si>
    <t>Gestión en Territorio</t>
  </si>
  <si>
    <t>Fortalecer las relaciones con los actores estratégicos del territorio para articular los procesos de participación.</t>
  </si>
  <si>
    <t>Candelaria</t>
  </si>
  <si>
    <t>Cl. 9 #3-57- Casa del Zipa (Candelaria)</t>
  </si>
  <si>
    <t>Proceso de Devolución del PDD, necesidades de capacitación del CPL, generalidades de las actividades que se realizarían en el Sector Centro Ampliado el 6 de Julio</t>
  </si>
  <si>
    <t>2024-06-17_LOCALIDAD CANDELARIA</t>
  </si>
  <si>
    <t xml:space="preserve">OK  </t>
  </si>
  <si>
    <t>Comisión Ordinaria del CTPD</t>
  </si>
  <si>
    <t>Revisión del Plan de Accion presentado por la UNAD</t>
  </si>
  <si>
    <t>2024-06-17_COMISION DE PARTICIPACION</t>
  </si>
  <si>
    <t xml:space="preserve">Ok evidencias  completas </t>
  </si>
  <si>
    <t>Gestión: Reunión preparatoria equipo Sector Sur occidente</t>
  </si>
  <si>
    <t xml:space="preserve">Realizar preparatoria para visitas en territorio de equipo suroccidente </t>
  </si>
  <si>
    <t xml:space="preserve">Tintal </t>
  </si>
  <si>
    <t xml:space="preserve">Cronograma para realizar visitar en territorio del sector sur occidente </t>
  </si>
  <si>
    <t>2024-06-18_PREPARATORIA EQUIPO SUR OCCIDENTE</t>
  </si>
  <si>
    <t>Comite Meta Asambleas deliberativas</t>
  </si>
  <si>
    <t>Presentar propuesta Meta asambleas deliberativas</t>
  </si>
  <si>
    <t>Presentación propuesta meta asambleas deliberativas</t>
  </si>
  <si>
    <t>2024-06-18_COMITE META ASAMBLEAS DELIBERATIVAS</t>
  </si>
  <si>
    <t xml:space="preserve">OK. Reu. de gestion contiene acta, listado asistencia y registro fotografico </t>
  </si>
  <si>
    <t>Acompañar la articulación de los esfuerzos institucionales de participación en la localidad de Puente Aranda</t>
  </si>
  <si>
    <t>Analisis de los encuentros ciudadanos para el PDL, resultados de la Fase 2 para la formulación del PDD en la Locidad de Puente Aranda.</t>
  </si>
  <si>
    <t>2024-06-18_SESION JUNIO</t>
  </si>
  <si>
    <t>OK . evide</t>
  </si>
  <si>
    <t>Gestión: Construcción de Agenda Sector Occidente</t>
  </si>
  <si>
    <t xml:space="preserve">Realizar la Construcción de la agenda del sector Suroccidente de la mano con la subdirección </t>
  </si>
  <si>
    <t>3113406771</t>
  </si>
  <si>
    <t>Carrera 30 # 25-90, piso 5</t>
  </si>
  <si>
    <t>Espacios de devolución para AE Montevideo y PDD sector occidente</t>
  </si>
  <si>
    <t>2024-06-18_CONSTRUCCIÓN DE AGENDA SECTOR OCCIDENTE</t>
  </si>
  <si>
    <t xml:space="preserve">OK.es de gestión </t>
  </si>
  <si>
    <t>Reunión virtual Preparatoria Ágora RMBC</t>
  </si>
  <si>
    <t>Preparatoria presentación propuesta ágora metropolitana</t>
  </si>
  <si>
    <t>Propuesta Reglamentación Agora Metropolitana</t>
  </si>
  <si>
    <t>2024-06-18_REUNION VIRTUAL PREPARATORIA AGORA RMBC</t>
  </si>
  <si>
    <t xml:space="preserve">OK. es de gestion y cumple con los requisitos minimos </t>
  </si>
  <si>
    <t>Gestión con actores estratégicos - UPL Puente Aranda (JAL)</t>
  </si>
  <si>
    <t>Fortalecer las relaciones con los actores estratégicos del territorio para articular los procesos de participación. JAL</t>
  </si>
  <si>
    <t>Alcaldía Puente Aranda</t>
  </si>
  <si>
    <t>Fase de en la Formulación del PDD 2024-2028, afianzar relaciones con la OPDC para futuros espacios de participación en el marco de PIPC 2024</t>
  </si>
  <si>
    <t>2024-06-18_GAE - UPL PUENTE ARANDA (JAL)</t>
  </si>
  <si>
    <t>ABC Plan Desarrollo Distrital , PPT Plan de desarrollo Analisis de respuestas</t>
  </si>
  <si>
    <t>Gestión de Actores Estratégicos - Localidad Antonio Nariño</t>
  </si>
  <si>
    <t>Fortalecer las relaciones con los actores estrategicos del territorio para articular los procesos de participación.</t>
  </si>
  <si>
    <t>Centro Cultural Gabriel García Marquez</t>
  </si>
  <si>
    <t>Articulación con el CPL para los procesos de devolución sobre temas de PDD y fortalecimiento de los procesos de participación. Por parte de la persona del CPL se me solicitó asistir de manera virtual a la sesión ordinaria para explicar los temas tratados con ella.</t>
  </si>
  <si>
    <t>2024-06-18_GAE - LOCALIDAD ANTONIO NARIÑO</t>
  </si>
  <si>
    <t>Taller de formación AE Calle 72</t>
  </si>
  <si>
    <t>Taller de Formación con las integrantes del Comité Operativo Local de Mujer y Género - COLMYG de la Localidad Barrios Unidos</t>
  </si>
  <si>
    <t>Jhon Jairo Garcia Pulido</t>
  </si>
  <si>
    <t>3194686812</t>
  </si>
  <si>
    <t>Alcazares Norte</t>
  </si>
  <si>
    <t>Carrera 27C NO. 72-86 Barrio Los Alcázares Norte</t>
  </si>
  <si>
    <t>2024-06-18_TALLER DE FORMACION AE CLL 72</t>
  </si>
  <si>
    <t xml:space="preserve">Guias practicas del S.P.T. , Decreto 599 de 2023, PPT S.P.T , Documento de Legalizacion de comites </t>
  </si>
  <si>
    <t>Avance OPDC</t>
  </si>
  <si>
    <t>Presenta avances proyecto asamblea deliberativas</t>
  </si>
  <si>
    <t>Avance meta asambleas deliberativas</t>
  </si>
  <si>
    <t>2024-06-18_AVANCE OPDC</t>
  </si>
  <si>
    <t>Gestión: Construcción de agenda UPL - Sector Ruralidad</t>
  </si>
  <si>
    <t xml:space="preserve">Edward Buitrago </t>
  </si>
  <si>
    <t>ebuitragot@sdp.gov.co</t>
  </si>
  <si>
    <t xml:space="preserve">SuperCade Cra 30 </t>
  </si>
  <si>
    <t xml:space="preserve">Agenda de participación asociados al Modelo de Gobernanza y PIP del sector rural. 3 rutas: Devolución PDD, articulación JAL, CPL entre otros, y acercamiento a gremios, privados y organizaciones.  </t>
  </si>
  <si>
    <t>2024-06-18_CONSTRUCCIÓN DE AGENDA UPL - PIP SPRS</t>
  </si>
  <si>
    <t xml:space="preserve">OK es de gestion tiene acta, listado, y registro fotografico </t>
  </si>
  <si>
    <t>Sesión Ordinaria del CTPD</t>
  </si>
  <si>
    <t xml:space="preserve">Jacqueline Hérnandez </t>
  </si>
  <si>
    <t>3013090210</t>
  </si>
  <si>
    <t>Plan de Acción 2024, se solicitó hacer una veeduría a la Bl y cómo va a ser el acompañamiento al CTPD, Si se requiere incluir un nuevo actor al CTPD, se debe aprobar por Mesa Directiva y en plenaria, se requiere con urgencia capacitación en microsoft Teams, la UNAD debe enviar a los correos del CTPD la presentación que realizo durante la sesión, Se solicita realizar una mesa de trabajo con el Secretario de Seguridad Cesar Restrepo.</t>
  </si>
  <si>
    <t>2024-06-18_PLENARIA CTPD</t>
  </si>
  <si>
    <t>Reunión intersectorial convocada por la Secretaría General y la Secretaria de Gobierno</t>
  </si>
  <si>
    <t>8:00 a.m.</t>
  </si>
  <si>
    <t xml:space="preserve">Socializar orientaciones de Políticas Públicas étnicas </t>
  </si>
  <si>
    <t>Secretaria de Ambiente</t>
  </si>
  <si>
    <t>Socialización de Orientaciones para el reporte de Acciones Afirmativas y tránsito a Políticas Públicas Étnicas</t>
  </si>
  <si>
    <t>2024-06-19_REUNIÓN INTERSECTORIAL SECRETARÍA GENERAL Y LA SECRETARIA DE GOBIERNO</t>
  </si>
  <si>
    <t xml:space="preserve">Circulares y Lineamientos </t>
  </si>
  <si>
    <t xml:space="preserve">OK . Evencia completas </t>
  </si>
  <si>
    <t>Gestión: Construcción agenda sector Suroriente</t>
  </si>
  <si>
    <t xml:space="preserve">Realizar la Construcción de la agenda del sector Suroriental de la mano con la subdirección </t>
  </si>
  <si>
    <t>José Miguel Pérez</t>
  </si>
  <si>
    <t>SuperCade Cra 30 (5 piso)</t>
  </si>
  <si>
    <t xml:space="preserve">Diseñar la estrategia de participación en la zona sur oriental para socializar los avances del POT </t>
  </si>
  <si>
    <t>2024-06-19_CONSTRUCCION AGENDA SECTOR SUR ORIENTAL</t>
  </si>
  <si>
    <t xml:space="preserve">OK Reunión de gestion, contiene acta, Listado asistencia y reg Fot  </t>
  </si>
  <si>
    <t>Acompañar la articulación de los esfuerzos institucionales de participación en la localidad de Usme Entrenubes.</t>
  </si>
  <si>
    <t>Jose Oswaldo Cárdenas Ávila</t>
  </si>
  <si>
    <t>3202966775</t>
  </si>
  <si>
    <t>jocardenas@participacionbogota.gov.co</t>
  </si>
  <si>
    <t>Auditorio Casa de Justicia USME. Calle 137 Sur #21.</t>
  </si>
  <si>
    <t>Exposición del SPT, posible conformación de un comité ciudadano para llevar el SPT y actualización por parte de diferentes sectores.</t>
  </si>
  <si>
    <t>2024-06-19_SESION JUNIO</t>
  </si>
  <si>
    <t xml:space="preserve">PPT Sistema de participacion Territorial </t>
  </si>
  <si>
    <t>Gestión con actores estratégicos - Localidad Santa Fé</t>
  </si>
  <si>
    <t>Enrique Rodriguez</t>
  </si>
  <si>
    <t>3153868744</t>
  </si>
  <si>
    <t>Alcaldia Local de Santa Fé</t>
  </si>
  <si>
    <t>Ruta de la participación y PDD</t>
  </si>
  <si>
    <t>Enviar información del PDD.</t>
  </si>
  <si>
    <t>2024-06-19_GAE - LOCALIDAD SANTA FE</t>
  </si>
  <si>
    <t xml:space="preserve">OK. Eevideencias completas </t>
  </si>
  <si>
    <t>si</t>
  </si>
  <si>
    <t>Cristian David Rincon</t>
  </si>
  <si>
    <t>3228582649</t>
  </si>
  <si>
    <t>Alcaldía local de Kennedy (Transversal 78k 41ª)</t>
  </si>
  <si>
    <t>Cierre de Encuentros Ciudadanos y siguiente fase EC  (ALK)</t>
  </si>
  <si>
    <t xml:space="preserve">Falta Acta </t>
  </si>
  <si>
    <t>Invitación a una mesa de trabajo entre instituciones del distrito y ciudadanía BIC Grupo Urbano SIU Niza Sur.</t>
  </si>
  <si>
    <t>Acompañar la mesa de trabajo entre instituciones del distrito y ciudadanía BIC Grupo Urbano SIU Niza Sur.</t>
  </si>
  <si>
    <t>Martha Liliana Velásquez Rodríguez</t>
  </si>
  <si>
    <t>3162240596</t>
  </si>
  <si>
    <t>mvelasquezr@sdp.gov.co</t>
  </si>
  <si>
    <t>Instalaciones del IDPC Sede Palomar del Príncipe - Calle 12B No. 2-96</t>
  </si>
  <si>
    <t>Invasión del espacio público, usos comerciales no permitidos, control urbano, afectaciones ambientales en el humedal Córdoba y auditivas por el paso de aviones.</t>
  </si>
  <si>
    <t>2024-06-19_INVITACION MESA DE TRABAJO ENTRE INSTITUCIONES DISTRITO Y CIUDADANIA</t>
  </si>
  <si>
    <t>Gestión: III Reunión: construcción de agenda - Sector Sur Occidente</t>
  </si>
  <si>
    <t>Construir agenda de participación - sector Suroccidente.</t>
  </si>
  <si>
    <t>3192173863</t>
  </si>
  <si>
    <t>Lineas de trabajo, instancias de participación, socialización PDD, metodología y trabajo con actores.</t>
  </si>
  <si>
    <t>2024-06-19_III REUNIÓN CONSTRUCCIÓN DE AGENDA - SECTOR SUR OCCIDENTE</t>
  </si>
  <si>
    <t xml:space="preserve">OK. es de gestión  contiene acta registro fotografico y convocatoria </t>
  </si>
  <si>
    <t xml:space="preserve">Gestión: Construcción agenda sector Norte y Noroccidente </t>
  </si>
  <si>
    <t xml:space="preserve">Realizar la Construcción de la agenda del sector Norte y Noroccidente  de la mano con la subdirección </t>
  </si>
  <si>
    <t xml:space="preserve">Camilo Barbosa Medina </t>
  </si>
  <si>
    <t>3123603949</t>
  </si>
  <si>
    <t>Cbarbosa@sdp.gov.co</t>
  </si>
  <si>
    <t xml:space="preserve">Subdireccion Norte y Noroccidente </t>
  </si>
  <si>
    <t>Secretaría Distrital de Planeación, Ave Cra 30 #25-90, piso 5</t>
  </si>
  <si>
    <t>Agenda sectores Norte y Noroccidente, PDD, POT, PIP, SPT, Ruralidad, Reserva ALO.</t>
  </si>
  <si>
    <t>2024-06-19_CONSTRUCCIÓN AGENDA SECTOR NORTE Y NOROCCIDENTE</t>
  </si>
  <si>
    <t xml:space="preserve">ok. es de gestion evidencias completas </t>
  </si>
  <si>
    <t>Gestión con actores estratégicos - Localidad Antonio Nariño</t>
  </si>
  <si>
    <t>Complemento sobre el fortalecimiento de las relaciones con el CPL para los procesos de participación</t>
  </si>
  <si>
    <t>2024-06-19_GAE - LOCALIDAD ANTONIO NARIÑO</t>
  </si>
  <si>
    <t xml:space="preserve">ok. tioene listado de asistencia enviado por el CPL </t>
  </si>
  <si>
    <t>Sesión Ordinaria Comisión POT CTPD</t>
  </si>
  <si>
    <t>Realizar el acompañamiento como secretaria técnica a la Comisión de POT del CTPD, para realizar la aprobación del Plan de Acción de la Comisión.</t>
  </si>
  <si>
    <t>3244150125</t>
  </si>
  <si>
    <t xml:space="preserve">- Respuesta a la consejera Derly Rodríguez sobre la solicitud de anulación de su pertenencia a la Comisión POT.  - Elección nueva Coordinadora, Consejera Angela Patricia Manrique.  - Elección nueva relatora, consejera Nohora Fonseca. </t>
  </si>
  <si>
    <t>2024-06-19_SESION ORDINARIA COMISION POT</t>
  </si>
  <si>
    <t xml:space="preserve">enlace de grabacion, ppt orden del dia </t>
  </si>
  <si>
    <t>Gestión: Estrategia de Participación SGR - Segundo semestre 2024</t>
  </si>
  <si>
    <t>Conocer el cronograma del segundo semestre 2024 de la Estrategia de Participación del Sistema General de Regalías</t>
  </si>
  <si>
    <t>3172143454</t>
  </si>
  <si>
    <t>Cronograma segundo semestre 2024, estratégia de participación Sistema General de Regalias</t>
  </si>
  <si>
    <t>2024-06-20_ESTRATEGIA DE PARTICIPACION SGR - SEGUNDO SEMESTRE 2024</t>
  </si>
  <si>
    <t xml:space="preserve">Ok, es de gestion </t>
  </si>
  <si>
    <t>Gestión: Construcción Agenda Sector Centro Ampliado</t>
  </si>
  <si>
    <t xml:space="preserve">Realizar la Construcción preliminar de la agenda del sector Centro Ampliado  de la mano con la subdirección </t>
  </si>
  <si>
    <t>3228657280</t>
  </si>
  <si>
    <t xml:space="preserve">Construcción de agenda preliminar del sector Centro Ampliado </t>
  </si>
  <si>
    <t>2024-06-20_CONSTRUCCIÓN AGENDA SECTOR CENTRO AMPLIADO</t>
  </si>
  <si>
    <t xml:space="preserve">OK. es de gestion cuenta con acta </t>
  </si>
  <si>
    <t xml:space="preserve">Gestión: Capacitación del Sistema de Participación Territorial a la Subdirección de Planeamiento Rural Sostenible </t>
  </si>
  <si>
    <t xml:space="preserve">Capacitar a la SPRS en la implementación del SPT, haciendo énfasis en los comités ciudadanos que plantea </t>
  </si>
  <si>
    <t>3015498010</t>
  </si>
  <si>
    <t xml:space="preserve">SuperCADE cra 30 </t>
  </si>
  <si>
    <t xml:space="preserve">Sistema de Participación Territorial </t>
  </si>
  <si>
    <t>2024-06-20_CAPACITACIÓN DEL SPT A LA SPRS</t>
  </si>
  <si>
    <t xml:space="preserve">OK es de gestion y tiene acta asistencia y registro fotografico </t>
  </si>
  <si>
    <t>Gestión: Devolución Región Metropolitana PDD</t>
  </si>
  <si>
    <t xml:space="preserve">Definir la metodología de devolución del PDD en la región metropolitana </t>
  </si>
  <si>
    <t>Sandra Montealegre</t>
  </si>
  <si>
    <t>3176652026‬</t>
  </si>
  <si>
    <t>Metropolitano</t>
  </si>
  <si>
    <t>Enla de reunión</t>
  </si>
  <si>
    <t>Metodología de devolución del PDD en la región metrópolitana</t>
  </si>
  <si>
    <t>2024-06-20_DEVOLUCION REGION METROPOLITANA PDD</t>
  </si>
  <si>
    <t xml:space="preserve">OK.reunion de gestion contiene acta y convocatoria </t>
  </si>
  <si>
    <t>Gestión con actores estratégicos - Localidad Usaquen</t>
  </si>
  <si>
    <t xml:space="preserve">Hector Cortes </t>
  </si>
  <si>
    <t>3004613322</t>
  </si>
  <si>
    <t>corteshector@hotmail.com</t>
  </si>
  <si>
    <t>San Cristobal Norte</t>
  </si>
  <si>
    <t>Clle 162 # 7g - 37</t>
  </si>
  <si>
    <t xml:space="preserve">Acuerdo 927 de 2024, Devolución PDD, incidencia de participación en Chatico de la localidad con propuestas. </t>
  </si>
  <si>
    <t>2024-06-20_GAE - LOCALIDAD USAQUEN</t>
  </si>
  <si>
    <t xml:space="preserve">Gestión: Reunión Concejal Bastidas, Cabildo Muisca de Suba e IDPC sobre SSSM </t>
  </si>
  <si>
    <t>Acompañar al IDPC a la reunión con el Concejal Oscar Bastidas en referencia al Sistema de Sitios Sagrados Muisca</t>
  </si>
  <si>
    <t>Oscar Bastidas</t>
  </si>
  <si>
    <t>3103042415</t>
  </si>
  <si>
    <t>ofbastidas@concejobogota.gov.co</t>
  </si>
  <si>
    <t>Calle 12b#2-58</t>
  </si>
  <si>
    <t>Sistema de sitios sagrados; resolución 2664; Cabildos Muisca de Bogota; Sistema de Participación Territorial</t>
  </si>
  <si>
    <t>2024-06-20_REUNION HC BASTIDAS Y CMS E IDPC SOBRE SSSM</t>
  </si>
  <si>
    <t xml:space="preserve">OK . es de gestion. contiene acta, listado asistencia y convocatoria </t>
  </si>
  <si>
    <t>Exposición de radicación - Formulación AE ZIBO</t>
  </si>
  <si>
    <t>Recibir la exposición formal de la radicación de la formulación de la AE ZIBO por parte del Operador Urbano.</t>
  </si>
  <si>
    <t>mavila@sdp.gov.co</t>
  </si>
  <si>
    <t>Auditorio SuperCADE</t>
  </si>
  <si>
    <t xml:space="preserve">Generalidades del resultado de la formulación de la AE ZIBO </t>
  </si>
  <si>
    <t>2024-06-20_EXPOSICIÓN DE RADICACIÓN - FORMULACIÓN AE ZIBO</t>
  </si>
  <si>
    <t xml:space="preserve">PPT Actuación Estrategica zona indistrial </t>
  </si>
  <si>
    <t xml:space="preserve">OK. Reu. de gestión, contiene acta listado registro  fot y documentos adicionales </t>
  </si>
  <si>
    <t xml:space="preserve">Subcomité asambleas - Convocatoria </t>
  </si>
  <si>
    <t>Definir lineamientos de convocatoria y comunicaciones para línea gráfica</t>
  </si>
  <si>
    <t>Carrera 30 # 25 - 90</t>
  </si>
  <si>
    <t>Estrategia asambleas ciudadanas</t>
  </si>
  <si>
    <t>2024-06-20_SUBCOMITE ASAMBLEAS - CONVOCATORIA</t>
  </si>
  <si>
    <t xml:space="preserve">OK. reu. de gestion : contiene Acta y listado de asistencia </t>
  </si>
  <si>
    <t>Gestión con actores estratégicos - sector Noroccidente (CPL y ASOJUNTAS)</t>
  </si>
  <si>
    <t>Fortalecer las relaciones con los actores estrategicos del territorio para articular los procesos de participación. CPL y ASOJUNTAS</t>
  </si>
  <si>
    <t xml:space="preserve">Alcaldía de Suba </t>
  </si>
  <si>
    <t>Devolución de PDD en el territorio Noroccidente, otros temas como POT, PIP, UPZ, UPLS</t>
  </si>
  <si>
    <t>2024-06-21_GAE - SECTOR NOROCCIDENTE</t>
  </si>
  <si>
    <t>Acción afirmativa: Transversalización enfoque étnico Gitano-Rrom</t>
  </si>
  <si>
    <t xml:space="preserve">Socializar al equipo de la SDP alrededor de la transversalización del enfoque étnico diferencial Gitano-Rrom en los distintos procesos e instrumentos de planeación, en el marco del cumplimiento del articulo 66 del PDD 2020-2024 con el Pueblo Rrom. </t>
  </si>
  <si>
    <t>Super CADE CAD, Av Cra 30 #25 - 90 Torre B</t>
  </si>
  <si>
    <t>Transversalización del enfoque étnico gitano para el equipo de la OPDC de la SDP</t>
  </si>
  <si>
    <t>2024-06-21_ACCIÓN AFIRMATIVA TRANSVERSALIZACIÓN ENFOQUE ÉTNICO GITANO-RROM</t>
  </si>
  <si>
    <t xml:space="preserve">PPT Enfoque Gitano </t>
  </si>
  <si>
    <t>Gestión con actores estratégicos - Sesión JAL Sumapaz</t>
  </si>
  <si>
    <t xml:space="preserve">Yenny Pulido </t>
  </si>
  <si>
    <t>jalsumapaz.20@gmail.com</t>
  </si>
  <si>
    <t>2024-06-21_SESIÓN JAL SUMAPAZ</t>
  </si>
  <si>
    <t xml:space="preserve">PPT de devoluciones </t>
  </si>
  <si>
    <t>Sesión Extraordinaria Comisión Desarrollo Regional CTPD</t>
  </si>
  <si>
    <t>3157917070</t>
  </si>
  <si>
    <t>Aprobación Plan de Acción Comisión de Desarrollo Regional</t>
  </si>
  <si>
    <t>2024-06-21_SESION EXTRAORDINARIA COMISION DESARROLLO REGIONAL CTPD</t>
  </si>
  <si>
    <t xml:space="preserve">enlace grabacion y orden del dia </t>
  </si>
  <si>
    <t xml:space="preserve">Sesión JAL Tunjuelito </t>
  </si>
  <si>
    <t>Atender la solicitud de acompañamiento de la JAL.</t>
  </si>
  <si>
    <t>Hernán Reyes Gómez</t>
  </si>
  <si>
    <t>314 3229224</t>
  </si>
  <si>
    <t>jaltunjuelito@gmail.com,</t>
  </si>
  <si>
    <t>Subdirección de seguimiento a la inversión y planes de desarrollo local</t>
  </si>
  <si>
    <t>Proceso de construcción del Plan Local de Desarrollo; Encuentros ciudadanos; Líneas de inversión y conceptos de gasto</t>
  </si>
  <si>
    <t>2024-06-22_SESION JAL TUNJUELITO</t>
  </si>
  <si>
    <t>Gestión con Actores Estratégicos – Localidad Suba JAC UPL Britalia</t>
  </si>
  <si>
    <t xml:space="preserve">Fortalecer las relaciones con los actores estrategicos del territorio para articular los procesos de participación. JAC </t>
  </si>
  <si>
    <t>Roberto Rincón</t>
  </si>
  <si>
    <t>3112117423</t>
  </si>
  <si>
    <t>jacurbanizacionsantahelena@gmail.com</t>
  </si>
  <si>
    <t>Santa Helena</t>
  </si>
  <si>
    <t>Salón Comunal JAC Santa Helena Calle 146a # 49 - 04</t>
  </si>
  <si>
    <t xml:space="preserve">Explicación de cómo leer el Plan Distrital de Desarrollo </t>
  </si>
  <si>
    <t>2024-06-22_GAE LOCALIDAD SUBA JAC UPL BRITALIA</t>
  </si>
  <si>
    <t>Devolución Plan Distrital de Desarrollo - Comunidad Palenquera</t>
  </si>
  <si>
    <t>Presentar los resultados del proceso de participación de la comunidad palenquera con respecto al Acuerdo 927 del 2024 el cual adopto el Plan Distrital de Desarrollo "Bogotá Camina Segura", esto en el marco de la fase IV de la Planeación Participativa del PDD "Reconocimiento a la Acción Colectiva"</t>
  </si>
  <si>
    <t>Posá Wiwa - Carrera 3 #10-72</t>
  </si>
  <si>
    <t>Fase IV: Reconocimiento a la Acción Colectiva</t>
  </si>
  <si>
    <t xml:space="preserve">Socialización de los resultados del proceso de participación de la comunidad palenquera en la formulación del PDD 2024-2027 en el marco de la planeación participativa del PDD. </t>
  </si>
  <si>
    <t xml:space="preserve">Devolver el acta </t>
  </si>
  <si>
    <t>2024-06-22_DEVOLUCIÓN PLAN DISTRITAL DE DESARROLLO - COMUNIDAD PALENQUERA</t>
  </si>
  <si>
    <t xml:space="preserve">ppt del PDD </t>
  </si>
  <si>
    <t>https://acortar.link/R4lBdA</t>
  </si>
  <si>
    <t xml:space="preserve">Gestión con Actores Estratégicos – Localidad Usaquén CLSYS UPL Usaquén </t>
  </si>
  <si>
    <t xml:space="preserve">Fortalecer las relaciones con los actores estrategicos del territorio para articular los procesos de participación.CLSYS UPL Usaquén </t>
  </si>
  <si>
    <t xml:space="preserve">Ernesto Gómez </t>
  </si>
  <si>
    <t>3133000190</t>
  </si>
  <si>
    <t xml:space="preserve">Sin Información </t>
  </si>
  <si>
    <t>CDC Servita - Simón Bolívar (CALLE 165 # 7-52)</t>
  </si>
  <si>
    <t>Explicación del PDD, de los documentos que lo componen y su manera para entenderlos (Acuerdo 927 de 2024, ABC PDD, Metas de producto)</t>
  </si>
  <si>
    <t xml:space="preserve">Devolucion del acuerdo 947 de 2024 </t>
  </si>
  <si>
    <t>2024-06-24_LOCALIDAD USAQUEN CLSYS UPL USAQUEN</t>
  </si>
  <si>
    <t>Gestión con actores estratégicos - UPL Tintal (JAC y Lideres ambientales)</t>
  </si>
  <si>
    <t>Fortalecer las relaciones con los actores estrategicos del territorio para articular los procesos de participación.  JAC y líder ambiental</t>
  </si>
  <si>
    <t>Biblioteca Tintal</t>
  </si>
  <si>
    <t>Acercamiento con lideres de la JAC Patio bonito 2, Organizaciones de PH de la UPL Tintal, JAC Aloha y Lider ambiental. para invitarles a la devolucion ciudadana del sector suroccidente</t>
  </si>
  <si>
    <t xml:space="preserve">envio PDD ABCD </t>
  </si>
  <si>
    <t>2024-06-24_GAE - UPL TINTAL</t>
  </si>
  <si>
    <t xml:space="preserve">Gestión: citación referentes étnicos - Concejal Oscar Bastidas </t>
  </si>
  <si>
    <t>Atender una citación del Concejal Oscar Bastidas con la finalidad de socializar los artículos y metas étnicas incluidas en el Acuerdo Distrital No. 927 de 2024, por medio del cual se adopta el “Plan Distrital de Desarrollo 2024-2027 “Bogotá Camina Segura”, a fin de establecer una ruta de implementación y seguimiento.</t>
  </si>
  <si>
    <t>(601)2088210</t>
  </si>
  <si>
    <t>Casa Gitana (Carrera 65 a No. 5a -35)</t>
  </si>
  <si>
    <t>Socialización de los artículos y metas con referencias étnicas en el Acuerdo 927 de 2024 mediante el cual se adoptó el PDD "Bogotá Camina Segura"</t>
  </si>
  <si>
    <t>2024-06-24_REFERENTES ETNICOS - CONCEJAL OSCAR BASTIDAS</t>
  </si>
  <si>
    <t xml:space="preserve">OK Reu. de gestion </t>
  </si>
  <si>
    <t>Gestión con Actores Estratégicos – Localidad Usaquen (JAC TOBERÍN)</t>
  </si>
  <si>
    <t>Fortalecer las relaciones con los actores estratégicos del territorio para articular los procesos de participación. JAC Toberin</t>
  </si>
  <si>
    <t xml:space="preserve">Henry Giovanny Rodriguez  Sanchez </t>
  </si>
  <si>
    <t>3503996986</t>
  </si>
  <si>
    <t>El Toberin</t>
  </si>
  <si>
    <t>kr 20 # 165 - 8</t>
  </si>
  <si>
    <t xml:space="preserve">ENVIAR ABC PDD </t>
  </si>
  <si>
    <t>2024-06-24_LOCALIDAD USAQUEN JAC</t>
  </si>
  <si>
    <t>Gestión con actores estratégicos - Localidad Kennedy (JAC y fundación Unilideres)</t>
  </si>
  <si>
    <t>Fortalecer las relaciones con los actores estrategicos del territorio para articular los procesos de participación. JAC y fundación Unilideres</t>
  </si>
  <si>
    <t>Carrera 87i #5a - 14 sur Fundación unilideres</t>
  </si>
  <si>
    <t xml:space="preserve">Plan distrital de desarrollo, invitación a devolución sector suroccidente </t>
  </si>
  <si>
    <t>2024-06-24_GAE - LOCALIDAD KENNEDY</t>
  </si>
  <si>
    <t>Taller IDPAC</t>
  </si>
  <si>
    <t>.7 00 am</t>
  </si>
  <si>
    <t xml:space="preserve">Taller con los sectores para definir la estrategia de los recursos de las metas de los planes de desarrollo local </t>
  </si>
  <si>
    <t xml:space="preserve">Luisa González </t>
  </si>
  <si>
    <t>3160503967</t>
  </si>
  <si>
    <t>Luisa.gonzalez@participacionbogota.gov.co</t>
  </si>
  <si>
    <t xml:space="preserve">Modelia </t>
  </si>
  <si>
    <t>Planta IDPAC</t>
  </si>
  <si>
    <t xml:space="preserve">Taller de exploración metodologia definición de presupuestos locales planes de desarrollo </t>
  </si>
  <si>
    <t>2024-06-25_TALLER IDPAC</t>
  </si>
  <si>
    <t xml:space="preserve">OK Reu de gestion  contiene acta  y listado de asistencia </t>
  </si>
  <si>
    <t>Comision POT CTPD</t>
  </si>
  <si>
    <t>Revisar y Aprobar el Plan de Acción</t>
  </si>
  <si>
    <t>Angela Manrique</t>
  </si>
  <si>
    <t>3022462008</t>
  </si>
  <si>
    <t>kharminoong@gmail.com</t>
  </si>
  <si>
    <t>Formulación y Aprobación del Plan de Acción de la Comisión POT del CTPD</t>
  </si>
  <si>
    <t>2024-06-24_COMISION POT</t>
  </si>
  <si>
    <t xml:space="preserve">transcripcion de grabacion </t>
  </si>
  <si>
    <t>Gestión con actores estratégicos - Localidad Antonio Nariño JAC</t>
  </si>
  <si>
    <t>Fortalecer las relaciones con los actores estratégicos del territorio para articular los procesos de participación. JAC</t>
  </si>
  <si>
    <t>Caracas</t>
  </si>
  <si>
    <t>Av. Caracas #12-20sur</t>
  </si>
  <si>
    <t>Fortalecimiento de relaciones de participación con la JAC y socialización de actividades próximas de participación referentes al plan de desarrollo</t>
  </si>
  <si>
    <t>2024-06-25_GAE - LOCALIDAD ANTONIO NARIÑO JAC</t>
  </si>
  <si>
    <t>Gestión DDSGP - OPDC Discapacidad / LGTIBQ+ SPT y PDD</t>
  </si>
  <si>
    <t>Articular gestiones con la Dirección de Diversidad Sexual, Poblaciones y Géneros (DDSPG) para establecer acciones con la población de Discapacidad y LGTBIQ+ en relación a la devolución de los resultados de la participación ciudadana sobre los contenidos del Plan Distrital de Desarrollo adoptado y activación de Comités y escenarios especializados del Sistema de Participación Territorial</t>
  </si>
  <si>
    <t>3112391335</t>
  </si>
  <si>
    <t>diana.palma@hotmail.com</t>
  </si>
  <si>
    <t>SuperCADE CAD (Avenida Carrera 30 No. 25 - 90) Segundo Piso Sala B</t>
  </si>
  <si>
    <t>Devolución PDD para personas con discapacidad y LGTBIQ, Escenarios especializados en el marco de PDD y DP del Consejero Dick Díaz</t>
  </si>
  <si>
    <t>2024-06-25_GESTIÓN DDSGP - OPDC DISCAPACIDAD LGTIBQ+ SPT Y PDD</t>
  </si>
  <si>
    <t xml:space="preserve">OK, gestion y contiene acta listado, asistencia registro fotografia </t>
  </si>
  <si>
    <t>Mesa de Seguimiento Ágora Metropolitana RMBC</t>
  </si>
  <si>
    <t>Reglamentacion Ágora Metropolitana</t>
  </si>
  <si>
    <t>Felipe Oviedo</t>
  </si>
  <si>
    <t>3212130149</t>
  </si>
  <si>
    <t>foviedo@sdp.gov.co</t>
  </si>
  <si>
    <t>Oficina Intergracion Regional</t>
  </si>
  <si>
    <t>Edificio Elemento Av El Dorado #69-76 Torre 3 Tierra Piso 15 Oficina 1504</t>
  </si>
  <si>
    <t xml:space="preserve">Propuesta reglamentacion Agora metropolitana </t>
  </si>
  <si>
    <t>2024-06-25_MESA DE SEGUIMIENTO AGORA METROPOLITANA RMBC</t>
  </si>
  <si>
    <t xml:space="preserve">OK. Es de gestión contiene acta asistencia y registro fotografico </t>
  </si>
  <si>
    <t>Gestión con actores estratégicos - Localidad Candelaria JAC</t>
  </si>
  <si>
    <t>La Concordia</t>
  </si>
  <si>
    <t>Casa comunitaria de la Concordia. Calle 12d#3-22</t>
  </si>
  <si>
    <t>2024-06-25_GAE - LOCALIDAD CANDELARIA JAC</t>
  </si>
  <si>
    <t>CLIP Los Mártires</t>
  </si>
  <si>
    <t>Acompañar la sesión de la CLIP, para la articulación de los esfuerzos institucionales de participación en la localidad de los Mártires.</t>
  </si>
  <si>
    <t>Diana Alexandra Mutiz</t>
  </si>
  <si>
    <t>Cl. 22b #20-51, Subdirección Local para la Integración Social de Los Mártires</t>
  </si>
  <si>
    <t xml:space="preserve">Fase 1 Presupuestos Participativos - Cierre de Encuentros Ciudadanos - Mesas de Concertación Local,  presentación Política Pública </t>
  </si>
  <si>
    <t>2024-06-25_SESION JUNIO</t>
  </si>
  <si>
    <t xml:space="preserve">PPT PDD resultados  </t>
  </si>
  <si>
    <t xml:space="preserve">OK. </t>
  </si>
  <si>
    <t>Gestión actores estratégicos Noroccidente - Asojuntas Suba</t>
  </si>
  <si>
    <t>Fortalecer las relaciones con los actores estratégicos del territorio para articular los procesos de participación. Asojuntas</t>
  </si>
  <si>
    <t xml:space="preserve">Ricardo Diaz </t>
  </si>
  <si>
    <t>3114439168</t>
  </si>
  <si>
    <t>Alcaldía Local de Suba</t>
  </si>
  <si>
    <t xml:space="preserve">Plan Distrital de desarrollo, temas álgidos en la UPL Suba, Rincon de Suba y Tibabuyes, Alo, espacio publico, vias y equipamentos. </t>
  </si>
  <si>
    <t>2024-06-25_GAE - NOROCCIDENTE - ASOJUNTAS SUBA</t>
  </si>
  <si>
    <t xml:space="preserve">OK. Reu de gestión </t>
  </si>
  <si>
    <t>Gestión con Actores Estratégicos – Localidad Usaquén CPL</t>
  </si>
  <si>
    <t>Fortalecer las relaciones con los actores estrategicos del territorio para articular los procesos de participación, CPL Usaquén</t>
  </si>
  <si>
    <t xml:space="preserve">Marylinyer Lozano </t>
  </si>
  <si>
    <t>3133779896</t>
  </si>
  <si>
    <t>cpl.usaquen2020@gmail.com</t>
  </si>
  <si>
    <t>Explicación de los documentos integrales que componen el PDD y descripción de cómo leerlo</t>
  </si>
  <si>
    <t xml:space="preserve">Envio del ABC del Plan de Desarrollo </t>
  </si>
  <si>
    <t>2024-06-25_GAE - LOCALIDAD USAQUEN CPL</t>
  </si>
  <si>
    <t>abc del PDD Y ACUERDO 927</t>
  </si>
  <si>
    <t>Comité técnico de seguimiento al convenio CTPD</t>
  </si>
  <si>
    <t>Efectuar el seguimiento al convenio 339 de 2024, conocer el estado financiero, administrativo y la contrapartida</t>
  </si>
  <si>
    <t xml:space="preserve">SUPER CAD PISO 8 </t>
  </si>
  <si>
    <t xml:space="preserve"> La UNAD da un resumen de los planes de acción acompañados de las comisiones, exponiendo que ellos van a apoyar con especie en un espacio respectivo, con refrigerios estación de café y lugar.                                                                                                                                                                                                                                                                                   La UNAD cometa que para el diplomado solo hay inscritos 59 consejeras y consejeros y la idea el comenzar el miércoles 3 de julio para lograr las 80 horas.                                                                                                La presidenta le solicita a la UNAD hacer una presentación del alcance que brinda la universidad al CTPD.                                                                                                                                Se va a someter a Mesa Directiva y luego a Plenaria; hacer un oficio a los respectivos sectores con un informe sobre la asistencia de las consejeras y consejeros a plenarias y comisiones.</t>
  </si>
  <si>
    <t>2024-06-25_COMITE TECNICO DE SEGUIMIENTO AL CONVENIO</t>
  </si>
  <si>
    <t xml:space="preserve">OK. evidencias completas </t>
  </si>
  <si>
    <t xml:space="preserve">Gestión con actores estratégicos - CPL Sumapaz </t>
  </si>
  <si>
    <t>Fortalecer las relaciones con los actores estratégicos del territorio para articular los procesos de participación. CPL</t>
  </si>
  <si>
    <t xml:space="preserve">Paola Hernandez </t>
  </si>
  <si>
    <t>320 3810775</t>
  </si>
  <si>
    <t xml:space="preserve">Plan Distrital de Desarrollo con enfoque rural. </t>
  </si>
  <si>
    <t>2024-06-25_GAE - CPL SUMAPAZ</t>
  </si>
  <si>
    <t xml:space="preserve">ppt Bogota camina seguro </t>
  </si>
  <si>
    <t>Activación Actores de Participación en la localidad de Fontibon CPL</t>
  </si>
  <si>
    <t>Realizar activación y acercamiento a los diferentes actores de participación de la localidad de Fontibón, socializando la 4ta fase del PDD y próximas devoluciones a la ciudadania CPL</t>
  </si>
  <si>
    <t>Roció Martínez</t>
  </si>
  <si>
    <t>3164993606</t>
  </si>
  <si>
    <t>Fontibon Centro</t>
  </si>
  <si>
    <t>Cra. 99 #19-43, Bogotá, Alcaldía Local de Fontibón</t>
  </si>
  <si>
    <t>4ta fase PDD Y Acercamiento con actores de participación de la UPL</t>
  </si>
  <si>
    <t>2024-06-25_ACTIV ACTORES DE PART LOCALIDAD FONTIBON</t>
  </si>
  <si>
    <t>Gestión con actores estratégicos - UPL Centro Histórico (JAC La Perseverancia)</t>
  </si>
  <si>
    <t xml:space="preserve">Fortalecer las relaciones con los actores estratégicos del territorio para articular los procesos de participación. JAC La Perseverancia. </t>
  </si>
  <si>
    <t>Pricila Millanos</t>
  </si>
  <si>
    <t>3057819274</t>
  </si>
  <si>
    <t xml:space="preserve">La Perseverancia </t>
  </si>
  <si>
    <t>JAC La Perseverancia ( Cra. 4Bis A # 32-64)</t>
  </si>
  <si>
    <t>Resultados de la Fase II para la localidad de Santa Fe. Se presento el ABC del PDD para su lectura y comprensión</t>
  </si>
  <si>
    <t>2024-06-26_GAE - UPL CENTRO HISTORICO JAC PERSEVERANCIA</t>
  </si>
  <si>
    <t xml:space="preserve">ABC Plan de Desarrollo. PPT Santa Fe </t>
  </si>
  <si>
    <t>Gestión con actores estratégicos UPL Usme CPL</t>
  </si>
  <si>
    <t xml:space="preserve">Fortalecer las relaciones con los actores estratégicos del territorio para articular los procesos de participación.CPL </t>
  </si>
  <si>
    <t>Esperanza Ortiz</t>
  </si>
  <si>
    <t>3186236865</t>
  </si>
  <si>
    <t>Almirante Padilla</t>
  </si>
  <si>
    <t>Salón Comunal Almirante Padilla - Calle 77 Sur # 10-46.</t>
  </si>
  <si>
    <t>Preparación de la comunidad para la devolución del sector sur oriental, formación de comités ciudadanos y notificación de las asambleas deliberativas.</t>
  </si>
  <si>
    <t>2024-06-26_GAE - UPL USME CPL</t>
  </si>
  <si>
    <t xml:space="preserve">CLIP extraordinaria Sumapaz </t>
  </si>
  <si>
    <t xml:space="preserve">Cristian David Rincon </t>
  </si>
  <si>
    <t>3144200711</t>
  </si>
  <si>
    <t xml:space="preserve">Reglamento interno de la CLIP Sumapaz. </t>
  </si>
  <si>
    <t>2024-06-26_SESION EXTRAORDINARIA JUNIO</t>
  </si>
  <si>
    <t>Sesión de la Comisión Intersectorial de Participación CIP</t>
  </si>
  <si>
    <t>Hacer seguimiento al Plan de Acción de la CIP</t>
  </si>
  <si>
    <t>Angelo Javier Santana</t>
  </si>
  <si>
    <t>agravier@participacionbogota.gov.co</t>
  </si>
  <si>
    <t>Secretaría de Gobierno</t>
  </si>
  <si>
    <t>Aprobación del Plan de Acción; Presupuestos Participativos</t>
  </si>
  <si>
    <t>2024-06-26_SESION CIP</t>
  </si>
  <si>
    <t xml:space="preserve">Matriz de Plan de accion de la CIP, Documento de P.P. incidente, Reglamento de la CIP </t>
  </si>
  <si>
    <t xml:space="preserve">OK . evidencias completas </t>
  </si>
  <si>
    <t>Gestión con actores estratégicos - Localidad Puente Aranda (CPL)</t>
  </si>
  <si>
    <t>Fortalecer las relaciones con los actores estratégicos del territorio para articular los procesos de participación. CPL - UPL Puente Aranda.</t>
  </si>
  <si>
    <t>Doris Márquez Nova</t>
  </si>
  <si>
    <t>3192336023</t>
  </si>
  <si>
    <t>medioambiente.doris@gmail.com</t>
  </si>
  <si>
    <t>ninguna</t>
  </si>
  <si>
    <t>Alcaldía Local de Puente Aranda (Cl. 4 #31D-30)</t>
  </si>
  <si>
    <t>Resultados de la Fase II para la formulación del PDD en la localidad de Puente Aranda y se presento el ABC para la lectura y comprensión del PDD</t>
  </si>
  <si>
    <t>2024-06-26_GAE - LOCALIDAD PUENTE ARANDA (CPL)</t>
  </si>
  <si>
    <t xml:space="preserve">ABC Plan de Desarrollo. PPT clip puente aranda </t>
  </si>
  <si>
    <t>Gestión con actores estratégicos - sector Noroccidente (CPL)</t>
  </si>
  <si>
    <t xml:space="preserve">Lucia Salazar </t>
  </si>
  <si>
    <t>3044133110</t>
  </si>
  <si>
    <t xml:space="preserve">Gestion de actores territoriales del sector noroccidente y actividades proyectadas en territorio con comunidad </t>
  </si>
  <si>
    <t>2024-06-26_GAE - SECTOR NOROCCIDENTE (CPL)</t>
  </si>
  <si>
    <t xml:space="preserve">Gestión con actores estratégicos - CLDDHH Sumapaz </t>
  </si>
  <si>
    <t>Fortalecer las relaciones con los actores estratégicos del territorio para articular los procesos de participación. CLDDHH Sumapaz</t>
  </si>
  <si>
    <t xml:space="preserve">Andres Pardos </t>
  </si>
  <si>
    <t>3112345097</t>
  </si>
  <si>
    <t xml:space="preserve">Sumapaceña </t>
  </si>
  <si>
    <t xml:space="preserve">Plan Distrital de Desarrollo con enfoque rural </t>
  </si>
  <si>
    <t>2024-06-26_GAE - CLDDHH SUMAPAZ</t>
  </si>
  <si>
    <t xml:space="preserve">Ok, no fue una reunion liderada por la OPDC, y no se cuenta con liustado de asistencia en el acta quedo la observación </t>
  </si>
  <si>
    <t xml:space="preserve"> Gestión con actores estratégicos - Localidad Bosa (JAC)</t>
  </si>
  <si>
    <t>Fortalecer las relaciones con los actores estratégicos del territorio para articular los procesos de participación JAC.</t>
  </si>
  <si>
    <t>Edward Rodrigues</t>
  </si>
  <si>
    <t>3183951488</t>
  </si>
  <si>
    <t>Bosa linda</t>
  </si>
  <si>
    <t>Cra. 92a # 56h 55</t>
  </si>
  <si>
    <t>Información específica del PDD e invitación oficial a la devolución formal del PDD a la ciudad.</t>
  </si>
  <si>
    <t>2024-06-26_GAE - LOCALIDAD BOSA JAC</t>
  </si>
  <si>
    <t xml:space="preserve">ok evidencias completas </t>
  </si>
  <si>
    <t xml:space="preserve">Gestión: Construcción Agenda - Sector Centro Ampliado </t>
  </si>
  <si>
    <t>Revisar y aclarar lo referente a la construcción de la agenda de los PIP sector Centro Ampliado</t>
  </si>
  <si>
    <t>Subdirección de Centro Ampliado</t>
  </si>
  <si>
    <t>https://meet.google.com/bpe-gpth-esu</t>
  </si>
  <si>
    <t>Parámetros para el agendamiento de actividades sobre los PIP Sector Centro Ampliado, solicitud de posible espacio para aclarar o actualizar información a Diversidad Sexual</t>
  </si>
  <si>
    <t>2024-06-26_CONSTRUCCION AGENDA PIP SECTOR CENTRO AMPLIADO</t>
  </si>
  <si>
    <t xml:space="preserve">OK es de gestion y contiene solo acta </t>
  </si>
  <si>
    <t xml:space="preserve"> Gestión con actores estratégicos - Localidad Porvenir (JAC)</t>
  </si>
  <si>
    <t>Julio Gonzales</t>
  </si>
  <si>
    <t>3165397912</t>
  </si>
  <si>
    <t>El triunfo</t>
  </si>
  <si>
    <t>Calle 80a sur # 87J  - 04</t>
  </si>
  <si>
    <t xml:space="preserve">Temas específicos del PDD aprobado 2024 e incitación a la entrega formal. </t>
  </si>
  <si>
    <t>2024-06-26_GAE - LOCALIDAD PORVENIR JAC</t>
  </si>
  <si>
    <t>Sesión Junta Directiva CTPD</t>
  </si>
  <si>
    <t xml:space="preserve">Acompañar como Secretaría Técnica la Sesión de la Junta Directiva del CTPD del mes de junio, donde se trataran los temas a exponer en la Sesión de la Mesa Directiva del CTPD. </t>
  </si>
  <si>
    <t>Liliana De Los Ángeles  Urrego Navarro</t>
  </si>
  <si>
    <t>3108148740</t>
  </si>
  <si>
    <t>Propuesta del llamado a lista hecho por la UNAD. - Orden del día para la Sesión de la Mesa Directiva.</t>
  </si>
  <si>
    <t>2024-06-26_SESION JUNTA DIRECTIVA CTPD</t>
  </si>
  <si>
    <t xml:space="preserve">Enlace de grabación y transcripcion </t>
  </si>
  <si>
    <t xml:space="preserve">OK. Evidencias Completas </t>
  </si>
  <si>
    <t>Activación Actores estratégicos: Consejo de Sabias y Sabios Tunjuelito</t>
  </si>
  <si>
    <t>Reactivar la comunicación con los grupos de valor locales para incentivar la participación en los instrumentos liderados por SDP</t>
  </si>
  <si>
    <t>Ana María Torres Gonzalez</t>
  </si>
  <si>
    <t>3148575205</t>
  </si>
  <si>
    <t>anamaria.torres@gobiernobogota.gov.co</t>
  </si>
  <si>
    <t>Casa de la cultura Tunjuelito - Diagonal 52f Sur #27-26</t>
  </si>
  <si>
    <t>Plan de Desarrollo Distrital; Acción de devolución PDD; POT; SPT</t>
  </si>
  <si>
    <t>2024-06-27_ACTIV ACTORES ESTRATEGICOS CSYS TUNJUELITO</t>
  </si>
  <si>
    <t xml:space="preserve">ABC del plan de desarrollo, acuerdo 927, fases del PDD, Listado de metas  </t>
  </si>
  <si>
    <t>Activación Actores estratégicos:Pedagógica del Plan Distrital de Desarrollo 2024-2028, con énfasis en el sector Salud.</t>
  </si>
  <si>
    <t>Acompañar al personal de Salud que se desempeña en la localidad de Barrios Unidos para que tengan mejor conocimiento y apropiación del Plan Distrital de Desarrollo.</t>
  </si>
  <si>
    <t>Gerardo Arturo Rincon Obando</t>
  </si>
  <si>
    <t>311 468 4708</t>
  </si>
  <si>
    <t>garincon@saludcapital.gov.co</t>
  </si>
  <si>
    <t>San Fernando Occidental</t>
  </si>
  <si>
    <t>Calle 74A # 63-04</t>
  </si>
  <si>
    <t>ABC del Plan de Desarrollo Distrital. Objetivos de Salud, Devolución del PDD y Mesa local por el Cuidado de la Salud.</t>
  </si>
  <si>
    <t>2024-06-28_PEDAGOGICA DEL PDD 2024-2028_SECTOR SALUD</t>
  </si>
  <si>
    <t>ABC PDD  Y PPT -PDD</t>
  </si>
  <si>
    <t>Gestión con Actores Estratégicos - Sector Occidente (CPL Engativá)</t>
  </si>
  <si>
    <t>Fortalecer las relaciones con los actores estratégicos del territorio para articular los procesos de participación. CPL Engativá</t>
  </si>
  <si>
    <t>Milena Pérez</t>
  </si>
  <si>
    <t>3172464477</t>
  </si>
  <si>
    <t>Alcaldía Local de Engativá</t>
  </si>
  <si>
    <t>Participación Plan Distrital de Desarrollo, socialización de construcción PDD, reunión con sectores CPL Engativá</t>
  </si>
  <si>
    <t>2024-06-27_GAE - SECTOR OCCIDENTE (CPL ENGATIVA)</t>
  </si>
  <si>
    <t>Comite meta asamblea</t>
  </si>
  <si>
    <t>Nueva propuesta para 60 cupos y revisión de presupuesto</t>
  </si>
  <si>
    <t xml:space="preserve">
https://teams.microsoft.com/l/meetup-</t>
  </si>
  <si>
    <t>Avances meta asambleas</t>
  </si>
  <si>
    <t>2024-06-27_COMITE META ASAMBLEA</t>
  </si>
  <si>
    <t xml:space="preserve">OK. Reunion de gestion contiene acta, listado de asistencia </t>
  </si>
  <si>
    <t>Gestión con actores estratégicos - Localidad Usaquen (JAC)</t>
  </si>
  <si>
    <t>Johan Alberto Bonilla Lesmes</t>
  </si>
  <si>
    <t>3125836658</t>
  </si>
  <si>
    <t xml:space="preserve">Sin información </t>
  </si>
  <si>
    <t>San Antonio Norte</t>
  </si>
  <si>
    <t xml:space="preserve">KR 8d # 181 -50 </t>
  </si>
  <si>
    <t xml:space="preserve">Plan Distrita de Desarrollo, acuerdo 927/2024, devolución PDD </t>
  </si>
  <si>
    <t>2024-06-27_GAE - LOCALIDAD USAQUEN JAC</t>
  </si>
  <si>
    <t xml:space="preserve">Gestión con actores estrategicos - JAC UPL Kennedy </t>
  </si>
  <si>
    <t>Fortalecer las relaciones con los actores estratégicos del territorio para articular los procesos de participación. JAC CARVAJAL OSORIO, JAC  FLORALIA, JAC VALENCIA BOMBAY.</t>
  </si>
  <si>
    <t>Edén, Patio Bonito, Bosa</t>
  </si>
  <si>
    <t>Cra 68 L # 37 d 38 sur 
Salón comunal Carvajal Osorio</t>
  </si>
  <si>
    <t>Invitación a devolución sector suroccidente a actores estratégicos del territorio para articular los procesos de participación como la JAC Carvajal osorio, Flolaria y Valencia bombay.</t>
  </si>
  <si>
    <t>2024-06-27_GAE - JAC UPL KENNEDY</t>
  </si>
  <si>
    <t>Gestión con actores estratégicos - Sector Suroccidente UPL El Edén</t>
  </si>
  <si>
    <t>Holanda, El Carmelo, Casa blanca.</t>
  </si>
  <si>
    <t>Carrera 87J No. 56F - 08 Sur Bosa Holanda</t>
  </si>
  <si>
    <t>Actividades a desarrollar en el marco del PDD</t>
  </si>
  <si>
    <t>2024-06-27_GAE - SECTOR SUROCCIDENTAL UPL EL EDEN</t>
  </si>
  <si>
    <t>Gestión con Actores Estratégicos – Localidad Chapinero CPL</t>
  </si>
  <si>
    <t>Fortalecer las relaciones con los actores estrategicos del territorio para articular los procesos de participación, CPL Chapinero</t>
  </si>
  <si>
    <t>Danna Gomez</t>
  </si>
  <si>
    <t>3002367395</t>
  </si>
  <si>
    <t>dannaguzman031@gmail.com</t>
  </si>
  <si>
    <t>carrera 17 #52-58 pecas y fresas</t>
  </si>
  <si>
    <t>Plan de desarrollo distrital y POT</t>
  </si>
  <si>
    <t>Tramitar gestion de presentacion POT para UPL chapinero</t>
  </si>
  <si>
    <t>2024-06-27_GAE - LOCALIDAD CHAPINERO CPL</t>
  </si>
  <si>
    <t>Gestión con actores estratégicos Suroccidente - Asojuntas Tintal</t>
  </si>
  <si>
    <t>Fortalecer las relaciones con los actores estratégicos del territorio para articular los procesos de participación. Asojuntas Tintal</t>
  </si>
  <si>
    <t>Villa Alsacia, Castilla, Techo de Bavaria</t>
  </si>
  <si>
    <t>Calle 11A 72D 20 barrio villa alsacia salón comunal</t>
  </si>
  <si>
    <t>Invitación a devolución sector suroccidente a actores estratégicos del territorio para articular los procesos de participación como la JAC Villa alsacia y fundavivir  de la UPL Tintal</t>
  </si>
  <si>
    <t xml:space="preserve">enviar ABC Plan de Desarrollo </t>
  </si>
  <si>
    <t>2024-06-27_GAE - SUROCCIDENTE ASOJUNTAS TINTAL</t>
  </si>
  <si>
    <t>Reunión con gremio de comerciantes y autopartistas AE campin 7 de agosto</t>
  </si>
  <si>
    <t>Dialogar con representantes de los colectivos autopartistas y comerciantes ubicados en el área de influencia de la AE campin 7 de agosto.</t>
  </si>
  <si>
    <t>Gabriel Prieto</t>
  </si>
  <si>
    <t>323 813 7062</t>
  </si>
  <si>
    <t>gabrielprieto754@gmail.com</t>
  </si>
  <si>
    <t>La Paz</t>
  </si>
  <si>
    <t>Kra 30 # 25 - 90 Pisos mezzanine</t>
  </si>
  <si>
    <t>Compartir la fase de directrices y resolver las imprecisiones alrededor de la AE campin 7 de agosto, con actores especializados del sector.</t>
  </si>
  <si>
    <t>2024-06-28_GREMIO DE COMERCIANTES Y AUTOPARTISTAS AE CAMPIN 7 DE AGOSTO</t>
  </si>
  <si>
    <t xml:space="preserve">PPT A.E directrices para lo publico </t>
  </si>
  <si>
    <t>https://acortar.link/b7IQXG</t>
  </si>
  <si>
    <t>Gestión con actores estratégicos -  CPL Tunjuelito</t>
  </si>
  <si>
    <t>Fortalecer las relaciones con los actores estratégicos del territorio para articular los procesos de participación. Consejo de Planeación Local (CPL) de Tunjuelito. CPL de Tunjuelito</t>
  </si>
  <si>
    <t>Kevin Cediel</t>
  </si>
  <si>
    <t>3057639358</t>
  </si>
  <si>
    <t>cpltunjuelito2024@gmail.com</t>
  </si>
  <si>
    <t>Plan de Desarrollo Distrital; POT SPT; Acción devoluciín PDD;</t>
  </si>
  <si>
    <t>2024-06-28_GAE - CPL TUNJUELITO</t>
  </si>
  <si>
    <t>OK. El listado de asistencia se encuentra en construcción por parte del CPL Tunjuelito, ya que, al ser un espacio autónomo, ellos pidieron ser los encargados de estas evidencias. Se suministrará entre el 8 y 12 de julio</t>
  </si>
  <si>
    <t>Reunion para equipos plan de trabajo asamableas ciudadanas</t>
  </si>
  <si>
    <t>Revisión plan de trabajo convocatoria de asambleas deliberativas</t>
  </si>
  <si>
    <t>LLamada telefonica</t>
  </si>
  <si>
    <t>Presentación lideres de las SDP para meta asambleas deliberativas</t>
  </si>
  <si>
    <t>2024-06-28_PLAN DE TRABAJO ASAMBLEAS CIUDADANAS</t>
  </si>
  <si>
    <t xml:space="preserve">OK. Reu de gestión contiene solo acta </t>
  </si>
  <si>
    <t>Apoyo Escuela Nacional León Zuleta</t>
  </si>
  <si>
    <t>Apoyar la Escuela Nacional León Zuleta Bloque Ideológico-  movimiento social dando cumplimiento al plan de accion de la política publica LGBTI</t>
  </si>
  <si>
    <t>Nemias Gomez</t>
  </si>
  <si>
    <t>carrera 13A # 38-60</t>
  </si>
  <si>
    <t xml:space="preserve">Acompañamiento y apoyo a escuela del colectivo león Zuleta en el marco del cumplimiento a meta del plan de accion de la política publica LGBTI </t>
  </si>
  <si>
    <t>2024-06-28_ESCUELA NACIONAL LEON ZULETA</t>
  </si>
  <si>
    <t>Activación de actores alcaldía local de Rafael Uribe Uribe</t>
  </si>
  <si>
    <t>Socializar con funcionarios de la alcaldía local de Rafael Uribe Uribe el plan de desarrollo distrital</t>
  </si>
  <si>
    <t>Maribel Neusa</t>
  </si>
  <si>
    <t>maribel.neusa@gobiernobogota.gov.co</t>
  </si>
  <si>
    <t>Alcaldía local de Rafael Uribe calle 32 sur no. 23 62</t>
  </si>
  <si>
    <t>ABC Del Plan De Desarrollo Distrital, Principales Logros</t>
  </si>
  <si>
    <t>2024-06-28_ACTIVACION DE ACT ALCALDÍA LOCAL DE RUU</t>
  </si>
  <si>
    <t>Activación de actores líderes comunitarios asistentes a proceso de formación recursos humanos</t>
  </si>
  <si>
    <t>Socializar a los asistentes del técnico de recursos humanos acerca deñ Plan Distrital de Desarrollo, el ABC, se les invita a devolución del sector suroriental</t>
  </si>
  <si>
    <t>301 4581223</t>
  </si>
  <si>
    <t>Resurección</t>
  </si>
  <si>
    <t>Colegio Misael Pastrana Borrero</t>
  </si>
  <si>
    <t>Socialización del Plan de Desarrollo Distrital,  metas de la localidad, el ABC y se invita a la devolución sector suroriental</t>
  </si>
  <si>
    <t xml:space="preserve">2024-06-29_ACTIVACION DE ACT LIDERES COMUNITARIOS </t>
  </si>
  <si>
    <t>Reactivación actores JAC La Merced</t>
  </si>
  <si>
    <t>Socializar el Plan de Desarrollo Distrital, el ABC, presentar los principales proyectos del plan y convocar a la devolución de la sur oriental</t>
  </si>
  <si>
    <t>Sonia Ortegon</t>
  </si>
  <si>
    <t>3115904087</t>
  </si>
  <si>
    <t>sonicortega3@gmail.com</t>
  </si>
  <si>
    <t>La Merced</t>
  </si>
  <si>
    <t>Jac la Merced</t>
  </si>
  <si>
    <t>2024-06-29_REACTIVACION ACT JAC LA MERCED</t>
  </si>
  <si>
    <t>Reactivación de actores</t>
  </si>
  <si>
    <t>Socializar el Plan de Desarrollo Distrital, su ABC y convocarlo a devolución de la zona Sur Oriental</t>
  </si>
  <si>
    <t>Norbey Molina</t>
  </si>
  <si>
    <t>3118963558</t>
  </si>
  <si>
    <t>norbe4692008@gmail.com</t>
  </si>
  <si>
    <t>Resurrección</t>
  </si>
  <si>
    <t>Jac Resurrección</t>
  </si>
  <si>
    <t>2024-06-29_REACTIVACION DE ACTORES</t>
  </si>
  <si>
    <t>Orion Mi orgullo Stonewall Inn</t>
  </si>
  <si>
    <t>Apoyar Conmemoración Orión Mi orgullo Stonewall Inn, dando cumplimiento al plan de accion de la política publica LGBTI</t>
  </si>
  <si>
    <t xml:space="preserve">Universidad Distrital Francisco José de Caldas Cra 8 N 40 - 43
</t>
  </si>
  <si>
    <t>Conmemoración Orión Mi orgullo Stonewall Inn</t>
  </si>
  <si>
    <t>2024-06-29_ORION MIORGULLO STONEWALL INN</t>
  </si>
  <si>
    <t xml:space="preserve">Ok evidencias completas </t>
  </si>
  <si>
    <t>Marcha LGBTI 2024</t>
  </si>
  <si>
    <t>Celebrar la diversidad y el Orgullo Bogotá en la Gran Marcha del Orgullo LGBTI</t>
  </si>
  <si>
    <t xml:space="preserve">David Alonso </t>
  </si>
  <si>
    <t xml:space="preserve"> 3004458788</t>
  </si>
  <si>
    <t>dalonso@sdp.gov.co</t>
  </si>
  <si>
    <t>Santafe</t>
  </si>
  <si>
    <t>carrera 7 # 11-10</t>
  </si>
  <si>
    <t xml:space="preserve">Participación en marcha como parte de la articulación interinstitucional con la DDSPG </t>
  </si>
  <si>
    <t>2024-06-30_MARCHA LGBTIQ 2024</t>
  </si>
  <si>
    <t>Comite de convocatoria para asambleas ciudadanas</t>
  </si>
  <si>
    <t xml:space="preserve">Se realizará la revisión de la convocatoria </t>
  </si>
  <si>
    <t xml:space="preserve">Reunión de Microsoft Teams
</t>
  </si>
  <si>
    <t>Convocatoria meta asambleas</t>
  </si>
  <si>
    <t>2024-07-02_COMITE DE CONVOCATORIA PARA A CIUDADANAS</t>
  </si>
  <si>
    <t xml:space="preserve">OK. Reunion de gestion solo contiene acta </t>
  </si>
  <si>
    <t>3012144352</t>
  </si>
  <si>
    <t>mdoncel@participacionbogota.gov.co</t>
  </si>
  <si>
    <t>Dirección Local de Educación Cra 7 No. 22 - 44 piso 2</t>
  </si>
  <si>
    <t>Socialización talleres en salud en el Laboratorio TIPS - S. Salud,  Presupuestos participativos - Alcaldía Local y Programa de escalamientos de conflictos y acompañamientos - Gobierno</t>
  </si>
  <si>
    <t>2024-07-02_SESION JULIO</t>
  </si>
  <si>
    <t xml:space="preserve">PPT Bogota camina segura  PDD </t>
  </si>
  <si>
    <t>Gestión con actores estratégicos - Consejo Local de Ruralidad Usme (UPL CUENCA DEL TUNJUELO)</t>
  </si>
  <si>
    <t xml:space="preserve">Otilia Cuervo </t>
  </si>
  <si>
    <t>3194549230</t>
  </si>
  <si>
    <t>nomaneja@gmail.com</t>
  </si>
  <si>
    <t xml:space="preserve">Comunidad rural de Usme </t>
  </si>
  <si>
    <t>Alcaldía Local de Sumapaz</t>
  </si>
  <si>
    <t>Plan Distrital de Desarrollo - Política Pública de Ruralidad</t>
  </si>
  <si>
    <t xml:space="preserve">Enviar via correo la presentacion </t>
  </si>
  <si>
    <t>En el espacio se acuerda realizar el taller de devolución el sábado 14 de septiembre, en el Colegio El Destino</t>
  </si>
  <si>
    <t>2024-07-02_GAE - CONSEJO LOCAL DE RURALIDAD USME</t>
  </si>
  <si>
    <t xml:space="preserve">Presentación del PDD </t>
  </si>
  <si>
    <t>CLIP Fontibon</t>
  </si>
  <si>
    <t xml:space="preserve">Encuentros Ciudadanos Fontibón, Fortalecimiento Instancias Participación, IV fase del plan de Desarrollo Distrital </t>
  </si>
  <si>
    <t xml:space="preserve">Ok Evidencias completas </t>
  </si>
  <si>
    <t>Reunión Ordinaria Mesa Directiva CTPD</t>
  </si>
  <si>
    <t>Liliana de los Angeles Urrego Navarro</t>
  </si>
  <si>
    <t>Presupuesto Plan de Acción 2024 y cuentas de correo CTPD/SDP</t>
  </si>
  <si>
    <t>2024-07-02_MESA DIRECTIVA CTPD</t>
  </si>
  <si>
    <t>Gestión: Activación de actores UPL San Cristóbal CPL</t>
  </si>
  <si>
    <t>Ricardo Nieto</t>
  </si>
  <si>
    <t>3106285045</t>
  </si>
  <si>
    <t>Alcaldía Local de San Cristóbal. Cl. 20 Sur, San Cristóbal, Bogotá</t>
  </si>
  <si>
    <t>Notificación a la comunidad de la última fase del PDD (la devolución) del sector sur oriental, formación de comités ciudadanos y notificación de las asambleas deliberativas.</t>
  </si>
  <si>
    <t>2024-07-02_GAE - UPL SAN CRISTOBAL CPL</t>
  </si>
  <si>
    <t xml:space="preserve">ABC PDD, ACUERDO 927, lISTADO DE METAS Y PTT CLIP SAN cRISTOBAL </t>
  </si>
  <si>
    <t xml:space="preserve">Evidencias completas </t>
  </si>
  <si>
    <t xml:space="preserve">Reunión de Gestión: preparatoria taller de devolución UPL Sumapaz </t>
  </si>
  <si>
    <t xml:space="preserve">Dar los lineamientos de las actividades de devolución al equipo de apoyo. </t>
  </si>
  <si>
    <t xml:space="preserve">Herramientas para los talleres de devolución. </t>
  </si>
  <si>
    <t>2024-07-03_PREPARATORIA DEVOLUCION SUMAPAZ</t>
  </si>
  <si>
    <t xml:space="preserve">OK. Reunión de gestión : contiene acta y registro fotografico </t>
  </si>
  <si>
    <t>9:00 am</t>
  </si>
  <si>
    <t>Articular las acciones de la OPDC al plan de acción de la Mesa de Cultura Ciudadana con entidades del distrito</t>
  </si>
  <si>
    <t>Presentación del Plan de Acción de la Mesa de Cultura Ciudadana, de manera específica las temáticas intersectoriales donde tiene interacción la SDP.</t>
  </si>
  <si>
    <t>2024-07-03_ MESA DE CULTURA CIUDADANA</t>
  </si>
  <si>
    <t>654 A</t>
  </si>
  <si>
    <t xml:space="preserve">ok reunion de gestion </t>
  </si>
  <si>
    <t>Acompañar la articulación de los esfuerzos institucionales de participación en la localidad de Sumapaz</t>
  </si>
  <si>
    <t xml:space="preserve">Cristian Torres </t>
  </si>
  <si>
    <t>3232073505</t>
  </si>
  <si>
    <t xml:space="preserve">Reglamento de la CLIP, PDD y PDL. </t>
  </si>
  <si>
    <t>2024-07-03_SESION JULIO</t>
  </si>
  <si>
    <t>Capacitación general - Fase IV PDD</t>
  </si>
  <si>
    <t>Capacitar al equipo territorial, sobre las especificidades de la metodología para las devoluciones del PDD</t>
  </si>
  <si>
    <t>Auditorio SuperCAD</t>
  </si>
  <si>
    <t>Especificidades de la metodología para la Fase IV - Reconocimiento de la acción colectiva</t>
  </si>
  <si>
    <t>2024-07-03_CAPACITACIÓN GENERAL - FASE IV PDD</t>
  </si>
  <si>
    <t xml:space="preserve">Reu. de gestion: contiene acta, listado de asistencia y registro fotografico </t>
  </si>
  <si>
    <t>Acompañar la articulación de los esfuerzos institucionales de participación en la localidad de Rafael Uribe Uribe</t>
  </si>
  <si>
    <t>Alvaro Cordoba</t>
  </si>
  <si>
    <t>Calle 32sur No 23 62</t>
  </si>
  <si>
    <t>Acompañar la articulación de los esfuerzos institucionales de participación en la localidad de RAfael Uribe Uribe</t>
  </si>
  <si>
    <t xml:space="preserve">OK Evidencias completas, el Listado de asistencia esta inserto dentro del acta </t>
  </si>
  <si>
    <t>Gestión actores estratégicos Norte - JAC Santa Mónica</t>
  </si>
  <si>
    <t>Fortalecer las relaciones con los actores estratégicos del territorio para articular los procesos de participación. JAC Santa Mónica</t>
  </si>
  <si>
    <t>William Chaves Barbosa</t>
  </si>
  <si>
    <t>3125219721</t>
  </si>
  <si>
    <t xml:space="preserve">kr 16b # 167b - 74 </t>
  </si>
  <si>
    <t xml:space="preserve">ABC del Plan Distrital de Desarrollo, Devolución PDD fase IV </t>
  </si>
  <si>
    <t>2024-07-03_GAE - NORTE JAC SANTA MONICA</t>
  </si>
  <si>
    <t>AE Calle 72 - Taller Ambientalistas Barrios Unidos</t>
  </si>
  <si>
    <t xml:space="preserve">Reunión con líderes ambientalistas del sector AE campin 7 de agosto. </t>
  </si>
  <si>
    <t xml:space="preserve">jhon jairo garcia </t>
  </si>
  <si>
    <t>meet.google.com/reh-vfem-mrx</t>
  </si>
  <si>
    <t>Recibir de la comunidad información sobre temas ambientales de la AE Calle 72 correspondiente a la UPL Barrios Unidos.</t>
  </si>
  <si>
    <t>2024-07-03_AE CL 72 TALLER AMBIENTALISTAS BU</t>
  </si>
  <si>
    <t>659A</t>
  </si>
  <si>
    <t>Territorios Progreso Fundación Social</t>
  </si>
  <si>
    <t>Acompañamiento en la mesa para Territorios de Progreso de la Fundación Social</t>
  </si>
  <si>
    <t xml:space="preserve">Ximena torres </t>
  </si>
  <si>
    <t>Bilbao</t>
  </si>
  <si>
    <t>Calle 72 No 10-71  Fundación Social</t>
  </si>
  <si>
    <t>Se trabajó en el diseño del componente de participación como parte de la estrategia de fortalecimiento que adelanta la Fundación Grupo Social en los territorios de Bilbao en Suba y Sierra Morena en Ciudad Bolívar y que se denomina Territorios Progreso. A esta mesa de trabajo fuimos como invitados para contribuir al proceso de co-creación de la estrategia y adelantar gestiones de articulación de actores.</t>
  </si>
  <si>
    <t>2024-07-04_TERRITORIOS PROGRESO FUNDACIÓN SOCIAL</t>
  </si>
  <si>
    <t xml:space="preserve">OK. Evidencias completas, fue una reunion a la cual fuimos invitados </t>
  </si>
  <si>
    <t>3004241263</t>
  </si>
  <si>
    <t>Sede de la Antigua ubicada en al Calle 120 A # 7-55</t>
  </si>
  <si>
    <t xml:space="preserve">Plan de Acción previsto para el desarrollo de la CLIP y se explicó y se realizó un taller sobre la estrategia de Bogotá Distribuye lo Local </t>
  </si>
  <si>
    <t>2024-07-04_SESION JULIO</t>
  </si>
  <si>
    <t xml:space="preserve">CLIP Candelaria </t>
  </si>
  <si>
    <t>Acompañar la sesión de la CLIP, para la articulación de los esfuerzos institucionales de participación en la localidad de la Candelaria.</t>
  </si>
  <si>
    <t>Diana Alexandra Mutiz Arcos</t>
  </si>
  <si>
    <t>3102079889</t>
  </si>
  <si>
    <t>Casa Comunitaria de La Concordia (Calle 12 d # 3 - 22)</t>
  </si>
  <si>
    <t>Revisión de acta anterior, presentación de equipo territorial del IDPAC, ejercicio de distribución de presupuestos locales</t>
  </si>
  <si>
    <t xml:space="preserve">ppt agenda de CLIP, circular 04 de 2024, presentacion Bogota Distribuye local, formulario PP </t>
  </si>
  <si>
    <t xml:space="preserve"> Gestión con actores estratégicos - UPL Porvenir (JAC)</t>
  </si>
  <si>
    <t>Fortalecer las relaciones con los actores estratégicos del territorio para articular los procesos de participación. JAC en la UPL Porvenir.</t>
  </si>
  <si>
    <t>Jaime Guarin</t>
  </si>
  <si>
    <t>3115649961</t>
  </si>
  <si>
    <t>Centauros</t>
  </si>
  <si>
    <t>Carrera 92a # 56h - 40 sur (salón comunal los centauros)</t>
  </si>
  <si>
    <t>Invitación a devolución PDD y sus generalidades.</t>
  </si>
  <si>
    <t>2024-07-04_GAE - UPL PORVENIR JAC</t>
  </si>
  <si>
    <t>Sesión Mesa Técnica - CTPD</t>
  </si>
  <si>
    <t xml:space="preserve">Realizar el acompañamiento como Secretaría Técnica a la sesión de Mesa Técnica del CTPD y continuar con el orden del día. </t>
  </si>
  <si>
    <t>Se decidió para el 25 de julio hacer la devolución del PDD por parte de Distrito. - Se dio la explicación del diplomado por pate de la UNAD. - Se mencionó el tema de las inasistencias donde se concluyó que se realizará un informe detallado y será tomadas en plenaria las medidas a tomar. - Se acordó participar de la invitación hecha por D.C. Radio. - Se aprobó la pieza comunicativa sobre el comunicado por el asesinato de la lideresa Alba Rocío Riaño Nossa.</t>
  </si>
  <si>
    <t>2024-07-04_MESA TECNICA CTPD</t>
  </si>
  <si>
    <t xml:space="preserve">Enlace de la reu, ppt orden del dia </t>
  </si>
  <si>
    <t>Gestión con actores estratégicos - UPL Tintal JACS</t>
  </si>
  <si>
    <t>Fortalecer las relaciones con los actores estratégicos del territorio para articular los procesos de participación. JACS  (JAC Tintal, Andalucía 1 y 2,Vision Colombia, Vergel, Santa catalina y Villa Liliana)</t>
  </si>
  <si>
    <t>Claudio Fonseca Salamanca</t>
  </si>
  <si>
    <t>3014448013</t>
  </si>
  <si>
    <t>claudiofonseka@hotmail.com</t>
  </si>
  <si>
    <t>Salón Comunal El Tintal- Calle 13 bis # 80D-32</t>
  </si>
  <si>
    <t>Invitación a devolución sector sur occidente de plan distrital de desarrollo</t>
  </si>
  <si>
    <t>2024-07-04_GAE - UPL TINTAL JACS</t>
  </si>
  <si>
    <t>Presentación de Resultados del Diálogo Ciudadano - Actuación Estratégica Montevideo</t>
  </si>
  <si>
    <t>Presentar los resultados del diálogo ciudadano de directrices de la AE Montevideo</t>
  </si>
  <si>
    <t>Daniel Pérez Sarmiento</t>
  </si>
  <si>
    <t>3103168517</t>
  </si>
  <si>
    <t>jacbpuentearanda@gmail.com</t>
  </si>
  <si>
    <t>Carrera 56 # 15-34</t>
  </si>
  <si>
    <t>Se presentaron los resultados que surgieron del diálogo ciudadano de directrices de la AE Montevideo</t>
  </si>
  <si>
    <t>Envío memorias del espacio.</t>
  </si>
  <si>
    <t>2024-07-05_DEVOLUCION AE MONTEVIDEO</t>
  </si>
  <si>
    <t xml:space="preserve">PPT AE Montevideo </t>
  </si>
  <si>
    <t xml:space="preserve">Falta anonimizar Acta para devolver </t>
  </si>
  <si>
    <t>https://acortar.link/rS4bId</t>
  </si>
  <si>
    <t>Comisión POT - CTPD</t>
  </si>
  <si>
    <t>Sesión Extraordinaria de la comicion POT CTPD</t>
  </si>
  <si>
    <t>Angela Patricia Manrique</t>
  </si>
  <si>
    <t>Revisión del Presupuesto asignado al plan de acción de la comisión</t>
  </si>
  <si>
    <t>2024-07-05_COMISION POT</t>
  </si>
  <si>
    <t xml:space="preserve">Ok  evidencias completas </t>
  </si>
  <si>
    <t>Socialización del Sistema de Participación Territorial y el Plan Distrital de Desarrollo a los Observatorios Ciudadanos Locales de Tunjuelito y Bosa</t>
  </si>
  <si>
    <t>Acompañar y socializar los Sistemas de Participación Territorial y el Plan Distrital de Desarrollo en la localidad de Bosa.</t>
  </si>
  <si>
    <t>Magda Katherine Ayala De La Rosa</t>
  </si>
  <si>
    <t>correspondencia@veeduriadistrital.gov.co</t>
  </si>
  <si>
    <t>Casa de la participación Bosa (Carrera 80k # 61-28 sur)</t>
  </si>
  <si>
    <t>Socialización del Sistema de Participación Territorial y el Plan Distrital de Desarrollo.</t>
  </si>
  <si>
    <t>2024-07-05_SOCIALIZACIÓN DEL SPT Y  EL PDD A LOS OCL DE TUNJUELITO Y BOSA</t>
  </si>
  <si>
    <t>Acompañamiento a citación Bogota te escucha (barrio Coordillera Sur)</t>
  </si>
  <si>
    <t>Acompañar la reunion convocada el señor Luis Francisco Mártinez en el portal de Bogotá te escucha e invitar a la devolución ciudadana construcción PDD - Sector Suroriente</t>
  </si>
  <si>
    <t xml:space="preserve"> 311 2565627</t>
  </si>
  <si>
    <t>Coordillera Sur</t>
  </si>
  <si>
    <t>Subdirección de Planeamiento Local del Suroriente</t>
  </si>
  <si>
    <t>el objetivo de la reunión es escuchar a la ciudadanía referente al DP de bogota te escucha e invitar a la  Devolución ciudadana construcción PDD - Sector Suroriente</t>
  </si>
  <si>
    <t>2024-07-06_ACOMPAÑAMIENTO BTE BARRIO CORDILLERA SUR</t>
  </si>
  <si>
    <t>Ok, evidencias completas</t>
  </si>
  <si>
    <t>Jornadas de devolución AE Calle 72.</t>
  </si>
  <si>
    <t>Realizar jornada de socialización en la fase de directrices frente a las propuestas que fueron o no incluidas en la AE calle 72, reconociendo la participación ciudadana.</t>
  </si>
  <si>
    <t>Simón Bolívar</t>
  </si>
  <si>
    <t>Cra. 52 #74-61</t>
  </si>
  <si>
    <t>Presentación de la cartografía social y acciones de la estrategia de participación desarrollada para la AE de la Calle 72.</t>
  </si>
  <si>
    <t>2024-07-06_JORNADAS DEVOLUCION AE CALLE 72</t>
  </si>
  <si>
    <t xml:space="preserve">OK. Reu. renobo evidencias completas </t>
  </si>
  <si>
    <t xml:space="preserve">Devolución ciudadana construcción PDD - UPL Sumapaz  - Nazareth </t>
  </si>
  <si>
    <t>Realizar la devolución y rendición de cuentas sobre los resultados de la participación en la formulación del Plan Distrital de Desarrollo y la Socialización del acuerdo adoptado con miras a promover la confianza, apropiación y corresponsabilidad para la futura implementación del plan.</t>
  </si>
  <si>
    <t>Dayanna Alexandra Cortes</t>
  </si>
  <si>
    <t xml:space="preserve">Heriberto Bernal </t>
  </si>
  <si>
    <t>312 5695208</t>
  </si>
  <si>
    <t xml:space="preserve">Salón comunal de Nazareth </t>
  </si>
  <si>
    <t>Logros de la comunidad rural en el Plan Distrital de Desarrollo</t>
  </si>
  <si>
    <t xml:space="preserve">Realizar el envío de las memorias del espacio a la ciudadanía asistente. </t>
  </si>
  <si>
    <t xml:space="preserve">Las ciudadanas Esperanza Rubiano y Fredesminda Rubiano solicitaron dos derechos de petición de forma verbal, relacionados con los predios privados, donde se proyectan los Proyectos Integrales de Proximidad.  </t>
  </si>
  <si>
    <t xml:space="preserve">La ciudadana Esperanza Rubiano solicita recibir más información sobre el Sistema de Participación Territorial, a través del correo electrónico.  </t>
  </si>
  <si>
    <t>2024-07-06_TALLER DEVOLUCIÓN UPL SUMAPAZ - NAZARETH</t>
  </si>
  <si>
    <t>ABC PDD, Folleto estructura PDD, Infografia, Matriz de aportes talleres</t>
  </si>
  <si>
    <t>https://acortar.link/ZEpFD2</t>
  </si>
  <si>
    <t>Devolución ciudadana construcción PDD - UPL Sumapaz - Betania</t>
  </si>
  <si>
    <t>Carlos Pulido</t>
  </si>
  <si>
    <t xml:space="preserve">Salón comunal vereda Betania </t>
  </si>
  <si>
    <t>Explicación general del PDD, ruta de la participación en la ruralidad, programas específicos en la ruralidad que se lograron y no se lograron, SPT con los comités ciudadanos como herramienta de veeduría y los PIP en las ruralidades.</t>
  </si>
  <si>
    <t xml:space="preserve">Devolver memorias </t>
  </si>
  <si>
    <t>2024-07-06_TALLER DEVOLUCIÓN UPL SUMPAZ - BETANIA</t>
  </si>
  <si>
    <t>ABC PDD, Folleto estructura PDD, Infografia</t>
  </si>
  <si>
    <t>https://acortar.link/WmyZ1u</t>
  </si>
  <si>
    <t xml:space="preserve">CLIP extraordinaria Kennedy </t>
  </si>
  <si>
    <t>Acompañar la sesión extraordinaria citada por la secretaría técnica del IDPAC para continuar en el proceso de articulación de los esfuerzos institucionales de participación en la localidad de Kennedy.</t>
  </si>
  <si>
    <t>Mesas de concertación y Bogotá distribuye lo local.</t>
  </si>
  <si>
    <t>2024-07-13_SESION EXTRAORDINARIA JULIO</t>
  </si>
  <si>
    <t xml:space="preserve">Activación de actores JAL Tunjuelito </t>
  </si>
  <si>
    <t xml:space="preserve">Fortalecer las relaciones con los actores estratégicos del territorio para articular los procesos de participación.  JAL Tunjuelito </t>
  </si>
  <si>
    <t xml:space="preserve">Viviana Castiblanco </t>
  </si>
  <si>
    <t>3106804403</t>
  </si>
  <si>
    <t xml:space="preserve">Tunjuelito </t>
  </si>
  <si>
    <t>Subdirección de Planeamiento Local del Sur Oriente</t>
  </si>
  <si>
    <t>Diagonal 50 A No. 18 – 48 sur barrio San Carlos</t>
  </si>
  <si>
    <t>Plan Distrital de Desarrollo - Acción de devolución PDD Suroriente - CONFIS</t>
  </si>
  <si>
    <t>2024-07-08_ACT ACTORES JAL TUNJUELITO</t>
  </si>
  <si>
    <t xml:space="preserve">PPT del Plan de Desarrollo Distrital </t>
  </si>
  <si>
    <t>Socialización PIP JAL Tunjuelito</t>
  </si>
  <si>
    <t>Socializar los PIP para posicionarlos con los actores locales</t>
  </si>
  <si>
    <t>310 6804403</t>
  </si>
  <si>
    <t>viviana.edil2023@gmail.com</t>
  </si>
  <si>
    <t xml:space="preserve">San Carlos </t>
  </si>
  <si>
    <t>Alcaldía local de Tunjuelito - Diagonal 50 A # 18 - 48 Sur - Barrio San Carlos</t>
  </si>
  <si>
    <t xml:space="preserve">Proyectos Integrales de Proximidad - Plan de Desarrollo Local </t>
  </si>
  <si>
    <t>2024-07-08_SOCIALIZACION PIP JAL TUNJUELITO</t>
  </si>
  <si>
    <t>673 A</t>
  </si>
  <si>
    <t>Gestión: Activación de actores UPL San Cristóbal Subred Centro Oriente.</t>
  </si>
  <si>
    <t>Fortalecer las relaciones con los actores estratégicos del territorio para articular los procesos de participación. SubSubred Centro Oriente</t>
  </si>
  <si>
    <t>Ángela Rocio Arciniegas</t>
  </si>
  <si>
    <t>3133879803</t>
  </si>
  <si>
    <t>localsancristobal04@gmail.com</t>
  </si>
  <si>
    <t>Centro de Desarrollo Comunitario San Blas Cra. 3 Este #18a Sur57</t>
  </si>
  <si>
    <t>2024-07-08_GAE - UPL SAN CRISTOBAL SUBRED CENTRO ORIENTE</t>
  </si>
  <si>
    <t>Socialización Sistema de Participación Territorial - Observatorio Ciudadano Local de Tunjuelito</t>
  </si>
  <si>
    <t>Socializar el Sistema de Participación Territorial y el Plan Distrital de Desarrollo a los Observatorios Ciudadanos Locales de Tunjuelito y Bosa</t>
  </si>
  <si>
    <t>Magda Katherine Ayala de la Rosa</t>
  </si>
  <si>
    <t>350 8212744</t>
  </si>
  <si>
    <t>Diagonal 50 A # 18 - 48 Sur - Barrio San Carlos, Alcaldía Local de Tunjuelito</t>
  </si>
  <si>
    <t xml:space="preserve">Plan de Desarrollo Distrital - Sistema de Participación Territorial - Plan de Desarrollo Local </t>
  </si>
  <si>
    <t>2024-07-08_SOCIALIZACIÓN SPT - OCL DE TUNJUELITO</t>
  </si>
  <si>
    <t xml:space="preserve">PPT PDD Bogota </t>
  </si>
  <si>
    <t xml:space="preserve">Activación de actores Alcalde Local de Tunjuelito </t>
  </si>
  <si>
    <t xml:space="preserve">Fortalecer las relaciones con los actores estratégicos del territorio para articular los procesos de participación. Alcalde Local de Tunjuelito </t>
  </si>
  <si>
    <t>Marcela Silva</t>
  </si>
  <si>
    <t>3133494865</t>
  </si>
  <si>
    <t>defensorciudadanoSDG@gobiernobogota.gov.co</t>
  </si>
  <si>
    <t xml:space="preserve">Plan de desarrollo distrital - Proyectos Integrales de Proximidad </t>
  </si>
  <si>
    <t>2024-07-08_ACT ACTORES ALCALDE LOCAL TUNJUELITO</t>
  </si>
  <si>
    <t xml:space="preserve">PPT PDD </t>
  </si>
  <si>
    <t xml:space="preserve">Socialización PIP Alcaldía local Tunjuelito </t>
  </si>
  <si>
    <t xml:space="preserve">Socializar los PIP para posicionar los proyectos con los actores locales </t>
  </si>
  <si>
    <t xml:space="preserve">Marcela Silva </t>
  </si>
  <si>
    <t>313 3494865</t>
  </si>
  <si>
    <t>notifica.judicial@gobiernobogota.gov.co</t>
  </si>
  <si>
    <t xml:space="preserve">Proyectos Integrales de Proximidad - Plan de desarrollo local </t>
  </si>
  <si>
    <t>2024-07-08_SOCIALIZACION PIP ALCALDIA TUNJUELITO</t>
  </si>
  <si>
    <t>676 A</t>
  </si>
  <si>
    <t xml:space="preserve"> Gestión con Actores Estratégicos- JAC San Nicolas UPL Niza </t>
  </si>
  <si>
    <t xml:space="preserve">Fortalecer las relaciones con los actores estratégicos del territorio para articular los procesos de participación. JAC San Nicolas </t>
  </si>
  <si>
    <t>Alicia Mogollon</t>
  </si>
  <si>
    <t>3162328074</t>
  </si>
  <si>
    <t xml:space="preserve">San Nicolas </t>
  </si>
  <si>
    <t>Calle 116 # 70C-04</t>
  </si>
  <si>
    <t xml:space="preserve">Socialización del ABC del PDD; explicación de la matriz de metas del PDD 2024-2027; preguntas y respuestas de otros instrimentos de planeación (POT, políticas públicas) </t>
  </si>
  <si>
    <t>2024-07-08_GAE - JAC SAN NICOLAS UPL NIZA</t>
  </si>
  <si>
    <t xml:space="preserve">ABDC del PDD y acuerdo No. 927 de 2024 </t>
  </si>
  <si>
    <t>Gestión actores estratégicos Noroccidente - CPL y Asojuntas Suba</t>
  </si>
  <si>
    <t>Fortalecer las relaciones con los actores estratégicos del territorio para articular los procesos de participación. CPL y Asojuntas</t>
  </si>
  <si>
    <t>Ricardo Diaz</t>
  </si>
  <si>
    <t>311 4439168</t>
  </si>
  <si>
    <t xml:space="preserve">Casa de la Participación Suba </t>
  </si>
  <si>
    <t>PDD, POT, PIP, ALO, AE, Ciudadela Educativa y del Cuidado.</t>
  </si>
  <si>
    <t>2024-07-08_GAE - NOROCCIDENTE - CPL Y ASOJUNTAS SUBA</t>
  </si>
  <si>
    <t>Socialización Sistema de Participación Territorial UPL Niza</t>
  </si>
  <si>
    <t>Socializar el Sistema de Participación Territorial con la UPL Niza motivando para la conformación de los comités ciudadanos de los instrumentos del POT</t>
  </si>
  <si>
    <t>Alicia Mogolla</t>
  </si>
  <si>
    <t>Calle 116 # 70C- 04</t>
  </si>
  <si>
    <t>Socialización Decreto 599 de 2023; explicación del procedimiento de conformación de los comités ciudadanos del SPT en el marco de los instrumentos de planeación del POT</t>
  </si>
  <si>
    <t>Se enviará la presentación del Sistema de Participación</t>
  </si>
  <si>
    <t>2024-07-08_SOCIALIZACION SPT UPL NIZA</t>
  </si>
  <si>
    <t xml:space="preserve">infografia SPT </t>
  </si>
  <si>
    <t xml:space="preserve">Socialización PIP sector Norte - CPL Suba  </t>
  </si>
  <si>
    <t xml:space="preserve">Socializar las generalidades de los PIP al CPL de la localidad de suba Sector Norte </t>
  </si>
  <si>
    <t xml:space="preserve"> 3114439168</t>
  </si>
  <si>
    <t>Casa de la Participación Suba</t>
  </si>
  <si>
    <t xml:space="preserve">Socialización del ABC del PDD y  PIP zona Norte y Zona Noroccidente con CPL Suba </t>
  </si>
  <si>
    <t>2024-07-08_SOCIALIZACION PIP SECTOR NORTE - CPL SUBA</t>
  </si>
  <si>
    <t xml:space="preserve">OK evidencias  completas </t>
  </si>
  <si>
    <t>Sesión Ordinaria Comisión Desarrollo Regional CTPD</t>
  </si>
  <si>
    <t>Realizar el acompañamiento como secretaría técnica a la Sesión Ordinaria de la Comisión de Desarrollo Regional del CTPD, para la construcción del Plan de Trabajo de la Comisión.</t>
  </si>
  <si>
    <t>Se realizó la priorización y la construcción de las estrategias del Plan de Acción de la comisión con el apoyo de la UNAD.</t>
  </si>
  <si>
    <t>2024-07-08_SESION ORDINARIA COMISION DESARROLLO REGIONAL CTPD</t>
  </si>
  <si>
    <t xml:space="preserve">Enlace de grabación  y documento de Voytacion   </t>
  </si>
  <si>
    <t xml:space="preserve">Socialización PIP sector Noroccidente - CPL Suba UPL Tibabuyes, Suba y Rincón de Suba </t>
  </si>
  <si>
    <t xml:space="preserve">Realizar la Socialización PIP  en el sector Noroccidente con la CPL Suba  con las UPLs Tibabuyes, Suba y Rincón de Suba </t>
  </si>
  <si>
    <t>Subdirección de Planeamiento Local del Noroccidente</t>
  </si>
  <si>
    <t>Casa de la participación suba</t>
  </si>
  <si>
    <t>PDD, PIP, Ciudadela Educativa y del Cuidado, ALO Y POT.</t>
  </si>
  <si>
    <t>2024-07-08_SOCIALIZACION PIP SECTOR NOROCCIDENTE - CPL SUBA</t>
  </si>
  <si>
    <t xml:space="preserve">PTT PDD </t>
  </si>
  <si>
    <t>Activación de actores de participación localidad Fontibon</t>
  </si>
  <si>
    <t>Marleiby Acevedo</t>
  </si>
  <si>
    <t>318 6081424</t>
  </si>
  <si>
    <t>macevedos@sdis.gov.co</t>
  </si>
  <si>
    <t>Carrera 104B # 22J-15</t>
  </si>
  <si>
    <t>Proyección CLOPS, Activación de actores de participación, jornada de prevención de tuberculosis</t>
  </si>
  <si>
    <t>2024-07-09_ACTIVACION DE ACT LOCALIDAD FONTIBON</t>
  </si>
  <si>
    <t>Gestión Actores Estratégicos Occidente - CPL Sector Cultura Arte y Patrimonio</t>
  </si>
  <si>
    <t>Fortalecer las relaciones con los actores estratégicos del territorio para articular los procesos de participación con el Sector Cultura, Arte y Patrimonio del CPL Engativá.</t>
  </si>
  <si>
    <t>Milena Perez</t>
  </si>
  <si>
    <t>mileperez1822@gmail.com</t>
  </si>
  <si>
    <t>Santa María del Lago</t>
  </si>
  <si>
    <t>Carrera 76 # 75B - 02</t>
  </si>
  <si>
    <t>Se socializó el ABC del Plan Distrital de Desarrollo, específicamente las 37 metas producto que benefician al sector cultura, arte y patrimonio</t>
  </si>
  <si>
    <t>2024-07-09_GAE - OCCIDENTE - CPL SECTOR CULTURA ARTE Y PATRIMONIO</t>
  </si>
  <si>
    <t>Comite de Asambleas deliberativas</t>
  </si>
  <si>
    <t>Seguimiento de todos los avances realizados para la meta de asambleas deliberativas</t>
  </si>
  <si>
    <t>Angie Sandoval</t>
  </si>
  <si>
    <t xml:space="preserve">https://teams.microsoft.com/dl/launcher/launcher.html?url=%2F_%23%2Fl%2Fmeetup- </t>
  </si>
  <si>
    <t xml:space="preserve">Presentación equipo fundación corona y avances oficio convocatoria </t>
  </si>
  <si>
    <t>2024-07-09_COMITE DE ASAMBLEAS DELIBERATIVAS</t>
  </si>
  <si>
    <t xml:space="preserve">OK. Reu. de gestión contiene solo  acta </t>
  </si>
  <si>
    <t>Acompañar la sesión de la CLIP, para la articulación de los esfuerzos institucionales de participación en la localidad de Engatiá.</t>
  </si>
  <si>
    <t>3005698632</t>
  </si>
  <si>
    <t>Bogotá distribuye lo local y el contrato 379 de protección y bienestar animal</t>
  </si>
  <si>
    <t>2024-07-09_SESION JULIO</t>
  </si>
  <si>
    <t>Acompañar la sesión de la CLIP, para la articulación de los esfuerzos institucionales de participación en la localidad de Tunjuelito.</t>
  </si>
  <si>
    <t>Jessica Pita</t>
  </si>
  <si>
    <t>320 4108010</t>
  </si>
  <si>
    <t>jpita@participacionbogota.gov.co</t>
  </si>
  <si>
    <t>Diagonal 47 A SUR 53 B 27 sur - SLIS Tunjuelito</t>
  </si>
  <si>
    <t xml:space="preserve">Plan de Ordenamiento Territorial - Presupuestos participativos - Invitación Taller de devolución Suroriente </t>
  </si>
  <si>
    <t xml:space="preserve">Presentacion del Decreto 555, ABC del POT Presentacion suroriente </t>
  </si>
  <si>
    <t xml:space="preserve">Alejandro Igua </t>
  </si>
  <si>
    <t>3053986582</t>
  </si>
  <si>
    <t>chapinero</t>
  </si>
  <si>
    <t>Alcaldia Local Chapinero, Auditorio, Carrera 13 #5474, Bogotá</t>
  </si>
  <si>
    <t>Bogota distribuye lo local</t>
  </si>
  <si>
    <t xml:space="preserve">Gestión: Revisión de cartografía SSSM </t>
  </si>
  <si>
    <t>Realizar revisión de cartografia del mapa que compone el Sistema de Sitios Sagrados Muisca con la dirección de cartografia y despacho</t>
  </si>
  <si>
    <t>Gabriel Millan</t>
  </si>
  <si>
    <t>3143092039</t>
  </si>
  <si>
    <t>gmillan@sdp.gov.co</t>
  </si>
  <si>
    <t>Pueblo Muisca</t>
  </si>
  <si>
    <t>Av. Carrera 30#25-90</t>
  </si>
  <si>
    <t>Sistema de sitios sagrados Muisca; Cartografía</t>
  </si>
  <si>
    <t>2024-07-09_REVISION DE CARTOGRAFIA SSSM</t>
  </si>
  <si>
    <t xml:space="preserve">OK. Reu de gestion, contiene acta reg fotografico y asistencia </t>
  </si>
  <si>
    <t>Sesión Ordinaria de la Comisión Plan de Desarrollo Distrital del CTPD</t>
  </si>
  <si>
    <t xml:space="preserve">Realizar el acompañamiento como Secretaría Técnica a la sesión ordinaria de la Comisión de Plan Distrital de Desarrollo, con el objetivo de acordar las fechas y presupuesto del Plan de Acción de la comisión.
</t>
  </si>
  <si>
    <t>3212029774</t>
  </si>
  <si>
    <t>Concertación fechas y presupuesto del Plan de Acción de la comisión.</t>
  </si>
  <si>
    <t>2024-07-09_SESION ORDINARIA DE LA COMISION PDD DEL CTPD</t>
  </si>
  <si>
    <t xml:space="preserve">Enlace de grabacion, ppt orden del dia CTPD </t>
  </si>
  <si>
    <t>Actuación Estratégica Cll. 72 - Encuentro Veeduría Barrio Colombia</t>
  </si>
  <si>
    <t>Encuentro con la Veeduría Ciudadana conformada por empresarios, residentes y lideres del sector de Barrio Colombia.</t>
  </si>
  <si>
    <t>319 468 6812</t>
  </si>
  <si>
    <t>Loa Alcázares</t>
  </si>
  <si>
    <t>Ak. 19 #71a -05 Hotel Inn 72 Nueva Sede</t>
  </si>
  <si>
    <t>Reunión con propietarios y comerciantes del sector para informar sobre la AE Calle 72.</t>
  </si>
  <si>
    <t>2024-07-09_AE CLL. 72 - ENCUENTRO VEEDURÍA BARRIO COLOMBIA</t>
  </si>
  <si>
    <t>Gestión: Reunión preparatoria devolución PDD (Gobierno y OPDC) - Comunidad Raizal</t>
  </si>
  <si>
    <t>Construcción de agenda y metodología para la devolución del PDD con comunidad Raizal</t>
  </si>
  <si>
    <t>3013547532</t>
  </si>
  <si>
    <t>marcus.hooker@gobiernobogota.gov.co</t>
  </si>
  <si>
    <t>Devolución PDD; comunidad raizal; sistema de participación territorial</t>
  </si>
  <si>
    <t>2024-07-09_PREPARATORIA COMUNIDAD RAIZAL</t>
  </si>
  <si>
    <t xml:space="preserve">Ok. Reu. de gestión </t>
  </si>
  <si>
    <t xml:space="preserve">Gestión: capacitación SISBEN </t>
  </si>
  <si>
    <t>Capacitar a los funcionarios de la Secretaría Distrital de Planeación en la plataforma de encuesta SISBEN</t>
  </si>
  <si>
    <t>Alexi Ayala chacon</t>
  </si>
  <si>
    <t>3115086317</t>
  </si>
  <si>
    <t>Aayala@sdp.gov.co</t>
  </si>
  <si>
    <t>Dirección Registro social</t>
  </si>
  <si>
    <t>Auditorio CTPD</t>
  </si>
  <si>
    <t>Se hace la segunda sesión para explicar el desarrollo de encuesta Sisben a los contratistas de la oficina de participación que van a apoyar el desarrollo</t>
  </si>
  <si>
    <t>2024-07-10_CAPACITACION SISBEN</t>
  </si>
  <si>
    <t>Comité Intersectorial del PDD</t>
  </si>
  <si>
    <t>Adelantar el seguimiento a la Comisión Intersectorial para el desarrollo de la Fase IV.</t>
  </si>
  <si>
    <t>Luna Paulina Benjumea</t>
  </si>
  <si>
    <t>Acceso caja de herramientas</t>
  </si>
  <si>
    <t>2024-07-10_COMITE INTERSECTORIA PDD</t>
  </si>
  <si>
    <t xml:space="preserve">Ok. reunion de gestion contiene acta  </t>
  </si>
  <si>
    <t>Reunión de Formación y Pedagogía de Asambleas Ciudadanas</t>
  </si>
  <si>
    <t>Revisar el plan de trabajo para la formación ciudadana en Asambleas Ciudadanas</t>
  </si>
  <si>
    <t xml:space="preserve">Daniela Méndez </t>
  </si>
  <si>
    <t>3184207473</t>
  </si>
  <si>
    <t>Dmendez@extituto.org</t>
  </si>
  <si>
    <t xml:space="preserve">Formación y pedadogía para la Meta Asamblea; Componentes para el diseño de la formación; Experiencias previas de formación para Asambleas Ciudadanas. </t>
  </si>
  <si>
    <t>2024-07-10_REU FORMACION Y PEDAGOGIA DE ASAMBLEAS CIUDADANAS</t>
  </si>
  <si>
    <t xml:space="preserve">Ok. reunion de gestion contiene acta y asistencia </t>
  </si>
  <si>
    <t>CLIP Teusaquillo.</t>
  </si>
  <si>
    <t>Acompañar la articulación de los esfuerzos institucionales de participación en la localidad de Teusaquillo y presentar temas locales, PEMP y CUPI Teusaquillo, AE Chapinero reverdece y coordinación interinstitucional a las entidaddes convocadas.</t>
  </si>
  <si>
    <t>3163896199</t>
  </si>
  <si>
    <t>Transversal 18 Bis No. 38- 41</t>
  </si>
  <si>
    <t>Bogotá Distribuye lo local, intervención de la Alcaldía Local, PEMP Teusaquillo y CUPI y actuación estratégica Chapinero Reverdece.</t>
  </si>
  <si>
    <t>2024-07-10_SESION JULIO</t>
  </si>
  <si>
    <t>Oswaldo Cárdenas Ávila</t>
  </si>
  <si>
    <t>Barrio El Virrey (Usme).</t>
  </si>
  <si>
    <t>CDC Secretaría de Integración Social Usme. Calle 91A Sur, Ac. 91 Sur #34</t>
  </si>
  <si>
    <t>Inicio de los proyectos para Plan de Desarrollo Local, finalización próxima de mesas de concertación para conceptos de gasto y actualización de sectores.</t>
  </si>
  <si>
    <t xml:space="preserve">PPT Bogota construye local </t>
  </si>
  <si>
    <t>Reunión Preparatoria de Devolución ciudadana construcción PDD - Sector Suroccidente</t>
  </si>
  <si>
    <t>Socializar metodología del espacio con el equipo de la Oficina de Participación y la Subdirección Local de Suroccidente.</t>
  </si>
  <si>
    <t>Secretaría Distrital de Planeación, Supercade segundo piso CTPD/SDP</t>
  </si>
  <si>
    <t xml:space="preserve">Metodología de Devolución, instrumentos de planeación, temas a tratar, temas álgidos en el territorio, preparación de roles. </t>
  </si>
  <si>
    <t>2024-07-10_PREPARATORIA DEVOLUCION SURORIENTE</t>
  </si>
  <si>
    <t>OK. Reunión de Gestión</t>
  </si>
  <si>
    <t>Gestion - Reunion virtual Devolucion Region Metropolitana</t>
  </si>
  <si>
    <t>Coordinar la devolución del PDD en la Región Metropolitana</t>
  </si>
  <si>
    <t>sandra montealegre</t>
  </si>
  <si>
    <t>3176652026</t>
  </si>
  <si>
    <t>sandram.montealegre.m@gmail.com</t>
  </si>
  <si>
    <t xml:space="preserve">Coordinación devolución PDD Región Metropolitana </t>
  </si>
  <si>
    <t>2024-07-10_REUNION VIRTUAL DEVOLUCION REGION METROPOLITANA</t>
  </si>
  <si>
    <t xml:space="preserve">OK. Reu. de gestion contiene Acta y registro fotografico </t>
  </si>
  <si>
    <t>Gestión con Actores Estratégicos - CPL, JAC y Federación de Comunidades y Pueblos Artesanos y Originarios - UPL Kennedy y Patio bonito</t>
  </si>
  <si>
    <t>Fortalecer las relaciones con los actores estratégicos del territorio para articular los procesos de participación. CPL, JAC y Federación de Comunidades y Pueblos Artesanos y Originarios</t>
  </si>
  <si>
    <t>Salón comunal del barrio Ciudad Galán (Carrera 98 38-22sur)</t>
  </si>
  <si>
    <t xml:space="preserve">Plan Distrital de Desarrollo, programas, metas, fases de participación y recursos asignados. </t>
  </si>
  <si>
    <t>2024-07-10_GAE - CPL JAL FCPAO UPL KENNEDY Y PATIO B</t>
  </si>
  <si>
    <t>Gestión: Consultiva Negra-afrocolombiana: Preparatoria Acción Afirmativa - Cartografía social</t>
  </si>
  <si>
    <t>Construcción de agenda y de metodologia para la realización de cartografia social con la Comunidad Negra Afrocolombiana en la Localidad de Bosa</t>
  </si>
  <si>
    <t>3143909467</t>
  </si>
  <si>
    <t>edwin.caicedo@gobiernobogota.gov.co</t>
  </si>
  <si>
    <t>Comunidad Negra Afrocolombiana</t>
  </si>
  <si>
    <t>Acciones afirmativas; cartografia social; UPL; PIP;SPT</t>
  </si>
  <si>
    <t>2024-07-11_CONSULTIVA NEGRA AFROCOLOMBIANA - AAF CATOGRAFIA</t>
  </si>
  <si>
    <t xml:space="preserve">Gestión: preparatoria taller de devolución UPL Cerros Orientales </t>
  </si>
  <si>
    <t xml:space="preserve">Recomendaciones e información general, Metodología, Roles y Contenido del PDD </t>
  </si>
  <si>
    <t>2024-07-11_PREPARATORIA DEVOLUCION CERROS ORIENTALES</t>
  </si>
  <si>
    <t xml:space="preserve">OK Reunion de gestión  contiene registro fotografico y acta </t>
  </si>
  <si>
    <t>2417900/30</t>
  </si>
  <si>
    <t>Casa de la participación Bosa (Calle 22 No. 68C -51)</t>
  </si>
  <si>
    <t xml:space="preserve">Todo lo relacionado con las actuaciones de participación en la localidad de bosa. </t>
  </si>
  <si>
    <t>2024-07-11_SESION JULIO</t>
  </si>
  <si>
    <t xml:space="preserve">Reunión Consejo Distrital de Vendedores Informales, CTPD y Entidades Distritales. </t>
  </si>
  <si>
    <t>Apoyar como Secretaría Técnica del CTPD la reunión entre Consejo Distrital de Vendedores Informales, CTPD y Entidades Distritales, con el fin de generar un espacio de diálogo sobre los demos de cielos abiertos, ferias locales y vendedores informales en Transmilenio, temas de interés para el sector de vendedores informales.</t>
  </si>
  <si>
    <t>Carlos Hernández</t>
  </si>
  <si>
    <t>311 8726552</t>
  </si>
  <si>
    <t>sec.tecnicacdvi@gmail.com</t>
  </si>
  <si>
    <t>Avenida Carrera 30 # 25 - 90</t>
  </si>
  <si>
    <t xml:space="preserve">Se desarrolló un espacio de diálogo entre el Consejo Distrital de Vendedores Informales (CDVI), la SDG, DADEP, SDDE y SDP, con el fin de abordar temas de interés como lo son los Demos, Bogotá Cielo Abierto, Vendedores Informales en Transmilenio y Ferias Locales. Y se estableció crear una mesa de trabajo con las entidades asistentes. </t>
  </si>
  <si>
    <t>2024-07-11_CONSEJO DISTRITAL VENDEDORES INFORMALES - CTPD - ED</t>
  </si>
  <si>
    <t xml:space="preserve">Acompañar la articulación de los esfuerzos institucionales de participación en la localidad de Barrios Unidos </t>
  </si>
  <si>
    <t>300 461 4328</t>
  </si>
  <si>
    <t>Rionegro</t>
  </si>
  <si>
    <t xml:space="preserve">
Carrera 57 #67 d 31 Piso 5o.</t>
  </si>
  <si>
    <t>Aprobación acta del mes de junio de 2024, socialización política pública de discapacidad y reporte de las reuniones preparatorias CLOPS.</t>
  </si>
  <si>
    <t>Presentación de Resultados del Diálogo Ciudadano sobre Directrices - AE Campin 7 de agosto</t>
  </si>
  <si>
    <t>Presentar y socializar las directrices desde lo público de la AE Campin 7 de agosto</t>
  </si>
  <si>
    <t xml:space="preserve">Villa Angel </t>
  </si>
  <si>
    <t>Distrito Joven - Av Cra 30 #63-17</t>
  </si>
  <si>
    <t>No se pudo desarrollar la actividad por "boikot" de dos ciudadanos principalmente</t>
  </si>
  <si>
    <t>2024-07-11_RESULTADOS DEL DIA CIU DIREC - AE CAMPIN 7 DE AGOSTO</t>
  </si>
  <si>
    <t xml:space="preserve">No se realizo devolucion porque el espacio no se realizo </t>
  </si>
  <si>
    <t>AE Calle 72 - Jornada de devolución JAC Barrios Unidos</t>
  </si>
  <si>
    <t>Presentar los aportes ciudadanos de la AE Calle 72 a miembros de las JAC Barrios Unidos</t>
  </si>
  <si>
    <t>12 de octubre</t>
  </si>
  <si>
    <t xml:space="preserve">Carrera 52 # 74 - 61 </t>
  </si>
  <si>
    <t>Presentar a la comunidad el resultado de los aportes ciudadanos dentro de la formulación de la AE Calle 72.</t>
  </si>
  <si>
    <t>2024-07-11_ JORNADA DEVOLUCION JAC BARRIOS UNIDOS</t>
  </si>
  <si>
    <t>Mesa Directiva del CTPD</t>
  </si>
  <si>
    <t>Sesión Ordinaria de la mesa Directiva del CTPD</t>
  </si>
  <si>
    <t>Liliana de los Ángeles Urrego</t>
  </si>
  <si>
    <t>Aprobación del Plan de Acción del CTPD</t>
  </si>
  <si>
    <t>2024-07-11_MESA DIRECTIVA CTPD</t>
  </si>
  <si>
    <t xml:space="preserve">Documento de votaciones para el plan </t>
  </si>
  <si>
    <t>Gestión territorio - Activación actores JAC Eduardo Frey</t>
  </si>
  <si>
    <t>Fortalecer las relaciones con los actores estratégicos del territorio para articular los procesos de participación con el Sector Cultura, Arte y Patrimonio del JAC Eduardo Frey</t>
  </si>
  <si>
    <t>Carlos Santoyo</t>
  </si>
  <si>
    <t>3026990206</t>
  </si>
  <si>
    <t>carloshsantoyom@gmail.com</t>
  </si>
  <si>
    <t>Eduardo Frey</t>
  </si>
  <si>
    <t>Calle 32 sur # 29 A - 75 cede salón comunal jac Eduardo Frey</t>
  </si>
  <si>
    <t>Activación de actores, indicación de los procesos de devolución ciudadana sobre el PDD</t>
  </si>
  <si>
    <t>2024-07-13_ACT ACTORES JAC EDUARDO FREY</t>
  </si>
  <si>
    <t>Capacitación práctica aplicación de la encuesta Sisben</t>
  </si>
  <si>
    <t xml:space="preserve">Ejercicio practico para el uso de los equipos tecnológicos que se van a entregar a los profesionales que van a realizar las encuestas de Sisben </t>
  </si>
  <si>
    <t>Alexi Ayala</t>
  </si>
  <si>
    <t>aayala@sdp.gov.co</t>
  </si>
  <si>
    <t>Dirección Sisben</t>
  </si>
  <si>
    <t>Super CADE CAD. Av Carrera 30 #25-90</t>
  </si>
  <si>
    <t>Capacitación realización encuesta Sisben para los contratistas de la oficina de participación</t>
  </si>
  <si>
    <t>2024-07-12_CAPACITACION PRACTICA SISBEN</t>
  </si>
  <si>
    <t>Manual del encuestador y cartilla de SISBEN</t>
  </si>
  <si>
    <t>Presencial - Articulación PIPs - Alcaldías Locales - Circular 04 de 2024 CONFIS</t>
  </si>
  <si>
    <t>Establecer acciones para la articulación de los PIP con las Alcaldías Locales y sus PDL.</t>
  </si>
  <si>
    <t>Camilo Barbosa</t>
  </si>
  <si>
    <t>cbarbosa@sdp.gov.co</t>
  </si>
  <si>
    <t>SDP - Piso 5  - Sala de juntas B</t>
  </si>
  <si>
    <t>Articulación de PIP con PDL</t>
  </si>
  <si>
    <t>2024-07-12_ART PIPS - ALCALDIAS LOSCALES CIRC. 04 DE 2024 CONFIS</t>
  </si>
  <si>
    <t>Jimmy martinez</t>
  </si>
  <si>
    <t>3003358888</t>
  </si>
  <si>
    <t>Jaime.martinez@participaciónbogota.gov.co</t>
  </si>
  <si>
    <t>Casa De La Cultura Ciudad Bolívar</t>
  </si>
  <si>
    <t>2024-07-12_SESION JULIO</t>
  </si>
  <si>
    <t xml:space="preserve">el listado de asistencia esta  en el acta </t>
  </si>
  <si>
    <t>Gestión: Sello de la Igualdad</t>
  </si>
  <si>
    <t xml:space="preserve">Revisar la gestión de la SDP en el Sello de la Igualdad,  una apuesta de la política pública de Mujer y Género. </t>
  </si>
  <si>
    <t xml:space="preserve">Diego Villamizar </t>
  </si>
  <si>
    <t>3157676037</t>
  </si>
  <si>
    <t>dvillamizar@sdp.gov.co</t>
  </si>
  <si>
    <t>No Especifica</t>
  </si>
  <si>
    <t>Av Carrera 30 #25-90 quinto piso</t>
  </si>
  <si>
    <t>Productos del Sello de la igualdad; Reconocimiento a liderezas en el Planeamiento de la ciudad.</t>
  </si>
  <si>
    <t>2024-07-12_REUNION SELLO DE IGUALDAD</t>
  </si>
  <si>
    <t xml:space="preserve">Reu. gestion  contiene listado asistencia registro fotografico  y acta </t>
  </si>
  <si>
    <t>Gestion de actores estrategicos sector noroccidente UPL Tibabuyes - JAC</t>
  </si>
  <si>
    <t>Fortalecer las relaciones con los actores estratégicos del territorio para articular los procesos de participación.UPL Tibabuyes JAC</t>
  </si>
  <si>
    <t>Ruth Amelia Baquero</t>
  </si>
  <si>
    <t>3105700428</t>
  </si>
  <si>
    <t xml:space="preserve">Lisboa </t>
  </si>
  <si>
    <t>Salón comunal de Lisboa (Carrera 151 bis # 132A-05)</t>
  </si>
  <si>
    <t>Plan Distrital de Desarroll</t>
  </si>
  <si>
    <t>2024-07-12_GAE - SERCTOR NOROCCIDENTE UPL TIBABUYES</t>
  </si>
  <si>
    <t xml:space="preserve"> Gestión con Actores Estratégicos Puente Aranda - CPL</t>
  </si>
  <si>
    <t>Fortalecer las relaciones con los actores estratégicos del territorio para articular los procesos de participación. Puente Aranda - CPL</t>
  </si>
  <si>
    <t>Luz Mariela Acuña</t>
  </si>
  <si>
    <t>3146841202</t>
  </si>
  <si>
    <t>lmarianabc2605@gmail.com</t>
  </si>
  <si>
    <t>La Alquería</t>
  </si>
  <si>
    <t>Barrio La Alquería, Puente Aranda</t>
  </si>
  <si>
    <t>Presentación de los resultados del PDD, invitación al espacio de devolución Centro Ampliado</t>
  </si>
  <si>
    <t>2024-07-12_GAE - CPL PUENTE ARANDA</t>
  </si>
  <si>
    <t>Devolución ciudadana étnica PDD - Comunidad Raizal</t>
  </si>
  <si>
    <t>alcaldía local de chapinero</t>
  </si>
  <si>
    <t>Resultados del proceso de participación de la comunidad Raizal en la formulación del PDD</t>
  </si>
  <si>
    <t xml:space="preserve">Realizar el envio del acta </t>
  </si>
  <si>
    <t>Devolución de piezas audiovisuales</t>
  </si>
  <si>
    <t>2024-07-13_DEVOLUCION PDD ETNICA - RAIZAL</t>
  </si>
  <si>
    <t xml:space="preserve">Falta  cumplir  compromiso </t>
  </si>
  <si>
    <t>https://acortar.link/TI0apD</t>
  </si>
  <si>
    <t>Devolución ciudadana construcción PDD - Sector Suroccidente</t>
  </si>
  <si>
    <t>Surocciedente</t>
  </si>
  <si>
    <t>Subdirección de Planeamiento Local de Suroccidente</t>
  </si>
  <si>
    <t>Alcaldía Local de Kennedy auditorio P sala A</t>
  </si>
  <si>
    <t>Como leer el PDD, Ruta de Participación, fases, Victorias poblacionales, POT, UPL, PIP, metas estrategicas y producto.</t>
  </si>
  <si>
    <t>2024-07-13_DEVOLUCIÓN PDD - SECTOR SUROCCIDENTE</t>
  </si>
  <si>
    <t xml:space="preserve">Infografia presentada en el taller referente al PDD </t>
  </si>
  <si>
    <t>https://acortar.link/5SwFWi</t>
  </si>
  <si>
    <t>Devolución ciudadana construcción PDD - Cerros (Verjones)</t>
  </si>
  <si>
    <t>Elsa Rey</t>
  </si>
  <si>
    <t>311 4750276</t>
  </si>
  <si>
    <t>Finca La Esperanza, Lote El Campamento (sector Puente Roto) Vereda Verjón Bajo Chapinero</t>
  </si>
  <si>
    <t>Objetivos, programas y metas del Plan Distrital de Desarrollo.</t>
  </si>
  <si>
    <t>2024-07-14_DEVOLUCIÓN PDD - CERROS (VERJONES)</t>
  </si>
  <si>
    <t xml:space="preserve">Infografias cerros, Documento de metas finales de PDD, Metas de ruralidad </t>
  </si>
  <si>
    <t xml:space="preserve">falta  compromiso </t>
  </si>
  <si>
    <t>https://acortar.link/5uy6ZY</t>
  </si>
  <si>
    <t>Devolución ciudadana construcción PDD - Cerros (San Luis)</t>
  </si>
  <si>
    <t xml:space="preserve">Martha Perez </t>
  </si>
  <si>
    <t>320 5781166</t>
  </si>
  <si>
    <t xml:space="preserve">Salón comunal San Luis Diagonal 96 a # 3a - 98 este </t>
  </si>
  <si>
    <t>PDD, ruta de la participación PDD, victorias poblacionales, POT, STP</t>
  </si>
  <si>
    <t>2024-07-14_DEVOLUCIÓN CIUDADANA CONSTRUCCIÓN PDD – CERROS (SAN LUIS)</t>
  </si>
  <si>
    <t xml:space="preserve">falta enviar compromiso </t>
  </si>
  <si>
    <t>https://acortar.link/7qPiHp</t>
  </si>
  <si>
    <t>Gestión con actores estratégicos - JAL de Usme - UPL Usme Entrenubes y UPL Cuenca Tunjuelo</t>
  </si>
  <si>
    <t xml:space="preserve">Fortalecer las relaciones con los actores estratégicos del territorio para articular los procesos de participación y realizar pedagogía sobre el Plan Distrital de Desarrollo y demás instrumentos liderados por la SDP. </t>
  </si>
  <si>
    <t>Darwin</t>
  </si>
  <si>
    <t xml:space="preserve"> 3103050777</t>
  </si>
  <si>
    <t>noaplica@gmail.com</t>
  </si>
  <si>
    <t>Usmeña</t>
  </si>
  <si>
    <t xml:space="preserve">Alcaldía Local de Usme </t>
  </si>
  <si>
    <t>Notificación a la comunidad de la última fase del PDD (la devolución) del sector suroriental, formación de comités ciudadanos y notificación de las asambleas deliberativas.</t>
  </si>
  <si>
    <t>2024-07-16_JAL USME - UPL USME E - UPL CUENCA DEL TUNJUELO</t>
  </si>
  <si>
    <t>Gestión con Actores Estratégicos – Localidad Usaquén Comité Local de Envejecimiento  y Vejez de la Localidad de Usaquén (COLEV) UPL Usaquén</t>
  </si>
  <si>
    <t>Fortalecer las relaciones con los actores estratégicos del territorio para articular los procesos de participación con el Comité Local de Envejecimiento  y Vejez de la Localidad de Usaquén (COLEV).</t>
  </si>
  <si>
    <t>Lorena Hernandez Bonilla</t>
  </si>
  <si>
    <t>3174339388</t>
  </si>
  <si>
    <t>lhernandezb@sdis.gov.co</t>
  </si>
  <si>
    <t>Instalaciones del Centro de Desarrollo Comunitario Simón Bolívar- Servitá, ubicado en la Calle 165 # 7- 52, salón 201</t>
  </si>
  <si>
    <t>Pedagogía del PDD, explicación de las fases de planeación participativa de la formulación del PDD y descripción y manejo de cómo leer los documentos que componen el PDD</t>
  </si>
  <si>
    <t>2024-07-16_GAE - LOC USAQUEN COLEV</t>
  </si>
  <si>
    <t>Socializacion PIP JAL Usaquen</t>
  </si>
  <si>
    <t>Realizar pedagogía sobre POT-PIP Sector Norte a la JAL de Usaquén</t>
  </si>
  <si>
    <t>Edil Andrés Ardila</t>
  </si>
  <si>
    <t>3214169223</t>
  </si>
  <si>
    <t>andresfav2001@gmail.com</t>
  </si>
  <si>
    <t>Calle 123 # 7-51</t>
  </si>
  <si>
    <t xml:space="preserve">Socialización de los PIP de las UPL Usaquén, Toberín y Torca a la JAL de Usaquén </t>
  </si>
  <si>
    <t>2024-07-16_SOCIALIZACION PIP LOC USAQUEN JAL + AGENDA SEC NORTE</t>
  </si>
  <si>
    <t xml:space="preserve">PPT DE PIP Localidad Usaquen </t>
  </si>
  <si>
    <t xml:space="preserve">Gestión: Preparatoria Subdirección de Planes de Desarrollo Local / Acción afirmativa Afrocolombiana. </t>
  </si>
  <si>
    <t>Realizar reunión de revisión de metodologia para la cartografia social con comunidad negra afrocolombiana</t>
  </si>
  <si>
    <t>Av Carrera 30 #25-90</t>
  </si>
  <si>
    <t>Planes de desarrollo local; articulo 218; localidad bosa</t>
  </si>
  <si>
    <t>2024-07-16_PREPARATORIA SPDL ACC AFIR AFROCOLOMBIANA</t>
  </si>
  <si>
    <t>CLIP extraordinaria Sumapaz</t>
  </si>
  <si>
    <t xml:space="preserve">Articulación institucional para la gestión de la participación en la localidad de Sumapaz. </t>
  </si>
  <si>
    <t xml:space="preserve">Cristian Villareal </t>
  </si>
  <si>
    <t>Plan de Desarrollo Local</t>
  </si>
  <si>
    <t>2024-07-16_SESION EXTRAORDINARIA JULIO</t>
  </si>
  <si>
    <t>Reunion seguimiento Fundación 2050</t>
  </si>
  <si>
    <t xml:space="preserve">Realizar el eguimiento a las propuestas de participación presentadas que viene desarrollando la fundación </t>
  </si>
  <si>
    <t xml:space="preserve">SDP-OPDC piso 8 </t>
  </si>
  <si>
    <t xml:space="preserve">Seguimiento a las propuestas de la Fundación 2050 para los procesos estratégicos de la Oficina de Participación y Diálogo de Ciudad. </t>
  </si>
  <si>
    <t>2024-07-16_SEGUIMIENTO FUNDACION 2050</t>
  </si>
  <si>
    <t xml:space="preserve">Documento de CTPD </t>
  </si>
  <si>
    <t xml:space="preserve">Socialización PIP sector Noroccidente  - CPL Suba: Tibabuyes, Suba y Rincon de Suba </t>
  </si>
  <si>
    <t xml:space="preserve">Socializar las generalidades de los PIP al CPL de la localidad de suba. Sector Noroccidente y Norte </t>
  </si>
  <si>
    <t xml:space="preserve">Lucia Salazar	</t>
  </si>
  <si>
    <t xml:space="preserve">3044133110	</t>
  </si>
  <si>
    <t>blucia.salazar@gmail.com</t>
  </si>
  <si>
    <t xml:space="preserve">Casa de la Participación de Suba </t>
  </si>
  <si>
    <t>Entrega de compromisos respecto a las metas de PDD en Suba</t>
  </si>
  <si>
    <t>2024-07-16_SOCIALICION PIP CPL SUBA - UPLS T, SU, SR</t>
  </si>
  <si>
    <t xml:space="preserve">PPT PDD, Eexcel copia priorizaciones </t>
  </si>
  <si>
    <t xml:space="preserve">Falta ajustar formato de acta al 093 </t>
  </si>
  <si>
    <t xml:space="preserve">Socialización PIP sector Norte - CPL Suba </t>
  </si>
  <si>
    <t>Lucia Salazar</t>
  </si>
  <si>
    <t xml:space="preserve">Suba, Suba Rincón, Tibabuyes, Niza, Torca, Britalia   </t>
  </si>
  <si>
    <t>Subdirección de Planeamiento Local del Norte</t>
  </si>
  <si>
    <t>Generalidades PIP - zona norte UPL NIza,Torca, Britalia</t>
  </si>
  <si>
    <t xml:space="preserve">SI </t>
  </si>
  <si>
    <t>2024-07-16_SOCIALIZACION PIP SEC NORTE - CPL SUBA</t>
  </si>
  <si>
    <t xml:space="preserve">PPT PIP </t>
  </si>
  <si>
    <t xml:space="preserve">Ok .Evidencias completas </t>
  </si>
  <si>
    <t>Comite intersectorial</t>
  </si>
  <si>
    <t>PDD Fase 4</t>
  </si>
  <si>
    <t xml:space="preserve">Monitoreo evidencias sectores </t>
  </si>
  <si>
    <t>2024-07--17_COMITE INTERSECTORIAL</t>
  </si>
  <si>
    <t xml:space="preserve">Grabacion de la reunión </t>
  </si>
  <si>
    <t xml:space="preserve">OK. Reu. de gestion contiene acta listado asistencia y grabacion reunion </t>
  </si>
  <si>
    <t>Conformación del Comité Único de Participación Integral – CUPI en la UPL Teusaquillo.</t>
  </si>
  <si>
    <t>Plan Especial de Manejo y Protección - PEMP</t>
  </si>
  <si>
    <t>Recibir los avances en la conformación del Comité Único de Participación Integral – CUPI</t>
  </si>
  <si>
    <t>Monica Mercado Diaz</t>
  </si>
  <si>
    <t>monica.mercado@idpc.gov.co</t>
  </si>
  <si>
    <t>Carrera 9 # 8-30/42</t>
  </si>
  <si>
    <t xml:space="preserve">Reunión de articulación para coordinar con la OPDC y Gerencia de Instrumentos del IDPC el CUPI Teusaquillo propuesto.. </t>
  </si>
  <si>
    <t>2024-07-17_CONFORMACION CUPI</t>
  </si>
  <si>
    <t xml:space="preserve">PPT CUPI  SDP </t>
  </si>
  <si>
    <t>Comité de pedagogía y formación Asambleas</t>
  </si>
  <si>
    <t>ajustes al cronograma conjunto, revisión de alcances de los equipos, productos y tiempos.</t>
  </si>
  <si>
    <t>Revisión del cronograma y planteamientos conjuntos Activación de equipos para los otros componentes  Planteamientos sobre el Comité de Expertas, Acuerdos y compromisos</t>
  </si>
  <si>
    <t>2024-07-17_COMITE PEDAGOGIA Y FORMACION ASAMBLEAS CIUDADANAS</t>
  </si>
  <si>
    <t xml:space="preserve">OK. Reu de gestion contiene acta registro fotografico  y invitacion </t>
  </si>
  <si>
    <t xml:space="preserve">Gestión con actores estratégicos - CCPH (Consejo Consultivo de Propiedad Horizontal) localidad Usaquen </t>
  </si>
  <si>
    <t xml:space="preserve">Fortalecer las relaciones con los actores estratégicos del territorio para articular los procesos de participación y realizar pedagogía sobre el Plan Distrital de Desarrollo y demás instrumentos </t>
  </si>
  <si>
    <t xml:space="preserve">Martha Clemencia Medina </t>
  </si>
  <si>
    <t>3124789335</t>
  </si>
  <si>
    <t>La Pradera Norte</t>
  </si>
  <si>
    <t xml:space="preserve">Parque Pradera Norte </t>
  </si>
  <si>
    <t xml:space="preserve"> ABC del Plan Distrital de Desarrollo, Devolución PDD fase IV, Acuerdo 927  </t>
  </si>
  <si>
    <t>2024-07-17_GAE - CCPH LOCALIDAD USAQUEN</t>
  </si>
  <si>
    <t>Dirección: Calle 26 No. 69-76 Edificio Elemento – Torre 3 – Tierra Piso 15 Oficina 1504</t>
  </si>
  <si>
    <t>Reglamentacion Agora Metropolitana</t>
  </si>
  <si>
    <t>2024-07-17_MESA DE SEGUIMIENTO AGORA METROPOLITANA</t>
  </si>
  <si>
    <t xml:space="preserve">CLIP Kennedy </t>
  </si>
  <si>
    <t>Acompañar la sesión de la CLIP, para la articulación de los esfuerzos institucionales de participación en la localidad de Kennedy.</t>
  </si>
  <si>
    <t>Mesas de concertación, cronograma, instalación y cierre; fase final del PDL.</t>
  </si>
  <si>
    <t>2024-07-17_SESION JULIO</t>
  </si>
  <si>
    <t>Gestión: Preparación evento Smart City</t>
  </si>
  <si>
    <t>Dar inicio a las preparaciones y propuestas para el evento de Smart Cities</t>
  </si>
  <si>
    <t>SDP-OPDC piso 8</t>
  </si>
  <si>
    <t xml:space="preserve">Preparación de propuestas y deberes por parte de los funcionarios de la SDP acerca del evento de Smart City </t>
  </si>
  <si>
    <t>2024-07-17_PREPARACION SMART CITY</t>
  </si>
  <si>
    <t xml:space="preserve">OK. reunion de gestion contiene acta  </t>
  </si>
  <si>
    <t>Gestión: Reunión preparatoria cartografia social AF Comunidad Negra Afrocolombiana</t>
  </si>
  <si>
    <t xml:space="preserve">Reunión preparatoria para la metodología de la actividad de cartografía social con comunidad negra afrocolombiana </t>
  </si>
  <si>
    <t>Luisa Milena Morales</t>
  </si>
  <si>
    <t>Karen aponza</t>
  </si>
  <si>
    <t>3162259133</t>
  </si>
  <si>
    <t>karenaponza16@gmail.com</t>
  </si>
  <si>
    <t>Av carrera 30 #25-90 piso 8 sala A</t>
  </si>
  <si>
    <t xml:space="preserve">Acciones afirmativas; cartografía social; PIPs </t>
  </si>
  <si>
    <t>2024-07-17_PREPARATORIA CARTOGRAFIA SOC AF COM NEGRA AFRO</t>
  </si>
  <si>
    <t xml:space="preserve">OK reu de gestion contiene acta listado y convocatoria </t>
  </si>
  <si>
    <t>Gestión con actores estrategicos - UPL El Edén</t>
  </si>
  <si>
    <t>Fortalecer las relaciones con los actores estratégicos del territorio para articular los procesos de participación.UPL El Edén</t>
  </si>
  <si>
    <t>Calle 51 c sur # 81 f 15</t>
  </si>
  <si>
    <t>Plan Distrital de Desarrollo, Proyectos Integrales de Proximidad y Sistema de Participación Territorial</t>
  </si>
  <si>
    <t>2024-07-17_GAE - UPL EDEN</t>
  </si>
  <si>
    <t>Avances y Revisiones Meta Asamblea</t>
  </si>
  <si>
    <t>Presentar los avances de gestión a Felipe Rey para revisar ruta de trabajo y lineamientos para las siguientes etapas.</t>
  </si>
  <si>
    <t>Universidad Javeriana Cra 7 No 40 - 62</t>
  </si>
  <si>
    <t>Avances meta asambleas con Felipe Rey</t>
  </si>
  <si>
    <t>2024-07-18_AVANCES Y REVISIONES META ASAMBLEA</t>
  </si>
  <si>
    <t xml:space="preserve">OK. Reu. de gestión contiene solo  acta Y registro fotografico </t>
  </si>
  <si>
    <t>Activación de Actores estratégicos CPL Santafe</t>
  </si>
  <si>
    <t>Activación de actores estratégicos, socializar las próximas actividades de participación</t>
  </si>
  <si>
    <t>Las Nieves</t>
  </si>
  <si>
    <t>Alcaldía Local de Santafé - Cl. 21 #5 - 74</t>
  </si>
  <si>
    <t>Activación de actores estratégicos, invitación a las devoluciones del PDD y comentarios sobre PIP</t>
  </si>
  <si>
    <t>2024-07-18_ACT ACTORES CPL SANTA FE</t>
  </si>
  <si>
    <t>Gestión: Comité Meta Asambleas Deliberativas</t>
  </si>
  <si>
    <t>Avances de metas asamblea en el componente de comunicación y convocatoria</t>
  </si>
  <si>
    <t>Cra 9 No 60</t>
  </si>
  <si>
    <t xml:space="preserve">Seguimiento meta deliberativa comunicaciones </t>
  </si>
  <si>
    <t>2024-07-18_COMITE META ASAMBLEA DELIBERATIVA</t>
  </si>
  <si>
    <t xml:space="preserve">Gestión: reunión intersectorial productos Políticas Públicas Étnicas </t>
  </si>
  <si>
    <t xml:space="preserve">Reunión preparatoria con la Dirección de Asuntos Étnicos sobre los productos de las políticas públicas étnicas a definir con las consultivas distritales </t>
  </si>
  <si>
    <t>Edwin.caicedo@gobiernobogota.gov.co</t>
  </si>
  <si>
    <t>Concertación de lineamientos para la definición de los productos de Políticas Públicas Étnicas</t>
  </si>
  <si>
    <t>2024-07-18_REU INTERSECTORIAL PPE</t>
  </si>
  <si>
    <t>Sesión Ordinaria Plenaria - CTPD</t>
  </si>
  <si>
    <t xml:space="preserve">Realizar el acompañamiento como Secretaría Técnica a la sesión ordinaria de la Plenaria del CTPD de acuerdo al orden del día.  </t>
  </si>
  <si>
    <t xml:space="preserve">Se dio inició al orden del día y se abordaron dos temas, el de inasistencias de los y las consejeras a las plenarias del CTPD y el tema de las recargas de datos a los consejeros. Se declara Plenaria Permanente. </t>
  </si>
  <si>
    <t>2024-07-18_PLENARIA ORDINARIA CTPD</t>
  </si>
  <si>
    <t xml:space="preserve">Enlace grabacion  orden del dia </t>
  </si>
  <si>
    <t xml:space="preserve">Falta  acta de la UNAD </t>
  </si>
  <si>
    <t xml:space="preserve"> Gestión con Actores Estratégicos- UPL Niza </t>
  </si>
  <si>
    <t>Fortalecer las relaciones con los actores estratégicos del territorio para articular los procesos de participación en la UPL Niza</t>
  </si>
  <si>
    <t xml:space="preserve">Alicia Mogolla </t>
  </si>
  <si>
    <t>upz25sannicolas@gmail.com</t>
  </si>
  <si>
    <t xml:space="preserve">JAC San Nicolas </t>
  </si>
  <si>
    <t>Sensibilización Plan de Desarrollo Distrital y conformación comité ciudadano SPT</t>
  </si>
  <si>
    <t>2024-07-18_GAE UPL NIZA</t>
  </si>
  <si>
    <t xml:space="preserve">ABC del PDD nfografia del SPT </t>
  </si>
  <si>
    <t>Gestión con Actores Estratégicos - UPL Tabora - CPL Sector Ambiente</t>
  </si>
  <si>
    <t>Fortalecer las relaciones con los actores estratégicos del territorio para articular los procesos de participación con el CPL Engativá, sector ambiente</t>
  </si>
  <si>
    <t>Flor Águeda Rodríguez</t>
  </si>
  <si>
    <t>3005787405</t>
  </si>
  <si>
    <t>floragueda@yahoo.com</t>
  </si>
  <si>
    <t>Sector ambiente - CPL</t>
  </si>
  <si>
    <t>Socialización ABC Plan Distrital de Desarrollo, específicamente las 37 metas producto del sector ambiente incluidas en PDD</t>
  </si>
  <si>
    <t>2024-07-18_GAE - UPL TABORA - CPL SECTOR AMBIENTE</t>
  </si>
  <si>
    <t>Comité asambleas deliberativas</t>
  </si>
  <si>
    <t xml:space="preserve">Seguimiento meta asambleas </t>
  </si>
  <si>
    <t>CAD SDP OPDC piso 8</t>
  </si>
  <si>
    <t xml:space="preserve">Ejecución de los cinco días previos a la meta asamblea </t>
  </si>
  <si>
    <t>2024-07-19_COMITE ASAMBLEA DELIBERATIVA</t>
  </si>
  <si>
    <t xml:space="preserve">Activación actores estratégicos: JAL Ciudad Bolívar (UPL Lucero, Arborizadora y Cuenca Tunjuelo) </t>
  </si>
  <si>
    <t>Daisy Alejandra Rodríguez</t>
  </si>
  <si>
    <t>3005490452</t>
  </si>
  <si>
    <t>jalciudadbolivar@gmail.com</t>
  </si>
  <si>
    <t xml:space="preserve">Alcaldía Local de Ciudad Bolívar </t>
  </si>
  <si>
    <t>Se hace la reactivación de actores con los ediles integrantes de la JAL de Ciudad Bolivar, quienes manifestaron su molestia frente a la construcción del Plan de Desarrollo Local</t>
  </si>
  <si>
    <t>2024-07-19_GAE - JAL CIUDAD BOLIVAR - UPLS LUCERO, ARBOR Y CUENCA</t>
  </si>
  <si>
    <t>Falta completar listado de fisíco</t>
  </si>
  <si>
    <t>Fundamentación para la Celebración de los 49 Años del Barrio Villa del Río y las Primeras Ferias y Fiestas Distritales en la UPL 18</t>
  </si>
  <si>
    <t>Realizar mapeo de actores.</t>
  </si>
  <si>
    <t>José Luis Blanco Avendaño</t>
  </si>
  <si>
    <t>3222205897</t>
  </si>
  <si>
    <t>jac1villadelrio@gmail.com</t>
  </si>
  <si>
    <t xml:space="preserve">Villa del río </t>
  </si>
  <si>
    <t>calle 55A sur 66 – 50</t>
  </si>
  <si>
    <t>2024-07-20_CELEBRACION 49 A BARRIO VILLA DEL RIO</t>
  </si>
  <si>
    <t>Activación de actores - Corporación Nativos de Colombia</t>
  </si>
  <si>
    <t xml:space="preserve">
Socializar el Plan de Desarrollo Distrital, su ABC y convocar a devolución la zona centro ampliado.</t>
  </si>
  <si>
    <t>María Yolanda Figueroa</t>
  </si>
  <si>
    <t>3193660875</t>
  </si>
  <si>
    <t>corporativosunidos de colombia@gmail.com</t>
  </si>
  <si>
    <t>Avenida 68 No 75a - 50</t>
  </si>
  <si>
    <t>ABC del Plan de Desarrollo Distrital para fortalecer y articular procesos de participación con comunidades indígenas de la corporación Nativos Unidos de Colombia en Barrios Unidos</t>
  </si>
  <si>
    <t>2024-07-21_ACT ACTORES COOPORACION NATIVOS DE COLOMBIA</t>
  </si>
  <si>
    <t xml:space="preserve">ABC PDD  Y PPT -PDD, PPT linea del tiempo del PDD, PPT BARRIOS UNIDOS </t>
  </si>
  <si>
    <t xml:space="preserve"> Mesa de Seguimiento Ágora Metropolitana RMBC</t>
  </si>
  <si>
    <t>Camilo Guevara</t>
  </si>
  <si>
    <t>3188169017</t>
  </si>
  <si>
    <t>aguevarah@sdp.gov.co</t>
  </si>
  <si>
    <t>Regional</t>
  </si>
  <si>
    <t>CTPD, piso 2</t>
  </si>
  <si>
    <t>Reglamentación ágora metropolitana, objetivo, alcance, roles</t>
  </si>
  <si>
    <t>2024-07-22_MESA SEGUIMIENTO AGORA METROPOLITANA</t>
  </si>
  <si>
    <t xml:space="preserve">Propuesta Agora, Reglamento Agora </t>
  </si>
  <si>
    <t>Dar respuesta de una solicitud radicada por la corporación sobre el CONFIS 004 de 2024</t>
  </si>
  <si>
    <t>Viviana.edil2023@gmail.com</t>
  </si>
  <si>
    <t xml:space="preserve">Plan de Desarrollo Local; CONFIS 04 de 2024; Mesas de concertación locales </t>
  </si>
  <si>
    <t>2024-07-22_SESION JAL TUNJUELITO</t>
  </si>
  <si>
    <t xml:space="preserve">Oficio de respuesta a invitacion/ infografia Tunjuelito </t>
  </si>
  <si>
    <t>Activación de actores con el Comité de participación comunitaria en salud COPACOS Barrios Unidos</t>
  </si>
  <si>
    <t>Activar nuevos actores de participación y socializar el Plan de Desarrollo Distrital, su ABC y convocar la devolución de la zona centro ampliado.</t>
  </si>
  <si>
    <t>Alfonso Jiménez Cuesta</t>
  </si>
  <si>
    <t>3138632761</t>
  </si>
  <si>
    <t>jimenezadvisors@hotmail.com</t>
  </si>
  <si>
    <t>Calle 74A No. 63 - 04</t>
  </si>
  <si>
    <t>Activacion de nuevos actores de participación en Barrios Unidos</t>
  </si>
  <si>
    <t>2024-07-22_ACT ACTORES - COPACOS BARRIOS UNIDOS</t>
  </si>
  <si>
    <t xml:space="preserve">Abc Plan de Desarrollo Distrital, PPT Linea del tiempo, PPT B.unidos </t>
  </si>
  <si>
    <t>Acompañar la sesión de la CLIP, para la articulación de los esfuerzos institucionales de participación en la localidad de San Cristóbal.</t>
  </si>
  <si>
    <t>Andrés Felipe Rodríguez Verdugo</t>
  </si>
  <si>
    <t>3185272677</t>
  </si>
  <si>
    <t>arodriguez@participacionbogota.gov.co</t>
  </si>
  <si>
    <t>El Virrey, San Cristóbal</t>
  </si>
  <si>
    <t>https://teams.microsoft.com/v2/?meetingjoin=true</t>
  </si>
  <si>
    <t>Inicio de las mesas de concertación y finalización de contratos de los trabajadores de las entidades distritales.</t>
  </si>
  <si>
    <t>2024-07-22_SESION JULIO</t>
  </si>
  <si>
    <t xml:space="preserve">Gestión de actores: UPL Cerros Orientales - Sector Manantial </t>
  </si>
  <si>
    <t xml:space="preserve">Fortalecer las relaciones con los actores estratégicos del territorio para articular los procesos de participación con el sector de Manantial y los Triángulos </t>
  </si>
  <si>
    <t>ebuitrago@sdp.gov.co</t>
  </si>
  <si>
    <t xml:space="preserve">Manantial y EL triángulo </t>
  </si>
  <si>
    <t xml:space="preserve">Plan Distrital de Desarrollo, Plan de Ordenamiento Territorial y Unidades de Planeamiento Local </t>
  </si>
  <si>
    <t>Devolver inf PDD</t>
  </si>
  <si>
    <t>2024-07-22_GAE - UPL CERROS ORINETALES - MANANTIAL</t>
  </si>
  <si>
    <t>Acción afirmativa Negra-afrocolombiana: Cartografía social Bosa</t>
  </si>
  <si>
    <t>Recorrido por puntos estratégicos a consideración de la comunidad en la Localidad de Bosa</t>
  </si>
  <si>
    <t xml:space="preserve">Lineamientos metodológicos construcción PDL; apuestas territoriales de la DPL en la Localidad de Bosa. </t>
  </si>
  <si>
    <t>2024-07-22_ACCION AFIRMATIVA NEGRA - AFROCOLOMBIANA - CARTO SOCIAL</t>
  </si>
  <si>
    <t xml:space="preserve">La propia comunidad hizo el acta por eso no se envio la nuestra </t>
  </si>
  <si>
    <t>Gestión: Temas Reservas POT UPL - Espacios de Participación</t>
  </si>
  <si>
    <t>Definir la ruta sobre la comunicación de las reservas generadas a través de POT y UPL, que tienen restricciones urbanísticas (art 379), de cara a los diferentes procesos con las comunidades.</t>
  </si>
  <si>
    <t>Dayanna Higuera</t>
  </si>
  <si>
    <t xml:space="preserve"> dhiguerac@sdp.gov.co</t>
  </si>
  <si>
    <t>Sala DPDC. piso 8</t>
  </si>
  <si>
    <t xml:space="preserve">Definir la ruta sobre la comunicación de las reservas generadas a través de POT y UPL, que tienen restricciones urbanísticas (art 379), de cara a los diferentes procesos con las comunidades, Reservas urbanísticas, PIP, POT, UPL. </t>
  </si>
  <si>
    <t>2024-07-22_RESERVAS POT UPL - PARTICIPACION</t>
  </si>
  <si>
    <t xml:space="preserve">Elección del consejero que falta en el comité de convivencia, Plan de acción con presupuesto por parte de la UNAD, Diplomado UNAD, Concertación fecha devolución PDD-SDP, Propuesta tema inasistencias, participación D.C Radio, Comunicado CTPD Lideresa Social Alba Rocío Riaño Nossa y varios.
</t>
  </si>
  <si>
    <t>presidentectpd@gmail.com</t>
  </si>
  <si>
    <t>Se realizó la elección de los representantes del Comité de Convivencia, la UNAD presentó el Plan de acción con presupuesto, se solicitó enviar a las consejeras y consejeros la matriz y contrato de bolsa logística, se realizará una carta de inconformidad con respecto a que los valores presentados (por ejemplo en el tema de las recargas), no corresponden a los verdaderos valores del mercado y se deben optimizar los recursos.</t>
  </si>
  <si>
    <t>2024-07-22_PLENARIA PERMANENTE CTPD</t>
  </si>
  <si>
    <t>OK. evidencias completas</t>
  </si>
  <si>
    <t xml:space="preserve">Gestión de actores estratégicos UPL Cerros orientales - Sector Altos de Serrezuela </t>
  </si>
  <si>
    <t xml:space="preserve">Fortalecer las relaciones con los actores estratégicos del territorio para articular los procesos de participación con Altos de Serrezuela </t>
  </si>
  <si>
    <t xml:space="preserve">Altos de Serrezuela- Centro Poblado </t>
  </si>
  <si>
    <t>2024-07-23_GAE - UPL CERROS - ALTOS DE SERREZUELA</t>
  </si>
  <si>
    <t xml:space="preserve">PDD Y ABCD del PDD </t>
  </si>
  <si>
    <t>Enlance de reunión</t>
  </si>
  <si>
    <t>Se trataron los siguientes temas: Plan de Acción Diplomado- UNAD, Concertación fecha devolución PDD-SDP, Propuesta tema inasistencias, D.C Radio, Comunicado CTPD Lideresa Social Alba Rocío Riaño Nossa</t>
  </si>
  <si>
    <t>2024-07-23_SESION ORDINARIA PLENARIA CTPD</t>
  </si>
  <si>
    <t xml:space="preserve"> Devolución ciudadana construcción PDD - Subregión Occidente</t>
  </si>
  <si>
    <t>Mosquera</t>
  </si>
  <si>
    <t>Teatro Municipal de Mosquera
Cl. 3 #1-51, Mosquera.</t>
  </si>
  <si>
    <t>Plan de desarrollo distrital, objetivos y metas para la Región.</t>
  </si>
  <si>
    <t xml:space="preserve">Devolver el acta a los asistentes </t>
  </si>
  <si>
    <t>2024-07-24_DEVOLUCION PDD SUBREGION OCCIDENTE</t>
  </si>
  <si>
    <t>https://acortar.link/3NNmHI</t>
  </si>
  <si>
    <t>Seguimiento evento Smart City</t>
  </si>
  <si>
    <t>Hacer seguimiento a las propuestas de los funcionarios para el evento Smart City Expo</t>
  </si>
  <si>
    <t xml:space="preserve">SDP - OPDC piso 8 </t>
  </si>
  <si>
    <t xml:space="preserve">Avances de las propuestas que serian presentadas para el evento de Smart City Expo, ambos haciendo parte de la presentación que se realizo para la reunión. </t>
  </si>
  <si>
    <t>2024-07-24_SEGUIMIENTO DE EVENTO SMART CITY</t>
  </si>
  <si>
    <t xml:space="preserve">ppt smart CYTY </t>
  </si>
  <si>
    <t>Devolución ciudadana construcción PDD - Subregión Sur</t>
  </si>
  <si>
    <t>Soacha</t>
  </si>
  <si>
    <t>Carrera 7 # 11 - 83, Cámara de Comercio de Bogotá, Sede Soacha, Auditorio segundo piso.</t>
  </si>
  <si>
    <t xml:space="preserve">Plan Distrital de Desarrollo, región metropolitana </t>
  </si>
  <si>
    <t>2024-07-24_DEVOLUCION PDD SUBREGION SUR</t>
  </si>
  <si>
    <t>https://acortar.link/E1FM1A</t>
  </si>
  <si>
    <t>Presentación Asambleas Ciudadanas Fundación 2050</t>
  </si>
  <si>
    <t>Formalizar propuesta de la Fundación 2050 para su presentación con el CTPD</t>
  </si>
  <si>
    <t>Se presento la propuesta de la Fundación 2050 y se asocio a las posibles propuestas que se han venido llevando acabo por parte de la oficina</t>
  </si>
  <si>
    <t>2024-07-24_PRESENTACION ASAMBLEAS CIUDADANAS FUNDACION 2050</t>
  </si>
  <si>
    <t>Comité Extraordinario Técnico de Diseño - Asambleas Deliberativas.</t>
  </si>
  <si>
    <t>Seguimiento a los a vances en el proceso de alistamiento de la Meta Asamblea Deliberativa en cuanto a: Estrategia de comunicaciones, propuesta de pedagogía y nivelación de asimetrías, convocatoria y carta de invitación y siguientes pasos en diseño de metodología de deliberación.</t>
  </si>
  <si>
    <t>Angela María Beltran</t>
  </si>
  <si>
    <t>3203164263</t>
  </si>
  <si>
    <t>coordinadorasamblea@fcorona.org</t>
  </si>
  <si>
    <t>Avances en el proceso de alistamiento de la Meta Asamblea Deliberativa: Estrategia de comunicaciones, propuesta de pedagogía y nivelación de asimetrías, convocatoria y carta de invitación y siguientes pasos en diseño de metodología de deliberación.</t>
  </si>
  <si>
    <t>2024-07-24_COMTE EXTRAORDINARIO TECNICO - SAMBLEAS D</t>
  </si>
  <si>
    <t xml:space="preserve">Taller de Legalización Urbanística Villa Angél </t>
  </si>
  <si>
    <t xml:space="preserve">Informar y dialogar, mediante la pedagogía sobre el trámite de legalización de barrios y promover mediante esta, una aceptación y apropiación por parte de los habitantes en los asentamientos. </t>
  </si>
  <si>
    <t>sandram.montealgre.m@gmail.com</t>
  </si>
  <si>
    <t>Reglamentación legalización de barrio decreto 199 y decreto 555 del 2021 (POT)</t>
  </si>
  <si>
    <t>2024-07-24_LEGALIZACION URBANISTICA VILLA ANGEL</t>
  </si>
  <si>
    <t xml:space="preserve">Acta de Habitat firma propietarios </t>
  </si>
  <si>
    <t xml:space="preserve">OK . Evidencias completas. ( falta anonimizar el acta) </t>
  </si>
  <si>
    <t>https://acortar.link/T9a8yc</t>
  </si>
  <si>
    <t>Devolución ciudadana construcción PDD - Subregión Norte</t>
  </si>
  <si>
    <t>Universidad de la Sabana, Chia, Edificio K, Auditorio 2.</t>
  </si>
  <si>
    <t>Retroalimentacion Regional PDD, Integración Regional en el PDD, Aportes de la Región al PDD</t>
  </si>
  <si>
    <t>Enviar a los asistentes la presentación</t>
  </si>
  <si>
    <t>2024-07-25_DEVOLUCION PDD SUBREGION NORTE</t>
  </si>
  <si>
    <t>PPT Devolución PDD Subregión Norte</t>
  </si>
  <si>
    <t>https://acortar.link/ALGNPS</t>
  </si>
  <si>
    <t>Activación de actores - Mesa local de salud de Barrios unidos</t>
  </si>
  <si>
    <t>Activar nuevos actores de participacion en la UPL Barrios Unidos.</t>
  </si>
  <si>
    <t>3114684708</t>
  </si>
  <si>
    <t>GARincon@saludcapital.gov.co</t>
  </si>
  <si>
    <t>Rendicion de cuentas y devolución a actores locales y activacion de actores en Barrios Unidos</t>
  </si>
  <si>
    <t>2024-07-25_ACT ACTORES - MESA LOCAL SALUD BU</t>
  </si>
  <si>
    <t>CLIP Suba</t>
  </si>
  <si>
    <t xml:space="preserve">Socializar resultados de la participacion en la localidad y convocar a las instancias de participacion a la actividad de devolución </t>
  </si>
  <si>
    <t>Lina Elena Pineda Ramírez</t>
  </si>
  <si>
    <t>lpineda@participacionbogota.gov.co</t>
  </si>
  <si>
    <t>Casa de la participación Suba - Sala La Pileta (Cl. 147 #90-74)</t>
  </si>
  <si>
    <t>Presentación de resultados de participación para la formulación del PDD, iniciativa "Bogotá distribuye lo local" y Metodología de las mesas de concertación</t>
  </si>
  <si>
    <t>2024-07-25_SESION JULIO</t>
  </si>
  <si>
    <t xml:space="preserve">ABC Plan de lineamientos intesncivos  PPT Bogota distribuye lo Local , Cronograma de mesas de concertacion </t>
  </si>
  <si>
    <t>Gestión: reunión preparatoria acción afirmativa palenquera</t>
  </si>
  <si>
    <t>Realizar un minuto a minuto de la acción afirmativa a realizarse el 27 de julio con respecto a los elementos representativos del Patrimonio Cultural Inmaterial de la Humanidad palenqueros</t>
  </si>
  <si>
    <t>3148396805</t>
  </si>
  <si>
    <t xml:space="preserve">Detalles metodológicos de la acción afirmativa. Cubrimiento audiovisual del evento </t>
  </si>
  <si>
    <t>2024-07-25_PREPARATORIA ACCION AFIR PALENQUERA</t>
  </si>
  <si>
    <t xml:space="preserve">Reu. de gestion contiene acta  listado asistencia registro fotografico </t>
  </si>
  <si>
    <t>Devolución PDD al Consejo Territorial de Planeación Distrital (CTPD)</t>
  </si>
  <si>
    <t>Socializar con los(as) consejeros(as) del Consejo Territorial de Planeación
Distrital (CTPD) los contenidos del Plan Distrital de Desarrollo, y resolver dudas respecto al
Acuerdo 927 de 2024.</t>
  </si>
  <si>
    <t>Subsecretaría de Planeación de la Inversión y los jefes de oficina de la SDP o sus delegados</t>
  </si>
  <si>
    <t>Auditorio y espacio de trabajo del CTPD, segundo piso, CAD</t>
  </si>
  <si>
    <t>Devolución del Plan Distrital de Desarrollo al CTPD</t>
  </si>
  <si>
    <t>2024-07-25_DEVOLUCION PDD CTPD</t>
  </si>
  <si>
    <t xml:space="preserve">protocolo para la devolucion  y agenda del espacio </t>
  </si>
  <si>
    <t xml:space="preserve">Falta ACTA que segun informacion recibida  la esta  realizando la UNAD </t>
  </si>
  <si>
    <t>2024-07-26_MESA SEGUIMIENTO AGORA METROPOLITANA</t>
  </si>
  <si>
    <t xml:space="preserve">Reglamento Agora Metropolitana </t>
  </si>
  <si>
    <t xml:space="preserve">Socialización UPL Sector Occidente - JAL Engativá </t>
  </si>
  <si>
    <t xml:space="preserve">Socializar las generalidades de las Unidades de Planeamiento Local (UPL) ante la Junta Administradora Local de la localidad de Engativá.  </t>
  </si>
  <si>
    <t>Pablo Molano</t>
  </si>
  <si>
    <t>3184459890</t>
  </si>
  <si>
    <t>jalengativa@gmail.com</t>
  </si>
  <si>
    <t>JAL Engativá</t>
  </si>
  <si>
    <t>Georreferenciación UPL's de la Localidad de Engativá y sector occidente</t>
  </si>
  <si>
    <t>2024-07-26_SOCIALIZACION UPL - OCCIDENTE JAL ENGATIVA</t>
  </si>
  <si>
    <t>PPT JAL Occidente</t>
  </si>
  <si>
    <t xml:space="preserve">Socialización PIP Sector Occidente - JAL Engativá </t>
  </si>
  <si>
    <t>Socializar las generalidades de los PIP a la JAL de la localidad de Engativá - Sector Occidente</t>
  </si>
  <si>
    <t>Socialización Proyectos Integrales de Proximidad para sector occidente y aquellos priorizados para la localidad de Engativá</t>
  </si>
  <si>
    <t>2024-07-26_SOCIALIZACION PIP - OCCIDENTE JAL ENGATIVA</t>
  </si>
  <si>
    <t>Sesión Ordinaria de Consejo de Propiedad Horizontal</t>
  </si>
  <si>
    <t xml:space="preserve">Acompañar Institucionalmente la Sesión del Consejo de Propiedad Horizontal </t>
  </si>
  <si>
    <t xml:space="preserve">Polyana Hernandez </t>
  </si>
  <si>
    <t xml:space="preserve">no aplica </t>
  </si>
  <si>
    <t xml:space="preserve">phernandezparticipacion@bogota.gov.co </t>
  </si>
  <si>
    <t xml:space="preserve">IDPAC Calle 22 No 68 - 51 </t>
  </si>
  <si>
    <t xml:space="preserve">Modificación de la resolución 223 DE 2020, Tercer encuentro del Consejo de Propiedad Horizontal, Política Pública de Propiedad Horizontal </t>
  </si>
  <si>
    <t>2024-07-26_SESION ORDINARIA CCPH</t>
  </si>
  <si>
    <t>Activación de actores JAC Villa Carmenza</t>
  </si>
  <si>
    <t>Activacion de actores</t>
  </si>
  <si>
    <t>Ana sofia</t>
  </si>
  <si>
    <t>3112911992</t>
  </si>
  <si>
    <t>La Felicidad</t>
  </si>
  <si>
    <t>Carrera 108 con 16j</t>
  </si>
  <si>
    <t>Temas PDD, POT y PIP</t>
  </si>
  <si>
    <t>2024-07-26_ACT ACTORES JAC VILLA CARMENZA</t>
  </si>
  <si>
    <t>Comisón POT - CTPD</t>
  </si>
  <si>
    <t>Sesión Ordinaria Comisión POT</t>
  </si>
  <si>
    <t>Se discuten 2 eventos a realizar por la comisión.  El primero se programa para el 31 de Agosto como un encuentro Ciudadano en la UNAD. El segundo para el 23 de NoviembreSe discuten 2 eventos a realizar por la comisión.  El primero se programa para el 31 de Agosto como un encuentro Ciudadano en la UNAD. El segundo para el 23 de Noviembre</t>
  </si>
  <si>
    <t>2024-07-26_COMISION POT</t>
  </si>
  <si>
    <t xml:space="preserve">Grabación  de la comision </t>
  </si>
  <si>
    <t xml:space="preserve">Falta  acta por la UNAD </t>
  </si>
  <si>
    <t>Devolución ciudadana construcción PDD - Sector Norte + Rurarlidad (Altos de Serrezuela)</t>
  </si>
  <si>
    <t>Subdirección de Planeamiento Local de Norte</t>
  </si>
  <si>
    <t xml:space="preserve">Clle 165 # 19b - 80 Salón comunal el Toberin </t>
  </si>
  <si>
    <t>Devolución del PDD y rendición de cuentas sobre los resultados de la participación en la formulación del Plan Distrital de Desarrollo y la Socialización de los PIP de Norte y Ruralidad</t>
  </si>
  <si>
    <t>2024-07-27_DEVOLUCIÓN PDD - SECTOR NORTE</t>
  </si>
  <si>
    <t>Listado de metas, ABC Plan de Desarrollo Distrital, Acuerdo 927 de 2024 y Chatico por localidad</t>
  </si>
  <si>
    <t>Falta cumplir con el compromiso</t>
  </si>
  <si>
    <t>https://acortar.link/VLdFmP</t>
  </si>
  <si>
    <t>Acción afirmativa: pedagogía cosmovisión palenquera y su Política Pública en Bogotá.</t>
  </si>
  <si>
    <t xml:space="preserve">Socialización de los elementos representativos del Patrimonio Cultural Inmaterial de la Humanidad del pueblo palenquero y su capitulo dentro de la Política Pública Negra, Afrocolombiana y Palenquera. </t>
  </si>
  <si>
    <t>Comunidad palenquera; san Basilio de palenque; unesco</t>
  </si>
  <si>
    <t>Devolver el acta a la ciudadanía</t>
  </si>
  <si>
    <t>2024-07-27_ACCION AFIR PADAGOGIA COSMOVISION PALENQUERA Y PP</t>
  </si>
  <si>
    <t>https://acortar.link/KJKRmy</t>
  </si>
  <si>
    <t>Activación de actores JAC villa Alsacia JAC La Felicidad y Frente de seguridad Hayuelos occidental</t>
  </si>
  <si>
    <t>Activar nuevos actores de participacion en la JAC Villa Alsacia y la felicidad</t>
  </si>
  <si>
    <t>Lennys</t>
  </si>
  <si>
    <t>3153929005</t>
  </si>
  <si>
    <t>Villa Alsacia</t>
  </si>
  <si>
    <t>Conjunto recidencial la sabana carrera 79 19-20</t>
  </si>
  <si>
    <t>Temas generalidades POT, PIP y PDD</t>
  </si>
  <si>
    <t>2024-07-27_ACT ACTORES JAC LA FELICIDAD FDS HAYUELOS</t>
  </si>
  <si>
    <t>Devolución ciudadana construcción PDD - Sector Suroriente + Ruralidad (Manantial)</t>
  </si>
  <si>
    <t>Subdirección de Planeamiento Local de Suroriente</t>
  </si>
  <si>
    <t>Calle 49dbis Sur # 5 U - 26 Salón Comunal Molinos 1</t>
  </si>
  <si>
    <t>Se hace la devolución del Plan Distrital de Desarrrollo para la comunidad del sector sur oriental  San Cristobal, Rafael Uribe Uribe, Tunjuelito, Usme, Ciudad Bolivar.  Se cuenta con una mesa para contarle a la comunidad sobre las actuaciones estratégicas, POT y ruralidad.</t>
  </si>
  <si>
    <t>2024-07-28_DEVOLUCIÓN PDD - SECTOR SURORIENTE</t>
  </si>
  <si>
    <t xml:space="preserve">Ajustar acta en cuanto a asistentes, y a su vez, revisar los canales de convocatoria puesto que se mencionan que son 5 canales pero en la evidencia solamente se tienen 3 canales de convocatoria. También faltan firmas en el acta. Ajustar el listado de asistencia en PDF y en un solo archivo y verificar con el excel que concuerde con la evidencia. Falta agregar la  la caracterizacion que se subio no corresponde al evento. </t>
  </si>
  <si>
    <t>Mesa de trabajo - Medios Comunitarios y Alternativos</t>
  </si>
  <si>
    <t>Acompañamiento para la aclaración de dudas a la Mesa Distrital de Medios Comunitarios sobre el desarrollo de los Encuentros Ciudadanos para efectos de los planes de inversión para 2024</t>
  </si>
  <si>
    <t>Formador de opinión</t>
  </si>
  <si>
    <t>Rodrigo Acosta</t>
  </si>
  <si>
    <t>3005810164</t>
  </si>
  <si>
    <t>rodrigoacostab@gmail.com</t>
  </si>
  <si>
    <t>Dudas de la Mesa Distrital de Medios Comunitarios sobre el PDD y los presupuestos participativos</t>
  </si>
  <si>
    <t>2024-07-29_MESA DE TRABAJO - MEDIOS COMU Y ALTERNA</t>
  </si>
  <si>
    <t xml:space="preserve">OK . Evidncias Completas </t>
  </si>
  <si>
    <t>Comité Técnico CTPD</t>
  </si>
  <si>
    <t>Revisar el avance del convenio interadministrativo UNAD</t>
  </si>
  <si>
    <t>Oficinas Piso 8 SuperCADE CAD SDP</t>
  </si>
  <si>
    <t>Prorróga del Convenio Interadministrativo</t>
  </si>
  <si>
    <t>2024-07-29_COMITE TECNICO CTPD</t>
  </si>
  <si>
    <t xml:space="preserve">Orden del dia </t>
  </si>
  <si>
    <t xml:space="preserve">Evidencias  completas </t>
  </si>
  <si>
    <t>CLIP Martires</t>
  </si>
  <si>
    <t xml:space="preserve">Acompañar la sesión de la CLIP, para la articulación de los esfuerzos institucionales de participación en la localidad de Los Martires.
</t>
  </si>
  <si>
    <t>Subdirección de la Secretaría Distrital de Integración Social (Diagonal 22 b Bis # 20 - 51)</t>
  </si>
  <si>
    <t>Los temas tratados fueron las mesas de concertación para el PLD - Plan Local de Desarrollo y las fechas en la que podrian llevarse acabo.</t>
  </si>
  <si>
    <t>2024-07-30_SESION JULIO</t>
  </si>
  <si>
    <t>Sesión Ordinaria Plenaria CTPD</t>
  </si>
  <si>
    <t>Elección del Delegado al RAP-E</t>
  </si>
  <si>
    <t>2024-07-30_PLENARIA ORDINARIA CTPD</t>
  </si>
  <si>
    <t xml:space="preserve">grabacion plenaria, orden del dia  y votaciones </t>
  </si>
  <si>
    <t>Activación actores UPL Salitre - JAC Normandia</t>
  </si>
  <si>
    <t>Activar nuevos actores de participacion en la UPL Salitre.</t>
  </si>
  <si>
    <t>Normandia</t>
  </si>
  <si>
    <t>Olímpica calle 53 con av boyaca</t>
  </si>
  <si>
    <t>Devolución PDD sector Occidente, POT y PIP UPL Salitre</t>
  </si>
  <si>
    <t>2024-07-31_ACT ACTORES UPL SALITRE - JAC NORMANDIA</t>
  </si>
  <si>
    <t>Reunión de articulación Fundación 2050 y SIS</t>
  </si>
  <si>
    <t>11:00</t>
  </si>
  <si>
    <t xml:space="preserve">Articular propuesta de la Fundación 2050 con la agenda de la SIS </t>
  </si>
  <si>
    <t>no aplica</t>
  </si>
  <si>
    <t>Se presento la propuesta de articulación entre la Fundación 2050 y la Subsecretaria de juventud en el tema de concejos de juventud.</t>
  </si>
  <si>
    <t>2024-08-01_REUNIÓN DE ARTICULACIÓN FUNDACIÓN 2050 Y SIS</t>
  </si>
  <si>
    <t>OK Evidencias completas</t>
  </si>
  <si>
    <t>Devolución PDD población LGBTI</t>
  </si>
  <si>
    <t>Realizar evento para devolución de plan distrital de desarrollo a sector poblacional LGBTI</t>
  </si>
  <si>
    <t>Calle 44 # 14-60-Casa LGBTI Sebastián Romero Teusaquillo</t>
  </si>
  <si>
    <t>Se realizo dialogo ciudadano donde se presentaron que metas quedaron en el plan distrital de desarrollo para el sector poblacional LGBTI.</t>
  </si>
  <si>
    <t>2024-08-01_DEVOLUCIÓN PDD POBLACIÓN LGBTI</t>
  </si>
  <si>
    <t>Mesa de trabajo - Comité Ciudadano AEDA Fontibón</t>
  </si>
  <si>
    <t>Establecer el alcance del comité ciudadano frente a la AEDA Fontibón</t>
  </si>
  <si>
    <t>SDP - Piso 5 - Sala de juntas B</t>
  </si>
  <si>
    <t>Avances en la formulación de la AE y definiciones frente al alcance del Comité Ciudadano.</t>
  </si>
  <si>
    <t>2024-08-02_MESA DE TRABAJO - COMITÉ CIUDADANO AEDA FONTIBÓN</t>
  </si>
  <si>
    <t>Fortalecimiento de actores 20 encuestas SISBEN UPL 3 - Arborizadora</t>
  </si>
  <si>
    <t xml:space="preserve">Fortalecimiento de actores por UPL - Encuestas SISBÉN </t>
  </si>
  <si>
    <t>Vincular nuevos actores estratégicos a la planeación para la participación a través de la aplicación de las encuestas SISBEN</t>
  </si>
  <si>
    <t>Luis Fernando Barreto</t>
  </si>
  <si>
    <t>lbarreto@sdp.gov.co</t>
  </si>
  <si>
    <t>UPL 3 - ARBORIZADORA</t>
  </si>
  <si>
    <t xml:space="preserve">Carpeta del Sisben contiene  listado de asistencia encuestas sisben, registro fotografico y paz y salvo </t>
  </si>
  <si>
    <t>Fortalecimiento de actores 20 encuestas SISBEN UPL 4 - Lucero</t>
  </si>
  <si>
    <t>UPL 4 - LUCERO</t>
  </si>
  <si>
    <t xml:space="preserve">Carpeta de Sisben contiene  asistencia encuestas SISBEN  y registro fotografico </t>
  </si>
  <si>
    <t>Fortalecimiento de actores 20 encuestas SISBEN UPL 5 - Usme Entrenubes</t>
  </si>
  <si>
    <t>UPL 5 - USME ENTRENUBES</t>
  </si>
  <si>
    <t>Fortalecimiento de actores 20 encuestas SISBEN UPL 7 - Torca</t>
  </si>
  <si>
    <t>UPL 7 - TORCA</t>
  </si>
  <si>
    <t>Fortalecimiento de actores 20 encuestas SISBEN UPL 8 - Britalia</t>
  </si>
  <si>
    <t>UPL 8 - BRITALIA</t>
  </si>
  <si>
    <t xml:space="preserve">Carpeta Sisben  contiene Paz y Salvo registro Fotografico  y listado de  asistencia encuestas </t>
  </si>
  <si>
    <t>Fortalecimiento de actores 20 encuestas SISBEN UPL 9 - Suba</t>
  </si>
  <si>
    <t>UPL 9 - SUBA</t>
  </si>
  <si>
    <t xml:space="preserve">OK. CARPETA SISBEN contiene listado de asistencia de firma de encuestas registro fotografico  certificado de SISBEN </t>
  </si>
  <si>
    <t>Fortalecimiento de actores 20 encuestas SISBEN UPL 10 - Tibabuyes</t>
  </si>
  <si>
    <t>UPL 10 - TIBABUYES</t>
  </si>
  <si>
    <t xml:space="preserve">Carpeta de Sisben contiene  paz y Salvo lista de encuestas y registro fotograficvo </t>
  </si>
  <si>
    <t>Fortalecimiento de actores 20 encuestas SISBEN UPL 11 - Engativá</t>
  </si>
  <si>
    <t>UPL 11 - ENGATIVA</t>
  </si>
  <si>
    <t xml:space="preserve">Carpeta de SIBEN contiene  listado de asistencia sisben   registro fotografico </t>
  </si>
  <si>
    <t>Fortalecimiento de actores 20 encuestas SISBEN UPL 12 - Fontibón</t>
  </si>
  <si>
    <t>UPL 12 - FONTIBON</t>
  </si>
  <si>
    <t xml:space="preserve">Carpeta SISBEN cuenta  con listado SWISBEN  Y rEGISTRO FOTOGRAFICO </t>
  </si>
  <si>
    <t>Fortalecimiento de actores 20 encuestas SISBEN UPL 13 - Tintal</t>
  </si>
  <si>
    <t>UPL 13 - TINTAL</t>
  </si>
  <si>
    <t xml:space="preserve">Carpeta de Sisben contiene  listados de asistencia de visitas sisben  y registro fotografico </t>
  </si>
  <si>
    <t>Fortalecimiento de actores 20 encuestas SISBEN UPL 14 - Patio Bonito</t>
  </si>
  <si>
    <t>UPL 14 - PATIO BONITO</t>
  </si>
  <si>
    <t xml:space="preserve">Carpeta SISBEN contiene listado de asistencia encuestas sisben y un regiustro fotografico </t>
  </si>
  <si>
    <t>Fortalecimiento de actores 20 encuestas SISBEN UPL 15 - Porvenir</t>
  </si>
  <si>
    <t>UPL 15 - PORVENIR</t>
  </si>
  <si>
    <t xml:space="preserve">OK .Carpeta Sisben  solo contiene registro fotografico  y firma de asistencia de vistas </t>
  </si>
  <si>
    <t>Fortalecimiento de actores 20 encuestas SISBEN UPL 16 - Edén</t>
  </si>
  <si>
    <t>UPL 16 - EDEN</t>
  </si>
  <si>
    <t xml:space="preserve">Carpeta de SISBEN solo contiene Reg. fotografico y formato de asistencia de encuestas </t>
  </si>
  <si>
    <t>Fortalecimiento de actores 10 encuestas SISBEN UPL 17 - Bosa</t>
  </si>
  <si>
    <t>UPL 17 - BOSA</t>
  </si>
  <si>
    <t xml:space="preserve">Carpeta SISBEN contiene listado de asistencia paz y salvo sisben reg fot </t>
  </si>
  <si>
    <t>Fortalecimiento de actores 20 encuestas SISBEN UPL 18 - Kennedy</t>
  </si>
  <si>
    <t>UPL 18 - KENNEDY</t>
  </si>
  <si>
    <t xml:space="preserve">Carpeta SISBEN contiene listado de encuesta paz y salvo y registro fotografico </t>
  </si>
  <si>
    <t>Fortalecimiento de actores 20 encuestas SISBEN UPL 19 - Tunjuelito</t>
  </si>
  <si>
    <t>UPL 19 - TUNJUELITO</t>
  </si>
  <si>
    <t xml:space="preserve">Carpeta de SISBEN, contiene  listado de asistencia de encuestas Sisben fotografia  paz y salvo </t>
  </si>
  <si>
    <t>Fortalecimiento de actores 20 encuestas SISBEN UPL 20 - Rafel Uribe Uribe</t>
  </si>
  <si>
    <t>UPL 20 - RAFAEL URIBE URIBE</t>
  </si>
  <si>
    <t>Fortalecimiento de actores 20 encuestas SISBEN UPL 21 - San Cristóbal</t>
  </si>
  <si>
    <t>UPL 21 - SAN CRISTOBAL</t>
  </si>
  <si>
    <t xml:space="preserve">Carpeta de Sisben contiene  listado de asistencia encuestas y  registro fotogragico </t>
  </si>
  <si>
    <t>Fortalecimiento de actores 20 encuestas SISBEN UPL 22 - Restrepo</t>
  </si>
  <si>
    <t>UPL 22 - RESTREPO</t>
  </si>
  <si>
    <t>Fortalecimiento de actores 10 encuestas SISBEN UPL 23 - Centro Histórico</t>
  </si>
  <si>
    <t>UPL 23 - CENTRO HISTORICO</t>
  </si>
  <si>
    <t xml:space="preserve">Carpeeta del SISBEN contiene Paz y salvo sisben  listado de encuestas realizadas y registro fotografico </t>
  </si>
  <si>
    <t>Fortalecimiento de actores 20 encuestas SISBEN UPL 24 - Chapinero</t>
  </si>
  <si>
    <t>UPL 24 - CHAPINERO</t>
  </si>
  <si>
    <t>Fortalecimiento de actores 20 encuestas SISBEN UPL 25 - Usaquén</t>
  </si>
  <si>
    <t>UPL 25 - USAQUEN</t>
  </si>
  <si>
    <t xml:space="preserve">Carpeta SISBEN contiene , certificado curso  lista  de encuesta realizada  y registro fotografico </t>
  </si>
  <si>
    <t>Fortalecimiento de actores 20 encuestas SISBEN UPL 26 - Toberín</t>
  </si>
  <si>
    <t>UPL 26 - TOBERIN</t>
  </si>
  <si>
    <t>Fortalecimiento de actores 20 encuestas SISBEN UPL 27 - Niza</t>
  </si>
  <si>
    <t>UPL 27 - NIZA</t>
  </si>
  <si>
    <t xml:space="preserve">Carpeta Sisben  contiene  listado de asistencia encuesta  paz y salvo encuestas  y registro fotografico ( pendiente soporte de ing ) </t>
  </si>
  <si>
    <t>Fortalecimiento de actores 20 encuestas SISBEN UPL 28 - Ricón de Suba</t>
  </si>
  <si>
    <t>Ricón de Suba</t>
  </si>
  <si>
    <t>UPL 28 - RINCON DE SUBA</t>
  </si>
  <si>
    <t xml:space="preserve">Carpeta SISBEN contiene listado asistencia encuestas  y registro fotografico </t>
  </si>
  <si>
    <t>Fortalecimiento de actores 20 encuestas SISBEN UPL 29 - Tabora</t>
  </si>
  <si>
    <t>UPL 29 - TABORA</t>
  </si>
  <si>
    <t xml:space="preserve">OK. Carpeta SISBEN contiene Certificado curso  lista de asistencia encuerstas  y registro fotografico </t>
  </si>
  <si>
    <t>Fortalecimiento de actores 20 encuestas SISBEN UPL 30 - Salitre</t>
  </si>
  <si>
    <t>UPL 30 - SALITRE</t>
  </si>
  <si>
    <t xml:space="preserve">OK carpeta de SISBEN contiene certificado curso, listado de encuesta  y registro fotografico </t>
  </si>
  <si>
    <t>Fortalecimiento de actores 20 encuestas SISBEN UPL 31 - Puente Aranda</t>
  </si>
  <si>
    <t>UPL 31 - PUENTE ARANDA</t>
  </si>
  <si>
    <t xml:space="preserve">Carpeta de Sisben contiene registro asistencia visitas y registro fotografico </t>
  </si>
  <si>
    <t>Fortalecimiento de actores 10 encuestas SISBEN UPL 32 - Teusaquillo</t>
  </si>
  <si>
    <t>UPL 32 - TEUSAQUILLO</t>
  </si>
  <si>
    <t xml:space="preserve">Carpeta SISBEN contiene: paz y salvo Sisven cert curso,  visitas y regis </t>
  </si>
  <si>
    <t>Fortalecimiento de actores 10 encuestas SISBEN UPL 33 - Barrios Unidos</t>
  </si>
  <si>
    <t>UPL 33 - BARRIOS UNIDOS</t>
  </si>
  <si>
    <t>Revisar los avances en la elaboración del reglamento para la creación y puesta en funcionamiento del AGORA Metropolitana.</t>
  </si>
  <si>
    <t xml:space="preserve">Región Metropolitana de Bogotá- Cundinamarca </t>
  </si>
  <si>
    <t>(601) 3840687</t>
  </si>
  <si>
    <t>direccion@regionmetropolitana.gov.co</t>
  </si>
  <si>
    <t>Región metropolitana</t>
  </si>
  <si>
    <t>Sin infomación</t>
  </si>
  <si>
    <t>Avenida El Dorado # 69 - 76 piso 15</t>
  </si>
  <si>
    <t>Avances en la formulación del Acuerdo de Reglamentación. Se avanzó en definir las formas de participación que se habilitarán y los tipos de organización ciudadana que se convocarán por parte de los tres socios de la Región Metropolitana de Bogotá y Cundinamarca.</t>
  </si>
  <si>
    <t>2024-08-05_MESA DE SEGUIMIENTO DE ÁGORA METROPOLITANA RMBC</t>
  </si>
  <si>
    <t>Son reuniones técnicas e interinstitucionales que no requieren el envío previo de información.</t>
  </si>
  <si>
    <t>Sesión JAL Kennedy - AE Chucua La Vaca</t>
  </si>
  <si>
    <t>Socializar el estado de avance de la Actuación Estratégica Chucua La Vaca</t>
  </si>
  <si>
    <t>Subdirección de Planeamiento Local del Sur Occidente</t>
  </si>
  <si>
    <t>TV 78 K # 41A 04 SUR</t>
  </si>
  <si>
    <t>Estado de avance de la AE y generalidades de la Política de Protección a Moradores y Actividades Productivas.</t>
  </si>
  <si>
    <t>2024-08-05_SESSIÓN JAL KENNEDY - AE CHUCUA LA VACA</t>
  </si>
  <si>
    <t>Devolución PDD de niños, niñas y adolescentes (SED)</t>
  </si>
  <si>
    <t>Acompañar a la SED en el proceso de Devolución con niñas, niños y adolescentes</t>
  </si>
  <si>
    <t xml:space="preserve">Secretaría Distrital de Educación </t>
  </si>
  <si>
    <t>Resultados Plan de Desarrollo Distrital.</t>
  </si>
  <si>
    <t>2024-08-05_DEVOLUCIÓN PDD NIÑOS, NIÑAS Y ADOLESCENTES</t>
  </si>
  <si>
    <t xml:space="preserve">La OPDC acompaña el proceso adelantado por la SED. La convocatoria es cerrada y está bajo los proyectos que la SED.desarrolla en los colegios. </t>
  </si>
  <si>
    <t>Folleto y loteria</t>
  </si>
  <si>
    <t xml:space="preserve">Meta Asamblea - Comité de Diseño </t>
  </si>
  <si>
    <t>Revisar avances del proceso de alistamiento de la Meta Asamblea Deliberativa en tres temas: 
1. Convocatoria, 2. Preparación evento de sorteo, 3. Propuesta de metodología deliberativa.</t>
  </si>
  <si>
    <t xml:space="preserve">Fundación Corona </t>
  </si>
  <si>
    <t xml:space="preserve">Alternativas de convocatoria ciudadana a la Meta Asamblea; propuesta de estrategia de metodología de deliberación; propuesta de evento para la realización del sorteo ciudadano. </t>
  </si>
  <si>
    <t>2024-08-08_META ASAMBLEA - COMITÉ DE DISEÑO</t>
  </si>
  <si>
    <t>Propuesta de metodología de deliberación; propuesta de evento de sorteo de selección de participantes.</t>
  </si>
  <si>
    <t xml:space="preserve">Secretaría de Educación del Distrito </t>
  </si>
  <si>
    <t>Devolución PDD.</t>
  </si>
  <si>
    <t>2024-08-08_DEVOLUCIÓN PDD DE NIÑOS, NIÑAS Y ADOLESCENTES</t>
  </si>
  <si>
    <t>Convocatoria a cargo de la SED.</t>
  </si>
  <si>
    <t>Falta acta, registro fotográfico, listado de asistencia.</t>
  </si>
  <si>
    <t xml:space="preserve">Mesa de Páramos - Ministerio de Ambiente </t>
  </si>
  <si>
    <t xml:space="preserve">Acompañar a la SPRS en la mesa de páramos liderada por el Ministerio de Ambiente </t>
  </si>
  <si>
    <t>Calle 37 Nº 8-40</t>
  </si>
  <si>
    <t xml:space="preserve">Antecedentes normativos de la delimitación de páramos, temas de dialogo que dicta la sentencia al respecto y fases de este proceso. </t>
  </si>
  <si>
    <t>2024-08-08_MESA DE PÁRAMOS - MINISTERIO DE AMBIENTE</t>
  </si>
  <si>
    <t>Presentación AE Campín - 7 de agosto</t>
  </si>
  <si>
    <t>Socializar los resultados de los aportes de la comunidad y presentación de las directrices de lo público para la Actuación Estratégica (AE) Campin 7 de agosto.</t>
  </si>
  <si>
    <t>Luisa Romero</t>
  </si>
  <si>
    <t>ASOPARTES</t>
  </si>
  <si>
    <t>3134228647</t>
  </si>
  <si>
    <t>gerencia@asopartes.com</t>
  </si>
  <si>
    <t>7 de agosto</t>
  </si>
  <si>
    <t>Calle 63f #26-05</t>
  </si>
  <si>
    <t>Se socializó la vocación de la AE Campin - 7 de Agosto. Oportunidades y Retos de la AE Campin - 7 de Agosto. Se explicó cuales fueron los aportes ciudadanos en la AE Campin - 7 de Agosto. Responder dudas y preguntas de los asistentes.</t>
  </si>
  <si>
    <t>2024-08-08_PRESENTACIÓN AE CAMPIN - 7 DE AGOSTO</t>
  </si>
  <si>
    <t xml:space="preserve">Completar </t>
  </si>
  <si>
    <t>Revisión de Memorando de Entendimiento SDP-EX-FC</t>
  </si>
  <si>
    <t>Culminar el proceso de proyección del Memorando de Entendimiento para el desarrollo de las Asambleas Deliberativas, entre la Secretaría Distrital de Planeación, la Fundación Corona y el Extituto de Política Abierta.</t>
  </si>
  <si>
    <t xml:space="preserve">Fundación Corona - Angela María Beltrán </t>
  </si>
  <si>
    <t>Definición de acuerdos para un Memorando de Entendimiento entre la Secretaría de Planeación, la Fundación Corona y el Extituto de Política Abierta, con el cual crear un marco de colaboración para el desarrollo de las asambleas deliberativas.</t>
  </si>
  <si>
    <t>2024-08-09_VIRTUAL MEMORANDO DE ENTENDIMIENTO SDP-EX-FC</t>
  </si>
  <si>
    <t>Documento borrador del Memorando de Entendimiento.</t>
  </si>
  <si>
    <t>Estrategia de Convocatoria Meta Asambleas Deliberativas</t>
  </si>
  <si>
    <t>Formular una propuesta de estrategia de convocatoria para la Meta Asamblea Deliberativa.</t>
  </si>
  <si>
    <t>Fundación Corona</t>
  </si>
  <si>
    <t>coordinadora@fcorona.org</t>
  </si>
  <si>
    <t>Se acordó lo siguiente: Para el desarrollo de la convocatoria se contará con tres frentes de invitación a la ciudadanía para su postulación al sorteo de selección de participantes a la Meta Asamblea:  a). Carta de invitación por correo certificado a los seis mil destinatarios. b). Call Center para invitación y seguimiento vía telefónica a los seis mil destinatarios. c). Inscripción en territorio mediante recorridos presenciales por lugares estratégicos de las 20 localidades como plazas, universidades, centros comerciales, parques, etc. Todos los frentes de convocatoria aplicarán los criterios de representatividad del modelo estadístico definido.</t>
  </si>
  <si>
    <t>2024-08-09_ESTRATEGIA DE CONVOCATORIA META ASAMBLEAS DELIBERATIVAS</t>
  </si>
  <si>
    <t>Es una reunión prepratoria de carácter técnico metodológico en donde se elaborarán los documentos.</t>
  </si>
  <si>
    <t>Devolución PDD control social.</t>
  </si>
  <si>
    <t>2024-08-09_DEVOLUCIÓN PDD NIÑOS, NIÑAS Y ADOLESCENTES</t>
  </si>
  <si>
    <t xml:space="preserve">Comisión POT - CTPD </t>
  </si>
  <si>
    <t>Atender la comisión ordinaria POT.</t>
  </si>
  <si>
    <t xml:space="preserve">Claudia Solorzano </t>
  </si>
  <si>
    <t>321 2029774</t>
  </si>
  <si>
    <t xml:space="preserve">Coordinación sobre el evento para el 31 de agosto (urbano) del encuentro urbano pedagogía con enfoque en temas relacionados al POT. </t>
  </si>
  <si>
    <t>2024-08-12_COMISIÓN POT - CTPD</t>
  </si>
  <si>
    <t xml:space="preserve">Falta acta por la UNAD -  </t>
  </si>
  <si>
    <t>Comisión PDD - CTPD</t>
  </si>
  <si>
    <t>Planear y organizar la actividad planteada en el plan de acción con la UNAD.</t>
  </si>
  <si>
    <t>Definición de la agenda y metodología de la actividad del Plan de Acción del PDD, a desarrollar mediante el apoyo logístico de la UNAD.</t>
  </si>
  <si>
    <t>2024-08-13_COMISIÓN PDD - CTPD</t>
  </si>
  <si>
    <t xml:space="preserve">Falta acta por la UNAD </t>
  </si>
  <si>
    <t xml:space="preserve">Comisión Poblacional - CTPD </t>
  </si>
  <si>
    <t>Realizar la preparatoria del encuentro de cuidadores-as, para el próximo 23 de agosto.</t>
  </si>
  <si>
    <t xml:space="preserve">Jaqueline Hernandez </t>
  </si>
  <si>
    <t>Metodología y logística del encuentro de cuidadores-as para el próximo 23 de agosto.</t>
  </si>
  <si>
    <t>2024-08-14_COMISIÓN POBLACIONAL - CTPD</t>
  </si>
  <si>
    <t xml:space="preserve">Falta acta de la UNAD </t>
  </si>
  <si>
    <t>Devolución Plan Distrital de Desarrollo al CCLBGTI</t>
  </si>
  <si>
    <t>15:00</t>
  </si>
  <si>
    <t>CCLGTBI (Consejo Consultivo LGBTIQ+)</t>
  </si>
  <si>
    <t>Realizar la socialización de  Planes y programas aprobados en el Plan Distrital de Desarrollo 2024-2028 para personas de los sectores sociales LGBTI.</t>
  </si>
  <si>
    <t xml:space="preserve">Renata Rengifo Moyano </t>
  </si>
  <si>
    <t xml:space="preserve">Freddy Rincon </t>
  </si>
  <si>
    <t>3006574555</t>
  </si>
  <si>
    <t>frincon@sdp.gov.co</t>
  </si>
  <si>
    <t>Secretaría Distrital de Planeación Kra 30 # 25 – 90</t>
  </si>
  <si>
    <t>segunda sesión del Consejo Consultivo LGBTI del año 2024, con el objetivo de tratar el tema de Avances del plan de acción de la PPLGBTI 2024 y Planes y programas aprobados en el Plan Distrital de Desarrollo 2024-2028 para personas de los sectores sociales LGBTI.</t>
  </si>
  <si>
    <t>2024-08-15_DEVOLUCION PDD CCLBGTI</t>
  </si>
  <si>
    <t xml:space="preserve">OK. Evideencias completas. La reunión no fue liderada por la OPDC </t>
  </si>
  <si>
    <t>Acompañar la articulación de acciones y estrategias, en esta oportunidad relacionadas con la política pública sobre el fenómeno de habitabilidad en calle.</t>
  </si>
  <si>
    <t>Mario Fernández</t>
  </si>
  <si>
    <t xml:space="preserve">José Oswaldo Cárdenas Ávila </t>
  </si>
  <si>
    <t>3222718090</t>
  </si>
  <si>
    <t>Localidad de Usme</t>
  </si>
  <si>
    <t>Alcaldía Local de Usme - Cl. 137 Sur #3a-44</t>
  </si>
  <si>
    <t>Política pública sobre el fenómeno de habitabilidad en calle.</t>
  </si>
  <si>
    <t>2024-08-14_SESION AGOSTO</t>
  </si>
  <si>
    <t>Ok, evidencias</t>
  </si>
  <si>
    <t>Conversatorio sobre la importancia de la Comisión de Desarrollo Regional: Un Café y un diálogo_CTPD</t>
  </si>
  <si>
    <t>Apoyar el conversatorio sobre la importancia de la Comisión de Desarrollo Regional: Un Café y un diálogo.</t>
  </si>
  <si>
    <t>Consejera María Cristina Yela</t>
  </si>
  <si>
    <t>Universidad Nacional Abierta y a Distancia - UNAD CIl 14 sur # 14- 23 Barrio Restrepo</t>
  </si>
  <si>
    <t>Apuestas y oportunidades de mejora en la comisión regional del CTPD.</t>
  </si>
  <si>
    <t>2024-08-17_CONVERSATORIO DE LA COMISIÓN DE DESARROLLO REGIONAL UN CAFÉ Y UN DIÁLOGO CTPD</t>
  </si>
  <si>
    <t xml:space="preserve">Falta acta por UNAD </t>
  </si>
  <si>
    <t xml:space="preserve">Gestión: Reunión presencial Consejera Claudia Solorzano - CTPD </t>
  </si>
  <si>
    <t xml:space="preserve">Atender la solicitud de la Consejera en relación a la solicitud de Bolsa Logística </t>
  </si>
  <si>
    <t xml:space="preserve">SuperCade Cra 30 #25-90 </t>
  </si>
  <si>
    <t>Cambio de Plataforma para conexión, plan de acción del CTPD y bolsa logística.</t>
  </si>
  <si>
    <t>2024-08-20_REUNIÓN CONSEJERA CLAUDIA SOLORZANO - CTPD</t>
  </si>
  <si>
    <t xml:space="preserve">Comisión de Participación - CTPD </t>
  </si>
  <si>
    <t>Realizar una capacitación de Legalbog con la Secretaría Jurídica.</t>
  </si>
  <si>
    <t xml:space="preserve">Dick Darío Diaz </t>
  </si>
  <si>
    <t>3178255261</t>
  </si>
  <si>
    <t>Capacitación en LegalBog.</t>
  </si>
  <si>
    <t>2024-08-20_COMISIÓN DE PARTICIPACIÓN - CTPD</t>
  </si>
  <si>
    <t>Reunión evento Smart City Expo</t>
  </si>
  <si>
    <t>Realizar seguimiento a la propuesta de presentación del evento de Smart City Expo.</t>
  </si>
  <si>
    <t>Se presento la propuesta de stand para el Smart City Expo y se hicieron los respectivos ajustes. Además, se discutío la logística del evento.</t>
  </si>
  <si>
    <t>2024-08-21_REUNIÓN EVENTO SMART CITY EXPO</t>
  </si>
  <si>
    <t xml:space="preserve">Reu de gestion  contiene acta y listado de asistencia </t>
  </si>
  <si>
    <t>Gestión: Bolsa logística con la subsecretaria - CTPD</t>
  </si>
  <si>
    <t xml:space="preserve">Socializar los temas de bolsa logística a la Subsecretaria y al CTPD. </t>
  </si>
  <si>
    <t xml:space="preserve">Bolsa logística y anexo técnico. </t>
  </si>
  <si>
    <t>Compartir la grabación, relatoría y presentación ajustada a los consejeros y consejeras del CTPD.</t>
  </si>
  <si>
    <t>2024-08-21_GESTIÓN BOLSA LOGÍSTICA CON LA SUBSECRETARIA - CTPD</t>
  </si>
  <si>
    <t xml:space="preserve">OK. Evideencias completas </t>
  </si>
  <si>
    <t xml:space="preserve">Gestión: Reunión preparatoria para reunión con indígenas </t>
  </si>
  <si>
    <t>Realizar reunión preparatoria para el encuentro con los indígenas el día lunes 27 de agosto en el marco de las políticas públicas étnicas.</t>
  </si>
  <si>
    <t xml:space="preserve">Oficina de Participación y Diálogo en Ciudad en el Piso 8 </t>
  </si>
  <si>
    <t xml:space="preserve">Productos de política pública del Conpes 37 </t>
  </si>
  <si>
    <t>2024-08-21_GESTIÓN REUNIÓN PREPARATORIA CON INDÍGENAS</t>
  </si>
  <si>
    <t xml:space="preserve">Reu. de gestion, contiene convocatoria listado asistencia y acta </t>
  </si>
  <si>
    <t xml:space="preserve">Sesión ordinaria Mesa directiva - CTPD </t>
  </si>
  <si>
    <t>Dar cumplimiento a lo establecido en el reglamento interno del CTPD con relación al desarrollo de la reunión de la mesa directiva de esta instancia una vez al mes.</t>
  </si>
  <si>
    <t xml:space="preserve">Liliana Urrego </t>
  </si>
  <si>
    <t>310 8148740</t>
  </si>
  <si>
    <t>Información de la página web y el cambio en la plataforma de conexión para el CTPD, y también en la elección de consejeros y consejeras delegados a las instancias de participación en las cuales el CTPD no tiene delegado aún.</t>
  </si>
  <si>
    <t>2024-08-22_SESIÓN ORDINARIA MESA DIRECTIVA - CTPD</t>
  </si>
  <si>
    <t xml:space="preserve">ppt orden del dia </t>
  </si>
  <si>
    <t xml:space="preserve">Segundo encuentro de cuidadores y cuidadoras - CTPD </t>
  </si>
  <si>
    <t>Acompañar y apoyar la comisión poblacional quien lidera el  2° Encuentro de Cuidadores - as 2024.</t>
  </si>
  <si>
    <t xml:space="preserve">Nicolas Amaya </t>
  </si>
  <si>
    <t>3195730977</t>
  </si>
  <si>
    <t>Cll. 14 sur # 14 - 23</t>
  </si>
  <si>
    <t>Generalidades relacionadas a temas del cuidado, preocupaciones sobre implementación del Sistema del Cuidado en el PDD.</t>
  </si>
  <si>
    <t>2024-08-21_SEGUNDO ENCUENTRO DE CUIDADORES Y CUIDADORAS - CTPD</t>
  </si>
  <si>
    <t>Comisión ordinaria de Participación.</t>
  </si>
  <si>
    <t>Foro de la comisión de participación del CTPD.</t>
  </si>
  <si>
    <t>2024-08-26_COMISIÓN DE PARTICIPACIÓN - CTPD</t>
  </si>
  <si>
    <t>Acompañar la articulacion de acciones y estragtegias de participacion a nivel local.</t>
  </si>
  <si>
    <t>Viviana Buriticá Peláez</t>
  </si>
  <si>
    <t>dmutiz@participacoionbogota.gov.co</t>
  </si>
  <si>
    <t>Samper mendoza</t>
  </si>
  <si>
    <t xml:space="preserve"> Subdirección de la Secretaría Distrital de Integración Social Mártires- Samper Mendoza</t>
  </si>
  <si>
    <t xml:space="preserve">Incio de la preinscripción para el curso virtual de presupuestos participativos (22-31 de agosto. Inicio 5 de septiembre) - Socialización IDPAC estratégia pactos. </t>
  </si>
  <si>
    <t>2024-08-27_SESIÓN AGOSTO</t>
  </si>
  <si>
    <t xml:space="preserve">Correo de respuesta a la CLIP </t>
  </si>
  <si>
    <t>Mesa de trabajo SDP - SDMujer devolución PDD Consejo Consultivo</t>
  </si>
  <si>
    <t>Apoyar técnicamente a la Secretaría Distrital de la Mujer en el proceso de Devolución del Plan Distrital de Desarrollo con el Consejo Consultivo de Mujeres-CCM y demás mujeres.</t>
  </si>
  <si>
    <t xml:space="preserve">Nathalia Guzmán Martínez </t>
  </si>
  <si>
    <t>Denis Morales</t>
  </si>
  <si>
    <t>311 4546690</t>
  </si>
  <si>
    <t>Plan Distrital Desarrollo.</t>
  </si>
  <si>
    <t>2024-08-27_MUJER DEVOLUCIÓN PDD CONSEJO CONSULTIVO</t>
  </si>
  <si>
    <t xml:space="preserve">PPT  Plan de Desarrollo </t>
  </si>
  <si>
    <t xml:space="preserve">Sesión permanente de la Mesa Directiva - CTPD </t>
  </si>
  <si>
    <t>Continuar con el orden del día aprobado en mesa directiva del 22 de agosto de 2024.</t>
  </si>
  <si>
    <t xml:space="preserve">Liliana Urrego Navarro </t>
  </si>
  <si>
    <t>Informe de consolidado de excusas. Definir el evento Congreso De Mujeres Consejeras Territoriales.</t>
  </si>
  <si>
    <t>2024-08-27_SESIÓN PERMANENTE DE LA MESA DIRECTIVA - CTPD</t>
  </si>
  <si>
    <t>Preparación encuentro pedagógico agosto 31, metodología, asignación de roles. (Se adjunta documento con la metodología).</t>
  </si>
  <si>
    <t xml:space="preserve">Julián Camilo Taylor </t>
  </si>
  <si>
    <t xml:space="preserve">Angela Patricia Manrique </t>
  </si>
  <si>
    <t>Preparatoria evento pedagógico sobre POT el 31 de agosto.</t>
  </si>
  <si>
    <t>2024-08-27_COMISIÓN POT - CTPD</t>
  </si>
  <si>
    <t>Capacitación Asambleas Deliberativas</t>
  </si>
  <si>
    <t xml:space="preserve">Capacitación en la convocatoria de las asambleas deliberativas. </t>
  </si>
  <si>
    <t>Fredy Alexander Martínez</t>
  </si>
  <si>
    <t>Meta asambleas deliberativas, criterios de selección, modalidades de convocatoria</t>
  </si>
  <si>
    <t>2024-08-28_CAPACITACIÓN ASAMBLEAS DELIBERATIVAS</t>
  </si>
  <si>
    <t xml:space="preserve">Socialización Directrices AE Campín - 7 de Agosto/ Gremio Automotriz </t>
  </si>
  <si>
    <t>Acompañar la socialización al gremio automotriz de las directrices de formulación desde mi público de la AE Campin 7 de Agosto.</t>
  </si>
  <si>
    <t>3105663416</t>
  </si>
  <si>
    <t>Juan.concreta@gmail.com</t>
  </si>
  <si>
    <t xml:space="preserve">7 de Agosto </t>
  </si>
  <si>
    <t>Calle 68 #28B - 20 Taller Hyndautos</t>
  </si>
  <si>
    <t>Temas álgidos en relación a AE Campin y 7 de Agosto, que son las AE, que objetivo tiene una AE en Bogota, objetivos principales de la AE Campin y 7 de Agosto</t>
  </si>
  <si>
    <t>La subdireccion de la DPL de la SDP gestionara Realizar una mesa de diálogo con el gremio comerciante y automotriz, donde haya presencia de la SDDE,
DADEP, SDP, IDPC, RenoBo, para aclarar dudas acerca de la AE Campin, 7 de Agosto</t>
  </si>
  <si>
    <t>2024-08-28_SOCIALIZACIÓN DIRECTICES AE CAMPIN - 7 DE AGOSTO GREMIO AUTOMOTRIZ</t>
  </si>
  <si>
    <t xml:space="preserve">OK. Evidencias completas, falta cumplimiento de compromiso por parte de la DPL </t>
  </si>
  <si>
    <t>Demolab- Veeduría Distrital: Taller sobre iniciativas de innovación en la participación Distrital.</t>
  </si>
  <si>
    <t>Compartir el reto de innovación liderado por el Laboratorio de Ciudad y la experiencia de Asambleas Deliberativas como apuestas de innovación para la participación ciudadana en el Distrito Capital.</t>
  </si>
  <si>
    <t>María Del Pilar Barreto</t>
  </si>
  <si>
    <t>Casa de Control Social de la Veeduría Ciudadana</t>
  </si>
  <si>
    <t>Presentación de estrategias de innovación en la participación por parte de diversos sectores de la administración distrital.</t>
  </si>
  <si>
    <t>2024-08-28_DEMOLAB VEEDURIA DISTRITAL</t>
  </si>
  <si>
    <t xml:space="preserve">PTT </t>
  </si>
  <si>
    <t xml:space="preserve">No se cuenta  con asistencia ya que el registro de asistencia fue realizado por la veeduria Distrital y no ha realizado la entrega informacion dada por la lider Pilar Barreto </t>
  </si>
  <si>
    <t>Seguimiento Smart City Expo</t>
  </si>
  <si>
    <t>Realizar seguimiento a las actividades que se van a presentar en el evento Smart City Expo.</t>
  </si>
  <si>
    <t>Se realizó el seguimiento de los avances para el evento de Smart City Expo y se delegaron las actividades para las próximas 2 semanas.</t>
  </si>
  <si>
    <t>2024-08-29_SEGUIMIENTO SMART CITY EXPO</t>
  </si>
  <si>
    <t xml:space="preserve">ok. carpeta  contiene  acta y listado de asistencia </t>
  </si>
  <si>
    <t>Presentación de Resultados del Diálogo Ciudadano sobre Directrices de la AE Campin 7 de Agosto</t>
  </si>
  <si>
    <t>Presentar los Resultados del Diálogo Ciudadano sobre Directrices de la AE Campin 7 de Agosto.</t>
  </si>
  <si>
    <t>Martha Milena Avila De la Hoz</t>
  </si>
  <si>
    <t>Presentación de las directrices para la formulación de AE Campin 7 de agosto</t>
  </si>
  <si>
    <t xml:space="preserve">Enviar grabación y presentacion </t>
  </si>
  <si>
    <t xml:space="preserve">enviar acta a los participantes </t>
  </si>
  <si>
    <t>2024-08-29_PRESENTACIÓN DEL CIUDADANO DIRECTRICES DE LA AE CAMPIN 7 DE AGOSTO</t>
  </si>
  <si>
    <t xml:space="preserve">PPT Presentacion de Directrices  A.E.  Campin </t>
  </si>
  <si>
    <t>Brindar acompañamiento como secretaria técnica al CTPD</t>
  </si>
  <si>
    <t>3004164516</t>
  </si>
  <si>
    <t>Elección de la representante para Consejo Consultivo de Mujeres, siendo la Consejera Lilia Avella.</t>
  </si>
  <si>
    <t>2024-08-29_PLENARIA ORDINARIA CTPD</t>
  </si>
  <si>
    <t>Convocatoria Territorial Meta Asamblea - Santa Fe</t>
  </si>
  <si>
    <t xml:space="preserve">Desarrollar el proceso de convocatoria ciudadana a la Meta Asamblea Deliberativa 2024 en la localidad de Santa Fe. </t>
  </si>
  <si>
    <t xml:space="preserve">William Arturo González </t>
  </si>
  <si>
    <t>Recorrido en la localidad de Santa Fe en los siguientes lugares: Plaza de Bolívar, Plazoleta Rosario, Centro Gabriel García Márquez, City U.</t>
  </si>
  <si>
    <t>2024-08-30_CONVOCATORIA TERRITORIAL AD - SANTA FE</t>
  </si>
  <si>
    <t xml:space="preserve">Reporte diario 30 de agosto </t>
  </si>
  <si>
    <t xml:space="preserve">Carpeta de MetaAsamblea contiene listado de asistencia, registro fotografico </t>
  </si>
  <si>
    <t xml:space="preserve">Convocatoria Territorial Meta Asamblea - Teusaquillo </t>
  </si>
  <si>
    <t>Desarrollar el proceso de convocatoria ciudadana a la Meta Asamblea Deliberativa 2024 en la localidad de Teusaquillo</t>
  </si>
  <si>
    <t>Jorge Eduardo Bermúdez</t>
  </si>
  <si>
    <t>Natalia Gómez Meza</t>
  </si>
  <si>
    <t>Sebastian Higuera Góngora</t>
  </si>
  <si>
    <t>Recorrido en la localidad de Teusaquillo en el siguiente lugar: Park Way.</t>
  </si>
  <si>
    <t>Convocatoria territorial meta asamblea - Teusquillo</t>
  </si>
  <si>
    <t>2024-08-30_CONVOCATORIA TERRITORIAL AD - TEUSAQUILLO</t>
  </si>
  <si>
    <t>Coordinación de temas para poder realizar evento de la Comisión según el Plan de Acción.</t>
  </si>
  <si>
    <t>Dick Darío Díaz</t>
  </si>
  <si>
    <t>consejoterritorialdebogota@sdp.gov.co</t>
  </si>
  <si>
    <t xml:space="preserve">Se trataron temas de POT y UPL </t>
  </si>
  <si>
    <t>2024-08-30_COMISIÓN DE PARTICIPACIÓN - CTPD</t>
  </si>
  <si>
    <t>Convocatoria Territorial Meta Asamblea - Chapinero</t>
  </si>
  <si>
    <t>Desarrollar el proceso de convocatoria ciudadana a la Meta Asamblea Deliberativa 2024 en la localidad de Chapinero.</t>
  </si>
  <si>
    <t>Dayanna Alexandra Cortés</t>
  </si>
  <si>
    <t>Nancy Stella Villa</t>
  </si>
  <si>
    <t>Recorrido en la localidad de Chapinero en los siguientes lugares: Parque de los Hippies, Iglesia de Lourdes, Carrera 11, Centro Andino.</t>
  </si>
  <si>
    <t>Convocatoria meta asamblea - Chapinero</t>
  </si>
  <si>
    <t>2024-08-31_CONVOCATORIA TERRITORIAL AD - CHAPINERO</t>
  </si>
  <si>
    <t xml:space="preserve">Reporte diario 31 de agosto </t>
  </si>
  <si>
    <t>Convocatoria Territorial Meta Asamblea - Usaquén</t>
  </si>
  <si>
    <t>Desarrollar el proceso de convocatoria ciudadana a la Meta Asamblea Deliberativa 2024 en la localidad de Usaquén.</t>
  </si>
  <si>
    <t xml:space="preserve">Sebastian Potes Buitrago </t>
  </si>
  <si>
    <t>Jose Francisco Quiroz</t>
  </si>
  <si>
    <t>Martín René Perdomo</t>
  </si>
  <si>
    <t>Angie Pérez Sandoval</t>
  </si>
  <si>
    <t xml:space="preserve">Maria Alejandra Castañeda </t>
  </si>
  <si>
    <t>David Julián Sepúlveda</t>
  </si>
  <si>
    <t>Recorrido en la localidad de Usaquén en los siguientes lugares: Verbenal y Lijacá.</t>
  </si>
  <si>
    <t>2024-08-31_CONVOCATORIA TERRITORIAL AD - USAQUÉN</t>
  </si>
  <si>
    <t xml:space="preserve">Evento comisión de POT - CTPD </t>
  </si>
  <si>
    <t>Acompañar el Primer Encuentro “Habitar el territorio, conversemos sobre el Plan de Ordenamiento Territorial y su impacto en la vida cotidiana”.</t>
  </si>
  <si>
    <t xml:space="preserve">Mateo López Narváez </t>
  </si>
  <si>
    <t xml:space="preserve">Angela Manrique </t>
  </si>
  <si>
    <t>320 2547806</t>
  </si>
  <si>
    <t>Dirección de Planeamiento Local.</t>
  </si>
  <si>
    <t>Cl. 14 Sur # 14-23</t>
  </si>
  <si>
    <t xml:space="preserve">Comvocatoria meta asamblea </t>
  </si>
  <si>
    <t>2024-09-01_COMISIÓN POT - CTPD</t>
  </si>
  <si>
    <t xml:space="preserve">Faltan evidencias </t>
  </si>
  <si>
    <t>Convocatoria Territorial Meta Asamblea - Usaquén 2</t>
  </si>
  <si>
    <t>Desarrollar el proceso de convocatoria ciudadana a la Meta Asamblea Deliberativa 2024 en la localidad de Usaquén 2.</t>
  </si>
  <si>
    <t>Recorrido en la localidad de Usaquén 2 en el siguiente lugar: Unicentro</t>
  </si>
  <si>
    <t>2024-09-01_CONVOCATORIA TERRITORIAL AD - USAQUÉN 2</t>
  </si>
  <si>
    <t xml:space="preserve">Reporte diario 01 de Septiembre </t>
  </si>
  <si>
    <t>Convocatoria Territorial Meta Asamblea - Suba</t>
  </si>
  <si>
    <t>Desarrollar el proceso de convocatoria ciudadana a la Meta Asamblea Deliberativa 2024 en la localidad de Suba.</t>
  </si>
  <si>
    <t>Recorrido en la localidad de Suba en el siguiente lugar: Centro Comercial Santa Fe.</t>
  </si>
  <si>
    <t>2024-09-01_CONVOCATORIA TERRITORIAL AD - SUBA</t>
  </si>
  <si>
    <t>Convocatoria Territorial Meta Asamblea - Suba 2</t>
  </si>
  <si>
    <t>Desarrollar el proceso de convocatoria ciudadana a la Meta Asamblea Deliberativa 2024 en la localidad de Suba 2.</t>
  </si>
  <si>
    <t>Juan Pablo Saiz</t>
  </si>
  <si>
    <t>Recorrido en la localidad de Suba 2 en los siguientes lugares: Centro Suba, Suba Pueblo</t>
  </si>
  <si>
    <t>2024-09-02_CONVOCATORIA TERRITORIAL AD - SUBA 2</t>
  </si>
  <si>
    <t xml:space="preserve">Reporte diario 02 de Septiembre </t>
  </si>
  <si>
    <t>Realizar seguimiento a los avances para el evento Smart City Expo.</t>
  </si>
  <si>
    <t>Se designaron tareas para las respectivas áreas en relacionado al evento.</t>
  </si>
  <si>
    <t>2024-09-02_SEGUIMIENTO EVENTO DE SMART CITY</t>
  </si>
  <si>
    <t xml:space="preserve">Falta completar evidencias </t>
  </si>
  <si>
    <t>Gestión: Estrategia para socialización del decreto de AEDA</t>
  </si>
  <si>
    <t>Definir las acciones que permitan la socialización del decreto de AEDA.</t>
  </si>
  <si>
    <t>Super CADE piso 8 - Oficina de Participación y Diálogo de Ciudad</t>
  </si>
  <si>
    <t>Estrategia de comunicación y socialización del decreto AEDA en Engativá con RenoBo</t>
  </si>
  <si>
    <t>2024-08-30_ESTRATEGIA PARA SOCIALIZACIÓN DEL DECRETO DE AEDA</t>
  </si>
  <si>
    <t>Sesión del Comité Intersectorial del PDD</t>
  </si>
  <si>
    <t>Realizar seguimiento de las actividades de devolución realizada por los sectores.</t>
  </si>
  <si>
    <t>Se realizó la actualización de los enlaces con su respectivo sector y se dialogaron los pasos a seguir para el mes de septiembre.</t>
  </si>
  <si>
    <t>2024-09-02_SESION DEL COMITÉ INTERSECTORIAL DEL PDD</t>
  </si>
  <si>
    <t>Convocatoria Territorial Meta Asamblea - Engativá</t>
  </si>
  <si>
    <t>Desarrollar el proceso de convocatoria ciudadana a la Meta Asamblea Deliberativa 2024 en la localidad de Engativá.</t>
  </si>
  <si>
    <t>Recorrido en la localidad de Engativá en los siguientes lugares: Villas de Granada, Portal 80 y Ciudadela Colsubsidio</t>
  </si>
  <si>
    <t>Convocatoria Meta asamblea</t>
  </si>
  <si>
    <t>2024-09-02_CONVOCATORIA TERRITORIAL AD - ENGATIVÁ</t>
  </si>
  <si>
    <t xml:space="preserve">Continuar con el orden del día aprobado en la plenaria ordinaria del pasado jueves 29 de agosto de 2024 </t>
  </si>
  <si>
    <t xml:space="preserve">Enlace de reunión </t>
  </si>
  <si>
    <t>Elección de consejeros representantes a espacios como el consejo distrital de paz y de cambio climatico</t>
  </si>
  <si>
    <t>2024-09-02_PLENARIA PERMANENTE CTPD</t>
  </si>
  <si>
    <t xml:space="preserve">cuadro excel relacion de votaciones, PPT  ordden del dia </t>
  </si>
  <si>
    <t>Convocatoria Territorial Meta Asamblea - Engativá 2</t>
  </si>
  <si>
    <t>Desarrollar el proceso de convocatoria ciudadana a la Meta Asamblea Deliberativa 2024 en la localidad de Engativá 2.</t>
  </si>
  <si>
    <t>Recorrido en la localidad de Engativá 2 en los siguientes lugares: Alcaldía Local, Santa María del Lago, Calle 72</t>
  </si>
  <si>
    <t>2024-09-03_CONVOCATORIA TERRITORIAL AD - ENGATIVÁ 2</t>
  </si>
  <si>
    <t xml:space="preserve">Reporte diario 03 de Septiembre </t>
  </si>
  <si>
    <t>Pilotaje Taller PP pobreza</t>
  </si>
  <si>
    <t>La OPDC funge como invitado para servir de participante en el testeo que realizará la Dirección de Planeación del Desarrollo Social.</t>
  </si>
  <si>
    <t xml:space="preserve">Dirección de Planeación del Desarrollo Social </t>
  </si>
  <si>
    <t>3112494342</t>
  </si>
  <si>
    <t>yonatra@sdp.gov.co</t>
  </si>
  <si>
    <t>Servidores SDP</t>
  </si>
  <si>
    <t xml:space="preserve">Pilotaje de taller de pp pobreza </t>
  </si>
  <si>
    <t>2024-09-03_PILOTAJE TALLER PP POBREZA</t>
  </si>
  <si>
    <t>Reunión con Región Metropolitana</t>
  </si>
  <si>
    <t>Presentar los criterios de selección de la Meta Asamblea de Bogotá</t>
  </si>
  <si>
    <t>https://meet.google.com/whd-btge-apj</t>
  </si>
  <si>
    <t>Presentación de la estrategia de convocatoria de la Asamblea Deliberativa Bogotá</t>
  </si>
  <si>
    <t>2024-09-03_REUNION CON REGION METROPOLITANA</t>
  </si>
  <si>
    <t>Gestión: Mesa de trabajo SDP - SDMujer devolución PDD Consejo Consultivo</t>
  </si>
  <si>
    <t>11:00 am</t>
  </si>
  <si>
    <t>Apoyar técnicamente a la Secretaría Distrital de la Mujer en el proceso de Devolución del Plan Distrital de Desarrollo con organizaciones de mujeres y el Consejo Consultivo de Mujeres-CCM.</t>
  </si>
  <si>
    <t>Subsecretaria de Planeación de la inversión</t>
  </si>
  <si>
    <t xml:space="preserve">Julieth Montoya </t>
  </si>
  <si>
    <t>324 6343206</t>
  </si>
  <si>
    <t>jrmontoya@participacionbogota.gov.co</t>
  </si>
  <si>
    <t xml:space="preserve">Pendiente por ser enviado. </t>
  </si>
  <si>
    <t>Fortalecimiento a secretarias técnicas. Socialización Vereda Viva Sumapaz – SCRD. Socialización de la iniciativa del  Consejo Consultivo Local  de Niños, Niñas y Adolescentes de Sumapaz – SDIS</t>
  </si>
  <si>
    <t>2024-09-04_SESION SEPTIEMBRE</t>
  </si>
  <si>
    <t>Jornada Asambleas deliberativas</t>
  </si>
  <si>
    <t>Seguimiento de asambleas deliberativas</t>
  </si>
  <si>
    <t>Seguimiento asambleas deliberativas</t>
  </si>
  <si>
    <t>2024-09-04_JORNADA ASAMBLEAS DELIBERATIVAS</t>
  </si>
  <si>
    <t>Acompañar la articulación de los esfuerzos institucionales de participación en la localidad de Rafael Uribe Uribe.</t>
  </si>
  <si>
    <t>3102558764</t>
  </si>
  <si>
    <t>Alxander.castillo@gobiernobogota.gov.co</t>
  </si>
  <si>
    <t>Carrera 13B # 31G – 40 Sur</t>
  </si>
  <si>
    <t>Seguimiento al plan de acción de la Clip, Presupuestos participativos.</t>
  </si>
  <si>
    <t>Realizar seguimiento a la propuesta de Stand hecha por el operador.</t>
  </si>
  <si>
    <t>Se recibió y revisó la cotización propuesta por el operador en cuento al stand.</t>
  </si>
  <si>
    <t>2024-09-04_SEGUIMIENTO EVENTO DE SMART CITY</t>
  </si>
  <si>
    <t xml:space="preserve">CLIP Usaquén </t>
  </si>
  <si>
    <t>Acompañar la articulación de acciones y estrategias de participación en la localidad de Usaquén - Además del Avances del PDL de Usaquén y Presentación Obras con Saldo Pedagógico 2024-2.</t>
  </si>
  <si>
    <t xml:space="preserve">Aleyda Guzmán </t>
  </si>
  <si>
    <t xml:space="preserve">lguzman@participacionbogota.gov.co </t>
  </si>
  <si>
    <t>2024-09-05_SESION SEPTIEMBRE</t>
  </si>
  <si>
    <t>CUPI PEMPD Teusaquillo</t>
  </si>
  <si>
    <t>Ejecutar actividades en el ámbito territorial del PEMPD que garantice la articulación con el conjunto de la institucionalidad prevista en el instrumento. Dar a conocer en detalle el sistema de gestión del PEMPD SIU DI de Teusaquillo.</t>
  </si>
  <si>
    <t>Alcaldía Local de Teusaquillo (Tv. 18 Bis #38-41)</t>
  </si>
  <si>
    <t>Articulación con el conjunto de la institucionalidad prevista en el instrumento CUPI.</t>
  </si>
  <si>
    <t>2024-09-05_CUPI PEMPD TEUSAQUILLO</t>
  </si>
  <si>
    <t xml:space="preserve">Seguimiento Smart City </t>
  </si>
  <si>
    <t>Coordinar con los jefes de cada oficina las actividades necesarias para el evento de Smart City Expo con los avances hasta el momento.</t>
  </si>
  <si>
    <t>2024-09-05_SEGUIMIENTO DE SMART CITY</t>
  </si>
  <si>
    <t xml:space="preserve">CLIP - Suba </t>
  </si>
  <si>
    <t xml:space="preserve">Acompañar la articulación de acciones y estrategias de participación a nivel local. </t>
  </si>
  <si>
    <t>equilibriobogota@gmail.com</t>
  </si>
  <si>
    <t>Componente de Pedagogia Meta Asamblea Deliberativa</t>
  </si>
  <si>
    <t>Revisar el componente pedagogico de la meta asamblea deliberativa</t>
  </si>
  <si>
    <t>Calle 70 No 30 7</t>
  </si>
  <si>
    <t>2024-09-05_PEDAGOGIA META ASAMBLEA DELIBERATIVA</t>
  </si>
  <si>
    <t>Reunión preparatoria de devolución con Sociedad Civil</t>
  </si>
  <si>
    <t>Preparar la devolución con las organizaciones de la sociedad civil</t>
  </si>
  <si>
    <t>3046044496</t>
  </si>
  <si>
    <t>2024-09-05_PREPARATORIA DEVOLUCION SOCIEDAD CIVIL</t>
  </si>
  <si>
    <t>Acompañar y prestar el servicio de Secretaria Técnica al CTPD</t>
  </si>
  <si>
    <t>2024-09-05_PLENARIA CTPD</t>
  </si>
  <si>
    <t>Sesion del comité ciudadano de la AEDA Fontibón</t>
  </si>
  <si>
    <t>Acompañar el desarrollo del comité ciudadano de la AEDA Fontibón</t>
  </si>
  <si>
    <t>Alcaldia Local de Fontibon</t>
  </si>
  <si>
    <t>2024-09-06_SCC AEDA FONTIBON</t>
  </si>
  <si>
    <t>Devolución ciudadana construcción PDD - Sector Centro Ampliado</t>
  </si>
  <si>
    <t>Juan Sebastian Daza</t>
  </si>
  <si>
    <t>Miguel Ángel Aguilar</t>
  </si>
  <si>
    <t>Subdirección de Planeamiento Local de Centro Ampliado</t>
  </si>
  <si>
    <t>Auditorio Alcaldía de Barrios Unidos - Cl. 74a #63-07</t>
  </si>
  <si>
    <t>2024-09-07_DEVOLUCIÓN PDD - SECTOR CENTRO AMPLIADO</t>
  </si>
  <si>
    <t>Convocatoria Territorial Meta Asamblea - Sumapaz</t>
  </si>
  <si>
    <t xml:space="preserve">Desarrollar el proceso de convocatoria ciudadana a la Meta Asamblea Deliberativa 2024 en la localidad de Sumapaz. </t>
  </si>
  <si>
    <t xml:space="preserve">Centro Poblado La Unión </t>
  </si>
  <si>
    <t>2024-09-07_CONVOCATORIA TERRITORIAL AD - SUMAPAZ</t>
  </si>
  <si>
    <t>Convocatoria Territorial Meta Asamblea - San Cristóbal</t>
  </si>
  <si>
    <t>Desarrollar el proceso de convocatoria ciudadana a la Meta Asamblea Deliberativa 2024 en la localidad de San Cristóbal.</t>
  </si>
  <si>
    <t>Recorrido en la localidad de San Cristóbal en el siguiente lugar: Iglesia del 20 de Julio</t>
  </si>
  <si>
    <t>2024-9_08_CONVOCATORIA TERRITORIAL AD - SAN CRISTÓBAL</t>
  </si>
  <si>
    <t>Convocatoria Territorial Meta Asamblea - Teusaquillo 2</t>
  </si>
  <si>
    <t>Desarrollar el proceso de convocatoria ciudadana a la Meta Asamblea Deliberativa 2024 en la localidad de Teusaquillo 2.</t>
  </si>
  <si>
    <t>Recorrido en la localidad de Teusaquillo en el siguiente lugar: Parque Simón Bolívar</t>
  </si>
  <si>
    <t>2024-09-08_CONVOCATORIA TERRITORIAL AD - TEUSAQUILLO 2</t>
  </si>
  <si>
    <t xml:space="preserve">María Fernanda Doncel Quintero  </t>
  </si>
  <si>
    <t xml:space="preserve"> CDC de Lourdes cra 2 # 4 10.</t>
  </si>
  <si>
    <t>2024-09-09_SESION SEPTIEMBRE</t>
  </si>
  <si>
    <t>Convocatoria Territorial Meta Asamblea - Antonio Nariño</t>
  </si>
  <si>
    <t>Desarrollar el proceso de convocatoria ciudadana a la Meta Asamblea Deliberativa 2024 en la localidad de Antonio Nariño.</t>
  </si>
  <si>
    <t>Recorrido en la localidad de Los Mártires en los siguientes lugares: Plaza de Paloquemao, Centro Comercial Mallplaza, Usatama y Samper Mendoza</t>
  </si>
  <si>
    <t>2024-09-09_CONVOCATORIA TERRITORIAL AD - ANTONIO NARIÑO</t>
  </si>
  <si>
    <t>Convocatoria Territorial Meta Asamblea - Los Mártires</t>
  </si>
  <si>
    <t>Desarrollar el proceso de convocatoria ciudadana a la Meta Asamblea Deliberativa 2024 en la localidad de Los Mártires.</t>
  </si>
  <si>
    <t>William Eduardo Quintero</t>
  </si>
  <si>
    <t>2024-09-09_CONVOCATORIA TERRITORIAL AD - LOS MARTIRES</t>
  </si>
  <si>
    <t>Convocatoria Territorial Meta Asamblea - Usme</t>
  </si>
  <si>
    <t>Desarrollar el proceso de convocatoria ciudadana a la Meta Asamblea Deliberativa 2024 en la localidad de Usme.</t>
  </si>
  <si>
    <t>Recorrido en la localidad de Usme en el siguiente lugar: Centro Comercial Santa Librada</t>
  </si>
  <si>
    <t>2024-09-10_CONVOCATORIA TERRITORIAL AD - USME</t>
  </si>
  <si>
    <t>Segumiento sectorial - SPT</t>
  </si>
  <si>
    <t>Presentar el protocolo de seguimiento sectorial en el marco del Sistema de Participación Territorial.</t>
  </si>
  <si>
    <t>Diego Alejandro Camacho (no hay un actor externo)</t>
  </si>
  <si>
    <t>3508212744</t>
  </si>
  <si>
    <t>dcamachoe@sdp.gov.co</t>
  </si>
  <si>
    <t xml:space="preserve">Sede CTPD </t>
  </si>
  <si>
    <t>2024-09-10_SEGUIMIENTO SECTORIAL - SPT</t>
  </si>
  <si>
    <t>Kr 13 #5474, Bogotá</t>
  </si>
  <si>
    <t>2024-09-10_SESION SEPTIEMBRE</t>
  </si>
  <si>
    <t>Convocatoria Territorial Meta Asamblea - Tunjuelito</t>
  </si>
  <si>
    <t>Desarrollar el proceso de convocatoria ciudadana a la Meta Asamblea Deliberativa 2024 en la localidad de Tunjuelito.</t>
  </si>
  <si>
    <t>Recorrido en la localidad de Tunjuelito en el siguiente lugar: Parque El Tunal</t>
  </si>
  <si>
    <t>2024-09-10_CONVOCATORIA META ASAMBLEA  - TUNJUELITO</t>
  </si>
  <si>
    <t xml:space="preserve">PENDIENTE - Convocatoria Territorial Meta Asamblea - Barrios Unidos </t>
  </si>
  <si>
    <t>Desarrollar el proceso de convocatoria ciudadana a la Meta Asamblea Deliberativa 2024 en la localidad de Barrios Unidos.</t>
  </si>
  <si>
    <t>Recorrido en la localidad de Barrios Unidos en los siguientes lugares: 7 de agosto, Plaza de Mercado y Carrera 24</t>
  </si>
  <si>
    <t>2024-09-03_CONVOCATORIA TERRITORIAL AD - BARRIOS UNIDOS</t>
  </si>
  <si>
    <t xml:space="preserve">Gestión: reunión preparatoria Taller de Devolución UPL Cuenca Tunjuelo </t>
  </si>
  <si>
    <t xml:space="preserve">Preparar al equipo que acompañará el taller de devolución de la UPL Cuenca Tunjuelo. </t>
  </si>
  <si>
    <t>2024-09-11_PREPARATORIA DEVOLUCION PDD - CUENCA DEL TUNJUELO</t>
  </si>
  <si>
    <t>PENDIENTE - Convocatoria Territorial Meta Asamblea - Fontibón</t>
  </si>
  <si>
    <t>Desarrollar el proceso de convocatoria ciudadana a la Meta Asamblea Deliberativa 2024 en la localidad de Fontibón.</t>
  </si>
  <si>
    <t>Recorrido en la localidad de Fontibón en el siguiente lugar: Centro Pueblo Fontibón</t>
  </si>
  <si>
    <t>2024-09-04_CONVOCATORIA TERRITORIAL AD - FONTIBÓN</t>
  </si>
  <si>
    <t>PENDIENTE - Convocatoria Territorial Meta Asamblea - Puente Aranda</t>
  </si>
  <si>
    <t>Desarrollar el proceso de convocatoria ciudadana a la Meta Asamblea Deliberativa 2024 en la localidad de Puente Aranda.</t>
  </si>
  <si>
    <t>Recorrido en la localidad de Puente Aranda en los siguientes lugares: Ciudad Montes, El Jazmin, La Ponderosa, Galán</t>
  </si>
  <si>
    <t>2024-09-04_CONVOCATORIA TERRITORIAL AD - PUENTE ARANDA</t>
  </si>
  <si>
    <t>PENDIENTE - Convocatoria Territorial Meta Asamblea - Rafael Uribe</t>
  </si>
  <si>
    <t>Desarrollar el proceso de convocatoria ciudadana a la Meta Asamblea Deliberativa 2024 en la localidad de Rafael Uribe.</t>
  </si>
  <si>
    <t>Recorrido en la localidad de Rafael Uribe en los siguientes lugares: Quiroga, Olaya, Santander</t>
  </si>
  <si>
    <t>2024-09-05_CONVOCATORIA TERRITORIAL AD - RAFAEL URIBE URIBE</t>
  </si>
  <si>
    <t>3132133446</t>
  </si>
  <si>
    <t>2024-09-12_SESION SEPTIEMBRE</t>
  </si>
  <si>
    <t>PENDIENTE - Convocatoria Territorial Meta Asamblea - Kennedy</t>
  </si>
  <si>
    <t>Desarrollar el proceso de convocatoria ciudadana a la Meta Asamblea Deliberativa 2024 en la localidad de Kennedy</t>
  </si>
  <si>
    <t>Recorrido en la localidad de Kennedy en los siguientes lugares: Centro Kennedy, Techo, Plaza de Las Américas</t>
  </si>
  <si>
    <t>2024-09-05_CONVOCATORIA TERRITORIAL AD - KENNEDY</t>
  </si>
  <si>
    <t>PENDIENTE - Convocatoria Territorial Meta Asamblea - Bosa</t>
  </si>
  <si>
    <t>Desarrollar el proceso de convocatoria ciudadana a la Meta Asamblea Deliberativa 2024 en la localidad de Bosa.</t>
  </si>
  <si>
    <t>Recorrido en la localidad de Bosa en los siguientes lugares: Centro, Piamonte, Carbonel</t>
  </si>
  <si>
    <t>2024-09-06_CONVOCATORIA TERRITORIAL AD - BOSA</t>
  </si>
  <si>
    <t>Devolución ciudadana construcción PDD - Cuenca del Tunjuelo - Ciudad Bolivar</t>
  </si>
  <si>
    <t>Edinson Alejandro Celis</t>
  </si>
  <si>
    <t xml:space="preserve">Colegio el Destino </t>
  </si>
  <si>
    <t>2024-09-14_DEVOLUCIÓN PDD - CUENCA DEL TUNJUELO</t>
  </si>
  <si>
    <t>PENDIENTE - Convocatoria Territorial Meta Asamblea - Ciudad Bolívar</t>
  </si>
  <si>
    <t>Desarrollar el proceso de convocatoria ciudadana a la Meta Asamblea Deliberativa 2024 en la localidad de Ciudad Bolívar.</t>
  </si>
  <si>
    <t>Recorrido en la localidad de Ciudad 
Bolivar en los siguientes lugares: Centro 
Comercial El Ensueño, Candelaria Nueva, 
La Coruña</t>
  </si>
  <si>
    <t>2024-08-06_CONVOCATORIA TERRITORIAL AD - CIUDAD BOLÍVAR</t>
  </si>
  <si>
    <t xml:space="preserve">Gestión: Devolución de entrenamiento del PDD taller Niños, Niñas y Adolescentes </t>
  </si>
  <si>
    <t>Entrenar al equipo de la OPDC en la metodología participativa de devolución con NNA.</t>
  </si>
  <si>
    <t>Sala A piso 8</t>
  </si>
  <si>
    <t>2024-09-03_DEVOLUCIÓN DE ENTRENAMIENTO DEL PDD TALLER NNA</t>
  </si>
  <si>
    <t>Devolución PDD - ASOBARES</t>
  </si>
  <si>
    <t>Realizar la devolución y rendición de cuentas sobre los resultados de la participación con el Gremio ASOBARES, en la formulación del Plan Distrital de Desarrollo y la Socialización del acuerdo adoptado con miras a promover la confianza, apropiación y corresponsabilidad para la futura implementación del plan.</t>
  </si>
  <si>
    <t>Nereida Sanchez</t>
  </si>
  <si>
    <t>3232897493</t>
  </si>
  <si>
    <t>Auditorio CTPD - Piso 2 SDP</t>
  </si>
  <si>
    <t>2024-09-17-DEVOLUCION PDD ASOBARES</t>
  </si>
  <si>
    <t>2024-09-18_SESION SEPTIEMBRE</t>
  </si>
  <si>
    <t>Devolución PDD taller Niños, Niñas y Adolescentes</t>
  </si>
  <si>
    <t>Desarrollar taller de devolución PDD.</t>
  </si>
  <si>
    <t>Colegio Ciudad Chengdú</t>
  </si>
  <si>
    <t>7640656</t>
  </si>
  <si>
    <t xml:space="preserve">secretaria@alianzaeducativa.edu.co </t>
  </si>
  <si>
    <t>Boloña</t>
  </si>
  <si>
    <t xml:space="preserve">Colegio Ciudad Chengdú KR 14 C # 74 A - 06 SUR y KR 12 G # 22 B - 70 SUR. Sector Boloña, Localidad de Usme </t>
  </si>
  <si>
    <t>2024-09-09_DEVOLUCIÓN PDD TALLER NNA</t>
  </si>
  <si>
    <t xml:space="preserve">Mesa de concertación productos PP Indigenas - Cap. Muisca </t>
  </si>
  <si>
    <t>Asistir a la mesa de concertación de las metodologias a implementar para el cumplimiento del producto de política pública que tiene a cargo la OPDC con el Pueblo Muisca</t>
  </si>
  <si>
    <t>3125641672</t>
  </si>
  <si>
    <t>2024-09-19_MESA DE CONCERTACION PRO PP INDIGENA - MUISCA</t>
  </si>
  <si>
    <t>Mesa de trabajo JAC Condominio Alamos</t>
  </si>
  <si>
    <t>Atender mesa de trabajo solicitada por la JAC Condominio Alamos con temas relacionados con subdireccion de Mejoramiento Integral y Consolidación.</t>
  </si>
  <si>
    <t>Carlos Augusto Rubiano</t>
  </si>
  <si>
    <t>3214770151</t>
  </si>
  <si>
    <t>condominioalamos43@gmail.com</t>
  </si>
  <si>
    <t>Condominio Alamos</t>
  </si>
  <si>
    <t>SDP - Piso 8</t>
  </si>
  <si>
    <t>2024-09-20_MESA DE TRABAJO JAC - CONDOMINIO ALAMOS</t>
  </si>
  <si>
    <t>Capacitación Normativa a Funcionarios Alcaldía Local de Sumapaz</t>
  </si>
  <si>
    <t>Capacitar a la inspección de policiva de la alcaldía local de Sumapaz, en el componente rural del Decreto 555 de 2021, con acompañamiento de las curadurías</t>
  </si>
  <si>
    <t>Eudalia Cubides Ruiz</t>
  </si>
  <si>
    <t xml:space="preserve"> Eudalia.cubides@gobiernobogota.gov.co</t>
  </si>
  <si>
    <t>Secretaria Distrital de Gobierno -Calle 11 N° 8-17</t>
  </si>
  <si>
    <t>2024-09-05_CAPACITACIÓN NORMATIVA POT ALCALDÍA LOCAL DE SUMAPAZ</t>
  </si>
  <si>
    <t>Devolución ciudadana construcción PDD - UPL Sumapaz - Cuenca Rio Sumpaz - La Unión</t>
  </si>
  <si>
    <t xml:space="preserve">Salón comunal de la unión </t>
  </si>
  <si>
    <t>2024-09-28_DEVOLUCIÓN PDD - CUENCA DEL RIO - LA UNION</t>
  </si>
  <si>
    <t>PROVISIONAL - Devolución ciudadana construcción PDD - Sector Occidente</t>
  </si>
  <si>
    <t>Subdirección de Planeamiento Local Occidente</t>
  </si>
  <si>
    <t>2024-09-28_DEVOLUCIÓN PDD - SECTOR OCCIEDENTE</t>
  </si>
  <si>
    <t>PROVISIONAL - Devolución ciudadana construcción PDD - Sector Noroccidente</t>
  </si>
  <si>
    <t>Subdirección de Planeamiento Local de Noroccidente</t>
  </si>
  <si>
    <t>2024-09-29_DEVOLUCIÓN PDD - SECTOR NOROCCIDENTE</t>
  </si>
  <si>
    <t>Julieth Montoya</t>
  </si>
  <si>
    <t>3246343206</t>
  </si>
  <si>
    <t>Sede Alcaldía Local de Betania</t>
  </si>
  <si>
    <t>2024-10-02_SESION OCTUBRE</t>
  </si>
  <si>
    <t>Mes</t>
  </si>
  <si>
    <t>Actividades por medir</t>
  </si>
  <si>
    <t>Indicador 1 - EP</t>
  </si>
  <si>
    <t>Indicador 2 - EP</t>
  </si>
  <si>
    <t>Indicador 3 - EP</t>
  </si>
  <si>
    <t>Indicador 4 - EP</t>
  </si>
  <si>
    <t>Indicador 1 - EDA</t>
  </si>
  <si>
    <t>Indicador 2 - EDA</t>
  </si>
  <si>
    <t>Indicador 1 - ESEI</t>
  </si>
  <si>
    <t>Indicador 2 - ESEI</t>
  </si>
  <si>
    <t>Indicador 3 - ESEI</t>
  </si>
  <si>
    <t>Indicador 4 - ESEI</t>
  </si>
  <si>
    <t>Indicador 6 - ESEI</t>
  </si>
  <si>
    <t>Escala</t>
  </si>
  <si>
    <t>%</t>
  </si>
  <si>
    <t>Q</t>
  </si>
  <si>
    <t>Q.b</t>
  </si>
  <si>
    <t>Febrero</t>
  </si>
  <si>
    <t>Marzo</t>
  </si>
  <si>
    <t>Abril</t>
  </si>
  <si>
    <t>Mayo</t>
  </si>
  <si>
    <t>Junio</t>
  </si>
  <si>
    <t>Julio</t>
  </si>
  <si>
    <t>Agosto</t>
  </si>
  <si>
    <t>Septiembre</t>
  </si>
  <si>
    <t>Octubre</t>
  </si>
  <si>
    <t>Noviembre</t>
  </si>
  <si>
    <t>Diciembre</t>
  </si>
  <si>
    <t>SELECCIÓN</t>
  </si>
  <si>
    <t>PROCESO</t>
  </si>
  <si>
    <t>MODALIDAD</t>
  </si>
  <si>
    <t>PROFESIONALES OPDC</t>
  </si>
  <si>
    <t>TIPOS DE ACTOR</t>
  </si>
  <si>
    <t>CLASIFICACIÓN DEL TIPO DE ACTOR</t>
  </si>
  <si>
    <t>LOCALIDAD</t>
  </si>
  <si>
    <t>TERRITORIOS</t>
  </si>
  <si>
    <t>MECANISMOS</t>
  </si>
  <si>
    <t>STATUS</t>
  </si>
  <si>
    <t>ÍTEM</t>
  </si>
  <si>
    <t>RUTA DE PARTICIPACIÓN</t>
  </si>
  <si>
    <t>ESTRATEGIAS DE ADAPTACIÓN</t>
  </si>
  <si>
    <t>CUMPLIMIENTO DEL OBJETIVO</t>
  </si>
  <si>
    <t>UPL</t>
  </si>
  <si>
    <t>VALORES</t>
  </si>
  <si>
    <t>Academia</t>
  </si>
  <si>
    <t>Sí</t>
  </si>
  <si>
    <t>Agentes Internacionales</t>
  </si>
  <si>
    <t>No</t>
  </si>
  <si>
    <t>Enfoque poblacional diferencial y de género</t>
  </si>
  <si>
    <t>Parcialmente</t>
  </si>
  <si>
    <t>CAR</t>
  </si>
  <si>
    <t>Desarrollo del Suelo</t>
  </si>
  <si>
    <t>Catalina Sotelo Palma</t>
  </si>
  <si>
    <t>Ciudadanía</t>
  </si>
  <si>
    <t>Varios</t>
  </si>
  <si>
    <t>Columnistas</t>
  </si>
  <si>
    <t>Observatorio del Sistema del Cuidado y Servicios Sociales</t>
  </si>
  <si>
    <t>Congresista</t>
  </si>
  <si>
    <t>Plan del Sistema de Cuidado y Servicios Sociales</t>
  </si>
  <si>
    <t>Política Pública de Ruralidad</t>
  </si>
  <si>
    <t>Felipe Rey Salamanca</t>
  </si>
  <si>
    <t>Medios de comunicación alternativos</t>
  </si>
  <si>
    <t>Hernán Dario Meléndez</t>
  </si>
  <si>
    <t>Servicios Públicos</t>
  </si>
  <si>
    <t>Medios de comunicación masivos</t>
  </si>
  <si>
    <t>Organizaciones de Cultos</t>
  </si>
  <si>
    <t>John Andrés Córdoba</t>
  </si>
  <si>
    <t>Integración Regional</t>
  </si>
  <si>
    <t>Sindicatos</t>
  </si>
  <si>
    <t>Universidad Pública</t>
  </si>
  <si>
    <t>No Específica</t>
  </si>
  <si>
    <t>Liz Catherine Dussán</t>
  </si>
  <si>
    <t>María Inés Mejia</t>
  </si>
  <si>
    <t>Mario Germán Herrera</t>
  </si>
  <si>
    <t xml:space="preserve">Marisol Velasco Peña </t>
  </si>
  <si>
    <t>Néstor Jecfrid Sánchez</t>
  </si>
  <si>
    <t>Omar Manuel Medina</t>
  </si>
  <si>
    <t xml:space="preserve">Paula Andrea González </t>
  </si>
  <si>
    <t xml:space="preserve">William Jair Gil </t>
  </si>
  <si>
    <t>ID</t>
  </si>
  <si>
    <t>NOMBRE</t>
  </si>
  <si>
    <t>FECHA</t>
  </si>
  <si>
    <t># COMPROMISOS</t>
  </si>
  <si>
    <t>CUMPLIDOS</t>
  </si>
  <si>
    <t>DEVUELTOS A CIUDADANÍA</t>
  </si>
  <si>
    <t>Contratistas</t>
  </si>
  <si>
    <t>Objeto</t>
  </si>
  <si>
    <t xml:space="preserve"> Valor
Mensual </t>
  </si>
  <si>
    <t>Plazo inicial</t>
  </si>
  <si>
    <t xml:space="preserve"> Valor Total Inicial del contrato </t>
  </si>
  <si>
    <t>Proyecto de Inversión</t>
  </si>
  <si>
    <t>Meta Proyecto de inversión</t>
  </si>
  <si>
    <t>Numero de Contrato</t>
  </si>
  <si>
    <t>Fecha de inicio</t>
  </si>
  <si>
    <t>Pago 1 Feb</t>
  </si>
  <si>
    <t>Ejecutado</t>
  </si>
  <si>
    <t>Pago 2 Mar</t>
  </si>
  <si>
    <t>Ejecutado2</t>
  </si>
  <si>
    <t>Pago 3 Abr</t>
  </si>
  <si>
    <t>Ejecutado3</t>
  </si>
  <si>
    <t>Pago 4 May</t>
  </si>
  <si>
    <t>Ejecutado4</t>
  </si>
  <si>
    <t>Pago 5 Jun</t>
  </si>
  <si>
    <t>Ejecutado5</t>
  </si>
  <si>
    <t>Pago 6 Jul</t>
  </si>
  <si>
    <t>Ejecutado6</t>
  </si>
  <si>
    <t>Pago 7 Ago</t>
  </si>
  <si>
    <t>Ejecutado7</t>
  </si>
  <si>
    <t>Pago 1 Sept</t>
  </si>
  <si>
    <t>Ejecutado8</t>
  </si>
  <si>
    <t>Pago 2 Oct</t>
  </si>
  <si>
    <t>Ejecutado9</t>
  </si>
  <si>
    <t>Pago 3 Nov</t>
  </si>
  <si>
    <t>Ejecutado10</t>
  </si>
  <si>
    <t>Pago 4 Dic</t>
  </si>
  <si>
    <t>Ejecutado11</t>
  </si>
  <si>
    <t>Valor Ejecutado</t>
  </si>
  <si>
    <t xml:space="preserve">Valor Definitivo del contrato </t>
  </si>
  <si>
    <t>Fecha de Final</t>
  </si>
  <si>
    <t>Días restantes</t>
  </si>
  <si>
    <t>Avance del contrato</t>
  </si>
  <si>
    <t>Fecha actual</t>
  </si>
  <si>
    <t>ítem</t>
  </si>
  <si>
    <t>Presupuesto</t>
  </si>
  <si>
    <t>Total ejecutado</t>
  </si>
  <si>
    <t>Disponible</t>
  </si>
  <si>
    <t>PRESTAR SERVICIOS PROFESIONALES DE APOYO A LA OFICINA DE PARTICIPACIÓN Y DIÁLOGO DE CIUDAD EN EL DISEÑO Y SEGUIMIENTO DE LAS ESTRATEGIAS EN EL MARCO DEL MODELO COLABORATIVO DE PARTICIPACIÓN CIUDADANA.</t>
  </si>
  <si>
    <t>054-2024</t>
  </si>
  <si>
    <t> </t>
  </si>
  <si>
    <t>OPS</t>
  </si>
  <si>
    <t xml:space="preserve">Michael Cruz </t>
  </si>
  <si>
    <t>PRESTAR SERVICIOS PROFESIONALES A LA OFICINA DE PARTICIPACIÓN Y DIÁLOGO DE CIUDAD, PARA APOYAR EN EL DISEÑO, SEGUIMIENTO Y EVALUACIÓN DE ESTRATEGIAS METODOLÓGICAS Y PEDAGÓGICAS PARA LA IMPLEMENTACIÓN DEL PLAN INSTITUCIONAL DE PARTICIPACIÓN CIUDADANA 2024.</t>
  </si>
  <si>
    <t>051-2024</t>
  </si>
  <si>
    <t>Bolsa Logística</t>
  </si>
  <si>
    <t xml:space="preserve">Diana Marcela Fernandez </t>
  </si>
  <si>
    <t>PRESTAR SERVICIOS PROFESIONALES A LA OFICINA DE PARTICIPACIÓN Y DIÁLOGO DE CIUDAD PARA APOYAR EN LA CONCERTACION, EJECUCIÓN Y EVALUACIÓN DEL PLAN INSTITUCIONAL DE PARTICIPACIÓN CIUDADANA 2024.</t>
  </si>
  <si>
    <t>045-2024</t>
  </si>
  <si>
    <t>Convenio UNAD</t>
  </si>
  <si>
    <t>Angelica Higuera</t>
  </si>
  <si>
    <t>PRESTAR SERVICIOS PROFESIONALES A LA OFICINA DE PARTICIPACIÓN Y DIÁLOGO DE CIUDAD PARA APOYAR EN LA IMPLEMENTACIÓN, SEGUIMIENTO Y EVALUACIÓN DEL COMPONENTE TERRITORIAL DE LAS ESTRATEGIAS DE PARTICIPACION DEL PLAN INSTITUCIONAL DE PARTICIPACIÓN CIUDADANA 2024.</t>
  </si>
  <si>
    <t>055-2024</t>
  </si>
  <si>
    <t>Paula Gonzalez Rodriguez</t>
  </si>
  <si>
    <t>058-2024</t>
  </si>
  <si>
    <t>contrato suspendido por licencia de maternidad desde el dia 27 de junio del 2024</t>
  </si>
  <si>
    <t>Nicolas Esteban Florez</t>
  </si>
  <si>
    <t>PRESTAR SERVICIOS PROFESIONALES DE APOYO A LA OFICINA DE PARTICIPACIÓN Y DIALOGO DE CIUDAD EN LA CONSOLIDACIÓN Y PROCESAMIENTO DE INFORMACIÓN E INDICADORES GENERADOS A PARTIR DE LAS ESTRATEGIAS DE PARTICIPACIÓN.</t>
  </si>
  <si>
    <t>065-2024</t>
  </si>
  <si>
    <t>Erika Rueda</t>
  </si>
  <si>
    <t>PRESTAR SERVICIOS PROFESIONALES A LA OFICINA DE PARTICIPACIÓN Y DIÁLOGO DE CIUDAD PARA APOYAR LA EJECUCION DE LA ESTRATEGIA TERRITORIAL PARA LA IMPLEMENTACION Y SEGUIMIENTO DEL PLAN INSTITUCIONAL DE PARTICIPACION CIUDADANA 2024.</t>
  </si>
  <si>
    <t>033-2024</t>
  </si>
  <si>
    <t>Sarah Triviño</t>
  </si>
  <si>
    <t>PRESTAR SERVICIOS PROFESIONALES DE APOYO A LA OFICINA DE PARTICIPACIÓN Y DIÁLOGO DE CIUDAD, EN EL DESARROLLO DE ACTIVIDADES DE LAS ESTRATEGIAS DE PARTICIPACIÓN PREVISTAS EN EL PLAN INSTITUCIONAL DE PARTICIPACIÓN CIUDADANA 2024.</t>
  </si>
  <si>
    <t>063-2024</t>
  </si>
  <si>
    <t>Humberto Diaz Acosta</t>
  </si>
  <si>
    <t>PRESTAR SERVICIOS PROFESIONALES DE APOYO A LA OFICINA DE PARTICIPACIÓN Y DIÁLOGO DE CIUDAD EN EL DESARROLLO DE LAS FUNCIONES DE SECRETARÍA TÉCNICA PARA EL ACOMPAÑAMIENTO A LOS PROCESOS DEL CONSEJO TERRITORIAL DE PLANEACIÓN DISTRITAL - CTPD.</t>
  </si>
  <si>
    <t>046-2024</t>
  </si>
  <si>
    <t>038-2024</t>
  </si>
  <si>
    <t>Julio Cesar Martinez</t>
  </si>
  <si>
    <t>PRESTAR SERVICIOS PROFESIONALES A LA OFICINA DE PARTICIPACIÓN Y DIÁLOGO DE CIUDAD PARA APOYAR EN EL DISEÑO, SEGUIMIENTO Y EVALUACION DE LA ESTRATEGIA DE COMUNICACION PARA LA PARTICIPACION DEL PLAN INSTITUCIONAL DE LA PARTICIPACIÓN CIUDADANA 2024.</t>
  </si>
  <si>
    <t>056-2024</t>
  </si>
  <si>
    <t>Derly Castillo</t>
  </si>
  <si>
    <t>PRESTAR SERVICIOS PROFESIONALES DE APOYO A LA OFICINA DE PARTICIPACIÓN Y DIÁLOGO DE CIUDAD EN EL DESARROLLO DE ACTIVIDADES DE LA IMPLEMENTACION DE ESTRATEGIAS DE COMUNICACIÓN EN EL MARCO DEL PLAN INSTITUCIONAL DE LA PARTICIPACIÓN CIUDADANA 2024.</t>
  </si>
  <si>
    <t>074-2024</t>
  </si>
  <si>
    <t>Marisol Velasco</t>
  </si>
  <si>
    <t>PRESTAR SERVICIOS PROFESIONALES A LA OFICINA DE PARTICIPACION Y DIALOGO DE CIUDAD, DESDE EL COMPONENTE JURIDICO EN LA ATENCION DE REQUERIMIENTOS E INFORMACION RELACIONADOS CON EL MODELO COLABORATIVO DE PARTICIPACION CIUDADANA, ASI COMO EN EL SEGUIMIENTO AL PROYECTO DE INVERSION A CARGO DE LA DEPENDENCIA.</t>
  </si>
  <si>
    <t>028-2024</t>
  </si>
  <si>
    <t>Salomon Dilbert
Mariana Triana
Maria Ines Mejia</t>
  </si>
  <si>
    <t>PRESTAR SERVICIOS PROFESIONALES EN LOS TRAMITES Y PROCESOS JURIDICOS DE LA OFICINA DE PARTICIPACIÓN Y DIÁLOGO DE CIUDAD PARA LA EJECUCIÓN DE LAS ACTIVIDADES PREVISTAS EN EL PLAN INSTITUCIONAL DE PARTICIPACIÓN CIUDADANA 2024.</t>
  </si>
  <si>
    <t>018-2024</t>
  </si>
  <si>
    <t>contrato con 2 cesiones</t>
  </si>
  <si>
    <t>Hernan Dario Melendez</t>
  </si>
  <si>
    <t>PRESTAR SERVICIOS PROFESIONALES DE APOYO A LA OFICINA DE PARTICIPACIÓN Y DIALOGO DE CIUDAD EN LA ESTRUCTURACION Y SEGUIMIENTO TÉCNICO, ADMINISTRATIVO Y FINANCIERO A LOS PROCESOS DE CONTRATACION DEL PLAN INSTITUCIONAL DE PARTICIPACIÓN CIUDADANA 2024.</t>
  </si>
  <si>
    <t>057-2024</t>
  </si>
  <si>
    <t>Maria del Pilar Barreto</t>
  </si>
  <si>
    <t>PRESTAR SERVICIOS PROFESIONALES DE APOYO A LA OFICINA DE PARTICIPACIÓN Y DIÁLOGO DE CIUDAD EN CONSOLIDACION, REVISION Y GENERACION DE INFORMACION DESDE LOS COMPONENTES LOGISTICOS, METODOLOGICOS, COMUNICATIVOS Y ADMINISTRATIVOS DE LAS ESTRATEGIAS DE PARTICIPACION DEL PLAN INSTITUCIONAL DE PARTICIPACION CIUDADANA.</t>
  </si>
  <si>
    <t>034-2024</t>
  </si>
  <si>
    <t>PRESTAR SERVICIOS PROFESIONALES DE APOYO A LA OFICINA DE PARTICIPACIÓN Y DIALOGO DE CIUDAD EN LA PREPARACIÓN, IMPLEMENTACIÓN Y SEGUIMIENTO DE LAS ACTIVIDADES QUE SE REQUIERAN PARA LA   PUESTA EN MARCHA DE LAS ESTRATEGIAS TERRITORIALES REQUERIDAS EN EL MARCO DEL PLAN INSTITUCIONAL DE PARTICIPACIÓN CIUDADANA 2024.</t>
  </si>
  <si>
    <t>123-2024</t>
  </si>
  <si>
    <t>Jose Albarracin</t>
  </si>
  <si>
    <t>PRESTAR SERVICIOS PROFESIONALES A LA OFICINA DE PARTICIPACIÓN Y DIÁLOGO DE CIUDAD, PARA APOYAR LA SECRETARIA TECNICA DEL CONSEJO TERRITORIAL DE PLANEACIÓN DISTRITAL - CTPD CON BASE EN LO DISPUESTO POR EL ACUERDO 878 DE 2023 Y SU DECRETO REGLAMENTARIO.</t>
  </si>
  <si>
    <t>173-2024</t>
  </si>
  <si>
    <t>Nicolas Hernandez Moncada</t>
  </si>
  <si>
    <t>148-2024</t>
  </si>
  <si>
    <t>122-2024</t>
  </si>
  <si>
    <t>German Ramon</t>
  </si>
  <si>
    <t>147-2024</t>
  </si>
  <si>
    <t>Zuly Mesa Casas</t>
  </si>
  <si>
    <t>PRESTAR SERVICIOS PROFESIONALES DE APOYO A LA OFICINA DE PARTICIPACIÓN Y DIÁLOGO DE CIUDAD, EN EL DISEÑO DE PIEZAS GRÁFICAS QUE SE REQUIERAN EN EL MARCO DEL PLAN INSTITUCIONAL DE PARTICIPACIÓN CIUDADANA 2024.</t>
  </si>
  <si>
    <t>150-2024</t>
  </si>
  <si>
    <t>David Jojoa</t>
  </si>
  <si>
    <t>PRESTAR SERVICIOS PROFESIONALES DE APOYO A LA OFICINA DE PARTICIPACIÓN Y DIÁLOGO DE CIUDAD EN EL DISEÑO, IMPLEMENTACION Y SEGUIMIENTO A LAS ESTRATEGIAS DE COMUNICACION EN EL MARCO DEL PLAN INSTITUCIONAL DE PARTICIPACIÓN CIUDADANA.</t>
  </si>
  <si>
    <t>177-2024</t>
  </si>
  <si>
    <t>Alejandro Osorio</t>
  </si>
  <si>
    <t>PRESTAR SERVICIOS PROFESIONALES DE APOYO A LA OFICINA DE PARTICIPACIÓN Y DIÁLOGO DE CIUDAD EN  LA RECOLECCION, PRODUCCION  Y COMUNICACION DE LA INFORMACION RECOGIDA DE LA CIUDADANIA QUE HACE PARTE DE LAS ESTRATEGIAS DEL PLAN INSTITUCIONAL DE LA PARTICIPACIÓN CIUDADANA 2024.</t>
  </si>
  <si>
    <t>149-2024</t>
  </si>
  <si>
    <t xml:space="preserve">Mario Herrera </t>
  </si>
  <si>
    <t>PRESTAR SERVICIOS PROFESIONALES DE APOYO A LA OFICINA DE PARTICIPACIÓN Y DIÁLOGO DE CIUDAD, EN EL DISEÑO DE PIEZAS GRÁFICAS, DIGITALES, VISUALES Y AUDIOVISUALES QUE SE REQUIERAN EN EL MARCO DEL PLAN INSTITUCIONAL DE PARTICIPACIÓN CIUDADANA 2024.</t>
  </si>
  <si>
    <t>162-2024</t>
  </si>
  <si>
    <t>PRESTAR SERVICIOS DE APOYO LOGISTICO EN EL DESARROLLO DE LAS ESTRATEGIAS DE PARTICIPACION CIUDADANA ESTABLECIDAS POR A LA OFICINA DE PARTICIPACION Y DIALOGO DE CIUDAD EN EL MARCO DEL PLAN INSTITUCIONAL DE PARTICIPACIÓN CIUDADANA 2024</t>
  </si>
  <si>
    <t>138-2024</t>
  </si>
  <si>
    <t>Ana Maria Ulloa</t>
  </si>
  <si>
    <t>PRESTAR SERVICIOS PROFESIONALES DE APOYO A LA OFICINA DE PARTICIPACIÓN Y DIÁLOGO DE CIUDAD, EN LA IMPLEMENTACION DE ESTRATEGIAS DE COMUNICACIONES PARA EL CONSEJO TERRITORIAL DE PLANEACION DISTRITAL - CTPD EN EL MARCO DEL PLAN INSTITUCIONAL DE PARTICIPACIÓN CIUDADANA 2024.</t>
  </si>
  <si>
    <t>139-2024</t>
  </si>
  <si>
    <t xml:space="preserve">Sebastian Potes </t>
  </si>
  <si>
    <t>PRESTAR SERVICIOS DE APOYO TECNICO EN EL DESARROLLO DE LAS ESTRATEGIAS DE PARTICIPACION CIUDADANA ESTABLECIDAS POR A LA OFICINA DE PARTICIPACION Y DIALOGO DE CIUDAD EN EL MARCO DEL PLAN INSTITUCIONAL DE PARTICIPACIÓN CIUDADANA 2024</t>
  </si>
  <si>
    <t>174-2024</t>
  </si>
  <si>
    <t>Claudia Pineda</t>
  </si>
  <si>
    <t>160-2024</t>
  </si>
  <si>
    <t>Yeiker Guerra</t>
  </si>
  <si>
    <t>PRESTAR SERVICIOS PROFESIONALES A LA OFICINA DE PARTICIPACIÓN Y DIÁLOGO DE CIUDAD PARA APOYAR EL DISEÑO Y SEGUIMIENTO DE LAS ESTRATEGIAS INSTITUCIONALES EN EL MARCO DEL MODELO COLABORATIVO DE PARTICIPACIÓN CIUDADANA 2024.</t>
  </si>
  <si>
    <t>303-2024</t>
  </si>
  <si>
    <t>Manuel Vergara</t>
  </si>
  <si>
    <t>278-2024</t>
  </si>
  <si>
    <t>Paola Gonzalez</t>
  </si>
  <si>
    <t>262-2024</t>
  </si>
  <si>
    <t>279-2024</t>
  </si>
  <si>
    <t>Nancy Villa</t>
  </si>
  <si>
    <t>380-2024</t>
  </si>
  <si>
    <t>William Gil</t>
  </si>
  <si>
    <t>260-2024</t>
  </si>
  <si>
    <t>Andres Castro</t>
  </si>
  <si>
    <t>258-2024</t>
  </si>
  <si>
    <t>pendiente pago final por anexo 3 del acta de recibo final</t>
  </si>
  <si>
    <t>Renata Rengifo</t>
  </si>
  <si>
    <t>321-2024</t>
  </si>
  <si>
    <t>Laura Bechara</t>
  </si>
  <si>
    <t>PRESTAR SERVICIOS PROFESIONALES DE APOYO A LA OFICINA DE PARTICIPACIÓN Y DIÁLOGO DE CIUDAD EN LA TRANSVERSALIZACIÓN DE ENFOQUES PARA LA IMPLEMENTACIÓN DE LAS ESTRATEGIAS DE PARTICIPACIÓN DEL MODELO COLABORATIVO DEL PLAN INSTITUCIONAL DE PARTICIPACIÓN CIUDADANA.</t>
  </si>
  <si>
    <t>280-2024</t>
  </si>
  <si>
    <t>Daniela Velasco</t>
  </si>
  <si>
    <t>236-2024</t>
  </si>
  <si>
    <t>Alberto Montañez</t>
  </si>
  <si>
    <t>394-2024</t>
  </si>
  <si>
    <t>James Nuñez</t>
  </si>
  <si>
    <t>241-2024</t>
  </si>
  <si>
    <t>Carlos Escandon</t>
  </si>
  <si>
    <t>259-2024</t>
  </si>
  <si>
    <t>Nicolas Gutierrez</t>
  </si>
  <si>
    <t>304-2024</t>
  </si>
  <si>
    <t>Camila Santana</t>
  </si>
  <si>
    <t>284-2024</t>
  </si>
  <si>
    <t>En proceso</t>
  </si>
  <si>
    <t xml:space="preserve">
Terminacion anticipada 4 de junio
pendiente ultimo pago (se radicara nuevamente en el mes de septiembre, ya que devolvieron la cuenta porque el acta de liquidacion los saldos a liberar son diferentes)</t>
  </si>
  <si>
    <t>Ana Gually</t>
  </si>
  <si>
    <t>283-2024</t>
  </si>
  <si>
    <t xml:space="preserve">
Terminacion anticipada 4 de junio
pendiente ultimo pago"
Terminacion anticipada 4 de junio
pendiente ultimo pago (se radicara nuevamente en el mes de septiembre, ya que devolvieron la cuenta porque el acta de liquidacion los saldos a liberar son diferentes)"</t>
  </si>
  <si>
    <t>Nestor Sanchez</t>
  </si>
  <si>
    <t>285-2024</t>
  </si>
  <si>
    <t>Joan Sebastian Garcia</t>
  </si>
  <si>
    <t>242-2024</t>
  </si>
  <si>
    <t>Reynaldo Thomas Terrios</t>
  </si>
  <si>
    <t>254-2024</t>
  </si>
  <si>
    <t>Nicolas Moncaleano</t>
  </si>
  <si>
    <t>302-2024</t>
  </si>
  <si>
    <t>Fernado Barreto</t>
  </si>
  <si>
    <t>277-2024</t>
  </si>
  <si>
    <t>Pendiente pago de junio</t>
  </si>
  <si>
    <t xml:space="preserve">Julián Taylor </t>
  </si>
  <si>
    <t>301-2024</t>
  </si>
  <si>
    <t>Disney Sanchez
Angie Perez</t>
  </si>
  <si>
    <t>344-2024</t>
  </si>
  <si>
    <t>contrato con cesión</t>
  </si>
  <si>
    <t>David Mendieta</t>
  </si>
  <si>
    <t>PRESTAR SERVICIOS PROFESIONALES DE APOYO A LA OFICINA DE PARTICIPACIÓN Y DIÁLOGO DE CIUDAD EN LA IMPLEMENTACIÓN DE ESTRATEGIAS DIGITALES Y AUDIOVISUALES DE COMUNICACIÓN EN EL MARCO DEL PLAN INSTITUCIONAL DE PARTICIPACIÓN CIUDADANA 2024.</t>
  </si>
  <si>
    <t>320-2024</t>
  </si>
  <si>
    <t>Vannesa Rocha</t>
  </si>
  <si>
    <t>261-2024</t>
  </si>
  <si>
    <t>Cesar Barrante</t>
  </si>
  <si>
    <t>251-2024</t>
  </si>
  <si>
    <t>William Gonzalez</t>
  </si>
  <si>
    <t>421-2024</t>
  </si>
  <si>
    <t xml:space="preserve">Felipe Rey </t>
  </si>
  <si>
    <t>PRESTAR SERVICIOS PROFESIONALES DE APOYO A LA OFICINA DE PARTICIPACIÓN Y DIÁLOGO DE CIUDAD EN LA GENERACION DE LA CONCEPTUALIZACIÓN PARA LA POLÍTICA PÚBLICA DE DEMOCRACIA DELIBERATIVA Y ALEATORIA PARA LAS ESTRATEGIAS DE PARTICIPACION DEL PLAN INSTITUCIONAL DE PARTICIPACION CIUDADANA Y FORMULACIÓN DEL PLAN DE DESARROLLO DISTRITAL.</t>
  </si>
  <si>
    <t>387-2024</t>
  </si>
  <si>
    <t>Fundacion G3 - Bolsa Logistica</t>
  </si>
  <si>
    <t>PRESTAR SERVICIOS DE APOYO LOGÍSTICO PARA LAS ACTIVIDADES DE FORMULACIÓN Y ADOPCIÓN DEL PLAN DE DESARROLLO ECONÓMICO, SOCIAL, AMBIENTAL Y DE OBRAS PÚBLICAS DE BOGOTÁ D.C. 2024-2028 EN EL MARCO DEL PLAN INSTITUCIONAL DE PARTICIPACIÓN CIUDADANA 2024.</t>
  </si>
  <si>
    <t>Segun ejecución</t>
  </si>
  <si>
    <t>7604-7635</t>
  </si>
  <si>
    <t>449-2024</t>
  </si>
  <si>
    <t>AUNAR ESFUERZOS TÉCNICOS, ESTRATÉGICOS Y ECONÓMICOS CON EL FIN DE BRINDAR APOYO CONCEPTUAL, METODOLÓGICO Y ADMINISTRATIVO AL CONSEJO TERRITORIAL DE PLANEACIÓN DISTRITAL - CTPD PARA QUE PUEDA EJECUTAR LAS ACTIVIDADES DEL PLAN DE ACCIÓN 2024 EN EL MARCO DEL PLAN INSTITUCIONAL DE PARTICIPACIÓN CIUDADANA.</t>
  </si>
  <si>
    <t>Segun lo establecido en la minuta</t>
  </si>
  <si>
    <t>339-2024</t>
  </si>
  <si>
    <t>TIPO DE AGENDA</t>
  </si>
  <si>
    <t>SISTEMA.PARTICIPACION.TERRITORIAL</t>
  </si>
  <si>
    <t>OBJETIVO</t>
  </si>
  <si>
    <t>MECANISMO</t>
  </si>
  <si>
    <t>ACTOR.TIPO</t>
  </si>
  <si>
    <t>ACTOR.CLASIFICACION</t>
  </si>
  <si>
    <t>LOCALIDADES</t>
  </si>
  <si>
    <t>SECTOR.TERRITORIAL</t>
  </si>
  <si>
    <t>RUTA.PARTICIPACION</t>
  </si>
  <si>
    <t>CATEGORIA.RUTA</t>
  </si>
  <si>
    <t>ASISTENTES</t>
  </si>
  <si>
    <t>ASISTENTES.FUNCIONARIOS.SDP</t>
  </si>
  <si>
    <t>TEMAS.TRATADOS</t>
  </si>
  <si>
    <t>REUNIONES.CANTIDAD</t>
  </si>
  <si>
    <t>STATUS.REUNION</t>
  </si>
  <si>
    <t>AVANCE PIPC</t>
  </si>
  <si>
    <t>ESPACIOS POR REALIZAR</t>
  </si>
  <si>
    <t>ESPACIOS NO REALIZADOS</t>
  </si>
  <si>
    <t>ESPACIOS REALIZADOS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</si>
</sst>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h&quot;:&quot;mm&quot; &quot;AM/PM"/>
    <numFmt numFmtId="165" formatCode="[$-F400]h:mm:ss\ AM/PM"/>
    <numFmt numFmtId="166" formatCode="dddd&quot;, &quot;d&quot; de &quot;mmmm"/>
    <numFmt numFmtId="167" formatCode="_-&quot;$&quot;\ * #,##0_-;\-&quot;$&quot;\ * #,##0_-;_-&quot;$&quot;\ * &quot;-&quot;_-;_-@"/>
    <numFmt numFmtId="168" formatCode="0.0%"/>
    <numFmt numFmtId="169" formatCode="d&quot;-&quot;mmm&quot;-&quot;yyyy"/>
    <numFmt numFmtId="170" formatCode="#,##0.0000"/>
    <numFmt numFmtId="171" formatCode="d/m/yyyy"/>
    <numFmt numFmtId="172" formatCode="_-[$$-240A]\ * #,##0_-;\-[$$-240A]\ * #,##0_-;_-[$$-240A]\ * &quot;-&quot;_-;_-@_-"/>
    <numFmt numFmtId="173" formatCode="0.0000"/>
  </numFmts>
  <fonts count="47">
    <font>
      <sz val="10"/>
      <color rgb="FF000000"/>
      <name val="Arial"/>
      <scheme val="minor"/>
    </font>
    <font>
      <sz val="11"/>
      <color theme="1"/>
      <name val="Calibri"/>
    </font>
    <font>
      <sz val="7"/>
      <color theme="1"/>
      <name val="Calibri"/>
    </font>
    <font>
      <sz val="10"/>
      <color rgb="FF000000"/>
      <name val="Calibri"/>
    </font>
    <font>
      <sz val="10"/>
      <color theme="1"/>
      <name val="Arial"/>
    </font>
    <font>
      <b/>
      <sz val="7"/>
      <color rgb="FF000000"/>
      <name val="Calibri"/>
    </font>
    <font>
      <sz val="10"/>
      <name val="Arial"/>
    </font>
    <font>
      <b/>
      <sz val="11"/>
      <color rgb="FF000000"/>
      <name val="Calibri"/>
    </font>
    <font>
      <b/>
      <sz val="11"/>
      <color rgb="FFFFFFFF"/>
      <name val="Calibri"/>
    </font>
    <font>
      <b/>
      <sz val="10"/>
      <color rgb="FF000000"/>
      <name val="Calibri"/>
    </font>
    <font>
      <sz val="8"/>
      <color rgb="FF000000"/>
      <name val="Calibri"/>
    </font>
    <font>
      <sz val="9"/>
      <color theme="1"/>
      <name val="Calibri"/>
    </font>
    <font>
      <sz val="9"/>
      <color rgb="FF000000"/>
      <name val="Calibri"/>
    </font>
    <font>
      <sz val="10"/>
      <color theme="1"/>
      <name val="Arial"/>
      <scheme val="minor"/>
    </font>
    <font>
      <sz val="10"/>
      <color theme="1"/>
      <name val="Calibri"/>
    </font>
    <font>
      <b/>
      <sz val="10"/>
      <color theme="1"/>
      <name val="Calibri"/>
    </font>
    <font>
      <b/>
      <sz val="9"/>
      <color rgb="FF000000"/>
      <name val="Calibri"/>
    </font>
    <font>
      <b/>
      <sz val="9"/>
      <color rgb="FFFFFFFF"/>
      <name val="Calibri"/>
    </font>
    <font>
      <i/>
      <sz val="9"/>
      <color rgb="FF000000"/>
      <name val="Calibri"/>
    </font>
    <font>
      <sz val="9"/>
      <color rgb="FFFFFFFF"/>
      <name val="Calibri"/>
    </font>
    <font>
      <sz val="9"/>
      <color rgb="FF000000"/>
      <name val="Arial"/>
      <scheme val="minor"/>
    </font>
    <font>
      <sz val="8"/>
      <color theme="1"/>
      <name val="Calibri"/>
    </font>
    <font>
      <u/>
      <sz val="8"/>
      <color theme="1"/>
      <name val="Calibri"/>
    </font>
    <font>
      <u/>
      <sz val="8"/>
      <color rgb="FF0000FF"/>
      <name val="Calibri"/>
    </font>
    <font>
      <b/>
      <u/>
      <sz val="8"/>
      <color rgb="FF0000FF"/>
      <name val="Calibri"/>
    </font>
    <font>
      <sz val="8"/>
      <color rgb="FF615D4C"/>
      <name val="Calibri"/>
    </font>
    <font>
      <sz val="8"/>
      <name val="Calibri"/>
    </font>
    <font>
      <u/>
      <sz val="8"/>
      <color rgb="FF1155CC"/>
      <name val="Calibri"/>
    </font>
    <font>
      <i/>
      <sz val="8"/>
      <color rgb="FF000000"/>
      <name val="Calibri"/>
    </font>
    <font>
      <u/>
      <sz val="10"/>
      <color theme="10"/>
      <name val="Arial"/>
      <scheme val="minor"/>
    </font>
    <font>
      <u/>
      <sz val="8"/>
      <color theme="10"/>
      <name val="Calibri"/>
    </font>
    <font>
      <u/>
      <sz val="8"/>
      <color rgb="FF000000"/>
      <name val="Calibri"/>
    </font>
    <font>
      <sz val="8"/>
      <color rgb="FF000000"/>
      <name val="Calibri"/>
      <charset val="1"/>
    </font>
    <font>
      <sz val="8"/>
      <color rgb="FF000000"/>
      <name val="Pantalla aptos"/>
    </font>
    <font>
      <b/>
      <sz val="8"/>
      <color rgb="FF000000"/>
      <name val="Pantalla aptos"/>
    </font>
    <font>
      <sz val="8"/>
      <color theme="1"/>
      <name val="Pantalla aptos"/>
    </font>
    <font>
      <sz val="8"/>
      <name val="Pantalla aptos"/>
    </font>
    <font>
      <u/>
      <sz val="8"/>
      <color rgb="FFFF0000"/>
      <name val="Calibri"/>
    </font>
    <font>
      <b/>
      <sz val="9"/>
      <color rgb="FF000000"/>
      <name val="Calibri"/>
      <family val="2"/>
    </font>
    <font>
      <sz val="9"/>
      <color rgb="FF000000"/>
      <name val="Calibri"/>
      <family val="2"/>
    </font>
    <font>
      <sz val="9"/>
      <name val="Calibri"/>
      <family val="2"/>
    </font>
    <font>
      <sz val="11"/>
      <color rgb="FF000000"/>
      <name val="Calibri"/>
    </font>
    <font>
      <i/>
      <sz val="8"/>
      <color theme="1"/>
      <name val="Calibri"/>
    </font>
    <font>
      <u/>
      <sz val="9"/>
      <color theme="10"/>
      <name val="Calibri"/>
    </font>
    <font>
      <u/>
      <sz val="9"/>
      <color theme="10"/>
      <name val="Arial"/>
      <scheme val="minor"/>
    </font>
    <font>
      <u/>
      <sz val="10"/>
      <color theme="10"/>
      <name val="Calibri"/>
    </font>
    <font>
      <u/>
      <sz val="8"/>
      <color theme="10"/>
      <name val="Arial"/>
      <scheme val="minor"/>
    </font>
  </fonts>
  <fills count="28">
    <fill>
      <patternFill patternType="none"/>
    </fill>
    <fill>
      <patternFill patternType="gray125"/>
    </fill>
    <fill>
      <patternFill patternType="solid">
        <fgColor theme="0"/>
        <bgColor theme="0"/>
      </patternFill>
    </fill>
    <fill>
      <patternFill patternType="solid">
        <fgColor rgb="FFEFEFEF"/>
        <bgColor rgb="FFEFEFEF"/>
      </patternFill>
    </fill>
    <fill>
      <patternFill patternType="solid">
        <fgColor rgb="FFFFFFFF"/>
        <bgColor rgb="FFFFFFFF"/>
      </patternFill>
    </fill>
    <fill>
      <patternFill patternType="solid">
        <fgColor rgb="FFE3D5CA"/>
        <bgColor rgb="FFE3D5CA"/>
      </patternFill>
    </fill>
    <fill>
      <patternFill patternType="solid">
        <fgColor rgb="FFD19277"/>
        <bgColor rgb="FFD19277"/>
      </patternFill>
    </fill>
    <fill>
      <patternFill patternType="solid">
        <fgColor rgb="FFEFCBB5"/>
        <bgColor rgb="FFEFCBB5"/>
      </patternFill>
    </fill>
    <fill>
      <patternFill patternType="solid">
        <fgColor rgb="FFA1A18A"/>
        <bgColor rgb="FFA1A18A"/>
      </patternFill>
    </fill>
    <fill>
      <patternFill patternType="solid">
        <fgColor rgb="FF615D4C"/>
        <bgColor rgb="FF615D4C"/>
      </patternFill>
    </fill>
    <fill>
      <patternFill patternType="solid">
        <fgColor rgb="FF969268"/>
        <bgColor rgb="FF969268"/>
      </patternFill>
    </fill>
    <fill>
      <patternFill patternType="solid">
        <fgColor rgb="FFFFFF00"/>
        <bgColor rgb="FFFFFF00"/>
      </patternFill>
    </fill>
    <fill>
      <patternFill patternType="solid">
        <fgColor rgb="FF00FFFF"/>
        <bgColor rgb="FF00FFFF"/>
      </patternFill>
    </fill>
    <fill>
      <patternFill patternType="solid">
        <fgColor rgb="FF00FF00"/>
        <bgColor rgb="FF00FF00"/>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rgb="FFFF0000"/>
        <bgColor indexed="64"/>
      </patternFill>
    </fill>
    <fill>
      <patternFill patternType="solid">
        <fgColor theme="5" tint="0.59999389629810485"/>
        <bgColor indexed="64"/>
      </patternFill>
    </fill>
    <fill>
      <patternFill patternType="solid">
        <fgColor rgb="FFE7E6E6"/>
        <bgColor rgb="FFFF0000"/>
      </patternFill>
    </fill>
    <fill>
      <patternFill patternType="solid">
        <fgColor rgb="FFFFFFFF"/>
        <bgColor rgb="FFFF0000"/>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bgColor indexed="64"/>
      </patternFill>
    </fill>
    <fill>
      <patternFill patternType="solid">
        <fgColor rgb="FFE1D5CA"/>
        <bgColor indexed="64"/>
      </patternFill>
    </fill>
    <fill>
      <patternFill patternType="solid">
        <fgColor rgb="FF0070C0"/>
        <bgColor indexed="64"/>
      </patternFill>
    </fill>
    <fill>
      <patternFill patternType="solid">
        <fgColor theme="6" tint="0.79998168889431442"/>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thin">
        <color rgb="FFCCCCCC"/>
      </left>
      <right style="thin">
        <color rgb="FFCCCCCC"/>
      </right>
      <top/>
      <bottom style="thin">
        <color rgb="FFCCCCCC"/>
      </bottom>
      <diagonal/>
    </border>
    <border>
      <left style="thin">
        <color rgb="FFCCCCCC"/>
      </left>
      <right style="thin">
        <color rgb="FFCCCCCC"/>
      </right>
      <top/>
      <bottom/>
      <diagonal/>
    </border>
    <border>
      <left/>
      <right style="thin">
        <color rgb="FFFFFFFF"/>
      </right>
      <top style="thin">
        <color rgb="FFFFFFFF"/>
      </top>
      <bottom/>
      <diagonal/>
    </border>
    <border>
      <left style="thin">
        <color rgb="FFCCCCCC"/>
      </left>
      <right style="thin">
        <color rgb="FFCCCCCC"/>
      </right>
      <top style="thin">
        <color rgb="FFCCCCCC"/>
      </top>
      <bottom style="thin">
        <color rgb="FFCCCCCC"/>
      </bottom>
      <diagonal/>
    </border>
    <border>
      <left/>
      <right style="thin">
        <color rgb="FFD9D9D9"/>
      </right>
      <top style="thin">
        <color rgb="FFFFFFFF"/>
      </top>
      <bottom style="thin">
        <color rgb="FFFFFFFF"/>
      </bottom>
      <diagonal/>
    </border>
    <border>
      <left/>
      <right/>
      <top style="thin">
        <color rgb="FFFFFFFF"/>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FFFFFF"/>
      </left>
      <right style="thin">
        <color rgb="FFFFFFFF"/>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rgb="FF00000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theme="0"/>
      </left>
      <right style="thin">
        <color theme="0"/>
      </right>
      <top style="thin">
        <color theme="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theme="0"/>
      </left>
      <right style="thin">
        <color theme="0"/>
      </right>
      <top/>
      <bottom/>
      <diagonal/>
    </border>
    <border>
      <left style="thin">
        <color indexed="64"/>
      </left>
      <right style="thin">
        <color indexed="64"/>
      </right>
      <top style="thin">
        <color indexed="64"/>
      </top>
      <bottom/>
      <diagonal/>
    </border>
    <border>
      <left/>
      <right/>
      <top style="thin">
        <color indexed="64"/>
      </top>
      <bottom/>
      <diagonal/>
    </border>
    <border>
      <left/>
      <right/>
      <top style="thin">
        <color theme="4" tint="0.39997558519241921"/>
      </top>
      <bottom style="thin">
        <color theme="4" tint="0.39997558519241921"/>
      </bottom>
      <diagonal/>
    </border>
  </borders>
  <cellStyleXfs count="2">
    <xf numFmtId="0" fontId="0" fillId="0" borderId="0"/>
    <xf numFmtId="0" fontId="29" fillId="0" borderId="0" applyNumberFormat="0" applyFill="0" applyBorder="0" applyAlignment="0" applyProtection="0"/>
  </cellStyleXfs>
  <cellXfs count="387">
    <xf numFmtId="0" fontId="0" fillId="0" borderId="0" xfId="0"/>
    <xf numFmtId="0" fontId="2" fillId="0" borderId="1" xfId="0" applyFont="1" applyBorder="1" applyAlignment="1">
      <alignment vertical="center" wrapText="1"/>
    </xf>
    <xf numFmtId="0" fontId="3" fillId="0" borderId="1" xfId="0" applyFont="1" applyBorder="1" applyAlignment="1">
      <alignment vertical="center" wrapText="1"/>
    </xf>
    <xf numFmtId="0" fontId="3" fillId="2" borderId="1" xfId="0" applyFont="1" applyFill="1" applyBorder="1" applyAlignment="1">
      <alignment vertical="center" wrapText="1"/>
    </xf>
    <xf numFmtId="0" fontId="3" fillId="4" borderId="1" xfId="0" applyFont="1" applyFill="1" applyBorder="1" applyAlignment="1">
      <alignment vertical="center" wrapText="1"/>
    </xf>
    <xf numFmtId="0" fontId="3" fillId="4" borderId="6" xfId="0" applyFont="1" applyFill="1" applyBorder="1" applyAlignment="1">
      <alignment vertical="center" wrapText="1"/>
    </xf>
    <xf numFmtId="0" fontId="7" fillId="5" borderId="6" xfId="0" applyFont="1" applyFill="1" applyBorder="1" applyAlignment="1">
      <alignment horizontal="center" vertical="center" wrapText="1"/>
    </xf>
    <xf numFmtId="167" fontId="7" fillId="8" borderId="6" xfId="0" applyNumberFormat="1" applyFont="1" applyFill="1" applyBorder="1" applyAlignment="1">
      <alignment horizontal="center" vertical="center" wrapText="1"/>
    </xf>
    <xf numFmtId="0" fontId="8" fillId="9" borderId="7" xfId="0" applyFont="1" applyFill="1" applyBorder="1" applyAlignment="1">
      <alignment horizontal="center" vertical="center" wrapText="1"/>
    </xf>
    <xf numFmtId="0" fontId="8" fillId="9" borderId="8"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5" fillId="10" borderId="8" xfId="0" applyFont="1" applyFill="1" applyBorder="1" applyAlignment="1">
      <alignment horizontal="center" vertical="center" wrapText="1"/>
    </xf>
    <xf numFmtId="0" fontId="8" fillId="9" borderId="6" xfId="0" applyFont="1" applyFill="1" applyBorder="1" applyAlignment="1">
      <alignment horizontal="center" vertical="center"/>
    </xf>
    <xf numFmtId="9" fontId="7" fillId="5" borderId="6" xfId="0" applyNumberFormat="1" applyFont="1" applyFill="1" applyBorder="1" applyAlignment="1">
      <alignment horizontal="center" vertical="center" wrapText="1"/>
    </xf>
    <xf numFmtId="0" fontId="11" fillId="0" borderId="11" xfId="0" applyFont="1" applyBorder="1" applyAlignment="1">
      <alignment horizontal="center" vertical="center" wrapText="1"/>
    </xf>
    <xf numFmtId="0" fontId="13" fillId="0" borderId="0" xfId="0" applyFont="1"/>
    <xf numFmtId="169" fontId="8" fillId="6" borderId="6" xfId="0" applyNumberFormat="1" applyFont="1" applyFill="1" applyBorder="1" applyAlignment="1">
      <alignment horizontal="center" vertical="center" wrapText="1"/>
    </xf>
    <xf numFmtId="0" fontId="7" fillId="5" borderId="0" xfId="0" applyFont="1" applyFill="1" applyAlignment="1">
      <alignment horizontal="center" vertical="center" wrapText="1"/>
    </xf>
    <xf numFmtId="0" fontId="14" fillId="0" borderId="0" xfId="0" applyFont="1" applyAlignment="1">
      <alignment horizontal="center" vertical="center" wrapText="1"/>
    </xf>
    <xf numFmtId="169" fontId="14" fillId="0" borderId="0" xfId="0" applyNumberFormat="1" applyFont="1" applyAlignment="1">
      <alignment horizontal="center" vertical="center" wrapText="1"/>
    </xf>
    <xf numFmtId="170" fontId="14" fillId="0" borderId="0" xfId="0" applyNumberFormat="1" applyFont="1" applyAlignment="1">
      <alignment horizontal="center" vertical="center" wrapText="1"/>
    </xf>
    <xf numFmtId="3" fontId="14" fillId="0" borderId="0" xfId="0" applyNumberFormat="1" applyFont="1" applyAlignment="1">
      <alignment horizontal="center" vertical="center" wrapText="1"/>
    </xf>
    <xf numFmtId="0" fontId="7" fillId="5" borderId="7" xfId="0" applyFont="1" applyFill="1" applyBorder="1" applyAlignment="1">
      <alignment horizontal="center" vertical="center" wrapText="1"/>
    </xf>
    <xf numFmtId="0" fontId="11" fillId="3" borderId="0" xfId="0" applyFont="1" applyFill="1" applyAlignment="1">
      <alignment horizontal="center" vertical="center" wrapText="1"/>
    </xf>
    <xf numFmtId="0" fontId="13" fillId="3" borderId="0" xfId="0" applyFont="1" applyFill="1" applyAlignment="1">
      <alignment horizontal="center" vertical="center"/>
    </xf>
    <xf numFmtId="2" fontId="11" fillId="0" borderId="0" xfId="0" applyNumberFormat="1" applyFont="1" applyAlignment="1">
      <alignment horizontal="center"/>
    </xf>
    <xf numFmtId="9" fontId="11" fillId="0" borderId="0" xfId="0" applyNumberFormat="1" applyFont="1" applyAlignment="1">
      <alignment horizontal="center"/>
    </xf>
    <xf numFmtId="0" fontId="15" fillId="0" borderId="0" xfId="0" applyFont="1" applyAlignment="1">
      <alignment horizontal="center" vertical="center" wrapText="1"/>
    </xf>
    <xf numFmtId="0" fontId="13" fillId="0" borderId="0" xfId="0" applyFont="1" applyAlignment="1">
      <alignment vertical="center" wrapText="1"/>
    </xf>
    <xf numFmtId="171" fontId="8" fillId="6" borderId="6" xfId="0" applyNumberFormat="1" applyFont="1" applyFill="1" applyBorder="1" applyAlignment="1">
      <alignment horizontal="center" vertical="center" wrapText="1"/>
    </xf>
    <xf numFmtId="49" fontId="7" fillId="5" borderId="6" xfId="0" applyNumberFormat="1" applyFont="1" applyFill="1" applyBorder="1" applyAlignment="1">
      <alignment horizontal="center" vertical="center" wrapText="1"/>
    </xf>
    <xf numFmtId="49" fontId="14" fillId="0" borderId="0" xfId="0" applyNumberFormat="1" applyFont="1" applyAlignment="1">
      <alignment horizontal="center" vertical="center" wrapText="1"/>
    </xf>
    <xf numFmtId="9" fontId="14" fillId="0" borderId="0" xfId="0" applyNumberFormat="1" applyFont="1" applyAlignment="1">
      <alignment horizontal="center" vertical="center" wrapText="1"/>
    </xf>
    <xf numFmtId="9" fontId="13" fillId="0" borderId="0" xfId="0" applyNumberFormat="1" applyFont="1"/>
    <xf numFmtId="171" fontId="13" fillId="0" borderId="0" xfId="0" applyNumberFormat="1" applyFont="1"/>
    <xf numFmtId="49" fontId="13" fillId="0" borderId="0" xfId="0" applyNumberFormat="1" applyFont="1"/>
    <xf numFmtId="0" fontId="14" fillId="4" borderId="0" xfId="0" applyFont="1" applyFill="1" applyAlignment="1">
      <alignment horizontal="center" vertical="center" wrapText="1"/>
    </xf>
    <xf numFmtId="0" fontId="12" fillId="2" borderId="4" xfId="0" applyFont="1" applyFill="1" applyBorder="1" applyAlignment="1">
      <alignment vertical="center" wrapText="1"/>
    </xf>
    <xf numFmtId="0" fontId="12" fillId="0" borderId="3" xfId="0" applyFont="1" applyBorder="1" applyAlignment="1">
      <alignment vertical="center" wrapText="1"/>
    </xf>
    <xf numFmtId="0" fontId="10" fillId="0" borderId="4" xfId="0" applyFont="1" applyBorder="1" applyAlignment="1">
      <alignment vertical="center" wrapText="1"/>
    </xf>
    <xf numFmtId="0" fontId="7" fillId="3" borderId="6" xfId="0" applyFont="1" applyFill="1" applyBorder="1" applyAlignment="1">
      <alignment horizontal="center" vertical="center" wrapText="1"/>
    </xf>
    <xf numFmtId="0" fontId="7" fillId="3" borderId="6" xfId="0" applyFont="1" applyFill="1" applyBorder="1" applyAlignment="1">
      <alignment horizontal="left" vertical="center" wrapText="1"/>
    </xf>
    <xf numFmtId="0" fontId="12" fillId="0" borderId="4" xfId="0" applyFont="1" applyBorder="1" applyAlignment="1">
      <alignment vertical="center" wrapText="1"/>
    </xf>
    <xf numFmtId="0" fontId="3" fillId="4"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9" fontId="7" fillId="3" borderId="6" xfId="0" applyNumberFormat="1" applyFont="1" applyFill="1" applyBorder="1" applyAlignment="1">
      <alignment horizontal="center" vertical="center" wrapText="1"/>
    </xf>
    <xf numFmtId="0" fontId="8" fillId="3" borderId="6" xfId="0" applyFont="1" applyFill="1" applyBorder="1" applyAlignment="1">
      <alignment horizontal="center" vertical="center" wrapText="1"/>
    </xf>
    <xf numFmtId="167" fontId="7" fillId="3" borderId="6" xfId="0" applyNumberFormat="1" applyFont="1" applyFill="1" applyBorder="1" applyAlignment="1">
      <alignment horizontal="center" vertical="center" wrapText="1"/>
    </xf>
    <xf numFmtId="10" fontId="7" fillId="3" borderId="6" xfId="0" applyNumberFormat="1" applyFont="1" applyFill="1" applyBorder="1" applyAlignment="1">
      <alignment horizontal="center" vertical="center" wrapText="1"/>
    </xf>
    <xf numFmtId="0" fontId="9" fillId="3" borderId="6" xfId="0" applyFont="1" applyFill="1" applyBorder="1" applyAlignment="1">
      <alignment horizontal="center" vertical="center" wrapText="1"/>
    </xf>
    <xf numFmtId="0" fontId="16" fillId="5" borderId="16" xfId="0" applyFont="1" applyFill="1" applyBorder="1" applyAlignment="1">
      <alignment horizontal="center" vertical="center" wrapText="1"/>
    </xf>
    <xf numFmtId="166" fontId="17" fillId="6" borderId="16" xfId="0" applyNumberFormat="1" applyFont="1" applyFill="1" applyBorder="1" applyAlignment="1">
      <alignment horizontal="center" vertical="center" wrapText="1"/>
    </xf>
    <xf numFmtId="164" fontId="17" fillId="6" borderId="16" xfId="0" applyNumberFormat="1" applyFont="1" applyFill="1" applyBorder="1" applyAlignment="1">
      <alignment horizontal="center" vertical="center" wrapText="1"/>
    </xf>
    <xf numFmtId="0" fontId="16" fillId="7" borderId="16" xfId="0" applyFont="1" applyFill="1" applyBorder="1" applyAlignment="1">
      <alignment horizontal="center" vertical="center" wrapText="1"/>
    </xf>
    <xf numFmtId="167" fontId="16" fillId="8" borderId="16" xfId="0" applyNumberFormat="1" applyFont="1" applyFill="1" applyBorder="1" applyAlignment="1">
      <alignment horizontal="center" vertical="center" wrapText="1"/>
    </xf>
    <xf numFmtId="0" fontId="17" fillId="9" borderId="16" xfId="0" applyFont="1" applyFill="1" applyBorder="1" applyAlignment="1">
      <alignment horizontal="center" vertical="center" wrapText="1"/>
    </xf>
    <xf numFmtId="165" fontId="8" fillId="3" borderId="6" xfId="0" applyNumberFormat="1" applyFont="1" applyFill="1" applyBorder="1" applyAlignment="1">
      <alignment horizontal="center" vertical="center" wrapText="1"/>
    </xf>
    <xf numFmtId="166" fontId="8" fillId="3" borderId="6" xfId="0" applyNumberFormat="1" applyFont="1" applyFill="1" applyBorder="1" applyAlignment="1">
      <alignment horizontal="center" vertical="center" wrapText="1"/>
    </xf>
    <xf numFmtId="164" fontId="8" fillId="3" borderId="6" xfId="0" applyNumberFormat="1" applyFont="1" applyFill="1" applyBorder="1" applyAlignment="1">
      <alignment horizontal="center" vertical="center" wrapText="1"/>
    </xf>
    <xf numFmtId="0" fontId="16" fillId="10" borderId="16" xfId="0" applyFont="1" applyFill="1" applyBorder="1" applyAlignment="1">
      <alignment horizontal="center" vertical="center" wrapText="1"/>
    </xf>
    <xf numFmtId="0" fontId="17" fillId="6" borderId="16" xfId="0" applyFont="1" applyFill="1" applyBorder="1" applyAlignment="1">
      <alignment horizontal="center" vertical="center" wrapText="1"/>
    </xf>
    <xf numFmtId="9" fontId="16" fillId="5" borderId="16" xfId="0" applyNumberFormat="1" applyFont="1" applyFill="1" applyBorder="1" applyAlignment="1">
      <alignment horizontal="center" vertical="center" wrapText="1"/>
    </xf>
    <xf numFmtId="0" fontId="10" fillId="5" borderId="16" xfId="0" applyFont="1" applyFill="1" applyBorder="1" applyAlignment="1">
      <alignment horizontal="center" vertical="center" wrapText="1"/>
    </xf>
    <xf numFmtId="14" fontId="7" fillId="3" borderId="6" xfId="0" applyNumberFormat="1" applyFont="1" applyFill="1" applyBorder="1" applyAlignment="1">
      <alignment horizontal="center" vertical="center" wrapText="1"/>
    </xf>
    <xf numFmtId="14" fontId="16" fillId="5" borderId="16" xfId="0" applyNumberFormat="1" applyFont="1" applyFill="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vertical="center" wrapText="1"/>
    </xf>
    <xf numFmtId="166" fontId="21" fillId="0" borderId="17" xfId="0" applyNumberFormat="1" applyFont="1" applyBorder="1" applyAlignment="1">
      <alignment horizontal="center" vertical="center" wrapText="1"/>
    </xf>
    <xf numFmtId="164" fontId="21" fillId="0" borderId="17" xfId="0" applyNumberFormat="1" applyFont="1" applyBorder="1" applyAlignment="1">
      <alignment horizontal="center" vertical="center" wrapText="1"/>
    </xf>
    <xf numFmtId="0" fontId="21" fillId="0" borderId="4" xfId="0" applyFont="1" applyBorder="1" applyAlignment="1">
      <alignment vertical="center" wrapText="1"/>
    </xf>
    <xf numFmtId="0" fontId="21" fillId="0" borderId="17" xfId="0" applyFont="1" applyBorder="1" applyAlignment="1">
      <alignment horizontal="left" vertical="center" wrapText="1"/>
    </xf>
    <xf numFmtId="9" fontId="21" fillId="0" borderId="17" xfId="0" applyNumberFormat="1" applyFont="1" applyBorder="1" applyAlignment="1">
      <alignment horizontal="center" vertical="center" wrapText="1"/>
    </xf>
    <xf numFmtId="14" fontId="21" fillId="0" borderId="17" xfId="0" applyNumberFormat="1" applyFont="1" applyBorder="1" applyAlignment="1">
      <alignment horizontal="center" vertical="center" wrapText="1"/>
    </xf>
    <xf numFmtId="168" fontId="21" fillId="0" borderId="17"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10" fontId="21" fillId="0" borderId="17" xfId="0" applyNumberFormat="1" applyFont="1" applyBorder="1" applyAlignment="1">
      <alignment horizontal="center" vertical="center" wrapText="1"/>
    </xf>
    <xf numFmtId="0" fontId="10" fillId="0" borderId="3" xfId="0" applyFont="1" applyBorder="1" applyAlignment="1">
      <alignment vertical="center" wrapText="1"/>
    </xf>
    <xf numFmtId="0" fontId="21" fillId="0" borderId="14" xfId="0" applyFont="1" applyBorder="1" applyAlignment="1">
      <alignment horizontal="center" vertical="center" wrapText="1"/>
    </xf>
    <xf numFmtId="0" fontId="21" fillId="0" borderId="14" xfId="0" applyFont="1" applyBorder="1" applyAlignment="1">
      <alignment vertical="center" wrapText="1"/>
    </xf>
    <xf numFmtId="166" fontId="21" fillId="0" borderId="14" xfId="0" applyNumberFormat="1" applyFont="1" applyBorder="1" applyAlignment="1">
      <alignment horizontal="center" vertical="center" wrapText="1"/>
    </xf>
    <xf numFmtId="164" fontId="21" fillId="0" borderId="14" xfId="0" applyNumberFormat="1" applyFont="1" applyBorder="1" applyAlignment="1">
      <alignment horizontal="center" vertical="center" wrapText="1"/>
    </xf>
    <xf numFmtId="0" fontId="21" fillId="0" borderId="14" xfId="0" applyFont="1" applyBorder="1" applyAlignment="1">
      <alignment horizontal="left" vertical="center" wrapText="1"/>
    </xf>
    <xf numFmtId="9" fontId="21" fillId="0" borderId="14" xfId="0" applyNumberFormat="1" applyFont="1" applyBorder="1" applyAlignment="1">
      <alignment horizontal="center" vertical="center" wrapText="1"/>
    </xf>
    <xf numFmtId="0" fontId="22" fillId="0" borderId="14" xfId="0" applyFont="1" applyBorder="1" applyAlignment="1">
      <alignment horizontal="center" vertical="center" wrapText="1"/>
    </xf>
    <xf numFmtId="14" fontId="21" fillId="0" borderId="14" xfId="0" applyNumberFormat="1" applyFont="1" applyBorder="1" applyAlignment="1">
      <alignment horizontal="center" vertical="center" wrapText="1"/>
    </xf>
    <xf numFmtId="3" fontId="21" fillId="0" borderId="14" xfId="0" applyNumberFormat="1" applyFont="1" applyBorder="1" applyAlignment="1">
      <alignment horizontal="center" vertical="center" wrapText="1"/>
    </xf>
    <xf numFmtId="10" fontId="21" fillId="0" borderId="14" xfId="0" applyNumberFormat="1" applyFont="1" applyBorder="1" applyAlignment="1">
      <alignment horizontal="center" vertical="center" wrapText="1"/>
    </xf>
    <xf numFmtId="0" fontId="23" fillId="0" borderId="14" xfId="0" applyFont="1" applyBorder="1" applyAlignment="1">
      <alignment vertical="center" wrapText="1"/>
    </xf>
    <xf numFmtId="0" fontId="23" fillId="0" borderId="14" xfId="0" applyFont="1" applyBorder="1" applyAlignment="1">
      <alignment horizontal="center" vertical="center" wrapText="1"/>
    </xf>
    <xf numFmtId="0" fontId="24" fillId="0" borderId="14" xfId="0" applyFont="1" applyBorder="1" applyAlignment="1">
      <alignment horizontal="center" vertical="center" wrapText="1"/>
    </xf>
    <xf numFmtId="0" fontId="10" fillId="0" borderId="14" xfId="0" applyFont="1" applyBorder="1" applyAlignment="1">
      <alignment vertical="center" wrapText="1"/>
    </xf>
    <xf numFmtId="0" fontId="10" fillId="0" borderId="14" xfId="0" applyFont="1" applyBorder="1" applyAlignment="1">
      <alignment wrapText="1"/>
    </xf>
    <xf numFmtId="18" fontId="21" fillId="0" borderId="14" xfId="0" applyNumberFormat="1" applyFont="1" applyBorder="1" applyAlignment="1">
      <alignment horizontal="center" vertical="center" wrapText="1"/>
    </xf>
    <xf numFmtId="0" fontId="21" fillId="0" borderId="14" xfId="0" applyFont="1" applyBorder="1" applyAlignment="1">
      <alignment horizontal="center" wrapText="1"/>
    </xf>
    <xf numFmtId="14" fontId="21" fillId="11" borderId="14" xfId="0" applyNumberFormat="1" applyFont="1" applyFill="1" applyBorder="1" applyAlignment="1">
      <alignment horizontal="center" vertical="center" wrapText="1"/>
    </xf>
    <xf numFmtId="0" fontId="21" fillId="11" borderId="14" xfId="0" applyFont="1" applyFill="1" applyBorder="1" applyAlignment="1">
      <alignment horizontal="center" vertical="center" wrapText="1"/>
    </xf>
    <xf numFmtId="0" fontId="21" fillId="11" borderId="14" xfId="0" applyFont="1" applyFill="1" applyBorder="1" applyAlignment="1">
      <alignment vertical="center" wrapText="1"/>
    </xf>
    <xf numFmtId="166" fontId="21" fillId="11" borderId="14" xfId="0" applyNumberFormat="1" applyFont="1" applyFill="1" applyBorder="1" applyAlignment="1">
      <alignment horizontal="center" vertical="center" wrapText="1"/>
    </xf>
    <xf numFmtId="164" fontId="21" fillId="11" borderId="14" xfId="0" applyNumberFormat="1" applyFont="1" applyFill="1" applyBorder="1" applyAlignment="1">
      <alignment horizontal="center" vertical="center" wrapText="1"/>
    </xf>
    <xf numFmtId="0" fontId="21" fillId="11" borderId="14" xfId="0" applyFont="1" applyFill="1" applyBorder="1" applyAlignment="1">
      <alignment horizontal="left" vertical="center" wrapText="1"/>
    </xf>
    <xf numFmtId="0" fontId="21" fillId="11" borderId="4" xfId="0" applyFont="1" applyFill="1" applyBorder="1" applyAlignment="1">
      <alignment vertical="center" wrapText="1"/>
    </xf>
    <xf numFmtId="0" fontId="10" fillId="11" borderId="4" xfId="0" applyFont="1" applyFill="1" applyBorder="1" applyAlignment="1">
      <alignment vertical="center" wrapText="1"/>
    </xf>
    <xf numFmtId="9" fontId="21" fillId="11" borderId="14" xfId="0" applyNumberFormat="1" applyFont="1" applyFill="1" applyBorder="1" applyAlignment="1">
      <alignment horizontal="center" vertical="center" wrapText="1"/>
    </xf>
    <xf numFmtId="0" fontId="10" fillId="11" borderId="3" xfId="0" applyFont="1" applyFill="1" applyBorder="1" applyAlignment="1">
      <alignment vertical="center" wrapText="1"/>
    </xf>
    <xf numFmtId="0" fontId="10" fillId="0" borderId="14" xfId="0" applyFont="1" applyBorder="1" applyAlignment="1">
      <alignment horizontal="center" wrapText="1"/>
    </xf>
    <xf numFmtId="0" fontId="21" fillId="12" borderId="14" xfId="0" applyFont="1" applyFill="1" applyBorder="1" applyAlignment="1">
      <alignment horizontal="center" vertical="center" wrapText="1"/>
    </xf>
    <xf numFmtId="0" fontId="21" fillId="12" borderId="14" xfId="0" applyFont="1" applyFill="1" applyBorder="1" applyAlignment="1">
      <alignment vertical="center" wrapText="1"/>
    </xf>
    <xf numFmtId="166" fontId="21" fillId="12" borderId="14" xfId="0" applyNumberFormat="1" applyFont="1" applyFill="1" applyBorder="1" applyAlignment="1">
      <alignment horizontal="center" vertical="center" wrapText="1"/>
    </xf>
    <xf numFmtId="164" fontId="21" fillId="12" borderId="14" xfId="0" applyNumberFormat="1" applyFont="1" applyFill="1" applyBorder="1" applyAlignment="1">
      <alignment horizontal="center" vertical="center" wrapText="1"/>
    </xf>
    <xf numFmtId="0" fontId="21" fillId="12" borderId="14" xfId="0" applyFont="1" applyFill="1" applyBorder="1" applyAlignment="1">
      <alignment horizontal="left" vertical="center" wrapText="1"/>
    </xf>
    <xf numFmtId="0" fontId="21" fillId="12" borderId="4" xfId="0" applyFont="1" applyFill="1" applyBorder="1" applyAlignment="1">
      <alignment vertical="center" wrapText="1"/>
    </xf>
    <xf numFmtId="0" fontId="10" fillId="12" borderId="4" xfId="0" applyFont="1" applyFill="1" applyBorder="1" applyAlignment="1">
      <alignment vertical="center" wrapText="1"/>
    </xf>
    <xf numFmtId="9" fontId="21" fillId="12" borderId="14" xfId="0" applyNumberFormat="1" applyFont="1" applyFill="1" applyBorder="1" applyAlignment="1">
      <alignment horizontal="center" vertical="center" wrapText="1"/>
    </xf>
    <xf numFmtId="14" fontId="21" fillId="12" borderId="14" xfId="0" applyNumberFormat="1" applyFont="1" applyFill="1" applyBorder="1" applyAlignment="1">
      <alignment horizontal="center" vertical="center" wrapText="1"/>
    </xf>
    <xf numFmtId="0" fontId="10" fillId="12" borderId="3" xfId="0" applyFont="1" applyFill="1" applyBorder="1" applyAlignment="1">
      <alignment vertical="center" wrapText="1"/>
    </xf>
    <xf numFmtId="0" fontId="21" fillId="13" borderId="14" xfId="0" applyFont="1" applyFill="1" applyBorder="1" applyAlignment="1">
      <alignment horizontal="center" vertical="center" wrapText="1"/>
    </xf>
    <xf numFmtId="0" fontId="21" fillId="13" borderId="14" xfId="0" applyFont="1" applyFill="1" applyBorder="1" applyAlignment="1">
      <alignment vertical="center" wrapText="1"/>
    </xf>
    <xf numFmtId="166" fontId="21" fillId="13" borderId="14" xfId="0" applyNumberFormat="1" applyFont="1" applyFill="1" applyBorder="1" applyAlignment="1">
      <alignment horizontal="center" vertical="center" wrapText="1"/>
    </xf>
    <xf numFmtId="164" fontId="21" fillId="13" borderId="14" xfId="0" applyNumberFormat="1" applyFont="1" applyFill="1" applyBorder="1" applyAlignment="1">
      <alignment horizontal="center" vertical="center" wrapText="1"/>
    </xf>
    <xf numFmtId="0" fontId="21" fillId="13" borderId="14" xfId="0" applyFont="1" applyFill="1" applyBorder="1" applyAlignment="1">
      <alignment horizontal="left" vertical="center" wrapText="1"/>
    </xf>
    <xf numFmtId="0" fontId="21" fillId="13" borderId="4" xfId="0" applyFont="1" applyFill="1" applyBorder="1" applyAlignment="1">
      <alignment vertical="center" wrapText="1"/>
    </xf>
    <xf numFmtId="0" fontId="10" fillId="13" borderId="4" xfId="0" applyFont="1" applyFill="1" applyBorder="1" applyAlignment="1">
      <alignment vertical="center" wrapText="1"/>
    </xf>
    <xf numFmtId="9" fontId="21" fillId="13" borderId="14" xfId="0" applyNumberFormat="1" applyFont="1" applyFill="1" applyBorder="1" applyAlignment="1">
      <alignment horizontal="center" vertical="center" wrapText="1"/>
    </xf>
    <xf numFmtId="14" fontId="21" fillId="13" borderId="14" xfId="0" applyNumberFormat="1" applyFont="1" applyFill="1" applyBorder="1" applyAlignment="1">
      <alignment horizontal="center" vertical="center" wrapText="1"/>
    </xf>
    <xf numFmtId="0" fontId="10" fillId="13" borderId="3" xfId="0" applyFont="1" applyFill="1" applyBorder="1" applyAlignment="1">
      <alignment vertical="center" wrapText="1"/>
    </xf>
    <xf numFmtId="0" fontId="30" fillId="0" borderId="14" xfId="1" applyFont="1" applyBorder="1" applyAlignment="1">
      <alignment horizontal="center" vertical="center" wrapText="1"/>
    </xf>
    <xf numFmtId="0" fontId="30" fillId="0" borderId="14" xfId="1" applyFont="1" applyBorder="1" applyAlignment="1">
      <alignment vertical="center" wrapText="1"/>
    </xf>
    <xf numFmtId="0" fontId="21" fillId="14" borderId="14" xfId="0" applyFont="1" applyFill="1" applyBorder="1" applyAlignment="1">
      <alignment horizontal="center" vertical="center" wrapText="1"/>
    </xf>
    <xf numFmtId="0" fontId="31" fillId="0" borderId="0" xfId="1" applyFont="1" applyAlignment="1">
      <alignment horizontal="center" vertical="center" wrapText="1"/>
    </xf>
    <xf numFmtId="0" fontId="31" fillId="0" borderId="14" xfId="1" applyFont="1" applyBorder="1" applyAlignment="1">
      <alignment vertical="center" wrapText="1"/>
    </xf>
    <xf numFmtId="0" fontId="21" fillId="0" borderId="18" xfId="0" applyFont="1" applyBorder="1" applyAlignment="1">
      <alignment horizontal="center" vertical="center" wrapText="1"/>
    </xf>
    <xf numFmtId="0" fontId="22" fillId="0" borderId="14" xfId="1" applyFont="1" applyBorder="1" applyAlignment="1">
      <alignment horizontal="center" vertical="center" wrapText="1"/>
    </xf>
    <xf numFmtId="0" fontId="10" fillId="0" borderId="14" xfId="1" applyFont="1" applyBorder="1" applyAlignment="1">
      <alignment vertical="center" wrapText="1"/>
    </xf>
    <xf numFmtId="0" fontId="21" fillId="15" borderId="14" xfId="0" applyFont="1" applyFill="1" applyBorder="1" applyAlignment="1">
      <alignment horizontal="center" vertical="center" wrapText="1"/>
    </xf>
    <xf numFmtId="0" fontId="21" fillId="15" borderId="14" xfId="0" applyFont="1" applyFill="1" applyBorder="1" applyAlignment="1">
      <alignment vertical="center" wrapText="1"/>
    </xf>
    <xf numFmtId="166" fontId="21" fillId="15" borderId="14" xfId="0" applyNumberFormat="1" applyFont="1" applyFill="1" applyBorder="1" applyAlignment="1">
      <alignment horizontal="center" vertical="center" wrapText="1"/>
    </xf>
    <xf numFmtId="164" fontId="21" fillId="15" borderId="14" xfId="0" applyNumberFormat="1" applyFont="1" applyFill="1" applyBorder="1" applyAlignment="1">
      <alignment horizontal="center" vertical="center" wrapText="1"/>
    </xf>
    <xf numFmtId="0" fontId="21" fillId="15" borderId="14" xfId="0" applyFont="1" applyFill="1" applyBorder="1" applyAlignment="1">
      <alignment horizontal="left" vertical="center" wrapText="1"/>
    </xf>
    <xf numFmtId="0" fontId="21" fillId="15" borderId="4" xfId="0" applyFont="1" applyFill="1" applyBorder="1" applyAlignment="1">
      <alignment vertical="center" wrapText="1"/>
    </xf>
    <xf numFmtId="0" fontId="10" fillId="15" borderId="4" xfId="0" applyFont="1" applyFill="1" applyBorder="1" applyAlignment="1">
      <alignment vertical="center" wrapText="1"/>
    </xf>
    <xf numFmtId="9" fontId="21" fillId="15" borderId="14" xfId="0" applyNumberFormat="1" applyFont="1" applyFill="1" applyBorder="1" applyAlignment="1">
      <alignment horizontal="center" vertical="center" wrapText="1"/>
    </xf>
    <xf numFmtId="14" fontId="21" fillId="15" borderId="14" xfId="0" applyNumberFormat="1" applyFont="1" applyFill="1" applyBorder="1" applyAlignment="1">
      <alignment horizontal="center" vertical="center" wrapText="1"/>
    </xf>
    <xf numFmtId="168" fontId="21" fillId="15" borderId="17" xfId="0" applyNumberFormat="1" applyFont="1" applyFill="1" applyBorder="1" applyAlignment="1">
      <alignment horizontal="center" vertical="center" wrapText="1"/>
    </xf>
    <xf numFmtId="3" fontId="21" fillId="15" borderId="14" xfId="0" applyNumberFormat="1" applyFont="1" applyFill="1" applyBorder="1" applyAlignment="1">
      <alignment horizontal="center" vertical="center" wrapText="1"/>
    </xf>
    <xf numFmtId="10" fontId="21" fillId="15" borderId="14" xfId="0" applyNumberFormat="1" applyFont="1" applyFill="1" applyBorder="1" applyAlignment="1">
      <alignment horizontal="center" vertical="center" wrapText="1"/>
    </xf>
    <xf numFmtId="0" fontId="10" fillId="15" borderId="3" xfId="0" applyFont="1" applyFill="1" applyBorder="1" applyAlignment="1">
      <alignment vertical="center" wrapText="1"/>
    </xf>
    <xf numFmtId="0" fontId="21" fillId="14" borderId="14" xfId="0" applyFont="1" applyFill="1" applyBorder="1" applyAlignment="1">
      <alignment vertical="center" wrapText="1"/>
    </xf>
    <xf numFmtId="166" fontId="21" fillId="14" borderId="14" xfId="0" applyNumberFormat="1" applyFont="1" applyFill="1" applyBorder="1" applyAlignment="1">
      <alignment horizontal="center" vertical="center" wrapText="1"/>
    </xf>
    <xf numFmtId="164" fontId="21" fillId="14" borderId="14" xfId="0" applyNumberFormat="1" applyFont="1" applyFill="1" applyBorder="1" applyAlignment="1">
      <alignment horizontal="center" vertical="center" wrapText="1"/>
    </xf>
    <xf numFmtId="0" fontId="21" fillId="14" borderId="4" xfId="0" applyFont="1" applyFill="1" applyBorder="1" applyAlignment="1">
      <alignment vertical="center" wrapText="1"/>
    </xf>
    <xf numFmtId="0" fontId="21" fillId="14" borderId="14" xfId="0" applyFont="1" applyFill="1" applyBorder="1" applyAlignment="1">
      <alignment horizontal="left" vertical="center" wrapText="1"/>
    </xf>
    <xf numFmtId="0" fontId="10" fillId="14" borderId="4" xfId="0" applyFont="1" applyFill="1" applyBorder="1" applyAlignment="1">
      <alignment vertical="center" wrapText="1"/>
    </xf>
    <xf numFmtId="9" fontId="21" fillId="14" borderId="14" xfId="0" applyNumberFormat="1" applyFont="1" applyFill="1" applyBorder="1" applyAlignment="1">
      <alignment horizontal="center" vertical="center" wrapText="1"/>
    </xf>
    <xf numFmtId="14" fontId="21" fillId="14" borderId="14" xfId="0" applyNumberFormat="1" applyFont="1" applyFill="1" applyBorder="1" applyAlignment="1">
      <alignment horizontal="center" vertical="center" wrapText="1"/>
    </xf>
    <xf numFmtId="168" fontId="21" fillId="14" borderId="17" xfId="0" applyNumberFormat="1" applyFont="1" applyFill="1" applyBorder="1" applyAlignment="1">
      <alignment horizontal="center" vertical="center" wrapText="1"/>
    </xf>
    <xf numFmtId="3" fontId="21" fillId="14" borderId="14" xfId="0" applyNumberFormat="1" applyFont="1" applyFill="1" applyBorder="1" applyAlignment="1">
      <alignment horizontal="center" vertical="center" wrapText="1"/>
    </xf>
    <xf numFmtId="10" fontId="21" fillId="14" borderId="14" xfId="0" applyNumberFormat="1" applyFont="1" applyFill="1" applyBorder="1" applyAlignment="1">
      <alignment horizontal="center" vertical="center" wrapText="1"/>
    </xf>
    <xf numFmtId="0" fontId="10" fillId="14" borderId="3" xfId="0" applyFont="1" applyFill="1" applyBorder="1" applyAlignment="1">
      <alignment vertical="center" wrapText="1"/>
    </xf>
    <xf numFmtId="0" fontId="31" fillId="0" borderId="14" xfId="1" applyFont="1" applyBorder="1" applyAlignment="1">
      <alignment horizontal="center" vertical="center" wrapText="1"/>
    </xf>
    <xf numFmtId="0" fontId="10" fillId="0" borderId="14" xfId="0" applyFont="1" applyBorder="1" applyAlignment="1">
      <alignment horizontal="center" vertical="center" wrapText="1"/>
    </xf>
    <xf numFmtId="0" fontId="31" fillId="14" borderId="14" xfId="1" applyFont="1" applyFill="1" applyBorder="1" applyAlignment="1">
      <alignment horizontal="center" vertical="center" wrapText="1"/>
    </xf>
    <xf numFmtId="166" fontId="21" fillId="16" borderId="14" xfId="0" applyNumberFormat="1" applyFont="1" applyFill="1" applyBorder="1" applyAlignment="1">
      <alignment horizontal="center" vertical="center" wrapText="1"/>
    </xf>
    <xf numFmtId="0" fontId="21" fillId="16" borderId="14" xfId="0" applyFont="1" applyFill="1" applyBorder="1" applyAlignment="1">
      <alignment horizontal="center" vertical="center" wrapText="1"/>
    </xf>
    <xf numFmtId="0" fontId="21" fillId="0" borderId="19" xfId="0" applyFont="1" applyBorder="1" applyAlignment="1">
      <alignment horizontal="center" vertical="center" wrapText="1"/>
    </xf>
    <xf numFmtId="0" fontId="21" fillId="0" borderId="21" xfId="0" applyFont="1" applyBorder="1" applyAlignment="1">
      <alignment vertical="center" wrapText="1"/>
    </xf>
    <xf numFmtId="166" fontId="21" fillId="0" borderId="2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1" xfId="0" applyFont="1" applyBorder="1" applyAlignment="1">
      <alignment horizontal="left" vertical="center" wrapText="1"/>
    </xf>
    <xf numFmtId="9" fontId="1" fillId="0" borderId="1" xfId="0" applyNumberFormat="1" applyFont="1" applyBorder="1" applyAlignment="1">
      <alignment vertical="center" wrapText="1"/>
    </xf>
    <xf numFmtId="14" fontId="1"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10" fontId="1" fillId="0" borderId="1" xfId="0" applyNumberFormat="1" applyFont="1" applyBorder="1" applyAlignment="1">
      <alignment horizontal="center" vertical="center" wrapText="1"/>
    </xf>
    <xf numFmtId="0" fontId="0" fillId="0" borderId="0" xfId="0" applyAlignment="1">
      <alignment wrapText="1"/>
    </xf>
    <xf numFmtId="0" fontId="8" fillId="3" borderId="6" xfId="0" applyFont="1" applyFill="1" applyBorder="1" applyAlignment="1">
      <alignment horizontal="left" vertical="center" wrapText="1"/>
    </xf>
    <xf numFmtId="167" fontId="4" fillId="3" borderId="15" xfId="0" applyNumberFormat="1" applyFont="1" applyFill="1" applyBorder="1" applyAlignment="1">
      <alignment horizontal="center" vertical="center" wrapText="1"/>
    </xf>
    <xf numFmtId="0" fontId="20" fillId="0" borderId="0" xfId="0" applyFont="1" applyAlignment="1">
      <alignment wrapText="1"/>
    </xf>
    <xf numFmtId="0" fontId="10" fillId="0" borderId="0" xfId="0" applyFont="1" applyAlignment="1">
      <alignment wrapText="1"/>
    </xf>
    <xf numFmtId="0" fontId="21" fillId="0" borderId="14" xfId="0" applyFont="1" applyBorder="1" applyAlignment="1">
      <alignment wrapText="1"/>
    </xf>
    <xf numFmtId="0" fontId="21" fillId="0" borderId="4" xfId="0" applyFont="1" applyBorder="1" applyAlignment="1">
      <alignment wrapText="1"/>
    </xf>
    <xf numFmtId="0" fontId="21" fillId="0" borderId="12" xfId="0" applyFont="1" applyBorder="1" applyAlignment="1">
      <alignment wrapText="1"/>
    </xf>
    <xf numFmtId="0" fontId="21" fillId="0" borderId="3" xfId="0" applyFont="1" applyBorder="1" applyAlignment="1">
      <alignment wrapText="1"/>
    </xf>
    <xf numFmtId="0" fontId="10" fillId="0" borderId="0" xfId="0" applyFont="1" applyAlignment="1">
      <alignment horizontal="center" vertical="center" wrapText="1"/>
    </xf>
    <xf numFmtId="0" fontId="25" fillId="0" borderId="14" xfId="0" applyFont="1" applyBorder="1" applyAlignment="1">
      <alignment horizontal="center" wrapText="1"/>
    </xf>
    <xf numFmtId="9" fontId="21" fillId="0" borderId="14" xfId="0" applyNumberFormat="1" applyFont="1" applyBorder="1" applyAlignment="1">
      <alignment wrapText="1"/>
    </xf>
    <xf numFmtId="0" fontId="28" fillId="0" borderId="14" xfId="0" applyFont="1" applyBorder="1" applyAlignment="1">
      <alignment wrapText="1"/>
    </xf>
    <xf numFmtId="0" fontId="10" fillId="4" borderId="14" xfId="0" applyFont="1" applyFill="1" applyBorder="1" applyAlignment="1">
      <alignment wrapText="1"/>
    </xf>
    <xf numFmtId="0" fontId="32" fillId="0" borderId="0" xfId="0" applyFont="1" applyAlignment="1">
      <alignment wrapText="1"/>
    </xf>
    <xf numFmtId="0" fontId="10" fillId="15" borderId="0" xfId="0" applyFont="1" applyFill="1" applyAlignment="1">
      <alignment wrapText="1"/>
    </xf>
    <xf numFmtId="0" fontId="32" fillId="0" borderId="0" xfId="0" applyFont="1" applyAlignment="1">
      <alignment horizontal="left" vertical="center" wrapText="1"/>
    </xf>
    <xf numFmtId="0" fontId="10" fillId="0" borderId="14" xfId="0" applyFont="1" applyBorder="1" applyAlignment="1">
      <alignment horizontal="left" wrapText="1"/>
    </xf>
    <xf numFmtId="14" fontId="10" fillId="0" borderId="14" xfId="0" applyNumberFormat="1" applyFont="1" applyBorder="1" applyAlignment="1">
      <alignment wrapText="1"/>
    </xf>
    <xf numFmtId="0" fontId="10" fillId="0" borderId="0" xfId="0" applyFont="1" applyAlignment="1">
      <alignment horizontal="center" wrapText="1"/>
    </xf>
    <xf numFmtId="0" fontId="10" fillId="0" borderId="0" xfId="0" applyFont="1" applyAlignment="1">
      <alignment horizontal="left" wrapText="1"/>
    </xf>
    <xf numFmtId="14" fontId="10" fillId="0" borderId="0" xfId="0" applyNumberFormat="1" applyFont="1" applyAlignment="1">
      <alignment wrapText="1"/>
    </xf>
    <xf numFmtId="0" fontId="10" fillId="14" borderId="0" xfId="0" applyFont="1" applyFill="1" applyAlignment="1">
      <alignment wrapText="1"/>
    </xf>
    <xf numFmtId="0" fontId="22" fillId="14" borderId="14" xfId="1" applyFont="1" applyFill="1" applyBorder="1" applyAlignment="1">
      <alignment horizontal="center" vertical="center" wrapText="1"/>
    </xf>
    <xf numFmtId="0" fontId="29" fillId="0" borderId="14" xfId="1" applyBorder="1" applyAlignment="1">
      <alignment vertical="center" wrapText="1"/>
    </xf>
    <xf numFmtId="0" fontId="30" fillId="14" borderId="14" xfId="1" applyFont="1" applyFill="1" applyBorder="1" applyAlignment="1">
      <alignment vertical="center" wrapText="1"/>
    </xf>
    <xf numFmtId="0" fontId="23" fillId="17" borderId="14" xfId="0" applyFont="1" applyFill="1" applyBorder="1" applyAlignment="1">
      <alignment vertical="center" wrapText="1"/>
    </xf>
    <xf numFmtId="0" fontId="30" fillId="14" borderId="14" xfId="1" applyFont="1" applyFill="1" applyBorder="1" applyAlignment="1">
      <alignment horizontal="center" vertical="center" wrapText="1"/>
    </xf>
    <xf numFmtId="0" fontId="21" fillId="18" borderId="14" xfId="0" applyFont="1" applyFill="1" applyBorder="1" applyAlignment="1">
      <alignment vertical="center" wrapText="1"/>
    </xf>
    <xf numFmtId="0" fontId="21" fillId="0" borderId="14" xfId="0" quotePrefix="1" applyFont="1" applyBorder="1" applyAlignment="1">
      <alignment horizontal="left" vertical="center" wrapText="1"/>
    </xf>
    <xf numFmtId="0" fontId="21" fillId="0" borderId="20" xfId="0" applyFont="1" applyBorder="1" applyAlignment="1">
      <alignment horizontal="center" vertical="center" wrapText="1"/>
    </xf>
    <xf numFmtId="164" fontId="21" fillId="0" borderId="21" xfId="0" applyNumberFormat="1" applyFont="1" applyBorder="1" applyAlignment="1">
      <alignment horizontal="center" vertical="center" wrapText="1"/>
    </xf>
    <xf numFmtId="0" fontId="12" fillId="0" borderId="0" xfId="0" applyFont="1"/>
    <xf numFmtId="0" fontId="21" fillId="0" borderId="14" xfId="0" applyFont="1" applyBorder="1" applyAlignment="1">
      <alignment horizontal="center" vertical="top" wrapText="1"/>
    </xf>
    <xf numFmtId="0" fontId="12" fillId="0" borderId="0" xfId="0" applyFont="1" applyAlignment="1">
      <alignment horizontal="center" vertical="center"/>
    </xf>
    <xf numFmtId="0" fontId="34" fillId="0" borderId="1" xfId="0" applyFont="1" applyBorder="1" applyAlignment="1">
      <alignment vertical="center" wrapText="1"/>
    </xf>
    <xf numFmtId="0" fontId="35" fillId="0" borderId="1" xfId="0" applyFont="1" applyBorder="1" applyAlignment="1">
      <alignment horizontal="center" vertical="center" wrapText="1"/>
    </xf>
    <xf numFmtId="0" fontId="34" fillId="0" borderId="1" xfId="0" applyFont="1" applyBorder="1" applyAlignment="1">
      <alignment horizontal="center" vertical="center" wrapText="1"/>
    </xf>
    <xf numFmtId="164" fontId="35" fillId="0" borderId="1" xfId="0" applyNumberFormat="1" applyFont="1" applyBorder="1" applyAlignment="1">
      <alignment horizontal="center" vertical="center" wrapText="1"/>
    </xf>
    <xf numFmtId="0" fontId="35" fillId="0" borderId="1" xfId="0" applyFont="1" applyBorder="1" applyAlignment="1">
      <alignment vertical="center" wrapText="1"/>
    </xf>
    <xf numFmtId="0" fontId="34" fillId="2" borderId="1" xfId="0" applyFont="1" applyFill="1" applyBorder="1" applyAlignment="1">
      <alignment vertical="center" wrapText="1"/>
    </xf>
    <xf numFmtId="0" fontId="34" fillId="0" borderId="1" xfId="0" applyFont="1" applyBorder="1" applyAlignment="1">
      <alignment horizontal="left" vertical="center" wrapText="1"/>
    </xf>
    <xf numFmtId="0" fontId="33" fillId="0" borderId="1" xfId="0" applyFont="1" applyBorder="1" applyAlignment="1">
      <alignment vertical="center" wrapText="1"/>
    </xf>
    <xf numFmtId="0" fontId="35" fillId="0" borderId="1" xfId="0" applyFont="1" applyBorder="1" applyAlignment="1">
      <alignment horizontal="left" vertical="center" wrapText="1"/>
    </xf>
    <xf numFmtId="9" fontId="35" fillId="0" borderId="1" xfId="0" applyNumberFormat="1" applyFont="1" applyBorder="1" applyAlignment="1">
      <alignment vertical="center" wrapText="1"/>
    </xf>
    <xf numFmtId="0" fontId="35" fillId="0" borderId="5" xfId="0" applyFont="1" applyBorder="1" applyAlignment="1">
      <alignment horizontal="center" vertical="center" wrapText="1"/>
    </xf>
    <xf numFmtId="10" fontId="35" fillId="0" borderId="1" xfId="0" applyNumberFormat="1" applyFont="1" applyBorder="1" applyAlignment="1">
      <alignment horizontal="center" vertical="center" wrapText="1"/>
    </xf>
    <xf numFmtId="0" fontId="34" fillId="0" borderId="1" xfId="0" applyFont="1" applyBorder="1" applyAlignment="1">
      <alignment wrapText="1"/>
    </xf>
    <xf numFmtId="0" fontId="33" fillId="0" borderId="0" xfId="0" applyFont="1" applyAlignment="1">
      <alignment wrapText="1"/>
    </xf>
    <xf numFmtId="0" fontId="31" fillId="0" borderId="14" xfId="1" applyFont="1" applyFill="1" applyBorder="1" applyAlignment="1">
      <alignment horizontal="center" vertical="center" wrapText="1"/>
    </xf>
    <xf numFmtId="0" fontId="31" fillId="0" borderId="14" xfId="0" applyFont="1" applyBorder="1" applyAlignment="1">
      <alignment vertical="center" wrapText="1"/>
    </xf>
    <xf numFmtId="0" fontId="32" fillId="0" borderId="0" xfId="0" applyFont="1" applyAlignment="1">
      <alignment vertical="center" wrapText="1"/>
    </xf>
    <xf numFmtId="0" fontId="21" fillId="16" borderId="14" xfId="0" applyFont="1" applyFill="1" applyBorder="1" applyAlignment="1">
      <alignment vertical="center" wrapText="1"/>
    </xf>
    <xf numFmtId="0" fontId="22" fillId="0" borderId="14" xfId="1" applyFont="1" applyBorder="1" applyAlignment="1">
      <alignment vertical="center" wrapText="1"/>
    </xf>
    <xf numFmtId="0" fontId="37" fillId="14" borderId="14" xfId="1" applyFont="1" applyFill="1" applyBorder="1" applyAlignment="1">
      <alignment horizontal="center" vertical="center" wrapText="1"/>
    </xf>
    <xf numFmtId="0" fontId="21" fillId="16" borderId="14" xfId="0" quotePrefix="1" applyFont="1" applyFill="1" applyBorder="1" applyAlignment="1">
      <alignment horizontal="left" vertical="center" wrapText="1"/>
    </xf>
    <xf numFmtId="0" fontId="0" fillId="0" borderId="0" xfId="0" applyAlignment="1">
      <alignment horizontal="center" vertical="center"/>
    </xf>
    <xf numFmtId="0" fontId="39" fillId="4" borderId="25" xfId="0" applyFont="1" applyFill="1" applyBorder="1" applyAlignment="1">
      <alignment horizontal="center" vertical="center" wrapText="1"/>
    </xf>
    <xf numFmtId="0" fontId="38" fillId="0" borderId="26" xfId="0" applyFont="1" applyBorder="1" applyAlignment="1">
      <alignment horizontal="center" vertical="center" wrapText="1"/>
    </xf>
    <xf numFmtId="0" fontId="39" fillId="0" borderId="26" xfId="0" applyFont="1" applyBorder="1" applyAlignment="1">
      <alignment horizontal="center" vertical="center" wrapText="1"/>
    </xf>
    <xf numFmtId="0" fontId="39" fillId="4" borderId="31" xfId="0" applyFont="1" applyFill="1" applyBorder="1" applyAlignment="1">
      <alignment horizontal="center" vertical="center" wrapText="1"/>
    </xf>
    <xf numFmtId="0" fontId="38" fillId="0" borderId="25" xfId="0" applyFont="1" applyBorder="1" applyAlignment="1">
      <alignment horizontal="center" vertical="center" wrapText="1"/>
    </xf>
    <xf numFmtId="0" fontId="39" fillId="0" borderId="26" xfId="0" applyFont="1" applyBorder="1" applyAlignment="1">
      <alignment horizontal="center" vertical="center"/>
    </xf>
    <xf numFmtId="0" fontId="39" fillId="0" borderId="32" xfId="0" applyFont="1" applyBorder="1" applyAlignment="1">
      <alignment horizontal="center" vertical="center" wrapText="1"/>
    </xf>
    <xf numFmtId="0" fontId="39" fillId="0" borderId="33" xfId="0" applyFont="1" applyBorder="1" applyAlignment="1">
      <alignment horizontal="center" vertical="center" wrapText="1"/>
    </xf>
    <xf numFmtId="0" fontId="38" fillId="0" borderId="32"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22" xfId="0" applyFont="1" applyBorder="1" applyAlignment="1">
      <alignment horizontal="center" vertical="center" wrapText="1"/>
    </xf>
    <xf numFmtId="0" fontId="38" fillId="0" borderId="24" xfId="0" applyFont="1" applyBorder="1" applyAlignment="1">
      <alignment horizontal="center" vertical="center"/>
    </xf>
    <xf numFmtId="0" fontId="39" fillId="0" borderId="28" xfId="0" applyFont="1" applyBorder="1" applyAlignment="1">
      <alignment horizontal="center" vertical="center" wrapText="1"/>
    </xf>
    <xf numFmtId="0" fontId="39" fillId="0" borderId="29" xfId="0" applyFont="1" applyBorder="1" applyAlignment="1">
      <alignment horizontal="center" vertical="center" wrapText="1"/>
    </xf>
    <xf numFmtId="0" fontId="39" fillId="19" borderId="26" xfId="0" applyFont="1" applyFill="1" applyBorder="1" applyAlignment="1">
      <alignment horizontal="center" vertical="center" wrapText="1"/>
    </xf>
    <xf numFmtId="0" fontId="39" fillId="0" borderId="32" xfId="0" applyFont="1" applyBorder="1" applyAlignment="1">
      <alignment horizontal="center" vertical="center"/>
    </xf>
    <xf numFmtId="0" fontId="38" fillId="0" borderId="23" xfId="0" applyFont="1" applyBorder="1" applyAlignment="1">
      <alignment horizontal="center" vertical="center" wrapText="1"/>
    </xf>
    <xf numFmtId="0" fontId="38" fillId="0" borderId="24" xfId="0" applyFont="1" applyBorder="1" applyAlignment="1">
      <alignment horizontal="center" vertical="center" wrapText="1"/>
    </xf>
    <xf numFmtId="172" fontId="16" fillId="5" borderId="16" xfId="0" applyNumberFormat="1" applyFont="1" applyFill="1" applyBorder="1" applyAlignment="1">
      <alignment horizontal="center" vertical="center" wrapText="1"/>
    </xf>
    <xf numFmtId="172" fontId="39" fillId="0" borderId="26" xfId="0" applyNumberFormat="1" applyFont="1" applyBorder="1" applyAlignment="1">
      <alignment horizontal="center" vertical="center" wrapText="1"/>
    </xf>
    <xf numFmtId="172" fontId="39" fillId="0" borderId="26" xfId="0" applyNumberFormat="1" applyFont="1" applyBorder="1" applyAlignment="1">
      <alignment horizontal="center" vertical="center"/>
    </xf>
    <xf numFmtId="172" fontId="39" fillId="0" borderId="0" xfId="0" applyNumberFormat="1" applyFont="1" applyAlignment="1">
      <alignment horizontal="center" vertical="center" wrapText="1"/>
    </xf>
    <xf numFmtId="172" fontId="39" fillId="0" borderId="30" xfId="0" applyNumberFormat="1" applyFont="1" applyBorder="1" applyAlignment="1">
      <alignment horizontal="center" vertical="center"/>
    </xf>
    <xf numFmtId="172" fontId="39" fillId="0" borderId="35" xfId="0" applyNumberFormat="1" applyFont="1" applyBorder="1" applyAlignment="1">
      <alignment horizontal="center" vertical="center"/>
    </xf>
    <xf numFmtId="172" fontId="39" fillId="20" borderId="35" xfId="0" applyNumberFormat="1" applyFont="1" applyFill="1" applyBorder="1" applyAlignment="1">
      <alignment horizontal="center" vertical="center"/>
    </xf>
    <xf numFmtId="172" fontId="39" fillId="0" borderId="32" xfId="0" applyNumberFormat="1" applyFont="1" applyBorder="1" applyAlignment="1">
      <alignment horizontal="center" vertical="center"/>
    </xf>
    <xf numFmtId="172" fontId="39" fillId="0" borderId="34" xfId="0" applyNumberFormat="1" applyFont="1" applyBorder="1" applyAlignment="1">
      <alignment horizontal="center" vertical="center"/>
    </xf>
    <xf numFmtId="172" fontId="39" fillId="0" borderId="22" xfId="0" applyNumberFormat="1" applyFont="1" applyBorder="1" applyAlignment="1">
      <alignment horizontal="center" vertical="center" wrapText="1"/>
    </xf>
    <xf numFmtId="172" fontId="0" fillId="0" borderId="0" xfId="0" applyNumberFormat="1" applyAlignment="1">
      <alignment horizontal="center" vertical="center"/>
    </xf>
    <xf numFmtId="172" fontId="39" fillId="0" borderId="27" xfId="0" applyNumberFormat="1" applyFont="1" applyBorder="1" applyAlignment="1">
      <alignment horizontal="center" vertical="center" wrapText="1"/>
    </xf>
    <xf numFmtId="172" fontId="39" fillId="0" borderId="30" xfId="0" applyNumberFormat="1" applyFont="1" applyBorder="1" applyAlignment="1">
      <alignment horizontal="center" vertical="center" wrapText="1"/>
    </xf>
    <xf numFmtId="10" fontId="0" fillId="0" borderId="0" xfId="0" applyNumberFormat="1" applyAlignment="1">
      <alignment horizontal="center" vertical="center"/>
    </xf>
    <xf numFmtId="14" fontId="39" fillId="0" borderId="36" xfId="0" applyNumberFormat="1" applyFont="1" applyBorder="1" applyAlignment="1">
      <alignment horizontal="center" vertical="center"/>
    </xf>
    <xf numFmtId="0" fontId="16" fillId="5" borderId="37" xfId="0" applyFont="1" applyFill="1" applyBorder="1" applyAlignment="1">
      <alignment horizontal="center" vertical="center" wrapText="1"/>
    </xf>
    <xf numFmtId="172" fontId="39" fillId="0" borderId="36" xfId="0" applyNumberFormat="1" applyFont="1" applyBorder="1" applyAlignment="1">
      <alignment horizontal="center" vertical="center" wrapText="1"/>
    </xf>
    <xf numFmtId="172" fontId="40" fillId="0" borderId="36" xfId="0" applyNumberFormat="1" applyFont="1" applyBorder="1" applyAlignment="1">
      <alignment horizontal="center" vertical="center"/>
    </xf>
    <xf numFmtId="172" fontId="38" fillId="0" borderId="36" xfId="0" applyNumberFormat="1" applyFont="1" applyBorder="1" applyAlignment="1">
      <alignment horizontal="center" vertical="center"/>
    </xf>
    <xf numFmtId="0" fontId="39" fillId="0" borderId="36" xfId="0" applyFont="1" applyBorder="1" applyAlignment="1">
      <alignment horizontal="center" vertical="center"/>
    </xf>
    <xf numFmtId="10" fontId="39" fillId="0" borderId="36" xfId="0" applyNumberFormat="1" applyFont="1" applyBorder="1" applyAlignment="1">
      <alignment horizontal="center" vertical="center"/>
    </xf>
    <xf numFmtId="0" fontId="41" fillId="0" borderId="36" xfId="0" applyFont="1" applyBorder="1" applyAlignment="1">
      <alignment horizontal="center" vertical="center"/>
    </xf>
    <xf numFmtId="0" fontId="39" fillId="0" borderId="36" xfId="0" applyFont="1" applyBorder="1" applyAlignment="1">
      <alignment horizontal="center" vertical="center" wrapText="1"/>
    </xf>
    <xf numFmtId="172" fontId="39" fillId="0" borderId="36" xfId="0" applyNumberFormat="1" applyFont="1" applyBorder="1" applyAlignment="1">
      <alignment horizontal="center" vertical="center"/>
    </xf>
    <xf numFmtId="14" fontId="39" fillId="0" borderId="36" xfId="0" applyNumberFormat="1" applyFont="1" applyBorder="1" applyAlignment="1">
      <alignment horizontal="center" vertical="center" wrapText="1"/>
    </xf>
    <xf numFmtId="172" fontId="40" fillId="0" borderId="36" xfId="0" applyNumberFormat="1" applyFont="1" applyBorder="1" applyAlignment="1">
      <alignment horizontal="center" vertical="center" wrapText="1"/>
    </xf>
    <xf numFmtId="167" fontId="16" fillId="8" borderId="37" xfId="0" applyNumberFormat="1" applyFont="1" applyFill="1" applyBorder="1" applyAlignment="1">
      <alignment horizontal="center" vertical="center" wrapText="1"/>
    </xf>
    <xf numFmtId="10" fontId="16" fillId="5" borderId="37" xfId="0" applyNumberFormat="1" applyFont="1" applyFill="1" applyBorder="1" applyAlignment="1">
      <alignment horizontal="center" vertical="center" wrapText="1"/>
    </xf>
    <xf numFmtId="0" fontId="39" fillId="4" borderId="38" xfId="0" applyFont="1" applyFill="1" applyBorder="1" applyAlignment="1">
      <alignment horizontal="center" vertical="center" wrapText="1"/>
    </xf>
    <xf numFmtId="14" fontId="39" fillId="0" borderId="39" xfId="0" applyNumberFormat="1" applyFont="1" applyBorder="1" applyAlignment="1">
      <alignment horizontal="center" vertical="center" wrapText="1"/>
    </xf>
    <xf numFmtId="172" fontId="39" fillId="0" borderId="39" xfId="0" applyNumberFormat="1" applyFont="1" applyBorder="1" applyAlignment="1">
      <alignment horizontal="center" vertical="center" wrapText="1"/>
    </xf>
    <xf numFmtId="172" fontId="40" fillId="0" borderId="39" xfId="0" applyNumberFormat="1" applyFont="1" applyBorder="1" applyAlignment="1">
      <alignment horizontal="center" vertical="center" wrapText="1"/>
    </xf>
    <xf numFmtId="172" fontId="38" fillId="0" borderId="39" xfId="0" applyNumberFormat="1" applyFont="1" applyBorder="1" applyAlignment="1">
      <alignment horizontal="center" vertical="center"/>
    </xf>
    <xf numFmtId="0" fontId="39" fillId="0" borderId="39" xfId="0" applyFont="1" applyBorder="1" applyAlignment="1">
      <alignment horizontal="center" vertical="center"/>
    </xf>
    <xf numFmtId="10" fontId="39" fillId="0" borderId="39" xfId="0" applyNumberFormat="1" applyFont="1" applyBorder="1" applyAlignment="1">
      <alignment horizontal="center" vertical="center"/>
    </xf>
    <xf numFmtId="0" fontId="39" fillId="0" borderId="39" xfId="0" applyFont="1" applyBorder="1" applyAlignment="1">
      <alignment horizontal="center" vertical="center" wrapText="1"/>
    </xf>
    <xf numFmtId="172" fontId="39" fillId="0" borderId="39" xfId="0" applyNumberFormat="1" applyFont="1" applyBorder="1" applyAlignment="1">
      <alignment horizontal="center" vertical="center"/>
    </xf>
    <xf numFmtId="0" fontId="38" fillId="21" borderId="33" xfId="0" applyFont="1" applyFill="1" applyBorder="1" applyAlignment="1">
      <alignment horizontal="center" vertical="center" wrapText="1"/>
    </xf>
    <xf numFmtId="0" fontId="38" fillId="21" borderId="33" xfId="0" applyFont="1" applyFill="1" applyBorder="1" applyAlignment="1">
      <alignment horizontal="center" vertical="center"/>
    </xf>
    <xf numFmtId="0" fontId="38" fillId="21" borderId="40" xfId="0" applyFont="1" applyFill="1" applyBorder="1" applyAlignment="1">
      <alignment horizontal="center" vertical="center"/>
    </xf>
    <xf numFmtId="0" fontId="16" fillId="5" borderId="41" xfId="0" applyFont="1" applyFill="1" applyBorder="1" applyAlignment="1">
      <alignment horizontal="center" vertical="center" wrapText="1"/>
    </xf>
    <xf numFmtId="0" fontId="41" fillId="0" borderId="39" xfId="0" applyFont="1" applyBorder="1" applyAlignment="1">
      <alignment horizontal="center" vertical="center"/>
    </xf>
    <xf numFmtId="0" fontId="38" fillId="21" borderId="39" xfId="0" applyFont="1" applyFill="1" applyBorder="1" applyAlignment="1">
      <alignment horizontal="center" vertical="center"/>
    </xf>
    <xf numFmtId="14" fontId="39" fillId="0" borderId="39" xfId="0" applyNumberFormat="1" applyFont="1" applyBorder="1" applyAlignment="1">
      <alignment horizontal="center" vertical="center"/>
    </xf>
    <xf numFmtId="172" fontId="40" fillId="0" borderId="39" xfId="0" applyNumberFormat="1" applyFont="1" applyBorder="1" applyAlignment="1">
      <alignment horizontal="center" vertical="center"/>
    </xf>
    <xf numFmtId="0" fontId="38" fillId="0" borderId="42" xfId="0" applyFont="1" applyBorder="1" applyAlignment="1">
      <alignment horizontal="center" vertical="center" wrapText="1"/>
    </xf>
    <xf numFmtId="0" fontId="39" fillId="0" borderId="34" xfId="0" applyFont="1" applyBorder="1" applyAlignment="1">
      <alignment horizontal="center" vertical="center" wrapText="1"/>
    </xf>
    <xf numFmtId="172" fontId="39" fillId="0" borderId="34" xfId="0" applyNumberFormat="1" applyFont="1" applyBorder="1" applyAlignment="1">
      <alignment horizontal="center" vertical="center" wrapText="1"/>
    </xf>
    <xf numFmtId="172" fontId="39" fillId="0" borderId="43" xfId="0" applyNumberFormat="1" applyFont="1" applyBorder="1" applyAlignment="1">
      <alignment horizontal="center" vertical="center" wrapText="1"/>
    </xf>
    <xf numFmtId="0" fontId="11" fillId="21" borderId="11" xfId="0" applyFont="1" applyFill="1" applyBorder="1" applyAlignment="1">
      <alignment horizontal="center" vertical="center" wrapText="1"/>
    </xf>
    <xf numFmtId="0" fontId="0" fillId="21" borderId="0" xfId="0" applyFill="1"/>
    <xf numFmtId="2" fontId="11" fillId="21" borderId="0" xfId="0" applyNumberFormat="1" applyFont="1" applyFill="1" applyAlignment="1">
      <alignment horizontal="center"/>
    </xf>
    <xf numFmtId="9" fontId="11" fillId="21" borderId="0" xfId="0" applyNumberFormat="1" applyFont="1" applyFill="1" applyAlignment="1">
      <alignment horizontal="center"/>
    </xf>
    <xf numFmtId="173" fontId="0" fillId="0" borderId="0" xfId="0" applyNumberFormat="1" applyAlignment="1">
      <alignment horizontal="center" vertical="center"/>
    </xf>
    <xf numFmtId="0" fontId="10" fillId="16" borderId="0" xfId="0" applyFont="1" applyFill="1" applyAlignment="1">
      <alignment wrapText="1"/>
    </xf>
    <xf numFmtId="0" fontId="22" fillId="0" borderId="14" xfId="1" applyFont="1" applyFill="1" applyBorder="1" applyAlignment="1">
      <alignment horizontal="center" vertical="center" wrapText="1"/>
    </xf>
    <xf numFmtId="0" fontId="21" fillId="22" borderId="14" xfId="0" applyFont="1" applyFill="1" applyBorder="1" applyAlignment="1">
      <alignment horizontal="center" vertical="center" wrapText="1"/>
    </xf>
    <xf numFmtId="0" fontId="21" fillId="0" borderId="36" xfId="0" applyFont="1" applyBorder="1" applyAlignment="1">
      <alignment horizontal="left" vertical="center" wrapText="1"/>
    </xf>
    <xf numFmtId="0" fontId="21" fillId="0" borderId="20" xfId="0" applyFont="1" applyBorder="1" applyAlignment="1">
      <alignment horizontal="left" vertical="center" wrapText="1"/>
    </xf>
    <xf numFmtId="0" fontId="21" fillId="0" borderId="21" xfId="0" applyFont="1" applyBorder="1" applyAlignment="1">
      <alignment horizontal="left" vertical="center" wrapText="1"/>
    </xf>
    <xf numFmtId="0" fontId="29" fillId="14" borderId="14" xfId="1" applyFill="1" applyBorder="1" applyAlignment="1">
      <alignment vertical="center" wrapText="1"/>
    </xf>
    <xf numFmtId="0" fontId="29" fillId="23" borderId="14" xfId="1" applyFill="1" applyBorder="1" applyAlignment="1">
      <alignment vertical="center" wrapText="1"/>
    </xf>
    <xf numFmtId="0" fontId="29" fillId="24" borderId="14" xfId="1" applyFill="1" applyBorder="1" applyAlignment="1">
      <alignment vertical="center" wrapText="1"/>
    </xf>
    <xf numFmtId="0" fontId="16" fillId="25" borderId="16" xfId="0" applyFont="1" applyFill="1" applyBorder="1" applyAlignment="1">
      <alignment horizontal="center" vertical="center" wrapText="1"/>
    </xf>
    <xf numFmtId="49" fontId="10" fillId="0" borderId="44" xfId="0" applyNumberFormat="1" applyFont="1" applyBorder="1" applyAlignment="1">
      <alignment wrapText="1"/>
    </xf>
    <xf numFmtId="0" fontId="21" fillId="0" borderId="19" xfId="0" applyFont="1" applyBorder="1" applyAlignment="1">
      <alignment vertical="center" wrapText="1"/>
    </xf>
    <xf numFmtId="49" fontId="10" fillId="16" borderId="36" xfId="0" applyNumberFormat="1" applyFont="1" applyFill="1" applyBorder="1" applyAlignment="1">
      <alignment vertical="center" wrapText="1"/>
    </xf>
    <xf numFmtId="49" fontId="10" fillId="0" borderId="36" xfId="0" quotePrefix="1" applyNumberFormat="1" applyFont="1" applyBorder="1" applyAlignment="1">
      <alignment wrapText="1"/>
    </xf>
    <xf numFmtId="0" fontId="21" fillId="0" borderId="0" xfId="0" applyFont="1" applyAlignment="1">
      <alignment horizontal="left" vertical="center" wrapText="1"/>
    </xf>
    <xf numFmtId="49" fontId="10" fillId="0" borderId="0" xfId="0" quotePrefix="1" applyNumberFormat="1" applyFont="1" applyAlignment="1">
      <alignment vertical="center" wrapText="1"/>
    </xf>
    <xf numFmtId="0" fontId="30" fillId="0" borderId="36" xfId="1" applyFont="1" applyBorder="1" applyAlignment="1">
      <alignment vertical="center" wrapText="1"/>
    </xf>
    <xf numFmtId="0" fontId="21" fillId="0" borderId="0" xfId="1" applyFont="1" applyBorder="1" applyAlignment="1">
      <alignment vertical="center" wrapText="1"/>
    </xf>
    <xf numFmtId="49" fontId="30" fillId="16" borderId="36" xfId="1" applyNumberFormat="1" applyFont="1" applyFill="1" applyBorder="1" applyAlignment="1">
      <alignment vertical="center" wrapText="1"/>
    </xf>
    <xf numFmtId="0" fontId="10" fillId="0" borderId="36" xfId="1" applyFont="1" applyBorder="1" applyAlignment="1">
      <alignment vertical="center" wrapText="1"/>
    </xf>
    <xf numFmtId="0" fontId="21" fillId="0" borderId="0" xfId="0" applyFont="1" applyAlignment="1">
      <alignment vertical="center" wrapText="1"/>
    </xf>
    <xf numFmtId="0" fontId="42" fillId="0" borderId="4" xfId="0" applyFont="1" applyBorder="1" applyAlignment="1">
      <alignment vertical="center" wrapText="1"/>
    </xf>
    <xf numFmtId="0" fontId="10" fillId="0" borderId="0" xfId="1" applyFont="1" applyBorder="1" applyAlignment="1">
      <alignment vertical="center" wrapText="1"/>
    </xf>
    <xf numFmtId="0" fontId="30" fillId="0" borderId="0" xfId="1" applyFont="1" applyAlignment="1">
      <alignment vertical="center" wrapText="1"/>
    </xf>
    <xf numFmtId="0" fontId="43" fillId="0" borderId="17" xfId="1" applyFont="1" applyBorder="1" applyAlignment="1">
      <alignment vertical="center" wrapText="1"/>
    </xf>
    <xf numFmtId="0" fontId="30" fillId="0" borderId="0" xfId="1" applyFont="1" applyBorder="1" applyAlignment="1">
      <alignment vertical="center" wrapText="1"/>
    </xf>
    <xf numFmtId="0" fontId="21" fillId="26" borderId="14" xfId="0" applyFont="1" applyFill="1" applyBorder="1" applyAlignment="1">
      <alignment horizontal="center" vertical="center" wrapText="1"/>
    </xf>
    <xf numFmtId="0" fontId="44" fillId="0" borderId="14" xfId="1" applyFont="1" applyBorder="1" applyAlignment="1">
      <alignment vertical="center" wrapText="1"/>
    </xf>
    <xf numFmtId="0" fontId="10" fillId="27" borderId="14" xfId="0" applyFont="1" applyFill="1" applyBorder="1" applyAlignment="1">
      <alignment horizontal="center" vertical="center" wrapText="1"/>
    </xf>
    <xf numFmtId="0" fontId="10" fillId="27" borderId="14" xfId="0" applyFont="1" applyFill="1" applyBorder="1" applyAlignment="1">
      <alignment vertical="center" wrapText="1"/>
    </xf>
    <xf numFmtId="166" fontId="10" fillId="27" borderId="14" xfId="0" applyNumberFormat="1" applyFont="1" applyFill="1" applyBorder="1" applyAlignment="1">
      <alignment horizontal="center" vertical="center" wrapText="1"/>
    </xf>
    <xf numFmtId="164" fontId="10" fillId="27" borderId="14" xfId="0" applyNumberFormat="1" applyFont="1" applyFill="1" applyBorder="1" applyAlignment="1">
      <alignment horizontal="center" vertical="center" wrapText="1"/>
    </xf>
    <xf numFmtId="0" fontId="10" fillId="27" borderId="14" xfId="0" applyFont="1" applyFill="1" applyBorder="1" applyAlignment="1">
      <alignment horizontal="left" vertical="center" wrapText="1"/>
    </xf>
    <xf numFmtId="0" fontId="10" fillId="27" borderId="19" xfId="0" applyFont="1" applyFill="1" applyBorder="1" applyAlignment="1">
      <alignment vertical="center" wrapText="1"/>
    </xf>
    <xf numFmtId="0" fontId="10" fillId="27" borderId="0" xfId="1" applyFont="1" applyFill="1" applyBorder="1" applyAlignment="1">
      <alignment vertical="center" wrapText="1"/>
    </xf>
    <xf numFmtId="0" fontId="10" fillId="27" borderId="4" xfId="0" applyFont="1" applyFill="1" applyBorder="1" applyAlignment="1">
      <alignment vertical="center" wrapText="1"/>
    </xf>
    <xf numFmtId="0" fontId="10" fillId="27" borderId="19" xfId="0" applyFont="1" applyFill="1" applyBorder="1" applyAlignment="1">
      <alignment horizontal="center" vertical="center" wrapText="1"/>
    </xf>
    <xf numFmtId="49" fontId="10" fillId="27" borderId="0" xfId="0" quotePrefix="1" applyNumberFormat="1" applyFont="1" applyFill="1" applyAlignment="1">
      <alignment vertical="center" wrapText="1"/>
    </xf>
    <xf numFmtId="9" fontId="10" fillId="27" borderId="14" xfId="0" applyNumberFormat="1" applyFont="1" applyFill="1" applyBorder="1" applyAlignment="1">
      <alignment horizontal="center" vertical="center" wrapText="1"/>
    </xf>
    <xf numFmtId="0" fontId="31" fillId="27" borderId="14" xfId="1" applyFont="1" applyFill="1" applyBorder="1" applyAlignment="1">
      <alignment horizontal="center" vertical="center" wrapText="1"/>
    </xf>
    <xf numFmtId="0" fontId="10" fillId="27" borderId="20" xfId="0" applyFont="1" applyFill="1" applyBorder="1" applyAlignment="1">
      <alignment horizontal="center" vertical="center" wrapText="1"/>
    </xf>
    <xf numFmtId="14" fontId="10" fillId="27" borderId="14" xfId="0" applyNumberFormat="1" applyFont="1" applyFill="1" applyBorder="1" applyAlignment="1">
      <alignment horizontal="center" vertical="center" wrapText="1"/>
    </xf>
    <xf numFmtId="168" fontId="10" fillId="27" borderId="17" xfId="0" applyNumberFormat="1" applyFont="1" applyFill="1" applyBorder="1" applyAlignment="1">
      <alignment horizontal="center" vertical="center" wrapText="1"/>
    </xf>
    <xf numFmtId="3" fontId="10" fillId="27" borderId="14" xfId="0" applyNumberFormat="1" applyFont="1" applyFill="1" applyBorder="1" applyAlignment="1">
      <alignment horizontal="center" vertical="center" wrapText="1"/>
    </xf>
    <xf numFmtId="10" fontId="10" fillId="27" borderId="14" xfId="0" applyNumberFormat="1" applyFont="1" applyFill="1" applyBorder="1" applyAlignment="1">
      <alignment horizontal="center" vertical="center" wrapText="1"/>
    </xf>
    <xf numFmtId="0" fontId="10" fillId="27" borderId="3" xfId="0" applyFont="1" applyFill="1" applyBorder="1" applyAlignment="1">
      <alignment vertical="center" wrapText="1"/>
    </xf>
    <xf numFmtId="0" fontId="10" fillId="27" borderId="0" xfId="0" applyFont="1" applyFill="1" applyAlignment="1">
      <alignment wrapText="1"/>
    </xf>
    <xf numFmtId="0" fontId="45" fillId="0" borderId="14" xfId="1" applyFont="1" applyBorder="1" applyAlignment="1">
      <alignment vertical="center" wrapText="1"/>
    </xf>
    <xf numFmtId="0" fontId="21" fillId="27" borderId="14" xfId="0" applyFont="1" applyFill="1" applyBorder="1" applyAlignment="1">
      <alignment horizontal="center" vertical="center" wrapText="1"/>
    </xf>
    <xf numFmtId="0" fontId="21" fillId="27" borderId="14" xfId="0" applyFont="1" applyFill="1" applyBorder="1" applyAlignment="1">
      <alignment vertical="center" wrapText="1"/>
    </xf>
    <xf numFmtId="166" fontId="21" fillId="27" borderId="14" xfId="0" applyNumberFormat="1" applyFont="1" applyFill="1" applyBorder="1" applyAlignment="1">
      <alignment horizontal="center" vertical="center" wrapText="1"/>
    </xf>
    <xf numFmtId="164" fontId="21" fillId="27" borderId="14" xfId="0" applyNumberFormat="1" applyFont="1" applyFill="1" applyBorder="1" applyAlignment="1">
      <alignment horizontal="center" vertical="center" wrapText="1"/>
    </xf>
    <xf numFmtId="0" fontId="21" fillId="27" borderId="14" xfId="0" applyFont="1" applyFill="1" applyBorder="1" applyAlignment="1">
      <alignment horizontal="left" vertical="center" wrapText="1"/>
    </xf>
    <xf numFmtId="0" fontId="21" fillId="27" borderId="0" xfId="1" applyFont="1" applyFill="1" applyBorder="1" applyAlignment="1">
      <alignment vertical="center" wrapText="1"/>
    </xf>
    <xf numFmtId="0" fontId="21" fillId="27" borderId="4" xfId="0" applyFont="1" applyFill="1" applyBorder="1" applyAlignment="1">
      <alignment vertical="center" wrapText="1"/>
    </xf>
    <xf numFmtId="0" fontId="21" fillId="27" borderId="19" xfId="0" applyFont="1" applyFill="1" applyBorder="1" applyAlignment="1">
      <alignment horizontal="center" vertical="center" wrapText="1"/>
    </xf>
    <xf numFmtId="9" fontId="21" fillId="27" borderId="14" xfId="0" applyNumberFormat="1" applyFont="1" applyFill="1" applyBorder="1" applyAlignment="1">
      <alignment horizontal="center" vertical="center" wrapText="1"/>
    </xf>
    <xf numFmtId="0" fontId="30" fillId="27" borderId="14" xfId="1" applyFont="1" applyFill="1" applyBorder="1" applyAlignment="1">
      <alignment horizontal="center" vertical="center" wrapText="1"/>
    </xf>
    <xf numFmtId="0" fontId="21" fillId="27" borderId="20" xfId="0" applyFont="1" applyFill="1" applyBorder="1" applyAlignment="1">
      <alignment horizontal="center" vertical="center" wrapText="1"/>
    </xf>
    <xf numFmtId="14" fontId="21" fillId="27" borderId="14" xfId="0" applyNumberFormat="1" applyFont="1" applyFill="1" applyBorder="1" applyAlignment="1">
      <alignment horizontal="center" vertical="center" wrapText="1"/>
    </xf>
    <xf numFmtId="168" fontId="21" fillId="27" borderId="17" xfId="0" applyNumberFormat="1" applyFont="1" applyFill="1" applyBorder="1" applyAlignment="1">
      <alignment horizontal="center" vertical="center" wrapText="1"/>
    </xf>
    <xf numFmtId="3" fontId="21" fillId="27" borderId="14" xfId="0" applyNumberFormat="1" applyFont="1" applyFill="1" applyBorder="1" applyAlignment="1">
      <alignment horizontal="center" vertical="center" wrapText="1"/>
    </xf>
    <xf numFmtId="10" fontId="21" fillId="27" borderId="14" xfId="0" applyNumberFormat="1" applyFont="1" applyFill="1" applyBorder="1" applyAlignment="1">
      <alignment horizontal="center" vertical="center" wrapText="1"/>
    </xf>
    <xf numFmtId="0" fontId="21" fillId="27" borderId="19" xfId="0" applyFont="1" applyFill="1" applyBorder="1" applyAlignment="1">
      <alignment vertical="center" wrapText="1"/>
    </xf>
    <xf numFmtId="0" fontId="21" fillId="27" borderId="0" xfId="0" applyFont="1" applyFill="1" applyAlignment="1">
      <alignment vertical="center" wrapText="1"/>
    </xf>
    <xf numFmtId="0" fontId="21" fillId="27" borderId="0" xfId="0" applyFont="1" applyFill="1" applyAlignment="1">
      <alignment horizontal="left" vertical="center" wrapText="1"/>
    </xf>
    <xf numFmtId="0" fontId="29" fillId="0" borderId="0" xfId="1" applyBorder="1" applyAlignment="1">
      <alignment vertical="center" wrapText="1"/>
    </xf>
    <xf numFmtId="0" fontId="46" fillId="0" borderId="14" xfId="1" applyFont="1" applyBorder="1" applyAlignment="1">
      <alignment vertical="center" wrapText="1"/>
    </xf>
    <xf numFmtId="0" fontId="10" fillId="16" borderId="14" xfId="0" applyFont="1" applyFill="1" applyBorder="1" applyAlignment="1">
      <alignment horizontal="center" vertical="center" wrapText="1"/>
    </xf>
    <xf numFmtId="0" fontId="32" fillId="0" borderId="0" xfId="0" applyFont="1" applyAlignment="1">
      <alignment horizontal="center" vertical="center"/>
    </xf>
    <xf numFmtId="0" fontId="32" fillId="27" borderId="0" xfId="0" applyFont="1" applyFill="1" applyAlignment="1">
      <alignment horizontal="center" vertical="center"/>
    </xf>
    <xf numFmtId="0" fontId="21" fillId="27" borderId="17" xfId="0" applyFont="1" applyFill="1" applyBorder="1" applyAlignment="1">
      <alignment vertical="center" wrapText="1"/>
    </xf>
    <xf numFmtId="0" fontId="34" fillId="0" borderId="2" xfId="0" applyFont="1" applyBorder="1" applyAlignment="1">
      <alignment horizontal="left" vertical="center" wrapText="1"/>
    </xf>
    <xf numFmtId="0" fontId="36" fillId="0" borderId="3" xfId="0" applyFont="1" applyBorder="1" applyAlignment="1">
      <alignment wrapText="1"/>
    </xf>
    <xf numFmtId="0" fontId="34" fillId="0" borderId="2"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2" xfId="0" applyFont="1" applyBorder="1" applyAlignment="1">
      <alignment vertical="center" wrapText="1"/>
    </xf>
    <xf numFmtId="0" fontId="36" fillId="0" borderId="4" xfId="0" applyFont="1" applyBorder="1" applyAlignment="1">
      <alignment wrapText="1"/>
    </xf>
    <xf numFmtId="0" fontId="7" fillId="5" borderId="7" xfId="0" applyFont="1" applyFill="1" applyBorder="1" applyAlignment="1">
      <alignment horizontal="center" vertical="center" wrapText="1"/>
    </xf>
    <xf numFmtId="0" fontId="7" fillId="5" borderId="0" xfId="0" applyFont="1" applyFill="1" applyAlignment="1">
      <alignment horizontal="center" vertical="center" wrapText="1"/>
    </xf>
    <xf numFmtId="0" fontId="0" fillId="0" borderId="0" xfId="0" applyAlignment="1"/>
    <xf numFmtId="0" fontId="6" fillId="0" borderId="13" xfId="0" applyFont="1" applyBorder="1" applyAlignment="1"/>
    <xf numFmtId="0" fontId="6" fillId="0" borderId="10" xfId="0" applyFont="1" applyBorder="1" applyAlignment="1"/>
  </cellXfs>
  <cellStyles count="2">
    <cellStyle name="Hyperlink" xfId="1" xr:uid="{00000000-000B-0000-0000-000008000000}"/>
    <cellStyle name="Normal" xfId="0" builtinId="0"/>
  </cellStyles>
  <dxfs count="246">
    <dxf>
      <font>
        <b/>
        <i val="0"/>
        <strike val="0"/>
        <condense val="0"/>
        <extend val="0"/>
        <outline val="0"/>
        <shadow val="0"/>
        <u val="none"/>
        <vertAlign val="baseline"/>
        <sz val="9"/>
        <color rgb="FF000000"/>
        <name val="Calibri"/>
        <family val="2"/>
        <scheme val="none"/>
      </font>
      <numFmt numFmtId="172" formatCode="_-[$$-240A]\ * #,##0_-;\-[$$-240A]\ * #,##0_-;_-[$$-240A]\ * &quot;-&quot;_-;_-@_-"/>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i val="0"/>
        <strike val="0"/>
        <condense val="0"/>
        <extend val="0"/>
        <outline val="0"/>
        <shadow val="0"/>
        <u val="none"/>
        <vertAlign val="baseline"/>
        <sz val="9"/>
        <color rgb="FF000000"/>
        <name val="Calibri"/>
        <family val="2"/>
        <scheme val="none"/>
      </font>
      <numFmt numFmtId="172" formatCode="_-[$$-240A]\ * #,##0_-;\-[$$-240A]\ * #,##0_-;_-[$$-240A]\ * &quot;-&quot;_-;_-@_-"/>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i val="0"/>
        <strike val="0"/>
        <condense val="0"/>
        <extend val="0"/>
        <outline val="0"/>
        <shadow val="0"/>
        <u val="none"/>
        <vertAlign val="baseline"/>
        <sz val="9"/>
        <color rgb="FF000000"/>
        <name val="Calibri"/>
        <family val="2"/>
        <scheme val="none"/>
      </font>
      <numFmt numFmtId="172" formatCode="_-[$$-240A]\ * #,##0_-;\-[$$-240A]\ * #,##0_-;_-[$$-240A]\ * &quot;-&quot;_-;_-@_-"/>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1"/>
        <color rgb="FF000000"/>
        <name val="Calibri"/>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vertical/>
        <horizontal/>
      </border>
    </dxf>
    <dxf>
      <border outline="0">
        <top style="thin">
          <color theme="0"/>
        </top>
        <bottom style="thin">
          <color rgb="FF000000"/>
        </bottom>
      </border>
    </dxf>
    <dxf>
      <font>
        <b/>
        <i val="0"/>
        <strike val="0"/>
        <condense val="0"/>
        <extend val="0"/>
        <outline val="0"/>
        <shadow val="0"/>
        <u val="none"/>
        <vertAlign val="baseline"/>
        <sz val="9"/>
        <color rgb="FF000000"/>
        <name val="Calibri"/>
        <family val="2"/>
        <scheme val="none"/>
      </font>
      <alignment horizontal="center" vertical="center" textRotation="0" wrapText="0" indent="0" justifyLastLine="0" shrinkToFit="0" readingOrder="0"/>
    </dxf>
    <dxf>
      <font>
        <b/>
        <i val="0"/>
        <strike val="0"/>
        <condense val="0"/>
        <extend val="0"/>
        <outline val="0"/>
        <shadow val="0"/>
        <u val="none"/>
        <vertAlign val="baseline"/>
        <sz val="9"/>
        <color rgb="FF000000"/>
        <name val="Calibri"/>
        <scheme val="none"/>
      </font>
      <fill>
        <patternFill patternType="solid">
          <fgColor rgb="FFE3D5CA"/>
          <bgColor rgb="FFE3D5CA"/>
        </patternFill>
      </fill>
      <alignment horizontal="center" vertical="center" textRotation="0" wrapText="1" indent="0" justifyLastLine="0" shrinkToFit="0" readingOrder="0"/>
      <border diagonalUp="0" diagonalDown="0" outline="0">
        <left style="thin">
          <color theme="0"/>
        </left>
        <right style="thin">
          <color theme="0"/>
        </right>
        <top/>
        <bottom/>
      </border>
    </dxf>
    <dxf>
      <alignment horizontal="center" vertical="center" textRotation="0" wrapText="0" indent="0" justifyLastLine="0" shrinkToFit="0" readingOrder="0"/>
    </dxf>
    <dxf>
      <numFmt numFmtId="172" formatCode="_-[$$-240A]\ * #,##0_-;\-[$$-240A]\ * #,##0_-;_-[$$-240A]\ * &quot;-&quot;_-;_-@_-"/>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4"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4" formatCode="0.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9" formatCode="dd/mm/yyyy"/>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9"/>
        <color rgb="FF000000"/>
        <name val="Calibri"/>
        <family val="2"/>
        <scheme val="none"/>
      </font>
      <numFmt numFmtId="172" formatCode="_-[$$-240A]\ * #,##0_-;\-[$$-240A]\ * #,##0_-;_-[$$-240A]\ * &quot;-&quot;_-;_-@_-"/>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9"/>
        <color rgb="FF000000"/>
        <name val="Calibri"/>
        <family val="2"/>
        <scheme val="none"/>
      </font>
      <numFmt numFmtId="172" formatCode="_-[$$-240A]\ * #,##0_-;\-[$$-240A]\ * #,##0_-;_-[$$-240A]\ * &quot;-&quot;_-;_-@_-"/>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Calibri"/>
        <family val="2"/>
        <scheme val="none"/>
      </font>
      <numFmt numFmtId="172" formatCode="_-[$$-240A]\ * #,##0_-;\-[$$-240A]\ * #,##0_-;_-[$$-240A]\ * &quot;-&quot;_-;_-@_-"/>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auto="1"/>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Calibri"/>
        <family val="2"/>
        <scheme val="none"/>
      </font>
      <numFmt numFmtId="172" formatCode="_-[$$-240A]\ * #,##0_-;\-[$$-240A]\ * #,##0_-;_-[$$-240A]\ * &quot;-&quot;_-;_-@_-"/>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auto="1"/>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Calibri"/>
        <family val="2"/>
        <scheme val="none"/>
      </font>
      <numFmt numFmtId="172" formatCode="_-[$$-240A]\ * #,##0_-;\-[$$-240A]\ * #,##0_-;_-[$$-240A]\ * &quot;-&quot;_-;_-@_-"/>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auto="1"/>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Calibri"/>
        <family val="2"/>
        <scheme val="none"/>
      </font>
      <numFmt numFmtId="172" formatCode="_-[$$-240A]\ * #,##0_-;\-[$$-240A]\ * #,##0_-;_-[$$-240A]\ * &quot;-&quot;_-;_-@_-"/>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auto="1"/>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Calibri"/>
        <family val="2"/>
        <scheme val="none"/>
      </font>
      <numFmt numFmtId="172" formatCode="_-[$$-240A]\ * #,##0_-;\-[$$-240A]\ * #,##0_-;_-[$$-240A]\ * &quot;-&quot;_-;_-@_-"/>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auto="1"/>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rgb="FF000000"/>
          <bgColor rgb="FFE2EFDA"/>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rgb="FF000000"/>
          <bgColor rgb="FFE2EFDA"/>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rgb="FF000000"/>
          <bgColor rgb="FFE2EFDA"/>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rgb="FF000000"/>
          <bgColor rgb="FFE2EFDA"/>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9" formatCode="dd/mm/yyyy"/>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9"/>
        <color rgb="FF000000"/>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10"/>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none">
          <fgColor indexed="64"/>
          <bgColor rgb="FFFFFF00"/>
        </patternFill>
      </fill>
      <alignment horizontal="center" vertical="center"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bottom style="thin">
          <color rgb="FF000000"/>
        </bottom>
      </border>
    </dxf>
    <dxf>
      <font>
        <b val="0"/>
        <i val="0"/>
        <strike val="0"/>
        <condense val="0"/>
        <extend val="0"/>
        <outline val="0"/>
        <shadow val="0"/>
        <u val="none"/>
        <vertAlign val="baseline"/>
        <sz val="9"/>
        <color rgb="FF000000"/>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Calibri"/>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bottom style="thin">
          <color rgb="FF000000"/>
        </bottom>
      </border>
    </dxf>
    <dxf>
      <font>
        <b val="0"/>
        <i val="0"/>
        <strike val="0"/>
        <condense val="0"/>
        <extend val="0"/>
        <outline val="0"/>
        <shadow val="0"/>
        <u val="none"/>
        <vertAlign val="baseline"/>
        <sz val="9"/>
        <color rgb="FF000000"/>
        <name val="Calibri"/>
        <family val="2"/>
        <scheme val="none"/>
      </font>
      <numFmt numFmtId="172" formatCode="_-[$$-240A]\ * #,##0_-;\-[$$-240A]\ * #,##0_-;_-[$$-240A]\ * &quot;-&quot;_-;_-@_-"/>
      <alignment horizontal="center" vertical="center" textRotation="0" wrapText="1" indent="0" justifyLastLine="0" shrinkToFit="0" readingOrder="0"/>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alignment horizontal="center" vertical="center" textRotation="0" wrapText="0" indent="0" justifyLastLine="0" shrinkToFit="0" readingOrder="0"/>
      <border diagonalUp="0" diagonalDown="0">
        <left/>
        <right style="thin">
          <color rgb="FF000000"/>
        </right>
        <top/>
        <bottom/>
        <vertical/>
        <horizontal/>
      </border>
    </dxf>
    <dxf>
      <font>
        <b val="0"/>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numFmt numFmtId="172" formatCode="_-[$$-240A]\ * #,##0_-;\-[$$-240A]\ * #,##0_-;_-[$$-240A]\ * &quot;-&quot;_-;_-@_-"/>
      <fill>
        <patternFill patternType="solid">
          <fgColor indexed="64"/>
          <bgColor theme="0" tint="-4.9989318521683403E-2"/>
        </patternFill>
      </fill>
      <border diagonalUp="0" diagonalDown="0" outline="0">
        <left style="thin">
          <color rgb="FF000000"/>
        </left>
        <right style="thin">
          <color rgb="FF000000"/>
        </right>
        <top style="thin">
          <color rgb="FF000000"/>
        </top>
        <bottom style="thin">
          <color rgb="FF000000"/>
        </bottom>
      </border>
    </dxf>
    <dxf>
      <numFmt numFmtId="172" formatCode="_-[$$-240A]\ * #,##0_-;\-[$$-240A]\ * #,##0_-;_-[$$-240A]\ * &quot;-&quot;_-;_-@_-"/>
      <fill>
        <patternFill patternType="solid">
          <fgColor indexed="64"/>
          <bgColor theme="0" tint="-4.9989318521683403E-2"/>
        </patternFill>
      </fill>
      <border diagonalUp="0" diagonalDown="0" outline="0">
        <left style="thin">
          <color rgb="FF000000"/>
        </left>
        <right style="thin">
          <color rgb="FF000000"/>
        </right>
        <top style="thin">
          <color rgb="FF000000"/>
        </top>
        <bottom style="thin">
          <color rgb="FF000000"/>
        </bottom>
      </border>
    </dxf>
    <dxf>
      <numFmt numFmtId="172" formatCode="_-[$$-240A]\ * #,##0_-;\-[$$-240A]\ * #,##0_-;_-[$$-240A]\ * &quot;-&quot;_-;_-@_-"/>
      <fill>
        <patternFill patternType="solid">
          <fgColor indexed="64"/>
          <bgColor theme="0" tint="-4.9989318521683403E-2"/>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Calibri"/>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bottom style="thin">
          <color rgb="FF000000"/>
        </bottom>
        <vertical/>
        <horizontal/>
      </border>
    </dxf>
    <dxf>
      <font>
        <b/>
        <i val="0"/>
        <strike val="0"/>
        <condense val="0"/>
        <extend val="0"/>
        <outline val="0"/>
        <shadow val="0"/>
        <u val="none"/>
        <vertAlign val="baseline"/>
        <sz val="9"/>
        <color rgb="FF000000"/>
        <name val="Calibri"/>
        <family val="2"/>
        <scheme val="none"/>
      </font>
      <numFmt numFmtId="172" formatCode="_-[$$-240A]\ * #,##0_-;\-[$$-240A]\ * #,##0_-;_-[$$-240A]\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numFmt numFmtId="172" formatCode="_-[$$-240A]\ * #,##0_-;\-[$$-240A]\ * #,##0_-;_-[$$-240A]\ * &quot;-&quot;_-;_-@_-"/>
      <fill>
        <patternFill patternType="none">
          <fgColor indexed="64"/>
          <bgColor theme="0" tint="-4.9989318521683403E-2"/>
        </patternFill>
      </fill>
    </dxf>
    <dxf>
      <font>
        <b/>
        <i val="0"/>
        <strike val="0"/>
        <condense val="0"/>
        <extend val="0"/>
        <outline val="0"/>
        <shadow val="0"/>
        <u val="none"/>
        <vertAlign val="baseline"/>
        <sz val="9"/>
        <color rgb="FF000000"/>
        <name val="Calibri"/>
        <scheme val="none"/>
      </font>
      <fill>
        <patternFill patternType="solid">
          <fgColor rgb="FFE3D5CA"/>
          <bgColor rgb="FFE3D5CA"/>
        </patternFill>
      </fill>
      <alignment horizontal="center" vertical="center" textRotation="0" wrapText="1" indent="0" justifyLastLine="0" shrinkToFit="0" readingOrder="0"/>
      <border diagonalUp="0" diagonalDown="0">
        <left style="thin">
          <color theme="0"/>
        </left>
        <right style="thin">
          <color theme="0"/>
        </right>
        <top/>
        <bottom/>
      </border>
    </dxf>
    <dxf>
      <fill>
        <patternFill patternType="solid">
          <bgColor rgb="FFDFF0AD"/>
        </patternFill>
      </fill>
    </dxf>
    <dxf>
      <fill>
        <patternFill patternType="solid">
          <bgColor rgb="FFF19C79"/>
        </patternFill>
      </fill>
    </dxf>
    <dxf>
      <fill>
        <patternFill patternType="solid">
          <bgColor rgb="FFD4E09B"/>
        </patternFill>
      </fill>
    </dxf>
    <dxf>
      <fill>
        <patternFill patternType="solid">
          <bgColor rgb="FFF19C79"/>
        </patternFill>
      </fill>
    </dxf>
    <dxf>
      <fill>
        <patternFill patternType="solid">
          <bgColor rgb="FFE3DEDA"/>
        </patternFill>
      </fill>
    </dxf>
    <dxf>
      <fill>
        <patternFill patternType="solid">
          <bgColor rgb="FFB6E2DD"/>
        </patternFill>
      </fill>
    </dxf>
    <dxf>
      <fill>
        <patternFill patternType="solid">
          <bgColor rgb="FFFBDF9D"/>
        </patternFill>
      </fill>
    </dxf>
    <dxf>
      <fill>
        <patternFill patternType="solid">
          <bgColor rgb="FFDAD9FE"/>
        </patternFill>
      </fill>
    </dxf>
    <dxf>
      <fill>
        <patternFill patternType="solid">
          <bgColor rgb="FFDFF0AD"/>
        </patternFill>
      </fill>
    </dxf>
    <dxf>
      <fill>
        <patternFill patternType="solid">
          <bgColor rgb="FFF19C79"/>
        </patternFill>
      </fill>
    </dxf>
    <dxf>
      <fill>
        <patternFill patternType="solid">
          <bgColor theme="6" tint="0.59999389629810485"/>
        </patternFill>
      </fill>
    </dxf>
    <dxf>
      <font>
        <color theme="1" tint="0.499984740745262"/>
      </font>
      <fill>
        <patternFill patternType="solid">
          <bgColor rgb="FFF7F5F5"/>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ill>
        <patternFill patternType="solid">
          <bgColor rgb="FFD4E09B"/>
        </patternFill>
      </fill>
    </dxf>
    <dxf>
      <fill>
        <patternFill patternType="solid">
          <bgColor rgb="FFDAD9FE"/>
        </patternFill>
      </fill>
    </dxf>
    <dxf>
      <fill>
        <patternFill patternType="solid">
          <bgColor rgb="FFFBDF9D"/>
        </patternFill>
      </fill>
    </dxf>
    <dxf>
      <fill>
        <patternFill patternType="solid">
          <bgColor rgb="FFB6E2DD"/>
        </patternFill>
      </fill>
    </dxf>
    <dxf>
      <fill>
        <patternFill patternType="solid">
          <bgColor rgb="FFE3DEDA"/>
        </patternFill>
      </fill>
    </dxf>
    <dxf>
      <fill>
        <patternFill patternType="solid">
          <bgColor rgb="FFF19C79"/>
        </patternFill>
      </fill>
    </dxf>
    <dxf>
      <font>
        <color theme="1"/>
      </font>
      <fill>
        <patternFill patternType="solid">
          <bgColor rgb="FFDAD9FE"/>
        </patternFill>
      </fill>
    </dxf>
    <dxf>
      <font>
        <color theme="1"/>
      </font>
      <fill>
        <patternFill patternType="solid">
          <bgColor rgb="FFF19C79"/>
        </patternFill>
      </fill>
    </dxf>
    <dxf>
      <font>
        <color theme="1"/>
      </font>
      <fill>
        <patternFill patternType="solid">
          <bgColor rgb="FFB6E2DD"/>
        </patternFill>
      </fill>
    </dxf>
    <dxf>
      <font>
        <color theme="1"/>
      </font>
      <fill>
        <patternFill patternType="solid">
          <bgColor rgb="FFD4E09B"/>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0"/>
      </font>
      <fill>
        <patternFill patternType="solid">
          <bgColor rgb="FFF7F5F5"/>
        </patternFill>
      </fill>
      <border>
        <left style="thin">
          <color rgb="FFD9D9D9"/>
        </left>
        <right style="thin">
          <color rgb="FFD9D9D9"/>
        </right>
        <top style="thin">
          <color rgb="FFD9D9D9"/>
        </top>
        <bottom style="thin">
          <color rgb="FFD9D9D9"/>
        </bottom>
      </border>
    </dxf>
    <dxf>
      <font>
        <color theme="0"/>
      </font>
      <fill>
        <patternFill patternType="solid">
          <bgColor rgb="FFD4E09B"/>
        </patternFill>
      </fill>
      <border>
        <left style="thin">
          <color rgb="FFD9D9D9"/>
        </left>
        <right style="thin">
          <color rgb="FFD9D9D9"/>
        </right>
        <top style="thin">
          <color rgb="FFD9D9D9"/>
        </top>
        <bottom style="thin">
          <color rgb="FFD9D9D9"/>
        </bottom>
      </border>
    </dxf>
    <dxf>
      <font>
        <color theme="0"/>
      </font>
      <fill>
        <patternFill patternType="solid">
          <bgColor rgb="FFB6E2DD"/>
        </patternFill>
      </fill>
      <border>
        <left style="thin">
          <color rgb="FFD9D9D9"/>
        </left>
        <right style="thin">
          <color rgb="FFD9D9D9"/>
        </right>
        <top style="thin">
          <color rgb="FFD9D9D9"/>
        </top>
        <bottom style="thin">
          <color rgb="FFD9D9D9"/>
        </bottom>
      </border>
    </dxf>
    <dxf>
      <font>
        <color theme="0"/>
      </font>
      <fill>
        <patternFill patternType="solid">
          <bgColor rgb="FFF19C79"/>
        </patternFill>
      </fill>
      <border>
        <left style="thin">
          <color rgb="FFD9D9D9"/>
        </left>
        <right style="thin">
          <color rgb="FFD9D9D9"/>
        </right>
        <top style="thin">
          <color rgb="FFD9D9D9"/>
        </top>
        <bottom style="thin">
          <color rgb="FFD9D9D9"/>
        </bottom>
      </border>
    </dxf>
    <dxf>
      <font>
        <color theme="0"/>
      </font>
      <fill>
        <patternFill patternType="solid">
          <bgColor rgb="FFDAD9FE"/>
        </patternFill>
      </fill>
      <border>
        <left style="thin">
          <color rgb="FFD9D9D9"/>
        </left>
        <right style="thin">
          <color rgb="FFD9D9D9"/>
        </right>
        <top style="thin">
          <color rgb="FFD9D9D9"/>
        </top>
        <bottom style="thin">
          <color rgb="FFD9D9D9"/>
        </bottom>
      </border>
    </dxf>
    <dxf>
      <font>
        <color theme="0"/>
      </font>
      <fill>
        <patternFill patternType="solid">
          <bgColor rgb="FFFBDF9D"/>
        </patternFill>
      </fill>
      <border>
        <left style="thin">
          <color rgb="FFD9D9D9"/>
        </left>
        <right style="thin">
          <color rgb="FFD9D9D9"/>
        </right>
        <top style="thin">
          <color rgb="FFD9D9D9"/>
        </top>
        <bottom style="thin">
          <color rgb="FFD9D9D9"/>
        </bottom>
      </border>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b/>
        <i val="0"/>
        <color rgb="FFF19C79"/>
      </font>
    </dxf>
    <dxf>
      <font>
        <b/>
        <i val="0"/>
        <color rgb="FF879E4D"/>
      </font>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
      <font>
        <color theme="1" tint="0.34998626667073579"/>
      </font>
      <fill>
        <patternFill patternType="solid">
          <bgColor rgb="FFE3DEDA"/>
        </patternFill>
      </fill>
    </dxf>
  </dxfs>
  <tableStyles count="0" defaultTableStyle="TableStyleMedium2" defaultPivotStyle="PivotStyleLight16"/>
  <colors>
    <mruColors>
      <color rgb="FFE1D5CA"/>
      <color rgb="FFF19C79"/>
      <color rgb="FFDFF0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AA0D3BA-19B3-4D6A-A021-396EAA90F06C}" name="Tabla1" displayName="Tabla1" ref="A1:AM60" headerRowDxfId="83" totalsRowDxfId="82">
  <autoFilter ref="A1:AM60" xr:uid="{6AA0D3BA-19B3-4D6A-A021-396EAA90F06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05FB252C-A0A1-414C-8B1F-DDEFBD92FA59}" name="No" totalsRowLabel="Total" dataDxfId="80" totalsRowDxfId="81"/>
    <tableColumn id="2" xr3:uid="{3C39F6BE-8069-4B20-935C-35DD4D3CC97B}" name="Contratistas" totalsRowDxfId="79"/>
    <tableColumn id="3" xr3:uid="{E563898F-6555-443F-BE8B-EE1868FE9AEE}" name="Objeto" totalsRowDxfId="78"/>
    <tableColumn id="4" xr3:uid="{34260CE2-E862-4662-AE23-59F332F3BF17}" name=" Valor_x000a_Mensual " totalsRowDxfId="77"/>
    <tableColumn id="5" xr3:uid="{50B7F5A3-2C04-4FD6-B573-D201447107CE}" name="Plazo inicial" dataDxfId="75" totalsRowDxfId="76"/>
    <tableColumn id="6" xr3:uid="{2868281F-5563-4CF3-9C30-1C98B52FA328}" name=" Valor Total Inicial del contrato " totalsRowFunction="custom" dataDxfId="73" totalsRowDxfId="74">
      <totalsRowFormula>SUBTOTAL(109,F2:F60)</totalsRowFormula>
    </tableColumn>
    <tableColumn id="37" xr3:uid="{CAE73F46-C870-415E-A34E-3A56E454F0ED}" name="Proyecto de Inversión" dataDxfId="71" totalsRowDxfId="72"/>
    <tableColumn id="39" xr3:uid="{686848AA-A0B6-4B32-8CF6-4E564CAE7EBE}" name="Meta Proyecto de inversión" dataDxfId="69" totalsRowDxfId="70"/>
    <tableColumn id="7" xr3:uid="{EEEB48A8-8A3F-4970-9573-799A94F5280D}" name="Numero de Contrato" dataDxfId="67" totalsRowDxfId="68"/>
    <tableColumn id="8" xr3:uid="{996359AE-D5A8-434B-83EF-68A80D58D4AB}" name="Fecha de inicio" dataDxfId="65" totalsRowDxfId="66"/>
    <tableColumn id="9" xr3:uid="{DB5A27BF-C540-4B1C-A4C3-B5275D6F48DA}" name="Pago 1 Feb" dataDxfId="63" totalsRowDxfId="64"/>
    <tableColumn id="10" xr3:uid="{D50000A7-0384-48CD-85F6-B68E858ECAC3}" name="Ejecutado" dataDxfId="61" totalsRowDxfId="62"/>
    <tableColumn id="11" xr3:uid="{3F685896-CEC7-4AFA-9FC1-05CCCDFDCFD5}" name="Pago 2 Mar" totalsRowFunction="custom" dataDxfId="59" totalsRowDxfId="60">
      <totalsRowFormula>SUBTOTAL(109,M2:M60)</totalsRowFormula>
    </tableColumn>
    <tableColumn id="12" xr3:uid="{2E3619A6-D6C0-494C-9211-179DCE85130F}" name="Ejecutado2" dataDxfId="57" totalsRowDxfId="58"/>
    <tableColumn id="13" xr3:uid="{47D6BFD4-1257-4168-B92C-D82658E55549}" name="Pago 3 Abr" totalsRowFunction="custom" dataDxfId="55" totalsRowDxfId="56">
      <totalsRowFormula>SUBTOTAL(109,O2:O60)</totalsRowFormula>
    </tableColumn>
    <tableColumn id="14" xr3:uid="{C12A8D71-8289-4B62-A47F-0C9CF9F0A25C}" name="Ejecutado3" dataDxfId="53" totalsRowDxfId="54"/>
    <tableColumn id="15" xr3:uid="{2E427EEB-8AE0-4BD4-B40A-C22A3788FD9D}" name="Pago 4 May" totalsRowFunction="custom" dataDxfId="51" totalsRowDxfId="52">
      <totalsRowFormula>SUBTOTAL(109,Q2:Q60)</totalsRowFormula>
    </tableColumn>
    <tableColumn id="16" xr3:uid="{703E43A0-03BE-4ED7-97A1-2ABBA4F3932E}" name="Ejecutado4" dataDxfId="49" totalsRowDxfId="50"/>
    <tableColumn id="17" xr3:uid="{2EBB15E9-6562-4457-8A53-C10C59EA6163}" name="Pago 5 Jun" totalsRowFunction="custom" dataDxfId="47" totalsRowDxfId="48">
      <totalsRowFormula>SUBTOTAL(109,S2:S60)</totalsRowFormula>
    </tableColumn>
    <tableColumn id="18" xr3:uid="{C969DDDE-34C5-47C5-AC91-3CD9159A757B}" name="Ejecutado5" dataDxfId="45" totalsRowDxfId="46"/>
    <tableColumn id="19" xr3:uid="{044162D7-0D75-40CA-B987-3440B595084E}" name="Pago 6 Jul" totalsRowFunction="custom" dataDxfId="43" totalsRowDxfId="44">
      <totalsRowFormula>SUBTOTAL(109,U2:U60)</totalsRowFormula>
    </tableColumn>
    <tableColumn id="20" xr3:uid="{3708745E-7FC3-4C02-A785-3229CA075FDD}" name="Ejecutado6" dataDxfId="41" totalsRowDxfId="42"/>
    <tableColumn id="21" xr3:uid="{49AB450C-9D4E-4C9C-A7FC-725CA349284A}" name="Pago 7 Ago" totalsRowFunction="custom" dataDxfId="39" totalsRowDxfId="40">
      <totalsRowFormula>SUBTOTAL(109,W2:W60)</totalsRowFormula>
    </tableColumn>
    <tableColumn id="22" xr3:uid="{CC7C4B18-368C-437D-B8A4-4D759251435F}" name="Ejecutado7" dataDxfId="37" totalsRowDxfId="38"/>
    <tableColumn id="23" xr3:uid="{7F5C8138-BED2-41B3-B688-2F8B0E4A361F}" name="Pago 1 Sept" totalsRowFunction="custom" dataDxfId="35" totalsRowDxfId="36">
      <totalsRowFormula>SUBTOTAL(109,Y2:Y60)</totalsRowFormula>
    </tableColumn>
    <tableColumn id="24" xr3:uid="{CC219BAB-A73D-4159-B363-363F5CE8ABE3}" name="Ejecutado8" dataDxfId="33" totalsRowDxfId="34"/>
    <tableColumn id="25" xr3:uid="{56A44941-8DE1-4165-9A15-732518E2F3B0}" name="Pago 2 Oct" totalsRowFunction="custom" dataDxfId="31" totalsRowDxfId="32">
      <totalsRowFormula>SUBTOTAL(109,AA2:AA60)</totalsRowFormula>
    </tableColumn>
    <tableColumn id="26" xr3:uid="{90169CE3-8434-41E1-A1FE-58752920BAC0}" name="Ejecutado9" dataDxfId="29" totalsRowDxfId="30"/>
    <tableColumn id="27" xr3:uid="{DDC13EB8-DCC9-4386-BDF8-147E3A52B7E6}" name="Pago 3 Nov" totalsRowFunction="custom" dataDxfId="27" totalsRowDxfId="28">
      <totalsRowFormula>SUBTOTAL(109,AC2:AC60)</totalsRowFormula>
    </tableColumn>
    <tableColumn id="28" xr3:uid="{E502AF66-249A-4329-B8EA-441E5F899EB5}" name="Ejecutado10" dataDxfId="25" totalsRowDxfId="26"/>
    <tableColumn id="29" xr3:uid="{BBD6852A-FF70-4EE6-B368-37BE3DE7FC77}" name="Pago 4 Dic" totalsRowFunction="custom" dataDxfId="23" totalsRowDxfId="24">
      <totalsRowFormula>SUBTOTAL(109,AE2:AE60)</totalsRowFormula>
    </tableColumn>
    <tableColumn id="30" xr3:uid="{FB87460F-813D-452D-BDDB-C5D94D39EC55}" name="Ejecutado11" dataDxfId="21" totalsRowDxfId="22"/>
    <tableColumn id="31" xr3:uid="{AD0F3FCF-68D2-4DBB-8392-55BEEB4A84D0}" name="Valor Ejecutado" totalsRowFunction="custom" dataDxfId="19" totalsRowDxfId="20">
      <calculatedColumnFormula>SUM(SUMIF(L2,"Sí",K2),SUMIF(N2,"Sí",M2),SUMIF(P2,"Sí",O2),SUMIF(R2,"Sí",Q2),SUMIF(T2,"Sí",S2),SUMIF(V2,"Sí",#REF!),SUMIF(X2,"Sí",U2),SUMIF(Z2,"Sí",Y2),SUMIF(AB2,"Sí",AA2),SUMIF(AD2,"Sí",AC2),SUMIF(AF2,"Sí",AE2))</calculatedColumnFormula>
      <totalsRowFormula>SUBTOTAL(109,AG2:AG60)</totalsRowFormula>
    </tableColumn>
    <tableColumn id="32" xr3:uid="{2AC54F67-D8F1-4550-8E95-62ECC99A7A03}" name="Valor Definitivo del contrato " totalsRowFunction="custom" dataDxfId="17" totalsRowDxfId="18">
      <calculatedColumnFormula>SUM(K2:AE2)</calculatedColumnFormula>
      <totalsRowFormula>SUBTOTAL(109,AH2:AH60)</totalsRowFormula>
    </tableColumn>
    <tableColumn id="33" xr3:uid="{741366F3-257A-4AD3-95C2-9B7300B7335E}" name="Fecha de Final" dataDxfId="15" totalsRowDxfId="16"/>
    <tableColumn id="34" xr3:uid="{25070F6E-AB3E-4D88-BE0C-A6803A35E73D}" name="Días restantes" dataDxfId="13" totalsRowDxfId="14">
      <calculatedColumnFormula>AI2-$AM$2</calculatedColumnFormula>
    </tableColumn>
    <tableColumn id="35" xr3:uid="{84CFD4DA-68CE-42E1-B97B-C6E4A24309CB}" name="Avance del contrato" totalsRowFunction="custom" dataDxfId="11" totalsRowDxfId="12">
      <calculatedColumnFormula>AG2/AH2</calculatedColumnFormula>
      <totalsRowFormula>SUBTOTAL(101,AK2:AK60)</totalsRowFormula>
    </tableColumn>
    <tableColumn id="36" xr3:uid="{21B6C111-65E6-4C22-86B4-DC8293AA6837}" name="Observaciones" dataDxfId="9" totalsRowDxfId="10"/>
    <tableColumn id="38" xr3:uid="{558A0A30-1392-4827-98FD-60482C9DB732}" name="Fecha actual" dataDxfId="7" totalsRowDxfId="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94D7DA3-C876-4F71-A291-E8E2A5E1483E}" name="Tabla3" displayName="Tabla3" ref="AP1:AS4" totalsRowShown="0" headerRowDxfId="6" dataDxfId="5" tableBorderDxfId="4">
  <autoFilter ref="AP1:AS4" xr:uid="{E94D7DA3-C876-4F71-A291-E8E2A5E1483E}"/>
  <tableColumns count="4">
    <tableColumn id="1" xr3:uid="{5F0D03F9-C74F-42E8-82B1-698399E48566}" name="ítem" dataDxfId="3"/>
    <tableColumn id="2" xr3:uid="{CAD1F15C-C5F1-4C8C-8D82-B896454B75F1}" name="Presupuesto" dataDxfId="2"/>
    <tableColumn id="3" xr3:uid="{8F855F8E-6E2D-44AA-ACE2-D1A654E54899}" name="Total ejecutado" dataDxfId="1">
      <calculatedColumnFormula>SUM(Tabla1[Valor Ejecutado])</calculatedColumnFormula>
    </tableColumn>
    <tableColumn id="4" xr3:uid="{861E2440-BC1D-4DB0-8A99-1B18C22F4BAD}" name="Disponible" dataDxfId="0">
      <calculatedColumnFormula>AQ2-AR2</calculatedColumnFormula>
    </tableColumn>
  </tableColumns>
  <tableStyleInfo name="TableStyleLight1"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s://capacitacion.moodle.serviciocivil.gov.co/curso/2168" TargetMode="External"/><Relationship Id="rId170" Type="http://schemas.openxmlformats.org/officeDocument/2006/relationships/hyperlink" Target="https://drive.google.com/file/d/1FOAqaB-DsKG9kEaquG9-3NKbFZxGmjUp/view?usp=sharing" TargetMode="External"/><Relationship Id="rId26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CAMPIN%207%20DE%20AGOSTO/2024-06-14_I%20TALLER%20DE%20DIALOGO%20-%20AE%20CAMPIN%207%20DE%20AGOSTO?csf=1&amp;web=1&amp;e=jBcfxj" TargetMode="External"/><Relationship Id="rId475" Type="http://schemas.openxmlformats.org/officeDocument/2006/relationships/hyperlink" Target="../../../../../../:f:/r/sites/DirecciondeParticipacionyComunicacionparalaPlaneacion/Documentos%20compartidos/PROCESOS_OPDC_VIGENCIA%202024-2027/PROCESOS_OPDC_2024/EVIDENCIAS%202024/GESTI%C3%93N%20DEL%20PIPC/PLAN%20MAESTRO%20SERVICIOS%20PUBLICOS/2024-05-21_LINEAMIENTOS%20ESTRATEGIA%20DE%20PARTICIPACI%C3%93N%20-%20SERVICIOS%20PUBLICOS?csf=1&amp;web=1&amp;e=d6AZ4k" TargetMode="External"/><Relationship Id="rId68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CHAPINERO?csf=1&amp;web=1&amp;e=ki03vw" TargetMode="External"/><Relationship Id="rId128" Type="http://schemas.openxmlformats.org/officeDocument/2006/relationships/hyperlink" Target="http://meet.google.com/yfy-sywk-kmk" TargetMode="External"/><Relationship Id="rId33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1-31_JORNADA%20DE%20CAPACITACION%20INSTRUMENTO%20FASE%20I?csf=1&amp;web=1&amp;e=ea36XG" TargetMode="External"/><Relationship Id="rId542"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ENGATIVA/2024-05-14_SESION%20MAYO?csf=1&amp;web=1&amp;e=M8n92A" TargetMode="External"/><Relationship Id="rId987"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TUNJUELITO/2024-07-09_SESION%20JULIO?csf=1&amp;web=1&amp;e=uGBBjd" TargetMode="External"/><Relationship Id="rId1172"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T/2024-07-26_COMISION%20POT?csf=1&amp;web=1&amp;e=umqv6X" TargetMode="External"/><Relationship Id="rId40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25_SESION%20DE%20CONCEJO%20-%20FORMULACI%C3%93N%20PDD%20-%20MA%C3%91ANA?csf=1&amp;web=1&amp;e=vJyvM6" TargetMode="External"/><Relationship Id="rId847"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ARTICIPACION/2024-03-20_COMISI%C3%93N%20ORDINARIA%20DE%20PARTICIPACI%C3%93N?csf=1&amp;web=1&amp;e=5vIjUm" TargetMode="External"/><Relationship Id="rId103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7-22_ACCION%20AFIRMATIVA%20NEGRA%20-%20AFROCOLOMBIANA%20-%20CARTO%20SOCIAL?csf=1&amp;web=1&amp;e=5dhdId" TargetMode="External"/><Relationship Id="rId707"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KENNEDY?csf=1&amp;web=1&amp;e=kcd34e" TargetMode="External"/><Relationship Id="rId914"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LOS%20M%C3%81RTIRES/2024-06-25_SESION%20JUNIO?csf=1&amp;web=1&amp;e=kNSnhG" TargetMode="External"/><Relationship Id="rId43" Type="http://schemas.openxmlformats.org/officeDocument/2006/relationships/hyperlink" Target="https://meet.google.com/usk-fybt-jqw" TargetMode="External"/><Relationship Id="rId192" Type="http://schemas.openxmlformats.org/officeDocument/2006/relationships/hyperlink" Target="https://meet.google.com/exk-cuyd-nuy" TargetMode="External"/><Relationship Id="rId497"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4_CAPACITACION%20FASE%20II%20-%20IDPAC?csf=1&amp;web=1&amp;e=h81ef2" TargetMode="External"/><Relationship Id="rId357"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DE%20COORDINACION%20DEL%20PDD/2024-02-21_REUNION%20DE%20COMITE?csf=1&amp;web=1&amp;e=LU41kW" TargetMode="External"/><Relationship Id="rId1194" Type="http://schemas.openxmlformats.org/officeDocument/2006/relationships/hyperlink" Target="https://acortar.link/5uy6ZY" TargetMode="External"/><Relationship Id="rId217" Type="http://schemas.openxmlformats.org/officeDocument/2006/relationships/hyperlink" Target="http://meet.google.com/gtu-uouj-khd" TargetMode="External"/><Relationship Id="rId564"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ANTONIO%20NARI%C3%91O/2024-05-08_SESION%20MAYO?csf=1&amp;web=1&amp;e=5KE2yX" TargetMode="External"/><Relationship Id="rId77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5_GAE%20-%20LOCALIDAD%20USAQUEN%20CPL?csf=1&amp;web=1&amp;e=GEbjej" TargetMode="External"/><Relationship Id="rId86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24_JORNADA%20PEGATE%20AL%20PLAN%20-%20SE%C3%91OR%20DE%20LOS%20MILAGROS?csf=1&amp;web=1&amp;e=DyYzlA" TargetMode="External"/><Relationship Id="rId424"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07_ORIENTACION%20ESTRATEGIA%20SDG?csf=1&amp;web=1&amp;e=zDRE8M" TargetMode="External"/><Relationship Id="rId63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15_CONCERTACION%20METODOLOGIA%20-%20PUEBLO%20RROM?csf=1&amp;web=1&amp;e=3fs8eM" TargetMode="External"/><Relationship Id="rId72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REUNIONES%20INDIVIDUALES/2024-06-18_COMITE%20META%20ASAMBLEAS%20DELIBERATIVAS?csf=1&amp;web=1&amp;e=H9ynOO" TargetMode="External"/><Relationship Id="rId1054"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UMAPAZ/2024-07-16_SESION%20EXTRAORDINARIA%20JULIO?csf=1&amp;web=1&amp;e=vdlKRH" TargetMode="External"/><Relationship Id="rId1261"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9_08_CONVOCATORIA%20TERRITORIAL%20AD%20-%20SAN%20CRIST%C3%93BAL?csf=1&amp;web=1&amp;e=VhnlFk" TargetMode="External"/><Relationship Id="rId93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7_GAE%20-%20SUROCCIDENTE%20ASOJUNTAS%20TINTAL?csf=1&amp;web=1&amp;e=KD5ftC" TargetMode="External"/><Relationship Id="rId1121" Type="http://schemas.openxmlformats.org/officeDocument/2006/relationships/hyperlink" Target="mailto:lbarreto@sdp.gov.co" TargetMode="External"/><Relationship Id="rId1219" Type="http://schemas.openxmlformats.org/officeDocument/2006/relationships/hyperlink" Target="https://teams.microsoft.com/l/meetup-join/19%3ameeting_NzFkY2UwOTUtNmI4My00NGJkLWI5NzMtMGI2N2NlNWRiZDdi%40thread.v2/0?context=%7b%22Tid%22%3a%22823ace76-f3f5-4396-9a3b-bb149c779beb%22%2c%22Oid%22%3a%226316b340-0d0c-4eaa-8aa6-fccc262ca404%22%7d" TargetMode="External"/><Relationship Id="rId65" Type="http://schemas.openxmlformats.org/officeDocument/2006/relationships/hyperlink" Target="https://drive.google.com/file/d/1svym7fKZE2Oehz0lauLprNWhnx2BsVqh/view?usp=sharing" TargetMode="External"/><Relationship Id="rId281"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LA%20CANDELARIA/2024-06-06_SESION%20JUNIO?csf=1&amp;web=1&amp;e=osHLcb" TargetMode="External"/><Relationship Id="rId141" Type="http://schemas.openxmlformats.org/officeDocument/2006/relationships/hyperlink" Target="https://meet.google.com/bub-tchw-ygj" TargetMode="External"/><Relationship Id="rId379" Type="http://schemas.openxmlformats.org/officeDocument/2006/relationships/hyperlink" Target="../../../../../../:f:/r/sites/DirecciondeParticipacionyComunicacionparalaPlaneacion/Documentos%20compartidos/PROCESOS_OPDC_VIGENCIA%202024-2027/PROCESOS_OPDC_2024/EVIDENCIAS%202024/AGENDA%20DE%20OTROS%20INSTRUMENTOS%20DE%20PLANEACI%C3%93N/POLITICA%20PUBLICA%20LGBTI/2024-05-25_GALA%20SERGIO%20URREGO?csf=1&amp;web=1&amp;e=cupfsO" TargetMode="External"/><Relationship Id="rId58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5-03_CONSULTORIO%20PDD-%20JORNADA%209%20-%20SALUD?csf=1&amp;web=1&amp;e=BInezz" TargetMode="External"/><Relationship Id="rId79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6_DIALOGO%20CIUDADANO%20-%20UPL%20TEUSAQUILLO?csf=1&amp;web=1&amp;e=4NTWJX" TargetMode="External"/><Relationship Id="rId7" Type="http://schemas.openxmlformats.org/officeDocument/2006/relationships/hyperlink" Target="https://drive.google.com/file/d/1d3X6W9BaFKNrXqKfyI3U1Wj1TDjlJZF9/view?usp=sharing" TargetMode="External"/><Relationship Id="rId239" Type="http://schemas.openxmlformats.org/officeDocument/2006/relationships/hyperlink" Target="http://meet.google.com/inv-juyh-gsz" TargetMode="External"/><Relationship Id="rId446"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1_REUNION%20DE%20SEGUIMIENTO%20VEEDURIA?csf=1&amp;web=1&amp;e=ETseOS" TargetMode="External"/><Relationship Id="rId65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7-27_DEVOLUCI%C3%93N%20PDD%20-%20SECTOR%20NORTE?csf=1&amp;web=1&amp;e=5g7teE" TargetMode="External"/><Relationship Id="rId1076"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7-18_COMITE%20MESA%20ASAMBLEA%20DELIBERATIVA?csf=1&amp;web=1&amp;e=WHDUr9" TargetMode="External"/><Relationship Id="rId1283"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PLAN%20DISTRITAL%20DE%20DESARROLLO/REUNIONES%20INDIVIDUALES/2024-09-10_SEGUIMIENTO%20SECTORIAL%20-%20SPT?csf=1&amp;web=1&amp;e=dylB03" TargetMode="External"/><Relationship Id="rId30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5-29_PLAN%20DE%20TRABAJO%20PARA%20ACCIONES%20AFIRMATIVAS%20COMUNIDAD%20NEGRA%20AFROCOLOMBIANA?csf=1&amp;web=1&amp;e=g11bJU" TargetMode="External"/><Relationship Id="rId860"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DESARROLLO%20REGIONAL/2024-03-22_SESI%C3%93N%20EXTRAORDINARIA%20COMISI%C3%93N%20DE%20DESARROLLO%20REGIONAL?csf=1&amp;web=1&amp;e=WNzA6u" TargetMode="External"/><Relationship Id="rId958" Type="http://schemas.openxmlformats.org/officeDocument/2006/relationships/hyperlink" Target="../../../../../../:f:/r/sites/DirecciondeParticipacionyComunicacionparalaPlaneacion/Documentos%20compartidos/PROCESOS_OPDC_VIGENCIA%202024-2027/PROCESOS_OPDC_2024/EVIDENCIAS%202024/GESTI%C3%93N%20DEL%20PIPC/PLANES%20DE%20DESARROLLO%20LOCAL/2024-06-25_TALLER%20IDPAC?csf=1&amp;web=1&amp;e=dy80Hn" TargetMode="External"/><Relationship Id="rId1143" Type="http://schemas.openxmlformats.org/officeDocument/2006/relationships/hyperlink" Target="mailto:lbarreto@sdp.gov.co" TargetMode="External"/><Relationship Id="rId87" Type="http://schemas.openxmlformats.org/officeDocument/2006/relationships/hyperlink" Target="http://meet.google.com/vaf-cyws-heo" TargetMode="External"/><Relationship Id="rId51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DE%20PARTICIPACI%C3%93N%20TERRITORIAL/SUBCOMISI%C3%93N%20SISTEMA%20DE%20PARTICIPACI%C3%93N%20TERRITORIAL/2024-06-07_2DA%20SUBCOMISION%20PERMANANTE%20DEL%20SPT?csf=1&amp;web=1&amp;e=ZrUkgc" TargetMode="External"/><Relationship Id="rId72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4_APLICACION%20CHATICO%20-%20RENDICION%20DE%20CUENTAS%20RUU?csf=1&amp;web=1&amp;e=lpYd0q" TargetMode="External"/><Relationship Id="rId818" Type="http://schemas.openxmlformats.org/officeDocument/2006/relationships/hyperlink" Target="../../../../../../:f:/r/sites/DirecciondeParticipacionyComunicacionparalaPlaneacion/Documentos%20compartidos/PROCESOS_OPDC_VIGENCIA%202024-2027/PROCESOS_OPDC_2024/EVIDENCIAS%202024/GESTI%C3%93N%20DEL%20PIPC/ESTRATIFICACION/2024-04-04_III%20REVISION%20DE%20ESTRATEGIA%20-%20%20DIRECCION%20DE%20ESTRATIFICACION?csf=1&amp;web=1&amp;e=t6bEgi" TargetMode="External"/><Relationship Id="rId1003"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DESARROLLO%20REGIONAL/2024-07-08_SESION%20ORDINARIA%20COMISION%20DESARROLLO%20REGIONAL%20CTPD?csf=1&amp;web=1&amp;e=HWstUW" TargetMode="External"/><Relationship Id="rId1210" Type="http://schemas.openxmlformats.org/officeDocument/2006/relationships/hyperlink" Target="https://sdpgovco.sharepoint.com/:f:/r/sites/DirecciondeParticipacionyComunicacionparalaPlaneacion/Documentos%20compartidos/PROCESOS_OPDC_VIGENCIA%202024-2027/PROCESOS_OPDC_2024/EVIDENCIAS%202024/GESTI%C3%93N%20DEL%20PIPC/ENCUESTA%20SISBEN/ENCUESTAS%20UPL/UPL%2024%20-%20CHAPINERO?csf=1&amp;web=1&amp;e=kE36wh" TargetMode="External"/><Relationship Id="rId1308"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PLENARIAS/2024-09-05_PLENARIA%20CTPD?csf=1&amp;web=1&amp;e=ZfDStf" TargetMode="External"/><Relationship Id="rId14" Type="http://schemas.openxmlformats.org/officeDocument/2006/relationships/hyperlink" Target="https://teams.microsoft.com/l/meetup-join/19%253ameeting_Y2M1OTI0YjctYTVhYy00YzIwLTliOTAtNjM0OWM0MDU4YWE1%2540thread.v2/0?context%3D%257b%2522Tid%2522%253a%252214de155f-e192-44da-994d-1913d8658372%2522%252c%2522Oid%2522%253a%25228c154e64-91aa-4adc-aec5-c44dffdd103d%2522%257d&amp;sa=D&amp;source=calendar&amp;usd=2&amp;usg=AOvVaw17EqF5cZLIcQDaU6N1ZBwM" TargetMode="External"/><Relationship Id="rId163" Type="http://schemas.openxmlformats.org/officeDocument/2006/relationships/hyperlink" Target="https://drive.google.com/file/d/10haiByv-VX_E0yI4rngQDlIoF8KQzlYB/view?usp=sharing" TargetMode="External"/><Relationship Id="rId37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CIUDAD%20BOLIVAR/2024-02-27_SESION%20FEBRERO?csf=1&amp;web=1&amp;e=NFfi4w" TargetMode="External"/><Relationship Id="rId230" Type="http://schemas.openxmlformats.org/officeDocument/2006/relationships/hyperlink" Target="https://meet.google.com/jpm-oaod-zts" TargetMode="External"/><Relationship Id="rId468"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AN%20CRISTOBAL/2024-03-14_SESION%20EXTRAORDINARIA%20MARZO?csf=1&amp;web=1&amp;e=UplTTO" TargetMode="External"/><Relationship Id="rId67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20KENNEDY?csf=1&amp;web=1&amp;e=L4docG" TargetMode="External"/><Relationship Id="rId882"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DESARROLLO%20REGIONAL/2024-03-29_SESI%C3%93N%20EXTRAORDINARIA%20DE%20LA%20COMISI%C3%93N%20DESARROLLO%20REGIONAL?csf=1&amp;web=1&amp;e=eugRqO" TargetMode="External"/><Relationship Id="rId1098"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AN%20CRISTOBAL/2024-07-22_SESION%20JULIO?csf=1&amp;web=1&amp;e=XVQgcP" TargetMode="External"/><Relationship Id="rId328"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1-24_PRESENTACION%20METODOLOGIA%20FORMULACION%20PDD?csf=1&amp;web=1&amp;e=PLKWZA" TargetMode="External"/><Relationship Id="rId53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REUNIONES%20CONCEJO/2024-05-14_REUNION%20CONCEJO%20-%20FORMULACION%20PDD?csf=1&amp;web=1&amp;e=zOlndu" TargetMode="External"/><Relationship Id="rId74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AEDA/2024-04-11_SOCIALIZACION%20DECRETO%20AEDA?csf=1&amp;web=1&amp;e=EEc5gY" TargetMode="External"/><Relationship Id="rId1165"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7-26_MESA%20SEGUIMIENTO%20AGORA%20METROPOLITANA?csf=1&amp;web=1&amp;e=nVndmb" TargetMode="External"/><Relationship Id="rId60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4-26_CONSULTORIO%20PDD-%20JORNADA%205%20-%20GOBIERNO?csf=1&amp;web=1&amp;e=nNc5Pq" TargetMode="External"/><Relationship Id="rId1025" Type="http://schemas.openxmlformats.org/officeDocument/2006/relationships/hyperlink" Target="https://teams.microsoft.com/l/meetup-join/19%3ameeting_ODlkOTY0Y2ItNDFlMy00MWRmLTk0OGUtYzE5NjM1YzM0NGJj%40thread.v2/0?context=%7b%22Tid%22%3a%22823ace76-f3f5-4396-9a3b-bb149c779beb%22%2c%22Oid%22%3a%226316b340-0d0c-4eaa-8aa6-fccc262ca404%22%7d" TargetMode="External"/><Relationship Id="rId1232"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COMISIONES/POBLACIONAL/2024-08-14_COMISI%C3%93N%20POBLACIONAL%20-%20CTPD?csf=1&amp;web=1&amp;e=P0jWwk" TargetMode="External"/><Relationship Id="rId90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4_GAE%20-%20LOCALIDAD%20KENNEDY?csf=1&amp;web=1&amp;e=QYQTZi" TargetMode="External"/><Relationship Id="rId36" Type="http://schemas.openxmlformats.org/officeDocument/2006/relationships/hyperlink" Target="https://drive.google.com/file/d/1ScHyFGTeoqj95rdtVAuzq9BsLtr56kkE/view" TargetMode="External"/><Relationship Id="rId185" Type="http://schemas.openxmlformats.org/officeDocument/2006/relationships/hyperlink" Target="https://meet.google.com/aar-cowq-nwv" TargetMode="External"/><Relationship Id="rId392"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3-01_PLENARIA%20ORDINARIA?csf=1&amp;web=1&amp;e=7XRxfu" TargetMode="External"/><Relationship Id="rId697"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KENNEDY/2024-04-17_SESION%20ABRIL?csf=1&amp;web=1&amp;e=vNBnN4" TargetMode="External"/><Relationship Id="rId252" Type="http://schemas.openxmlformats.org/officeDocument/2006/relationships/hyperlink" Target="http://meet.google.com/gtu-uouj-khd" TargetMode="External"/><Relationship Id="rId1187" Type="http://schemas.openxmlformats.org/officeDocument/2006/relationships/hyperlink" Target="https://acortar.link/E1FM1A" TargetMode="External"/><Relationship Id="rId112" Type="http://schemas.openxmlformats.org/officeDocument/2006/relationships/hyperlink" Target="https://drive.google.com/file/d/11f3Z2e8WTto9imCUjGShjY82BWOeKAKd/view?usp=sharing" TargetMode="External"/><Relationship Id="rId55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09_%20SESION%20DE%20CONCEJO%20-%20FORMULACION%20PDD?csf=1&amp;web=1&amp;e=fLueji" TargetMode="External"/><Relationship Id="rId76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09_PEDAGOGIA%20CHATICO-JAL%20KENNEDY?csf=1&amp;web=1&amp;e=BXfmfJ" TargetMode="External"/><Relationship Id="rId97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02_GAE%20-%20UPL%20SAN%20CRISTOBAL%20CPL?csf=1&amp;web=1&amp;e=dXwgTq" TargetMode="External"/><Relationship Id="rId417"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DE%20COORDINACION%20DEL%20PDD/2024-03-07_REUNION%20DE%20COMITE%20DE%20COORDINACION?csf=1&amp;web=1&amp;e=zC6mRT" TargetMode="External"/><Relationship Id="rId62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4-23_CONSULTORIO%20PDD-%20JORNADA%202%20-%20MOVILIDAD?csf=1&amp;web=1&amp;e=cz3Arn" TargetMode="External"/><Relationship Id="rId83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2_SECRETARIOS%20A%20LA%20CALLE?csf=1&amp;web=1&amp;e=dkabWJ" TargetMode="External"/><Relationship Id="rId104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12_GAE%20-%20SERCTOR%20NOROCCIDENTE%20UPL%20TIBABUYES?csf=1&amp;web=1&amp;e=QDBUeb" TargetMode="External"/><Relationship Id="rId1254"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4_CONVOCATORIA%20TERRITORIAL%20AD%20-%20PUENTE%20ARANDA?csf=1&amp;web=1&amp;e=SFV0Wn" TargetMode="External"/><Relationship Id="rId92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5_GAE%20-%20NOROCCIDENTE%20-%20ASOJUNTAS%20SUBA?csf=1&amp;web=1&amp;e=grN91y" TargetMode="External"/><Relationship Id="rId1114" Type="http://schemas.openxmlformats.org/officeDocument/2006/relationships/hyperlink" Target="mailto:lbarreto@sdp.gov.co" TargetMode="External"/><Relationship Id="rId58" Type="http://schemas.openxmlformats.org/officeDocument/2006/relationships/hyperlink" Target="https://meet.google.com/uca-qrxr-hwn" TargetMode="External"/><Relationship Id="rId27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CAMPIN%207%20DE%20AGOSTO/2024-06-08_RECORRIDO%20AE%20CAMPIN%207%20DE%20AGOSTO%20-%20SECTOR%20CAMPIN?csf=1&amp;web=1&amp;e=3UfTQu" TargetMode="External"/><Relationship Id="rId481"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ARTICIPACION/2024-05-20_COMISI%C3%93N%20DE%20PARTICIPACION-%20CTPD?csf=1&amp;web=1&amp;e=6DbHSI" TargetMode="External"/><Relationship Id="rId134" Type="http://schemas.openxmlformats.org/officeDocument/2006/relationships/hyperlink" Target="https://drive.google.com/file/d/1EkS5dsnimrblf17XPyiEDydl9daIHU9v/view?usp=sharing" TargetMode="External"/><Relationship Id="rId579"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5-03_SOCIALIZACION%20SPT%20A%20SUBDIRECCIONES%20TERRITORIALES?csf=1&amp;web=1&amp;e=0CvFxb" TargetMode="External"/><Relationship Id="rId78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7_DIALOGO%20CIUDADANO%20-UPL%20CERROS%20ORIENTALES%20-%20ALTOS%20DE%20SERREZUELA?csf=1&amp;web=1&amp;e=y84gLD" TargetMode="External"/><Relationship Id="rId993"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7-17_MESA%20DE%20SEGUIMIENTO%20AGORA%20METROPOLITANA?csf=1&amp;web=1&amp;e=MeApLz" TargetMode="External"/><Relationship Id="rId341" Type="http://schemas.openxmlformats.org/officeDocument/2006/relationships/hyperlink" Target="../../../../../../:f:/r/sites/DirecciondeParticipacionyComunicacionparalaPlaneacion/Documentos%20compartidos/PROCESOS_OPDC_VIGENCIA%202024-2027/PROCESOS_OPDC_2024/EVIDENCIAS%202024/AGENDA%20CON%20INSTANCIAS/CONSEJO%20TERRITORIAL%20DE%20PLANEACION%20NACIONAL/2024-02-09_CONVERSATORIO%20NACIONAL%201-%202024?csf=1&amp;web=1&amp;e=5ZEp2r" TargetMode="External"/><Relationship Id="rId43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09_DIALOGO%20CIUDADANO%20-%20UPL%20NIZA?csf=1&amp;web=1&amp;e=Bh8uHG" TargetMode="External"/><Relationship Id="rId646" Type="http://schemas.openxmlformats.org/officeDocument/2006/relationships/hyperlink" Target="../../../../../../:f:/r/sites/DirecciondeParticipacionyComunicacionparalaPlaneacion/Documentos%20compartidos/PROCESOS_OPDC_VIGENCIA%202024-2027/PROCESOS_OPDC_2024/EVIDENCIAS%202024/AGENDA%20CON%20INSTANCIAS/RED%20INSTITUCIONAL%20DE%20VEEDURIAS%20CIUDADANAS/2024-04-22_SESION%20RED%20INSTITUCIONAL%20DE%20VEEDURIAS%20CIUDADANAS?csf=1&amp;web=1&amp;e=DoPDBN" TargetMode="External"/><Relationship Id="rId1069"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7-18_PLENARIA%20ORDINARIA%20CTPD?csf=1&amp;web=1&amp;e=dqSdAM" TargetMode="External"/><Relationship Id="rId1276"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9-09_DEVOLUCI%C3%93N%20PDD%20TALLER%20NNA?csf=1&amp;web=1&amp;e=x5MgV5" TargetMode="External"/><Relationship Id="rId201" Type="http://schemas.openxmlformats.org/officeDocument/2006/relationships/hyperlink" Target="http://meet.google.com/uuj-qqse-fce" TargetMode="External"/><Relationship Id="rId50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1_SESI%C3%93N%20JAL%20SUMAPAZ?csf=1&amp;web=1&amp;e=c8hQNk" TargetMode="External"/><Relationship Id="rId85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21_REUNI%C3%93N%20%20ACNUR%20-MIGRANTES%20EN%20EL%20MARCO%20DE%20LA%20FORMULACI%C3%93N%20DEL%20PDD?csf=1&amp;web=1&amp;e=mq8mHL" TargetMode="External"/><Relationship Id="rId1136" Type="http://schemas.openxmlformats.org/officeDocument/2006/relationships/hyperlink" Target="mailto:lbarreto@sdp.gov.co" TargetMode="External"/><Relationship Id="rId713"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PUENTE%20ARANDA/2024-04-16_SESION%20ABRIL?csf=1&amp;web=1&amp;e=mKp24h" TargetMode="External"/><Relationship Id="rId92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4_LOCALIDAD%20USAQUEN%20JAC?csf=1&amp;web=1&amp;e=vA78yj" TargetMode="External"/><Relationship Id="rId1203"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ESCENARIOS%20INDIVIDUALES/2024-08-08_MESA%20DE%20P%C3%81RAMOS%20-%20MINISTERIO%20DE%20AMBIENTE?csf=1&amp;web=1&amp;e=26Bcaz" TargetMode="External"/><Relationship Id="rId296"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USME/2024-05-30_SESION%20MAYO?csf=1&amp;web=1&amp;e=PW53bv" TargetMode="External"/><Relationship Id="rId156" Type="http://schemas.openxmlformats.org/officeDocument/2006/relationships/hyperlink" Target="http://meet.google.com/jyg-ddyn-eko" TargetMode="External"/><Relationship Id="rId36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2-23_MESA%20PREPARATORIA%20CONCEJO%20-%20FORO%20JUVENTUD?csf=1&amp;web=1&amp;e=mRZM5Z" TargetMode="External"/><Relationship Id="rId57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FONTIBON/2024-05-07_SESION%20MAYO?csf=1&amp;web=1&amp;e=BNiixN" TargetMode="External"/><Relationship Id="rId223" Type="http://schemas.openxmlformats.org/officeDocument/2006/relationships/hyperlink" Target="http://meet.google.com/mbr-dfax-xdt" TargetMode="External"/><Relationship Id="rId43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07_DIALOGO%20CIUDADANO%20-%20UPL%20CENTRO%20HISTORICO?csf=1&amp;web=1&amp;e=Sx0W62" TargetMode="External"/><Relationship Id="rId66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ENGATIVA?csf=1&amp;web=1&amp;e=yBeAFf" TargetMode="External"/><Relationship Id="rId87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26_DIALOGO%20CIUDADANO%20-%20RECICLADORES?csf=1&amp;web=1&amp;e=EzOI5x" TargetMode="External"/><Relationship Id="rId106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17_GAE%20-%20UPL%20EDEN?csf=1&amp;web=1&amp;e=VrbiTa" TargetMode="External"/><Relationship Id="rId1298" Type="http://schemas.openxmlformats.org/officeDocument/2006/relationships/hyperlink" Target="https://sdpgovco.sharepoint.com/:f:/r/sites/DirecciondeParticipacionyComunicacionparalaPlaneacion/Documentos%20compartidos/PROCESOS_OPDC_VIGENCIA%202024-2027/PROCESOS_OPDC_2024/EVIDENCIAS%202024/AGENDA%20CON%20INSTANCIAS/CLIP%20-%20COMISIONES%20LOCALES%20INTERSECTORIALES%20DE%20PARTICIPACION/USAQU%C3%89N/2024-09-05_SESION%20SEPTIEMBRE?csf=1&amp;web=1&amp;e=m4F3f3" TargetMode="External"/><Relationship Id="rId528"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5_VI%20FORO%20VIRTUAL%20PDD%20-%20SERVIDORES?csf=1&amp;web=1&amp;e=fdvvhe" TargetMode="External"/><Relationship Id="rId73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6-20_SUBCOMITE%20ASAMBLEAS%20-%20CONVOCATORIA?csf=1&amp;web=1&amp;e=Ha3DKr" TargetMode="External"/><Relationship Id="rId94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REUNIONES%20INDIVIDUALES/2024-06-28_PEDAGOGICA%20DEL%20PDD%202024-2028_SECTOR%20SALUD?csf=1&amp;web=1&amp;e=qTe3AS" TargetMode="External"/><Relationship Id="rId1158"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32%20-%20TEUSAQUILLO?csf=1&amp;web=1&amp;e=66TsEZ" TargetMode="External"/><Relationship Id="rId1018" Type="http://schemas.openxmlformats.org/officeDocument/2006/relationships/hyperlink" Target="../../../../../../:f:/r/sites/DirecciondeParticipacionyComunicacionparalaPlaneacion/Documentos%20compartidos/PROCESOS_OPDC_VIGENCIA%202024-2027/PROCESOS_OPDC_2024/EVIDENCIAS%202024/AGENDA%20CON%20INSTANCIAS/MESA%20DE%20CULTURA%20CIUDADANA/2024-07-03_%20MESA%20DE%20CULTURA%20CIUDADANA?csf=1&amp;web=1&amp;e=TLEfTS" TargetMode="External"/><Relationship Id="rId1225"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8-27_MUJER%20DEVOLUCI%C3%93N%20PDD%20CONSEJO%20CONSULTIVO?csf=1&amp;web=1&amp;e=g5jwaK" TargetMode="External"/><Relationship Id="rId71" Type="http://schemas.openxmlformats.org/officeDocument/2006/relationships/hyperlink" Target="https://meet.google.com/kem-nyeq-ius" TargetMode="External"/><Relationship Id="rId802" Type="http://schemas.openxmlformats.org/officeDocument/2006/relationships/hyperlink" Target="../../../../../../:f:/r/sites/DirecciondeParticipacionyComunicacionparalaPlaneacion/Documentos%20compartidos/PROCESOS_OPDC_VIGENCIA%202024-2027/PROCESOS_OPDC_2024/EVIDENCIAS%202024/AGENDA%20DE%20OTROS%20INSTRUMENTOS%20DE%20PLANEACI%C3%93N/ECOURBANISMO%20Y%20CONSTRUCCION%20SOSTENIBLE/2024-03-19_SOCIALIZACION%20REGLAMENTACION?csf=1&amp;web=1&amp;e=zeR4Cy" TargetMode="External"/><Relationship Id="rId29" Type="http://schemas.openxmlformats.org/officeDocument/2006/relationships/hyperlink" Target="https://capacitacion.moodle.serviciocivil.gov.co/curso/2169" TargetMode="External"/><Relationship Id="rId178" Type="http://schemas.openxmlformats.org/officeDocument/2006/relationships/hyperlink" Target="https://drive.google.com/file/d/12bmKnpfoNKPZQe2tibvki4lbT1Jpvgmt/view?usp=sharing" TargetMode="External"/><Relationship Id="rId38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2-29_CAPACITACION%20INTERSECTORIAL%20FASE%20II?csf=1&amp;web=1&amp;e=QJ7tms" TargetMode="External"/><Relationship Id="rId59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ES%20PARCIALES%20DE%20RENOVACI%C3%93N%20URBANA/2024-04-30_SOCIALIZACION%20PPRU%20%E2%80%9CTEXTILIA%E2%80%9D?csf=1&amp;web=1&amp;e=d1jQ3W" TargetMode="External"/><Relationship Id="rId245" Type="http://schemas.openxmlformats.org/officeDocument/2006/relationships/hyperlink" Target="https://meet.google.com/ijr-yrtw-jbn" TargetMode="External"/><Relationship Id="rId452"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2_ARTICULACION%20SDS?csf=1&amp;web=1&amp;e=KcHFcl" TargetMode="External"/><Relationship Id="rId89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7-13_DEVOLUCION%20PDD%20ETNICA%20-%20RAIZAL?csf=1&amp;web=1&amp;e=yQFUjm" TargetMode="External"/><Relationship Id="rId108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18_ACT%20ACTORES%20CPL%20SANTA%20FE?csf=1&amp;web=1&amp;e=4Da1Ew" TargetMode="External"/><Relationship Id="rId105" Type="http://schemas.openxmlformats.org/officeDocument/2006/relationships/hyperlink" Target="https://teams.microsoft.com/l/meetup-join/19%3ameeting_NmNjOWZiM2UtMDU4ZC00ZmNiLWJiY2YtZGY2NDg2MzU0Nzgy%40thread.v2/0?context=%7b%22Tid%22%3a%2214de155f-e192-44da-994d" TargetMode="External"/><Relationship Id="rId31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_05_29_SESION%20DE%20CONCEJO%20-%20FORMULACION%20PDD%20-MA%C3%91ANA?csf=1&amp;web=1&amp;e=CEpYJG" TargetMode="External"/><Relationship Id="rId75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0_JORNADA%20PEGATE%20AL%20PLAN%20-%20%20KONRAD?csf=1&amp;web=1&amp;e=ovFyUl" TargetMode="External"/><Relationship Id="rId964"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CHAPINERO/2024-07-09_SESION%20JULIO?csf=1&amp;web=1&amp;e=dX0ha1" TargetMode="External"/><Relationship Id="rId93" Type="http://schemas.openxmlformats.org/officeDocument/2006/relationships/hyperlink" Target="https://drive.google.com/file/d/1qbX-l2oIcC78FvW0BUq7ar1iQtqqLbwn/view?usp=sharing" TargetMode="External"/><Relationship Id="rId61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4-24_SESION%20JAL%20-%20TEUSAQUILLO?csf=1&amp;web=1&amp;e=3OnM5G" TargetMode="External"/><Relationship Id="rId82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3_DIALOGO%20CIUDADANO%20-%20UPL%20PUENTE%20ARANDA?csf=1&amp;web=1&amp;e=a292hr" TargetMode="External"/><Relationship Id="rId1247"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COMISIONES/POT/2024-09-01_COMISI%C3%93N%20POT%20-%20CTPD?csf=1&amp;web=1&amp;e=RZxyix" TargetMode="External"/><Relationship Id="rId1107" Type="http://schemas.openxmlformats.org/officeDocument/2006/relationships/hyperlink" Target="mailto:lbarreto@sdp.gov.co" TargetMode="External"/><Relationship Id="rId1314" Type="http://schemas.openxmlformats.org/officeDocument/2006/relationships/hyperlink" Target="https://sdpgovco.sharepoint.com/:f:/r/sites/DirecciondeParticipacionyComunicacionparalaPlaneacion/Documentos%20compartidos/PROCESOS_OPDC_VIGENCIA%202024-2027/PROCESOS_OPDC_2024/EVIDENCIAS%202024/AGENDA%20CON%20INSTANCIAS/CLIP%20-%20COMISIONES%20LOCALES%20INTERSECTORIALES%20DE%20PARTICIPACION/CHAPINERO/2024-09-10_SESION%20SEPTIEMBRE?csf=1&amp;web=1&amp;e=bmLpWR" TargetMode="External"/><Relationship Id="rId20" Type="http://schemas.openxmlformats.org/officeDocument/2006/relationships/hyperlink" Target="http://meet.google.com/vok-reov-jsx" TargetMode="External"/><Relationship Id="rId26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CAMPIN%207%20DE%20AGOSTO/2024-06-14_II%20TALLER%20DE%20DIALOGO%20-%20AE%20CAMPIN%207%20DE%20AGOSTO?csf=1&amp;web=1&amp;e=z0SgIw" TargetMode="External"/><Relationship Id="rId47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21_%20SESION%20DE%20CONCEJO%20-%20FORMULACION%20PDD?csf=1&amp;web=1&amp;e=fNN50f" TargetMode="External"/><Relationship Id="rId127" Type="http://schemas.openxmlformats.org/officeDocument/2006/relationships/hyperlink" Target="https://meet.google.com/ypn-rvvz-hpm" TargetMode="External"/><Relationship Id="rId68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20-%20USME?csf=1&amp;web=1&amp;e=hrkaQG" TargetMode="External"/><Relationship Id="rId77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08_RUTA%20DE%20TRABAJO%20GRUPOS%20ETNICOS%20PDD?csf=1&amp;web=1&amp;e=q9qNA4" TargetMode="External"/><Relationship Id="rId986" Type="http://schemas.openxmlformats.org/officeDocument/2006/relationships/hyperlink" Target="https://teams.microsoft.com/l/meetup-join/19%3ameeting_YjBmZWJiMzEtYTQzYS00NzdjLWI4NDgtODM4OWM1OGIzMTEx%40thread.v2/0?context=%7b%22Tid%22%3a%22823ace76-f3f5-4396-9a3b-bb149c779beb%22%2c%22Oid%22%3a%226316b340-0d0c-4eaa-8aa6-fccc262ca404%22%7d" TargetMode="External"/><Relationship Id="rId334"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1-31_ACTIVACION%20ESCUELA%20DE%20PARTICIPACION?csf=1&amp;web=1&amp;e=xBPbiH" TargetMode="External"/><Relationship Id="rId54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5-14_CONSULTORIO%20PDD-%20JORNADA%2015%20-%20HABITAT?csf=1&amp;web=1&amp;e=mCAjaZ" TargetMode="External"/><Relationship Id="rId63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6_JORNADA%20PEGATE%20AL%20PLAN%20-%20ALIMENTARTE?csf=1&amp;web=1&amp;e=5Cu7OR" TargetMode="External"/><Relationship Id="rId1171" Type="http://schemas.openxmlformats.org/officeDocument/2006/relationships/hyperlink" Target="https://teams.microsoft.com/l/meetup-join/19:meeting_ZDA4NDAzMzAtMjE0My00ZGQ0LTgzMTAtYzAzYmZkNDFlNDEz@thread.v2/0?context=%7B%22Tid%22:%22823ace76-f3f5-4396-9a3b-bb149c779beb%22,%22Oid%22:%226316b340-0d0c-4eaa-8aa6-fccc262ca404%22%7D" TargetMode="External"/><Relationship Id="rId1269" Type="http://schemas.openxmlformats.org/officeDocument/2006/relationships/hyperlink" Target="https://sdpgovco.sharepoint.com/:f:/r/sites/DirecciondeParticipacionyComunicacionparalaPlaneacion/Documentos%20compartidos/PROCESOS_OPDC_VIGENCIA%202024-2027/PROCESOS_OPDC_2024/EVIDENCIAS%202024/GESTI%C3%93N%20DEL%20PIPC/SMART%20CITY/2024-08-29_SEGUIMIENTO%20SMART%20CITY%20EXPO?csf=1&amp;web=1&amp;e=hf0CIJ" TargetMode="External"/><Relationship Id="rId40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05_DIALOGO%20CIUDADANO%20-%20UPL%20LUCERO?csf=1&amp;web=1&amp;e=GAnInW" TargetMode="External"/><Relationship Id="rId846"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T/2024-03-20_SESION%20ORDINARIA%20-%20COMISION%20POT?csf=1&amp;web=1&amp;e=njsOAV" TargetMode="External"/><Relationship Id="rId103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7-11_CONSULTIVA%20NEGRA%20AFROCOLOMBIANA%20-%20AAF%20CATOGRAFIA?csf=1&amp;web=1&amp;e=cXraUk" TargetMode="External"/><Relationship Id="rId1129" Type="http://schemas.openxmlformats.org/officeDocument/2006/relationships/hyperlink" Target="mailto:lbarreto@sdp.gov.co" TargetMode="External"/><Relationship Id="rId706"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20ENGATIVA?csf=1&amp;web=1&amp;e=iY7SgR" TargetMode="External"/><Relationship Id="rId91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MONTEVIDEO/2024-07-05_DEVOLUCION%20AE%20MONTEVIDEO?csf=1&amp;web=1&amp;e=EImRmE" TargetMode="External"/><Relationship Id="rId42" Type="http://schemas.openxmlformats.org/officeDocument/2006/relationships/hyperlink" Target="https://drive.google.com/file/d/1DNcxKcM1Gt01-91pz4tfiMPnW3rnLNxn/view?usp=sharing" TargetMode="External"/><Relationship Id="rId191" Type="http://schemas.openxmlformats.org/officeDocument/2006/relationships/hyperlink" Target="https://us02web.zoom.us/j/83738175064" TargetMode="External"/><Relationship Id="rId289"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6-04_PLENARIA%20PERMANENTE?csf=1&amp;web=1&amp;e=M0mRpX" TargetMode="External"/><Relationship Id="rId49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14_CONCERTACION%20METODOLOGIA%20-%20INDIGENAS?csf=1&amp;web=1&amp;e=9eHCwQ" TargetMode="External"/><Relationship Id="rId149" Type="http://schemas.openxmlformats.org/officeDocument/2006/relationships/hyperlink" Target="https://meet.google.com/mge-zsxj-ivc" TargetMode="External"/><Relationship Id="rId356" Type="http://schemas.openxmlformats.org/officeDocument/2006/relationships/hyperlink" Target="../../../../../../:f:/r/sites/DirecciondeParticipacionyComunicacionparalaPlaneacion/Documentos%20compartidos/PROCESOS_OPDC_VIGENCIA%202024-2027/PROCESOS_OPDC_2024/EVIDENCIAS%202024/GESTI%C3%93N%20DEL%20PIPC/CTPD/2024-02-21_GESTION%20CURSO%20CTPD?csf=1&amp;web=1&amp;e=m61plE" TargetMode="External"/><Relationship Id="rId563" Type="http://schemas.openxmlformats.org/officeDocument/2006/relationships/hyperlink" Target="../../../../../../:f:/r/sites/DirecciondeParticipacionyComunicacionparalaPlaneacion/Documentos%20compartidos/PROCESOS_OPDC_VIGENCIA%202024-2027/PROCESOS_OPDC_2024/EVIDENCIAS%202024/AGENDA%20CON%20INSTANCIAS/ACOMPA%C3%91AMIENTO%20CTPD/MESAS%20DIRECTIVAS/2024-05-08_REUNION%20JUNTA%20DIRECTIVA%20-%20INCENTIVOS%20Y%20BOLSA%20LOGISTICA%20CTPD?csf=1&amp;web=1&amp;e=QBeBdO" TargetMode="External"/><Relationship Id="rId770" Type="http://schemas.openxmlformats.org/officeDocument/2006/relationships/hyperlink" Target="https://teams.microsoft.com/l/meetup-join/19%3ameeting_OGMxZmViZGYtMWFmNy00YTc1LWI5MzYtYjE0N2E4YjkxYzVj%40thread.v2/0?context=%7b%22Tid%22%3a%22823ace76-f3f5-4396-9a3b-bb149c779beb%22%2c%22Oid%22%3a%22a6e1cf2f-6898-4d40-a155-561d032d1282%22%7d" TargetMode="External"/><Relationship Id="rId1193"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FORMULACI%C3%93N%20DE%20AE/AEDA/2024-08-05_SESSI%C3%93N%20JAL%20KENNEDY%20-%20AE%20CHUCUA%20LA%20VACA?csf=1&amp;web=1&amp;e=SUGCCC" TargetMode="External"/><Relationship Id="rId216" Type="http://schemas.openxmlformats.org/officeDocument/2006/relationships/hyperlink" Target="http://meet.google.com/puu-xxep-ndo" TargetMode="External"/><Relationship Id="rId423"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07_SOCIALIZACION%20FASE%20II?csf=1&amp;web=1&amp;e=r5gjfe" TargetMode="External"/><Relationship Id="rId868"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DD/2024-03-24_MESAS%20DE%20TRABAJO%20PARA%20REDACCI%C3%93N%20Y%20CONSOLIDACI%C3%93N%20DEL%20CONCEPTO%20PDD?csf=1&amp;web=1&amp;e=eFqxZ9" TargetMode="External"/><Relationship Id="rId1053" Type="http://schemas.openxmlformats.org/officeDocument/2006/relationships/hyperlink" Target="../../../../../../:f:/r/sites/DirecciondeParticipacionyComunicacionparalaPlaneacion/Documentos%20compartidos/PROCESOS_OPDC_VIGENCIA%202024-2027/PROCESOS_OPDC_2024/EVIDENCIAS%202024/GESTI%C3%93N%20DEL%20PIPC/REUNIONES%20INDIVIDUALES/2024-07-12_REUNION%20SELLO%20DE%20IGUALDAD?csf=1&amp;web=1&amp;e=AIbME1" TargetMode="External"/><Relationship Id="rId1260"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8-06_CONVOCATORIA%20TERRITORIAL%20AD%20-%20CIUDAD%20BOL%C3%8DVAR?csf=1&amp;web=1&amp;e=lJkggP" TargetMode="External"/><Relationship Id="rId630" Type="http://schemas.openxmlformats.org/officeDocument/2006/relationships/hyperlink" Target="../../../../../../:f:/r/sites/DirecciondeParticipacionyComunicacionparalaPlaneacion/Documentos%20compartidos/PROCESOS_OPDC_VIGENCIA%202024-2027/PROCESOS_OPDC_2024/EVIDENCIAS%202024/AGENDA%20CON%20INSTANCIAS/MESA%20DE%20CULTURA%20CIUDADANA/2024-03-15_SESION%20-%20MESA%20DE%20CULTURA%20CIUDADANA?csf=1&amp;web=1&amp;e=sZa7KJ" TargetMode="External"/><Relationship Id="rId72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2_JORNADA%20PEGATE%20AL%20PLAN%20%20-%20MOVISTAR%20ARENA?csf=1&amp;web=1&amp;e=Zb6pzM" TargetMode="External"/><Relationship Id="rId93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7_GAE%20-%20SECTOR%20SUROCCIDENTAL%20UPL%20EL%20EDEN?csf=1&amp;web=1&amp;e=Bd4YPk" TargetMode="External"/><Relationship Id="rId64" Type="http://schemas.openxmlformats.org/officeDocument/2006/relationships/hyperlink" Target="https://meet.google.com/kxb-xfvs-kkh" TargetMode="External"/><Relationship Id="rId1120"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12%20-%20FONTIBON?csf=1&amp;web=1&amp;e=wsF2sP" TargetMode="External"/><Relationship Id="rId1218"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EVENTOS/2024-08-21_SEGUNDO%20ENCUENTRO%20DE%20CUIDADORES%20Y%20CUIDADORAS%20-%20CTPD?csf=1&amp;web=1&amp;e=05svBw" TargetMode="External"/><Relationship Id="rId434"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07_ARTICULACION%20SDP%20-%20SDG%20-%20ESTRATEGIA%20ETNICOS?csf=1&amp;web=1&amp;e=m31o2g" TargetMode="External"/><Relationship Id="rId64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7_JORNADA%20PEGATE%20AL%20PLAN%20-%20CONMEMORACION%20MUJER%20SUMAPACE%C3%91A?csf=1&amp;web=1&amp;e=ifpuBq" TargetMode="External"/><Relationship Id="rId73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1_III%20DIALOGO%20CIUDADANO%20%20-%20CONSULTIVA%20INDIGENA?csf=1&amp;web=1&amp;e=b0Mh7h" TargetMode="External"/><Relationship Id="rId1064"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7-17_COMITE%20PEDAGOGIA%20Y%20FORMACION%20ASAMBLEAS%20CIUDADANAS?csf=1&amp;web=1&amp;e=1VFqEw" TargetMode="External"/><Relationship Id="rId1271"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COMISIONES/PARTICIPACION/2024-08-30_COMISI%C3%93N%20DE%20PARTICIPACI%C3%93N%20-%20CTPD?csf=1&amp;web=1&amp;e=VpgUcg" TargetMode="External"/><Relationship Id="rId28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USAQU%C3%89N/2024-06-06_SESION%20JUNIO?csf=1&amp;web=1&amp;e=0RYo3g" TargetMode="External"/><Relationship Id="rId501"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6-13_PLENARIA%20PERMANENTE%20CTPD?csf=1&amp;web=1&amp;e=R5j5AR" TargetMode="External"/><Relationship Id="rId946" Type="http://schemas.openxmlformats.org/officeDocument/2006/relationships/hyperlink" Target="https://meet.google.com/bpe-gpth-esu" TargetMode="External"/><Relationship Id="rId1131" Type="http://schemas.openxmlformats.org/officeDocument/2006/relationships/hyperlink" Target="mailto:lbarreto@sdp.gov.co" TargetMode="External"/><Relationship Id="rId1229" Type="http://schemas.openxmlformats.org/officeDocument/2006/relationships/hyperlink" Target="https://teams.microsoft.com/l/meetup-join/19%3ameeting_NmNiNTgzNzItNDQ2My00YTFmLTkxNWEtYjdjY2E0NDg1MmE3%40thread.v2/0?context=%7b%22Tid%22%3a%22823ace76-f3f5-4396-9a3b-bb149c779beb%22%2c%22Oid%22%3a%226316b340-0d0c-4eaa-8aa6-fccc262ca404%22%7d" TargetMode="External"/><Relationship Id="rId75" Type="http://schemas.openxmlformats.org/officeDocument/2006/relationships/hyperlink" Target="https://meet.google.com/biv-jgdj-nsv?authuser=0" TargetMode="External"/><Relationship Id="rId140" Type="http://schemas.openxmlformats.org/officeDocument/2006/relationships/hyperlink" Target="http://meet.google.com/udc-eudz-sjf" TargetMode="External"/><Relationship Id="rId37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CAMPIN%207%20DE%20AGOSTO/2024-05-27_%20PRESIDENTES%20DE%20JAC%20-%20APP%20CAMPIN%20Y%20AE%20CAMPIN%207%20DE%20AGOSTO?csf=1&amp;web=1&amp;e=yIr6Gs" TargetMode="External"/><Relationship Id="rId58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03_SESION%20DE%20CONCEJO%20-%20FORMULACION%20PDD?csf=1&amp;web=1&amp;e=sHUjqX" TargetMode="External"/><Relationship Id="rId79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6_DIALOGO%20CIUDADANO%20POBLACIONAL%20-%20PUEBLO%20RAIZAL?csf=1&amp;web=1&amp;e=RamJQ2" TargetMode="External"/><Relationship Id="rId806" Type="http://schemas.openxmlformats.org/officeDocument/2006/relationships/hyperlink" Target="https://acortar.link/QmB19S" TargetMode="External"/><Relationship Id="rId6" Type="http://schemas.openxmlformats.org/officeDocument/2006/relationships/hyperlink" Target="https://drive.google.com/file/d/1zQTYHTfJpZ61zZnMGKVsLUec7YSarSHN/view?usp=sharing" TargetMode="External"/><Relationship Id="rId238" Type="http://schemas.openxmlformats.org/officeDocument/2006/relationships/hyperlink" Target="https://drive.google.com/file/d/1qCwv0Nr6JQmqjwqtrlUwRehdomOkG74K/view?usp=sharing" TargetMode="External"/><Relationship Id="rId445"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RAFAEL%20URIBE%20URIBE/2024-03-11_SESION%20EXTRAORDINARIA%20MARZO?csf=1&amp;web=1&amp;e=YFAhK3" TargetMode="External"/><Relationship Id="rId652"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ARTICIPACION/2024-04-19_COMISION%20DE%20PARTICIPACION%20-%20CTPD?csf=1&amp;web=1&amp;e=w6qDul" TargetMode="External"/><Relationship Id="rId107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NERALIDADES%20POT/2024-07-22_RESERVAS%20POT%20UPL%20-%20PARTICIPACION?csf=1&amp;web=1&amp;e=JVuF2Q" TargetMode="External"/><Relationship Id="rId1282"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DE%20COORDINACION%20DEL%20PDD/2024-09-02_SESION%20DEL%20COMIT%C3%89%20INTERSECTORIAL%20DEL%20PDD?csf=1&amp;web=1&amp;e=kUUVXa" TargetMode="External"/><Relationship Id="rId291"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ANTA%20FE/2024-06-04_SESION%20JUNIO?csf=1&amp;web=1&amp;e=lcf3yp" TargetMode="External"/><Relationship Id="rId305" Type="http://schemas.openxmlformats.org/officeDocument/2006/relationships/hyperlink" Target="../../../../../../:f:/r/sites/DirecciondeParticipacionyComunicacionparalaPlaneacion/Documentos%20compartidos/PROCESOS_OPDC_VIGENCIA%202024-2027/PROCESOS_OPDC_2024/EVIDENCIAS%202024/AGENDA%20CON%20INSTANCIAS/ACOMPA%C3%91AMIENTO%20CTPD/MESAS%20DIRECTIVAS/2024-05-29_MESA%20DIRECTIVA%20CTPD?csf=1&amp;web=1&amp;e=2lCA2h" TargetMode="External"/><Relationship Id="rId512"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5-17_PROPUESTA%20DE%20ASAMBLEA%20DELIBERATIVA%20METROPOLITANA%20-%20AGORA?csf=1&amp;web=1&amp;e=QhbzEE" TargetMode="External"/><Relationship Id="rId95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7_GAE%20-%20JAC%20UPL%20KENNEDY?csf=1&amp;web=1&amp;e=ESLLLc" TargetMode="External"/><Relationship Id="rId1142" Type="http://schemas.openxmlformats.org/officeDocument/2006/relationships/hyperlink" Target="mailto:lbarreto@sdp.gov.co" TargetMode="External"/><Relationship Id="rId86" Type="http://schemas.openxmlformats.org/officeDocument/2006/relationships/hyperlink" Target="https://drive.google.com/file/d/1P27bbCStNJHor-eeeLgjp40iY7n-86rG/view?usp=sharing" TargetMode="External"/><Relationship Id="rId151" Type="http://schemas.openxmlformats.org/officeDocument/2006/relationships/hyperlink" Target="https://meet.google.com/kqw-wtxz-fke" TargetMode="External"/><Relationship Id="rId389" Type="http://schemas.openxmlformats.org/officeDocument/2006/relationships/hyperlink" Target="../../../../../../:f:/r/sites/DirecciondeParticipacionyComunicacionparalaPlaneacion/Documentos%20compartidos/PROCESOS_OPDC_VIGENCIA%202024-2027/PROCESOS_OPDC_2024/EVIDENCIAS%202024/AGENDA%20CON%20INSTANCIAS/RED%20INSTITUCIONAL%20DE%20VEEDURIAS%20CIUDADANAS/2024-02-29_SESION%20FEBRERO?csf=1&amp;web=1&amp;e=zmtFqs" TargetMode="External"/><Relationship Id="rId596" Type="http://schemas.openxmlformats.org/officeDocument/2006/relationships/hyperlink" Target="../../../../../../:f:/r/sites/DirecciondeParticipacionyComunicacionparalaPlaneacion/Documentos%20compartidos/PROCESOS_OPDC_VIGENCIA%202024-2027/PROCESOS_OPDC_2024/EVIDENCIAS%202024/GESTI%C3%93N%20DEL%20PIPC/PLAN%20MAESTRO%20DEL%20SISTEMA%20DE%20CUIDADO/2024-04-30_GESTION_%20ESTRATEGIA%20DE%20PARTICIPACI%C3%93N?csf=1&amp;web=1&amp;e=S6mQRj" TargetMode="External"/><Relationship Id="rId81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4_ENCUENTRO%20ESTRATEGICO%20-JUVENTUD%20BOGOTA%20CALI?csf=1&amp;web=1&amp;e=LDjkoy" TargetMode="External"/><Relationship Id="rId1002" Type="http://schemas.openxmlformats.org/officeDocument/2006/relationships/hyperlink" Target="https://teams.microsoft.com/l/meetup-join/19%3ameeting_Y2VmOTgwYTQtMDEwZC00MjAzLTkwNmItNWU0ZjkzZjAyZDY5%40thread.v2/0?context=%7b%22Tid%22%3a%22823ace76-f3f5-4396-9a3b-bb149c779beb%22%2c%22Oid%22%3a%226316b340-0d0c-4eaa-8aa6-fccc262ca404%22%7d" TargetMode="External"/><Relationship Id="rId249" Type="http://schemas.openxmlformats.org/officeDocument/2006/relationships/hyperlink" Target="https://meet.google.com/ret-cpra-xdo" TargetMode="External"/><Relationship Id="rId456"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3-12_PLENARIA%20PERMANENTE?csf=1&amp;web=1&amp;e=Vejiu2" TargetMode="External"/><Relationship Id="rId66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20_AUDIENCIA%20PPI%20RIO%20SUMAPAZ?csf=1&amp;web=1&amp;e=5PwUWX" TargetMode="External"/><Relationship Id="rId870"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DD/2024-03-25_COMISI%C3%93N%20ACCIDENTAL%20REDACTORA%20CONCEPTO%20PDD?csf=1&amp;web=1&amp;e=BxdsMd" TargetMode="External"/><Relationship Id="rId108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22_ACT%20ACTORES%20-%20COPACOS%20BARRIOS%20UNIDOS?csf=1&amp;web=1&amp;e=63g5Qp" TargetMode="External"/><Relationship Id="rId1293" Type="http://schemas.openxmlformats.org/officeDocument/2006/relationships/hyperlink" Target="https://teams.microsoft.com/l/meetup-join/19%3ameeting_NDVmYzc1ZWMtN2JjYy00OTVjLWIwODItOWU2M2QyMmZjYTVj%40thread.v2/0?context=%7b%22Tid%22%3a%220f1156f1-406d-4123-99f0-a976b835b9b6%22%2c%22Oid%22%3a%225414a45e-1449-4b28-8da1-369ff192446e%22%7d" TargetMode="External"/><Relationship Id="rId1307" Type="http://schemas.openxmlformats.org/officeDocument/2006/relationships/hyperlink" Target="https://teams.microsoft.com/l/meetup-join/19%3ameeting_YWNlYWQ2NWMtZTQxMS00ZDlhLWFlNzctNWVkMzZlZmRjZjBj%40thread.v2/0?context=%7b%22Tid%22%3a%22823ace76-f3f5-4396-9a3b-bb149c779beb%22%2c%22Oid%22%3a%226316b340-0d0c-4eaa-8aa6-fccc262ca404%22%7d" TargetMode="External"/><Relationship Id="rId13" Type="http://schemas.openxmlformats.org/officeDocument/2006/relationships/hyperlink" Target="http://meet.google.com/bpv-cehg-wwa" TargetMode="External"/><Relationship Id="rId109" Type="http://schemas.openxmlformats.org/officeDocument/2006/relationships/hyperlink" Target="https://meet.google.com/ybo-enew-ghp?hs=224" TargetMode="External"/><Relationship Id="rId316" Type="http://schemas.openxmlformats.org/officeDocument/2006/relationships/hyperlink" Target="../../../../../../:f:/r/sites/DirecciondeParticipacionyComunicacionparalaPlaneacion/Documentos%20compartidos/PROCESOS_OPDC_VIGENCIA%202024-2027/PROCESOS_OPDC_2024/EVIDENCIAS%202024/AGENDA%20CON%20INSTANCIAS/ACOMPA%C3%91AMIENTO%20CTPD/MESAS%20DIRECTIVAS/2024-05-28_JUNTA%20DIRECTIVA%20CTPD?csf=1&amp;web=1&amp;e=RmXzBd" TargetMode="External"/><Relationship Id="rId523"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5-16_GESTI%C3%93N%20-%20CAPACITACION%20-%20CATEGORIZACION%20PROPUESTAS%20ABIERTAS%20PDD?csf=1&amp;web=1&amp;e=tgVv0b" TargetMode="External"/><Relationship Id="rId96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9_REACTIVACION%20DE%20ACTORES?csf=1&amp;web=1&amp;e=8TGlaD" TargetMode="External"/><Relationship Id="rId1153" Type="http://schemas.openxmlformats.org/officeDocument/2006/relationships/hyperlink" Target="mailto:lbarreto@sdp.gov.co" TargetMode="External"/><Relationship Id="rId97" Type="http://schemas.openxmlformats.org/officeDocument/2006/relationships/hyperlink" Target="https://meet.google.com/bwk-stwo-xnn" TargetMode="External"/><Relationship Id="rId73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2_JORNADA%20PEGATE%20AL%20PLAN%20%20-%20ALCALDIA%20TEUSAQUILLO?csf=1&amp;web=1&amp;e=GAOcyA" TargetMode="External"/><Relationship Id="rId82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3_I%20DIALOGO%20CIUDADANO%20POBLACIONAL%20-%20CONSULTIVA%20INDIGENA?csf=1&amp;web=1&amp;e=isweRs" TargetMode="External"/><Relationship Id="rId1013" Type="http://schemas.openxmlformats.org/officeDocument/2006/relationships/hyperlink" Target="https://teams.microsoft.com/l/meetup-join/19%3ameeting_ODc2Njk1NGEtZDY5Zi00MmYzLTg4NjUtODIzNmI0OTRlNDc5%40thread.v2/0?context=%7b%22Tid%22%3a%22823ace76-f3f5-4396-9a3b-bb149c779beb%22%2c%22Oid%22%3a%22930ed79c-75e6-4bc9-a7bb-e8f45bbb479c%22%7d" TargetMode="External"/><Relationship Id="rId162" Type="http://schemas.openxmlformats.org/officeDocument/2006/relationships/hyperlink" Target="https://drive.google.com/file/d/1KTMY5kH7Ds-RZ4XgQkNBbTbKHsiWfCOg/view?usp=sharing" TargetMode="External"/><Relationship Id="rId467"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BLACIONAL/2024-03-13_COMISI%C3%93N%20%20POBLACIONAL?csf=1&amp;web=1&amp;e=u6tLmx" TargetMode="External"/><Relationship Id="rId1097" Type="http://schemas.openxmlformats.org/officeDocument/2006/relationships/hyperlink" Target="https://teams.microsoft.com/v2/?meetingjoin=true" TargetMode="External"/><Relationship Id="rId1220"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MESAS%20DIRECTIVAS/2024-08-22_SESI%C3%93N%20ORDINARIA%20MESA%20DIRECTIVA%20-%20CTPD?csf=1&amp;web=1&amp;e=g51KXX" TargetMode="External"/><Relationship Id="rId67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20SUBA?csf=1&amp;web=1&amp;e=oBVxrs" TargetMode="External"/><Relationship Id="rId881"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BLACIONAL/2024-03-29_COMISI%C3%93N%20EXTRAORDINARIA%20POBLACIONAL?csf=1&amp;web=1&amp;e=c4huYc" TargetMode="External"/><Relationship Id="rId979"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RAFAEL%20URIBE%20URIBE/2024-07-03_SESION%20JULIO?csf=1&amp;web=1&amp;e=FLEjmt" TargetMode="External"/><Relationship Id="rId24" Type="http://schemas.openxmlformats.org/officeDocument/2006/relationships/hyperlink" Target="https://meet.google.com/nvi-bsrm-eda" TargetMode="External"/><Relationship Id="rId327"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1-23_REUNION%20INTERSECTORIAL%20CON%20GOBIERNO?csf=1&amp;web=1&amp;e=1O4cdy" TargetMode="External"/><Relationship Id="rId534" Type="http://schemas.openxmlformats.org/officeDocument/2006/relationships/hyperlink" Target="../../../../../../:f:/r/sites/DirecciondeParticipacionyComunicacionparalaPlaneacion/Documentos%20compartidos/PROCESOS_OPDC_VIGENCIA%202024-2027/PROCESOS_OPDC_2024/EVIDENCIAS%202024/AGENDA%20CON%20INSTANCIAS/ACOMPA%C3%91AMIENTO%20CTPD/REUNIONES%20INDIVIDUALES/2024-05-14_REUNION%20VICEPRESIDENTE%20DEL%20CTPD?csf=1&amp;web=1&amp;e=Uy9SWa" TargetMode="External"/><Relationship Id="rId74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ZIBO/2024-06-20_EXPOSICI%C3%93N%20DE%20RADICACI%C3%93N%20-%20FORMULACI%C3%93N%20AE%20ZIBO?csf=1&amp;web=1&amp;e=8Ss6Y8" TargetMode="External"/><Relationship Id="rId83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1_DIALOGO%20CIUDADANO%20-%20UPL%20TORCA?csf=1&amp;web=1&amp;e=3PfyDv" TargetMode="External"/><Relationship Id="rId1164" Type="http://schemas.openxmlformats.org/officeDocument/2006/relationships/hyperlink" Target="../../../../../../:f:/r/sites/DirecciondeParticipacionyComunicacionparalaPlaneacion/Documentos%20compartidos/PROCESOS_OPDC_VIGENCIA%202024-2027/PROCESOS_OPDC_2024/EVIDENCIAS%202024/GESTI%C3%93N%20DEL%20PIPC/PLANES%20DE%20DESARROLLO%20LOCAL/2024-07-29_MESA%20DE%20TRABAJO%20-%20MEDIOS%20COMU%20Y%20ALTERNA?csf=1&amp;web=1&amp;e=RbCBIW" TargetMode="External"/><Relationship Id="rId173" Type="http://schemas.openxmlformats.org/officeDocument/2006/relationships/hyperlink" Target="https://drive.google.com/file/d/10wg0SW2jRU5YDmgtSaUMo5XnlEWmIfsj/view?usp=sharing" TargetMode="External"/><Relationship Id="rId380" Type="http://schemas.openxmlformats.org/officeDocument/2006/relationships/hyperlink" Target="../../../../../../:f:/r/sites/DirecciondeParticipacionyComunicacionparalaPlaneacion/Documentos%20compartidos/PROCESOS_OPDC_VIGENCIA%202024-2027/PROCESOS_OPDC_2024/EVIDENCIAS%202024/AGENDA%20CON%20INSTANCIAS/ACOMPA%C3%91AMIENTO%20CTPD/EVENTOS/2024-02-27_INSTALACION%20CTPD?csf=1&amp;web=1&amp;e=N2ckXp" TargetMode="External"/><Relationship Id="rId60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4-26_SESION%20-%20JAL%20TEUSAQUILLO?csf=1&amp;web=1&amp;e=61z86v" TargetMode="External"/><Relationship Id="rId102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16_GAE%20-%20LOC%20USAQUEN%20COLEV?csf=1&amp;web=1&amp;e=lHewgY" TargetMode="External"/><Relationship Id="rId1231" Type="http://schemas.openxmlformats.org/officeDocument/2006/relationships/hyperlink" Target="https://teams.microsoft.com/l/meetup-join/19%3ameeting_NDQ0ODU4MTktZWU3Mi00MWRiLWJjMWYtOGY4MzgxZGM4ZDBm%40thread.v2/0?context=%7b%22Tid%22%3a%22823ace76-f3f5-4396-9a3b-bb149c779beb%22%2c%22Oid%22%3a%226316b340-0d0c-4eaa-8aa6-fccc262ca404%22%7d" TargetMode="External"/><Relationship Id="rId240" Type="http://schemas.openxmlformats.org/officeDocument/2006/relationships/hyperlink" Target="https://teams.microsoft.com/l/meetup-join/19%3ameeting_NGJlYjM2ZjItNjM1ZS00NzU4LWJhMzctYmM1MzBkZDA2Zjk5%40thread.v2/0?context=%7b%22Tid%22%3a%220f1156f1-406d-4123-99f0-a976b835b9b6%22%2c%22Oid%22%3a%2228e5563c-fcfc-4492-9b8f-d9bf0268da71%22%7d" TargetMode="External"/><Relationship Id="rId478" Type="http://schemas.openxmlformats.org/officeDocument/2006/relationships/hyperlink" Target="../../../../../../:f:/r/sites/DirecciondeParticipacionyComunicacionparalaPlaneacion/Documentos%20compartidos/PROCESOS_OPDC_VIGENCIA%202024-2027/PROCESOS_OPDC_2024/EVIDENCIAS%202024/GESTI%C3%93N%20DEL%20PIPC/SMART%20CITY/2024-05-21_APUESTAS%20II%20SMART%20CITY?csf=1&amp;web=1&amp;e=C3StTd" TargetMode="External"/><Relationship Id="rId685"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6-18_PREPARATORIA%20EQUIPO%20SUR%20OCCIDENTE?csf=1&amp;web=1&amp;e=0WYdKO" TargetMode="External"/><Relationship Id="rId89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0_GAE%20-%20LOCALIDAD%20USAQUEN?csf=1&amp;web=1&amp;e=RlUt81" TargetMode="External"/><Relationship Id="rId90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6-22_SESION%20JAL%20TUNJUELITO?csf=1&amp;web=1&amp;e=KYGaVr" TargetMode="External"/><Relationship Id="rId35" Type="http://schemas.openxmlformats.org/officeDocument/2006/relationships/hyperlink" Target="http://teams.microsoft.com/" TargetMode="External"/><Relationship Id="rId100" Type="http://schemas.openxmlformats.org/officeDocument/2006/relationships/hyperlink" Target="https://meet.google.com/qjx-kjcd-guf" TargetMode="External"/><Relationship Id="rId338"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2-05_REUNION%20INTERINSTITUCIONAL%20ESTRATEGIA%20PDD?csf=1&amp;web=1&amp;e=Lcm1Bg" TargetMode="External"/><Relationship Id="rId54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2024-06-19_REUNI%C3%93N%20INTERSECTORIAL%20SECRETAR%C3%8DA%20GENERAL%20Y%20LA%20SECRETARIA%20DE%20GOBIERNO?csf=1&amp;web=1&amp;e=MGPisY" TargetMode="External"/><Relationship Id="rId752" Type="http://schemas.openxmlformats.org/officeDocument/2006/relationships/hyperlink" Target="https://acortar.link/aVZfJ7" TargetMode="External"/><Relationship Id="rId1175" Type="http://schemas.openxmlformats.org/officeDocument/2006/relationships/hyperlink" Target="../../../../../../:f:/r/sites/DirecciondeParticipacionyComunicacionparalaPlaneacion/Documentos%20compartidos/PROCESOS_OPDC_VIGENCIA%202024-2027/PROCESOS_OPDC_2024/EVIDENCIAS%202024/AGENDA%20CON%20INSTANCIAS/ACOMPA%C3%91AMIENTO%20CTPD/MESAS%20Y%20COMIT%C3%89S%20T%C3%89CNICOS/2024-07-29_COMITE%20TECNICO%20CTPD?csf=1&amp;web=1&amp;e=FvbtXR" TargetMode="External"/><Relationship Id="rId184" Type="http://schemas.openxmlformats.org/officeDocument/2006/relationships/hyperlink" Target="https://meet.google.com/wfp-atyi-rqq" TargetMode="External"/><Relationship Id="rId39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01_PRESENTACI%C3%93N%20DE%20LA%20ESTRATEGIA%20DE%20PARTICIPACI%C3%93N%20DEL%20PDD%20AL%20CCPH?csf=1&amp;web=1&amp;e=spr1xx" TargetMode="External"/><Relationship Id="rId405"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3-05_PLENARIA%20CTPD?csf=1&amp;web=1&amp;e=Ciucgh" TargetMode="External"/><Relationship Id="rId61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24_GESTION_%20SOCIALIZACION%20AFO%20-%20RAFAEL%20URIBE%20PDD?csf=1&amp;web=1&amp;e=x4GpM6" TargetMode="External"/><Relationship Id="rId1035" Type="http://schemas.openxmlformats.org/officeDocument/2006/relationships/hyperlink" Target="../../../../../../:f:/r/sites/DirecciondeParticipacionyComunicacionparalaPlaneacion/Documentos%20compartidos/PROCESOS_OPDC_VIGENCIA%202024-2027/PROCESOS_OPDC_2024/EVIDENCIAS%202024/AGENDA%20CON%20INSTANCIAS/ACOMPA%C3%91AMIENTO%20CTPD/REUNIONES%20INDIVIDUALES/2024-07-11_CONSEJO%20DISTRITAL%20VENDEDORES%20INFORMALES%20-%20CTPD%20-%20ED?csf=1&amp;web=1&amp;e=07oKSY" TargetMode="External"/><Relationship Id="rId1242"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8-30_CONVOCATORIA%20TERRITORIAL%20AD%20-%20TEUSAQUILLO?csf=1&amp;web=1&amp;e=UQZgdr" TargetMode="External"/><Relationship Id="rId251" Type="http://schemas.openxmlformats.org/officeDocument/2006/relationships/hyperlink" Target="https://teams.microsoft.com/l/meetup-join/19%3ameeting_MDg3M2VlNGUtZTE3Ni00MzBlLWIzNTAtNmYzYTg0MzUzNmQ4%40thread.v2/0?context=%7b%22Tid%22%3a%2214de155f-e192-44da-994d-1913d8658372%22%2c%22Oid%22%3a%22f555f17c-d2af-4840-b055-999507699c5a%22%7d" TargetMode="External"/><Relationship Id="rId48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AEDA/2024-06-17_SOCIALIZACION%20AEDA?csf=1&amp;web=1&amp;e=F1e1vV" TargetMode="External"/><Relationship Id="rId69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4-17_COMITE%20DE%20PARTICIPACION%20CIUDADANA%20-%20PROYECTO%20PORVENIR%20GIBRALTAR?csf=1&amp;web=1&amp;e=FaVX8f" TargetMode="External"/><Relationship Id="rId917"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ANTA%20FE/2024-07-02_SESION%20JULIO?csf=1&amp;web=1&amp;e=uUxgRT" TargetMode="External"/><Relationship Id="rId1102"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3%20-%20ARBORIZADORA?csf=1&amp;web=1&amp;e=Uu7SvN" TargetMode="External"/><Relationship Id="rId46" Type="http://schemas.openxmlformats.org/officeDocument/2006/relationships/hyperlink" Target="https://drive.google.com/file/d/1fbqBXhTFPNj0wujQYY28zYl5lmyLtnUV/view?usp=sharing" TargetMode="External"/><Relationship Id="rId34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2-14_SOCIALIZACION%20ESTRATEGIA%20-%20COMITE%20TECNICO%20DISTRITAL%20DE%20DISCAPACIDAD?csf=1&amp;web=1&amp;e=5NYTiM" TargetMode="External"/><Relationship Id="rId556"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BARRIOS%20UNIDOS/2024-05-09_SESION%20MAYO?csf=1&amp;web=1&amp;e=zZl9s2" TargetMode="External"/><Relationship Id="rId76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9_TALLER%20PDD%20CON%20VEEDURIAS%20CIUDADANAS?csf=1&amp;web=1&amp;e=Q8HkHY" TargetMode="External"/><Relationship Id="rId1186" Type="http://schemas.openxmlformats.org/officeDocument/2006/relationships/hyperlink" Target="https://acortar.link/WmyZ1u" TargetMode="External"/><Relationship Id="rId111" Type="http://schemas.openxmlformats.org/officeDocument/2006/relationships/hyperlink" Target="https://drive.google.com/file/d/1Y_roRa1bPOJ-sapJEPu3VoUySeZRk3xi/view?usp=sharing" TargetMode="External"/><Relationship Id="rId195" Type="http://schemas.openxmlformats.org/officeDocument/2006/relationships/hyperlink" Target="https://drive.google.com/file/d/1YFBOvx9nS5c4Bnb8dV9awBSdj2QGlkYm/view?usp=sharing" TargetMode="External"/><Relationship Id="rId209" Type="http://schemas.openxmlformats.org/officeDocument/2006/relationships/hyperlink" Target="https://drive.google.com/file/d/1iNhX3xmcLZ8sbZPiUse_bffqQTWWCsfY/view?usp=sharing" TargetMode="External"/><Relationship Id="rId416"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5-24_COMITE%20COORDINADOR%20-%20ASAMBLEAS%20CIUDADANAS?csf=1&amp;web=1&amp;e=M04Nvb" TargetMode="External"/><Relationship Id="rId970"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7-02_COMITE%20DE%20CONVOCATORIA%20PARA%20A%20CIUDADANAS?csf=1&amp;web=1&amp;e=5QJb58" TargetMode="External"/><Relationship Id="rId104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ESPECIAL%20DE%20MANEJO%20Y%20PROTECCION/2024-07-17_CONFORMACION%20CUPI?csf=1&amp;web=1&amp;e=KU1Uhd" TargetMode="External"/><Relationship Id="rId1253"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4_CONVOCATORIA%20TERRITORIAL%20AD%20-%20FONTIB%C3%93N?csf=1&amp;web=1&amp;e=g5LfT5" TargetMode="External"/><Relationship Id="rId62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NERALIDADES%20POT/2024-04-23_CAPACITACION%20POT-%20JAL%20%20KENNEDY?csf=1&amp;web=1&amp;e=9ZfuTh" TargetMode="External"/><Relationship Id="rId830"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DE%20COORDINACION%20DEL%20PDD/2024-04-03_COMITE%20COORDINADOR%20INTERSECTORIAL%20DE%20PARTICIPACION%20PDD?csf=1&amp;web=1&amp;e=he2tNr" TargetMode="External"/><Relationship Id="rId92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6_GAE%20-%20LOCALIDAD%20PORVENIR%20JAC?csf=1&amp;web=1&amp;e=qsvEJn" TargetMode="External"/><Relationship Id="rId57" Type="http://schemas.openxmlformats.org/officeDocument/2006/relationships/hyperlink" Target="https://drive.google.com/file/d/1N8cHkwopb2dR0tcPgjr-eaT70HKrVEEQ/view?usp=sharing" TargetMode="External"/><Relationship Id="rId262" Type="http://schemas.openxmlformats.org/officeDocument/2006/relationships/hyperlink" Target="../../../../../../:f:/r/sites/DirecciondeParticipacionyComunicacionparalaPlaneacion/Documentos%20compartidos/PROCESOS_OPDC_VIGENCIA%202024-2027/PROCESOS_OPDC_2024/EVIDENCIAS%202024/AGENDA%20DE%20OTROS%20INSTRUMENTOS%20DE%20PLANEACI%C3%93N/POLITICA%20PUBLICA%20LGBTI/2024-06-28_ESCUELA%20NACIONAL%20LEON%20ZULETA?csf=1&amp;web=1&amp;e=IyVAiC" TargetMode="External"/><Relationship Id="rId56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5-08_CONSULTORIO%20PDD-%20JORNADA%2012%20-%20CULTURA?csf=1&amp;web=1&amp;e=0AOVJ3" TargetMode="External"/><Relationship Id="rId1113"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9%20-%20SUBA?csf=1&amp;web=1&amp;e=QCpitL" TargetMode="External"/><Relationship Id="rId1197" Type="http://schemas.openxmlformats.org/officeDocument/2006/relationships/hyperlink" Target="https://sdpgovco.sharepoint.com/:f:/r/sites/DirecciondeParticipacionyComunicacionparalaPlaneacion/Documentos%20compartidos/PROCESOS_OPDC_VIGENCIA%202024-2027/PROCESOS_OPDC_2024/EVIDENCIAS%202024/AGENDA%20DE%20OTROS%20INSTRUMENTOS%20DE%20PLANEACI%C3%93N/PLAN%20DISTRITAL%20DE%20DESARROLLO/2024-04-03_DIALOGO%20CIUDADANO%20PARA%20LA%20FORMULACION%20DEL%20PDD%20LGBTI?csf=1&amp;web=1&amp;e=z4sokr" TargetMode="External"/><Relationship Id="rId122" Type="http://schemas.openxmlformats.org/officeDocument/2006/relationships/hyperlink" Target="https://drive.google.com/file/d/1yrNIqMr4brHWETxEaO2hcdxij4j1sXDP/view?usp=sharing" TargetMode="External"/><Relationship Id="rId774" Type="http://schemas.openxmlformats.org/officeDocument/2006/relationships/hyperlink" Target="../../../../../../:f:/r/sites/DirecciondeParticipacionyComunicacionparalaPlaneacion/Documentos%20compartidos/PROCESOS_OPDC_VIGENCIA%202024-2027/PROCESOS_OPDC_2024/EVIDENCIAS%202024/GESTI%C3%93N%20DEL%20PIPC/REUNIONES%20INDIVIDUALES/2024-06-19_INVITACION%20MESA%20DE%20TRABAJO%20ENTRE%20INSTITUCIONES%20DISTRITO%20Y%20CIUDADANIA?csf=1&amp;web=1&amp;e=XMqodj" TargetMode="External"/><Relationship Id="rId981" Type="http://schemas.openxmlformats.org/officeDocument/2006/relationships/hyperlink" Target="https://acortar.link/7qKrws" TargetMode="External"/><Relationship Id="rId105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7-16_SEGUIMIENTO%20FUNDACION%202050?csf=1&amp;web=1&amp;e=jV0OZN" TargetMode="External"/><Relationship Id="rId427"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AN%20CRISTOBAL/2024-03-07_SESION%20MARZO?csf=1&amp;web=1&amp;e=EmXeyv" TargetMode="External"/><Relationship Id="rId634"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3-15_PLENARIA%20EXTRAORDINARIA?csf=1&amp;web=1&amp;e=dur3dP" TargetMode="External"/><Relationship Id="rId841"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CIUDAD%20BOLIVAR/2024-03-20_SESION%20MARZO?csf=1&amp;web=1&amp;e=Fb2YtO" TargetMode="External"/><Relationship Id="rId1264"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10_CONVOCATORIA%20TERRITORIAL%20AD%20-%20USME?csf=1&amp;web=1&amp;e=H8gctF" TargetMode="External"/><Relationship Id="rId273"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ENGATIVA/2024-06-11_SESION%20JUNIO?csf=1&amp;web=1&amp;e=vexda2" TargetMode="External"/><Relationship Id="rId48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7-06_TALLER%20DEVOLUCI%C3%93N%20UPL%20SUMAPAZ%20-%20NAZARETH?csf=1&amp;web=1&amp;e=YozGgb" TargetMode="External"/><Relationship Id="rId701"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TUNJUELITO?csf=1&amp;web=1&amp;e=sxEeGt" TargetMode="External"/><Relationship Id="rId93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5_ACTIV%20ACTORES%20DE%20PART%20LOCALIDAD%20FONTIBON?csf=1&amp;web=1&amp;e=kFOthP" TargetMode="External"/><Relationship Id="rId1124"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14%20-%20PATIO%20BONITO?csf=1&amp;web=1&amp;e=z1849p" TargetMode="External"/><Relationship Id="rId68" Type="http://schemas.openxmlformats.org/officeDocument/2006/relationships/hyperlink" Target="http://pduquefhi360.org/" TargetMode="External"/><Relationship Id="rId133" Type="http://schemas.openxmlformats.org/officeDocument/2006/relationships/hyperlink" Target="http://meet.google.com/gzy-qwdn-sdn" TargetMode="External"/><Relationship Id="rId340" Type="http://schemas.openxmlformats.org/officeDocument/2006/relationships/hyperlink" Target="../../../../../../:f:/r/sites/DirecciondeParticipacionyComunicacionparalaPlaneacion/Documentos%20compartidos/PROCESOS_OPDC_VIGENCIA%202024-2027/PROCESOS_OPDC_2024/EVIDENCIAS%202024/GESTI%C3%93N%20DEL%20PIPC/SISTEMA%20DISTRITAL%20DE%20REGAL%C3%8DAS/2024-02-08_SEGUIMIENTO%20EJERCICIO%20DE%20PLANEACION%20PARTICIPATIVA?csf=1&amp;web=1&amp;e=1YBa45" TargetMode="External"/><Relationship Id="rId57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5-06_CONSULTORIO%20PDD-%20JORNADA%2010%20-%20INTEGRACION%20SOCIAL?csf=1&amp;web=1&amp;e=WQIEkJ" TargetMode="External"/><Relationship Id="rId78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7_DIALOGO%20CIUDADANO%20-UPL%20CERROS%20ORIENTALES%20-%20MANANTIAL%20Y%20EL%20TRIANGULO?csf=1&amp;web=1&amp;e=RCpYTC" TargetMode="External"/><Relationship Id="rId99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CALLE%2072/2024-07-06_JORNADAS%20DEVOLUCION%20AE%20CALLE%2072?csf=1&amp;web=1&amp;e=UFTYXi" TargetMode="External"/><Relationship Id="rId200" Type="http://schemas.openxmlformats.org/officeDocument/2006/relationships/hyperlink" Target="https://meet.google.com/htr-faou-dra" TargetMode="External"/><Relationship Id="rId43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22_%20SESION%20DE%20CONCEJO%20-%20FORMULACION%20PDD%20-%20TARDE?csf=1&amp;web=1&amp;e=7HhlVe" TargetMode="External"/><Relationship Id="rId645"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USME/2024-06-19_SESION%20JUNIO?csf=1&amp;web=1&amp;e=gCTgAq" TargetMode="External"/><Relationship Id="rId85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21_DIALOGO%20CIUDADANO%20-%20UPL%20ARBORIZADORA?csf=1&amp;web=1&amp;e=7ZzSen" TargetMode="External"/><Relationship Id="rId1068" Type="http://schemas.openxmlformats.org/officeDocument/2006/relationships/hyperlink" Target="https://teams.microsoft.com/l/meetup-join/19%3ameeting_ODU4ZmE2OTgtZTkwYy00MGQyLTg4YTQtN2FhMmNiMDc5Mjgz%40thread.v2/0?context=%7b%22Tid%22%3a%22823ace76-f3f5-4396-9a3b-bb149c779beb%22%2c%22Oid%22%3a%226316b340-0d0c-4eaa-8aa6-fccc262ca404%22%7d" TargetMode="External"/><Relationship Id="rId1275"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9-03_DEVOLUCI%C3%93N%20DE%20ENTRENAMIENTO%20DEL%20PDD%20TALLER%20NNA?csf=1&amp;web=1&amp;e=7QLyww" TargetMode="External"/><Relationship Id="rId28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6-05_PREPARATORIA%20ACCION%20AFIRMATIVA%20PUEBLO%20RROM%20-%20GITANO?csf=1&amp;web=1&amp;e=YApWI3" TargetMode="External"/><Relationship Id="rId491" Type="http://schemas.openxmlformats.org/officeDocument/2006/relationships/hyperlink" Target="https://teams.microsoft.com/l/meetup-join/19%3ameeting_MjdmMjVlYzQtYzRiNy00MGY4LThmNzMtYjRhNTAxNzFkZjRi%40thread.v2/0?context=%7b%22Tid%22%3a%22823ace76-f3f5-4396-9a3b-bb149c779beb%22%2c%22Oid%22%3a%2220108af8-ac3e-446c-894a-f8407314940d%22%7d" TargetMode="External"/><Relationship Id="rId505"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6-14_II%20CONSTRUCCI%C3%93N%20DE%20AGENDA%20-%20SECTOR%20SUR%20OCCIDENTE?csf=1&amp;web=1&amp;e=SvqxtG" TargetMode="External"/><Relationship Id="rId712"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20REUNION%20PREPARATORIA%20AUDIENCIA%20PPI%20-%20SUMAPAZ%20-%20RIO%20SUMAPAZ?csf=1&amp;web=1&amp;e=zndVk4" TargetMode="External"/><Relationship Id="rId1135"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20%20-%20RAFAEL%20URIBE%20URIBE?csf=1&amp;web=1&amp;e=TtDO7O" TargetMode="External"/><Relationship Id="rId79" Type="http://schemas.openxmlformats.org/officeDocument/2006/relationships/hyperlink" Target="https://meet.google.com/agx-vnyu-dgc" TargetMode="External"/><Relationship Id="rId144" Type="http://schemas.openxmlformats.org/officeDocument/2006/relationships/hyperlink" Target="https://meet.google.com/uyu-nhid-jqg?hs=224" TargetMode="External"/><Relationship Id="rId589"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LA%20CANDELARIA/2024-05-02_SESION%20MAYO?csf=1&amp;web=1&amp;e=jEDkBH" TargetMode="External"/><Relationship Id="rId796" Type="http://schemas.openxmlformats.org/officeDocument/2006/relationships/hyperlink" Target="../../../../../../:f:/r/sites/DirecciondeParticipacionyComunicacionparalaPlaneacion/Documentos%20compartidos/PROCESOS_OPDC_VIGENCIA%202024-2027/PROCESOS_OPDC_2024/EVIDENCIAS%202024/GESTI%C3%93N%20DEL%20PIPC/ESTRATIFICACION/2024-03-18_II%20REVISION%20DE%20INSTRUMENTO%20Y%20ARTICULACION?csf=1&amp;web=1&amp;e=F2IxAd" TargetMode="External"/><Relationship Id="rId1202" Type="http://schemas.openxmlformats.org/officeDocument/2006/relationships/hyperlink" Target="https://acortar.link/5SwFWi" TargetMode="External"/><Relationship Id="rId35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_%20SENTIRES%20CIUDADANOS/2024-02-15_CONSULTORIO%20PDD?csf=1&amp;web=1&amp;e=eIFdVj" TargetMode="External"/><Relationship Id="rId44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1_DIALOGO%20CIUDADANO%20-%20UPL%20TUNJUELITO?csf=1&amp;web=1&amp;e=UFtL59" TargetMode="External"/><Relationship Id="rId65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9-29_DEVOLUCI%C3%93N%20PDD%20-%20SECTOR%20NOROCCIDENTE?csf=1&amp;web=1&amp;e=Euncqa" TargetMode="External"/><Relationship Id="rId86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22_DIALOGO%20CIUDADANO%20-%20UPL%20PORVENIR?csf=1&amp;web=1&amp;e=IbfgcX" TargetMode="External"/><Relationship Id="rId107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7-25_DEVOLUCION%20PDD%20CTPD?csf=1&amp;web=1&amp;e=2elfed" TargetMode="External"/><Relationship Id="rId1286" Type="http://schemas.openxmlformats.org/officeDocument/2006/relationships/hyperlink" Target="https://sdpgovco.sharepoint.com/:f:/r/sites/DirecciondeParticipacionyComunicacionparalaPlaneacion/Documentos%20compartidos/PROCESOS_OPDC_VIGENCIA%202024-2027/PROCESOS_OPDC_2024/EVIDENCIAS%202024/AGENDA%20CON%20INSTANCIAS/COSEJO%20CONSULTIVO%20LGBTI/2024-08-15_DEVOLUCION%20PDD%20CCLBGTI?csf=1&amp;web=1&amp;e=GSaBSr" TargetMode="External"/><Relationship Id="rId211" Type="http://schemas.openxmlformats.org/officeDocument/2006/relationships/hyperlink" Target="https://drive.google.com/file/d/1KST_nUBVW0pKatHJRbWIGVA5gdz82ZtJ/view?usp=sharing" TargetMode="External"/><Relationship Id="rId29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5-31_COMITE%20COORDINADOR%20-%20ASAMBLEAS%20CIUDADANAS?csf=1&amp;web=1&amp;e=8e5mqr" TargetMode="External"/><Relationship Id="rId309"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CIUDAD%20BOLIVAR/2024-05-29_SESION%20MAYO?csf=1&amp;web=1&amp;e=T3azwn" TargetMode="External"/><Relationship Id="rId51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CALLE%2072/2024-05-17_FORMULACION%20AE%20CALLE%2072?csf=1&amp;web=1&amp;e=Lc4fxZ" TargetMode="External"/><Relationship Id="rId1146"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26%20-%20TOBERIN?csf=1&amp;web=1&amp;e=LaJhqY" TargetMode="External"/><Relationship Id="rId72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2_%20PUEBLO%20MUISCA%20PROPUESTAS%20PDD?csf=1&amp;web=1&amp;e=d4gr0r" TargetMode="External"/><Relationship Id="rId93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6_GAE%20-%20SECTOR%20NOROCCIDENTE%20(CPL)?csf=1&amp;web=1&amp;e=j1Hbj5" TargetMode="External"/><Relationship Id="rId1006"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DD/2024-07-09_SESION%20ORDINARIA%20DE%20LA%20COMISION%20PDD%20DEL%20CTPD?csf=1&amp;web=1&amp;e=w6kphb" TargetMode="External"/><Relationship Id="rId155" Type="http://schemas.openxmlformats.org/officeDocument/2006/relationships/hyperlink" Target="https://meet.google.com/ksh-kacg-dsd" TargetMode="External"/><Relationship Id="rId362" Type="http://schemas.openxmlformats.org/officeDocument/2006/relationships/hyperlink" Target="../../../../../../:f:/r/sites/DirecciondeParticipacionyComunicacionparalaPlaneacion/Documentos%20compartidos/PROCESOS_OPDC_VIGENCIA%202024-2027/PROCESOS_OPDC_2024/EVIDENCIAS%202024/GESTI%C3%93N%20DEL%20PIPC/CTPD/2024-02-23_GESTION%20CURSO%20CTPD?csf=1&amp;web=1&amp;e=IjRdwc" TargetMode="External"/><Relationship Id="rId1213"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2024-08-09_ESTRATEGIA%20DE%20CONVOCATORIA%20META%20ASAMBLEAS%20DELIBERATIVAS?csf=1&amp;web=1&amp;e=txkFgQ" TargetMode="External"/><Relationship Id="rId1297" Type="http://schemas.openxmlformats.org/officeDocument/2006/relationships/hyperlink" Target="https://teams.microsoft.com/meetingOptions/?organizerId=238f0383-76da-46d4-a513-6126e5b28292&amp;tenantId=0f1156f1-406d-4123-99f0-a976b835b9b6&amp;threadId=19_meeting_ZDFiM2FkNDgtY2JkZC00MGNhLWE3NDctNjYzNjE5M2Y3YzNl@thread.v2&amp;messageId=0&amp;language=es-ES" TargetMode="External"/><Relationship Id="rId222" Type="http://schemas.openxmlformats.org/officeDocument/2006/relationships/hyperlink" Target="http://meet.google.com/wne-vvtg-frb" TargetMode="External"/><Relationship Id="rId66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MARTIRES?csf=1&amp;web=1&amp;e=GluFsJ" TargetMode="External"/><Relationship Id="rId874"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3-26_PLENARIA%20EXTRAORDINARIA?csf=1&amp;web=1&amp;e=7wczE6" TargetMode="External"/><Relationship Id="rId17" Type="http://schemas.openxmlformats.org/officeDocument/2006/relationships/hyperlink" Target="https://teams.microsoft.com/l/meetup-join/19%3ameeting_NjExZmRiNWYtMjVmZS00NzBmLWI5NWMtNThkYTkyNGNmNWJk%40thread.v2/0?context=%7b%22Tid%22%3a%220f1156f1-406d-4123-99f0-a976b835b9b6%22%2c%22Oid%22%3a%224050f918-a0d6-4762-98be-b8386a732c2e%22%7d" TargetMode="External"/><Relationship Id="rId527"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ARTICIPACION/2024-03-14_SESION%20ORDINARIA%20-%20COMISION%20PARTICIPACION?csf=1&amp;web=1&amp;e=styDOc" TargetMode="External"/><Relationship Id="rId734"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6-25_GESTI%C3%93N%20DDSGP%20-%20OPDC%20DISCAPACIDAD%20LGTIBQ+%20SPT%20Y%20PDD?csf=1&amp;web=1&amp;e=K4HSnw" TargetMode="External"/><Relationship Id="rId94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CAMPIN%207%20DE%20AGOSTO/2024-06-28_GREMIO%20DE%20COMERCIANTES%20Y%20AUTOPARTISTAS%20AE%20CAMPIN%207%20DE%20AGOSTO?csf=1&amp;web=1&amp;e=eQkrjC" TargetMode="External"/><Relationship Id="rId1157" Type="http://schemas.openxmlformats.org/officeDocument/2006/relationships/hyperlink" Target="mailto:lbarreto@sdp.gov.co" TargetMode="External"/><Relationship Id="rId70" Type="http://schemas.openxmlformats.org/officeDocument/2006/relationships/hyperlink" Target="https://drive.google.com/file/d/1hd1FzAnbId_nLOQXAT9uKhrHdNySFVU6/view?usp=sharing" TargetMode="External"/><Relationship Id="rId166" Type="http://schemas.openxmlformats.org/officeDocument/2006/relationships/hyperlink" Target="https://drive.google.com/file/d/1dTFpsmYDCumfRen6DVNCrGCUoXRMSVPX/view?usp=sharing" TargetMode="External"/><Relationship Id="rId373" Type="http://schemas.openxmlformats.org/officeDocument/2006/relationships/hyperlink" Target="https://teams.microsoft.com/dl/launcher/launcher.html?url=%2F_%23%2Fl%2Fmeetup-join%2F19%3Ameeting_ZTJmNzI3ZjUtNTRjMC00ZjRlLTk5NGEtNDBkMWZhZWExZjg0%40thread.v2%2F0%3Fcontext%3D%257b%2522Tid%2522%253a%25220f1156f1-406d-4123-99f0-a976b835b9b6%2522%252c%2522Oid%2522%253a%2522d1aec604-84bf-41fe-898e-8330e07d11b8%2522%257d%26anon%3Dtrue&amp;type=meetup-join&amp;deeplinkId=83ab73ea-4797-4a5b-961b-b3f5f984f268&amp;directDl=true&amp;msLaunch=true&amp;enableMobilePage=true&amp;suppressPrompt=true" TargetMode="External"/><Relationship Id="rId58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CHAPINERO%20VERDE%20E%20INTELIGENTE/2024-05-03_RECORRIDO%20AE%20CHAPINERO%20VERDE%20E%20INTELIGENTE?csf=1&amp;web=1&amp;e=W6xyN4" TargetMode="External"/><Relationship Id="rId80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9_DIALOGO%20CIUDADANO%20POBLACIONAL%20-%20CONSULTIVA%20AFROCOLOMBIANA?csf=1&amp;web=1&amp;e=7IiokI" TargetMode="External"/><Relationship Id="rId101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7-08_SOCIALIZACION%20PIP%20ALCALDIA%20TUNJUELITO?csf=1&amp;web=1&amp;e=FFdnNg" TargetMode="External"/><Relationship Id="rId1224" Type="http://schemas.openxmlformats.org/officeDocument/2006/relationships/hyperlink" Target="https://teams.microsoft.com/l/meetup-join/19%3ameeting_MGYyMjk5NmEtODNiMS00NTU3LWJkZmItM2Q1NjU3ZDUwM2Vh%40thread.v2/0?context=%7b%22Tid%22%3a%2262014016-9db4-44c2-bf33-e4366b82fdaa%22%2c%22Oid%22%3a%22744b8b48-722f-42eb-b887-f6e3122ee069%22%7d" TargetMode="External"/><Relationship Id="rId1" Type="http://schemas.openxmlformats.org/officeDocument/2006/relationships/hyperlink" Target="http://meet.google.com/yaw-rxch-jcz" TargetMode="External"/><Relationship Id="rId233" Type="http://schemas.openxmlformats.org/officeDocument/2006/relationships/hyperlink" Target="https://meet.google.com/cdh-vrhx-poi" TargetMode="External"/><Relationship Id="rId44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09_DIALOGO%20CIUDADANO%20-%20UPL%20TABORA?csf=1&amp;web=1&amp;e=l4vgTa" TargetMode="External"/><Relationship Id="rId67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20RAFAEL%20URIBE?csf=1&amp;web=1&amp;e=kJVYWg" TargetMode="External"/><Relationship Id="rId885"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6-19_SESION%20ORDINARIA%20COMISION%20POT?csf=1&amp;web=1&amp;e=xo056q" TargetMode="External"/><Relationship Id="rId107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18_GAE%20UPL%20NIZA?csf=1&amp;web=1&amp;e=C92VJo" TargetMode="External"/><Relationship Id="rId28" Type="http://schemas.openxmlformats.org/officeDocument/2006/relationships/hyperlink" Target="https://drive.google.com/file/d/1QV3QTV8nOKzPecLPkzXQS9Xz8o0ggBXq/view?usp=sharing" TargetMode="External"/><Relationship Id="rId300"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DESARROLLO%20REGIONAL/2024-05-30_SESION%20EXTRAORDINARIA%20COMISION%20DESARROLLO%20REGIONAL%20CTPD?csf=1&amp;web=1&amp;e=7TjRY9" TargetMode="External"/><Relationship Id="rId538"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5-14_PROPUESTA%20DE%20ASAMBLEA%20DELIBERATIVA%20METROPOLITANA%20-%20AGORA?csf=1&amp;web=1&amp;e=azBRJc" TargetMode="External"/><Relationship Id="rId745"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6-20_CONSTRUCCI%C3%93N%20AGENDA%20SECTOR%20CENTRO%20AMPLIADO?csf=1&amp;web=1&amp;e=J9L52e" TargetMode="External"/><Relationship Id="rId952"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6-27_COMITE%20META%20ASAMBLEA?csf=1&amp;web=1&amp;e=A9dAws" TargetMode="External"/><Relationship Id="rId1168"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7-24_COMTE%20EXTRAORDINARIO%20TECNICO%20-%20SAMBLEAS%20D?csf=1&amp;web=1&amp;e=e0fxlX" TargetMode="External"/><Relationship Id="rId81" Type="http://schemas.openxmlformats.org/officeDocument/2006/relationships/hyperlink" Target="https://meet.google.com/wfn-ptud-azs" TargetMode="External"/><Relationship Id="rId177" Type="http://schemas.openxmlformats.org/officeDocument/2006/relationships/hyperlink" Target="https://drive.google.com/file/d/1YiKyLZgqZnQu5Jm7nILya6f7V9uZahJk/view?usp=sharing" TargetMode="External"/><Relationship Id="rId38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2-29_RENDICION%20DE%20CUENTAS%20JAL%20SAN%20CRISTOBAL?csf=1&amp;web=1&amp;e=K4uSbY" TargetMode="External"/><Relationship Id="rId591"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DE%20COORDINACION%20DEL%20PDD/2024-05-02_COMITE%20COORDINADOR%20INTERSECTORIAL%20DE%20PARTICIPACION%20PDD?csf=1&amp;web=1&amp;e=sCPtOh" TargetMode="External"/><Relationship Id="rId60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9-07_DEVOLUCI%C3%93N%20PDD%20-%20SECTOR%20CENTRO%20AMPLIADO?csf=1&amp;web=1&amp;e=eP8WK7" TargetMode="External"/><Relationship Id="rId81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4_DIALOGO%20CIUDADANO%20-%20UPL%20RAFAEL%20URIBE%20URIBE?csf=1&amp;web=1&amp;e=OXzBZq" TargetMode="External"/><Relationship Id="rId1028"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CIUDAD%20BOLIVAR/2024-07-12_SESION%20JULIO?csf=1&amp;web=1&amp;e=zcDZBN" TargetMode="External"/><Relationship Id="rId1235" Type="http://schemas.openxmlformats.org/officeDocument/2006/relationships/hyperlink" Target="https://teams.microsoft.com/l/meetup-join/19%3ameeting_NmZkM2YzMDYtOTQ4NS00M2NkLTlhNzYtYTZmN2UyMzlmYjMz%40thread.v2/0?context=%7b%22Tid%22%3a%22823ace76-f3f5-4396-9a3b-bb149c779beb%22%2c%22Oid%22%3a%226316b340-0d0c-4eaa-8aa6-fccc262ca404%22%7d" TargetMode="External"/><Relationship Id="rId244" Type="http://schemas.openxmlformats.org/officeDocument/2006/relationships/hyperlink" Target="https://meet.google.com/xuj-bdts-pnu" TargetMode="External"/><Relationship Id="rId689"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CHAPINERO?csf=1&amp;web=1&amp;e=zLJhdw" TargetMode="External"/><Relationship Id="rId89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2_GAE%20LOCALIDAD%20SUBA%20JAC%20UPL%20BRITALIA?csf=1&amp;web=1&amp;e=wzfbC8" TargetMode="External"/><Relationship Id="rId108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19_GAE%20-%20JAL%20CIUDAD%20BOLIVAR%20-%20UPLS%20LUCERO,%20ARBOR%20Y%20CUENCA?csf=1&amp;web=1&amp;e=16V5Ve" TargetMode="External"/><Relationship Id="rId1302" Type="http://schemas.openxmlformats.org/officeDocument/2006/relationships/hyperlink" Target="https://sdpgovco.sharepoint.com/:f:/r/sites/DirecciondeParticipacionyComunicacionparalaPlaneacion/Documentos%20compartidos/PROCESOS_OPDC_VIGENCIA%202024-2027/PROCESOS_OPDC_2024/EVIDENCIAS%202024/AGENDA%20CON%20INSTANCIAS/CLIP%20-%20COMISIONES%20LOCALES%20INTERSECTORIALES%20DE%20PARTICIPACION/SANTA%20FE/2024-09-09_SESION%20SEPTIEMBRE?csf=1&amp;web=1&amp;e=XK2eWa" TargetMode="External"/><Relationship Id="rId39" Type="http://schemas.openxmlformats.org/officeDocument/2006/relationships/hyperlink" Target="https://meet.google.com/fbu-weaq-eor" TargetMode="External"/><Relationship Id="rId451"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KENNEDY/2024-06-19_SESION%20JUNIO?csf=1&amp;web=1&amp;e=3evjbc" TargetMode="External"/><Relationship Id="rId54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REUNIONES%20CONCEJO/2024-05-10_%20REUNION%20CONCEJO%20-%20FORMULACION%20PDD?csf=1&amp;web=1&amp;e=ifJosK" TargetMode="External"/><Relationship Id="rId75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0_DIALOGO%20CIUDADANO%20PARTICIPACION%20EN%20EL%20PDD%20-%20PROGRAMA%20RADIAL?csf=1&amp;web=1&amp;e=DGD3h0" TargetMode="External"/><Relationship Id="rId1179"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7-30_PLENARIA%20ORDINARIA%20CTPD?csf=1&amp;web=1&amp;e=ZiJknJ" TargetMode="External"/><Relationship Id="rId104" Type="http://schemas.openxmlformats.org/officeDocument/2006/relationships/hyperlink" Target="https://meet.google.com/gfw-cpkr-aot" TargetMode="External"/><Relationship Id="rId188" Type="http://schemas.openxmlformats.org/officeDocument/2006/relationships/hyperlink" Target="http://meet.google.com/xgf-escq-idz" TargetMode="External"/><Relationship Id="rId31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ES%20PARCIALES%20DE%20DESARROLLO/2024-05-29_SOCIALIZACION%20PPD%20LOS%20BUHOS?csf=1&amp;web=1&amp;e=9EvpJr" TargetMode="External"/><Relationship Id="rId39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04_DIALOGO%20CIUDADANO%20POBLACIONAL%20-%20CONSULTIVO%20MUJERES?csf=1&amp;web=1&amp;e=l0DArn" TargetMode="External"/><Relationship Id="rId409" Type="http://schemas.openxmlformats.org/officeDocument/2006/relationships/hyperlink" Target="../../../../../../:f:/r/sites/DirecciondeParticipacionyComunicacionparalaPlaneacion/Documentos%20compartidos/PROCESOS_OPDC_VIGENCIA%202024-2027/PROCESOS_OPDC_2024/EVIDENCIAS%202024/GESTI%C3%93N%20DEL%20PIPC/SISTEMA%20DISTRITAL%20DE%20REGAL%C3%8DAS/2024-03-06_COORDINACION%20DE%20ACCIONES?csf=1&amp;web=1&amp;e=E1hVAK" TargetMode="External"/><Relationship Id="rId96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7-08_SOCIALIZACION%20PIP%20SECTOR%20NOROCCIDENTE%20-%20CPL%20SUBA?csf=1&amp;web=1&amp;e=cGHeXT" TargetMode="External"/><Relationship Id="rId1039"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PREPARATORIAS%20DEVOLUCIONES%20PDD/2024-07-11_PREPARATORIA%20DEVOLUCION%20CERROS%20ORIENTALES?csf=1&amp;web=1&amp;e=oDurdw" TargetMode="External"/><Relationship Id="rId1246"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ESCENARIOS%20INDIVIDUALES/2024-08-28_DEMOLAB%20VEEDURIA%20DISTRITAL?csf=1&amp;web=1&amp;e=Lmp7Gu" TargetMode="External"/><Relationship Id="rId92" Type="http://schemas.openxmlformats.org/officeDocument/2006/relationships/hyperlink" Target="https://meet.google.com/xeq-eiwq-aaf" TargetMode="External"/><Relationship Id="rId616"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6-18_REUNION%20VIRTUAL%20PREPARATORIA%20AGORA%20RMBC?csf=1&amp;web=1&amp;e=1EzOaS" TargetMode="External"/><Relationship Id="rId82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4-04_PLAN%20DE%20TRABAJO%20ACCIONES%20AFIRMATIVAS%20-%20COMUNIDAD%20PALENQUERA?csf=1&amp;web=1&amp;e=qh5xLp" TargetMode="External"/><Relationship Id="rId255" Type="http://schemas.openxmlformats.org/officeDocument/2006/relationships/hyperlink" Target="https://meet.google.com/rgr-dzux-doc?hs=224" TargetMode="External"/><Relationship Id="rId46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13_CONCERTACION%20METODOLOGIA%20-%20AFROS?csf=1&amp;web=1&amp;e=71cT08" TargetMode="External"/><Relationship Id="rId1092" Type="http://schemas.openxmlformats.org/officeDocument/2006/relationships/hyperlink" Target="https://teams.microsoft.com/l/meetup-join/19:meeting_M2Y5MmY4MjQtYmFmYi00NWVjLTkwOWUtM2UwMDNiZjAwMmIy@thread.v2/0?context=%7B%22Tid%22:%22823ace76-f3f5-4396-9a3b-bb149c779beb%22,%22Oid%22:%2222767417-92c1-4670-b0c1-d3e248d47a47%22%7D" TargetMode="External"/><Relationship Id="rId1106"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5%20-%20USME%20ENTRENUBES?csf=1&amp;web=1&amp;e=3Uch7h" TargetMode="External"/><Relationship Id="rId1313"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PREPARATORIAS%20DEVOLUCIONES%20PDD/2024-09-11_PREPARATORIA%20DEVOLUCION%20PDD%20-%20CUENCA%20DEL%20TUNJUELO?csf=1&amp;web=1&amp;e=tYRjlt" TargetMode="External"/><Relationship Id="rId115" Type="http://schemas.openxmlformats.org/officeDocument/2006/relationships/hyperlink" Target="https://drive.google.com/file/d/1GOg3DT7XlAFvFQ8oCUAEItrb5YNQ6oJl/view?usp=sharing" TargetMode="External"/><Relationship Id="rId32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28_SESION%20DE%20CONCEJO%20-%20FORMULACION%20PDD%20-%20MA%C3%91ANA?csf=1&amp;web=1&amp;e=lpao9D" TargetMode="External"/><Relationship Id="rId76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9-14_DEVOLUCI%C3%93N%20PDD%20-%20CUENCA%20RIO%20TUNJUELO?csf=1&amp;web=1&amp;e=wPiPWw" TargetMode="External"/><Relationship Id="rId974"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UMAPAZ/2024-07-03_SESION%20JULIO?csf=1&amp;web=1&amp;e=sDhWkg" TargetMode="External"/><Relationship Id="rId199" Type="http://schemas.openxmlformats.org/officeDocument/2006/relationships/hyperlink" Target="https://meet.google.com/mhk-hfvu-vbu?hs=224" TargetMode="External"/><Relationship Id="rId627" Type="http://schemas.openxmlformats.org/officeDocument/2006/relationships/hyperlink" Target="https://teams.microsoft.com/dl/launcher/launcher.html?url=%2F_%23%2Fl%2Fmeetup-join%2F19%3Ameeting_MmUzNDAwZWYtOTJlZi00ZDFkLWJiOTItYzVlMjZjNDc5OTRj%40thread.v2%2F0%3Fcontext%3D%257b%2522Tid%2522%253a%2522823ace76-f3f5-4396-9a3b-bb149c779beb%2522%252c%2522Oid%2522%253a%25226316b340-0d0c-4eaa-8aa6-fccc262ca404%2522%257d%26anon%3Dtrue&amp;type=meetup-join&amp;deeplinkId=dec5384d-a3c7-4334-b085-b6d002a96aef&amp;directDl=true&amp;msLaunch=true&amp;enableMobilePage=true&amp;suppressPrompt=true" TargetMode="External"/><Relationship Id="rId83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2_JORNADA%20PEGATE%20AL%20PLAN%20-%20UNIVERSIDAD%20AGUSTINIANA?csf=1&amp;web=1&amp;e=efJYFb" TargetMode="External"/><Relationship Id="rId1257"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5_CONVOCATORIA%20TERRITORIAL%20AD%20-%20RAFAEL%20URIBE%20URIBE?csf=1&amp;web=1&amp;e=jLgNZE" TargetMode="External"/><Relationship Id="rId26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CAMPIN%207%20DE%20AGOSTO/2024-06-14_III%20TALLER%20DE%20DIALOGO%20-%20AE%20CAMPIN%207%20DE%20AGOSTO?csf=1&amp;web=1&amp;e=gRyTQf" TargetMode="External"/><Relationship Id="rId473" Type="http://schemas.openxmlformats.org/officeDocument/2006/relationships/hyperlink" Target="../../../../../../:f:/r/sites/DirecciondeParticipacionyComunicacionparalaPlaneacion/Documentos%20compartidos/PROCESOS_OPDC_VIGENCIA%202024-2027/PROCESOS_OPDC_2024/EVIDENCIAS%202024/AGENDA%20DE%20OTROS%20INSTRUMENTOS%20DE%20PLANEACI%C3%93N/POLITICA%20PUBLICA%20LGBTI/2024-06-12_AVANZADA%20EVENTO%20EN%20EL%20MARCO%20DEL%20PRIDE?csf=1&amp;web=1&amp;e=katiGH" TargetMode="External"/><Relationship Id="rId68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20-%20ANTONIO%20NARI%C3%91O?csf=1&amp;web=1&amp;e=Tq0N3L" TargetMode="External"/><Relationship Id="rId90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4_GAE%20-%20UPL%20TINTAL?csf=1&amp;web=1&amp;e=Ixekrh" TargetMode="External"/><Relationship Id="rId1117" Type="http://schemas.openxmlformats.org/officeDocument/2006/relationships/hyperlink" Target="mailto:lbarreto@sdp.gov.co" TargetMode="External"/><Relationship Id="rId30" Type="http://schemas.openxmlformats.org/officeDocument/2006/relationships/hyperlink" Target="https://drive.google.com/file/d/1Mo5KDfSLgfPLHoAERbRi2yqD8kGYvOcA/view" TargetMode="External"/><Relationship Id="rId126" Type="http://schemas.openxmlformats.org/officeDocument/2006/relationships/hyperlink" Target="https://drive.google.com/file/d/19fZ32EH6nd7TTnppUc3mnt0jxQoEZf6q/view?usp=sharing" TargetMode="External"/><Relationship Id="rId333" Type="http://schemas.openxmlformats.org/officeDocument/2006/relationships/hyperlink" Target="../../../../../../:f:/r/sites/DirecciondeParticipacionyComunicacionparalaPlaneacion/Documentos%20compartidos/PROCESOS_OPDC_VIGENCIA%202024-2027/PROCESOS_OPDC_2024/EVIDENCIAS%202024/REUNIONES%20DE%20EQUIPO/EQUIPO%20GENERAL/ENERO/2024-01-31_PRIMER%20ENCUENTRO%20OPDC?csf=1&amp;web=1&amp;e=CRLplH" TargetMode="External"/><Relationship Id="rId54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14_SESION%20DE%20CONCEJO%20-%20FORMULACION%20PDD?csf=1&amp;web=1&amp;e=xZUnnN" TargetMode="External"/><Relationship Id="rId77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08_%20II%20VORTAKO%20-%20PUEBLO%20RROM?csf=1&amp;web=1&amp;e=ttqPIN" TargetMode="External"/><Relationship Id="rId985" Type="http://schemas.openxmlformats.org/officeDocument/2006/relationships/hyperlink" Target="../../../../../../:f:/r/sites/DirecciondeParticipacionyComunicacionparalaPlaneacion/Documentos%20compartidos/PROCESOS_OPDC_VIGENCIA%202024-2027/PROCESOS_OPDC_2024/EVIDENCIAS%202024/AGENDA%20CON%20INSTANCIAS/ACOMPA%C3%91AMIENTO%20CTPD/MESAS%20Y%20COMIT%C3%89S%20T%C3%89CNICOS/2024-07-04_MESA%20TECNICA%20CTPD?csf=1&amp;web=1&amp;e=eGvxlF" TargetMode="External"/><Relationship Id="rId117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27_ACT%20ACTORES%20JAC%20LA%20FELICIDAD%20FDS%20HAYUELOS?csf=1&amp;web=1&amp;e=oTzPPb" TargetMode="External"/><Relationship Id="rId63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6_DIALOGO%20CIUDADANO%20-%20UPL%20CERROS%20ORIENTALES%20-%20VERJONES?csf=1&amp;web=1&amp;e=fskRJB" TargetMode="External"/><Relationship Id="rId845"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BLACIONAL/2024-03-20_COMISI%C3%93N%20%20POBLACIONAL?csf=1&amp;web=1&amp;e=9rcg1Y" TargetMode="External"/><Relationship Id="rId1030" Type="http://schemas.openxmlformats.org/officeDocument/2006/relationships/hyperlink" Target="https://teams.microsoft.com/l/meetup-join/19%3ameeting_MDgzYjhkNTItNjBiMS00NWYyLWI3MjMtODA2Mjk3YmZmYzc3%40thread.v2/0?context=%7b%22Tid%22%3a%22823ace76-f3f5-4396-9a3b-bb149c779beb%22%2c%22Oid%22%3a%22930ed79c-75e6-4bc9-a7bb-e8f45bbb479c%22%7d" TargetMode="External"/><Relationship Id="rId1268" Type="http://schemas.openxmlformats.org/officeDocument/2006/relationships/hyperlink" Target="https://sdpgovco.sharepoint.com/:f:/r/sites/DirecciondeParticipacionyComunicacionparalaPlaneacion/Documentos%20compartidos/PROCESOS_OPDC_VIGENCIA%202024-2027/PROCESOS_OPDC_2024/EVIDENCIAS%202024/AGENDA%20CON%20INSTANCIAS/CLIP%20-%20COMISIONES%20LOCALES%20INTERSECTORIALES%20DE%20PARTICIPACION/USME/2024-08-14_SESION%20AGOSTO?csf=1&amp;web=1&amp;e=pgbNSr" TargetMode="External"/><Relationship Id="rId277"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6-06_PLENARIA%20PERMANENTE?csf=1&amp;web=1&amp;e=Mdksrf" TargetMode="External"/><Relationship Id="rId40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5-25_RENDICION%20DE%20CUENTAS%20IDPAC?csf=1&amp;web=1&amp;e=a5vbLU" TargetMode="External"/><Relationship Id="rId484"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BLACIONAL/2024-05-18_COMISION%20POBLACIONAL%20-CTPD?csf=1&amp;web=1&amp;e=5g4gGN" TargetMode="External"/><Relationship Id="rId705" Type="http://schemas.openxmlformats.org/officeDocument/2006/relationships/hyperlink" Target="../../../../../../:f:/r/sites/DirecciondeParticipacionyComunicacionparalaPlaneacion/Documentos%20compartidos/PROCESOS_OPDC_VIGENCIA%202024-2027/PROCESOS_OPDC_2024/EVIDENCIAS%202024/GESTI%C3%93N%20DEL%20PIPC/REUNIONES%20INDIVIDUALES/2024-06-18_AVANCE%20OPDC?csf=1&amp;web=1&amp;e=wRq5hO" TargetMode="External"/><Relationship Id="rId1128"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16%20-%20EDEN?csf=1&amp;web=1&amp;e=Enyyge" TargetMode="External"/><Relationship Id="rId137" Type="http://schemas.openxmlformats.org/officeDocument/2006/relationships/hyperlink" Target="https://tel.meet/ygg-mrdx-ifi?pin=5752820655403" TargetMode="External"/><Relationship Id="rId34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_%20SENTIRES%20CIUDADANOS/2024-02-11_ASAMBLEA%20ACUPASA?csf=1&amp;web=1&amp;e=tZZ2zf" TargetMode="External"/><Relationship Id="rId691"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USME?csf=1&amp;web=1&amp;e=97ueEx" TargetMode="External"/><Relationship Id="rId78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6_JORNADA%20PEGATE%20AL%20PLAN%20-%20THEATRON?csf=1&amp;web=1&amp;e=fuf2TK" TargetMode="External"/><Relationship Id="rId912"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UMAPAZ/2024-06-26_SESION%20EXTRAORDINARIA%20JUNIO?csf=1&amp;web=1&amp;e=QnaItg" TargetMode="External"/><Relationship Id="rId996" Type="http://schemas.openxmlformats.org/officeDocument/2006/relationships/hyperlink" Target="https://acortar.link/peDVDz" TargetMode="External"/><Relationship Id="rId41" Type="http://schemas.openxmlformats.org/officeDocument/2006/relationships/hyperlink" Target="https://teams.microsoft.com/l/meetup-join/19%3ameeting_NGUyZmYyZTUtNmEyNS00MWQwLTg4OTgtYTNhNjI0YzhlNmMy%40thread.v2/0?context=%7b%22Tid%22%3a%220f1156f1-406d-4123-99f0-a976b835b9b6%22%2c%22Oid%22%3a%22238f0383-76da-46d4-a513-6126e5b28292%22%7d" TargetMode="External"/><Relationship Id="rId55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10_%20SESION%20DE%20CONCEJO%20-%20FORMULACION%20PDD?csf=1&amp;web=1&amp;e=159bJn" TargetMode="External"/><Relationship Id="rId64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4-22_CONSULTORIO%20PDD-%20JORNADA%201%20-%20MOVILIDAD?csf=1&amp;web=1&amp;e=UNI0br" TargetMode="External"/><Relationship Id="rId85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22_II%20DIALOGO%20CIUDADANO%20POBLACIONAL%20-%20CONSULTIVA%20AFROCOLOMBIANA?csf=1&amp;web=1&amp;e=3K0Dxc" TargetMode="External"/><Relationship Id="rId118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31_ACT%20ACTORES%20UPL%20SALITRE%20-%20JAC%20NORMANDIA?csf=1&amp;web=1&amp;e=3yG2FL" TargetMode="External"/><Relationship Id="rId1279" Type="http://schemas.openxmlformats.org/officeDocument/2006/relationships/hyperlink" Target="https://sdpgovco.sharepoint.com/:f:/r/sites/DirecciondeParticipacionyComunicacionparalaPlaneacion/Documentos%20compartidos/PROCESOS_OPDC_VIGENCIA%202024-2027/PROCESOS_OPDC_2024/EVIDENCIAS%202024/AGENDA%20CON%20INSTANCIAS/CLIP%20-%20COMISIONES%20LOCALES%20INTERSECTORIALES%20DE%20PARTICIPACION/RAFAEL%20URIBE%20URIBE/2024-09-04_SESION%20SEPTIEMBRE?csf=1&amp;web=1&amp;e=dADMoH" TargetMode="External"/><Relationship Id="rId190" Type="http://schemas.openxmlformats.org/officeDocument/2006/relationships/hyperlink" Target="https://meet.google.com/vvi-ymry-abf?authuser=0" TargetMode="External"/><Relationship Id="rId204" Type="http://schemas.openxmlformats.org/officeDocument/2006/relationships/hyperlink" Target="https://meet.google.com/uhn-iskd-qrw" TargetMode="External"/><Relationship Id="rId28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DE%20PARTICIPACI%C3%93N%20TERRITORIAL/2024-06-04_REVISION%20DE%20COMPROMISOS%20%20-%20CABILDO%20MUISCA%20DE%20SUBA?csf=1&amp;web=1&amp;e=Gy1O8V" TargetMode="External"/><Relationship Id="rId411"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06_III%20FORO%20VIRTUAL%20PDD%20-%20SERVIDORES?csf=1&amp;web=1&amp;e=bhjdhx" TargetMode="External"/><Relationship Id="rId509"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6-17_REUNI%C3%93N%20SEGUIMIENTO%20DPL%20-%20OPDC?csf=1&amp;web=1&amp;e=2qq0V3" TargetMode="External"/><Relationship Id="rId104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CAMPIN%207%20DE%20AGOSTO/2024-07-11_%20JORNADA%20DEVOLUCION%20JAC%20BARRIOS%20UNIDOS?csf=1&amp;web=1&amp;e=wieC1T" TargetMode="External"/><Relationship Id="rId1139"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22%20-%20RESTREPO?csf=1&amp;web=1&amp;e=n0szEe" TargetMode="External"/><Relationship Id="rId49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4_CAPACITACION%20SERVIDORES%20SDP?csf=1&amp;web=1&amp;e=mUsbwL" TargetMode="External"/><Relationship Id="rId71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15_REUNION%20-%20AUTORIDADES%20INDIGENAS%20BAKATA%20-AIB%20Y%20SDG?csf=1&amp;web=1&amp;e=lbhjt2" TargetMode="External"/><Relationship Id="rId92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5_GAE%20-%20LOCALIDAD%20CANDELARIA%20JAC?csf=1&amp;web=1&amp;e=Sv2wQY" TargetMode="External"/><Relationship Id="rId52" Type="http://schemas.openxmlformats.org/officeDocument/2006/relationships/hyperlink" Target="https://meet.google.com/bfq-tbmf-uxc" TargetMode="External"/><Relationship Id="rId148" Type="http://schemas.openxmlformats.org/officeDocument/2006/relationships/hyperlink" Target="https://meet.google.com/inb-qpjo-ski" TargetMode="External"/><Relationship Id="rId355" Type="http://schemas.openxmlformats.org/officeDocument/2006/relationships/hyperlink" Target="../../../../../../:f:/r/sites/DirecciondeParticipacionyComunicacionparalaPlaneacion/Documentos%20compartidos/PROCESOS_OPDC_VIGENCIA%202024-2027/PROCESOS_OPDC_2024/EVIDENCIAS%202024/GESTI%C3%93N%20DEL%20PIPC/CTPD/2024-02-19_GESTION%20CURSO%20CTPD?csf=1&amp;web=1&amp;e=bdMWrk" TargetMode="External"/><Relationship Id="rId562"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DESARROLLO%20REGIONAL/2024-05-08_SESION%20ORDINARIA%20COMISION%20DESARROLLO%20REGIONAL%20%20CTPD?csf=1&amp;web=1&amp;e=yD99pV" TargetMode="External"/><Relationship Id="rId1192" Type="http://schemas.openxmlformats.org/officeDocument/2006/relationships/hyperlink" Target="https://acortar.link/KJKRmy" TargetMode="External"/><Relationship Id="rId1206"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2024-08-08_META%20ASAMBLEA%20-%20COMIT%C3%89%20DE%20DISE%C3%91O?csf=1&amp;web=1&amp;e=BS3ZzE" TargetMode="External"/><Relationship Id="rId215" Type="http://schemas.openxmlformats.org/officeDocument/2006/relationships/hyperlink" Target="https://drive.google.com/file/d/17IuJy_j4mK8v06VbvP3v7Tliz6As9lxv/view?usp=sharing" TargetMode="External"/><Relationship Id="rId42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07_PRESENTACION%20ESTRATEGIA%20CONSEJO%20DE%20SABIOS%20Y%20SABIAS?csf=1&amp;web=1&amp;e=xxW6ZD" TargetMode="External"/><Relationship Id="rId867"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BLACIONAL/2024-03-23_COMISI%C3%93N%20POBLACIONAL%20CTPD?csf=1&amp;web=1&amp;e=dHlwaE" TargetMode="External"/><Relationship Id="rId1052" Type="http://schemas.openxmlformats.org/officeDocument/2006/relationships/hyperlink" Target="mailto:dvillamizar@sdp.gov.co" TargetMode="External"/><Relationship Id="rId299" Type="http://schemas.openxmlformats.org/officeDocument/2006/relationships/hyperlink" Target="../../../../../../:f:/r/sites/DirecciondeParticipacionyComunicacionparalaPlaneacion/Documentos%20compartidos/PROCESOS_OPDC_VIGENCIA%202024-2027/PROCESOS_OPDC_2024/EVIDENCIAS%202024/AGENDA%20CON%20INSTANCIAS/RED%20INSTITUCIONAL%20DE%20VEEDURIAS%20CIUDADANAS/2024-05-30_SESION%20JUNIO%20-%20RED%20DE%20VEEDURIAS?csf=1&amp;web=1&amp;e=6s631O" TargetMode="External"/><Relationship Id="rId72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2_JORNADA%20PEGATE%20AL%20PLAN%20-%20UNIVERSIDAD%20CATOLICA?csf=1&amp;web=1&amp;e=1kNxLs" TargetMode="External"/><Relationship Id="rId93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6_GAE%20-%20UPL%20CENTRO%20HISTORICO%20JAC%20PERSEVERANCIA?csf=1&amp;web=1&amp;e=m8UIdS" TargetMode="External"/><Relationship Id="rId63" Type="http://schemas.openxmlformats.org/officeDocument/2006/relationships/hyperlink" Target="../../../../../../:b:/r/sites/DirecciondeParticipacionyComunicacionparalaPlaneacion/Documentos%20compartidos/PROCESOS_OPDC_VIGENCIA%202024-2027/PROCESOS_OPDC_2024/DRIVE%20OPERATIVO/ACTAS%20PARA%20PUBLICACI%C3%93N%202024/ACTA%20%20Dialogo%20Ciudadano%20para%20la%20Construcci%C3%B3n%20del%20PDD%20-%20UPL%20Cerros%20Orientales%20-%20%20Sector%20San%20Luis%20y%20La%20Sure%C3%B1a.pdf?csf=1&amp;web=1&amp;e=0ZJ8Tj" TargetMode="External"/><Relationship Id="rId159" Type="http://schemas.openxmlformats.org/officeDocument/2006/relationships/hyperlink" Target="https://meet.google.com/yue-hyog-zdk" TargetMode="External"/><Relationship Id="rId366" Type="http://schemas.openxmlformats.org/officeDocument/2006/relationships/hyperlink" Target="../../../../../../:f:/r/sites/DirecciondeParticipacionyComunicacionparalaPlaneacion/Documentos%20compartidos/PROCESOS_OPDC_VIGENCIA%202024-2027/PROCESOS_OPDC_2024/EVIDENCIAS%202024/REUNIONES%20DE%20EQUIPO/EQUIPO%20GENERAL/FEBRERO/2024-02-26_REUNION%20DE%20EQUIPO%20OPDC?csf=1&amp;web=1&amp;e=fQmGqm" TargetMode="External"/><Relationship Id="rId57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5-07_CONSULTORIO%20PDD-%20JORNADA%2011%20-%20INTEGRACION%20SOCIAL?csf=1&amp;web=1&amp;e=yUvjYO" TargetMode="External"/><Relationship Id="rId78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8_DIALOGO%20CIUDADANO%20-VICTIMAS%20INDIGENAS%20DEL%20CONFLICTO%20ARMADO?csf=1&amp;web=1&amp;e=vDQeWO" TargetMode="External"/><Relationship Id="rId1217"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REUNIONES%20INDIVIDUALES/2024-08-21_GESTI%C3%93N%20BOLSA%20LOG%C3%8DSTICA%20CON%20LA%20SUBSECRETARIA%20-%20CTPD?csf=1&amp;web=1&amp;e=ik49bY" TargetMode="External"/><Relationship Id="rId226" Type="http://schemas.openxmlformats.org/officeDocument/2006/relationships/hyperlink" Target="https://drive.google.com/file/d/1LQpMSc4uJfs2qzOuTlg104PKKN7edB9Q/view?usp=sharing" TargetMode="External"/><Relationship Id="rId43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DE%20PARTICIPACI%C3%93N%20TERRITORIAL/2024-05-23_AUDIENCIA%20DEL%20DECRETO%20563%20DE%202023?csf=1&amp;web=1&amp;e=lIwPNU" TargetMode="External"/><Relationship Id="rId878"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ARTICIPACION/2024-03-27_COMISI%C3%93N%20EXTRAORDINARIA%20DE%20PARTICIPACI%C3%93N?csf=1&amp;web=1&amp;e=MUzlLe" TargetMode="External"/><Relationship Id="rId1063" Type="http://schemas.openxmlformats.org/officeDocument/2006/relationships/hyperlink" Target="https://teams.microsoft.com/dl/launcher/launcher.html?url=%2F_%23%2Fl%2Fmeetup-join%2F19%3Ameeting_NjI3MjY1MDMtOTFmOS00NGMxLThiNTAtZTQwNDY0OWViNTlm%40thread.v2%2F0%3Fcontext%3D%257b%2522Tid%2522%253a%2522823ace76-f3f5-4396-9a3b-bb149c779beb%2522%252c%2522Oid%2522%253a%2522ce087ce0-db4d-4178-b6cd-b3acc65a84d1%2522%257d%26anon%3Dtrue&amp;type=meetup-join&amp;deeplinkId=fcc57fe2-8418-48f9-9222-30fb8b6e797d&amp;directDl=true&amp;msLaunch=true&amp;enableMobilePage=true&amp;suppressPrompt=true" TargetMode="External"/><Relationship Id="rId1270" Type="http://schemas.openxmlformats.org/officeDocument/2006/relationships/hyperlink" Target="https://teams.microsoft.com/l/meetup-join/19%3ameeting_Y2M3N2EzZDYtZWQ2ZS00NGUwLWJiZjktZDEwYmNiYTFiZTNm%40thread.v2/0?context=%7b%22Tid%22%3a%22823ace76-f3f5-4396-9a3b-bb149c779beb%22%2c%22Oid%22%3a%226316b340-0d0c-4eaa-8aa6-fccc262ca404%22%7d" TargetMode="External"/><Relationship Id="rId64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7_JORNADA%20PEGATE%20AL%20PLAN?csf=1&amp;web=1&amp;e=hKHc0s" TargetMode="External"/><Relationship Id="rId738" Type="http://schemas.openxmlformats.org/officeDocument/2006/relationships/hyperlink" Target="https://teams.microsoft.com/l/meetup-join/19%3ameeting_NjlmMDhjZGYtYWZkZS00OGE3LWI3MDktNzZhMjMxNGU0NDYw%40thread.v2/0?context=%7b%22Tid%22%3a%22823ace76-f3f5-4396-9a3b-bb149c779beb%22%2c%22Oid%22%3a%229c309943-fbbd-4678-ad23-c1071e285941%22%7d" TargetMode="External"/><Relationship Id="rId94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7_ACTIV%20ACTORES%20ESTRATEGICOS%20CSYS%20TUNJUELITO?csf=1&amp;web=1&amp;e=ybieeb" TargetMode="External"/><Relationship Id="rId74" Type="http://schemas.openxmlformats.org/officeDocument/2006/relationships/hyperlink" Target="https://drive.google.com/file/d/1o7E5v1oJTbUg5cu2mdyRMr3ZtaZwj6Lt/view?usp=sharing" TargetMode="External"/><Relationship Id="rId37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5-31_PLAN%20DE%20TRABAJO%20PARA%20ACCIONES%20AFIRMATIVAS%20CON%20COMUNIDAD%20PALENQUERA?csf=1&amp;web=1&amp;e=KTGro4" TargetMode="External"/><Relationship Id="rId50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4_DIALOGO%20CIUDADANO%20-%20UPL%20ENGATIVA?csf=1&amp;web=1&amp;e=0mNgvr" TargetMode="External"/><Relationship Id="rId584"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USAQU%C3%89N/2024-05-03_SESION%20MAYO?csf=1&amp;web=1&amp;e=3xlh42" TargetMode="External"/><Relationship Id="rId80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9_DIALOGO%20CIUDADANO%20-%20UPL%20SALITRE?csf=1&amp;web=1&amp;e=ZeTYpk" TargetMode="External"/><Relationship Id="rId1130"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17%20-%20BOSA?csf=1&amp;web=1&amp;e=0zogBu" TargetMode="External"/><Relationship Id="rId1228"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COMISIONES/POT/2024-08-12_COMISI%C3%93N%20POT%20-%20CTPD?csf=1&amp;web=1&amp;e=9cCFHL" TargetMode="External"/><Relationship Id="rId5" Type="http://schemas.openxmlformats.org/officeDocument/2006/relationships/hyperlink" Target="https://drive.google.com/file/d/1BijdY2f7Wrk-uBWPPVJHqvZ3LXBTvSIU/view?usp=sharing" TargetMode="External"/><Relationship Id="rId237" Type="http://schemas.openxmlformats.org/officeDocument/2006/relationships/hyperlink" Target="http://meet.google.com/fru-bvhk-sjs" TargetMode="External"/><Relationship Id="rId79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6_DIALOGO%20CIUDADANO%20-%20UPL%20CUENCA%20DEL%20TUNJUELO?csf=1&amp;web=1&amp;e=9lHU4C" TargetMode="External"/><Relationship Id="rId889" Type="http://schemas.openxmlformats.org/officeDocument/2006/relationships/hyperlink" Target="https://teams.microsoft.com/l/meetup-join/19%3ameeting_ZWI0YWEyNDMtMmYwNC00NGVlLWI5MTYtNDI3ZjU1YmUwNDQ5%40thread.v2/0?context=%7b%22Tid%22%3a%22823ace76-f3f5-4396-9a3b-bb149c779beb%22%2c%22Oid%22%3a%226316b340-0d0c-4eaa-8aa6-fccc262ca404%22%7d" TargetMode="External"/><Relationship Id="rId107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2024-07-18_REU%20INTERSECTORIAL%20PPE?csf=1&amp;web=1&amp;e=YnNXDf" TargetMode="External"/><Relationship Id="rId444"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1_METODOLOGIA%20GRUPOS%20ETNICOS?csf=1&amp;web=1&amp;e=qLcsd1" TargetMode="External"/><Relationship Id="rId65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18_GAE%20-%20LOCALIDAD%20ANTONIO%20NARI%C3%91O?csf=1&amp;web=1&amp;e=L9jjD6" TargetMode="External"/><Relationship Id="rId74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10_PEDAGOGIA%20CHATICO-CLM%20SUBA?csf=1&amp;web=1&amp;e=fUy0n2" TargetMode="External"/><Relationship Id="rId1281" Type="http://schemas.openxmlformats.org/officeDocument/2006/relationships/hyperlink" Target="https://teams.microsoft.com/l/meetup-join/19%3ameeting_MDcyYjNiNzYtNjU5ZS00OTAyLWJhNjAtYTBiMTM3ZTYwN2Fk%40thread.v2/0?context=%7b%22Tid%22%3a%22823ace76-f3f5-4396-9a3b-bb149c779beb%22%2c%22Oid%22%3a%22a4f10e7d-23f1-4bbb-9952-41c273f603a2%22%7d" TargetMode="External"/><Relationship Id="rId29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FONTIBON/2024-06-04_SESION%20JUNIO?csf=1&amp;web=1&amp;e=AIVJtV" TargetMode="External"/><Relationship Id="rId304"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5-30_PRESENTACI%C3%93N%20PROPUESTA%20ASAMBLEA%20DELIBERATIVA%20AGORA?csf=1&amp;web=1&amp;e=agcnV4" TargetMode="External"/><Relationship Id="rId388"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2-29_PREPARACION%20FASE%20II%20-%20SDMUJER?csf=1&amp;web=1&amp;e=RkV3NA" TargetMode="External"/><Relationship Id="rId511"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6-17_COMISION%20DE%20PARTICIPACION?csf=1&amp;web=1&amp;e=Z5tdpe" TargetMode="External"/><Relationship Id="rId609"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LA%20CANDELARIA/2024-04-25_SESION%20ABRIL?csf=1&amp;web=1&amp;e=67DY7w" TargetMode="External"/><Relationship Id="rId956"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6-28_PLAN%20DE%20TRABAJO%20ASAMBLEAS%20CIUDADANAS?csf=1&amp;web=1&amp;e=s1Om09" TargetMode="External"/><Relationship Id="rId1141"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23%20-%20CENTRO%20HISTORICO?csf=1&amp;web=1&amp;e=YM8Dwd" TargetMode="External"/><Relationship Id="rId1239"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COMISIONES/POT/2024-08-27_COMISI%C3%93N%20POT%20-%20CTPD?csf=1&amp;web=1&amp;e=g0bAgX" TargetMode="External"/><Relationship Id="rId85" Type="http://schemas.openxmlformats.org/officeDocument/2006/relationships/hyperlink" Target="https://drive.google.com/file/d/1P-681HB4tL1iUxBsCQQR_O_RQ-WGaqhb/view?usp=sharing" TargetMode="External"/><Relationship Id="rId150" Type="http://schemas.openxmlformats.org/officeDocument/2006/relationships/hyperlink" Target="https://meet.google.com/uhe-rjjx-tex" TargetMode="External"/><Relationship Id="rId59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02_GAE%20-%20CONSEJO%20LOCAL%20DE%20RURALIDAD%20USME?csf=1&amp;web=1&amp;e=iQOxNQ" TargetMode="External"/><Relationship Id="rId81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04_GESTION_DIALOGO%20CIUDADANO%20ACNUR?csf=1&amp;web=1&amp;e=EGFQFt" TargetMode="External"/><Relationship Id="rId100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7-08_SOCIALIZACION%20PIP%20SECTOR%20NORTE%20-%20CPL%20SUBA?csf=1&amp;web=1&amp;e=X8ldvl" TargetMode="External"/><Relationship Id="rId248" Type="http://schemas.openxmlformats.org/officeDocument/2006/relationships/hyperlink" Target="https://meet.google.com/bvw-scnx-cxw" TargetMode="External"/><Relationship Id="rId45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12_PRESENTACION%20JAL%20SUMAPAZ?csf=1&amp;web=1&amp;e=C1sgqf" TargetMode="External"/><Relationship Id="rId662"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DE%20COORDINACION%20DEL%20PDD/2024-04-19_COMITE%20COORDINADOR%20INTERSECTORIAL%20DE%20PARTICIPACION%20PDD?csf=1&amp;web=1&amp;e=slLxpR" TargetMode="External"/><Relationship Id="rId108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7-19_COMITE%20ASAMBLEA%20DELIBERATIVA?csf=1&amp;web=1&amp;e=B63ip0" TargetMode="External"/><Relationship Id="rId1292" Type="http://schemas.openxmlformats.org/officeDocument/2006/relationships/hyperlink" Target="https://sdpgovco.sharepoint.com/:f:/r/sites/DirecciondeParticipacionyComunicacionparalaPlaneacion/Documentos%20compartidos/PROCESOS_OPDC_VIGENCIA%202024-2027/PROCESOS_OPDC_2024/EVIDENCIAS%202024/GESTI%C3%93N%20DEL%20PIPC/SMART%20CITY/2024-09-04_SEGUIMIENTO%20EVENTO%20DE%20SMART%20CITY?csf=1&amp;web=1&amp;e=UMZCvx" TargetMode="External"/><Relationship Id="rId1306" Type="http://schemas.openxmlformats.org/officeDocument/2006/relationships/hyperlink" Target="https://meet.google.com/eva-ikjn-kwc?authuser=1&amp;pli=1" TargetMode="External"/><Relationship Id="rId12" Type="http://schemas.openxmlformats.org/officeDocument/2006/relationships/hyperlink" Target="https://meet.google.com/tnt-ejsb-hoh" TargetMode="External"/><Relationship Id="rId108" Type="http://schemas.openxmlformats.org/officeDocument/2006/relationships/hyperlink" Target="https://drive.google.com/file/d/18UkBY4UWqtp1foG7dhf_iybdCpfVrnCp/view?usp=sharing" TargetMode="External"/><Relationship Id="rId315" Type="http://schemas.openxmlformats.org/officeDocument/2006/relationships/hyperlink" Target="../../../../../../:f:/r/sites/DirecciondeParticipacionyComunicacionparalaPlaneacion/Documentos%20compartidos/PROCESOS_OPDC_VIGENCIA%202024-2027/PROCESOS_OPDC_2024/EVIDENCIAS%202024/GESTI%C3%93N%20DEL%20PIPC/SISTEMA%20DE%20SITIOS%20SAGRADOS%20MUISCAS/2024-05-28_GESTION_%20MESA%20INTERSECTORIAL%20%20SPT%20-SSSM?csf=1&amp;web=1&amp;e=2Wjmxq" TargetMode="External"/><Relationship Id="rId52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5-16_CONSULTORIO%20PDD-%20JORNADA%2018%20-%20GESTION%20PUBLICA?csf=1&amp;web=1&amp;e=puA05E" TargetMode="External"/><Relationship Id="rId96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9_REACTIVACION%20ACT%20JAC%20LA%20MERCED?csf=1&amp;web=1&amp;e=K7tEV2" TargetMode="External"/><Relationship Id="rId1152"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29%20-%20TABORA?csf=1&amp;web=1&amp;e=S5H5Yx" TargetMode="External"/><Relationship Id="rId96" Type="http://schemas.openxmlformats.org/officeDocument/2006/relationships/hyperlink" Target="https://meet.google.com/ubi-wxge-vmz" TargetMode="External"/><Relationship Id="rId161" Type="http://schemas.openxmlformats.org/officeDocument/2006/relationships/hyperlink" Target="https://drive.google.com/file/d/1KNVkPLYqikykddokwf3u-sBY5oKyIiGi/view?usp=sharing" TargetMode="External"/><Relationship Id="rId399"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05_II%20FORO%20VIRTUAL%20PDD%20-%20SERVIDORES?csf=1&amp;web=1&amp;e=BpWEUw" TargetMode="External"/><Relationship Id="rId82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3_TALLER%20DIALOGO%20CIUDADANO-SUMMA?csf=1&amp;web=1&amp;e=96fr7f" TargetMode="External"/><Relationship Id="rId101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CALLE%2072/2024-07-09_AE%20CLL.%2072%20-%20ENCUENTRO%20VEEDUR%C3%8DA%20BARRIO%20COLOMBIA?csf=1&amp;web=1&amp;e=9dylt7" TargetMode="External"/><Relationship Id="rId259" Type="http://schemas.openxmlformats.org/officeDocument/2006/relationships/hyperlink" Target="http://meet.google.com/sfb-wsqh-wnz" TargetMode="External"/><Relationship Id="rId46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3_DIALOGO%20CIUDADANO%20-%20UPL%20BARRIOS%20UNIDOS?csf=1&amp;web=1&amp;e=R0RbuE" TargetMode="External"/><Relationship Id="rId67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20BOSA?csf=1&amp;web=1&amp;e=fFPP3X" TargetMode="External"/><Relationship Id="rId880"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T/2024-03-29_COMISI%C3%93N%20EXTARORDINARIA%20POT%20DEL%20CTPD?csf=1&amp;web=1&amp;e=NgZ4lB" TargetMode="External"/><Relationship Id="rId1096" Type="http://schemas.openxmlformats.org/officeDocument/2006/relationships/hyperlink" Target="https://teams.microsoft.com/l/meetup-join/19%3ameeting_NjI0YzAzN2QtNjVkMi00N2IxLTk1ZTItYzUwZmJiMTE1MmY5%40thread.v2/0?context=%7b%22Tid%22%3a%2214de155f-e192-44da-994d-1913d8658372%22%2c%22Oid%22%3a%22c414ee33-6949-427e-bf17-ea86ff12dbbb%22%7d" TargetMode="External"/><Relationship Id="rId23" Type="http://schemas.openxmlformats.org/officeDocument/2006/relationships/hyperlink" Target="https://drive.google.com/file/d/1aqUkEVyXv-Vyw5EI_zEYJ3_mW8Bez559/view?usp=sharing" TargetMode="External"/><Relationship Id="rId119" Type="http://schemas.openxmlformats.org/officeDocument/2006/relationships/hyperlink" Target="https://meet.google.com/ohd-ddqw-zgd" TargetMode="External"/><Relationship Id="rId32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NERALIDADES%20POT/2024-06-11_NORMA%20URBANA%20NUEVO%20POT%20EN%20SAN%20CRISTOBAL?csf=1&amp;web=1&amp;e=v8mFzs" TargetMode="External"/><Relationship Id="rId53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5-15_CONSULTORIO%20PDD-%20JORNADA%2016%20-%20EDUCACION?csf=1&amp;web=1&amp;e=TjUDq3" TargetMode="External"/><Relationship Id="rId97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7-06_ACOMPA%C3%91AMIENTO%20BTE%20BARRIO%20CORDILLERA%20SUR?csf=1&amp;web=1&amp;e=50K9WR" TargetMode="External"/><Relationship Id="rId1163" Type="http://schemas.openxmlformats.org/officeDocument/2006/relationships/hyperlink" Target="https://teams.microsoft.com/l/meetup-join/19%3ameeting_ODk0MDE3MmMtM2VjNi00YTE4LWJlNGYtOTdiMmUzMzVlNTFj%40thread.v2/0?context=%7b%22Tid%22%3a%2214de155f-e192-44da-994d-1913d8658372%22%2c%22Oid%22%3a%2289d60a93-da5c-4f66-906f-922bd75dd075%22%7d" TargetMode="External"/><Relationship Id="rId74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1_DI%C3%81LOGO%20CIUDADANO%20-ORG.%20POBLACION%20MIGRANTE?csf=1&amp;web=1&amp;e=WVtiNK" TargetMode="External"/><Relationship Id="rId838" Type="http://schemas.openxmlformats.org/officeDocument/2006/relationships/hyperlink" Target="../../../../../../:f:/r/sites/DirecciondeParticipacionyComunicacionparalaPlaneacion/Documentos%20compartidos/PROCESOS_OPDC_VIGENCIA%202024-2027/PROCESOS_OPDC_2024/EVIDENCIAS%202024/GESTI%C3%93N%20DEL%20PIPC/ESTRATIFICACION/2024-04-01_METODOLOGIA%20-%20COMUNICACIONES?csf=1&amp;web=1&amp;e=C6CdQs" TargetMode="External"/><Relationship Id="rId102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7-16_SOCIALIZACION%20PIP%20LOC%20USAQUEN%20JAL%20+%20AGENDA%20SEC%20NORTE?csf=1&amp;web=1&amp;e=fVEESH" TargetMode="External"/><Relationship Id="rId172" Type="http://schemas.openxmlformats.org/officeDocument/2006/relationships/hyperlink" Target="https://drive.google.com/file/d/1aGYWUllfWI_h353Z9oTd1ENtkpomA_oq/view?usp=sharing" TargetMode="External"/><Relationship Id="rId477"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PUENTE%20ARANDA/2024-05-21_SESION%20MAYO?csf=1&amp;web=1&amp;e=a2ZJz0" TargetMode="External"/><Relationship Id="rId60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17_GAE%20-%20LOCALIDAD%20CANDELARIA?csf=1&amp;web=1&amp;e=HnJskY" TargetMode="External"/><Relationship Id="rId68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20-%20CIUDAD%20BOLIVAR?csf=1&amp;web=1&amp;e=xemoP5" TargetMode="External"/><Relationship Id="rId1230"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COMISIONES/PDD/2024-08-13_COMISI%C3%93N%20PDD%20-%20CTPD?csf=1&amp;web=1&amp;e=Alkull" TargetMode="External"/><Relationship Id="rId337"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2-05_REUNION%20PREPARATORIA%20CON%20SDG?csf=1&amp;web=1&amp;e=83OQ65" TargetMode="External"/><Relationship Id="rId891"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6-25_MESA%20DE%20SEGUIMIENTO%20AGORA%20METROPOLITANA%20RMBC?csf=1&amp;web=1&amp;e=VLURcu" TargetMode="External"/><Relationship Id="rId905" Type="http://schemas.openxmlformats.org/officeDocument/2006/relationships/hyperlink" Target="https://teams.microsoft.com/l/meetup-join/19%3ameeting_NWY2MDY3NWMtMDNlOC00OTFlLWExZjItNWUwYWNiZDU5MTZj%40thread.v2/0?context=%7b%22Tid%22%3a%2214de155f-e192-44da-994d-1913d8658372%22%2c%22Oid%22%3a%22ae9147b3-6911-4fbc-af9d-8bed64aac1f6%22%7d" TargetMode="External"/><Relationship Id="rId98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08_GAE%20-%20UPL%20SAN%20CRISTOBAL%20SUBRED%20CENTRO%20ORIENTE?csf=1&amp;web=1&amp;e=VX1cIS" TargetMode="External"/><Relationship Id="rId34" Type="http://schemas.openxmlformats.org/officeDocument/2006/relationships/hyperlink" Target="https://capacitacion.moodle.serviciocivil.gov.co/curso/2170" TargetMode="External"/><Relationship Id="rId54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5-11_DIALOGO%20SDG%20-%20CABILDO%20MUISCA%20DE%20SUBA%20DE%20SUBA?csf=1&amp;web=1&amp;e=II2GhK" TargetMode="External"/><Relationship Id="rId751"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ANTONIO%20NARI%C3%91O/2024-04-10_SESION%20ABRIL?csf=1&amp;web=1&amp;e=An8GCh" TargetMode="External"/><Relationship Id="rId849"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DD/2024-03-21_%20SESI%C3%93N%20EXTRAORDINARIA%20DE%20LA%20%20COMISI%C3%93N%20PLAN%20DE%20DESARROLLO%20DISTRITAL?csf=1&amp;web=1&amp;e=tRHqUx" TargetMode="External"/><Relationship Id="rId1174"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LOS%20M%C3%81RTIRES/2024_07-30_SESION%20JULIO?csf=1&amp;web=1&amp;e=Fn393U" TargetMode="External"/><Relationship Id="rId183" Type="http://schemas.openxmlformats.org/officeDocument/2006/relationships/hyperlink" Target="https://meet.google.com/gtu-uouj-khd" TargetMode="External"/><Relationship Id="rId39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01_DIALOGO%20CIUDADANO%20-%20UPL%20SUBA%20RINCON?csf=1&amp;web=1&amp;e=bHafdk" TargetMode="External"/><Relationship Id="rId404"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T/2024-05-24_COMISION%20POT%20-%20CTPD?csf=1&amp;web=1&amp;e=8iyZaA" TargetMode="External"/><Relationship Id="rId611"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DD/2024-04-24_%20SESION%20ORDINARIA%20COMISION%20PDD%20-%20CTPD?csf=1&amp;web=1&amp;e=qwc8TO" TargetMode="External"/><Relationship Id="rId1034"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7-10_REUNION%20VIRTUAL%20DEVOLUCION%20REGION%20METROPOLITANA?csf=1&amp;web=1&amp;e=ovg12f" TargetMode="External"/><Relationship Id="rId1241"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8-30_CONVOCATORIA%20TERRITORIAL%20AD%20-%20SANTA%20FE?csf=1&amp;web=1&amp;e=IGppS4" TargetMode="External"/><Relationship Id="rId250" Type="http://schemas.openxmlformats.org/officeDocument/2006/relationships/hyperlink" Target="https://meet.google.com/nwh-sbnk-bzr" TargetMode="External"/><Relationship Id="rId488"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T/2024-05-17_COMISION%20POT%20-%20CTPD?csf=1&amp;web=1&amp;e=lWwz8h" TargetMode="External"/><Relationship Id="rId69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SANTA%20FE?csf=1&amp;web=1&amp;e=uEzjgb" TargetMode="External"/><Relationship Id="rId709"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CIUDAD%20BOLIVAR?csf=1&amp;web=1&amp;e=EuijVX" TargetMode="External"/><Relationship Id="rId91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5_GAE%20-%20CPL%20SUMAPAZ?csf=1&amp;web=1&amp;e=DOwkL0" TargetMode="External"/><Relationship Id="rId1101" Type="http://schemas.openxmlformats.org/officeDocument/2006/relationships/hyperlink" Target="mailto:lbarreto@sdp.gov.co" TargetMode="External"/><Relationship Id="rId45" Type="http://schemas.openxmlformats.org/officeDocument/2006/relationships/hyperlink" Target="https://drive.google.com/file/d/1rc7nHL06gPsuFnfSD7Kmwm1frVKKHyR6/view?usp=sharing" TargetMode="External"/><Relationship Id="rId110" Type="http://schemas.openxmlformats.org/officeDocument/2006/relationships/hyperlink" Target="https://meet.google.com/fub-dxuv-npz" TargetMode="External"/><Relationship Id="rId348"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DE%20COORDINACION%20DEL%20PDD/2024-02-14_INSTALACION%20COMITE?csf=1&amp;web=1&amp;e=ityZEO" TargetMode="External"/><Relationship Id="rId55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5-09_MESA%20DE%20GESTION%20TERRITORIAL%20BARRIO%20NUEVO%20CHILE%20-JAC?csf=1&amp;web=1&amp;e=n2kGdg" TargetMode="External"/><Relationship Id="rId76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7-14_DEVOLUCI%C3%93N%20CIUDADANA%20CONSTRUCCI%C3%93N%20PDD%20%E2%80%93%20CERROS%20(SAN%20LUIS)?csf=1&amp;web=1&amp;e=ic7mhP" TargetMode="External"/><Relationship Id="rId1185" Type="http://schemas.openxmlformats.org/officeDocument/2006/relationships/hyperlink" Target="https://acortar.link/7qPiHp" TargetMode="External"/><Relationship Id="rId194" Type="http://schemas.openxmlformats.org/officeDocument/2006/relationships/hyperlink" Target="https://teams.microsoft.com/l/meetup-join/19%3ameeting_YzU1MjZjZmYtNzZkYS00NDIxLWI0NDUtZjRmNjZmNTNiMGUy%40thread.v2/0?context=%7b%22Tid%22%3a%220f1156f1-406d-4123-99f0-a976b835b9b6%22%2c%22Oid%22%3a%22b142065a-d40f-4349-8c8f-d933cf872452%22%7d" TargetMode="External"/><Relationship Id="rId208" Type="http://schemas.openxmlformats.org/officeDocument/2006/relationships/hyperlink" Target="http://meet.google.com/gtu-uouj-khd" TargetMode="External"/><Relationship Id="rId41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06_REVISION%20METAS%20CONSEJO%20DISTRITAL%20DE%20JUVENTUD%20-%20SDIS?csf=1&amp;web=1&amp;e=XDuK6Z" TargetMode="External"/><Relationship Id="rId622"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DE%20COORDINACION%20DEL%20PDD/2024-04-24_COMITE%20COORDINADOR%20INTERSECTORIAL%20DE%20PARTICIPACION%20PDD?csf=1&amp;web=1&amp;e=HaCTSA" TargetMode="External"/><Relationship Id="rId104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16_JAL%20USME%20-%20UPL%20USME%20E%20-%20UPL%20CUENCA%20DEL%20TUNJUELO?csf=1&amp;web=1&amp;e=w0d3N3" TargetMode="External"/><Relationship Id="rId1252"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3_CONVOCATORIA%20TERRITORIAL%20AD%20-%20BARRIOS%20UNIDOS?csf=1&amp;web=1&amp;e=45gvUs" TargetMode="External"/><Relationship Id="rId261" Type="http://schemas.openxmlformats.org/officeDocument/2006/relationships/hyperlink" Target="../../../../../../:f:/r/sites/DirecciondeParticipacionyComunicacionparalaPlaneacion/Documentos%20compartidos/PROCESOS_OPDC_VIGENCIA%202024-2027/PROCESOS_OPDC_2024/EVIDENCIAS%202024/AGENDA%20DE%20OTROS%20INSTRUMENTOS%20DE%20PLANEACI%C3%93N/POLITICA%20PUBLICA%20LGBTI/2024-06-29_ORION%20MIORGULLO%20STONEWALL%20INN?csf=1&amp;web=1&amp;e=0G3Q5y" TargetMode="External"/><Relationship Id="rId49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14_CONCERTACION%20METODOLOGIA%20-%20RAIZALES?csf=1&amp;web=1&amp;e=PgmTBl" TargetMode="External"/><Relationship Id="rId92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LEGALIZACI%C3%93N%20URBAN%C3%8DSTICA/2024-07-24_LEGALIZACION%20URBANISTICA%20VILLA%20ANGEL?csf=1&amp;web=1&amp;e=qbqlHl" TargetMode="External"/><Relationship Id="rId1112"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7-23_SESION%20ORDINARIA%20PLENARIA%20CTPD?csf=1&amp;web=1&amp;e=Y3rwXa" TargetMode="External"/><Relationship Id="rId56" Type="http://schemas.openxmlformats.org/officeDocument/2006/relationships/hyperlink" Target="https://teams.microsoft.com/l/meetup-join/19:meeting_MTlkNTg4N2MtMjBjZi00YTRlLTkxOGUtZTBmMzg2MDkyMjg3@thread.v2/0?context=%7B%22Tid%22:%220f1156f1-406d-4123-99f0-a976b835b9b6%22,%22Oid%22:%22430bc0ff-ce83-4fe8-b1ae-8552f898fc40%22%7D" TargetMode="External"/><Relationship Id="rId359" Type="http://schemas.openxmlformats.org/officeDocument/2006/relationships/hyperlink" Target="../../../../../../:f:/r/sites/DirecciondeParticipacionyComunicacionparalaPlaneacion/Documentos%20compartidos/PROCESOS_OPDC_VIGENCIA%202024-2027/PROCESOS_OPDC_2024/EVIDENCIAS%202024/AGENDA%20CON%20INSTANCIAS/ACOMPA%C3%91AMIENTO%20CTPD/CURSO%20CTPD/2024-02-22_CURSO%20CTPD%20-%20MODULO%201%20JORNADA%201?csf=1&amp;web=1&amp;e=fpmPKj" TargetMode="External"/><Relationship Id="rId566"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TEUSAQUILLO/2024-05-08_SESION%20MAYO?csf=1&amp;web=1&amp;e=dQQwx3" TargetMode="External"/><Relationship Id="rId773" Type="http://schemas.openxmlformats.org/officeDocument/2006/relationships/hyperlink" Target="../../../../../../:f:/r/sites/DirecciondeParticipacionyComunicacionparalaPlaneacion/Documentos%20compartidos/PROCESOS_OPDC_VIGENCIA%202024-2027/PROCESOS_OPDC_2024/EVIDENCIAS%202024/AGENDA%20CON%20INSTANCIAS/ACOMPA%C3%91AMIENTO%20CTPD/MESAS%20DIRECTIVAS/2024-04-08_JUNTA%20DIRECTIVA%20CTPD?csf=1&amp;web=1&amp;e=bVgaWe" TargetMode="External"/><Relationship Id="rId1196" Type="http://schemas.openxmlformats.org/officeDocument/2006/relationships/hyperlink" Target="https://sdpgovco.sharepoint.com/:f:/r/sites/DirecciondeParticipacionyComunicacionparalaPlaneacion/Documentos%20compartidos/PROCESOS_OPDC_VIGENCIA%202024-2027/PROCESOS_OPDC_2024/EVIDENCIAS%202024/AGENDA%20DE%20OTROS%20INSTRUMENTOS%20DE%20PLANEACI%C3%93N/PLAN%20DISTRITAL%20DE%20DESARROLLO/2024-03-21_DIALOGO%20CIUDADANO%20PARA%20LA%20FORMULACION%20DEL%20PDD%20LGBTI?csf=1&amp;web=1&amp;e=qaAQsi" TargetMode="External"/><Relationship Id="rId121" Type="http://schemas.openxmlformats.org/officeDocument/2006/relationships/hyperlink" Target="https://drive.google.com/file/d/1-B-KwtTaReX50kXuPu2bSaSo5H7Z8ZpX/view?usp=sharing" TargetMode="External"/><Relationship Id="rId219" Type="http://schemas.openxmlformats.org/officeDocument/2006/relationships/hyperlink" Target="https://drive.google.com/file/d/1r_oH4TRfvAob1aXFJlK2U4WvxdiBmhRZ/view?usp=sharing" TargetMode="External"/><Relationship Id="rId426" Type="http://schemas.openxmlformats.org/officeDocument/2006/relationships/hyperlink" Target="../../../../../../:f:/r/sites/DirecciondeParticipacionyComunicacionparalaPlaneacion/Documentos%20compartidos/PROCESOS_OPDC_VIGENCIA%202024-2027/PROCESOS_OPDC_2024/EVIDENCIAS%202024/AGENDA%20CON%20INSTANCIAS/CCPH%20-CONSEJO%20CONSULTIVO%20DE%20PROPIEDAD%20HORIZONTAL/2024-05-23_SESION%20CONSEJO%20DE%20PROPIEDAD%20HORIZONTAL?csf=1&amp;web=1&amp;e=FCn8Ef" TargetMode="External"/><Relationship Id="rId63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15_CONCERTACION%20METODOLOGIA%20-%20PALENQUEROS?csf=1&amp;web=1&amp;e=0Kukjo" TargetMode="External"/><Relationship Id="rId98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REUNIONES%20INDIVIDUALES/2024-07-03_CAPACITACI%C3%93N%20GENERAL%20-%20FASE%20IV%20PDD?csf=1&amp;web=1&amp;e=mho6vh" TargetMode="External"/><Relationship Id="rId105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17_GAE%20-%20CCPH%20LOCALIDAD%20USAQUEN?csf=1&amp;web=1&amp;e=u8SXAF" TargetMode="External"/><Relationship Id="rId1263"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9_CONVOCATORIA%20TERRITORIAL%20AD%20-%20ANTONIO%20NARI%C3%91O?csf=1&amp;web=1&amp;e=sNjPqE" TargetMode="External"/><Relationship Id="rId84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20_II%20DIALOGO%20CIUDADANO%20POBLACIONAL%20-%20NI%C3%91OS,%20NI%C3%91AS%20Y%20ADOLESCENTES?csf=1&amp;web=1&amp;e=a8pebJ" TargetMode="External"/><Relationship Id="rId93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6_GAE%20-%20UPL%20USME%20CPL?csf=1&amp;web=1&amp;e=RUXTFc" TargetMode="External"/><Relationship Id="rId67" Type="http://schemas.openxmlformats.org/officeDocument/2006/relationships/hyperlink" Target="http://meet.google.com/prz-ywsw-qew" TargetMode="External"/><Relationship Id="rId272"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CHAPINERO/2024-06-11_SESION%20JUNIO?csf=1&amp;web=1&amp;e=wUDUci" TargetMode="External"/><Relationship Id="rId57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06_%20SESION%20DE%20CONCEJO%20-%20FORMULACION%20PDD?csf=1&amp;web=1&amp;e=mxeBzY" TargetMode="External"/><Relationship Id="rId700"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BOSA?csf=1&amp;web=1&amp;e=gKxJNG" TargetMode="External"/><Relationship Id="rId1123" Type="http://schemas.openxmlformats.org/officeDocument/2006/relationships/hyperlink" Target="mailto:lbarreto@sdp.gov.co" TargetMode="External"/><Relationship Id="rId132" Type="http://schemas.openxmlformats.org/officeDocument/2006/relationships/hyperlink" Target="https://drive.google.com/file/d/1Ud7osza4ivA-vMCnxCe0SKoOvXEAh3eb/view?usp=sharing" TargetMode="External"/><Relationship Id="rId78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7_JORNADA%20PEGATE%20AL%20PLAN%20-%20GRAN%20ESTACION?csf=1&amp;web=1&amp;e=WFxw2y" TargetMode="External"/><Relationship Id="rId991" Type="http://schemas.openxmlformats.org/officeDocument/2006/relationships/hyperlink" Target="https://teams.microsoft.com/l/meetup-join/19%3ameeting_MmI0NDE2ODYtMDY4NS00YWQ0LThmYTctNDdhNmM5OGJiYzA3%40thread.v2/0?context=%7b%22Tid%22%3a%22823ace76-f3f5-4396-9a3b-bb149c779beb%22%2c%22Oid%22%3a%226316b340-0d0c-4eaa-8aa6-fccc262ca404%22%7d" TargetMode="External"/><Relationship Id="rId106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7-17_PREPARATORIA%20CARTOGRAFIA%20SOC%20AF%20COM%20NEGRA%20AFRO?csf=1&amp;web=1&amp;e=sFdp1g" TargetMode="External"/><Relationship Id="rId43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08_COORDINACION%20ACODRES?csf=1&amp;web=1&amp;e=G2tC2m" TargetMode="External"/><Relationship Id="rId644"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8_%20PREPARATORIA%20ETNICOS?csf=1&amp;web=1&amp;e=iop9Ne" TargetMode="External"/><Relationship Id="rId85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21_GESTI%C3%93N_MESA%20RURAL%20BOGOT%C3%81?csf=1&amp;web=1&amp;e=lx6ePR" TargetMode="External"/><Relationship Id="rId1274"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POLITICAS%20PUBLICAS/2024-09-03_PILOTAJE%20TALLER%20PP%20POBREZA?csf=1&amp;web=1&amp;e=9be9js" TargetMode="External"/><Relationship Id="rId283"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RAFAEL%20URIBE%20URIBE/2024-06-05_SESION%20JUNIO?csf=1&amp;web=1&amp;e=ZCXO4Z" TargetMode="External"/><Relationship Id="rId49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5-17_REUNION%20PREPARATORIA%20ACCION%20AFIRMATIVA%20CON%20COMUNIDAD%20RAIZAL%20Y%20PALENQUERA?csf=1&amp;web=1&amp;e=WJuar6" TargetMode="External"/><Relationship Id="rId504" Type="http://schemas.openxmlformats.org/officeDocument/2006/relationships/hyperlink" Target="https://teams.microsoft.com/l/meetup-join/19%3ameeting_MmE1MGJhY2QtMmFjMy00MWQ5LWE3ODgtNTM1YjE4MjNhNDQz%40thread.v2/0?context=%7b%22Tid%22%3a%22823ace76-f3f5-4396-9a3b-bb149c779beb%22%2c%22Oid%22%3a%229c309943-fbbd-4678-ad23-c1071e285941%22%7d" TargetMode="External"/><Relationship Id="rId711"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SUMAPAZ%20-%20RIO%20BLANCO?csf=1&amp;web=1&amp;e=qXoNH8" TargetMode="External"/><Relationship Id="rId949" Type="http://schemas.openxmlformats.org/officeDocument/2006/relationships/hyperlink" Target="../../../../../../:f:/r/sites/DirecciondeParticipacionyComunicacionparalaPlaneacion/Documentos%20compartidos/PROCESOS_OPDC_VIGENCIA%202024-2027/PROCESOS_OPDC_2024/EVIDENCIAS%202024/AGENDA%20CON%20INSTANCIAS/ACOMPA%C3%91AMIENTO%20CTPD/MESAS%20DIRECTIVAS/2024-07-02_MESA%20DIRECTIVA%20CTPD?csf=1&amp;web=1&amp;e=89LLH4" TargetMode="External"/><Relationship Id="rId1134" Type="http://schemas.openxmlformats.org/officeDocument/2006/relationships/hyperlink" Target="mailto:lbarreto@sdp.gov.co" TargetMode="External"/><Relationship Id="rId78" Type="http://schemas.openxmlformats.org/officeDocument/2006/relationships/hyperlink" Target="https://meet.google.com/hyq-exxk-ito" TargetMode="External"/><Relationship Id="rId143" Type="http://schemas.openxmlformats.org/officeDocument/2006/relationships/hyperlink" Target="https://meet.google.com/dxp-qkzf-ieh" TargetMode="External"/><Relationship Id="rId35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_%20SENTIRES%20CIUDADANOS/2024-02-15_TALLER%20SUBREGION%20SUR?csf=1&amp;web=1&amp;e=QsvKQg" TargetMode="External"/><Relationship Id="rId588"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5-02_PLENARIA%20PERMANENTE%20CTPD?csf=1&amp;web=1&amp;e=QBhEpD" TargetMode="External"/><Relationship Id="rId795" Type="http://schemas.openxmlformats.org/officeDocument/2006/relationships/hyperlink" Target="https://acortar.link/rQKvHr" TargetMode="External"/><Relationship Id="rId80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SITIOS%20SAGRADOS%20MUYSCAS/2024-04-05_DIALOGO%20CON%20CABILDO%20MUYSCA%20DE%20SUBA?csf=1&amp;web=1&amp;e=XFKl4k" TargetMode="External"/><Relationship Id="rId1201" Type="http://schemas.openxmlformats.org/officeDocument/2006/relationships/hyperlink" Target="https://sdpgovco.sharepoint.com/:f:/r/sites/DirecciondeParticipacionyComunicacionparalaPlaneacion/Documentos%20compartidos/PROCESOS_OPDC_VIGENCIA%202024-2027/PROCESOS_OPDC_2024/EVIDENCIAS%202024/AGENDA%20DE%20OTROS%20INSTRUMENTOS%20DE%20PLANEACI%C3%93N/PLAN%20DISTRITAL%20DE%20DESARROLLO/2024-04-06_DIALOGO%20CON%20PERSONAS%20CUIDADORAS%20DE%20PERSONAS%20CON%20DISCAPACIDAD%20(DDSPG)?csf=1&amp;web=1&amp;e=0fTNDI" TargetMode="External"/><Relationship Id="rId9" Type="http://schemas.openxmlformats.org/officeDocument/2006/relationships/hyperlink" Target="https://meet.google.com/bde-vcfz-tik" TargetMode="External"/><Relationship Id="rId210" Type="http://schemas.openxmlformats.org/officeDocument/2006/relationships/hyperlink" Target="https://meet.google.com/qbo-qtjo-gxi" TargetMode="External"/><Relationship Id="rId448"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1_CAPACITACION%20TRANSMILENIO?csf=1&amp;web=1&amp;e=9kpwjv" TargetMode="External"/><Relationship Id="rId65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9-28_DEVOLUCI%C3%93N%20PDD%20-%20SECTOR%20OCCIEDENTE?csf=1&amp;web=1&amp;e=wShHM7" TargetMode="External"/><Relationship Id="rId862"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22_PREPARATORIA%20PUEBLOS%20INDIGENAS?csf=1&amp;web=1&amp;e=qgHsDK" TargetMode="External"/><Relationship Id="rId107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NERALIDADES%20POT/2024-07-26_SOCIALIZACION%20UPL%20-%20OCCIDENTE%20JAL%20ENGATIVA?csf=1&amp;web=1&amp;e=kCpsgD" TargetMode="External"/><Relationship Id="rId1285"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PLENARIAS/2024-09-02_PLENARIA%20PERMANENTE%20CTPD?csf=1&amp;web=1&amp;e=atpFUM" TargetMode="External"/><Relationship Id="rId29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CAMPIN%207%20DE%20AGOSTO/2024-05-31_REUNION%20PREPARATORIA%20-%20PRESIDENTES%20JAC?csf=1&amp;web=1&amp;e=IXKgdJ" TargetMode="External"/><Relationship Id="rId30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_05_29_SESION%20DE%20CONCEJO%20-%20FORMULACION%20PDD%20-%20TARDE?csf=1&amp;web=1&amp;e=7uNftD" TargetMode="External"/><Relationship Id="rId515" Type="http://schemas.openxmlformats.org/officeDocument/2006/relationships/hyperlink" Target="../../../../../../:f:/r/sites/DirecciondeParticipacionyComunicacionparalaPlaneacion/Documentos%20compartidos/PROCESOS_OPDC_VIGENCIA%202024-2027/PROCESOS_OPDC_2024/EVIDENCIAS%202024/GESTI%C3%93N%20DEL%20PIPC/FORMULACI%C3%93N%20AE/2024-05-17_CAPACITACION%20ACTUACIONES%20ESTRATEGICAS?csf=1&amp;web=1&amp;e=8wXOLN" TargetMode="External"/><Relationship Id="rId722"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4-12_ARTICULACION%20ASAMBLEAS%20CIUDADANAS?csf=1&amp;web=1&amp;e=2VJexh" TargetMode="External"/><Relationship Id="rId1145" Type="http://schemas.openxmlformats.org/officeDocument/2006/relationships/hyperlink" Target="mailto:lbarreto@sdp.gov.co" TargetMode="External"/><Relationship Id="rId89" Type="http://schemas.openxmlformats.org/officeDocument/2006/relationships/hyperlink" Target="https://tel.meet/hjq-ujrs-nms?pin=2659448860485" TargetMode="External"/><Relationship Id="rId154" Type="http://schemas.openxmlformats.org/officeDocument/2006/relationships/hyperlink" Target="http://meet.google.com/mev-ebex-iex" TargetMode="External"/><Relationship Id="rId36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GENERAL%20DE%20REGALIAS/2024-02-23_AUDIENCIA%20EJERCICIOS%20DE%20PLANEACION%20PARTICIPATIVA%20-%20REGALIAS?csf=1&amp;web=1&amp;e=CE6OSf" TargetMode="External"/><Relationship Id="rId59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LEGALIZACI%C3%93N%20URBAN%C3%8DSTICA/2024-04-27_MESA%20DE%20TRABAJO%20-%20SECTOR%20REPUBLICA%20DE%20CANADA%20Y%20SANTA%20MARTA?csf=1&amp;web=1&amp;e=55JGMU" TargetMode="External"/><Relationship Id="rId1005" Type="http://schemas.openxmlformats.org/officeDocument/2006/relationships/hyperlink" Target="https://teams.microsoft.com/l/meetup-join/19%3ameeting_MWNhZGEzZmQtMTlmYy00MTlmLTgyNWQtN2M3ODY5ZjE0MWI2%40thread.v2/0?context=%7b%22Tid%22%3a%22823ace76-f3f5-4396-9a3b-bb149c779beb%22%2c%22Oid%22%3a%226316b340-0d0c-4eaa-8aa6-fccc262ca404%22%7d" TargetMode="External"/><Relationship Id="rId1212" Type="http://schemas.openxmlformats.org/officeDocument/2006/relationships/hyperlink" Target="https://meet.google.com/voh-vxpc-zjs" TargetMode="External"/><Relationship Id="rId459"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TEUSAQUILLO/2024-03-13_SESION%20MARZO?csf=1&amp;web=1&amp;e=BIg4lj" TargetMode="External"/><Relationship Id="rId66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CANDELARIA?csf=1&amp;web=1&amp;e=4ucP6K" TargetMode="External"/><Relationship Id="rId873"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DD/2024-03-26_SESI%C3%93N%20EXTRAORDINARIA%20DE%20LA%20COMISI%C3%93N%20DE%20PDD%20DEL%20CTPD?csf=1&amp;web=1&amp;e=mdbxdF" TargetMode="External"/><Relationship Id="rId1089" Type="http://schemas.openxmlformats.org/officeDocument/2006/relationships/hyperlink" Target="https://acortar.link/b7IQXG" TargetMode="External"/><Relationship Id="rId1296" Type="http://schemas.openxmlformats.org/officeDocument/2006/relationships/hyperlink" Target="https://sdpgovco.sharepoint.com/:f:/r/sites/DirecciondeParticipacionyComunicacionparalaPlaneacion/Documentos%20compartidos/PROCESOS_OPDC_VIGENCIA%202024-2027/PROCESOS_OPDC_2024/EVIDENCIAS%202024/GESTI%C3%93N%20DEL%20PIPC/SMART%20CITY/2024-09-05_SEGUIMIENTO%20DE%20SMART%20CITY?csf=1&amp;web=1&amp;e=QbkA0U" TargetMode="External"/><Relationship Id="rId16" Type="http://schemas.openxmlformats.org/officeDocument/2006/relationships/hyperlink" Target="http://meet.google.com/msf-zkqa-wqq" TargetMode="External"/><Relationship Id="rId221" Type="http://schemas.openxmlformats.org/officeDocument/2006/relationships/hyperlink" Target="https://drive.google.com/file/d/1VczUb3zmt09OTaTJa5Y6uRaYkKoL-CF0/view?usp=sharing" TargetMode="External"/><Relationship Id="rId31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5-28_ENCUENTRO%20FUNDACI%C3%93N%20COLOMBIA%202050?csf=1&amp;web=1&amp;e=78bZWB" TargetMode="External"/><Relationship Id="rId526"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BLACIONAL/2024-05-15_COMISION%20POBLACIONAL%20-%20CTPD?csf=1&amp;web=1&amp;e=U5BK0h" TargetMode="External"/><Relationship Id="rId1156"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31%20-%20PUENTE%20ARANDA?csf=1&amp;web=1&amp;e=EsKt2v" TargetMode="External"/><Relationship Id="rId73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19_GAE%20-%20LOCALIDAD%20SANTA%20FE?csf=1&amp;web=1&amp;e=TG809J" TargetMode="External"/><Relationship Id="rId94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6_GAE%20-%20LOCALIDAD%20PUENTE%20ARANDA%20(CPL)?csf=1&amp;web=1&amp;e=vTxUP5" TargetMode="External"/><Relationship Id="rId101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7-08_SOCIALIZACION%20PIP%20JAL%20TUNJUELITO?csf=1&amp;web=1&amp;e=Bgj8Vb" TargetMode="External"/><Relationship Id="rId165" Type="http://schemas.openxmlformats.org/officeDocument/2006/relationships/hyperlink" Target="https://drive.google.com/file/d/167nns2Su2npp1X9LbF83L_kUyc6RY7tj/view?usp=sharing" TargetMode="External"/><Relationship Id="rId372"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6-11_PLENARIA%20PERMANENTE%20CTPD?csf=1&amp;web=1&amp;e=XTUut3" TargetMode="External"/><Relationship Id="rId67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SAN%20CRISTOBAL?csf=1&amp;web=1&amp;e=8U9LnZ" TargetMode="External"/><Relationship Id="rId80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PUENTE%20ARANDA/2024-03-19_SESION%20MARZO?csf=1&amp;web=1&amp;e=RXQly0" TargetMode="External"/><Relationship Id="rId1223"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COMISIONES/PARTICIPACION/2024-08-26_COMISI%C3%93N%20DE%20PARTICIPACI%C3%93N%20-%20CTPD?csf=1&amp;web=1&amp;e=fmPHJ2" TargetMode="External"/><Relationship Id="rId232" Type="http://schemas.openxmlformats.org/officeDocument/2006/relationships/hyperlink" Target="http://meet.google.com/vqw-cgnn-moa" TargetMode="External"/><Relationship Id="rId884"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3-30_PLENARIA%20EXTRAORDINARIA%20PERMANENTE%20CTPD?csf=1&amp;web=1&amp;e=Gr0CCy" TargetMode="External"/><Relationship Id="rId27" Type="http://schemas.openxmlformats.org/officeDocument/2006/relationships/hyperlink" Target="https://teams.microsoft.com/l/meetup-join/19%3ameeting_MjhiMDVlODQtMTAzOC00ZDM2LTk1MGEtNTMwNzY1NzM1MjRi%40thread.v2/0?context=%7b%22Tid%22%3a%2262014016-9db4-44c2-bf33-e4366b82fdaa%22%2c%22Oid%22%3a%2230a857c4-693b-4638-8455-ae5dc1affa32%22%7d" TargetMode="External"/><Relationship Id="rId53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5-14_GESTI%C3%93N_%20PEDAGOGIA%20PDD%20-%20FHI360?csf=1&amp;web=1&amp;e=6urW1C" TargetMode="External"/><Relationship Id="rId744" Type="http://schemas.openxmlformats.org/officeDocument/2006/relationships/hyperlink" Target="https://teams.microsoft.com/l/meetup-join/19%3ameeting_MWZkZDQ1YjYtNzcwYS00OTYwLWExOTEtYzgyOWMyNDBkYWM1%40thread.v2/0?context=%7b%22Tid%22%3a%22823ace76-f3f5-4396-9a3b-bb149c779beb%22%2c%22Oid%22%3a%2230095baa-f3a4-44b0-97c5-ae6c1d86c3e0%22%7d" TargetMode="External"/><Relationship Id="rId95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08_GAE%20-%20JAC%20SAN%20NICOLAS%20UPL%20NIZA?csf=1&amp;web=1&amp;e=PAT7Pg" TargetMode="External"/><Relationship Id="rId1167" Type="http://schemas.openxmlformats.org/officeDocument/2006/relationships/hyperlink" Target="https://teams.microsoft.com/l/meetup-join/19%3ameeting_M2UxNjFjODItN2FlMi00OTMwLWFhMTAtYmI1OWVmNDA2ZGNj%40thread.v2/0?context=%7b%22Tid%22%3a%22fc531237-43c6-44de-a1e8-d3bf6dc436e1%22%2c%22Oid%22%3a%22cad5d646-046d-49df-a496-74085da18f67%22%7d" TargetMode="External"/><Relationship Id="rId80" Type="http://schemas.openxmlformats.org/officeDocument/2006/relationships/hyperlink" Target="https://drive.google.com/file/d/19zLv4DOc-IGnFyUPpTPzrjJZ96DdjvUl/view" TargetMode="External"/><Relationship Id="rId176" Type="http://schemas.openxmlformats.org/officeDocument/2006/relationships/hyperlink" Target="https://drive.google.com/file/d/1q5vaZJphmrLdXus9jHZd8crdNWP2MHQT/view?usp=sharing" TargetMode="External"/><Relationship Id="rId38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_%20SENTIRES%20CIUDADANOS/2024-02-28_FORO%20-%20APUESTAS%20ESTRATEGICAS%20DEL%20PDD?csf=1&amp;web=1&amp;e=YHQEkp" TargetMode="External"/><Relationship Id="rId59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5-02_CONSULTORIO%20PDD-%20JORNADA%208%20-%20SALUD?csf=1&amp;web=1&amp;e=FtLbiQ" TargetMode="External"/><Relationship Id="rId604"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4-25_PLENARIA%20ORDINARIA%20CTPD?csf=1&amp;web=1&amp;e=sy7lTM" TargetMode="External"/><Relationship Id="rId811" Type="http://schemas.openxmlformats.org/officeDocument/2006/relationships/hyperlink" Target="../../../../../../:f:/r/sites/DirecciondeParticipacionyComunicacionparalaPlaneacion/Documentos%20compartidos/PROCESOS_OPDC_VIGENCIA%202024-2027/PROCESOS_OPDC_2024/EVIDENCIAS%202024/AGENDA%20CON%20INSTANCIAS/RED%20INSTITUCIONAL%20DE%20VEEDURIAS%20CIUDADANAS/2024-04-05_SESION%20EXTRAORDINARIA%20DE%20LA%20RED%20DE%20VEEDURIAS?csf=1&amp;web=1&amp;e=89abdL" TargetMode="External"/><Relationship Id="rId102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7-16_PREPARATORIA%20SPDL%20ACC%20AFIR%20AFROCOLOMBIANA?csf=1&amp;web=1&amp;e=WgzvtL" TargetMode="External"/><Relationship Id="rId1234"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REUNIONES%20INDIVIDUALES/2024-08-20_REUNI%C3%93N%20CONSEJERA%20CLAUDIA%20SOLORZANO%20-%20CTPD?csf=1&amp;web=1&amp;e=hXfo0w" TargetMode="External"/><Relationship Id="rId243" Type="http://schemas.openxmlformats.org/officeDocument/2006/relationships/hyperlink" Target="https://teams.microsoft.com/l/meetup-join/19%3ameeting_OWQzMjk5NDEtNDA5MC00MDIyLTk4ZmUtY2EzYjFkZTUyYzJh%40thread.v2/0?context=%7b%22Tid%22%3a%2214de155f-e192-44da-994d-1913d8658372%22%2c%22Oid%22%3a%2204a273b8-28ba-4099-9b31-ca5e8d396a0f%22%7d" TargetMode="External"/><Relationship Id="rId450"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3-11_PLENARIA%20PERMANENTE?csf=1&amp;web=1&amp;e=ORSgu7" TargetMode="External"/><Relationship Id="rId688"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20SEGUNDA%20REUNION%20PREPARATORIA%20AUDIENCIA%20PPI%20-%20%20PUENTE%20ARANDA?csf=1&amp;web=1&amp;e=X4Bb1f" TargetMode="External"/><Relationship Id="rId895" Type="http://schemas.openxmlformats.org/officeDocument/2006/relationships/hyperlink" Target="https://acortar.link/HLchso" TargetMode="External"/><Relationship Id="rId909" Type="http://schemas.openxmlformats.org/officeDocument/2006/relationships/hyperlink" Target="../../../../../../:f:/r/sites/DirecciondeParticipacionyComunicacionparalaPlaneacion/Documentos%20compartidos/PROCESOS_OPDC_VIGENCIA%202024-2027/PROCESOS_OPDC_2024/EVIDENCIAS%202024/GESTI%C3%93N%20DEL%20PIPC/SOCIALIZACI%C3%93N%20PIPC/2024-05-14_ESCUELA%20DE%20PENSAMIENTO?csf=1&amp;web=1&amp;e=mnLsGH" TargetMode="External"/><Relationship Id="rId108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UBA/2024-07-25_SESION%20JULIO?csf=1&amp;web=1&amp;e=fPwNg2" TargetMode="External"/><Relationship Id="rId1301"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10_CONVOCATORIA%20META%20ASAMBLEA%20%20-%20TUNJUELITO?csf=1&amp;web=1&amp;e=l85XeH" TargetMode="External"/><Relationship Id="rId38" Type="http://schemas.openxmlformats.org/officeDocument/2006/relationships/hyperlink" Target="https://capacitacion.moodle.serviciocivil.gov.co/curso/2171" TargetMode="External"/><Relationship Id="rId103" Type="http://schemas.openxmlformats.org/officeDocument/2006/relationships/hyperlink" Target="https://drive.google.com/file/d/1-dhr59fZNgHu37VCi0OVKiYgODktnkHt/view?usp=sharing" TargetMode="External"/><Relationship Id="rId310" Type="http://schemas.openxmlformats.org/officeDocument/2006/relationships/hyperlink" Target="../../../../../../:f:/r/sites/DirecciondeParticipacionyComunicacionparalaPlaneacion/Documentos%20compartidos/PROCESOS_OPDC_VIGENCIA%202024-2027/PROCESOS_OPDC_2024/EVIDENCIAS%202024/AGENDA%20CON%20INSTANCIAS/ACOMPA%C3%91AMIENTO%20CTPD/REUNIONES%20INDIVIDUALES/2024-05-29_%20ELECCION%20DE%20ORGANIZACIONES%20-%20SDS?csf=1&amp;web=1&amp;e=VYYrs9" TargetMode="External"/><Relationship Id="rId54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2024-05-10_ENCUENTRO%20NACIONAL%20DE%20JOVENES%20AFRO,%20PALENQUEROS%20Y%20RAIZALES?csf=1&amp;web=1&amp;e=cSRb5G" TargetMode="External"/><Relationship Id="rId75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9-28_DEVOLUCI%C3%93N%20PDD%20-%20CUENCA%20DEL%20RIO%20-%20LA%20UNION?csf=1&amp;web=1&amp;e=PkHwGV" TargetMode="External"/><Relationship Id="rId96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CAMPIN%207%20DE%20AGOSTO/2024-07-11_RESULTADOS%20DEL%20DIA%20CIU%20DIREC%20-%20AE%20CAMPIN%207%20DE%20AGOSTO?csf=1&amp;web=1&amp;e=wIbhRj" TargetMode="External"/><Relationship Id="rId1178"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8-09_DEVOLUCI%C3%93N%20PDD%20NI%C3%91OS,%20NI%C3%91AS%20Y%20ADOLESCENTES?csf=1&amp;web=1&amp;e=6JpvYV" TargetMode="External"/><Relationship Id="rId91" Type="http://schemas.openxmlformats.org/officeDocument/2006/relationships/hyperlink" Target="https://meet.google.com/ikj-kdhk-xze?authuser=0" TargetMode="External"/><Relationship Id="rId187" Type="http://schemas.openxmlformats.org/officeDocument/2006/relationships/hyperlink" Target="https://tel.meet/oey-norq-uda?pin=4967612829454" TargetMode="External"/><Relationship Id="rId39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02_DIALOGO%20CIUDADANO%20-%20UPL%20FONTIBON?csf=1&amp;web=1&amp;e=xGBDrh" TargetMode="External"/><Relationship Id="rId40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2024-03-05_CONVERSATORIO%20-%20COMBO2600?csf=1&amp;web=1&amp;e=pJ0sbU" TargetMode="External"/><Relationship Id="rId615" Type="http://schemas.openxmlformats.org/officeDocument/2006/relationships/hyperlink" Target="https://teams.microsoft.com/l/meetup-join/19%3ameeting_NDUzODk2YTEtNzBlYi00ZTg0LWIzNzMtOTk4ZjI0NDU1Y2Qx%40thread.v2/0?context=%7b%22Tid%22%3a%22823ace76-f3f5-4396-9a3b-bb149c779beb%22%2c%22Oid%22%3a%222dc74078-1a52-4d6f-bd2b-27b31ca4c657%22%7d" TargetMode="External"/><Relationship Id="rId82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4_III%20DIALOGO%20CIUDADANO%20POBLACIONAL%20-%20NI%C3%91OS,%20NI%C3%91AS%20Y%20ADOLESCENTES?csf=1&amp;web=1&amp;e=NR3jNL" TargetMode="External"/><Relationship Id="rId1038" Type="http://schemas.openxmlformats.org/officeDocument/2006/relationships/hyperlink" Target="https://teams.microsoft.com/dl/launcher/launcher.html?url=%2F_%23%2Fl%2Fmeetup-join%2F19%3Ameeting_MTQxMGRlYTMtOTk3Ny00NjgxLTg1YWYtNzc2MTFjMDIyZjU0%40thread.v2%2F0%3Fcontext%3D%257b%2522Tid%2522%253a%2522823ace76-f3f5-4396-9a3b-bb149c779beb%2522%252c%2522Oid%2522%253a%252222767417-92c1-4670-b0c1-d3e248d47a47%2522%257d%26anon%3Dtrue&amp;type=meetup-join&amp;deeplinkId=30fc2d1a-c007-48fd-a771-7407e7d6008d&amp;directDl=true&amp;msLaunch=true&amp;enableMobilePage=true&amp;suppressPrompt=true" TargetMode="External"/><Relationship Id="rId1245"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1_CONVOCATORIA%20TERRITORIAL%20AD%20-%20USAQU%C3%89N%202?csf=1&amp;web=1&amp;e=49CiIN" TargetMode="External"/><Relationship Id="rId254" Type="http://schemas.openxmlformats.org/officeDocument/2006/relationships/hyperlink" Target="https://meet.google.com/jti-wabi-odb" TargetMode="External"/><Relationship Id="rId699"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SAN%20CRISTOBAL?csf=1&amp;web=1&amp;e=jf9n2b" TargetMode="External"/><Relationship Id="rId109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25_ACT%20ACTORES%20-%20MESA%20LOCAL%20SALUD%20BU?csf=1&amp;web=1&amp;e=Wl1hW5" TargetMode="External"/><Relationship Id="rId1105" Type="http://schemas.openxmlformats.org/officeDocument/2006/relationships/hyperlink" Target="mailto:lbarreto@sdp.gov.co" TargetMode="External"/><Relationship Id="rId1312"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POLITICAS%20PUBLICAS/2024-09-19_MESA%20DE%20CONCERTACION%20PRO%20PP%20INDIGENA%20-%20MUISCA?csf=1&amp;web=1&amp;e=vQ4GnC" TargetMode="External"/><Relationship Id="rId49" Type="http://schemas.openxmlformats.org/officeDocument/2006/relationships/hyperlink" Target="https://meet.google.com/mtr-aqzg-bdw?authuser=0&amp;hs=122&amp;ijlm=1710183836832" TargetMode="External"/><Relationship Id="rId114" Type="http://schemas.openxmlformats.org/officeDocument/2006/relationships/hyperlink" Target="https://drive.google.com/file/d/1IUIMDojGhDgBktcV1VIdGFNsNtnBM44E/view?usp=sharing" TargetMode="External"/><Relationship Id="rId461"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3_V%20FORO%20VIRTUAL%20PDD%20-%20SERVIDORES?csf=1&amp;web=1&amp;e=Taliak" TargetMode="External"/><Relationship Id="rId55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REUNIONES%20CONCEJO/2024-05-09_REUNION%20CONCEJAL%20PONENTE%20CLARA%20LUCIA%20SANDOVAL?csf=1&amp;web=1&amp;e=i9eZbT" TargetMode="External"/><Relationship Id="rId76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9_II%20DIALOGO%20CIUDADANO%20POBLACIONAL%20-%20CONSULTIVA%20INDIGENA?csf=1&amp;web=1&amp;e=CfeZOM" TargetMode="External"/><Relationship Id="rId1189"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ESCENARIOS%20INDIVIDUALES/2024-08-01_REUNI%C3%93N%20DE%20ARTICULACI%C3%93N%20FUNDACI%C3%93N%202050%20Y%20SIS?csf=1&amp;web=1&amp;e=wHoavg" TargetMode="External"/><Relationship Id="rId198" Type="http://schemas.openxmlformats.org/officeDocument/2006/relationships/hyperlink" Target="https://drive.google.com/file/d/1cI1KBohmfncbj-Igq6GuGzXVnRhV8_rU/view?usp=sharing" TargetMode="External"/><Relationship Id="rId321"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TEUSAQUILLO/2024-06_12_SESION%20JUNIO?csf=1&amp;web=1&amp;e=4ZjQG0" TargetMode="External"/><Relationship Id="rId41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23_%20SESION%20DE%20CONCEJO%20-%20FORMULACION%20PDD%20-%20TARDE?csf=1&amp;web=1&amp;e=RFBUCk" TargetMode="External"/><Relationship Id="rId62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22_DEVOLUCION%20CONCEPTO%20PROYECTO%20PDD?csf=1&amp;web=1&amp;e=GlcFuT" TargetMode="External"/><Relationship Id="rId973" Type="http://schemas.openxmlformats.org/officeDocument/2006/relationships/hyperlink" Target="https://teams.microsoft.com/l/meetup-join/19%3ameeting_ZTg1ODkwYzktNTA1YS00YmQ3LTk5OTUtZDZhNjM1NDYyNDUy%40thread.v2/0?context=%7b%22Tid" TargetMode="External"/><Relationship Id="rId104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7-25_DEVOLUCION%20PDD%20SUBREGION%20NORTE?csf=1&amp;web=1&amp;e=PH2FNd" TargetMode="External"/><Relationship Id="rId1256" Type="http://schemas.openxmlformats.org/officeDocument/2006/relationships/hyperlink" Target="https://sdpgovco.sharepoint.com/:f:/r/sites/DirecciondeParticipacionyComunicacionparalaPlaneacion/Documentos%20compartidos/PROCESOS_OPDC_VIGENCIA%202024-2027/PROCESOS_OPDC_2024/EVIDENCIAS%202024/GESTI%C3%93N%20DEL%20PIPC/FORMULACI%C3%93N%20AE/AEDA/2024-09-02_ESTRATEGIA%20PARA%20SOCIALIZACI%C3%93N%20DEL%20DECRETO%20DE%20AEDA?csf=1&amp;web=1&amp;e=TeFJ3F" TargetMode="External"/><Relationship Id="rId833"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FONTIBON/2024-04-02_SESION%20ABRIL?csf=1&amp;web=1&amp;e=PWLlEa" TargetMode="External"/><Relationship Id="rId1116"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10%20-%20TIBABUYES?csf=1&amp;web=1&amp;e=MXv3a1" TargetMode="External"/><Relationship Id="rId265" Type="http://schemas.openxmlformats.org/officeDocument/2006/relationships/hyperlink" Target="../../../../../../:f:/r/sites/DirecciondeParticipacionyComunicacionparalaPlaneacion/Documentos%20compartidos/PROCESOS_OPDC_VIGENCIA%202024-2027/PROCESOS_OPDC_2024/EVIDENCIAS%202024/AGENDA%20DE%20OTROS%20INSTRUMENTOS%20DE%20PLANEACI%C3%93N/POLITICA%20PUBLICA%20LGBTI/2024-06-15_LA%20NOCHE%20Y%20LAS%20LUCIERNAGAS?csf=1&amp;web=1&amp;e=rMqG57" TargetMode="External"/><Relationship Id="rId47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CAMPIN%207%20DE%20AGOSTO/2024-05-21_%20TALLER%20DE%20DI%C3%81LOGO%20%20ACTUACI%C3%93N%20ESTRAT%C3%89GICA%20CAMP%C3%8DN%207%20DE%20AGOSTO?csf=1&amp;web=1&amp;e=2HdGe5" TargetMode="External"/><Relationship Id="rId90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1_GAE%20-%20SECTOR%20NOROCCIDENTE?csf=1&amp;web=1&amp;e=jf5EEU" TargetMode="External"/><Relationship Id="rId125" Type="http://schemas.openxmlformats.org/officeDocument/2006/relationships/hyperlink" Target="https://drive.google.com/file/d/11cSVknvdqadvvMY1wm78EM4K6-SnUa_Y/view?usp=sharing" TargetMode="External"/><Relationship Id="rId332" Type="http://schemas.openxmlformats.org/officeDocument/2006/relationships/hyperlink" Target="../../../../../../:f:/r/sites/DirecciondeParticipacionyComunicacionparalaPlaneacion/Documentos%20compartidos/PROCESOS_OPDC_VIGENCIA%202024-2027/PROCESOS_OPDC_2024/EVIDENCIAS%202024/AGENDA%20CON%20INSTANCIAS/ACOMPA%C3%91AMIENTO%20CTPD/EVENTOS/2024-01-26_ENTREGA%20CERTIFICADOS%202023?csf=1&amp;web=1&amp;e=O9ZeAH" TargetMode="External"/><Relationship Id="rId77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8_DIALOGO%20CIUDADANO%20-%20UPL%20USAQUEN?csf=1&amp;web=1&amp;e=KbTj6T" TargetMode="External"/><Relationship Id="rId98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04_GAE%20-%20UPL%20PORVENIR%20JAC?csf=1&amp;web=1&amp;e=SY7NiK" TargetMode="External"/><Relationship Id="rId637"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6-18_CONSTRUCCI%C3%93N%20DE%20AGENDA%20SECTOR%20OCCIDENTE?csf=1&amp;web=1&amp;e=4vSCJg" TargetMode="External"/><Relationship Id="rId844"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DESARROLLO%20REGIONAL/2024-03-20_SESI%C3%93N%20EXTRAORDINARIA%20COMISI%C3%93N%20DE%20DESARROLLO%20REGIONAL%20CTPD?csf=1&amp;web=1&amp;e=oqSAp0" TargetMode="External"/><Relationship Id="rId1267" Type="http://schemas.openxmlformats.org/officeDocument/2006/relationships/hyperlink" Target="https://sdpgovco.sharepoint.com/:f:/r/sites/DirecciondeParticipacionyComunicacionparalaPlaneacion/Documentos%20compartidos/PROCESOS_OPDC_VIGENCIA%202024-2027/PROCESOS_OPDC_2024/EVIDENCIAS%202024/AGENDA%20CON%20INSTANCIAS/CLIP%20-%20COMISIONES%20LOCALES%20INTERSECTORIALES%20DE%20PARTICIPACION/SUMAPAZ/2024-09-04_SESION%20SEPTIEMBRE?csf=1&amp;web=1&amp;e=8ud0Pa" TargetMode="External"/><Relationship Id="rId27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CAMPIN%207%20DE%20AGOSTO/2024-06-07_RECORRIDO%20AE%20CAMPIN%207%20DE%20AGOSTO%20-%20SECTOR%207%20DE%20AGOSTO?csf=1&amp;web=1&amp;e=S2zaKN" TargetMode="External"/><Relationship Id="rId48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20_%20SESION%20DE%20CONCEJO%20-%20FORMULACION%20PDD?csf=1&amp;web=1&amp;e=94HHm6" TargetMode="External"/><Relationship Id="rId690"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BARRIOS%20UNIDOS?csf=1&amp;web=1&amp;e=k8YwOS" TargetMode="External"/><Relationship Id="rId704"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RUU?csf=1&amp;web=1&amp;e=swmcAH" TargetMode="External"/><Relationship Id="rId911"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6-24_REFERENTES%20ETNICOS%20-%20CONCEJAL%20OSCAR%20BASTIDAS?csf=1&amp;web=1&amp;e=e9icDa" TargetMode="External"/><Relationship Id="rId1127" Type="http://schemas.openxmlformats.org/officeDocument/2006/relationships/hyperlink" Target="mailto:lbarreto@sdp.gov.co" TargetMode="External"/><Relationship Id="rId40" Type="http://schemas.openxmlformats.org/officeDocument/2006/relationships/hyperlink" Target="https://teams.microsoft.com/l/meetup-join/19%3ameeting_ODdiYmE4YjktOWM3ZS00NDVjLTk5MjQtM2ViY2YzZWY2OTBk%40thread.v2/0?context=%7b%22Tid%22%3a%2214de155f-e192-44da-994d-1913d8658372%22%2c%22Oid%22%3a%223c5201d6-5585-4bfa-bce9-d631979e3445%22%7d" TargetMode="External"/><Relationship Id="rId136" Type="http://schemas.openxmlformats.org/officeDocument/2006/relationships/hyperlink" Target="https://meet.google.com/dte-mwcz-phr?authuser=3" TargetMode="External"/><Relationship Id="rId343" Type="http://schemas.openxmlformats.org/officeDocument/2006/relationships/hyperlink" Target="../../../../../../:f:/r/sites/DirecciondeParticipacionyComunicacionparalaPlaneacion/Documentos%20compartidos/PROCESOS_OPDC_VIGENCIA%202024-2027/PROCESOS_OPDC_2024/EVIDENCIAS%202024/AGENDA%20CON%20INSTANCIAS/CIP%20-%20COMISION%20INTERSECTORIAL%20DE%20PARTICIPACION/2024-02-09_PRESENTACION%20ESTRATEGIA%20PDD?csf=1&amp;web=1&amp;e=2KITmz" TargetMode="External"/><Relationship Id="rId550"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5-10_COMITE%20COORDINADOR%20-%20ASAMBLEAS%20CIUDADANAS?csf=1&amp;web=1&amp;e=ecfTHC" TargetMode="External"/><Relationship Id="rId78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06_PEDAGOGIA%20CHATICO%20CPL%20USAQUEN?csf=1&amp;web=1&amp;e=F91saU" TargetMode="External"/><Relationship Id="rId995"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ENGATIVA/2024-07-09_SESION%20JULIO?csf=1&amp;web=1&amp;e=ckayTw" TargetMode="External"/><Relationship Id="rId1180" Type="http://schemas.openxmlformats.org/officeDocument/2006/relationships/hyperlink" Target="https://teams.microsoft.com/l/meetup-join/19:meeting_ZDQwZDVjMDAtM2Y2Zi00ZDg1LTgzMjYtZTIzZTM0NDhkOGRj@thread.v2/0?context=%7B%22Tid%22:%22823ace76-f3f5-4396-9a3b-bb149c779beb%22,%22Oid%22:%226316b340-0d0c-4eaa-8aa6-fccc262ca404%22%7D" TargetMode="External"/><Relationship Id="rId203" Type="http://schemas.openxmlformats.org/officeDocument/2006/relationships/hyperlink" Target="https://drive.google.com/file/d/1TVF8wTfUqM8jF2WhDt04Y-HG7gcbUQqv/view?usp=sharing" TargetMode="External"/><Relationship Id="rId64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4-22_PLAN%20DE%20TRABAJO%20ACCIONES%20AFIRMATIVAS%20-COMUNIDAD%20PALENQUERA?csf=1&amp;web=1&amp;e=SAHH3F" TargetMode="External"/><Relationship Id="rId855" Type="http://schemas.openxmlformats.org/officeDocument/2006/relationships/hyperlink" Target="../../../../../../:f:/r/sites/DirecciondeParticipacionyComunicacionparalaPlaneacion/Documentos%20compartidos/PROCESOS_OPDC_VIGENCIA%202024-2027/PROCESOS_OPDC_2024/EVIDENCIAS%202024/AGENDA%20CON%20INSTANCIAS/CIP%20-%20COMISION%20INTERSECTORIAL%20DE%20PARTICIPACION/2024-03-22_SESION%20CIP?csf=1&amp;web=1&amp;e=KAXuWH" TargetMode="External"/><Relationship Id="rId104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BARRIOS%20UNIDOS/2024-07-11_SESION%20JULIO?csf=1&amp;web=1&amp;e=uc66Pp" TargetMode="External"/><Relationship Id="rId1278"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7_CONVOCATORIA%20TERRITORIAL%20AD%20-%20SUMAPAZ?csf=1&amp;web=1&amp;e=rhc5Uz" TargetMode="External"/><Relationship Id="rId287"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DE%20COORDINACION%20DEL%20PDD/2024-06-05_COMITE%20INTERSECTORIAL%20DEL%20PDD?csf=1&amp;web=1&amp;e=7AfVpG" TargetMode="External"/><Relationship Id="rId410" Type="http://schemas.openxmlformats.org/officeDocument/2006/relationships/hyperlink" Target="../../../../../../:f:/r/sites/DirecciondeParticipacionyComunicacionparalaPlaneacion/Documentos%20compartidos/PROCESOS_OPDC_VIGENCIA%202024-2027/PROCESOS_OPDC_2024/EVIDENCIAS%202024/GESTI%C3%93N%20DEL%20PIPC/REUNIONES%20INDIVIDUALES/2024-03-06_METODOLOGIA%20ENFOQUE%20POBLACIONAL%20-%20DIFERENCIAL%20Y%20DE%20GENERO?csf=1&amp;web=1&amp;e=LgbxBW" TargetMode="External"/><Relationship Id="rId49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4_JORNADA%20PEGATE%20AL%20PLAN%20-%20STARTCO?csf=1&amp;web=1&amp;e=HbeVTT" TargetMode="External"/><Relationship Id="rId50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6-22_DEVOLUCI%C3%93N%20PLAN%20DISTRITAL%20DE%20DESARROLLO%20-%20COMUNIDAD%20PALENQUERA?csf=1&amp;web=1&amp;e=YFcvrJ" TargetMode="External"/><Relationship Id="rId715" Type="http://schemas.openxmlformats.org/officeDocument/2006/relationships/hyperlink" Target="../../../../../../:f:/r/sites/DirecciondeParticipacionyComunicacionparalaPlaneacion/Documentos%20compartidos/PROCESOS_OPDC_VIGENCIA%202024-2027/PROCESOS_OPDC_2024/EVIDENCIAS%202024/AGENDA%20DE%20OTROS%20INSTRUMENTOS%20DE%20PLANEACI%C3%93N/POLITICA%20PUBLICA%20LGBTI/2024-04-15_REUNION%20LIDER%20STONEWALL?csf=1&amp;web=1&amp;e=a1ICKM" TargetMode="External"/><Relationship Id="rId92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8_GAE%20-%20CPL%20TUNJUELITO?csf=1&amp;web=1&amp;e=GAh61I" TargetMode="External"/><Relationship Id="rId1138" Type="http://schemas.openxmlformats.org/officeDocument/2006/relationships/hyperlink" Target="mailto:lbarreto@sdp.gov.co" TargetMode="External"/><Relationship Id="rId147" Type="http://schemas.openxmlformats.org/officeDocument/2006/relationships/hyperlink" Target="https://meet.google.com/yrk-gfow-jtu?authuser=0" TargetMode="External"/><Relationship Id="rId35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2-16_SOCIALIZACION%20ESTRATEGIA%20-%20JAL%20ENGATIVA?csf=1&amp;web=1&amp;e=fIvnUy" TargetMode="External"/><Relationship Id="rId79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9_I%20DIALOGO%20CIUDADANO%20POBLACIONAL%20-%20NI%C3%91OS,%20NI%C3%91AS%20Y%20ADOLESCENTES?csf=1&amp;web=1&amp;e=frw3nO" TargetMode="External"/><Relationship Id="rId1191" Type="http://schemas.openxmlformats.org/officeDocument/2006/relationships/hyperlink" Target="https://acortar.link/TI0apD" TargetMode="External"/><Relationship Id="rId1205" Type="http://schemas.openxmlformats.org/officeDocument/2006/relationships/hyperlink" Target="https://sdpgovco.sharepoint.com/:f:/r/sites/DirecciondeParticipacionyComunicacionparalaPlaneacion/Documentos%20compartidos/PROCESOS_OPDC_VIGENCIA%202024-2027/PROCESOS_OPDC_2024/EVIDENCIAS%202024/GESTI%C3%93N%20DEL%20PIPC/REGLAMENTACI%C3%93N%20DE%20%C3%81GORA%20METROPOLITANA/2024-08-05_MESA%20DE%20SEGUIMIENTO%20DE%20%C3%81GORA%20METROPOLITANA%20RMBC?csf=1&amp;web=1&amp;e=MXGUlW" TargetMode="External"/><Relationship Id="rId51" Type="http://schemas.openxmlformats.org/officeDocument/2006/relationships/hyperlink" Target="https://meet.google.com/jay-odjm-uib" TargetMode="External"/><Relationship Id="rId561" Type="http://schemas.openxmlformats.org/officeDocument/2006/relationships/hyperlink" Target="../../../../../../:f:/r/sites/DirecciondeParticipacionyComunicacionparalaPlaneacion/Documentos%20compartidos/PROCESOS_OPDC_VIGENCIA%202024-2027/PROCESOS_OPDC_2024/EVIDENCIAS%202024/AGENDA%20CON%20INSTANCIAS/ACOMPA%C3%91AMIENTO%20CTPD/MESAS%20Y%20COMIT%C3%89S%20T%C3%89CNICOS/2024-05-08_%20COMITE%20TECNICO-%20CTPD?csf=1&amp;web=1&amp;e=v3zUGb" TargetMode="External"/><Relationship Id="rId659" Type="http://schemas.openxmlformats.org/officeDocument/2006/relationships/hyperlink" Target="../../../../../../:f:/r/sites/DirecciondeParticipacionyComunicacionparalaPlaneacion/Documentos%20compartidos/PROCESOS_OPDC_VIGENCIA%202024-2027/PROCESOS_OPDC_2024/EVIDENCIAS%202024/AGENDA%20CON%20INSTANCIAS/ACOMPA%C3%91AMIENTO%20CTPD/REUNIONES%20INDIVIDUALES/2024-04-19_REUNION%20DE%20TRABAJO%20SECRETARIA%20DE%20GOBIERNO%20-%20CTPD?csf=1&amp;web=1&amp;e=1suqPJ" TargetMode="External"/><Relationship Id="rId866" Type="http://schemas.openxmlformats.org/officeDocument/2006/relationships/hyperlink" Target="../../../../../../:f:/r/sites/DirecciondeParticipacionyComunicacionparalaPlaneacion/Documentos%20compartidos/PROCESOS_OPDC_VIGENCIA%202024-2027/PROCESOS_OPDC_2024/EVIDENCIAS%202024/AGENDA%20CON%20INSTANCIAS/ACOMPA%C3%91AMIENTO%20CTPD/EVENTOS/2024-03-23_AUDIENCIA%20P%C3%9ABLICA%20DEL%20CTPD%20CON%20SECTORES%20DISTRITALES?csf=1&amp;web=1&amp;e=kf859s" TargetMode="External"/><Relationship Id="rId1289"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4_JORNADA%20ASAMBLEAS%20DELIBERATIVAS?csf=1&amp;web=1&amp;e=eTSNZD" TargetMode="External"/><Relationship Id="rId214" Type="http://schemas.openxmlformats.org/officeDocument/2006/relationships/hyperlink" Target="https://meet.google.com/swq-cpck-fob" TargetMode="External"/><Relationship Id="rId298"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5-30_RETROALIMENTACION%20PROYECTO%20ASAMBLEAS%20DELIBERATIVAS?csf=1&amp;web=1&amp;e=6P83Fb" TargetMode="External"/><Relationship Id="rId421"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07_IV%20FORO%20VIRTUAL%20PDD%20-%20SERVIDORES?csf=1&amp;web=1&amp;e=51D7Gp" TargetMode="External"/><Relationship Id="rId51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DE%20PARTICIPACI%C3%93N%20TERRITORIAL/2024-05-16_PLAN%20DE%20TRABAJO%20SPT%20-%20PUEBLO%20MUISCA%20DE%20SUBA%20Y%20BOSA?csf=1&amp;web=1&amp;e=gyDTbM" TargetMode="External"/><Relationship Id="rId1051" Type="http://schemas.openxmlformats.org/officeDocument/2006/relationships/hyperlink" Target="../../../../../../:f:/r/sites/DirecciondeParticipacionyComunicacionparalaPlaneacion/Documentos%20compartidos/PROCESOS_OPDC_VIGENCIA%202024-2027/PROCESOS_OPDC_2024/EVIDENCIAS%202024/GESTI%C3%93N%20DEL%20PIPC/ENCUESTA%20SISBEN/2024-07-12_CAPACITACION%20PRACTICA%20SISBEN?csf=1&amp;web=1&amp;e=1QY3cP" TargetMode="External"/><Relationship Id="rId1149" Type="http://schemas.openxmlformats.org/officeDocument/2006/relationships/hyperlink" Target="mailto:lbarreto@sdp.gov.co" TargetMode="External"/><Relationship Id="rId158" Type="http://schemas.openxmlformats.org/officeDocument/2006/relationships/hyperlink" Target="https://meet.google.com/zim-yktg-hvh" TargetMode="External"/><Relationship Id="rId726" Type="http://schemas.openxmlformats.org/officeDocument/2006/relationships/hyperlink" Target="https://teams.microsoft.com/dl/launcher/launcher.html?url=%2F_%23%2Fl%2Fmeetup-join%2F19%3Ameeting_N2FlZjViMGMtYmM4NC00MTNkLTgxNTctMzliMmZjMjMxYjJj%40thread.v2%2F0%3Fcontext%3D%257b%2522Tid%2522%253a%2522823ace76-f3f5-4396-9a3b-bb149c779beb%2522%252c%2522Oid%2522%253a%2522c3d14271-19db-4a98-a31d-1fe686fb4bbd%2522%257d%26anon%3Dtrue&amp;type=meetup-join&amp;deeplinkId=a90bf1db-031e-40c6-8fce-5f478d23747b&amp;directDl=true&amp;msLaunch=true&amp;enableMobilePage=true&amp;suppressPrompt=true" TargetMode="External"/><Relationship Id="rId93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DE%20PARTICIPACI%C3%93N%20TERRITORIAL/2024-07-05_SOCIALIZACI%C3%93N%20DEL%20SPT%20Y%20%20EL%20PDD%20A%20LOS%20OCL%20DE%20TUNJUELITO%20Y%20BOSA?csf=1&amp;web=1&amp;e=uVjzgH" TargetMode="External"/><Relationship Id="rId1009"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PREPARATORIAS%20DEVOLUCIONES%20PDD/2024-07-10_PREPARATORIA%20DEVOLUCION%20SURORIENTE?csf=1&amp;web=1&amp;e=zSqeq0" TargetMode="External"/><Relationship Id="rId62" Type="http://schemas.openxmlformats.org/officeDocument/2006/relationships/hyperlink" Target="https://acortar.link/AjFmAd" TargetMode="External"/><Relationship Id="rId365" Type="http://schemas.openxmlformats.org/officeDocument/2006/relationships/hyperlink" Target="../../../../../../:f:/r/sites/DirecciondeParticipacionyComunicacionparalaPlaneacion/Documentos%20compartidos/PROCESOS_OPDC_VIGENCIA%202024-2027/PROCESOS_OPDC_2024/EVIDENCIAS%202024/AGENDA%20CON%20INSTANCIAS/ACOMPA%C3%91AMIENTO%20CTPD/CURSO%20CTPD/2024-02-26_CURSO%20CTPD%20-%20MODULO%202%20JORNADA%201?csf=1&amp;web=1&amp;e=rcXFsV" TargetMode="External"/><Relationship Id="rId57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07_SESION%20DE%20CONCEJO%20-%20FORMULACION%20PDD?csf=1&amp;web=1&amp;e=Jdypym" TargetMode="External"/><Relationship Id="rId1216"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POLITICAS%20PUBLICAS/2024-08-21_GESTI%C3%93N%20REUNI%C3%93N%20PREPARATORIA%20CON%20IND%C3%8DGENAS?csf=1&amp;web=1&amp;e=jWWRut" TargetMode="External"/><Relationship Id="rId225" Type="http://schemas.openxmlformats.org/officeDocument/2006/relationships/hyperlink" Target="http://meet.google.com/mbr-dfax-xdt" TargetMode="External"/><Relationship Id="rId432"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5-23_REUNION%20DE%20ARTICULACION-%20DPL?csf=1&amp;web=1&amp;e=cfrLJ9" TargetMode="External"/><Relationship Id="rId877"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T/2024-03-27_COMISI%C3%93N%20POT%20EXTRAORDINARIA%20DEL%20CTPD?csf=1&amp;web=1&amp;e=devO74" TargetMode="External"/><Relationship Id="rId1062"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KENNEDY/2024-07-17_SESION%20JULIO?csf=1&amp;web=1&amp;e=Jz47ez" TargetMode="External"/><Relationship Id="rId737" Type="http://schemas.openxmlformats.org/officeDocument/2006/relationships/hyperlink" Target="../../../../../../:f:/r/sites/DirecciondeParticipacionyComunicacionparalaPlaneacion/Documentos%20compartidos/PROCESOS_OPDC_VIGENCIA%202024-2027/PROCESOS_OPDC_2024/EVIDENCIAS%202024/AGENDA%20CON%20INSTANCIAS/ACOMPA%C3%91AMIENTO%20CTPD/MESAS%20DIRECTIVAS/2024-04-11_MESA%20DIRECTIVA%20CTPD?csf=1&amp;web=1&amp;e=wAnX1a" TargetMode="External"/><Relationship Id="rId944" Type="http://schemas.openxmlformats.org/officeDocument/2006/relationships/hyperlink" Target="../../../../../../:f:/r/sites/DirecciondeParticipacionyComunicacionparalaPlaneacion/Documentos%20compartidos/PROCESOS_OPDC_VIGENCIA%202024-2027/PROCESOS_OPDC_2024/EVIDENCIAS%202024/AGENDA%20CON%20INSTANCIAS/ACOMPA%C3%91AMIENTO%20CTPD/MESAS%20DIRECTIVAS/2024-06-26_SESION%20JUNTA%20DIRECTIVA%20CTPD?csf=1&amp;web=1&amp;e=emgoI8" TargetMode="External"/><Relationship Id="rId73" Type="http://schemas.openxmlformats.org/officeDocument/2006/relationships/hyperlink" Target="https://teams.microsoft.com/l/meetup-join/19%3ameeting_MjhjZmQyYjgtNWJmOC00ZmNhLTgyODMtOWNhMGQxZjNlZGRh%40thread.v2/0?context=%7b%22Tid%22%3a%220f1156f1-406d-4123-99f0-a976b835b9b6%22%2c%22Oid%22%3a%22e893fafa-8392-44ed-aa11-0e06fb4fa772%22%7d" TargetMode="External"/><Relationship Id="rId169" Type="http://schemas.openxmlformats.org/officeDocument/2006/relationships/hyperlink" Target="https://drive.google.com/file/d/1xt1IvW9P4OXYa9n7h1fRW5tO-KjW4oAA/view?usp=sharing" TargetMode="External"/><Relationship Id="rId37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5-27_CONCERTACION%20ACCIONES%20AFIRMATIVAS%20PUEBLO%20RROM?csf=1&amp;web=1&amp;e=9OlsMe" TargetMode="External"/><Relationship Id="rId58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2024-05-03_SOCIALIZACION%20PLAN%20DECENAL%20DE%20LENGUAS%20ETNICAS%20-UNAD?csf=1&amp;web=1&amp;e=tOl3qS" TargetMode="External"/><Relationship Id="rId790" Type="http://schemas.openxmlformats.org/officeDocument/2006/relationships/hyperlink" Target="https://acortar.link/p6yxiT" TargetMode="External"/><Relationship Id="rId80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9-DIALOGO%20CIUDADANO%20-%20UPL%20SUMAPAZ%20-%20CUENCA%20RIO%20BLANCO?csf=1&amp;web=1&amp;e=SfuhXN" TargetMode="External"/><Relationship Id="rId1227" Type="http://schemas.openxmlformats.org/officeDocument/2006/relationships/hyperlink" Target="https://teams.microsoft.com/l/meetup-join/19%3ameeting_YjA0ZjFhYzQtMDJkMy00NzYzLTlkM2QtNDAyZWE2ZjcxNDk0%40thread.v2/0?context=%7b%22Tid%22%3a%22823ace76-f3f5-4396-9a3b-bb149c779beb%22%2c%22Oid%22%3a%226316b340-0d0c-4eaa-8aa6-fccc262ca404%22%7d" TargetMode="External"/><Relationship Id="rId4" Type="http://schemas.openxmlformats.org/officeDocument/2006/relationships/hyperlink" Target="https://meet.google.com/srh-wbuz-adt" TargetMode="External"/><Relationship Id="rId236" Type="http://schemas.openxmlformats.org/officeDocument/2006/relationships/hyperlink" Target="https://meet.google.com/nnd-vejw-pfn" TargetMode="External"/><Relationship Id="rId443"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1_METODOLOGIA%20NNA%20-%20SED?csf=1&amp;web=1&amp;e=v6AyTa" TargetMode="External"/><Relationship Id="rId65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21_CONSEJERAS%20DE%20MUJERES%20Y%20PERSONAS%20CUIDADORAS%20-%20CTPD?csf=1&amp;web=1&amp;e=rLZQDZ" TargetMode="External"/><Relationship Id="rId888"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6-21_SESION%20EXTRAORDINARIA%20COMISION%20DESARROLLO%20REGIONAL%20CTPD?csf=1&amp;web=1&amp;e=y3VjeM" TargetMode="External"/><Relationship Id="rId1073" Type="http://schemas.openxmlformats.org/officeDocument/2006/relationships/hyperlink" Target="https://teams.microsoft.com/l/meetup-join/19%3ameeting_YWI1ZjY4YzctZjczYS00OGNhLTk0MjktZTBmNGI4MzE2ODVm%40thread.v2/0?context=%7b%22Tid%22%3a%2214de155f-e192-44da-994d-1913d8658372%22%2c%22Oid%22%3a%2283705f00-bba4-430a-a92a-bab54174b9ef%22%7d" TargetMode="External"/><Relationship Id="rId1280" Type="http://schemas.openxmlformats.org/officeDocument/2006/relationships/hyperlink" Target="https://sdpgovco.sharepoint.com/:f:/r/sites/DirecciondeParticipacionyComunicacionparalaPlaneacion/Documentos%20compartidos/PROCESOS_OPDC_VIGENCIA%202024-2027/PROCESOS_OPDC_2024/EVIDENCIAS%202024/GESTI%C3%93N%20DEL%20PIPC/SMART%20CITY/2024-09-02_SEGUIMIENTO%20EVENTO%20DE%20SMART%20CITY?csf=1&amp;web=1&amp;e=UjmcVi" TargetMode="External"/><Relationship Id="rId30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DE%20PARTICIPACI%C3%93N%20TERRITORIAL/2024-05-30_EVENTO%20-%20EXPERIENCIAS%20INSPIRADORAS?csf=1&amp;web=1&amp;e=PJEfOR" TargetMode="External"/><Relationship Id="rId748"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BOSA/2024-04-11_SESION%20ABRIL?csf=1&amp;web=1&amp;e=odiD5b" TargetMode="External"/><Relationship Id="rId955" Type="http://schemas.openxmlformats.org/officeDocument/2006/relationships/hyperlink" Target="https://acortar.link/AJg3a5" TargetMode="External"/><Relationship Id="rId1140" Type="http://schemas.openxmlformats.org/officeDocument/2006/relationships/hyperlink" Target="mailto:lbarreto@sdp.gov.co" TargetMode="External"/><Relationship Id="rId84" Type="http://schemas.openxmlformats.org/officeDocument/2006/relationships/hyperlink" Target="https://meet.google.com/zgw-acvo-dfp" TargetMode="External"/><Relationship Id="rId387"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6-11_CONSTRUCCI%C3%93N%20AGENDA%20SUR%20ORIENTAL?csf=1&amp;web=1&amp;e=MBcl4N" TargetMode="External"/><Relationship Id="rId510" Type="http://schemas.openxmlformats.org/officeDocument/2006/relationships/hyperlink" Target="https://teams.microsoft.com/l/meetup-join/19%3ameeting_NTU4Yjg3MGMtMjhjOS00N2RjLTk3YWItNTdhZmQzOWNhODFl%40thread.v2/0?context=%7b%22Tid%22%3a%22823ace76-f3f5-4396-9a3b-bb149c779beb%22%2c%22Oid%22%3a%226316b340-0d0c-4eaa-8aa6-fccc262ca404%22%7d" TargetMode="External"/><Relationship Id="rId59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4-30_CONSULTORIO%20PDD-%20JORNADA%207%20-%20AMBIENTE?csf=1&amp;web=1&amp;e=puutA4" TargetMode="External"/><Relationship Id="rId60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4-25_CONSULTORIO%20PDD-%20JORNADA%204%20-%20%20SEGURIDAD?csf=1&amp;web=1&amp;e=9KWlwP" TargetMode="External"/><Relationship Id="rId815"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AN%20CRISTOBAL/2024-04-04_SESION%20ABRIL?csf=1&amp;web=1&amp;e=IMW7sJ" TargetMode="External"/><Relationship Id="rId1238" Type="http://schemas.openxmlformats.org/officeDocument/2006/relationships/hyperlink" Target="https://teams.microsoft.com/l/meetup-join/19%3ameeting_ZmQ0ZjFhY2MtOTY3OS00OGFjLTg3MjAtZDBiZWFiY2JjMzQ1%40thread.v2/0?context=%7b%22Tid%22%3a%22823ace76-f3f5-4396-9a3b-bb149c779beb%22%2c%22Oid%22%3a%226316b340-0d0c-4eaa-8aa6-fccc262ca404%22%7d" TargetMode="External"/><Relationship Id="rId247" Type="http://schemas.openxmlformats.org/officeDocument/2006/relationships/hyperlink" Target="https://teams.microsoft.com/l/meetup-join/19%3ameeting_ZTJmNzI3ZjUtNTRjMC00ZjRlLTk5NGEtNDBkMWZhZWExZjg0%40thread.v2/0?context=%7b%22Tid%22%3a%220f1156f1-406d-4123-99f0-a976b835b9b6%22%2c%22Oid%22%3a%22d1aec604-84bf-41fe-898e-8330e07d11b8%22%7d" TargetMode="External"/><Relationship Id="rId899"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KENNEDY/2024-07-13_SESION%20EXTRAORDINARIA%20JULIO?csf=1&amp;web=1&amp;e=RZNPm6" TargetMode="External"/><Relationship Id="rId100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7-08_SOCIALIZACION%20PIP%20-%20SPT%20UPL%20NIZA?csf=1&amp;web=1&amp;e=BNL16X" TargetMode="External"/><Relationship Id="rId1084"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7-22_MESA%20SEGUIMIENTO%20AGORA%20METROPOLITANA?csf=1&amp;web=1&amp;e=SnrSRW" TargetMode="External"/><Relationship Id="rId1305" Type="http://schemas.openxmlformats.org/officeDocument/2006/relationships/hyperlink" Target="https://sdpgovco.sharepoint.com/:f:/r/sites/DirecciondeParticipacionyComunicacionparalaPlaneacion/Documentos%20compartidos/PROCESOS_OPDC_VIGENCIA%202024-2027/PROCESOS_OPDC_2024/EVIDENCIAS%202024/AGENDA%20CON%20INSTANCIAS/CLIP%20-%20COMISIONES%20LOCALES%20INTERSECTORIALES%20DE%20PARTICIPACION/SUMAPAZ/2024-10-02_SESION%20OCTUBRE?csf=1&amp;web=1&amp;e=qREovW" TargetMode="External"/><Relationship Id="rId107" Type="http://schemas.openxmlformats.org/officeDocument/2006/relationships/hyperlink" Target="https://teams.microsoft.com/l/meetup-join/19%3ameeting_MzYzMjEzODAtZjQ1Mi00ZTk3LWFkZmQtYTkwMWNiZThmZTY4%40thread.v2/0?context=%7b%22Tid%22%3a%2214de155f-e192-44da-994d-1913d8658372%22%2c%22Oid%22%3a%2204a273b8-28ba-4099-9b31-ca5e8d396a0f%22%7d" TargetMode="External"/><Relationship Id="rId45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2_DIALOGO%20CIUDADANO%20-%20UPL%20PATIO%20BONITO?csf=1&amp;web=1&amp;e=ZbBqSi" TargetMode="External"/><Relationship Id="rId661"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4-19_COMITE%20COORDINADOR%20-%20ASAMBLEAS%20CIUDADANAS?csf=1&amp;web=1&amp;e=ng2RcC" TargetMode="External"/><Relationship Id="rId759"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09_CAPACITACION%20CHATICO%20-%20JORNADAS%20PEGATE%20AL%20PLAN?csf=1&amp;web=1&amp;e=GKiAn4" TargetMode="External"/><Relationship Id="rId96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9_ACTIVACION%20DE%20ACT%20LIDERES%20COMUNITARIOS?csf=1&amp;web=1&amp;e=OdZFUK" TargetMode="External"/><Relationship Id="rId1291" Type="http://schemas.openxmlformats.org/officeDocument/2006/relationships/hyperlink" Target="https://teams.microsoft.com/l/meetup-join/19%3ameeting_YjBjZWUzYjgtNzBmYS00ODYyLWJlZjAtYzhlMzBlN2E4ZTdl%40thread.v2/0?context=%7b%22Tid%22%3a%22823ace76-f3f5-4396-9a3b-bb149c779beb%22%2c%22Oid%22%3a%22a4f10e7d-23f1-4bbb-9952-41c273f603a2%22%7d" TargetMode="External"/><Relationship Id="rId11" Type="http://schemas.openxmlformats.org/officeDocument/2006/relationships/hyperlink" Target="https://meet.google.com/tnt-ejsb-hoh" TargetMode="External"/><Relationship Id="rId31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_05_28_SESION%20DE%20CONCEJO%20-%20FORMULACION%20PDD%20-%20TARDE?csf=1&amp;web=1&amp;e=8yWbuj" TargetMode="External"/><Relationship Id="rId39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5-25_%20ACCION%20AFIRMATIVA%20CON%20COMUNIDAD%20RAIZAL?csf=1&amp;web=1&amp;e=AUCfBD" TargetMode="External"/><Relationship Id="rId521"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5-16_SOCIALIZACION%20SPT%20-%20RENOBO?csf=1&amp;web=1&amp;e=Hkxm3m" TargetMode="External"/><Relationship Id="rId61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4-24_CONSULTORIO%20PDD-%20JORNADA%203%20-%20%20SEGURIDAD?csf=1&amp;web=1&amp;e=BncERf" TargetMode="External"/><Relationship Id="rId1151" Type="http://schemas.openxmlformats.org/officeDocument/2006/relationships/hyperlink" Target="mailto:lbarreto@sdp.gov.co" TargetMode="External"/><Relationship Id="rId1249"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2_CONVOCATORIA%20TERRITORIAL%20AD%20-%20SUBA%202?csf=1&amp;web=1&amp;e=1WfovA" TargetMode="External"/><Relationship Id="rId95" Type="http://schemas.openxmlformats.org/officeDocument/2006/relationships/hyperlink" Target="http://meet.google.com/wkp-xznm-wuk" TargetMode="External"/><Relationship Id="rId160" Type="http://schemas.openxmlformats.org/officeDocument/2006/relationships/hyperlink" Target="https://meet.google.com/iez-npad-qem" TargetMode="External"/><Relationship Id="rId826"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RAFAEL%20URIBE%20URIBE/2024-04-03_SESION%20ABRIL?csf=1&amp;web=1&amp;e=qeyKqc" TargetMode="External"/><Relationship Id="rId101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10_GAE%20-%20CPL%20JAL%20FCPAO%20UPL%20KENNEDY%20Y%20PATIO%20B?csf=1&amp;web=1&amp;e=LIWTvN" TargetMode="External"/><Relationship Id="rId1109" Type="http://schemas.openxmlformats.org/officeDocument/2006/relationships/hyperlink" Target="mailto:lbarreto@sdp.gov.co" TargetMode="External"/><Relationship Id="rId258" Type="http://schemas.openxmlformats.org/officeDocument/2006/relationships/hyperlink" Target="https://teams.microsoft.com/l/meetup-join/19%3ameeting_NTczOGE3MzMtZjNiNi00MWQzLTgzMWYtYzI3YzI5NWNhNGI2%40thread.v2/0?context=%7b%22Tid%22%3a%22823ace76-f3f5-4396-9a3b-bb149c779beb%22%2c%22Oid%22%3a%228b219c5d-e070-459b-bb43-69273d60b008%22%7d" TargetMode="External"/><Relationship Id="rId465" Type="http://schemas.openxmlformats.org/officeDocument/2006/relationships/hyperlink" Target="../../../../../../:f:/r/sites/DirecciondeParticipacionyComunicacionparalaPlaneacion/Documentos%20compartidos/PROCESOS_OPDC_VIGENCIA%202024-2027/PROCESOS_OPDC_2024/EVIDENCIAS%202024/GESTI%C3%93N%20DEL%20PIPC/ESTRATIFICACION/2024-03-13_REVISION%20DE%20INSTRUMENTO%20Y%20ARTICULACION?csf=1&amp;web=1&amp;e=4WTbQx" TargetMode="External"/><Relationship Id="rId67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TUNJUELITO?csf=1&amp;web=1&amp;e=CQ2Eri" TargetMode="External"/><Relationship Id="rId109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7-22_SESION%20JAL%20TUNJUELITO?csf=1&amp;web=1&amp;e=iOJacq" TargetMode="External"/><Relationship Id="rId22" Type="http://schemas.openxmlformats.org/officeDocument/2006/relationships/hyperlink" Target="https://meet.google.com/prw-boza-ayv?authuser=0" TargetMode="External"/><Relationship Id="rId118" Type="http://schemas.openxmlformats.org/officeDocument/2006/relationships/hyperlink" Target="https://drive.google.com/file/d/1UiXgHNuduqFqrViGn3d22AEuuOP1n6YB/view?usp=sharing" TargetMode="External"/><Relationship Id="rId32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1-17_PRESENTACION%20METODOLOGIA%20FORMULACION%20PDD?csf=1&amp;web=1&amp;e=pBcTMb" TargetMode="External"/><Relationship Id="rId53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15_%20SESION%20DE%20CONCEJO%20-%20FORMULACI%C3%93N%20PDD?csf=1&amp;web=1&amp;e=5g1fIq" TargetMode="External"/><Relationship Id="rId977" Type="http://schemas.openxmlformats.org/officeDocument/2006/relationships/hyperlink" Target="https://teams.microsoft.com/l/meetup-join/19%3ameeting_YzhhM2VkNmYtYzVhOS00NDM1LTlkMjgtMzQ5ZWZjMGNiMmU0%40thread.v2/0?context=%7b%22Tid%22%3a%22823ace76-f3f5-4396-9a3b-bb149c779beb%22%2c%22Oid%22%3a%226316b340-0d0c-4eaa-8aa6-fccc262ca404%22%7d" TargetMode="External"/><Relationship Id="rId1162"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7-24_PRESENTACION%20ASAMBLEAS%20CIUDADANAS%20FUNDACION%202050?csf=1&amp;web=1&amp;e=7TouUL" TargetMode="External"/><Relationship Id="rId171" Type="http://schemas.openxmlformats.org/officeDocument/2006/relationships/hyperlink" Target="https://drive.google.com/file/d/1CyQP46eHRQx54PW84RtKTPnTLDjTuFeS/view?usp=sharing" TargetMode="External"/><Relationship Id="rId837"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DE%20COORDINACION%20DEL%20PDD/2024-03-20_REUNION%20COMITE%20DE%20COORDINACION?csf=1&amp;web=1&amp;e=NSXprw" TargetMode="External"/><Relationship Id="rId102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CALLE%2072/2024-07-03_AE%20CL%2072%20TALLER%20AMBIENTALISTAS%20BU?csf=1&amp;web=1&amp;e=hceTeV" TargetMode="External"/><Relationship Id="rId269"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BOSA/2024-06-13_SESION%20JUNIO?csf=1&amp;web=1&amp;e=y5uJoa" TargetMode="External"/><Relationship Id="rId476"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UMAPAZ/2024-03-14_SESION%20MARZO?csf=1&amp;web=1&amp;e=GyQbkL" TargetMode="External"/><Relationship Id="rId68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USAQUEN?csf=1&amp;web=1&amp;e=uMD0Hi" TargetMode="External"/><Relationship Id="rId89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CONSTRUCCI%C3%93N%20DIRECTRICES%20AE/MONTEVIDEO/2024-06-07_TALLER%20DE%20DIALOGO%20-%20AE%20MONTEVIDEO?csf=1&amp;web=1&amp;e=Yqclkz" TargetMode="External"/><Relationship Id="rId90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6-20_DEVOLUCION%20REGION%20METROPOLITANA%20PDD?csf=1&amp;web=1&amp;e=39a4ZD" TargetMode="External"/><Relationship Id="rId33" Type="http://schemas.openxmlformats.org/officeDocument/2006/relationships/hyperlink" Target="https://meet.google.com/ytq-gwpp-ysk" TargetMode="External"/><Relationship Id="rId129" Type="http://schemas.openxmlformats.org/officeDocument/2006/relationships/hyperlink" Target="https://drive.google.com/file/d/1X9LSyGH7eMmtMYKNcFGYLZq2qmum7cLy/view?usp=sharing" TargetMode="External"/><Relationship Id="rId33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2-02_INSTALACION%20PROTOCOLARIA%20CPL?csf=1&amp;web=1&amp;e=csnCIH" TargetMode="External"/><Relationship Id="rId543"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5-13_REVISION%20PROPUESTA%20AGORA%20METROPOLITANA?csf=1&amp;web=1&amp;e=23SwfI" TargetMode="External"/><Relationship Id="rId98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7-04_TERRITORIOS%20PROGRESO%20FUNDACI%C3%93N%20SOCIAL?csf=1&amp;web=1&amp;e=YSKkJ6" TargetMode="External"/><Relationship Id="rId1173" Type="http://schemas.openxmlformats.org/officeDocument/2006/relationships/hyperlink" Target="../../../../../../:f:/r/sites/DirecciondeParticipacionyComunicacionparalaPlaneacion/Documentos%20compartidos/PROCESOS_OPDC_VIGENCIA%202024-2027/PROCESOS_OPDC_2024/EVIDENCIAS%202024/AGENDA%20CON%20INSTANCIAS/CCPH%20-CONSEJO%20CONSULTIVO%20DE%20PROPIEDAD%20HORIZONTAL/2024-07-26_SESION%20ORDINARIA%20CCPH?csf=1&amp;web=1&amp;e=bYnfp7" TargetMode="External"/><Relationship Id="rId182" Type="http://schemas.openxmlformats.org/officeDocument/2006/relationships/hyperlink" Target="http://meet.google.com/xjk-obpx-ohc" TargetMode="External"/><Relationship Id="rId403"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DESARROLLO%20REGIONAL/2024-05-24_SESION%20%20EXTRAORDINARIA%20COMISION%20DESARROLLO%20REGIONAL%20CTPD?csf=1&amp;web=1&amp;e=aV1rO7" TargetMode="External"/><Relationship Id="rId75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RAFAEL%20URIBE%20URIBE/2024-04-10_SESION%20EXTRAORDINARIA%20ABRIL?csf=1&amp;web=1&amp;e=vHkhLi" TargetMode="External"/><Relationship Id="rId848"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21_SESION%20ORDINARIA%20-%20COMISION%20INTERSECTORIAL%20DIFERENCIAL%20POBLACIONAL?csf=1&amp;web=1&amp;e=hDBLC6" TargetMode="External"/><Relationship Id="rId1033" Type="http://schemas.openxmlformats.org/officeDocument/2006/relationships/hyperlink" Target="../../../../../../:f:/r/sites/DirecciondeParticipacionyComunicacionparalaPlaneacion/Documentos%20compartidos/PROCESOS_OPDC_VIGENCIA%202024-2027/PROCESOS_OPDC_2024/EVIDENCIAS%202024/GESTI%C3%93N%20DEL%20PIPC/ENCUESTA%20SISBEN/2024-07-10_CAPACITACION%20SISBEN?csf=1&amp;web=1&amp;e=H40jil" TargetMode="External"/><Relationship Id="rId48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5-18_TRANSMICABLE%20SAN%20CRISTOBAL%20-JAL%20SAN%20CRISTOBAL?csf=1&amp;web=1&amp;e=tTJQD8" TargetMode="External"/><Relationship Id="rId610"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6-20_CAPACITACI%C3%93N%20DEL%20SPT%20A%20LA%20SPRS?csf=1&amp;web=1&amp;e=4r9FNA" TargetMode="External"/><Relationship Id="rId694"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USAQUEN?csf=1&amp;web=1&amp;e=L8AmB9" TargetMode="External"/><Relationship Id="rId708"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PUENTE%20ARANDA?csf=1&amp;web=1&amp;e=lKlX8z" TargetMode="External"/><Relationship Id="rId91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18_GAE%20-%20UPL%20PUENTE%20ARANDA%20(JAL)?csf=1&amp;web=1&amp;e=48onuO" TargetMode="External"/><Relationship Id="rId1240"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8-31_CONVOCATORIA%20TERRITORIAL%20AD%20-%20USAQU%C3%89N?csf=1&amp;web=1&amp;e=I2qShr" TargetMode="External"/><Relationship Id="rId34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2-13_ARTICULACION%20REFERENTE%20CPL%20CHAPINERO?csf=1&amp;web=1&amp;e=xsqlrD" TargetMode="External"/><Relationship Id="rId999" Type="http://schemas.openxmlformats.org/officeDocument/2006/relationships/hyperlink" Target="../../../../../../:f:/r/sites/DirecciondeParticipacionyComunicacionparalaPlaneacion/Documentos%20compartidos/PROCESOS_OPDC_VIGENCIA%202024-2027/PROCESOS_OPDC_2024/EVIDENCIAS%202024/GESTI%C3%93N%20DEL%20PIPC/REUNIONES%20INDIVIDUALES/2024-07-12_ART%20PIPS%20-%20ALCALDIAS%20LOSCALES%20CIRC.%2004%20DE%202024%20CONFIS?csf=1&amp;web=1&amp;e=YmEPDH" TargetMode="External"/><Relationship Id="rId1100"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7-22_PLENARIA%20PERMANENTE%20CTPD?csf=1&amp;web=1&amp;e=nv13SY" TargetMode="External"/><Relationship Id="rId1184" Type="http://schemas.openxmlformats.org/officeDocument/2006/relationships/hyperlink" Target="https://acortar.link/3NNmHI" TargetMode="External"/><Relationship Id="rId44" Type="http://schemas.openxmlformats.org/officeDocument/2006/relationships/hyperlink" Target="http://meet.google.com/bxj-xede-hem" TargetMode="External"/><Relationship Id="rId554"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5-09_PLENARIA%20PERMANENTE%20CTPD?csf=1&amp;web=1&amp;e=dMpHGb" TargetMode="External"/><Relationship Id="rId76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7-14_DEVOLUCI%C3%93N%20CIUDADANA%20CONSTRUCCI%C3%93N%20PDD%20%E2%80%93%20CERROS%20(VERJONES)?csf=1&amp;web=1&amp;e=9290QT" TargetMode="External"/><Relationship Id="rId85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22_SOCIALIZACI%C3%93N%20ESTRATEGIA%20DE%20PARTICIPACI%C3%93N%20PDD%20-%20AUTORIDADES%20IND%C3%8DGENAS%20BAKATA%20(AIB)?csf=1&amp;web=1&amp;e=uIcrjl" TargetMode="External"/><Relationship Id="rId193" Type="http://schemas.openxmlformats.org/officeDocument/2006/relationships/hyperlink" Target="https://meet.google.com/vby-ccoi-pgz" TargetMode="External"/><Relationship Id="rId207" Type="http://schemas.openxmlformats.org/officeDocument/2006/relationships/hyperlink" Target="https://teams.microsoft.com/l/meetup-join/19%3ameeting_ZTY2NDhmYzQtZTIyYi00MWFkLThhNDgtMTUzMWU5ZjgxOTFh%40thread.v2/0?context=%7b%22Tid%22%3a%220f1156f1-406d-4123-99f0-a976b835b9b6%22%2c%22Oid%22%3a%22238f0383-76da-46d4-a513-6126e5b28292%22%7d" TargetMode="External"/><Relationship Id="rId41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06_DIALOGO%20CIUDADANO%20-%20UPL%20BOSA?csf=1&amp;web=1&amp;e=elikCq" TargetMode="External"/><Relationship Id="rId498" Type="http://schemas.openxmlformats.org/officeDocument/2006/relationships/hyperlink" Target="../../../../../../:f:/r/sites/DirecciondeParticipacionyComunicacionparalaPlaneacion/Documentos%20compartidos/PROCESOS_OPDC_VIGENCIA%202024-2027/PROCESOS_OPDC_2024/EVIDENCIAS%202024/GESTI%C3%93N%20DEL%20PIPC/SISTEMA%20DE%20SITIOS%20SAGRADOS%20MUISCAS/2024-06-14_GESTI%C3%93N%20II%20MESA%20INTERSECTORIAL%20SPT%20-%20ESCENARIO%20ESPECIALIZADO%20SSSM?csf=1&amp;web=1&amp;e=H9V4Aa" TargetMode="External"/><Relationship Id="rId62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4-24_RECOMENDACIONES%20AL%20PDD%20POR%20NNA?csf=1&amp;web=1&amp;e=FWyZQf" TargetMode="External"/><Relationship Id="rId104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7-16_SOCIALIZACION%20PIP%20SEC%20NORTE%20-%20CPL%20SUBA?csf=1&amp;web=1&amp;e=UoAmVc" TargetMode="External"/><Relationship Id="rId1251"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3_CONVOCATORIA%20TERRITORIAL%20AD%20-%20ENGATIV%C3%81%202?csf=1&amp;web=1&amp;e=kiMkl3" TargetMode="External"/><Relationship Id="rId260" Type="http://schemas.openxmlformats.org/officeDocument/2006/relationships/hyperlink" Target="http://meet.google.com/sfb-wsqh-wnz" TargetMode="External"/><Relationship Id="rId719"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BLACIONAL/2024-04-15_MESA%20DE%20TRABAJO%20COMISION%20POBLACIONAL?csf=1&amp;web=1&amp;e=TdyDdd" TargetMode="External"/><Relationship Id="rId926"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FONTIBON/2024-07-02_SESION%20JULIO?csf=1&amp;web=1&amp;e=sbMsaC" TargetMode="External"/><Relationship Id="rId1111" Type="http://schemas.openxmlformats.org/officeDocument/2006/relationships/hyperlink" Target="https://teams.microsoft.com/l/meetup-join/19%3ameeting_NDljMWQ1MjUtNDY5Yy00MDY3LTkxOGYtNDliZmFlMDFjNzZi%40thread.v2/0?context=%7b%22Tid%22%3a%22823ace76-f3f5-4396-9a3b-bb149c779beb%22%2c%22Oid%22%3a%226316b340-0d0c-4eaa-8aa6-fccc262ca404%22%7d" TargetMode="External"/><Relationship Id="rId55" Type="http://schemas.openxmlformats.org/officeDocument/2006/relationships/hyperlink" Target="https://meet.google.com/ajy-tors-cso" TargetMode="External"/><Relationship Id="rId120" Type="http://schemas.openxmlformats.org/officeDocument/2006/relationships/hyperlink" Target="https://drive.google.com/file/d/1piFzYzYuXcx8NG3ZyrYwnpRxnV73bBT3/view?usp=sharing" TargetMode="External"/><Relationship Id="rId35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2-21_PRESENTACION%20FEDERACION%20DE%20JUNTAS?csf=1&amp;web=1&amp;e=zw28pT" TargetMode="External"/><Relationship Id="rId56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08_SESION%20DE%20CONCEJO%20-%20FORMULACION%20PDD?csf=1&amp;web=1&amp;e=ZwEQBe" TargetMode="External"/><Relationship Id="rId77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8_DIALOGO%20CIUDADANO%20-%20VENDEDORES%20INFORMALES?csf=1&amp;web=1&amp;e=Hy9Sdr" TargetMode="External"/><Relationship Id="rId1195" Type="http://schemas.openxmlformats.org/officeDocument/2006/relationships/hyperlink" Target="https://sdpgovco.sharepoint.com/:f:/r/sites/DirecciondeParticipacionyComunicacionparalaPlaneacion/Documentos%20compartidos/PROCESOS_OPDC_VIGENCIA%202024-2027/PROCESOS_OPDC_2024/EVIDENCIAS%202024/AGENDA%20DE%20OTROS%20INSTRUMENTOS%20DE%20PLANEACI%C3%93N/PLAN%20DISTRITAL%20DE%20DESARROLLO/2024-03-19_DIALOGO%20CIUDADANO%20PARA%20LA%20FORMULACION%20DEL%20PLAN%20DISTRITAL%20DE%20DESARROLLO%20PDD-%20LGBTI?csf=1&amp;web=1&amp;e=ywC9EJ" TargetMode="External"/><Relationship Id="rId1209" Type="http://schemas.openxmlformats.org/officeDocument/2006/relationships/hyperlink" Target="https://sdpgovco.sharepoint.com/:f:/r/sites/DirecciondeParticipacionyComunicacionparalaPlaneacion/Documentos%20compartidos/PROCESOS_OPDC_VIGENCIA%202024-2027/PROCESOS_OPDC_2024/EVIDENCIAS%202024/GESTI%C3%93N%20DEL%20PIPC/ENCUESTA%20SISBEN/ENCUESTAS%20UPL/UPL%2019%20-%20TUNJUELITO?csf=1&amp;web=1&amp;e=tc4aKz" TargetMode="External"/><Relationship Id="rId218" Type="http://schemas.openxmlformats.org/officeDocument/2006/relationships/hyperlink" Target="https://meet.google.com/anu-hmwh-jbx?hs=224" TargetMode="External"/><Relationship Id="rId425" Type="http://schemas.openxmlformats.org/officeDocument/2006/relationships/hyperlink" Target="../../../../../../:f:/r/sites/DirecciondeParticipacionyComunicacionparalaPlaneacion/Documentos%20compartidos/PROCESOS_OPDC_VIGENCIA%202024-2027/PROCESOS_OPDC_2024/EVIDENCIAS%202024/AGENDA%20CON%20INSTANCIAS/ACOMPA%C3%91AMIENTO%20CTPD/REUNIONES%20INDIVIDUALES/2024-03-07_REUNION%20ACLARACION%20-%20VACANCIAS%20VICTIMAS?csf=1&amp;web=1&amp;e=nWNx2Y" TargetMode="External"/><Relationship Id="rId63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5_JORNADA%20PEGATE%20AL%20PLAN%20-%20STARTCO%20II?csf=1&amp;web=1&amp;e=FPm7ya" TargetMode="External"/><Relationship Id="rId105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7-16_SOCIALICION%20PIP%20CPL%20SUBA%20-%20UPLS%20T,%20SU,%20SR?csf=1&amp;web=1&amp;e=dtg4Yh" TargetMode="External"/><Relationship Id="rId1262"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8_CONVOCATORIA%20TERRITORIAL%20AD%20-%20TEUSAQUILLO%202?csf=1&amp;web=1&amp;e=XtJIyF" TargetMode="External"/><Relationship Id="rId271"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6-13_CONSTRUCCION%20DE%20AGENDA%20-%20SECTOR%20SUR%20OCCIDENTE%20II?csf=1&amp;web=1&amp;e=eM9ay1" TargetMode="External"/><Relationship Id="rId937"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6-25_COMITE%20TECNICO%20DE%20SEGUIMIENTO%20AL%20CONVENIO?csf=1&amp;web=1&amp;e=3ZUSHO" TargetMode="External"/><Relationship Id="rId1122"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13%20-%20TINTAL?csf=1&amp;web=1&amp;e=pouqZ7" TargetMode="External"/><Relationship Id="rId66" Type="http://schemas.openxmlformats.org/officeDocument/2006/relationships/hyperlink" Target="https://meet.google.com/foy-xibp-mqj" TargetMode="External"/><Relationship Id="rId131" Type="http://schemas.openxmlformats.org/officeDocument/2006/relationships/hyperlink" Target="https://meet.google.com/kse-uupn-bcu" TargetMode="External"/><Relationship Id="rId369"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UMAPAZ/2024-02-27_SESION%20FEBRERO?csf=1&amp;web=1&amp;e=Bib8Xi" TargetMode="External"/><Relationship Id="rId576" Type="http://schemas.openxmlformats.org/officeDocument/2006/relationships/hyperlink" Target="../../../../../../:f:/r/sites/DirecciondeParticipacionyComunicacionparalaPlaneacion/Documentos%20compartidos/PROCESOS_OPDC_VIGENCIA%202024-2027/PROCESOS_OPDC_2024/EVIDENCIAS%202024/AGENDA%20CON%20INSTANCIAS/CCPH%20-CONSEJO%20CONSULTIVO%20DE%20PROPIEDAD%20HORIZONTAL/2024-05-06_SESION%20CONSEJO%20DE%20PROPIEDAD%20HORIZONTAL?csf=1&amp;web=1&amp;e=tjiSYx" TargetMode="External"/><Relationship Id="rId78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8_ENCUENTRO%20ESTRATEGICO%20-%20INCIDIR%20PARA%20EXISTIR%20-%20JOVENES?csf=1&amp;web=1&amp;e=qy1NwP" TargetMode="External"/><Relationship Id="rId990"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T/2024-07-05_COMISION%20POT?csf=1&amp;web=1&amp;e=KZEcji" TargetMode="External"/><Relationship Id="rId229" Type="http://schemas.openxmlformats.org/officeDocument/2006/relationships/hyperlink" Target="https://meet.google.com/khe-dhfd-nzr" TargetMode="External"/><Relationship Id="rId436"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3-07_PLENARIA%20PERMANENTE?csf=1&amp;web=1&amp;e=3daiqw" TargetMode="External"/><Relationship Id="rId643"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8_TALLER%20PDD%20-%20VEEDURIA%20DISTRITAL?csf=1&amp;web=1&amp;e=mTJpzF" TargetMode="External"/><Relationship Id="rId106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7-24_DEVOLUCION%20PDD%20SUBREGION%20SUR?csf=1&amp;web=1&amp;e=FysB9Y" TargetMode="External"/><Relationship Id="rId1273"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PLENARIAS/2024-08-29_PLENARIA%20ORDINARIA%20CTPD?csf=1&amp;web=1&amp;e=WmTsQ1" TargetMode="External"/><Relationship Id="rId85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TUNJUELITO/2024-03-21_SESION%20MARZO?csf=1&amp;web=1&amp;e=xch9ns" TargetMode="External"/><Relationship Id="rId948"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LA%20CANDELARIA/2024-07-04_SESION%20JULIO?csf=1&amp;web=1&amp;e=Bj5Kfs" TargetMode="External"/><Relationship Id="rId1133" Type="http://schemas.openxmlformats.org/officeDocument/2006/relationships/hyperlink" Target="mailto:lbarreto@sdp.gov.co" TargetMode="External"/><Relationship Id="rId77" Type="http://schemas.openxmlformats.org/officeDocument/2006/relationships/hyperlink" Target="http://meet.google.com/amw-gtvj-zkd" TargetMode="External"/><Relationship Id="rId282"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6-05_REUNION%20CON%20VEEDURIA%20DISTRITAL?csf=1&amp;web=1&amp;e=VjVjJ4" TargetMode="External"/><Relationship Id="rId503" Type="http://schemas.openxmlformats.org/officeDocument/2006/relationships/hyperlink" Target="../../../../../../:f:/r/sites/DirecciondeParticipacionyComunicacionparalaPlaneacion/Documentos%20compartidos/PROCESOS_OPDC_VIGENCIA%202024-2027/PROCESOS_OPDC_2024/EVIDENCIAS%202024/AGENDA%20DE%20OTROS%20INSTRUMENTOS%20DE%20PLANEACI%C3%93N/PLANES%20DE%20DESARROLLO%20LOCAL/2024-06-11_SESI%C3%93N%20JAL%20TUNJUELITO%20PDD?csf=1&amp;web=1&amp;e=fcQGdA" TargetMode="External"/><Relationship Id="rId58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ZIBO/2024-05-03_RECORRIDO%20AE%20ZIBO%20-%20JAC%20PUENTE%20ARANDA?csf=1&amp;web=1&amp;e=twY4y7" TargetMode="External"/><Relationship Id="rId710"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SUBA?csf=1&amp;web=1&amp;e=VrVkI9" TargetMode="External"/><Relationship Id="rId80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5_I%20DIALOGO%20CIUDADANO%20POBLACIONAL%20-%20COMUNIDAD%20PALENQUERA?csf=1&amp;web=1&amp;e=kV2Ang" TargetMode="External"/><Relationship Id="rId8" Type="http://schemas.openxmlformats.org/officeDocument/2006/relationships/hyperlink" Target="http://meet.google.com/zrb-mzrw-pem" TargetMode="External"/><Relationship Id="rId142" Type="http://schemas.openxmlformats.org/officeDocument/2006/relationships/hyperlink" Target="https://meet.google.com/oda-kism-azq" TargetMode="External"/><Relationship Id="rId44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11_SOCIALIZACION%20PDD%20-%20MESA%20DE%20VICTIMAS?csf=1&amp;web=1&amp;e=uWQohK" TargetMode="External"/><Relationship Id="rId79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5_DIALOGO%20CIUDADANO%20-%20UPL%20EL%20EDEN?csf=1&amp;web=1&amp;e=8hAeAD" TargetMode="External"/><Relationship Id="rId107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7-26_SOCIALIZACION%20PIP%20-%20OCCIDENTE%20JAL%20ENGATIVA?csf=1&amp;web=1&amp;e=aQrlj0" TargetMode="External"/><Relationship Id="rId1200" Type="http://schemas.openxmlformats.org/officeDocument/2006/relationships/hyperlink" Target="https://sdpgovco.sharepoint.com/:f:/r/sites/DirecciondeParticipacionyComunicacionparalaPlaneacion/Documentos%20compartidos/PROCESOS_OPDC_VIGENCIA%202024-2027/PROCESOS_OPDC_2024/EVIDENCIAS%202024/AGENDA%20DE%20OTROS%20INSTRUMENTOS%20DE%20PLANEACI%C3%93N/PLAN%20DISTRITAL%20DE%20DESARROLLO/2024-03-16_DIALOGO%20CIUDADANO%20POBLACIONAL%20-%20DISCAPACIDAD?csf=1&amp;web=1&amp;e=FX6GRJ" TargetMode="External"/><Relationship Id="rId65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7-28_DEVOLUCI%C3%93N%20PDD%20-%20SECTOR%20SURORIENTE?csf=1&amp;web=1&amp;e=uWpaaF" TargetMode="External"/><Relationship Id="rId86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22_DIALOGO%20CIUDADANO%20-%20UPL%20TOBERIN?csf=1&amp;web=1&amp;e=QHs9I8" TargetMode="External"/><Relationship Id="rId959" Type="http://schemas.openxmlformats.org/officeDocument/2006/relationships/hyperlink" Target="../../../../../../:f:/r/sites/DirecciondeParticipacionyComunicacionparalaPlaneacion/Documentos%20compartidos/PROCESOS_OPDC_VIGENCIA%202024-2027/PROCESOS_OPDC_2024/EVIDENCIAS%202024/AGENDA%20DE%20OTROS%20INSTRUMENTOS%20DE%20PLANEACI%C3%93N/POLITICA%20PUBLICA%20LGBTI/2024-06-30_MARCHA%20LGBTIQ%202024?csf=1&amp;web=1&amp;e=qqphhs" TargetMode="External"/><Relationship Id="rId1284" Type="http://schemas.openxmlformats.org/officeDocument/2006/relationships/hyperlink" Target="https://teams.microsoft.com/l/meetup-join/19%3ameeting_Y2ZkZWZjNTAtNzQ4NS00OGZkLTg3ZTQtMTllNzUwN2Y3ODE3%40thread.v2/0?context=%7b%22Tid%22%3a%22823ace76-f3f5-4396-9a3b-bb149c779beb%22%2c%22Oid%22%3a%226316b340-0d0c-4eaa-8aa6-fccc262ca404%22%7d" TargetMode="External"/><Relationship Id="rId293"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6-11_CONSTRUCCI%C3%93N%20AGENDA%20SUR%20ORIENTAL?csf=1&amp;web=1&amp;e=MBcl4N" TargetMode="External"/><Relationship Id="rId30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5-29_SOCIALIZACION%20RESULTADOS%20ENCUESTA%20SERVIDORES?csf=1&amp;web=1&amp;e=BzWZKu" TargetMode="External"/><Relationship Id="rId51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DE%20PARTICIPACI%C3%93N%20TERRITORIAL/SUBCOMISI%C3%93N%20SISTEMA%20DE%20PARTICIPACI%C3%93N%20TERRITORIAL/2024-05-17_SUBCOMISI%C3%93N%20PERMANENTE%20DEL%20SPT?csf=1&amp;web=1&amp;e=UJiAl1" TargetMode="External"/><Relationship Id="rId721"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4-12_PLENARIA%20CTPD?csf=1&amp;web=1&amp;e=4ZpOLX" TargetMode="External"/><Relationship Id="rId1144"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25%20-%20USAQUEN?csf=1&amp;web=1&amp;e=bi5lc1" TargetMode="External"/><Relationship Id="rId88" Type="http://schemas.openxmlformats.org/officeDocument/2006/relationships/hyperlink" Target="https://meet.google.com/mdd-pwtp-fkj" TargetMode="External"/><Relationship Id="rId153" Type="http://schemas.openxmlformats.org/officeDocument/2006/relationships/hyperlink" Target="https://meet.google.com/ave-dknh-acq" TargetMode="External"/><Relationship Id="rId360" Type="http://schemas.openxmlformats.org/officeDocument/2006/relationships/hyperlink" Target="../../../../../../:f:/r/sites/DirecciondeParticipacionyComunicacionparalaPlaneacion/Documentos%20compartidos/PROCESOS_OPDC_VIGENCIA%202024-2027/PROCESOS_OPDC_2024/EVIDENCIAS%202024/AGENDA%20CON%20INSTANCIAS/ACOMPA%C3%91AMIENTO%20CTPD/CURSO%20CTPD/2024-02-22_CURSO%20CTPD%20-%20MODULO%201%20JORNADA%202?csf=1&amp;web=1&amp;e=brkopV" TargetMode="External"/><Relationship Id="rId598" Type="http://schemas.openxmlformats.org/officeDocument/2006/relationships/hyperlink" Target="../../../../../../:f:/r/sites/DirecciondeParticipacionyComunicacionparalaPlaneacion/Documentos%20compartidos/PROCESOS_OPDC_VIGENCIA%202024-2027/PROCESOS_OPDC_2024/EVIDENCIAS%202024/GESTI%C3%93N%20DEL%20PIPC/SOCIALIZACI%C3%93N%20PIPC/2024-04-29_SOCIALIZACION%20PIPC%20-%20CONSEJO%20CONSULTIVO%20LGBTI?csf=1&amp;web=1&amp;e=eGs1J9" TargetMode="External"/><Relationship Id="rId819"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04_MESA%20DE%20SEGUIMIENTO%20-%20FORO%20DE%20JOVENES?csf=1&amp;web=1&amp;e=Wuo4Tr" TargetMode="External"/><Relationship Id="rId100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7-08_SOCIALIZACION%20PIP%20SECTOR%20NOROCCIDENTE%20-%20CPL%20SUBA?csf=1&amp;web=1&amp;e=etKWBM" TargetMode="External"/><Relationship Id="rId1211" Type="http://schemas.openxmlformats.org/officeDocument/2006/relationships/hyperlink" Target="https://teams.microsoft.com/l/meetup-join/19%3ameeting_MDEyZmFmMzUtMGJlOS00MGU5LWIzZWQtYTZmNThkM2I3YmUx%40thread.v2/0?context=%7b%22Tid%22%3a%22823ace76-f3f5-4396-9a3b-bb149c779beb%22%2c%22Oid%22%3a%220e217661-3137-4ada-8ce3-b76148d5191a%22%7d" TargetMode="External"/><Relationship Id="rId220" Type="http://schemas.openxmlformats.org/officeDocument/2006/relationships/hyperlink" Target="https://teams.microsoft.com/l/meetup-join/19%3ameeting_ZjRhMGUxYzUtNjBiYi00ZmQwLThlZDAtODZjODgwOWNhNmI2%40thread.v2/0?context=%7b%22Tid%22%3a%2226ae6adf-61be-443f-8dc4-6531b61a9a38%22%2c%22Oid%22%3a%229b024aee-a47e-4639-b10e-8327e14a5502%22%7d" TargetMode="External"/><Relationship Id="rId458"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ANTONIO%20NARI%C3%91O/2024-03-13_SESION%20MARZO?csf=1&amp;web=1&amp;e=S10BTG" TargetMode="External"/><Relationship Id="rId66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4-19_ARTICULACION%20SDP-EQUIPO%20UNAL%20_VIVIENDA?csf=1&amp;web=1&amp;e=Jsi1Yn" TargetMode="External"/><Relationship Id="rId87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26_III%20DI%C3%81LOGO%20CIUDADANO%20POBLACIONAL%20PDD%20-%20CONSULTIVA%20NEGRA-AFROCOLOMBIANA?csf=1&amp;web=1&amp;e=qZXidh" TargetMode="External"/><Relationship Id="rId1088" Type="http://schemas.openxmlformats.org/officeDocument/2006/relationships/hyperlink" Target="https://acortar.link/0s6mOf" TargetMode="External"/><Relationship Id="rId1295" Type="http://schemas.openxmlformats.org/officeDocument/2006/relationships/hyperlink" Target="https://teams.microsoft.com/l/meetup-join/19%3ameeting_YzZhOWI5ODktYmE5ZC00MTg1LTk2NGQtN2UwZmNjYzQzYTE0%40thread.v2/0?context=%7b%22Tid%22%3a%22823ace76-f3f5-4396-9a3b-bb149c779beb%22%2c%22Oid%22%3a%22a4f10e7d-23f1-4bbb-9952-41c273f603a2%22%7d" TargetMode="External"/><Relationship Id="rId1309"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PLAN%20DISTRITAL%20DE%20DESARROLLO/REUNIONES%20INDIVIDUALES/2024-09-05_PREPARATORIA%20DEVOLUCION%20SOCIEDAD%20CIVIL?csf=1&amp;web=1&amp;e=2se0qb" TargetMode="External"/><Relationship Id="rId15" Type="http://schemas.openxmlformats.org/officeDocument/2006/relationships/hyperlink" Target="https://meet.google.com/dtu-mwvz-nyk" TargetMode="External"/><Relationship Id="rId31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5-28_EVENTO%20-%20CONMEMORACION%20129%20A%C3%91OS%20DE%20LA%20UNIDAD%20DE%20BOMBEROS?csf=1&amp;web=1&amp;e=JMbu3M" TargetMode="External"/><Relationship Id="rId52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5-15_GESTI%C3%93N%20-%20CAPACITACION%20-%20CATEGORIZACION%20ROPUESTAS%20ABIERTAS%20PDD?csf=1&amp;web=1&amp;e=ueQGxR" TargetMode="External"/><Relationship Id="rId732"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6-19_III%20REUNI%C3%93N%20CONSTRUCCI%C3%93N%20DE%20AGENDA%20-%20SECTOR%20SUR%20OCCIDENTE?csf=1&amp;web=1&amp;e=ZpL6at" TargetMode="External"/><Relationship Id="rId1155" Type="http://schemas.openxmlformats.org/officeDocument/2006/relationships/hyperlink" Target="mailto:lbarreto@sdp.gov.co" TargetMode="External"/><Relationship Id="rId99" Type="http://schemas.openxmlformats.org/officeDocument/2006/relationships/hyperlink" Target="https://meet.google.com/xvx-yegr-xri?pli=1&amp;authuser=1" TargetMode="External"/><Relationship Id="rId164" Type="http://schemas.openxmlformats.org/officeDocument/2006/relationships/hyperlink" Target="https://drive.google.com/file/d/1Tl5emPyFYvvUs01ZoNj8YaVoWSc-IEla/view?usp=sharing" TargetMode="External"/><Relationship Id="rId371" Type="http://schemas.openxmlformats.org/officeDocument/2006/relationships/hyperlink" Target="https://teams.microsoft.com/dl/launcher/launcher.html?url=%2F_%23%2Fl%2Fmeetup-join%2F19%3Ameeting_NDhjMjY4M2YtNjY4OC00NTI0LWI2MjktNjE3MzBjNTU5YmMy%40thread.v2%2F0%3Fcontext%3D%257b%2522Tid%2522%253a%2522823ace76-f3f5-4396-9a3b-bb149c779beb%2522%252c%2522Oid%2522%253a%25226316b340-0d0c-4eaa-8aa6-fccc262ca404%2522%257d%26anon%3Dtrue&amp;type=meetup-join&amp;deeplinkId=21165b7f-cf24-42dd-a811-9e7d69bf5771&amp;directDl=true&amp;msLaunch=true&amp;enableMobilePage=true&amp;suppressPrompt=true" TargetMode="External"/><Relationship Id="rId1015" Type="http://schemas.openxmlformats.org/officeDocument/2006/relationships/hyperlink" Target="../../../../../../:f:/r/sites/DirecciondeParticipacionyComunicacionparalaPlaneacion/Documentos%20compartidos/PROCESOS_OPDC_VIGENCIA%202024-2027/PROCESOS_OPDC_2024/EVIDENCIAS%202024/GESTI%C3%93N%20DEL%20PIPC/SISTEMA%20DE%20SITIOS%20SAGRADOS%20MUISCAS/2024-07-09_REVISION%20DE%20CARTOGRAFIA%20SSSM?csf=1&amp;web=1&amp;e=kiW4Kz" TargetMode="External"/><Relationship Id="rId1222" Type="http://schemas.openxmlformats.org/officeDocument/2006/relationships/hyperlink" Target="https://teams.microsoft.com/l/meetup-join/19%3ameeting_ZDBkMmFkNTctOTljOS00M2I0LWE2ZGMtN2VkYjUzM2NmNWNj%40thread.v2/0?context=%7b%22Tid%22%3a%22823ace76-f3f5-4396-9a3b-bb149c779beb%22%2c%22Oid%22%3a%226316b340-0d0c-4eaa-8aa6-fccc262ca404%22%7d" TargetMode="External"/><Relationship Id="rId469"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BOSA/2024-03-14_SESION%20MARZO?csf=1&amp;web=1&amp;e=CWkB53" TargetMode="External"/><Relationship Id="rId67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20BARRIOS%20UNIDOS?csf=1&amp;web=1&amp;e=yymzfd" TargetMode="External"/><Relationship Id="rId883"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DD/2024-03-30_%20COMISI%C3%93N%20REDACTORA%20CONCEPTO?csf=1&amp;web=1&amp;e=flSHBG" TargetMode="External"/><Relationship Id="rId1099" Type="http://schemas.openxmlformats.org/officeDocument/2006/relationships/hyperlink" Target="https://teams.microsoft.com/l/meetup-join/19%3ameeting_MWQzMmUzMDItZjc5YS00OGUxLTgzNDgtMDcwM2M5YWVjY2Ex%40thread.v2/0?context=%7b%22Tid%22%3a%22823ace76-f3f5-4396-9a3b-bb149c779beb%22%2c%22Oid%22%3a%226316b340-0d0c-4eaa-8aa6-fccc262ca404%22%7d" TargetMode="External"/><Relationship Id="rId26" Type="http://schemas.openxmlformats.org/officeDocument/2006/relationships/hyperlink" Target="https://drive.google.com/file/d/1BJ7dwtDUCTJa-GdkWtouNXbYt8J713kY/view?usp=sharing" TargetMode="External"/><Relationship Id="rId231" Type="http://schemas.openxmlformats.org/officeDocument/2006/relationships/hyperlink" Target="https://meet.google.com/jyc-wxht-ofc" TargetMode="External"/><Relationship Id="rId329" Type="http://schemas.openxmlformats.org/officeDocument/2006/relationships/hyperlink" Target="../../../../../../:f:/r/sites/DirecciondeParticipacionyComunicacionparalaPlaneacion/Documentos%20compartidos/PROCESOS_OPDC_VIGENCIA%202024-2027/PROCESOS_OPDC_2024/EVIDENCIAS%202024/AGENDA%20CON%20INSTANCIAS/RED%20INSTITUCIONAL%20DE%20VEEDURIAS%20CIUDADANAS/2024-01-25_SESION%20ENERO%20-%20PRESENTACION%20ESTRATEGIA%20PDD?csf=1&amp;web=1&amp;e=jQDsh1" TargetMode="External"/><Relationship Id="rId53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6-12_MESA%20DE%20TRABAJO%20-%20%20PATIO%20BONITO%20II?csf=1&amp;web=1&amp;e=ScM8Qr" TargetMode="External"/><Relationship Id="rId116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LEGALIZACI%C3%93N%20URBAN%C3%8DSTICA/2024-09-20_MESA%20DE%20TRABAJO%20JAC%20-%20CONDOMINIO%20ALAMOS?csf=1&amp;web=1&amp;e=kOgZ64" TargetMode="External"/><Relationship Id="rId175" Type="http://schemas.openxmlformats.org/officeDocument/2006/relationships/hyperlink" Target="https://drive.google.com/file/d/1aKlBKFisTab4y3IVhSk1fR9Qp74WW7Vq/view?usp=sharing" TargetMode="External"/><Relationship Id="rId743" Type="http://schemas.openxmlformats.org/officeDocument/2006/relationships/hyperlink" Target="https://teams.microsoft.com/l/meetup-join/19%3ameeting_ZWU4OTVlOTAtZDM4Ny00OGQ1LWIzOWQtMDM1NDNhNDliMjc1%40thread.v2/0?context=%7b%22Tid%22%3a%22823ace76-f3f5-4396-9a3b-bb149c779beb%22%2c%22Oid%22%3a%22c2bb20c6-50c0-41f9-a053-1015ef44523e%22%7d" TargetMode="External"/><Relationship Id="rId95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7_GAE%20-%20LOCALIDAD%20USAQUEN%20JAC?csf=1&amp;web=1&amp;e=GIfdfB" TargetMode="External"/><Relationship Id="rId1026" Type="http://schemas.openxmlformats.org/officeDocument/2006/relationships/hyperlink" Target="../../../../../../:f:/r/sites/DirecciondeParticipacionyComunicacionparalaPlaneacion/Documentos%20compartidos/PROCESOS_OPDC_VIGENCIA%202024-2027/PROCESOS_OPDC_2024/EVIDENCIAS%202024/AGENDA%20CON%20INSTANCIAS/ACOMPA%C3%91AMIENTO%20CTPD/MESAS%20DIRECTIVAS/2024-07-11_MESA%20DIRECTIVA%20CTPD?csf=1&amp;web=1&amp;e=VEJ4AX" TargetMode="External"/><Relationship Id="rId38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_%20SENTIRES%20CIUDADANOS/2024-02-28_ENTREGA%20DE%20PROPUESTA%20PDD%20-%20CTPD?csf=1&amp;web=1&amp;e=YhtRHV" TargetMode="External"/><Relationship Id="rId60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26_ACTO%20PROTOCOLARIO%20NNA%20-%20ALCALDIA%20MAYOR?csf=1&amp;web=1&amp;e=mhCtxH" TargetMode="External"/><Relationship Id="rId687"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8_SEGUNDA%20CAPACITACION%20-%20AUDIENCIAS%20PLAN%20PLURIANUAL%20DE%20INVERSIONES?csf=1&amp;web=1&amp;e=AjJW5c" TargetMode="External"/><Relationship Id="rId81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5_DIALOGO%20CIUDADANO%20-%20UPL%20SUMAPAZ%20-%20SANTO%20DOMINGO?csf=1&amp;web=1&amp;e=g3yaJj" TargetMode="External"/><Relationship Id="rId908" Type="http://schemas.openxmlformats.org/officeDocument/2006/relationships/hyperlink" Target="https://www.youtube.com/watch?v=66DcYokSI24" TargetMode="External"/><Relationship Id="rId1233" Type="http://schemas.openxmlformats.org/officeDocument/2006/relationships/hyperlink" Target="https://teams.microsoft.com/l/meetup-join/19%3ameeting_ZTczYWVmZTMtYzJhYy00ZGNkLWIwZTYtMTI0NjhhMTdlY2Yx%40thread.v2/0?context=%7b%22Tid%22%3a%22823ace76-f3f5-4396-9a3b-bb149c779beb%22%2c%22Oid%22%3a%226316b340-0d0c-4eaa-8aa6-fccc262ca404%22%7d" TargetMode="External"/><Relationship Id="rId242" Type="http://schemas.openxmlformats.org/officeDocument/2006/relationships/hyperlink" Target="https://meet.google.com/drg-jgtb-xzp" TargetMode="External"/><Relationship Id="rId894" Type="http://schemas.openxmlformats.org/officeDocument/2006/relationships/hyperlink" Target="mailto:Marcus.hooker@gobiernobogota.gov.co" TargetMode="External"/><Relationship Id="rId1177"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8-08_DEVOLUCI%C3%93N%20PDD%20DE%20NI%C3%91OS,%20NI%C3%91AS%20Y%20ADOLESCENTES?csf=1&amp;web=1&amp;e=SVKEH7" TargetMode="External"/><Relationship Id="rId1300"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FORMULACI%C3%93N%20DE%20AE/AEDA/2024-09-06_SCC%20AEDA%20FONTIBON?csf=1&amp;web=1&amp;e=I1lDTq" TargetMode="External"/><Relationship Id="rId37" Type="http://schemas.openxmlformats.org/officeDocument/2006/relationships/hyperlink" Target="http://meet.google.com/oio-bbxn-zfn" TargetMode="External"/><Relationship Id="rId102" Type="http://schemas.openxmlformats.org/officeDocument/2006/relationships/hyperlink" Target="https://meet.google.com/auy-iaof-dwa" TargetMode="External"/><Relationship Id="rId547"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5-10_GESTION_COORDINACION%20PARA%20PROPUESTA%20AGORA?csf=1&amp;web=1&amp;e=wGYEfO" TargetMode="External"/><Relationship Id="rId754" Type="http://schemas.openxmlformats.org/officeDocument/2006/relationships/hyperlink" Target="../../../../../../:f:/r/sites/DirecciondeParticipacionyComunicacionparalaPlaneacion/Documentos%20compartidos/PROCESOS_OPDC_VIGENCIA%202024-2027/PROCESOS_OPDC_2024/EVIDENCIAS%202024/AGENDA%20CON%20INSTANCIAS/ACOMPA%C3%91AMIENTO%20CTPD/MESAS%20Y%20COMIT%C3%89S%20T%C3%89CNICOS/2024-04-10_%20COMITE%20TECNICO-%20CTPD?csf=1&amp;web=1&amp;e=864cgX" TargetMode="External"/><Relationship Id="rId961" Type="http://schemas.openxmlformats.org/officeDocument/2006/relationships/hyperlink" Target="https://acortar.link/R4lBdA" TargetMode="External"/><Relationship Id="rId90" Type="http://schemas.openxmlformats.org/officeDocument/2006/relationships/hyperlink" Target="https://meet.google.com/nns-xase-tbf?authuser=0" TargetMode="External"/><Relationship Id="rId186" Type="http://schemas.openxmlformats.org/officeDocument/2006/relationships/hyperlink" Target="https://drive.google.com/file/d/1UIZHrhjO-1QohIosukhFRYfg66UgDGij/view?usp=sharing" TargetMode="External"/><Relationship Id="rId39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02_DIALOGO%20CIUDADANO%20-%20UPL%20RESTREPO?csf=1&amp;web=1&amp;e=mFLTHB" TargetMode="External"/><Relationship Id="rId40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05_GESTION_DIVERSIDAD%20Y%20DISCAPACIDAD%20PDD?csf=1&amp;web=1&amp;e=SE2Nrm" TargetMode="External"/><Relationship Id="rId614"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BLACIONAL/2024-04-24_COMISION%20POBLACIONAL%20CTPD?csf=1&amp;web=1&amp;e=xY9NP1" TargetMode="External"/><Relationship Id="rId821" Type="http://schemas.openxmlformats.org/officeDocument/2006/relationships/hyperlink" Target="../../../../../../:f:/r/sites/DirecciondeParticipacionyComunicacionparalaPlaneacion/Documentos%20compartidos/PROCESOS_OPDC_VIGENCIA%202024-2027/PROCESOS_OPDC_2024/EVIDENCIAS%202024/AGENDA%20DE%20OTROS%20INSTRUMENTOS%20DE%20PLANEACI%C3%93N/ECOURBANISMO%20Y%20CONSTRUCCION%20SOSTENIBLE/2024-04-04_%20SEGUNDO%20FORO%20ECO%20URBANISMO?csf=1&amp;web=1&amp;e=asRtmB" TargetMode="External"/><Relationship Id="rId103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REUNIONES%20INDIVIDUALES/2024-07-09_COMITE%20DE%20ASAMBLEAS%20DELIBERATIVAS?csf=1&amp;web=1&amp;e=lDawpB" TargetMode="External"/><Relationship Id="rId1244"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2024-08-28_CAPACITACI%C3%93N%20ASAMBLEAS%20DELIBERATIVAS?csf=1&amp;web=1&amp;e=Tkt7sS" TargetMode="External"/><Relationship Id="rId253" Type="http://schemas.openxmlformats.org/officeDocument/2006/relationships/hyperlink" Target="https://meet.google.com/esw-pgho-emn" TargetMode="External"/><Relationship Id="rId46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USME/2024-03-13_SESION%20MARZO?csf=1&amp;web=1&amp;e=3gVmVr" TargetMode="External"/><Relationship Id="rId698"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LOS%20MARTIRES?csf=1&amp;web=1&amp;e=vPjw50" TargetMode="External"/><Relationship Id="rId919"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6-24_COMISION%20POT?csf=1&amp;web=1&amp;e=Xmy9Xm" TargetMode="External"/><Relationship Id="rId1090" Type="http://schemas.openxmlformats.org/officeDocument/2006/relationships/hyperlink" Target="https://acortar.link/ZEpFD2" TargetMode="External"/><Relationship Id="rId1104"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4%20-%20LUCERO?csf=1&amp;web=1&amp;e=CcxmRE" TargetMode="External"/><Relationship Id="rId1311"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9-17-DEVOLUCION%20PDD%20ASOBARES?csf=1&amp;web=1&amp;e=0tOEly" TargetMode="External"/><Relationship Id="rId48" Type="http://schemas.openxmlformats.org/officeDocument/2006/relationships/hyperlink" Target="https://meet.google.com/jay-odjm-uib" TargetMode="External"/><Relationship Id="rId113" Type="http://schemas.openxmlformats.org/officeDocument/2006/relationships/hyperlink" Target="https://meet.google.com/cob-mwjp-oqi?hs=224" TargetMode="External"/><Relationship Id="rId32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5-28_SESI%C3%93N%20EXTRAORDINARIA%20-%20MESA%20DISTRITAL%20DE%20VICTIMAS?csf=1&amp;web=1&amp;e=4FUpUD" TargetMode="External"/><Relationship Id="rId558"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BOSA/2024-05-09_SESION%20MAYO?csf=1&amp;web=1&amp;e=MfBbYc" TargetMode="External"/><Relationship Id="rId76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09_PEDAGOGIA%20CHATICO-JAL%20USAQUEN?csf=1&amp;web=1&amp;e=TQ9clZ" TargetMode="External"/><Relationship Id="rId97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03_GAE%20-%20NORTE%20JAC%20SANTA%20MONICA?csf=1&amp;web=1&amp;e=5rnQ3R" TargetMode="External"/><Relationship Id="rId1188"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FORMULACI%C3%93N%20DE%20AE/AEDA/2024-08-02_MESA%20DE%20TRABAJO%20-%20COMIT%C3%89%20CIUDADANO%20AEDA%20FONTIB%C3%93N?csf=1&amp;web=1&amp;e=IwmsGd" TargetMode="External"/><Relationship Id="rId197" Type="http://schemas.openxmlformats.org/officeDocument/2006/relationships/hyperlink" Target="https://meet.google.com/rbo-eyiq-zbg" TargetMode="External"/><Relationship Id="rId41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24_%20SESION%20DE%20CONCEJO%20-%20FORMULACI%C3%93N%20PDD%20-%20MA%C3%91ANA?csf=1&amp;web=1&amp;e=JV4NUL" TargetMode="External"/><Relationship Id="rId625"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6-19_CONSTRUCCION%20AGENDA%20SECTOR%20SUR%20ORIENTAL?csf=1&amp;web=1&amp;e=0p8lY2" TargetMode="External"/><Relationship Id="rId83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02_PREPARATORIA%20VORTACKO%20I%20-PUEBLO%20RROM?csf=1&amp;web=1&amp;e=zuQLZh" TargetMode="External"/><Relationship Id="rId104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REUNIONES%20INDIVIDUALES/2024-07-10_REU%20FORMACION%20Y%20PEDAGOGIA%20DE%20ASAMBLEAS%20CIUDADANAS?csf=1&amp;web=1&amp;e=Q27TBD" TargetMode="External"/><Relationship Id="rId1255" Type="http://schemas.openxmlformats.org/officeDocument/2006/relationships/hyperlink" Target="https://teams.microsoft.com/dl/launcher/launcher.html?url=%2F_%23%2Fl%2Fmeetup-join%2F19%3Ameeting_OTdiODY4OWUtYzAxZC00YTc5LTliN2ItM2EyMDQ5OGNjMWVm%40thread.v2%2F0%3Fcontext%3D%257b%2522Tid%2522%253a%2522823ace76-f3f5-4396-9a3b-bb149c779beb%2522%252c%2522Oid%2522%253a%2522a6e1cf2f-6898-4d40-a155-561d032d1282%2522%257d%26anon%3Dtrue&amp;type=meetup-join&amp;deeplinkId=911b05e6-8327-4df3-9590-61c320701be8&amp;directDl=true&amp;msLaunch=true&amp;enableMobilePage=true&amp;suppressPrompt=true" TargetMode="External"/><Relationship Id="rId264"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PUENTE%20ARANDA/2024-06-18_SESION%20JUNIO?csf=1&amp;web=1&amp;e=jUSBdF" TargetMode="External"/><Relationship Id="rId47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22_%20SESION%20DE%20CONCEJO%20-%20FORMULACION%20PDD%20-%20MA%C3%91ANA?csf=1&amp;web=1&amp;e=ZNARKb" TargetMode="External"/><Relationship Id="rId1115" Type="http://schemas.openxmlformats.org/officeDocument/2006/relationships/hyperlink" Target="mailto:lbarreto@sdp.gov.co" TargetMode="External"/><Relationship Id="rId59" Type="http://schemas.openxmlformats.org/officeDocument/2006/relationships/hyperlink" Target="https://capacitacion.moodle.serviciocivil.gov.co/curso/2174" TargetMode="External"/><Relationship Id="rId124" Type="http://schemas.openxmlformats.org/officeDocument/2006/relationships/hyperlink" Target="https://teams.microsoft.com/l/meetup-join/19%3ameeting_MzYzMjEzODAtZjQ1Mi00ZTk3LWFkZmQtYTkwMWNiZThmZTY4%40thread.v2/0?context=%7b%22Tid%22%3a%2214de155f-e192-44da-994d-1913d8658372%22%2c%22Oid%22%3a%2204a273b8-28ba-4099-9b31-ca5e8d396a0f%22%7d" TargetMode="External"/><Relationship Id="rId569" Type="http://schemas.openxmlformats.org/officeDocument/2006/relationships/hyperlink" Target="../../../../../../:f:/r/sites/DirecciondeParticipacionyComunicacionparalaPlaneacion/Documentos%20compartidos/PROCESOS_OPDC_VIGENCIA%202024-2027/PROCESOS_OPDC_2024/EVIDENCIAS%202024/GESTI%C3%93N%20DEL%20PIPC/SISTEMA%20DE%20SITIOS%20SAGRADOS%20MUISCAS/2024-05-07_SISTEMA%20SITIOS%20SAGRADOS%20MUISCA%20Y%20SPT-IDPC?csf=1&amp;web=1&amp;e=tshkK0" TargetMode="External"/><Relationship Id="rId776"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8_SEGUIMIENTO%20DASCD?csf=1&amp;web=1&amp;e=LZT3l0" TargetMode="External"/><Relationship Id="rId983"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PREPARATORIAS%20DEVOLUCIONES%20PDD/2024-07-03_PREPARATORIA%20DEVOLUCION%20SUMAPAZ?csf=1&amp;web=1&amp;e=PjMD6G" TargetMode="External"/><Relationship Id="rId1199" Type="http://schemas.openxmlformats.org/officeDocument/2006/relationships/hyperlink" Target="https://sdpgovco.sharepoint.com/:f:/r/sites/DirecciondeParticipacionyComunicacionparalaPlaneacion/Documentos%20compartidos/PROCESOS_OPDC_VIGENCIA%202024-2027/PROCESOS_OPDC_2024/EVIDENCIAS%202024/AGENDA%20DE%20OTROS%20INSTRUMENTOS%20DE%20PLANEACI%C3%93N/PLAN%20DISTRITAL%20DE%20DESARROLLO/2024-03-09_DIALOGO%20CIUDADANO%20POBLACIONAL%20-%20DISCAPACIDAD?csf=1&amp;web=1&amp;e=Bl1uqW" TargetMode="External"/><Relationship Id="rId33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AEDA/2024-01-26_TALLER%20AEDA%20-%20JAC%20ENGATIVA?csf=1&amp;web=1&amp;e=n3Vw3X" TargetMode="External"/><Relationship Id="rId42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07_COORDINACION%20ASOBARES?csf=1&amp;web=1&amp;e=qmdz3C" TargetMode="External"/><Relationship Id="rId63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6_DIALOGO%20CIUDADANO%20-%20UPL%20CERROS%20ORIENTALES%20-%20SECTOR%20SAN%20LUIS%20Y%20LA%20SURE%C3%91A?csf=1&amp;web=1&amp;e=dIE8uo" TargetMode="External"/><Relationship Id="rId1059" Type="http://schemas.openxmlformats.org/officeDocument/2006/relationships/hyperlink" Target="https://teams.microsoft.com/dl/launcher/launcher.html?url=%2F_%23%2Fl%2Fmeetup-join%2F19%3Ameeting_YmM0N2Y2YzAtNTk1Ni00ZDU2LWJkMGUtNjM5OTIwMmRmMDQ4%40thread.v2%2F0%3Fcontext%3D%257b%2522Tid%2522%253a%2522823ace76-f3f5-4396-9a3b-bb149c779beb%2522%252c%2522Oid%2522%253a%2522a4f10e7d-23f1-4bbb-9952-41c273f603a2%2522%257d%26anon%3Dtrue&amp;type=meetup-join&amp;deeplinkId=cf792301-087b-4429-b354-06b83233d6aa&amp;directDl=true&amp;msLaunch=true&amp;enableMobilePage=true&amp;suppressPrompt=true" TargetMode="External"/><Relationship Id="rId1266"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CONSTRUCCI%C3%93N%20DIRECTRICES%20AE/CAMPIN%207%20DE%20AGOSTO/2024-08-29_PRESENTACI%C3%93N%20DEL%20CIUDADANO%20DIRECTRICES%20DE%20LA%20AE%20CAMPIN%207%20DE%20AGOSTO?csf=1&amp;web=1&amp;e=QM8z5S" TargetMode="External"/><Relationship Id="rId84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20_DIALOGO%20CIUDADANO%20-%20UPL%20BRITALIA?csf=1&amp;web=1&amp;e=dgJ5Wp" TargetMode="External"/><Relationship Id="rId1126"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15%20-%20PORVENIR?csf=1&amp;web=1&amp;e=APdJv1" TargetMode="External"/><Relationship Id="rId27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6-07_COMITE%20COORDINADOR%20-%20ASAMBLEAS%20CIUDADANAS?csf=1&amp;web=1&amp;e=DnOJOj" TargetMode="External"/><Relationship Id="rId482"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5-20_ARTICULACION%20CON%20DPL%20-%20PROYECTOS%20PIP%20Y%20PARTICIPACION?csf=1&amp;web=1&amp;e=4ehHi7" TargetMode="External"/><Relationship Id="rId703"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ANTONIO%20NARI%C3%91O?csf=1&amp;web=1&amp;e=7LmFNq" TargetMode="External"/><Relationship Id="rId91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4_LOCALIDAD%20USAQUEN%20CLSYS%20UPL%20USAQUEN?csf=1&amp;web=1&amp;e=McVDSm" TargetMode="External"/><Relationship Id="rId135" Type="http://schemas.openxmlformats.org/officeDocument/2006/relationships/hyperlink" Target="https://meet.google.com/awb-sjgw-yxf" TargetMode="External"/><Relationship Id="rId342"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2-09_ESTRATEGIA%20DE%20PARTICIPACION%20-%20NNA?csf=1&amp;web=1&amp;e=uAJ9Wt" TargetMode="External"/><Relationship Id="rId787" Type="http://schemas.openxmlformats.org/officeDocument/2006/relationships/hyperlink" Target="https://acortar.link/ulyGJm" TargetMode="External"/><Relationship Id="rId994"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BOSA/2024-07-11_SESION%20JULIO?csf=1&amp;web=1&amp;e=yKSmZc" TargetMode="External"/><Relationship Id="rId202" Type="http://schemas.openxmlformats.org/officeDocument/2006/relationships/hyperlink" Target="https://meet.google.com/nqb-tupq-nvx" TargetMode="External"/><Relationship Id="rId647"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4-22_REUNION%20DE%20GESTION%20AGORA%20METROPOLITANA?csf=1&amp;web=1&amp;e=uT2C9c" TargetMode="External"/><Relationship Id="rId85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21_I%20DIALOGO%20CIUDADANO%20POBLACIONAL%20-%20COMUNIDAD%20PALENQUERA?csf=1&amp;web=1&amp;e=PkW64C" TargetMode="External"/><Relationship Id="rId1277"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COMISIONES/PARTICIPACION/2024-08-20_COMISI%C3%93N%20DE%20PARTICIPACI%C3%93N%20-%20CTPD?csf=1&amp;web=1&amp;e=8Be2pM" TargetMode="External"/><Relationship Id="rId286"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UMAPAZ/2024-06-05_SESION%20JUNIO?csf=1&amp;web=1&amp;e=yy4GUp" TargetMode="External"/><Relationship Id="rId493" Type="http://schemas.openxmlformats.org/officeDocument/2006/relationships/hyperlink" Target="https://acortar.link/YEo1k1" TargetMode="External"/><Relationship Id="rId50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6-21_ACCI%C3%93N%20AFIRMATIVA%20TRANSVERSALIZACI%C3%93N%20ENFOQUE%20%C3%89TNICO%20GITANO-RROM?csf=1&amp;web=1&amp;e=3RfHPW" TargetMode="External"/><Relationship Id="rId714"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5_CAPACITACION%20PLAN%20PLURIANUAL%20DE%20INVERSIONES%20PDD?csf=1&amp;web=1&amp;e=NRhPrI" TargetMode="External"/><Relationship Id="rId92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5_GAE%20-%20LOCALIDAD%20ANTONIO%20NARI%C3%91O%20JAC?csf=1&amp;web=1&amp;e=Qf042Z" TargetMode="External"/><Relationship Id="rId1137"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21%20-%20SAN%20CRISTOBAL?csf=1&amp;web=1&amp;e=CQ9Ih3" TargetMode="External"/><Relationship Id="rId50" Type="http://schemas.openxmlformats.org/officeDocument/2006/relationships/hyperlink" Target="https://drive.google.com/file/d/1H3f-Pzngxpw64cmvlbnMRw--KHVjVYbi/view?usp=sharing" TargetMode="External"/><Relationship Id="rId146" Type="http://schemas.openxmlformats.org/officeDocument/2006/relationships/hyperlink" Target="https://meet.google.com/zss-jgkc-rzv?authuser=0" TargetMode="External"/><Relationship Id="rId35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_%20SENTIRES%20CIUDADANOS/2024-02-16_TALLER%20SUBREGION%20NORTE?csf=1&amp;web=1&amp;e=xCFodV" TargetMode="External"/><Relationship Id="rId56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5-09_CONSULTORIO%20PDD-%20JORNADA%2013%20-%20CULTURA?csf=1&amp;web=1&amp;e=ufA3Ku" TargetMode="External"/><Relationship Id="rId798"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3-18_PLENARIA%20EXTRAORDINARIA%20PERMANENTE?csf=1&amp;web=1&amp;e=LmwXQ1" TargetMode="External"/><Relationship Id="rId1190" Type="http://schemas.openxmlformats.org/officeDocument/2006/relationships/hyperlink" Target="https://acortar.link/T9a8yc" TargetMode="External"/><Relationship Id="rId1204" Type="http://schemas.openxmlformats.org/officeDocument/2006/relationships/hyperlink" Target="https://acortar.link/VLdFmP" TargetMode="External"/><Relationship Id="rId213" Type="http://schemas.openxmlformats.org/officeDocument/2006/relationships/hyperlink" Target="https://teams.microsoft.com/dl/launcher/launcher.html?url=%2F_%23%2Fl%2Fmeetup-join%2F19%3Ameeting_OGJlMTlkNmMtZjQ2MC00Y2Q4LTgzMWQtOTRkNzIwOTViODdi%40thread.v2%2F0%3Fcontext%3D%257b%2522Tid%2522%253a%2522b3e30808-e9a8-4f2a-9bc1-a760ae910cf5%2522%252c%2522Oid%2522%253a%252237611154-6326-474d-9819-3be8738dadde%2522%257d%26anon%3Dtrue&amp;type=meetup-join&amp;deeplinkId=e1bf15c8-c718-49c3-845c-eefa8297ed32&amp;directDl=true&amp;msLaunch=true&amp;enableMobilePage=true&amp;suppressPrompt=true" TargetMode="External"/><Relationship Id="rId42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LA%20CANDELARIA/2024-03-07_SESION%20MARZO?csf=1&amp;web=1&amp;e=mRB4ZE" TargetMode="External"/><Relationship Id="rId658" Type="http://schemas.openxmlformats.org/officeDocument/2006/relationships/hyperlink" Target="http://teams.live.com/meet/9399289087211?" TargetMode="External"/><Relationship Id="rId86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23_DIALOGO%20CIUDADANO%20-%20UPL%20SUMAPAZ%20-%20CUENCA%20RIO%20SUMAPAZ?csf=1&amp;web=1&amp;e=ZVn8X5" TargetMode="External"/><Relationship Id="rId105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12_GAE%20-%20CPL%20PUENTE%20ARANDA?csf=1&amp;web=1&amp;e=PpYeYd" TargetMode="External"/><Relationship Id="rId1288" Type="http://schemas.openxmlformats.org/officeDocument/2006/relationships/hyperlink" Target="https://sdpgovco.sharepoint.com/:f:/r/sites/DirecciondeParticipacionyComunicacionparalaPlaneacion/Documentos%20compartidos/PROCESOS_OPDC_VIGENCIA%202024-2027/PROCESOS_OPDC_2024/EVIDENCIAS%202024/GESTI%C3%93N%20DEL%20PIPC/REGLAMENTACI%C3%93N%20DE%20%C3%81GORA%20METROPOLITANA/2024-09-03_REUNION%20CON%20REGION%20METROPOLITANA?csf=1&amp;web=1&amp;e=tb3FsN" TargetMode="External"/><Relationship Id="rId297"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5-30_PLENARIA%20ORDINARIA%20CTPD?csf=1&amp;web=1&amp;e=KwfJIG" TargetMode="External"/><Relationship Id="rId518" Type="http://schemas.openxmlformats.org/officeDocument/2006/relationships/hyperlink" Target="../../../../../../:f:/r/sites/DirecciondeParticipacionyComunicacionparalaPlaneacion/Documentos%20compartidos/PROCESOS_OPDC_VIGENCIA%202024-2027/PROCESOS_OPDC_2024/EVIDENCIAS%202024/GESTI%C3%93N%20DEL%20PIPC/REGLAMENTACION%20ECOURBANISMO%20Y%20CONSTRUCCION%20SOSTENIBLE/2024-05-16_%20SEGUIMIENTO%20-%20PIPC%202024%20-%20ECOURBANISMO%20Y%20CONSTRUCCI%C3%93N%20SOSTENIBLE?csf=1&amp;web=1&amp;e=ntdRTd" TargetMode="External"/><Relationship Id="rId72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DE%20COORDINACION%20DEL%20PDD/2024-04-12_COMITE%20COORDINADOR%20INTERSECTORIAL%20DE%20PARTICIPACION%20PDD?csf=1&amp;web=1&amp;e=xjt95r" TargetMode="External"/><Relationship Id="rId93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6_GAE%20-%20CLDDHH%20SUMAPAZ?csf=1&amp;web=1&amp;e=nPEc4U" TargetMode="External"/><Relationship Id="rId1148"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27%20-%20NIZA?csf=1&amp;web=1&amp;e=9e5eGQ" TargetMode="External"/><Relationship Id="rId157" Type="http://schemas.openxmlformats.org/officeDocument/2006/relationships/hyperlink" Target="http://meet.google.com/nsm-epxn-byp" TargetMode="External"/><Relationship Id="rId364"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2-23_GESTION%20SDG%20-%20GRUPOS%20ETNICOS?csf=1&amp;web=1&amp;e=1ljV4h" TargetMode="External"/><Relationship Id="rId100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09_GAE%20-%20OCCIDENTE%20-%20CPL%20SECTOR%20CULTURA%20ARTE%20Y%20PATRIMONIO?csf=1&amp;web=1&amp;e=mjqE5f" TargetMode="External"/><Relationship Id="rId1215" Type="http://schemas.openxmlformats.org/officeDocument/2006/relationships/hyperlink" Target="https://sdpgovco.sharepoint.com/:f:/r/sites/DirecciondeParticipacionyComunicacionparalaPlaneacion/Documentos%20compartidos/PROCESOS_OPDC_VIGENCIA%202024-2027/PROCESOS_OPDC_2024/EVIDENCIAS%202024/GESTI%C3%93N%20DEL%20PIPC/SMART%20CITY/2024-08-21_REUNI%C3%93N%20EVENTO%20SMART%20CITY%20EXPO?csf=1&amp;web=1&amp;e=WD2ubj" TargetMode="External"/><Relationship Id="rId61" Type="http://schemas.openxmlformats.org/officeDocument/2006/relationships/hyperlink" Target="https://drive.google.com/file/d/1YnLK2GlBwe4liNGyWOvFGleCpRq_5mWI/view?usp=sharing" TargetMode="External"/><Relationship Id="rId571"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ANTA%20FE/2024-05-07_SESION%20MAYO?csf=1&amp;web=1&amp;e=CfpwTA" TargetMode="External"/><Relationship Id="rId66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TEUSAQUILLO?csf=1&amp;web=1&amp;e=Rhf0VO" TargetMode="External"/><Relationship Id="rId876"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DD/2024-03-27_%20SESI%C3%93N%20EXTRAORDINARIA%20DE%20LA%20COMISI%C3%93N%20DE%20PLAN%20DISTRITAL%20DE%20DESARROLLO%20DEL%20CTPD?csf=1&amp;web=1&amp;e=mNK3NE" TargetMode="External"/><Relationship Id="rId1299"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2024-09-05_PEDAGOGIA%20META%20ASAMBLEA%20DELIBERATIVA?csf=1&amp;web=1&amp;e=q6JXkJ" TargetMode="External"/><Relationship Id="rId19" Type="http://schemas.openxmlformats.org/officeDocument/2006/relationships/hyperlink" Target="https://drive.google.com/file/d/12M8aqGIQPZqM80sYwPAUJPwKV92X2x-T/view?usp=sharing" TargetMode="External"/><Relationship Id="rId224" Type="http://schemas.openxmlformats.org/officeDocument/2006/relationships/hyperlink" Target="https://drive.google.com/file/d/1_ZpPdfY_jNSHj-nEmLa8BRUv3qmHFNHr/view?usp=sharing" TargetMode="External"/><Relationship Id="rId43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5-23_AUDIENCIA%20PUBLICA%20-%20EL%20CAMBIO%20DEBE%20VERSE%20EN%20EL%20CENTRO%20DE%20BOGOT%C3%81?csf=1&amp;web=1&amp;e=npZ1ND" TargetMode="External"/><Relationship Id="rId529" Type="http://schemas.openxmlformats.org/officeDocument/2006/relationships/hyperlink" Target="../../../../../../:f:/r/sites/DirecciondeParticipacionyComunicacionparalaPlaneacion/Documentos%20compartidos/PROCESOS_OPDC_VIGENCIA%202024-2027/PROCESOS_OPDC_2024/EVIDENCIAS%202024/GESTI%C3%93N%20DEL%20PIPC/POL%C3%8DTICA%20PUBLICA%20DE%20RURALIDAD/2024-05-15_PLAN%20DE%20ACCON%20PPR%20-%20SECTOR%20PLANEACION?csf=1&amp;web=1&amp;e=53cwl4" TargetMode="External"/><Relationship Id="rId736"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6-12_VIRTUAL%20SPT%20UPL%2033?csf=1&amp;web=1&amp;e=D9lxJa" TargetMode="External"/><Relationship Id="rId106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18_GAE%20-%20UPL%20TABORA%20-%20CPL%20SECTOR%20AMBIENTE?csf=1&amp;web=1&amp;e=iMwFh8" TargetMode="External"/><Relationship Id="rId1159" Type="http://schemas.openxmlformats.org/officeDocument/2006/relationships/hyperlink" Target="mailto:lbarreto@sdp.gov.co" TargetMode="External"/><Relationship Id="rId168" Type="http://schemas.openxmlformats.org/officeDocument/2006/relationships/hyperlink" Target="https://drive.google.com/file/d/1-uxPahn1OoPUVF7zHKn7w_aVwsEmBo4w/view?usp=sharing" TargetMode="External"/><Relationship Id="rId943" Type="http://schemas.openxmlformats.org/officeDocument/2006/relationships/hyperlink" Target="https://teams.microsoft.com/l/meetup-join/19%3ameeting_NGMxODE5ZGEtYmZlMC00MjQyLWFmOGMtNTMwODkzZWJiOGIx%40thread.v2/0?context=%7b%22Tid%22%3a%22823ace76-f3f5-4396-9a3b-bb149c779beb%22%2c%22Oid%22%3a%226316b340-0d0c-4eaa-8aa6-fccc262ca404%22%7d" TargetMode="External"/><Relationship Id="rId1019" Type="http://schemas.openxmlformats.org/officeDocument/2006/relationships/hyperlink" Target="https://teams.microsoft.com/l/meetup-join/19%3ameeting_NDA0ZjJkYzYtMWE3NC00MWNlLWIxY2QtYzFjM2JjZjFlMTU4%40thread.v2/0?context=%7b%22Tid%22%3a%22823ace76-f3f5-4396-9a3b-bb149c779beb%22%2c%22Oid%22%3a%2220108af8-ac3e-446c-894a-f8407314940d%22%7d" TargetMode="External"/><Relationship Id="rId72" Type="http://schemas.openxmlformats.org/officeDocument/2006/relationships/hyperlink" Target="http://meet.google.com/zwj-xyfv-yko" TargetMode="External"/><Relationship Id="rId375"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5-27_CAPACITACION%20-%20UPL%20Y%20PIP%20LIDERES%20SECTORES%20MOT?csf=1&amp;web=1&amp;e=8kiruq" TargetMode="External"/><Relationship Id="rId582" Type="http://schemas.openxmlformats.org/officeDocument/2006/relationships/hyperlink" Target="../../../../../../:f:/r/sites/DirecciondeParticipacionyComunicacionparalaPlaneacion/Documentos%20compartidos/PROCESOS_OPDC_VIGENCIA%202024-2027/PROCESOS_OPDC_2024/EVIDENCIAS%202024/GESTI%C3%93N%20DEL%20PIPC/REUNIONES%20INDIVIDUALES/2024-05-03_TALLER%20%20MODELO%20DE%20RELACIONAMIENTO%20CON%20LA%20CIUDADAN%C3%8DA?csf=1&amp;web=1&amp;e=ZZFWcv" TargetMode="External"/><Relationship Id="rId80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9_DIALOGO%20CON%20SUMMA?csf=1&amp;web=1&amp;e=rNj1oJ" TargetMode="External"/><Relationship Id="rId1226"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ESCENARIOS%20INDIVIDUALES/2024-09-05_CUPI%20PEMPD%20TEUSAQUILLO?csf=1&amp;web=1&amp;e=CnJsUc" TargetMode="External"/><Relationship Id="rId3" Type="http://schemas.openxmlformats.org/officeDocument/2006/relationships/hyperlink" Target="http://meet.google.com/hme-ckby-nni" TargetMode="External"/><Relationship Id="rId235" Type="http://schemas.openxmlformats.org/officeDocument/2006/relationships/hyperlink" Target="https://meet.google.com/ryt-hstz-fjm" TargetMode="External"/><Relationship Id="rId442"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3-11_PEDAGOGIA%20PDD%20-%20SERVIDORES%20SDP?csf=1&amp;web=1&amp;e=KtRfem" TargetMode="External"/><Relationship Id="rId88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19_GAE%20-%20LOCALIDAD%20ANTONIO%20NARI%C3%91O?csf=1&amp;web=1&amp;e=cP8uyk" TargetMode="External"/><Relationship Id="rId1072" Type="http://schemas.openxmlformats.org/officeDocument/2006/relationships/hyperlink" Target="../../../../../../:f:/r/sites/DirecciondeParticipacionyComunicacionparalaPlaneacion/Documentos%20compartidos/PROCESOS_OPDC_VIGENCIA%202024-2027/PROCESOS_OPDC_2024/EVIDENCIAS%202024/GESTI%C3%93N%20DEL%20PIPC/SMART%20CITY/2024-07-17_PREPARACION%20SMART%20CITY?csf=1&amp;web=1&amp;e=fiibib" TargetMode="External"/><Relationship Id="rId30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ESCENARIOS%20INDIVIDUALES/2024-05-30_MESA%20DE%20TRABAJO%20ESTRATEGIA%20MICROTERRITORIAL%20-%20JAC?csf=1&amp;web=1&amp;e=m3oji6" TargetMode="External"/><Relationship Id="rId747"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1_COMUNICACIONES%20SDRD?csf=1&amp;web=1&amp;e=O6i2Wi" TargetMode="External"/><Relationship Id="rId954" Type="http://schemas.openxmlformats.org/officeDocument/2006/relationships/hyperlink" Target="https://acortar.link/8uZ985" TargetMode="External"/><Relationship Id="rId83" Type="http://schemas.openxmlformats.org/officeDocument/2006/relationships/hyperlink" Target="https://drive.google.com/file/d/1upSp25WbVl40ozFdSQ_V4Fhu72Qj_vLr/view?usp=sharing" TargetMode="External"/><Relationship Id="rId179" Type="http://schemas.openxmlformats.org/officeDocument/2006/relationships/hyperlink" Target="https://drive.google.com/file/d/1DNrnQAV1ddbnsu2xU07HU4d2QPiG5NN_/view?usp=sharing" TargetMode="External"/><Relationship Id="rId386"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2-29_I%20FORO%20VIRTUAL%20PDD%20-%20SERVIDORES?csf=1&amp;web=1&amp;e=ArDKvz" TargetMode="External"/><Relationship Id="rId593"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CIUDAD%20BOLIVAR/2024-04-30_SESION%20ABRIL?csf=1&amp;web=1&amp;e=l1haDP" TargetMode="External"/><Relationship Id="rId607" Type="http://schemas.openxmlformats.org/officeDocument/2006/relationships/hyperlink" Target="../../../../../../:f:/r/sites/DirecciondeParticipacionyComunicacionparalaPlaneacion/Documentos%20compartidos/PROCESOS_OPDC_VIGENCIA%202024-2027/PROCESOS_OPDC_2024/EVIDENCIAS%202024/AGENDA%20CON%20INSTANCIAS/CCPH%20-CONSEJO%20CONSULTIVO%20DE%20PROPIEDAD%20HORIZONTAL/2024-04-25_SESION%20CONSEJO%20DE%20PROPIEDAD%20HORIZONTAL?csf=1&amp;web=1&amp;e=mhBtZ2" TargetMode="External"/><Relationship Id="rId81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ROYECTOS%20INTEGRALES%20DE%20PROXIMIDAD/2024-04-04_PRESENTACION%20NORMATIVIDAD%20Y%20PLANOS%20UPL%20TABORA?csf=1&amp;web=1&amp;e=adcYiF" TargetMode="External"/><Relationship Id="rId1237"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CONSTRUCCI%C3%93N%20DIRECTRICES%20AE/CAMPIN%207%20DE%20AGOSTO/2024-08-28_SOCIALIZACI%C3%93N%20DIRECTICES%20AE%20CAMPIN%20-%207%20DE%20AGOSTO%20GREMIO%20AUTOMOTRIZ?csf=1&amp;web=1&amp;e=IfFPBE" TargetMode="External"/><Relationship Id="rId246" Type="http://schemas.openxmlformats.org/officeDocument/2006/relationships/hyperlink" Target="https://meet.google.com/ttr-xwhw-yvm" TargetMode="External"/><Relationship Id="rId453"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ENGATIVA/2024-03-12_SESION%20MARZO?csf=1&amp;web=1&amp;e=IcrpdB" TargetMode="External"/><Relationship Id="rId660"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T/2024-04-19_COMISION%20POT%20ORDINARIA%20-%20CTPD?csf=1&amp;web=1&amp;e=pkMzLF" TargetMode="External"/><Relationship Id="rId89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CALLE%2072/2024-06-18_TALLER%20DE%20FORMACION%20AE%20CLL%2072?csf=1&amp;web=1&amp;e=QxAwHM" TargetMode="External"/><Relationship Id="rId1083"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7-20_CELEBRACION%2049%20A%20BARRIO%20VILLA%20DEL%20RIO?csf=1&amp;web=1&amp;e=VMeUyQ" TargetMode="External"/><Relationship Id="rId1290" Type="http://schemas.openxmlformats.org/officeDocument/2006/relationships/hyperlink" Target="https://teams.microsoft.com/v2/?meetingjoin=true" TargetMode="External"/><Relationship Id="rId1304" Type="http://schemas.openxmlformats.org/officeDocument/2006/relationships/hyperlink" Target="https://sdpgovco.sharepoint.com/:f:/r/sites/DirecciondeParticipacionyComunicacionparalaPlaneacion/Documentos%20compartidos/PROCESOS_OPDC_VIGENCIA%202024-2027/PROCESOS_OPDC_2024/EVIDENCIAS%202024/AGENDA%20CON%20INSTANCIAS/CLIP%20-%20COMISIONES%20LOCALES%20INTERSECTORIALES%20DE%20PARTICIPACION/KENNEDY/2024-09-18_SESION%20SEPTIEMBRE?csf=1&amp;web=1&amp;e=V5MOTa" TargetMode="External"/><Relationship Id="rId106" Type="http://schemas.openxmlformats.org/officeDocument/2006/relationships/hyperlink" Target="http://meet.google.com/chh-oeyb-nan" TargetMode="External"/><Relationship Id="rId313" Type="http://schemas.openxmlformats.org/officeDocument/2006/relationships/hyperlink" Target="../../../../../../:f:/r/sites/DirecciondeParticipacionyComunicacionparalaPlaneacion/Documentos%20compartidos/PROCESOS_OPDC_VIGENCIA%202024-2027/PROCESOS_OPDC_2024/EVIDENCIAS%202024/AGENDA%20CON%20INSTANCIAS/RED%20INSTITUCIONAL%20DE%20VEEDURIAS%20CIUDADANAS/2024-05-29_%20MESA%20DE%20TRABAJO%20FORO%20-%20VEEDURIA%20DISTRITAL?csf=1&amp;web=1&amp;e=W9yxXO" TargetMode="External"/><Relationship Id="rId758"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TEUSAQUILLO/2024-04-10_SESION%20ABRIL?csf=1&amp;web=1&amp;e=sgih83" TargetMode="External"/><Relationship Id="rId96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8_ACTIVACION%20DE%20ACT%20ALCALD%C3%8DA%20LOCAL%20DE%20RUU?csf=1&amp;web=1&amp;e=jbWFUx" TargetMode="External"/><Relationship Id="rId1150"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28%20-%20RINCON%20DE%20SUBA?csf=1&amp;web=1&amp;e=0QFjVX" TargetMode="External"/><Relationship Id="rId10" Type="http://schemas.openxmlformats.org/officeDocument/2006/relationships/hyperlink" Target="https://meet.google.com/iih-ubgq-feb" TargetMode="External"/><Relationship Id="rId94" Type="http://schemas.openxmlformats.org/officeDocument/2006/relationships/hyperlink" Target="https://meet.google.com/ywu-ggqj-epv" TargetMode="External"/><Relationship Id="rId39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04_DIALOGO%20CIUDADANO%20-%20UPL%20USAQUEN?csf=1&amp;web=1&amp;e=ob4e5p" TargetMode="External"/><Relationship Id="rId520"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DESARROLLO%20REGIONAL/2024-05-16_SESION%20EXTRAORDINARIA%20COMISION%20DESARROLLO%20REGIONAL%20CTPD?csf=1&amp;web=1&amp;e=Q7EN62" TargetMode="External"/><Relationship Id="rId61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ZIBO/2024-04-24_REVISION%20CRONOGRAMA%20PARTICIPACION%20ZIBO%20-%20RENOBO?csf=1&amp;web=1&amp;e=CCa3b9" TargetMode="External"/><Relationship Id="rId82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03_I%20VORTAKO%20_%20PARTICIPACION%20CONSEJO?csf=1&amp;web=1&amp;e=kT3i4O" TargetMode="External"/><Relationship Id="rId1248"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1_CONVOCATORIA%20TERRITORIAL%20AD%20-%20SUBA?csf=1&amp;web=1&amp;e=6iu0MS" TargetMode="External"/><Relationship Id="rId257" Type="http://schemas.openxmlformats.org/officeDocument/2006/relationships/hyperlink" Target="https://meet.google.com/jpf-chxn-jev" TargetMode="External"/><Relationship Id="rId46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DE%20PARTICIPACI%C3%93N%20TERRITORIAL/2024-05-22_%20REUNION%20-%20CONCEJAL%20JULIAN%20TRIANA?csf=1&amp;web=1&amp;e=LfisA2" TargetMode="External"/><Relationship Id="rId101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TEUSAQUILLO/2024-07-10_SESION%20JULIO?csf=1&amp;web=1&amp;e=Q6bpf4" TargetMode="External"/><Relationship Id="rId109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23_GAE%20-%20UPL%20CERROS%20-%20ALTOS%20DE%20SERREZUELA?csf=1&amp;web=1&amp;e=cUmTgK" TargetMode="External"/><Relationship Id="rId1108"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7%20-%20TORCA?csf=1&amp;web=1&amp;e=Z1F4YW" TargetMode="External"/><Relationship Id="rId117" Type="http://schemas.openxmlformats.org/officeDocument/2006/relationships/hyperlink" Target="https://drive.google.com/file/d/1piQy0G86A-M0SqZRHmFXr_8XBS0SnvuP/view?usp=sharing" TargetMode="External"/><Relationship Id="rId67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FONTIBON?csf=1&amp;web=1&amp;e=6zinLf" TargetMode="External"/><Relationship Id="rId76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9_JORNADA%20PEGATE%20AL%20PLAN%20-%20UNIVERSIDAD%20UNINPAHU?csf=1&amp;web=1&amp;e=lsxj1p" TargetMode="External"/><Relationship Id="rId97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04_GAE%20-%20UPL%20TINTAL%20JACS?csf=1&amp;web=1&amp;e=rVXesf" TargetMode="External"/><Relationship Id="rId324"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6-12_CAPACITACI%C3%93N%20AE%20Y%20SPT%20-%20VEEDUR%C3%8DA%20DISTRITAL?csf=1&amp;web=1&amp;e=DhzczB" TargetMode="External"/><Relationship Id="rId531"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KENNEDY/2024-05-15_SESION%20MAYO?csf=1&amp;web=1&amp;e=aogV9w" TargetMode="External"/><Relationship Id="rId62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GENERAL%20DE%20REGALIAS/2024-04-22_SEGUNDA%20MESA%20PUBLICA%20DE%20PARTICIPACION%20CIUDADANA%20-SGR?csf=1&amp;web=1&amp;e=BgejKG" TargetMode="External"/><Relationship Id="rId1161" Type="http://schemas.openxmlformats.org/officeDocument/2006/relationships/hyperlink" Target="../../../../../../:f:/r/sites/DirecciondeParticipacionyComunicacionparalaPlaneacion/Documentos%20compartidos/PROCESOS_OPDC_VIGENCIA%202024-2027/PROCESOS_OPDC_2024/EVIDENCIAS%202024/GESTI%C3%93N%20DEL%20PIPC/SMART%20CITY/2024-07-24_SEGUIMIENTO%20DE%20EVENTO%20SMART%20CITY?csf=1&amp;web=1&amp;e=kVRETj" TargetMode="External"/><Relationship Id="rId1259"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5_CONVOCATORIA%20TERRITORIAL%20AD%20-%20KENNEDY?csf=1&amp;web=1&amp;e=enyeYh" TargetMode="External"/><Relationship Id="rId83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1_ENTREGA%20CONCEPTO%20CTPD%20-%20PDD?csf=1&amp;web=1&amp;e=cipgIT" TargetMode="External"/><Relationship Id="rId1021"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USME/2024-07-10_SESION%20JULIO?csf=1&amp;web=1&amp;e=oGbwL2" TargetMode="External"/><Relationship Id="rId1119" Type="http://schemas.openxmlformats.org/officeDocument/2006/relationships/hyperlink" Target="mailto:lbarreto@sdp.gov.co" TargetMode="External"/><Relationship Id="rId903" Type="http://schemas.openxmlformats.org/officeDocument/2006/relationships/hyperlink" Target="https://teams.microsoft.com/l/meetup-join/19%3ameeting_ZTMwMGYyNDktNjVlNC00MGYxLTkxNjAtMDhkZmNjMTA5NmM1%40thread.v2/0?context=%7b%22Tid%22%3a%22823ace76-f3f5-4396-9a3b-bb149c779beb%22%2c%22Oid%22%3a%22c3d14271-19db-4a98-a31d-1fe686fb4bbd%22%7d" TargetMode="External"/><Relationship Id="rId32" Type="http://schemas.openxmlformats.org/officeDocument/2006/relationships/hyperlink" Target="http://meet.google.com/vyh-mvwx-shi" TargetMode="External"/><Relationship Id="rId181" Type="http://schemas.openxmlformats.org/officeDocument/2006/relationships/hyperlink" Target="https://drive.google.com/file/d/1AOhdQD0Bi39avHKTbpCNZBhizn3jRLVg/view?usp=sharing" TargetMode="External"/><Relationship Id="rId279" Type="http://schemas.openxmlformats.org/officeDocument/2006/relationships/hyperlink" Target="../../../../../../:f:/r/sites/DirecciondeParticipacionyComunicacionparalaPlaneacion/Documentos%20compartidos/PROCESOS_OPDC_VIGENCIA%202024-2027/PROCESOS_OPDC_2024/EVIDENCIAS%202024/GESTI%C3%93N%20DEL%20PIPC/REGLAMENTACI%C3%93N%20DE%20%C3%81GORA%20METROPOLITANA/2024-06-06_SEGUIMIENTO%20SECRETARIA%20DE%20PLANEACION%20DE%20CUNDINAMARCA?csf=1&amp;web=1&amp;e=ohuEcw" TargetMode="External"/><Relationship Id="rId48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7-06_TALLER%20DEVOLUCI%C3%93N%20UPL%20SUMPAZ%20-%20BETANIA?csf=1&amp;web=1&amp;e=iqEmCW" TargetMode="External"/><Relationship Id="rId693"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TEUSAQUILLO?csf=1&amp;web=1&amp;e=Whhcvo" TargetMode="External"/><Relationship Id="rId139" Type="http://schemas.openxmlformats.org/officeDocument/2006/relationships/hyperlink" Target="https://meet.google.com/tck-bgag-crs" TargetMode="External"/><Relationship Id="rId34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_%20SENTIRES%20CIUDADANOS/2024-02-13_PRESENTACION%20CONSEJO%20DE%20PARTICIPACION?csf=1&amp;web=1&amp;e=waKxm4" TargetMode="External"/><Relationship Id="rId55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REUNIONES%20CONCEJO/2024-05-10_REUNI%C3%93N%20CONCEJAL%20PONENTE%20CLARA%20LUCIA%20SANDOVAL?csf=1&amp;web=1&amp;e=2HCurq" TargetMode="External"/><Relationship Id="rId76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9_DIALOGO%20CIUDADANO%20-%20UPL%20SAN%20CRISTOBAL?csf=1&amp;web=1&amp;e=lzGbqM" TargetMode="External"/><Relationship Id="rId99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08_ACT%20ACTORES%20ALCALDE%20LOCAL%20TUNJUELITO?csf=1&amp;web=1&amp;e=brQgvq" TargetMode="External"/><Relationship Id="rId1183" Type="http://schemas.openxmlformats.org/officeDocument/2006/relationships/hyperlink" Target="https://acortar.link/ALGNPS" TargetMode="External"/><Relationship Id="rId206" Type="http://schemas.openxmlformats.org/officeDocument/2006/relationships/hyperlink" Target="https://drive.google.com/file/d/1_GgHNAXsDsEffBnXYcMcukcgm7XlUqOT/view?usp=sharing" TargetMode="External"/><Relationship Id="rId41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NERALIDADES%20POT/2024-05-24_GENERALIDADES%20POT%20Y%20UPL-PIP?csf=1&amp;web=1&amp;e=vHhacx" TargetMode="External"/><Relationship Id="rId85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22_DIALOGO%20CIUDADANO%20-%20UPL%20TIBABUYES?csf=1&amp;web=1&amp;e=U1HWRR" TargetMode="External"/><Relationship Id="rId104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7-25_PREPARATORIA%20ACCION%20AFIR%20PALENQUERA?csf=1&amp;web=1&amp;e=dOiUV2" TargetMode="External"/><Relationship Id="rId620"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6-19_CONSTRUCCI%C3%93N%20AGENDA%20SECTOR%20NORTE%20Y%20NOROCCIDENTE?csf=1&amp;web=1&amp;e=fhTUn3" TargetMode="External"/><Relationship Id="rId71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5_JORNADA%20PEGATE%20AL%20PLAN%20-%20SUPERCADE%20CAD?csf=1&amp;web=1&amp;e=jXxRUW" TargetMode="External"/><Relationship Id="rId92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DE%20PARTICIPACI%C3%93N%20TERRITORIAL/2024-07-08_SOCIALIZACI%C3%93N%20SPT%20-%20OCL%20DE%20TUNJUELITO?csf=1&amp;web=1&amp;e=ViDvLP" TargetMode="External"/><Relationship Id="rId1250"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2_CONVOCATORIA%20TERRITORIAL%20AD%20-%20ENGATIV%C3%81?csf=1&amp;web=1&amp;e=uuGwMa" TargetMode="External"/><Relationship Id="rId1110"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8%20-%20BRITALIA?csf=1&amp;web=1&amp;e=pD7GaV" TargetMode="External"/><Relationship Id="rId1208"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GENERALIDADES%20POT/2024-09-05_CAPACITACI%C3%93N%20NORMATIVA%20POT%20ALCALD%C3%8DA%20LOCAL%20DE%20SUMAPAZ?csf=1&amp;web=1&amp;e=AdoEBy" TargetMode="External"/><Relationship Id="rId54" Type="http://schemas.openxmlformats.org/officeDocument/2006/relationships/hyperlink" Target="https://drive.google.com/file/d/1WKKjctAPrYkEY6pv6jF_OziMwVvN4hIo/view?usp=sharing" TargetMode="External"/><Relationship Id="rId27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TUNJUELITO/2024-06-12_SESION%20JUNIO?csf=1&amp;web=1&amp;e=EeP1UB" TargetMode="External"/><Relationship Id="rId130" Type="http://schemas.openxmlformats.org/officeDocument/2006/relationships/hyperlink" Target="https://drive.google.com/file/d/1Ft2a9aytEo0wp3K6eH-x3Czwc15_cvSF/view?usp=sharing" TargetMode="External"/><Relationship Id="rId36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CHUCUA%20LA%20VACA/2024-06-11_%20MESA%20AE%20CHUCUA%20LA%20VACA%20-%20HC%20FERNANDO%20LOPEZ?csf=1&amp;web=1&amp;e=9xEXRd" TargetMode="External"/><Relationship Id="rId57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REUNIONES%20INDIVIDUALES/2024-05-06_PRESENTACION%20DE%20RESULTADOS%20UPL%20SUMAPAZ-%20JAL?csf=1&amp;web=1&amp;e=dfsErP" TargetMode="External"/><Relationship Id="rId782" Type="http://schemas.openxmlformats.org/officeDocument/2006/relationships/hyperlink" Target="../../../../../../:f:/r/sites/DirecciondeParticipacionyComunicacionparalaPlaneacion/Documentos%20compartidos/PROCESOS_OPDC_VIGENCIA%202024-2027/PROCESOS_OPDC_2024/EVIDENCIAS%202024/GESTI%C3%93N%20DEL%20PIPC/SISTEMA%20GENERAL%20DE%20REGAL%C3%8DAS/2024-04-08_DOCUMENTO%20ESTRATEGIA-PLAN%20DE%20ACCION?csf=1&amp;web=1&amp;e=asPfAi" TargetMode="External"/><Relationship Id="rId228" Type="http://schemas.openxmlformats.org/officeDocument/2006/relationships/hyperlink" Target="https://meet.google.com/unb-dwxs-yjb" TargetMode="External"/><Relationship Id="rId43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23_%20SESION%20DE%20CONCEJO%20-%20FORMULACI%C3%93N%20PDD%20-%20MA%C3%91ANA?csf=1&amp;web=1&amp;e=FrNkNU" TargetMode="External"/><Relationship Id="rId64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7_JORNADA%20PEGATE%20AL%20PLAN%20-%20ALIMENTARTE?csf=1&amp;web=1&amp;e=aCbY3F" TargetMode="External"/><Relationship Id="rId106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7-24_DEVOLUCION%20PDD%20SUBREGION%20OCCIDENTE?csf=1&amp;web=1&amp;e=fcO7Hw" TargetMode="External"/><Relationship Id="rId1272" Type="http://schemas.openxmlformats.org/officeDocument/2006/relationships/hyperlink" Target="https://teams.microsoft.com/l/meetup-join/19%3ameeting_ZTU4ZTRkNWEtMGRlNi00NDMxLTg5YWEtZDZjZGUyMGMyODQw%40thread.v2/0?context=%7b%22Tid%22%3a%22823ace76-f3f5-4396-9a3b-bb149c779beb%22%2c%22Oid%22%3a%226316b340-0d0c-4eaa-8aa6-fccc262ca404%22%7d" TargetMode="External"/><Relationship Id="rId502" Type="http://schemas.openxmlformats.org/officeDocument/2006/relationships/hyperlink" Target="../../../../../../:f:/r/sites/DirecciondeParticipacionyComunicacionparalaPlaneacion/Documentos%20compartidos/PROCESOS_OPDC_VIGENCIA%202024-2027/PROCESOS_OPDC_2024/EVIDENCIAS%202024/AGENDA%20DE%20OTROS%20INSTRUMENTOS%20DE%20PLANEACI%C3%93N/POLITICA%20PUBLICA%20LGBTI/2024-06-13_REUNION%20ARTICULACION%20MESA%20LGBTI?csf=1&amp;web=1&amp;e=3gDbK7" TargetMode="External"/><Relationship Id="rId947"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6-26_CONSTRUCCION%20AGENDA%20PIP%20SECTOR%20CENTRO%20AMPLIADO?csf=1&amp;web=1&amp;e=6pdnQL" TargetMode="External"/><Relationship Id="rId1132"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18%20-%20KENNEDY?csf=1&amp;web=1&amp;e=F2qWcu" TargetMode="External"/><Relationship Id="rId76" Type="http://schemas.openxmlformats.org/officeDocument/2006/relationships/hyperlink" Target="https://meet.google.com/vky-wbyh-ige" TargetMode="External"/><Relationship Id="rId80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5_DIALOGO%20CIUDADANO%20-%20UPL%20SUBA?csf=1&amp;web=1&amp;e=O2BxgV" TargetMode="External"/><Relationship Id="rId292" Type="http://schemas.openxmlformats.org/officeDocument/2006/relationships/hyperlink" Target="../../../../../../:f:/r/sites/DirecciondeParticipacionyComunicacionparalaPlaneacion/Documentos%20compartidos/PROCESOS_OPDC_VIGENCIA%202024-2027/PROCESOS_OPDC_2024/EVIDENCIAS%202024/AGENDA%20DE%20OTROS%20INSTRUMENTOS%20DE%20PLANEACI%C3%93N/PLANES%20DE%20DESARROLLO%20LOCAL/2024-06-03_ENCUENTRO%20CIUDADANO%20LOCAL%20-%20SUMAPAZ?csf=1&amp;web=1&amp;e=X216Yj" TargetMode="External"/><Relationship Id="rId597"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4-29_PLENARIA%20PERMANENTE%20CTPD?csf=1&amp;web=1&amp;e=NgRYIx" TargetMode="External"/><Relationship Id="rId152" Type="http://schemas.openxmlformats.org/officeDocument/2006/relationships/hyperlink" Target="https://meet.google.com/age-bhxg-vst" TargetMode="External"/><Relationship Id="rId457"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DE%20COORDINACION%20DEL%20PDD/2024-03-13_REUNION%20COMITE%20DE%20COORDINACION%20DEL%20PDD?csf=1&amp;web=1&amp;e=5ARbmB" TargetMode="External"/><Relationship Id="rId108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21_ACT%20ACTORES%20COOPORACION%20NATIVOS%20DE%20COLOMBIA?csf=1&amp;web=1&amp;e=aboYCe" TargetMode="External"/><Relationship Id="rId1294" Type="http://schemas.openxmlformats.org/officeDocument/2006/relationships/hyperlink" Target="https://sdpgovco.sharepoint.com/:f:/r/sites/DirecciondeParticipacionyComunicacionparalaPlaneacion/Documentos%20compartidos/PROCESOS_OPDC_VIGENCIA%202024-2027/PROCESOS_OPDC_2024/EVIDENCIAS%202024/AGENDA%20CON%20INSTANCIAS/CLIP%20-%20COMISIONES%20LOCALES%20INTERSECTORIALES%20DE%20PARTICIPACION/SUBA?csf=1&amp;web=1&amp;e=Yyid4J" TargetMode="External"/><Relationship Id="rId66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20_AUDIENCIA%20PPI%20CUENCA%20RIO%20BLANCO?csf=1&amp;web=1&amp;e=ufsbJ4" TargetMode="External"/><Relationship Id="rId871"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T/2024-03-25_COMISI%C3%93N%20POT%20EXTRAORDINARIA?csf=1&amp;web=1&amp;e=x52c9m" TargetMode="External"/><Relationship Id="rId969" Type="http://schemas.openxmlformats.org/officeDocument/2006/relationships/hyperlink" Target="https://acortar.link/FduN4O" TargetMode="External"/><Relationship Id="rId317"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LOS%20M%C3%81RTIRES/2024-05-28_SESION%20MAYO?csf=1&amp;web=1&amp;e=JDZbjz" TargetMode="External"/><Relationship Id="rId52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5-16_CONSULTORIO%20PDD-%20JORNADA%2017%20-%20MUJER?csf=1&amp;web=1&amp;e=Yso3zo" TargetMode="External"/><Relationship Id="rId73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2_JORNADA%20PEGATE%20AL%20PLAN-%20SUPERCADE%20CAD?csf=1&amp;web=1&amp;e=SsK3Xk" TargetMode="External"/><Relationship Id="rId1154"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30%20-%20SALITRE?csf=1&amp;web=1&amp;e=d821yE" TargetMode="External"/><Relationship Id="rId98" Type="http://schemas.openxmlformats.org/officeDocument/2006/relationships/hyperlink" Target="https://meet.google.com/iom-fdvw-krh?authuser=0" TargetMode="External"/><Relationship Id="rId829"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DD/2024-03-19_SOCIALIZACION%20PLAN%20PLURIANUAL%20DE%20INVERSIONES?csf=1&amp;web=1&amp;e=AoQBtK" TargetMode="External"/><Relationship Id="rId1014"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PREPARATORIAS%20DEVOLUCIONES%20PDD/2024-07-09_PREPARATORIA%20COMUNIDAD%20RAIZAL?csf=1&amp;web=1&amp;e=hr0nJG" TargetMode="External"/><Relationship Id="rId1221" Type="http://schemas.openxmlformats.org/officeDocument/2006/relationships/hyperlink" Target="https://sdpgovco.sharepoint.com/:f:/r/sites/DirecciondeParticipacionyComunicacionparalaPlaneacion/Documentos%20compartidos/PROCESOS_OPDC_VIGENCIA%202024-2027/PROCESOS_OPDC_2024/EVIDENCIAS%202024/AGENDA%20CON%20INSTANCIAS/CLIP%20-%20COMISIONES%20LOCALES%20INTERSECTORIALES%20DE%20PARTICIPACION/LOS%20M%C3%81RTIRES/2024-08-27_SESI%C3%93N%20AGOSTO?csf=1&amp;web=1&amp;e=Lr3IZE" TargetMode="External"/><Relationship Id="rId25" Type="http://schemas.openxmlformats.org/officeDocument/2006/relationships/hyperlink" Target="https://drive.google.com/file/d/16DsXWRvV9gutWedgeDORKE177VVOK1-L/view" TargetMode="External"/><Relationship Id="rId174" Type="http://schemas.openxmlformats.org/officeDocument/2006/relationships/hyperlink" Target="https://drive.google.com/file/d/1jASYTnyPzupv2SPw-Ik8cAZh1OpoeQgr/view?usp=sharing" TargetMode="External"/><Relationship Id="rId38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_%20SENTIRES%20CIUDADANOS/2024-02-28_PRESENTACION%20CONSEJO%20CONSULTIVO%20DE%20MUJERES?csf=1&amp;web=1&amp;e=cZKWHx" TargetMode="External"/><Relationship Id="rId241" Type="http://schemas.openxmlformats.org/officeDocument/2006/relationships/hyperlink" Target="http://meet.google.com/ffk-ndwy-jio" TargetMode="External"/><Relationship Id="rId479"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DD/2024-05-20_%20SESION%20ORDINARIA%20COMISION%20PDD%20-%20CTPD?csf=1&amp;web=1&amp;e=W0Gll5" TargetMode="External"/><Relationship Id="rId68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18_ENCUENTRO%20CIUDADANO%20CABILDO%20MUISCA%20DE%20SUBA?csf=1&amp;web=1&amp;e=eL3rPs" TargetMode="External"/><Relationship Id="rId89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SITIOS%20SAGRADOS%20MUYSCAS/2024-06-20_REUNION%20HC%20BASTIDAS%20Y%20CMS%20E%20IDPC%20SOBRE%20SSSM?csf=1&amp;web=1&amp;e=8zLqxi" TargetMode="External"/><Relationship Id="rId339"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2-07_REUNION%20INTERINSTITUCIONAL%20DASCD?csf=1&amp;web=1&amp;e=NfvtMt" TargetMode="External"/><Relationship Id="rId54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ZIBO/2024-05-11_RECORRIDO%20AE%20ZIBO%20-%20JAC%20TEUSAQUILLO?csf=1&amp;web=1&amp;e=p9LnUR" TargetMode="External"/><Relationship Id="rId75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0_DIALOGO%20CIUDADANO%20POBLACION%20MIGRANTE?csf=1&amp;web=1&amp;e=TW5loq" TargetMode="External"/><Relationship Id="rId1176"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8-05_DEVOLUCI%C3%93N%20PDD%20NI%C3%91OS,%20NI%C3%91AS%20Y%20ADOLESCENTES?csf=1&amp;web=1&amp;e=OlAoxv" TargetMode="External"/><Relationship Id="rId101" Type="http://schemas.openxmlformats.org/officeDocument/2006/relationships/hyperlink" Target="https://meet.google.com/bnf-cson-wcn" TargetMode="External"/><Relationship Id="rId40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24_%20SESION%20DE%20CONCEJO%20-%20FORMULACI%C3%93N%20PDD%20-%20TARDE?csf=1&amp;web=1&amp;e=KmdI8U" TargetMode="External"/><Relationship Id="rId96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7_GAE%20-%20SECTOR%20OCCIDENTE%20(CPL%20ENGATIVA)?csf=1&amp;web=1&amp;e=pyoCdv" TargetMode="External"/><Relationship Id="rId1036" Type="http://schemas.openxmlformats.org/officeDocument/2006/relationships/hyperlink" Target="https://teams.microsoft.com/dl/launcher/launcher.html?url=%2F_%23%2Fl%2Fmeetup-" TargetMode="External"/><Relationship Id="rId1243"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8-31_CONVOCATORIA%20TERRITORIAL%20AD%20-%20CHAPINERO?csf=1&amp;web=1&amp;e=RaktEi" TargetMode="External"/><Relationship Id="rId613"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6-18_CONSTRUCCI%C3%93N%20DE%20AGENDA%20UPL%20-%20PIP%20SPRS?csf=1&amp;web=1&amp;e=msizfj" TargetMode="External"/><Relationship Id="rId820"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USAQU%C3%89N/2024-04-04_SESION%20ABRIL?csf=1&amp;web=1&amp;e=faDsjJ" TargetMode="External"/><Relationship Id="rId918" Type="http://schemas.openxmlformats.org/officeDocument/2006/relationships/hyperlink" Target="https://teams.microsoft.com/l/meetup-join/19%3ameeting_ZTBjNmQ4YWUtOTY1NS00MGEyLTg4NjctMjMwYzgxN2NiNDU1%40thread.v2/0?context=%7b%22Tid%22%3a%22823ace76-f3f5-4396-9a3b-bb149c779beb%22%2c%22Oid%22%3a%226316b340-0d0c-4eaa-8aa6-fccc262ca404%22%7d" TargetMode="External"/><Relationship Id="rId1103" Type="http://schemas.openxmlformats.org/officeDocument/2006/relationships/hyperlink" Target="mailto:lbarreto@sdp.gov.co" TargetMode="External"/><Relationship Id="rId1310"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9_CONVOCATORIA%20TERRITORIAL%20AD%20-%20LOS%20MARTIRES?csf=1&amp;web=1&amp;e=px8Vys" TargetMode="External"/><Relationship Id="rId47" Type="http://schemas.openxmlformats.org/officeDocument/2006/relationships/hyperlink" Target="https://drive.google.com/file/d/1Gi8KOIPmBEeJaUKChr_FcKqrboMb2MRz/view?usp=sharing" TargetMode="External"/><Relationship Id="rId196" Type="http://schemas.openxmlformats.org/officeDocument/2006/relationships/hyperlink" Target="https://meet.google.com/qqi-txuw-ukg" TargetMode="External"/><Relationship Id="rId263" Type="http://schemas.openxmlformats.org/officeDocument/2006/relationships/hyperlink" Target="../../../../../../:f:/r/sites/DirecciondeParticipacionyComunicacionparalaPlaneacion/Documentos%20compartidos/PROCESOS_OPDC_VIGENCIA%202024-2027/PROCESOS_OPDC_2024/EVIDENCIAS%202024/AGENDA%20CON%20INSTANCIAS/CIP%20-%20COMISION%20INTERSECTORIAL%20DE%20PARTICIPACION/2024-06-26_SESION%20CIP?csf=1&amp;web=1&amp;e=HP1ebH" TargetMode="External"/><Relationship Id="rId470" Type="http://schemas.openxmlformats.org/officeDocument/2006/relationships/hyperlink" Target="../../../../../../:f:/r/sites/DirecciondeParticipacionyComunicacionparalaPlaneacion/Documentos%20compartidos/PROCESOS_OPDC_VIGENCIA%202024-2027/PROCESOS_OPDC_2024/EVIDENCIAS%202024/GESTI%C3%93N%20DEL%20PIPC/PROYECTOS%20INTEGRALES%20DE%20PROXIMIDAD/2024-06-11_CONSTRUCCI%C3%93N%20AGENDA%20SUR%20ORIENTAL?csf=1&amp;web=1&amp;e=MBcl4N" TargetMode="External"/><Relationship Id="rId123" Type="http://schemas.openxmlformats.org/officeDocument/2006/relationships/hyperlink" Target="https://meet.google.com/tpv-iywc-kzz?authuser=0" TargetMode="External"/><Relationship Id="rId330" Type="http://schemas.openxmlformats.org/officeDocument/2006/relationships/hyperlink" Target="../../../../../../:f:/r/sites/DirecciondeParticipacionyComunicacionparalaPlaneacion/Documentos%20compartidos/PROCESOS_OPDC_VIGENCIA%202024-2027/PROCESOS_OPDC_2024/EVIDENCIAS%202024/AGENDA%20CON%20INSTANCIAS/ACOMPA%C3%91AMIENTO%20CTPD/CONFORMACI%C3%93N/2024-01-26_CITACION%20JAL%20CIUDAD%20BOLIVAR?csf=1&amp;web=1&amp;e=6ejrCx" TargetMode="External"/><Relationship Id="rId56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5-07_REUNION%20CON%20USAID%20Y%20FHI360?csf=1&amp;web=1&amp;e=yHl72u" TargetMode="External"/><Relationship Id="rId77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8_DIALOGO%20CIUDADANO%20-%20UPL%20TINTAL?csf=1&amp;web=1&amp;e=OukmBS" TargetMode="External"/><Relationship Id="rId982" Type="http://schemas.openxmlformats.org/officeDocument/2006/relationships/hyperlink" Target="https://teams.microsoft.com/l/meetup-join/19:meeting_MjBhODc5NGMtYmZlZi00NzBiLWI2MDItNGE4MTc0NTQwNmEz@thread.v2/0?context=%7B%22Tid%22:%22823ace76-f3f5-4396-9a3b-bb149c779beb%22,%22Oid%22:%22840f493a-28e9-4a5b-a6b7-523e9dc40cb7%22%7D" TargetMode="External"/><Relationship Id="rId1198" Type="http://schemas.openxmlformats.org/officeDocument/2006/relationships/hyperlink" Target="https://sdpgovco.sharepoint.com/:f:/r/sites/DirecciondeParticipacionyComunicacionparalaPlaneacion/Documentos%20compartidos/PROCESOS_OPDC_VIGENCIA%202024-2027/PROCESOS_OPDC_2024/EVIDENCIAS%202024/AGENDA%20DE%20OTROS%20INSTRUMENTOS%20DE%20PLANEACI%C3%93N/PLAN%20DISTRITAL%20DE%20DESARROLLO/2024-08-01_DEVOLUCI%C3%93N%20PDD%20POBLACI%C3%93N%20LGBTI?csf=1&amp;web=1&amp;e=C1AiVR" TargetMode="External"/><Relationship Id="rId428"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USAQU%C3%89N/2024-03-07_SESION%20MARZO?csf=1&amp;web=1&amp;e=LUDUcP" TargetMode="External"/><Relationship Id="rId63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6_DIALOGO%20CIUDADANO%20-%20UPL%20KENNEDY?csf=1&amp;web=1&amp;e=TjQ4M8" TargetMode="External"/><Relationship Id="rId84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4-01_CONCERTACION%20METODOLOGIA%20-%20INDIGENAS?csf=1&amp;web=1&amp;e=Xhylca" TargetMode="External"/><Relationship Id="rId105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REUNIONES%20INDIVIDUALES/2024-07-17_COMITE%20INTERSECTORIAL?csf=1&amp;web=1&amp;e=Z1nDgs" TargetMode="External"/><Relationship Id="rId1265" Type="http://schemas.openxmlformats.org/officeDocument/2006/relationships/hyperlink" Target="https://sdpgovco.sharepoint.com/:f:/r/sites/DirecciondeParticipacionyComunicacionparalaPlaneacion/Documentos%20compartidos/PROCESOS_OPDC_VIGENCIA%202024-2027/PROCESOS_OPDC_2024/EVIDENCIAS%202024/AGENDA%20DE%20PARTICIPACI%C3%93N%20Y%20DI%C3%81LOGO%20DE%20CIUDAD%20Y%20EVENTOS/CONSTRUCCI%C3%93N%20DIRECTRICES%20AE/CAMPIN%207%20DE%20AGOSTO/2024-08-08_PRESENTACI%C3%93N%20AE%20CAMPIN%20-%207%20DE%20AGOSTO?csf=1&amp;web=1&amp;e=v7H5PV" TargetMode="External"/><Relationship Id="rId702"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FONTIBON?csf=1&amp;web=1&amp;e=U5B4Lw" TargetMode="External"/><Relationship Id="rId1125" Type="http://schemas.openxmlformats.org/officeDocument/2006/relationships/hyperlink" Target="mailto:lbarreto@sdp.gov.co" TargetMode="External"/><Relationship Id="rId69" Type="http://schemas.openxmlformats.org/officeDocument/2006/relationships/hyperlink" Target="http://meet.google.com/fiy-opck-gur" TargetMode="External"/><Relationship Id="rId28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6-06_PREPARACION%20DE%20METODOLOGIAS%20PARA%20ACTIVIDADES%20DE%20ACCIONES%20AFIRMATIVAS%20-%20COMUNIDAD%20PALENQUERA?csf=1&amp;web=1&amp;e=3LOIKf" TargetMode="External"/><Relationship Id="rId49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6-17_COMITE%20INTERSECTORIAL%20AMPLIADO%20DEL%20PDD%20-%20FASE%204?csf=1&amp;web=1&amp;e=jXmCKt" TargetMode="External"/><Relationship Id="rId79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8_DIALOGO%20CIUDADANO%20-%20UPL%20CHAPINERO?csf=1&amp;web=1&amp;e=MrtX5u" TargetMode="External"/><Relationship Id="rId145" Type="http://schemas.openxmlformats.org/officeDocument/2006/relationships/hyperlink" Target="https://meet.google.com/kqm-ahaa-ket" TargetMode="External"/><Relationship Id="rId35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_%20SENTIRES%20CIUDADANOS/2024-02-15_TALLER%20SUBREGION%20OCCIDENTE?csf=1&amp;web=1&amp;e=AzrGIS" TargetMode="External"/><Relationship Id="rId1287" Type="http://schemas.openxmlformats.org/officeDocument/2006/relationships/hyperlink" Target="https://meet.google.com/whd-btge-apj" TargetMode="External"/><Relationship Id="rId212" Type="http://schemas.openxmlformats.org/officeDocument/2006/relationships/hyperlink" Target="https://drive.google.com/file/d/13Nn6zu6uRlBOnBA-Ji0y9EqrEpAgq9lu/view?usp=sharing" TargetMode="External"/><Relationship Id="rId65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V_RECONOCIMIENTO%20A%20LA%20ACCI%C3%93N%20COLECTIVA/2024-07-13_DEVOLUCI%C3%93N%20PDD%20-%20SECTOR%20SUROCCIDENTE?csf=1&amp;web=1&amp;e=CNAHOS" TargetMode="External"/><Relationship Id="rId864"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OT/2024-03-22_SESION%20COMISION%20POT-%20CTPD?csf=1&amp;web=1&amp;e=6GJVeI" TargetMode="External"/><Relationship Id="rId517"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5-16_PLENARIA%20PERMANENTE%20CTPD?csf=1&amp;web=1&amp;e=ebGJqr" TargetMode="External"/><Relationship Id="rId72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2_APLICACION%20CHATICO-RENDICION%20DE%20CUENTAS%20KENNEDY?csf=1&amp;web=1&amp;e=MNmGKg" TargetMode="External"/><Relationship Id="rId93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6_GAE%20-%20LOCALIDAD%20BOSA%20JAC?csf=1&amp;web=1&amp;e=Rv2g9z" TargetMode="External"/><Relationship Id="rId1147" Type="http://schemas.openxmlformats.org/officeDocument/2006/relationships/hyperlink" Target="mailto:lbarreto@sdp.gov.co" TargetMode="External"/><Relationship Id="rId60" Type="http://schemas.openxmlformats.org/officeDocument/2006/relationships/hyperlink" Target="https://meet.google.com/hbz-vdfq-cka" TargetMode="External"/><Relationship Id="rId100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09_ACTIVACION%20DE%20ACT%20LOCALIDAD%20FONTIBON?csf=1&amp;web=1&amp;e=gYULJy" TargetMode="External"/><Relationship Id="rId1214"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COMISIONES/DESARROLLO%20REGIONAL/2024-08-17_CONVERSATORIO%20DE%20LA%20COMISI%C3%93N%20DE%20DESARROLLO%20REGIONAL%20UN%20CAF%C3%89%20Y%20UN%20DI%C3%81LOGO%20CTPD?csf=1&amp;web=1&amp;e=ZvIlTP" TargetMode="External"/><Relationship Id="rId18" Type="http://schemas.openxmlformats.org/officeDocument/2006/relationships/hyperlink" Target="https://teams.microsoft.com/l/meetup-join/19%3ameeting_OGJjMGIyZjAtM2Q4YS00NzIyLWIyYTktMDQwNDA1MjBlZjBk%40thread.v2/0?context=%7b%22Tid%22%3a%220f1156f1-406d-4123-99f0-a976b835b9b6%22%2c%22Oid%22%3a%224050f918-a0d6-4762-98be-b8386a732c2e%22%7d" TargetMode="External"/><Relationship Id="rId167" Type="http://schemas.openxmlformats.org/officeDocument/2006/relationships/hyperlink" Target="https://drive.google.com/file/d/1NU7AjNo4uofIvHniUqNem8qsfN1MJYpP/view?usp=sharing" TargetMode="External"/><Relationship Id="rId374"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CIUDAD%20BOLIVAR/2024-06-12_SESION%20JUNIO?csf=1&amp;web=1&amp;e=qPnMpl" TargetMode="External"/><Relationship Id="rId581"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5-03_COMITE%20COORDINADOR%20-%20ASAMBLEAS%20CIUDADANAS?csf=1&amp;web=1&amp;e=bSAMcO" TargetMode="External"/><Relationship Id="rId234" Type="http://schemas.openxmlformats.org/officeDocument/2006/relationships/hyperlink" Target="http://meet.google.com/obe-ugzj-kgc" TargetMode="External"/><Relationship Id="rId67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20SANTA%20FE?csf=1&amp;web=1&amp;e=7id7L6" TargetMode="External"/><Relationship Id="rId886" Type="http://schemas.openxmlformats.org/officeDocument/2006/relationships/hyperlink" Target="https://meet.google.com/dzg-uhyg-kyr" TargetMode="External"/><Relationship Id="rId2" Type="http://schemas.openxmlformats.org/officeDocument/2006/relationships/hyperlink" Target="http://meet.google.com/hoh-osqb-xar" TargetMode="External"/><Relationship Id="rId44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3-10_JORNADA%20PEGATE%20AL%20PLAN?csf=1&amp;web=1&amp;e=ha3l98" TargetMode="External"/><Relationship Id="rId539"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TUNJUELITO/2024-05-14_SESION%20MAYO?csf=1&amp;web=1&amp;e=jDWIda" TargetMode="External"/><Relationship Id="rId74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SISTEMA%20GENERAL%20DE%20REGALIAS/2024-06-20_ESTRATEGIA%20DE%20PARTICIPACION%20SGR%20-%20SEGUNDO%20SEMESTRE%202024?csf=1&amp;web=1&amp;e=bMl9kl" TargetMode="External"/><Relationship Id="rId1071"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COORDINADOR%20-%20ASAMBLEAS%20CIUDADANAS/2024-07-18_AVANCES%20Y%20REVISIONES%20META%20ASAMBLEA?csf=1&amp;web=1&amp;e=ZykAQt" TargetMode="External"/><Relationship Id="rId116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26_ACT%20ACTORES%20JAC%20VILLA%20CARMENZA?csf=1&amp;web=1&amp;e=WrGLhE" TargetMode="External"/><Relationship Id="rId30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30_%20SESION%20DE%20CONCEJO%20-%20FORMULACION%20PDD?csf=1&amp;web=1&amp;e=j8eKUC" TargetMode="External"/><Relationship Id="rId953" Type="http://schemas.openxmlformats.org/officeDocument/2006/relationships/hyperlink" Target="https://acortar.link/pIH6mC" TargetMode="External"/><Relationship Id="rId1029"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13_ACT%20ACTORES%20JAC%20EDUARDO%20FREY?csf=1&amp;web=1&amp;e=yl6par" TargetMode="External"/><Relationship Id="rId1236" Type="http://schemas.openxmlformats.org/officeDocument/2006/relationships/hyperlink" Target="https://sdpgovco.sharepoint.com/:f:/r/sites/DirecciondeParticipacionyComunicacionparalaPlaneacion/Documentos%20compartidos/PROCESOS_OPDC_VIGENCIA%202024-2027/PROCESOS_OPDC_2024/EVIDENCIAS%202024/AGENDA%20CON%20INSTANCIAS/ACOMPA%C3%91AMIENTO%20CTPD/MESAS%20DIRECTIVAS/2024-08-27_SESI%C3%93N%20PERMANENTE%20DE%20LA%20MESA%20DIRECTIVA%20-%20CTPD?csf=1&amp;web=1&amp;e=ml7xPy" TargetMode="External"/><Relationship Id="rId82" Type="http://schemas.openxmlformats.org/officeDocument/2006/relationships/hyperlink" Target="https://teams.microsoft.com/l/meetup-join/19%3ameeting_NDdkZDIxZjktMjFhOC00Mjg0LWJlMDMtNjBmODQwM2YxM2Uz%40thread.v2/0?context=%7b%22Tid%22%3a%220f1156f1-406d-4123-99f0-a976b835b9b6%22%2c%22Oid%22%3a%22a633c68c-9716-4817-90ed-63669c0835f6%22%7d" TargetMode="External"/><Relationship Id="rId606" Type="http://schemas.openxmlformats.org/officeDocument/2006/relationships/hyperlink" Target="../../../../../../:f:/r/sites/DirecciondeParticipacionyComunicacionparalaPlaneacion/Documentos%20compartidos/PROCESOS_OPDC_VIGENCIA%202024-2027/PROCESOS_OPDC_2024/EVIDENCIAS%202024/AGENDA%20CON%20INSTANCIAS/ACOMPA%C3%91AMIENTO%20CTPD/REUNIONES%20INDIVIDUALES/2024-04-25_ELECCION%20-%20CURUL%20CTPD%20-%20DISCAPACIDAD?csf=1&amp;web=1&amp;e=Mcl2k8" TargetMode="External"/><Relationship Id="rId81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4_DIALOGO%20CIUDADANO%20-%20UPL%20USME%20ENTRENUBES?csf=1&amp;web=1&amp;e=ennXXR" TargetMode="External"/><Relationship Id="rId1303" Type="http://schemas.openxmlformats.org/officeDocument/2006/relationships/hyperlink" Target="https://sdpgovco.sharepoint.com/:f:/r/sites/DirecciondeParticipacionyComunicacionparalaPlaneacion/Documentos%20compartidos/PROCESOS_OPDC_VIGENCIA%202024-2027/PROCESOS_OPDC_2024/EVIDENCIAS%202024/AGENDA%20CON%20INSTANCIAS/CLIP%20-%20COMISIONES%20LOCALES%20INTERSECTORIALES%20DE%20PARTICIPACION/BOSA/2024-09-12_SESION%20SEPTIEMBRE?csf=1&amp;web=1&amp;e=BboOes" TargetMode="External"/><Relationship Id="rId189" Type="http://schemas.openxmlformats.org/officeDocument/2006/relationships/hyperlink" Target="https://drive.google.com/file/d/1BDbO2kDhbIIou7WwjzpM1qHc5aEr-efM/view?usp=sharing" TargetMode="External"/><Relationship Id="rId396"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SESIONES%20CONCEJO/2024-05-25_SESION%20DE%20CONCEJO%20-%20FORMULACI%C3%93N%20PDD%20-%20TARDE?csf=1&amp;web=1&amp;e=Sxljfl" TargetMode="External"/><Relationship Id="rId256" Type="http://schemas.openxmlformats.org/officeDocument/2006/relationships/hyperlink" Target="https://teams.microsoft.com/l/meetup-join/19%3ameeting_NTUxNzg2NWMtNmExZS00OTFhLWI4NzQtZDNhMWEyOTYzOWI4%40thread.v2/0?context=%7b%22Tid%22%3a%220f1156f1-406d-4123-99f0-a976b835b9b6%22%2c%22Oid%22%3a%22acdfd3a1-8938-4ca8-85b7-1809dbc8ce08%22%7d" TargetMode="External"/><Relationship Id="rId463"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5-22_SISTEMA%20DE%20PARTICIPACION%20TERRITORIAL%20-%20SECTOR%20AMBIENTE?csf=1&amp;web=1&amp;e=H75A9t" TargetMode="External"/><Relationship Id="rId670"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8_AUDIENCIA%20PPI-PUENTE%20ARANDA?csf=1&amp;web=1&amp;e=d0OmFx" TargetMode="External"/><Relationship Id="rId1093"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22_GAE%20-%20UPL%20CERROS%20ORINETALES%20-%20MANANTIAL?csf=1&amp;web=1&amp;e=hUpgaT" TargetMode="External"/><Relationship Id="rId116" Type="http://schemas.openxmlformats.org/officeDocument/2006/relationships/hyperlink" Target="https://drive.google.com/file/d/1RdbyUvFxopovoDa3WCsLgWHOPhCpMkE2/view?usp=sharing" TargetMode="External"/><Relationship Id="rId323"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BARRIOS%20UNIDOS/2024-06-13_SESION%20JUNIO?csf=1&amp;web=1&amp;e=PRXGsg" TargetMode="External"/><Relationship Id="rId530" Type="http://schemas.openxmlformats.org/officeDocument/2006/relationships/hyperlink" Target="../../../../../../:f:/r/sites/DirecciondeParticipacionyComunicacionparalaPlaneacion/Documentos%20compartidos/PROCESOS_OPDC_VIGENCIA%202024-2027/PROCESOS_OPDC_2024/EVIDENCIAS%202024/GESTI%C3%93N%20DEL%20PIPC/SISTEMA%20DE%20PARTICIPACI%C3%93N%20TERRITORIAL/2024-05-15_CAPACITACION%20SPT?csf=1&amp;web=1&amp;e=C1ji8U" TargetMode="External"/><Relationship Id="rId768"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9_JORNADA%20PEGATE%20AL%20PLAN%20-%20UNIVERSIDAD%20UNAD?csf=1&amp;web=1&amp;e=6BQRLJ" TargetMode="External"/><Relationship Id="rId975"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USAQU%C3%89N/2024-07-04_SESION%20JULIO?csf=1&amp;web=1&amp;e=LWkt3f" TargetMode="External"/><Relationship Id="rId1160"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33%20-%20BARRIOS%20UNIDOS?csf=1&amp;web=1&amp;e=cGyD69" TargetMode="External"/><Relationship Id="rId628"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6-18_PLENARIA%20CTPD?csf=1&amp;web=1&amp;e=DnR1HK" TargetMode="External"/><Relationship Id="rId835"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ANTA%20FE/2024-04-02_SESION%20ABRIL?csf=1&amp;web=1&amp;e=e3Htoi" TargetMode="External"/><Relationship Id="rId1258"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CONVOCATORIA%20-%20ASAMABLEAS%20DELIBERATIVAS/2024-09-06_CONVOCATORIA%20TERRITORIAL%20AD%20-%20BOSA?csf=1&amp;web=1&amp;e=kN6qc3" TargetMode="External"/><Relationship Id="rId1020"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COMITE%20DE%20COORDINACION%20DEL%20PDD/2024-07-10_COMITE%20INTERSECTORIA%20PDD?csf=1&amp;web=1&amp;e=5n3BWC" TargetMode="External"/><Relationship Id="rId1118" Type="http://schemas.openxmlformats.org/officeDocument/2006/relationships/hyperlink" Target="../../../../../../:f:/r/sites/DirecciondeParticipacionyComunicacionparalaPlaneacion/Documentos%20compartidos/PROCESOS_OPDC_VIGENCIA%202024-2027/PROCESOS_OPDC_2024/EVIDENCIAS%202024/GESTI%C3%93N%20DEL%20PIPC/ENCUESTA%20SISBEN/ENCUESTAS%20UPL/UPL%2011%20-%20ENGATIVA?csf=1&amp;web=1&amp;e=afvDkS" TargetMode="External"/><Relationship Id="rId902" Type="http://schemas.openxmlformats.org/officeDocument/2006/relationships/hyperlink" Target="mailto:rincon@participacionbogota.gov.co" TargetMode="External"/><Relationship Id="rId31" Type="http://schemas.openxmlformats.org/officeDocument/2006/relationships/hyperlink" Target="http://meet.google.com/nso-knfe-qeg" TargetMode="External"/><Relationship Id="rId180" Type="http://schemas.openxmlformats.org/officeDocument/2006/relationships/hyperlink" Target="https://drive.google.com/file/d/1tLA4YHZlRcg2ezscLLrsj_ugrm3gAf8b/view?usp=sharing" TargetMode="External"/><Relationship Id="rId278"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SAN%20CRISTOBAL/2024-06-06_SESION%20JUNIO?csf=1&amp;web=1&amp;e=02xCMm" TargetMode="External"/><Relationship Id="rId485"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FORMULACI%C3%93N%20DE%20AE/AEDA/2024-05-18_MESA%20DE%20TRABAJO%20AEDA?csf=1&amp;web=1&amp;e=VxYAyQ" TargetMode="External"/><Relationship Id="rId692"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4-17_REUNION%20PREPARATORIA%20AUDIENCIA%20PPI%20-%20LA%20CANDELARIA?csf=1&amp;web=1&amp;e=fnP0dO" TargetMode="External"/><Relationship Id="rId138" Type="http://schemas.openxmlformats.org/officeDocument/2006/relationships/hyperlink" Target="https://meet.google.com/tck-bgag-crs" TargetMode="External"/><Relationship Id="rId345" Type="http://schemas.openxmlformats.org/officeDocument/2006/relationships/hyperlink" Target="../../../../../../:f:/r/sites/DirecciondeParticipacionyComunicacionparalaPlaneacion/Documentos%20compartidos/PROCESOS_OPDC_VIGENCIA%202024-2027/PROCESOS_OPDC_2024/EVIDENCIAS%202024/GESTI%C3%93N%20DEL%20PIPC/PLAN%20DISTRITAL%20DE%20DESARROLLO/2024-02-13_GESTION%20SDG%20-%20GRUPOS%20ETNICOS?csf=1&amp;web=1&amp;e=lTNOcM" TargetMode="External"/><Relationship Id="rId55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I_%20ACUERDOS%20PARA%20LA%20CIUDAD/2024-05-10_CONSULTORIO%20PDD-%20JORNADA%2014%20-%20DESARROLLO%20ECONOMICO?csf=1&amp;web=1&amp;e=3vf2n3" TargetMode="External"/><Relationship Id="rId99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7-08_ACT%20ACTORES%20JAL%20TUNJUELITO?csf=1&amp;web=1&amp;e=iOVXnL" TargetMode="External"/><Relationship Id="rId1182" Type="http://schemas.openxmlformats.org/officeDocument/2006/relationships/hyperlink" Target="https://acortar.link/rS4bId" TargetMode="External"/><Relationship Id="rId205" Type="http://schemas.openxmlformats.org/officeDocument/2006/relationships/hyperlink" Target="https://meet.google.com/eus-kawm-ush" TargetMode="External"/><Relationship Id="rId412" Type="http://schemas.openxmlformats.org/officeDocument/2006/relationships/hyperlink" Target="../../../../../../:f:/r/sites/DirecciondeParticipacionyComunicacionparalaPlaneacion/Documentos%20compartidos/PROCESOS_OPDC_VIGENCIA%202024-2027/PROCESOS_OPDC_2024/EVIDENCIAS%202024/AGENDA%20CON%20INSTANCIAS/CLIP%20-%20COMISIONES%20LOCALES%20INTERSECTORIALES%20DE%20PARTICIPACION/RAFAEL%20URIBE%20URIBE/2024-03-06_SESION%20MARZO?csf=1&amp;web=1&amp;e=ci9021" TargetMode="External"/><Relationship Id="rId85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GESTION%20CIUDADANA/2024-03-22_PRESENTACION%20MESA%20DE%20INDIGENAS%20VICTIMAS%20DEL%20CONFLICTO?csf=1&amp;web=1&amp;e=VgXSwW" TargetMode="External"/><Relationship Id="rId1042"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OLITICAS%20PUBLICAS/ART.%2066/2024-07-27_ACCION%20AFIR%20PADAGOGIA%20COSMOVISION%20PALENQUERA%20Y%20PP?csf=1&amp;web=1&amp;e=9A6XZz" TargetMode="External"/><Relationship Id="rId717"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15_DIALOGO%20CIUDADANO%20-%20DISCAPACIDAD%20VISUAL%20PDD?csf=1&amp;web=1&amp;e=HIhLEH" TargetMode="External"/><Relationship Id="rId924"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GESTION%20EN%20TERRITORIO/2024-06-27_GAE%20-%20LOCALIDAD%20CHAPINERO%20CPL?csf=1&amp;web=1&amp;e=s7aKD5" TargetMode="External"/><Relationship Id="rId53" Type="http://schemas.openxmlformats.org/officeDocument/2006/relationships/hyperlink" Target="https://meet.google.com/sgv-jhtc-jzv" TargetMode="External"/><Relationship Id="rId1207" Type="http://schemas.openxmlformats.org/officeDocument/2006/relationships/hyperlink" Target="https://sdpgovco.sharepoint.com/:f:/r/sites/DirecciondeParticipacionyComunicacionparalaPlaneacion/Documentos%20compartidos/PROCESOS_OPDC_VIGENCIA%202024-2027/PROCESOS_OPDC_2024/EVIDENCIAS%202024/GESTI%C3%93N%20DEL%20PIPC/PLAN%20DISTRITAL%20DE%20DESARROLLO/COMITE%20COORDINADOR%20-%20ASAMBLEAS%20CIUDADANAS/2024-08-09_VIRTUAL%20MEMORANDO%20DE%20ENTENDIMIENTO%20SDP-EX-FC?csf=1&amp;web=1&amp;e=Sp4yX3" TargetMode="External"/><Relationship Id="rId367" Type="http://schemas.openxmlformats.org/officeDocument/2006/relationships/hyperlink" Target="../../../../../../:f:/r/sites/DirecciondeParticipacionyComunicacionparalaPlaneacion/Documentos%20compartidos/PROCESOS_OPDC_VIGENCIA%202024-2027/PROCESOS_OPDC_2024/EVIDENCIAS%202024/AGENDA%20CON%20INSTANCIAS/ACOMPA%C3%91AMIENTO%20CTPD/CURSO%20CTPD/2024-02-26_CURSO%20CTPD%20-%20MODULO%202%20JORNADA%202?csf=1&amp;web=1&amp;e=ifG6NI" TargetMode="External"/><Relationship Id="rId574" Type="http://schemas.openxmlformats.org/officeDocument/2006/relationships/hyperlink" Target="../../../../../../:f:/r/sites/DirecciondeParticipacionyComunicacionparalaPlaneacion/Documentos%20compartidos/PROCESOS_OPDC_VIGENCIA%202024-2027/PROCESOS_OPDC_2024/EVIDENCIAS%202024/AGENDA%20CON%20INSTANCIAS/ACOMPA%C3%91AMIENTO%20CTPD/PLENARIAS/2024-05-06_PLENARIA%20PERMANENTE%20CTPD?csf=1&amp;web=1&amp;e=FNiDZA" TargetMode="External"/><Relationship Id="rId227" Type="http://schemas.openxmlformats.org/officeDocument/2006/relationships/hyperlink" Target="https://meet.google.com/mdz-ruop-osj" TargetMode="External"/><Relationship Id="rId781" Type="http://schemas.openxmlformats.org/officeDocument/2006/relationships/hyperlink" Target="../../../../../../:f:/r/sites/DirecciondeParticipacionyComunicacionparalaPlaneacion/Documentos%20compartidos/PROCESOS_OPDC_VIGENCIA%202024-2027/PROCESOS_OPDC_2024/EVIDENCIAS%202024/AGENDA%20DE%20PARTICIPACI%C3%93N%20Y%20DI%C3%81LOGO%20DE%20CIUDAD%20Y%20EVENTOS/PLAN%20DISTRITAL%20DE%20DESARROLLO/FASE%20II_%20ASPIRACIONES%20COMUNES/2024-04-08_JORNADA%20PEGATE%20AL%20PLAN%20-%20UNIVERSIDAD%20NACIONAL?csf=1&amp;web=1&amp;e=MAr9gI" TargetMode="External"/><Relationship Id="rId879" Type="http://schemas.openxmlformats.org/officeDocument/2006/relationships/hyperlink" Target="../../../../../../:f:/r/sites/DirecciondeParticipacionyComunicacionparalaPlaneacion/Documentos%20compartidos/PROCESOS_OPDC_VIGENCIA%202024-2027/PROCESOS_OPDC_2024/EVIDENCIAS%202024/AGENDA%20CON%20INSTANCIAS/ACOMPA%C3%91AMIENTO%20CTPD/COMISIONES/PARTICIPACION/2024-03-29_COMISI%C3%93N%20DE%20PARTICIPACI%C3%93N%20DEL%20CTPD?csf=1&amp;web=1&amp;e=zTAWvr"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HG1019"/>
  <sheetViews>
    <sheetView tabSelected="1" workbookViewId="0">
      <pane xSplit="5" ySplit="4" topLeftCell="M897" activePane="bottomRight" state="frozen"/>
      <selection pane="bottomRight" activeCell="P901" sqref="P901"/>
      <selection pane="bottomLeft"/>
      <selection pane="topRight"/>
    </sheetView>
  </sheetViews>
  <sheetFormatPr defaultColWidth="11.5703125" defaultRowHeight="33.75" customHeight="1" outlineLevelCol="2"/>
  <cols>
    <col min="1" max="1" width="11.5703125" style="179" customWidth="1"/>
    <col min="2" max="2" width="40" style="179" customWidth="1"/>
    <col min="3" max="3" width="18.5703125" style="179" customWidth="1"/>
    <col min="4" max="4" width="11.5703125" style="179" customWidth="1"/>
    <col min="5" max="5" width="11.85546875" style="179" customWidth="1"/>
    <col min="6" max="9" width="14" style="179" customWidth="1"/>
    <col min="10" max="10" width="18.28515625" style="179" customWidth="1"/>
    <col min="11" max="11" width="11.5703125" style="179" customWidth="1"/>
    <col min="12" max="12" width="30" style="179" customWidth="1"/>
    <col min="13" max="13" width="16.42578125" style="179" customWidth="1"/>
    <col min="14" max="14" width="12.85546875" style="179" customWidth="1"/>
    <col min="15" max="15" width="33.140625" style="179" customWidth="1"/>
    <col min="16" max="40" width="11.5703125" style="179" customWidth="1" outlineLevel="1"/>
    <col min="41" max="41" width="11.5703125" style="179" customWidth="1"/>
    <col min="42" max="42" width="16.140625" style="179" customWidth="1"/>
    <col min="43" max="44" width="13.140625" style="179" customWidth="1"/>
    <col min="45" max="45" width="15.5703125" style="179" customWidth="1"/>
    <col min="46" max="46" width="15.28515625" style="179" customWidth="1"/>
    <col min="47" max="52" width="11.5703125" style="184" customWidth="1" outlineLevel="1"/>
    <col min="53" max="53" width="15.140625" style="179" customWidth="1"/>
    <col min="54" max="59" width="11.5703125" style="179" customWidth="1" outlineLevel="1"/>
    <col min="60" max="60" width="18.140625" style="179" customWidth="1"/>
    <col min="61" max="70" width="11.5703125" style="194" customWidth="1" outlineLevel="1"/>
    <col min="71" max="71" width="11.5703125" style="179" customWidth="1"/>
    <col min="72" max="72" width="20" style="179" customWidth="1"/>
    <col min="73" max="73" width="26" style="179" customWidth="1"/>
    <col min="74" max="75" width="11.5703125" style="179" customWidth="1"/>
    <col min="76" max="76" width="20.85546875" style="194" customWidth="1"/>
    <col min="77" max="77" width="11.5703125" style="179" customWidth="1"/>
    <col min="78" max="81" width="11.5703125" style="179" customWidth="1" outlineLevel="1"/>
    <col min="82" max="84" width="11.5703125" style="179" customWidth="1" outlineLevel="2"/>
    <col min="85" max="85" width="32" style="179" customWidth="1" outlineLevel="1"/>
    <col min="86" max="86" width="11.5703125" style="179" customWidth="1"/>
    <col min="87" max="87" width="11.5703125" style="194" customWidth="1"/>
    <col min="88" max="88" width="11.5703125" style="179" customWidth="1"/>
    <col min="89" max="89" width="18.7109375" style="179" customWidth="1" outlineLevel="1"/>
    <col min="90" max="95" width="11.5703125" style="179" customWidth="1" outlineLevel="1"/>
    <col min="96" max="100" width="11.5703125" style="195" customWidth="1" outlineLevel="1"/>
    <col min="101" max="101" width="19.42578125" style="195" customWidth="1" outlineLevel="1"/>
    <col min="102" max="102" width="11.5703125" style="179" customWidth="1"/>
    <col min="103" max="106" width="11.5703125" style="179" customWidth="1" outlineLevel="1"/>
    <col min="107" max="107" width="11.5703125" style="179" customWidth="1"/>
    <col min="108" max="108" width="11.5703125" style="194" customWidth="1"/>
    <col min="109" max="109" width="11.5703125" style="179" customWidth="1"/>
    <col min="110" max="110" width="22.42578125" style="179" customWidth="1" outlineLevel="1"/>
    <col min="111" max="111" width="11.5703125" style="179" customWidth="1" outlineLevel="1"/>
    <col min="112" max="112" width="11.5703125" style="196" customWidth="1" outlineLevel="1"/>
    <col min="113" max="114" width="11.5703125" style="179" customWidth="1" outlineLevel="1"/>
    <col min="115" max="115" width="11.5703125" style="184" customWidth="1" outlineLevel="1"/>
    <col min="116" max="135" width="11.5703125" style="179" customWidth="1" outlineLevel="1"/>
    <col min="136" max="136" width="11.5703125" style="179" customWidth="1"/>
    <col min="137" max="137" width="11.5703125" style="194" customWidth="1"/>
    <col min="138" max="138" width="11.5703125" style="179" customWidth="1"/>
    <col min="139" max="139" width="15.85546875" style="179" customWidth="1"/>
    <col min="140" max="140" width="11.5703125" style="179" customWidth="1"/>
    <col min="141" max="153" width="11.5703125" style="179" customWidth="1" outlineLevel="1"/>
    <col min="154" max="154" width="11.5703125" style="179" customWidth="1"/>
    <col min="155" max="156" width="12.5703125" style="179" customWidth="1"/>
    <col min="157" max="157" width="11.5703125" style="179" customWidth="1"/>
    <col min="158" max="16384" width="11.5703125" style="179"/>
  </cols>
  <sheetData>
    <row r="1" spans="1:155" s="175" customFormat="1" ht="2.25" customHeight="1">
      <c r="A1" s="168"/>
      <c r="B1" s="169"/>
      <c r="C1" s="168">
        <v>0</v>
      </c>
      <c r="D1" s="169"/>
      <c r="E1" s="168"/>
      <c r="F1" s="169"/>
      <c r="G1" s="168"/>
      <c r="H1" s="169"/>
      <c r="I1" s="168"/>
      <c r="J1" s="169"/>
      <c r="K1" s="168"/>
      <c r="L1" s="169"/>
      <c r="M1" s="168"/>
      <c r="N1" s="169"/>
      <c r="O1" s="168"/>
      <c r="P1" s="169"/>
      <c r="Q1" s="168"/>
      <c r="R1" s="169"/>
      <c r="S1" s="168"/>
      <c r="T1" s="169"/>
      <c r="U1" s="168"/>
      <c r="V1" s="169"/>
      <c r="W1" s="168"/>
      <c r="X1" s="169"/>
      <c r="Y1" s="168"/>
      <c r="Z1" s="169"/>
      <c r="AA1" s="168"/>
      <c r="AB1" s="169"/>
      <c r="AC1" s="168"/>
      <c r="AD1" s="169"/>
      <c r="AE1" s="168"/>
      <c r="AF1" s="169"/>
      <c r="AG1" s="168"/>
      <c r="AH1" s="169"/>
      <c r="AI1" s="168"/>
      <c r="AJ1" s="169"/>
      <c r="AK1" s="168"/>
      <c r="AL1" s="169"/>
      <c r="AM1" s="168"/>
      <c r="AN1" s="169"/>
      <c r="AO1" s="168"/>
      <c r="AP1" s="169"/>
      <c r="AQ1" s="168"/>
      <c r="AR1" s="169"/>
      <c r="AS1" s="168"/>
      <c r="AT1" s="169"/>
      <c r="AU1" s="168"/>
      <c r="AV1" s="168"/>
      <c r="AW1" s="168"/>
      <c r="AX1" s="168"/>
      <c r="AY1" s="168"/>
      <c r="AZ1" s="168"/>
      <c r="BA1" s="168"/>
      <c r="BB1" s="169"/>
      <c r="BC1" s="168"/>
      <c r="BD1" s="169"/>
      <c r="BE1" s="168"/>
      <c r="BF1" s="169"/>
      <c r="BG1" s="168"/>
      <c r="BH1" s="169"/>
      <c r="BI1" s="168"/>
      <c r="BJ1" s="168"/>
      <c r="BK1" s="168"/>
      <c r="BL1" s="168"/>
      <c r="BM1" s="168"/>
      <c r="BN1" s="168"/>
      <c r="BO1" s="168"/>
      <c r="BP1" s="168"/>
      <c r="BQ1" s="168"/>
      <c r="BR1" s="168"/>
      <c r="BS1" s="168"/>
      <c r="BT1" s="169"/>
      <c r="BU1" s="168"/>
      <c r="BV1" s="169"/>
      <c r="BW1" s="168"/>
      <c r="BX1" s="168"/>
      <c r="BY1" s="168"/>
      <c r="BZ1" s="169"/>
      <c r="CA1" s="168"/>
      <c r="CB1" s="169"/>
      <c r="CC1" s="168"/>
      <c r="CD1" s="169"/>
      <c r="CE1" s="168"/>
      <c r="CF1" s="169"/>
      <c r="CG1" s="168"/>
      <c r="CH1" s="169"/>
      <c r="CI1" s="168"/>
      <c r="CJ1" s="169"/>
      <c r="CK1" s="168"/>
      <c r="CL1" s="1"/>
      <c r="CM1" s="1"/>
      <c r="CN1" s="1"/>
      <c r="CO1" s="1"/>
      <c r="CP1" s="1"/>
      <c r="CQ1" s="1"/>
      <c r="CR1" s="170"/>
      <c r="CS1" s="170"/>
      <c r="CT1" s="170"/>
      <c r="CU1" s="170"/>
      <c r="CV1" s="170"/>
      <c r="CW1" s="170"/>
      <c r="CX1" s="169"/>
      <c r="CY1" s="168"/>
      <c r="CZ1" s="171"/>
      <c r="DA1" s="171"/>
      <c r="DB1" s="171"/>
      <c r="DC1" s="2"/>
      <c r="DD1" s="168"/>
      <c r="DE1" s="169"/>
      <c r="DF1" s="169"/>
      <c r="DG1" s="168"/>
      <c r="DH1" s="172"/>
      <c r="DI1" s="168"/>
      <c r="DJ1" s="168"/>
      <c r="DK1" s="173"/>
      <c r="DL1" s="168"/>
      <c r="DM1" s="168"/>
      <c r="DN1" s="168"/>
      <c r="DO1" s="168"/>
      <c r="DP1" s="168"/>
      <c r="DQ1" s="168"/>
      <c r="DR1" s="174"/>
      <c r="DS1" s="168"/>
      <c r="DT1" s="168"/>
      <c r="DU1" s="174"/>
      <c r="DV1" s="168"/>
      <c r="DW1" s="168"/>
      <c r="DX1" s="168"/>
      <c r="DY1" s="168"/>
      <c r="DZ1" s="168"/>
      <c r="EA1" s="168"/>
      <c r="EB1" s="168"/>
      <c r="EC1" s="168"/>
      <c r="ED1" s="168"/>
      <c r="EE1" s="168"/>
      <c r="EF1" s="2"/>
      <c r="EG1" s="168"/>
      <c r="EH1" s="169"/>
      <c r="EI1" s="169"/>
      <c r="EJ1" s="169"/>
      <c r="EK1" s="169"/>
      <c r="EL1" s="168"/>
      <c r="EM1" s="168"/>
      <c r="EN1" s="168"/>
      <c r="EO1" s="169"/>
      <c r="EP1" s="169"/>
      <c r="EQ1" s="169"/>
      <c r="ER1" s="169"/>
      <c r="ES1" s="169"/>
      <c r="ET1" s="169"/>
      <c r="EU1" s="169"/>
      <c r="EV1" s="169"/>
      <c r="EW1" s="169"/>
      <c r="EX1" s="2"/>
      <c r="EY1" s="2"/>
    </row>
    <row r="2" spans="1:155" s="223" customFormat="1" ht="22.5" customHeight="1">
      <c r="A2" s="211"/>
      <c r="B2" s="210" t="s">
        <v>0</v>
      </c>
      <c r="C2" s="212"/>
      <c r="D2" s="213"/>
      <c r="E2" s="211"/>
      <c r="F2" s="211"/>
      <c r="G2" s="211"/>
      <c r="H2" s="211"/>
      <c r="I2" s="211"/>
      <c r="J2" s="211"/>
      <c r="K2" s="211"/>
      <c r="L2" s="214"/>
      <c r="M2" s="214"/>
      <c r="N2" s="211"/>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1"/>
      <c r="AP2" s="211"/>
      <c r="AQ2" s="214"/>
      <c r="AR2" s="211"/>
      <c r="AS2" s="214"/>
      <c r="AT2" s="214"/>
      <c r="AU2" s="211"/>
      <c r="AV2" s="211"/>
      <c r="AW2" s="211"/>
      <c r="AX2" s="211"/>
      <c r="AY2" s="211"/>
      <c r="AZ2" s="211"/>
      <c r="BA2" s="214"/>
      <c r="BB2" s="211"/>
      <c r="BC2" s="211"/>
      <c r="BD2" s="211"/>
      <c r="BE2" s="211"/>
      <c r="BF2" s="211"/>
      <c r="BG2" s="211"/>
      <c r="BH2" s="214"/>
      <c r="BI2" s="211"/>
      <c r="BJ2" s="211"/>
      <c r="BK2" s="211"/>
      <c r="BL2" s="211"/>
      <c r="BM2" s="211"/>
      <c r="BN2" s="211"/>
      <c r="BO2" s="211"/>
      <c r="BP2" s="211"/>
      <c r="BQ2" s="211"/>
      <c r="BR2" s="211"/>
      <c r="BS2" s="214"/>
      <c r="BT2" s="214"/>
      <c r="BU2" s="214"/>
      <c r="BV2" s="214"/>
      <c r="BW2" s="214"/>
      <c r="BX2" s="211"/>
      <c r="BY2" s="215"/>
      <c r="BZ2" s="376" t="s">
        <v>1</v>
      </c>
      <c r="CA2" s="377"/>
      <c r="CB2" s="212"/>
      <c r="CC2" s="212"/>
      <c r="CD2" s="212"/>
      <c r="CE2" s="212"/>
      <c r="CF2" s="212"/>
      <c r="CG2" s="216"/>
      <c r="CH2" s="217"/>
      <c r="CI2" s="211"/>
      <c r="CJ2" s="214"/>
      <c r="CK2" s="378" t="s">
        <v>2</v>
      </c>
      <c r="CL2" s="379"/>
      <c r="CM2" s="214"/>
      <c r="CN2" s="214"/>
      <c r="CO2" s="214"/>
      <c r="CP2" s="214"/>
      <c r="CQ2" s="214"/>
      <c r="CR2" s="218"/>
      <c r="CS2" s="218"/>
      <c r="CT2" s="218"/>
      <c r="CU2" s="218"/>
      <c r="CV2" s="218"/>
      <c r="CW2" s="218"/>
      <c r="CX2" s="214"/>
      <c r="CY2" s="211"/>
      <c r="CZ2" s="219"/>
      <c r="DA2" s="219"/>
      <c r="DB2" s="219"/>
      <c r="DC2" s="217"/>
      <c r="DD2" s="211"/>
      <c r="DE2" s="214"/>
      <c r="DF2" s="380" t="s">
        <v>3</v>
      </c>
      <c r="DG2" s="381"/>
      <c r="DH2" s="377"/>
      <c r="DI2" s="211"/>
      <c r="DJ2" s="211"/>
      <c r="DK2" s="220"/>
      <c r="DL2" s="211"/>
      <c r="DM2" s="211"/>
      <c r="DN2" s="211"/>
      <c r="DO2" s="211"/>
      <c r="DP2" s="211"/>
      <c r="DQ2" s="211"/>
      <c r="DR2" s="221"/>
      <c r="DS2" s="211"/>
      <c r="DT2" s="211"/>
      <c r="DU2" s="221"/>
      <c r="DV2" s="211"/>
      <c r="DW2" s="211"/>
      <c r="DX2" s="211"/>
      <c r="DY2" s="211"/>
      <c r="DZ2" s="211"/>
      <c r="EA2" s="211"/>
      <c r="EB2" s="211"/>
      <c r="EC2" s="211"/>
      <c r="ED2" s="211"/>
      <c r="EE2" s="211"/>
      <c r="EF2" s="217"/>
      <c r="EG2" s="211"/>
      <c r="EH2" s="214"/>
      <c r="EI2" s="214"/>
      <c r="EJ2" s="214"/>
      <c r="EK2" s="380" t="s">
        <v>4</v>
      </c>
      <c r="EL2" s="377"/>
      <c r="EM2" s="214"/>
      <c r="EN2" s="214"/>
      <c r="EO2" s="214"/>
      <c r="EP2" s="222"/>
      <c r="EQ2" s="214"/>
      <c r="ER2" s="214"/>
      <c r="ES2" s="222"/>
      <c r="ET2" s="214"/>
      <c r="EU2" s="214"/>
      <c r="EV2" s="214"/>
      <c r="EW2" s="214"/>
      <c r="EX2" s="217"/>
      <c r="EY2" s="217"/>
    </row>
    <row r="3" spans="1:155" s="175" customFormat="1" ht="12.75" customHeight="1">
      <c r="A3" s="42"/>
      <c r="B3" s="58"/>
      <c r="C3" s="59"/>
      <c r="D3" s="60"/>
      <c r="E3" s="42"/>
      <c r="F3" s="42"/>
      <c r="G3" s="42"/>
      <c r="H3" s="42"/>
      <c r="I3" s="42"/>
      <c r="J3" s="42"/>
      <c r="K3" s="42"/>
      <c r="L3" s="42"/>
      <c r="M3" s="49"/>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8"/>
      <c r="BU3" s="48"/>
      <c r="BV3" s="3"/>
      <c r="BW3" s="48"/>
      <c r="BX3" s="48"/>
      <c r="BY3" s="3"/>
      <c r="BZ3" s="42"/>
      <c r="CA3" s="42"/>
      <c r="CB3" s="42"/>
      <c r="CC3" s="42"/>
      <c r="CD3" s="42"/>
      <c r="CE3" s="42"/>
      <c r="CF3" s="42"/>
      <c r="CG3" s="43"/>
      <c r="CH3" s="4"/>
      <c r="CI3" s="45"/>
      <c r="CJ3" s="4"/>
      <c r="CK3" s="42"/>
      <c r="CL3" s="46"/>
      <c r="CM3" s="46"/>
      <c r="CN3" s="46"/>
      <c r="CO3" s="46"/>
      <c r="CP3" s="46"/>
      <c r="CQ3" s="46"/>
      <c r="CR3" s="176"/>
      <c r="CS3" s="176"/>
      <c r="CT3" s="176"/>
      <c r="CU3" s="176"/>
      <c r="CV3" s="176"/>
      <c r="CW3" s="176"/>
      <c r="CX3" s="42"/>
      <c r="CY3" s="42"/>
      <c r="CZ3" s="47"/>
      <c r="DA3" s="47"/>
      <c r="DB3" s="47"/>
      <c r="DC3" s="4"/>
      <c r="DD3" s="45"/>
      <c r="DE3" s="2"/>
      <c r="DF3" s="42"/>
      <c r="DG3" s="42"/>
      <c r="DH3" s="65"/>
      <c r="DI3" s="48"/>
      <c r="DJ3" s="49"/>
      <c r="DK3" s="177"/>
      <c r="DL3" s="49"/>
      <c r="DM3" s="49"/>
      <c r="DN3" s="49"/>
      <c r="DO3" s="49"/>
      <c r="DP3" s="49"/>
      <c r="DQ3" s="49"/>
      <c r="DR3" s="50"/>
      <c r="DS3" s="49"/>
      <c r="DT3" s="49"/>
      <c r="DU3" s="50"/>
      <c r="DV3" s="49"/>
      <c r="DW3" s="49"/>
      <c r="DX3" s="49"/>
      <c r="DY3" s="49"/>
      <c r="DZ3" s="42"/>
      <c r="EA3" s="49"/>
      <c r="EB3" s="49"/>
      <c r="EC3" s="42"/>
      <c r="ED3" s="42"/>
      <c r="EE3" s="48"/>
      <c r="EF3" s="4"/>
      <c r="EG3" s="45"/>
      <c r="EH3" s="4"/>
      <c r="EI3" s="5"/>
      <c r="EJ3" s="4"/>
      <c r="EK3" s="51" t="s">
        <v>5</v>
      </c>
      <c r="EL3" s="51" t="s">
        <v>6</v>
      </c>
      <c r="EM3" s="51" t="s">
        <v>7</v>
      </c>
      <c r="EN3" s="51" t="s">
        <v>8</v>
      </c>
      <c r="EO3" s="4"/>
      <c r="EP3" s="51" t="s">
        <v>9</v>
      </c>
      <c r="EQ3" s="51" t="s">
        <v>10</v>
      </c>
      <c r="ER3" s="4"/>
      <c r="ES3" s="51" t="s">
        <v>11</v>
      </c>
      <c r="ET3" s="51" t="s">
        <v>12</v>
      </c>
      <c r="EU3" s="51" t="s">
        <v>13</v>
      </c>
      <c r="EV3" s="51" t="s">
        <v>14</v>
      </c>
      <c r="EW3" s="51" t="s">
        <v>15</v>
      </c>
      <c r="EX3" s="4"/>
      <c r="EY3" s="4"/>
    </row>
    <row r="4" spans="1:155" s="178" customFormat="1" ht="52.5" customHeight="1">
      <c r="A4" s="52" t="s">
        <v>16</v>
      </c>
      <c r="B4" s="53" t="s">
        <v>17</v>
      </c>
      <c r="C4" s="53" t="s">
        <v>18</v>
      </c>
      <c r="D4" s="54" t="s">
        <v>19</v>
      </c>
      <c r="E4" s="54" t="s">
        <v>20</v>
      </c>
      <c r="F4" s="52" t="s">
        <v>21</v>
      </c>
      <c r="G4" s="52" t="s">
        <v>22</v>
      </c>
      <c r="H4" s="52" t="s">
        <v>23</v>
      </c>
      <c r="I4" s="52" t="s">
        <v>24</v>
      </c>
      <c r="J4" s="52" t="s">
        <v>25</v>
      </c>
      <c r="K4" s="52" t="s">
        <v>26</v>
      </c>
      <c r="L4" s="52" t="s">
        <v>27</v>
      </c>
      <c r="M4" s="52" t="s">
        <v>28</v>
      </c>
      <c r="N4" s="53" t="s">
        <v>29</v>
      </c>
      <c r="O4" s="53" t="s">
        <v>30</v>
      </c>
      <c r="P4" s="55" t="s">
        <v>31</v>
      </c>
      <c r="Q4" s="55" t="s">
        <v>32</v>
      </c>
      <c r="R4" s="55" t="s">
        <v>33</v>
      </c>
      <c r="S4" s="55" t="s">
        <v>34</v>
      </c>
      <c r="T4" s="55" t="s">
        <v>35</v>
      </c>
      <c r="U4" s="55" t="s">
        <v>36</v>
      </c>
      <c r="V4" s="55" t="s">
        <v>37</v>
      </c>
      <c r="W4" s="55" t="s">
        <v>38</v>
      </c>
      <c r="X4" s="55" t="s">
        <v>39</v>
      </c>
      <c r="Y4" s="55" t="s">
        <v>40</v>
      </c>
      <c r="Z4" s="55" t="s">
        <v>41</v>
      </c>
      <c r="AA4" s="55" t="s">
        <v>42</v>
      </c>
      <c r="AB4" s="55" t="s">
        <v>43</v>
      </c>
      <c r="AC4" s="55" t="s">
        <v>44</v>
      </c>
      <c r="AD4" s="55" t="s">
        <v>45</v>
      </c>
      <c r="AE4" s="55" t="s">
        <v>46</v>
      </c>
      <c r="AF4" s="55" t="s">
        <v>47</v>
      </c>
      <c r="AG4" s="55" t="s">
        <v>48</v>
      </c>
      <c r="AH4" s="55" t="s">
        <v>49</v>
      </c>
      <c r="AI4" s="55" t="s">
        <v>50</v>
      </c>
      <c r="AJ4" s="55" t="s">
        <v>51</v>
      </c>
      <c r="AK4" s="55" t="s">
        <v>52</v>
      </c>
      <c r="AL4" s="55" t="s">
        <v>53</v>
      </c>
      <c r="AM4" s="55" t="s">
        <v>54</v>
      </c>
      <c r="AN4" s="55" t="s">
        <v>55</v>
      </c>
      <c r="AO4" s="52" t="s">
        <v>56</v>
      </c>
      <c r="AP4" s="52" t="s">
        <v>57</v>
      </c>
      <c r="AQ4" s="52" t="s">
        <v>58</v>
      </c>
      <c r="AR4" s="52" t="s">
        <v>59</v>
      </c>
      <c r="AS4" s="52" t="s">
        <v>60</v>
      </c>
      <c r="AT4" s="56" t="s">
        <v>61</v>
      </c>
      <c r="AU4" s="56" t="s">
        <v>62</v>
      </c>
      <c r="AV4" s="56" t="s">
        <v>63</v>
      </c>
      <c r="AW4" s="56" t="s">
        <v>64</v>
      </c>
      <c r="AX4" s="56" t="s">
        <v>65</v>
      </c>
      <c r="AY4" s="56" t="s">
        <v>66</v>
      </c>
      <c r="AZ4" s="56" t="s">
        <v>67</v>
      </c>
      <c r="BA4" s="56" t="s">
        <v>68</v>
      </c>
      <c r="BB4" s="56" t="s">
        <v>69</v>
      </c>
      <c r="BC4" s="56" t="s">
        <v>70</v>
      </c>
      <c r="BD4" s="56" t="s">
        <v>71</v>
      </c>
      <c r="BE4" s="56" t="s">
        <v>72</v>
      </c>
      <c r="BF4" s="56" t="s">
        <v>73</v>
      </c>
      <c r="BG4" s="56" t="s">
        <v>74</v>
      </c>
      <c r="BH4" s="56" t="s">
        <v>75</v>
      </c>
      <c r="BI4" s="56" t="s">
        <v>76</v>
      </c>
      <c r="BJ4" s="56" t="s">
        <v>77</v>
      </c>
      <c r="BK4" s="56" t="s">
        <v>78</v>
      </c>
      <c r="BL4" s="56" t="s">
        <v>79</v>
      </c>
      <c r="BM4" s="56" t="s">
        <v>80</v>
      </c>
      <c r="BN4" s="56" t="s">
        <v>81</v>
      </c>
      <c r="BO4" s="56" t="s">
        <v>82</v>
      </c>
      <c r="BP4" s="56" t="s">
        <v>83</v>
      </c>
      <c r="BQ4" s="56" t="s">
        <v>84</v>
      </c>
      <c r="BR4" s="56" t="s">
        <v>85</v>
      </c>
      <c r="BS4" s="56" t="s">
        <v>86</v>
      </c>
      <c r="BT4" s="57" t="s">
        <v>87</v>
      </c>
      <c r="BU4" s="57" t="s">
        <v>88</v>
      </c>
      <c r="BV4" s="44"/>
      <c r="BW4" s="57" t="s">
        <v>89</v>
      </c>
      <c r="BX4" s="57" t="s">
        <v>90</v>
      </c>
      <c r="BY4" s="39"/>
      <c r="BZ4" s="61" t="s">
        <v>91</v>
      </c>
      <c r="CA4" s="61" t="s">
        <v>92</v>
      </c>
      <c r="CB4" s="61" t="s">
        <v>93</v>
      </c>
      <c r="CC4" s="52" t="s">
        <v>94</v>
      </c>
      <c r="CD4" s="61" t="s">
        <v>95</v>
      </c>
      <c r="CE4" s="61" t="s">
        <v>96</v>
      </c>
      <c r="CF4" s="61" t="s">
        <v>97</v>
      </c>
      <c r="CG4" s="313" t="s">
        <v>98</v>
      </c>
      <c r="CH4" s="44"/>
      <c r="CI4" s="62" t="s">
        <v>99</v>
      </c>
      <c r="CJ4" s="44"/>
      <c r="CK4" s="52" t="s">
        <v>100</v>
      </c>
      <c r="CL4" s="61" t="s">
        <v>101</v>
      </c>
      <c r="CM4" s="61" t="s">
        <v>102</v>
      </c>
      <c r="CN4" s="61" t="s">
        <v>103</v>
      </c>
      <c r="CO4" s="61" t="s">
        <v>104</v>
      </c>
      <c r="CP4" s="61" t="s">
        <v>105</v>
      </c>
      <c r="CQ4" s="61" t="s">
        <v>106</v>
      </c>
      <c r="CR4" s="57">
        <v>1</v>
      </c>
      <c r="CS4" s="57">
        <v>2</v>
      </c>
      <c r="CT4" s="57">
        <v>3</v>
      </c>
      <c r="CU4" s="57">
        <v>4</v>
      </c>
      <c r="CV4" s="57">
        <v>5</v>
      </c>
      <c r="CW4" s="57">
        <v>6</v>
      </c>
      <c r="CX4" s="62" t="s">
        <v>107</v>
      </c>
      <c r="CY4" s="52" t="s">
        <v>108</v>
      </c>
      <c r="CZ4" s="52" t="s">
        <v>109</v>
      </c>
      <c r="DA4" s="52" t="s">
        <v>110</v>
      </c>
      <c r="DB4" s="63" t="s">
        <v>111</v>
      </c>
      <c r="DC4" s="44"/>
      <c r="DD4" s="62" t="s">
        <v>112</v>
      </c>
      <c r="DE4" s="44"/>
      <c r="DF4" s="52" t="s">
        <v>113</v>
      </c>
      <c r="DG4" s="52" t="s">
        <v>114</v>
      </c>
      <c r="DH4" s="66" t="s">
        <v>115</v>
      </c>
      <c r="DI4" s="57" t="s">
        <v>116</v>
      </c>
      <c r="DJ4" s="56" t="s">
        <v>117</v>
      </c>
      <c r="DK4" s="52" t="s">
        <v>118</v>
      </c>
      <c r="DL4" s="52" t="s">
        <v>119</v>
      </c>
      <c r="DM4" s="52" t="s">
        <v>120</v>
      </c>
      <c r="DN4" s="56" t="s">
        <v>121</v>
      </c>
      <c r="DO4" s="52" t="s">
        <v>122</v>
      </c>
      <c r="DP4" s="56" t="s">
        <v>123</v>
      </c>
      <c r="DQ4" s="52" t="s">
        <v>124</v>
      </c>
      <c r="DR4" s="52" t="s">
        <v>125</v>
      </c>
      <c r="DS4" s="56" t="s">
        <v>126</v>
      </c>
      <c r="DT4" s="52" t="s">
        <v>124</v>
      </c>
      <c r="DU4" s="52" t="s">
        <v>127</v>
      </c>
      <c r="DV4" s="56" t="s">
        <v>128</v>
      </c>
      <c r="DW4" s="56" t="s">
        <v>129</v>
      </c>
      <c r="DX4" s="52" t="s">
        <v>130</v>
      </c>
      <c r="DY4" s="52" t="s">
        <v>131</v>
      </c>
      <c r="DZ4" s="52" t="s">
        <v>132</v>
      </c>
      <c r="EA4" s="52" t="s">
        <v>133</v>
      </c>
      <c r="EB4" s="56" t="s">
        <v>134</v>
      </c>
      <c r="EC4" s="52" t="s">
        <v>135</v>
      </c>
      <c r="ED4" s="52" t="s">
        <v>136</v>
      </c>
      <c r="EE4" s="57" t="s">
        <v>137</v>
      </c>
      <c r="EF4" s="44"/>
      <c r="EG4" s="62" t="s">
        <v>112</v>
      </c>
      <c r="EH4" s="44"/>
      <c r="EI4" s="52" t="s">
        <v>138</v>
      </c>
      <c r="EJ4" s="44"/>
      <c r="EK4" s="64" t="s">
        <v>139</v>
      </c>
      <c r="EL4" s="64" t="s">
        <v>140</v>
      </c>
      <c r="EM4" s="64" t="s">
        <v>141</v>
      </c>
      <c r="EN4" s="64" t="s">
        <v>142</v>
      </c>
      <c r="EO4" s="41"/>
      <c r="EP4" s="64" t="s">
        <v>143</v>
      </c>
      <c r="EQ4" s="64" t="s">
        <v>144</v>
      </c>
      <c r="ER4" s="41"/>
      <c r="ES4" s="64" t="s">
        <v>145</v>
      </c>
      <c r="ET4" s="64" t="s">
        <v>146</v>
      </c>
      <c r="EU4" s="64" t="s">
        <v>147</v>
      </c>
      <c r="EV4" s="64" t="s">
        <v>148</v>
      </c>
      <c r="EW4" s="64" t="s">
        <v>149</v>
      </c>
      <c r="EX4" s="40"/>
      <c r="EY4" s="40"/>
    </row>
    <row r="5" spans="1:155" ht="46.5" customHeight="1">
      <c r="A5" s="67" t="str" cm="1">
        <f t="array" ref="A5:A935">IF(F5:F935="SÍ", ROW(F5:F935)-4,"")</f>
        <v/>
      </c>
      <c r="B5" s="68" t="s">
        <v>150</v>
      </c>
      <c r="C5" s="69">
        <v>45308</v>
      </c>
      <c r="D5" s="70">
        <v>0.3125</v>
      </c>
      <c r="E5" s="67" t="s">
        <v>151</v>
      </c>
      <c r="F5" s="67" t="s">
        <v>152</v>
      </c>
      <c r="G5" s="67" t="s">
        <v>153</v>
      </c>
      <c r="H5" s="67" t="s">
        <v>152</v>
      </c>
      <c r="I5" s="67" t="s">
        <v>152</v>
      </c>
      <c r="J5" s="67" t="s">
        <v>154</v>
      </c>
      <c r="K5" s="67" t="s">
        <v>155</v>
      </c>
      <c r="L5" s="68" t="s">
        <v>156</v>
      </c>
      <c r="M5" s="68" t="s">
        <v>157</v>
      </c>
      <c r="N5" s="67" t="s">
        <v>158</v>
      </c>
      <c r="O5" s="68" t="str">
        <f t="shared" ref="O5:O68" si="0">_xlfn.TEXTJOIN(", ",TRUE,P5:AN5)</f>
        <v>Valentina González, José Francisco Quiroz, Norberto Muñoz Morera, Rosemberg Prisco Vasquez, Yeiker Guerra Sarmiento, Yohan David Díaz, Diana Carolina Aristizábal, Nathalia Guzmán Martínez, Luz Maritza Acero, Melina Julieta Solano</v>
      </c>
      <c r="P5" s="67" t="s">
        <v>159</v>
      </c>
      <c r="Q5" s="67" t="s">
        <v>160</v>
      </c>
      <c r="R5" s="67" t="s">
        <v>161</v>
      </c>
      <c r="S5" s="67" t="s">
        <v>162</v>
      </c>
      <c r="T5" s="67" t="s">
        <v>163</v>
      </c>
      <c r="U5" s="67" t="s">
        <v>164</v>
      </c>
      <c r="V5" s="67" t="s">
        <v>165</v>
      </c>
      <c r="W5" s="67" t="s">
        <v>166</v>
      </c>
      <c r="X5" s="67" t="s">
        <v>167</v>
      </c>
      <c r="Y5" s="67" t="s">
        <v>168</v>
      </c>
      <c r="Z5" s="67"/>
      <c r="AA5" s="67"/>
      <c r="AB5" s="67"/>
      <c r="AC5" s="67"/>
      <c r="AD5" s="67"/>
      <c r="AE5" s="67"/>
      <c r="AF5" s="67"/>
      <c r="AG5" s="67"/>
      <c r="AH5" s="67"/>
      <c r="AI5" s="67"/>
      <c r="AJ5" s="67"/>
      <c r="AK5" s="67"/>
      <c r="AL5" s="67"/>
      <c r="AM5" s="67"/>
      <c r="AN5" s="67"/>
      <c r="AO5" s="67" t="s">
        <v>169</v>
      </c>
      <c r="AP5" s="67" t="s">
        <v>170</v>
      </c>
      <c r="AQ5" s="68" t="s">
        <v>171</v>
      </c>
      <c r="AR5" s="68" t="s">
        <v>171</v>
      </c>
      <c r="AS5" s="68" t="s">
        <v>171</v>
      </c>
      <c r="AT5" s="68" t="str">
        <f t="shared" ref="AT5:AT68" si="1">_xlfn.TEXTJOIN(", ",TRUE,$AU5:$AY5)</f>
        <v>Distrital</v>
      </c>
      <c r="AU5" s="67" t="s">
        <v>172</v>
      </c>
      <c r="AV5" s="67"/>
      <c r="AW5" s="67"/>
      <c r="AX5" s="67"/>
      <c r="AY5" s="67"/>
      <c r="AZ5" s="67"/>
      <c r="BA5" s="68" t="str">
        <f t="shared" ref="BA5:BA68" si="2">_xlfn.TEXTJOIN(", ",TRUE,$BB5:$BG5)</f>
        <v>Distrital</v>
      </c>
      <c r="BB5" s="67" t="s">
        <v>172</v>
      </c>
      <c r="BC5" s="67"/>
      <c r="BD5" s="67"/>
      <c r="BE5" s="67"/>
      <c r="BF5" s="67"/>
      <c r="BG5" s="67"/>
      <c r="BH5" s="68" t="str">
        <f t="shared" ref="BH5:BH68" si="3">_xlfn.TEXTJOIN(", ",TRUE,$BI5:$BR5)</f>
        <v>Distrital</v>
      </c>
      <c r="BI5" s="67" t="s">
        <v>172</v>
      </c>
      <c r="BJ5" s="67"/>
      <c r="BK5" s="67"/>
      <c r="BL5" s="67"/>
      <c r="BM5" s="67"/>
      <c r="BN5" s="67"/>
      <c r="BO5" s="67"/>
      <c r="BP5" s="67"/>
      <c r="BQ5" s="67"/>
      <c r="BR5" s="67"/>
      <c r="BS5" s="68" t="s">
        <v>173</v>
      </c>
      <c r="BT5" s="68" t="s">
        <v>174</v>
      </c>
      <c r="BU5" s="68" t="s">
        <v>175</v>
      </c>
      <c r="BV5" s="71"/>
      <c r="BW5" s="67" t="s">
        <v>153</v>
      </c>
      <c r="BX5" s="67" t="s">
        <v>176</v>
      </c>
      <c r="BY5" s="71"/>
      <c r="BZ5" s="67">
        <v>137</v>
      </c>
      <c r="CA5" s="67">
        <v>10</v>
      </c>
      <c r="CB5" s="67">
        <f t="shared" ref="CB5:CB20" si="4">BZ5+CA5</f>
        <v>147</v>
      </c>
      <c r="CC5" s="67" t="str">
        <f t="shared" ref="CC5:CC36" si="5">_xlfn.TEXTJOIN(", ",TRUE,$CD5:$CF5)</f>
        <v>No Aplica</v>
      </c>
      <c r="CD5" s="67" t="s">
        <v>177</v>
      </c>
      <c r="CE5" s="67"/>
      <c r="CF5" s="67"/>
      <c r="CG5" s="72" t="s">
        <v>178</v>
      </c>
      <c r="CH5" s="41"/>
      <c r="CI5" s="67" t="s">
        <v>153</v>
      </c>
      <c r="CJ5" s="71"/>
      <c r="CK5" s="67">
        <f t="shared" ref="CK5:CK66" si="6">COUNTIF(CL5:CQ5,"*")</f>
        <v>0</v>
      </c>
      <c r="CL5" s="67"/>
      <c r="CM5" s="67"/>
      <c r="CN5" s="67"/>
      <c r="CO5" s="67"/>
      <c r="CP5" s="67"/>
      <c r="CQ5" s="67"/>
      <c r="CR5" s="72" t="s">
        <v>179</v>
      </c>
      <c r="CS5" s="72" t="s">
        <v>179</v>
      </c>
      <c r="CT5" s="72" t="s">
        <v>179</v>
      </c>
      <c r="CU5" s="72" t="s">
        <v>179</v>
      </c>
      <c r="CV5" s="72" t="s">
        <v>179</v>
      </c>
      <c r="CW5" s="72" t="s">
        <v>179</v>
      </c>
      <c r="CX5" s="67" t="s">
        <v>153</v>
      </c>
      <c r="CY5" s="67">
        <f t="shared" ref="CY5:CY20" si="7">SUM(COUNTIF(CR5:CW5,"Realizado y Devuelto a la Ciudadanía"),COUNTIF(CR5:CW5,"Realizado y Trasladado por competencia"), COUNTIF(CR5:CW5,"Realizado y Gestionado"))</f>
        <v>0</v>
      </c>
      <c r="CZ5" s="67">
        <v>0</v>
      </c>
      <c r="DA5" s="67">
        <f t="shared" ref="DA5:DA20" si="8">COUNTIF(CR5:CW5,"Realizado y Devuelto a la Ciudadanía")</f>
        <v>0</v>
      </c>
      <c r="DB5" s="73" t="str">
        <f t="shared" ref="DB5:DB20" si="9">IFERROR(CY5/CK5,"")</f>
        <v/>
      </c>
      <c r="DC5" s="41"/>
      <c r="DD5" s="67" t="s">
        <v>153</v>
      </c>
      <c r="DE5" s="71"/>
      <c r="DF5" s="85" t="s">
        <v>180</v>
      </c>
      <c r="DG5" s="67">
        <v>1</v>
      </c>
      <c r="DH5" s="74" t="str">
        <f t="shared" ref="DH5:DH20" si="10">IF(EE5="Por completar",C5+3,"Completo")</f>
        <v>Completo</v>
      </c>
      <c r="DI5" s="67" t="s">
        <v>181</v>
      </c>
      <c r="DJ5" s="67" t="s">
        <v>182</v>
      </c>
      <c r="DK5" s="67"/>
      <c r="DL5" s="67">
        <v>0</v>
      </c>
      <c r="DM5" s="67">
        <v>0</v>
      </c>
      <c r="DN5" s="67" t="s">
        <v>182</v>
      </c>
      <c r="DO5" s="67"/>
      <c r="DP5" s="67"/>
      <c r="DQ5" s="67"/>
      <c r="DR5" s="75" t="str">
        <f t="shared" ref="DR5:DR68" si="11">IF(H5="SÍ", (DQ5/(BZ5*0.3)), "No aplica")</f>
        <v>No aplica</v>
      </c>
      <c r="DS5" s="67"/>
      <c r="DT5" s="67"/>
      <c r="DU5" s="75" t="str">
        <f t="shared" ref="DU5:DU68" si="12">IF(H5="SÍ", (DT5/(BZ5*0.35)), "No aplica")</f>
        <v>No aplica</v>
      </c>
      <c r="DV5" s="67" t="s">
        <v>182</v>
      </c>
      <c r="DW5" s="67" t="s">
        <v>182</v>
      </c>
      <c r="DX5" s="67"/>
      <c r="DY5" s="67"/>
      <c r="DZ5" s="67"/>
      <c r="EA5" s="67"/>
      <c r="EB5" s="67" t="s">
        <v>182</v>
      </c>
      <c r="EC5" s="67" t="s">
        <v>183</v>
      </c>
      <c r="ED5" s="67" t="s">
        <v>184</v>
      </c>
      <c r="EE5" s="67" t="str">
        <f t="shared" ref="EE5:EE20" si="13">IF(DI5="Subsanado","Completo","Por Completar")</f>
        <v>Completo</v>
      </c>
      <c r="EF5" s="41"/>
      <c r="EG5" s="67" t="s">
        <v>153</v>
      </c>
      <c r="EH5" s="71"/>
      <c r="EI5" s="68"/>
      <c r="EJ5" s="71"/>
      <c r="EK5" s="67" t="s">
        <v>179</v>
      </c>
      <c r="EL5" s="76" t="str">
        <f t="shared" ref="EL5:EL68" si="14">IF(F5="NO","No requiere",IF(H5="No","No requiere",IF(DW5="","",IF(DW5&lt;&gt;"No aplica",IF(DX5&lt;&gt;"No aplica",IF(DX5&gt;=2,"Sí","No"),"No aplica"),"No aplica"))))</f>
        <v>No requiere</v>
      </c>
      <c r="EM5" s="76" t="str">
        <f t="shared" ref="EM5:EM68" si="15">IF(F5="NO","No requiere",IF(H5="No","No requiere",IF(DW5="","",IF(DW5&lt;&gt;"No aplica",IF(DY5&lt;&gt;"No aplica",IF(DY5&gt;=1,"Sí","No"),"No aplica"),"No aplica"))))</f>
        <v>No requiere</v>
      </c>
      <c r="EN5" s="76" t="str">
        <f t="shared" ref="EN5" si="16">IF(F5="NO","No requiere",IF(H5="No","No requiere",IF(CC5="","",IF(CD5&lt;&gt;"No aplica",IF(CD5&lt;&gt;"Ninguna",IF(COUNTIF(CD5:CF5,"*")&gt;=1,"Sí","No"),"No"),"No aplica"))))</f>
        <v>No requiere</v>
      </c>
      <c r="EO5" s="71"/>
      <c r="EP5" s="73" t="str">
        <f t="shared" ref="EP5:EP68" si="17">IF(F5="NO","No requiere",IF(H5="No","No requiere",IF(DL5="","",IF(DL5&gt;=1,DM5/DL5,"No aplica"))))</f>
        <v>No requiere</v>
      </c>
      <c r="EQ5" s="77" t="str">
        <f t="shared" ref="EQ5:EQ68" si="18">IFERROR(IF(F5="NO","No requiere",IF(H5="No","No requiere",DU5)),"")</f>
        <v>No requiere</v>
      </c>
      <c r="ER5" s="71"/>
      <c r="ES5" s="67" t="s">
        <v>179</v>
      </c>
      <c r="ET5" s="73" t="str">
        <f t="shared" ref="ET5:ET68" si="19">IF(F5="NO","No requiere",IF(H5="No","No requiere",IFERROR(COUNTIF(DJ5:DW5,"Completo")/SUM(COUNTIF(DJ5:DW5,"Completo"),COUNTIF(DJ5:DW5,"Incompleto"),COUNTIF(DJ5:DW5,"No subido"),COUNTIF(DJ5:DW5,"No existente"),COUNTIF(DJ5:DW5,"Pendiente")),"")))</f>
        <v>No requiere</v>
      </c>
      <c r="EU5" s="73" t="str">
        <f t="shared" ref="EU5" si="20">IF(F5="NO","No requiere",IF(H5="No","No requiere",IF(B5="","",IF(CX5="SÍ",IF(CK5&gt;=1,CY5/CK5,"Sin compromisos"),"Por verificar"))))</f>
        <v>No requiere</v>
      </c>
      <c r="EV5" s="73" t="str">
        <f t="shared" ref="EV5:EV68" si="21">IF(EU5="Por verificar","Por verificar",IF(F5="NO","No requiere",IF(H5="No","No requiere",IFERROR(IF(EU5="","",IF(CK5&gt;=1,DA5/CZ5,"No aplica")),"No aplica"))))</f>
        <v>No requiere</v>
      </c>
      <c r="EW5" s="73" t="str">
        <f t="shared" ref="EW5:EW68" si="22">IF(F5="NO","No requiere",IF(H5="No","No requiere",IFERROR(IF(BZ5="","",IF(EA5&lt;&gt;"No aplica",IF(EA5&gt;=1,DO5/EA5,"0%"),"No aplica")),"")))</f>
        <v>No requiere</v>
      </c>
      <c r="EX5" s="78"/>
      <c r="EY5" s="78"/>
    </row>
    <row r="6" spans="1:155" ht="46.5" customHeight="1">
      <c r="A6" s="79" t="str">
        <v/>
      </c>
      <c r="B6" s="80" t="s">
        <v>185</v>
      </c>
      <c r="C6" s="81">
        <v>45314</v>
      </c>
      <c r="D6" s="82">
        <v>0.58333333333333337</v>
      </c>
      <c r="E6" s="79" t="s">
        <v>151</v>
      </c>
      <c r="F6" s="79" t="s">
        <v>152</v>
      </c>
      <c r="G6" s="79" t="s">
        <v>153</v>
      </c>
      <c r="H6" s="79" t="s">
        <v>152</v>
      </c>
      <c r="I6" s="79" t="s">
        <v>152</v>
      </c>
      <c r="J6" s="79" t="s">
        <v>154</v>
      </c>
      <c r="K6" s="79" t="s">
        <v>155</v>
      </c>
      <c r="L6" s="80" t="s">
        <v>186</v>
      </c>
      <c r="M6" s="80" t="s">
        <v>157</v>
      </c>
      <c r="N6" s="79" t="s">
        <v>167</v>
      </c>
      <c r="O6" s="80" t="str">
        <f t="shared" si="0"/>
        <v>Yeiker José Guerra</v>
      </c>
      <c r="P6" s="79" t="s">
        <v>187</v>
      </c>
      <c r="Q6" s="79"/>
      <c r="R6" s="79"/>
      <c r="S6" s="79"/>
      <c r="T6" s="79"/>
      <c r="U6" s="79"/>
      <c r="V6" s="79"/>
      <c r="W6" s="79"/>
      <c r="X6" s="79"/>
      <c r="Y6" s="79"/>
      <c r="Z6" s="79"/>
      <c r="AA6" s="79"/>
      <c r="AB6" s="79"/>
      <c r="AC6" s="79"/>
      <c r="AD6" s="79"/>
      <c r="AE6" s="79"/>
      <c r="AF6" s="79"/>
      <c r="AG6" s="79"/>
      <c r="AH6" s="79"/>
      <c r="AI6" s="79"/>
      <c r="AJ6" s="79"/>
      <c r="AK6" s="79"/>
      <c r="AL6" s="79"/>
      <c r="AM6" s="79"/>
      <c r="AN6" s="79"/>
      <c r="AO6" s="79" t="s">
        <v>169</v>
      </c>
      <c r="AP6" s="79" t="s">
        <v>170</v>
      </c>
      <c r="AQ6" s="80" t="s">
        <v>188</v>
      </c>
      <c r="AR6" s="80" t="s">
        <v>171</v>
      </c>
      <c r="AS6" s="80" t="s">
        <v>171</v>
      </c>
      <c r="AT6" s="80" t="str">
        <f t="shared" si="1"/>
        <v>Distrital</v>
      </c>
      <c r="AU6" s="79" t="s">
        <v>172</v>
      </c>
      <c r="AV6" s="79"/>
      <c r="AW6" s="79"/>
      <c r="AX6" s="79"/>
      <c r="AY6" s="79"/>
      <c r="AZ6" s="79"/>
      <c r="BA6" s="80" t="str">
        <f t="shared" si="2"/>
        <v>Distrital</v>
      </c>
      <c r="BB6" s="79" t="s">
        <v>172</v>
      </c>
      <c r="BC6" s="79"/>
      <c r="BD6" s="79"/>
      <c r="BE6" s="79"/>
      <c r="BF6" s="79"/>
      <c r="BG6" s="79"/>
      <c r="BH6" s="80" t="str">
        <f t="shared" si="3"/>
        <v>Distrital</v>
      </c>
      <c r="BI6" s="79" t="s">
        <v>172</v>
      </c>
      <c r="BJ6" s="79"/>
      <c r="BK6" s="79"/>
      <c r="BL6" s="79"/>
      <c r="BM6" s="79"/>
      <c r="BN6" s="79"/>
      <c r="BO6" s="79"/>
      <c r="BP6" s="79"/>
      <c r="BQ6" s="79"/>
      <c r="BR6" s="79"/>
      <c r="BS6" s="80" t="s">
        <v>173</v>
      </c>
      <c r="BT6" s="80" t="s">
        <v>174</v>
      </c>
      <c r="BU6" s="80" t="s">
        <v>171</v>
      </c>
      <c r="BV6" s="71"/>
      <c r="BW6" s="79" t="s">
        <v>153</v>
      </c>
      <c r="BX6" s="79" t="s">
        <v>176</v>
      </c>
      <c r="BY6" s="71"/>
      <c r="BZ6" s="79">
        <v>5</v>
      </c>
      <c r="CA6" s="79">
        <v>3</v>
      </c>
      <c r="CB6" s="79">
        <f t="shared" si="4"/>
        <v>8</v>
      </c>
      <c r="CC6" s="79" t="str">
        <f t="shared" si="5"/>
        <v>No Aplica</v>
      </c>
      <c r="CD6" s="79" t="s">
        <v>177</v>
      </c>
      <c r="CE6" s="79"/>
      <c r="CF6" s="79"/>
      <c r="CG6" s="83" t="s">
        <v>189</v>
      </c>
      <c r="CH6" s="41"/>
      <c r="CI6" s="79" t="s">
        <v>153</v>
      </c>
      <c r="CJ6" s="71"/>
      <c r="CK6" s="79">
        <f t="shared" si="6"/>
        <v>0</v>
      </c>
      <c r="CL6" s="79"/>
      <c r="CM6" s="79"/>
      <c r="CN6" s="79"/>
      <c r="CO6" s="79"/>
      <c r="CP6" s="79"/>
      <c r="CQ6" s="79"/>
      <c r="CR6" s="83" t="s">
        <v>179</v>
      </c>
      <c r="CS6" s="83" t="s">
        <v>179</v>
      </c>
      <c r="CT6" s="83" t="s">
        <v>179</v>
      </c>
      <c r="CU6" s="83" t="s">
        <v>179</v>
      </c>
      <c r="CV6" s="83" t="s">
        <v>179</v>
      </c>
      <c r="CW6" s="83" t="s">
        <v>179</v>
      </c>
      <c r="CX6" s="79" t="s">
        <v>153</v>
      </c>
      <c r="CY6" s="79">
        <f t="shared" si="7"/>
        <v>0</v>
      </c>
      <c r="CZ6" s="79">
        <v>0</v>
      </c>
      <c r="DA6" s="79">
        <f t="shared" si="8"/>
        <v>0</v>
      </c>
      <c r="DB6" s="84" t="str">
        <f t="shared" si="9"/>
        <v/>
      </c>
      <c r="DC6" s="41"/>
      <c r="DD6" s="79" t="s">
        <v>153</v>
      </c>
      <c r="DE6" s="71"/>
      <c r="DF6" s="85" t="s">
        <v>190</v>
      </c>
      <c r="DG6" s="79">
        <v>2</v>
      </c>
      <c r="DH6" s="86" t="str">
        <f t="shared" si="10"/>
        <v>Completo</v>
      </c>
      <c r="DI6" s="79" t="s">
        <v>181</v>
      </c>
      <c r="DJ6" s="79" t="s">
        <v>182</v>
      </c>
      <c r="DK6" s="79"/>
      <c r="DL6" s="79">
        <v>0</v>
      </c>
      <c r="DM6" s="79">
        <v>0</v>
      </c>
      <c r="DN6" s="79" t="s">
        <v>182</v>
      </c>
      <c r="DO6" s="79"/>
      <c r="DP6" s="79"/>
      <c r="DQ6" s="79"/>
      <c r="DR6" s="75" t="str">
        <f t="shared" si="11"/>
        <v>No aplica</v>
      </c>
      <c r="DS6" s="79"/>
      <c r="DT6" s="79"/>
      <c r="DU6" s="75" t="str">
        <f t="shared" si="12"/>
        <v>No aplica</v>
      </c>
      <c r="DV6" s="79" t="s">
        <v>191</v>
      </c>
      <c r="DW6" s="79" t="s">
        <v>191</v>
      </c>
      <c r="DX6" s="79"/>
      <c r="DY6" s="79"/>
      <c r="DZ6" s="79"/>
      <c r="EA6" s="79"/>
      <c r="EB6" s="79" t="s">
        <v>191</v>
      </c>
      <c r="EC6" s="79"/>
      <c r="ED6" s="79" t="s">
        <v>192</v>
      </c>
      <c r="EE6" s="79" t="str">
        <f t="shared" si="13"/>
        <v>Completo</v>
      </c>
      <c r="EF6" s="41"/>
      <c r="EG6" s="79" t="s">
        <v>153</v>
      </c>
      <c r="EH6" s="71"/>
      <c r="EI6" s="80"/>
      <c r="EJ6" s="71"/>
      <c r="EK6" s="79" t="s">
        <v>179</v>
      </c>
      <c r="EL6" s="76" t="str">
        <f t="shared" si="14"/>
        <v>No requiere</v>
      </c>
      <c r="EM6" s="76" t="str">
        <f t="shared" si="15"/>
        <v>No requiere</v>
      </c>
      <c r="EN6" s="76" t="str">
        <f t="shared" ref="EN6:EN37" si="23">IF(F6="NO","No requiere",IF(H6="No","No requiere",IF(CC6="","",IF(CD6&lt;&gt;"No aplica",IF(CD6&lt;&gt;"Ninguna",IF(COUNTIF(CD6:CF6,"*")&gt;=1,"Sí","No"),"No"),"No aplica"))))</f>
        <v>No requiere</v>
      </c>
      <c r="EO6" s="71"/>
      <c r="EP6" s="73" t="str">
        <f t="shared" si="17"/>
        <v>No requiere</v>
      </c>
      <c r="EQ6" s="77" t="str">
        <f t="shared" si="18"/>
        <v>No requiere</v>
      </c>
      <c r="ER6" s="71"/>
      <c r="ES6" s="67" t="s">
        <v>179</v>
      </c>
      <c r="ET6" s="73" t="str">
        <f t="shared" si="19"/>
        <v>No requiere</v>
      </c>
      <c r="EU6" s="73" t="str">
        <f t="shared" ref="EU6:EU37" si="24">IF(F6="NO","No requiere",IF(H6="No","No requiere",IF(B6="","",IF(CX6="SÍ",IF(CK6&gt;=1,CY6/CK6,"Sin compromisos"),"Por verificar"))))</f>
        <v>No requiere</v>
      </c>
      <c r="EV6" s="73" t="str">
        <f t="shared" si="21"/>
        <v>No requiere</v>
      </c>
      <c r="EW6" s="73" t="str">
        <f t="shared" si="22"/>
        <v>No requiere</v>
      </c>
      <c r="EX6" s="78"/>
      <c r="EY6" s="78"/>
    </row>
    <row r="7" spans="1:155" ht="46.5" customHeight="1">
      <c r="A7" s="79" t="str">
        <v/>
      </c>
      <c r="B7" s="80" t="s">
        <v>193</v>
      </c>
      <c r="C7" s="81">
        <v>45315</v>
      </c>
      <c r="D7" s="82">
        <v>0.375</v>
      </c>
      <c r="E7" s="79" t="s">
        <v>151</v>
      </c>
      <c r="F7" s="79" t="s">
        <v>152</v>
      </c>
      <c r="G7" s="79" t="s">
        <v>153</v>
      </c>
      <c r="H7" s="79" t="s">
        <v>152</v>
      </c>
      <c r="I7" s="79" t="s">
        <v>152</v>
      </c>
      <c r="J7" s="79" t="s">
        <v>154</v>
      </c>
      <c r="K7" s="79" t="s">
        <v>155</v>
      </c>
      <c r="L7" s="80" t="s">
        <v>194</v>
      </c>
      <c r="M7" s="80" t="s">
        <v>157</v>
      </c>
      <c r="N7" s="79" t="s">
        <v>195</v>
      </c>
      <c r="O7" s="80" t="str">
        <f t="shared" si="0"/>
        <v>PENDIENTE, PENDIENTE</v>
      </c>
      <c r="P7" s="79" t="s">
        <v>196</v>
      </c>
      <c r="Q7" s="79" t="s">
        <v>196</v>
      </c>
      <c r="R7" s="79"/>
      <c r="S7" s="79"/>
      <c r="T7" s="79"/>
      <c r="U7" s="79"/>
      <c r="V7" s="79"/>
      <c r="W7" s="79"/>
      <c r="X7" s="79"/>
      <c r="Y7" s="79"/>
      <c r="Z7" s="79"/>
      <c r="AA7" s="79"/>
      <c r="AB7" s="79"/>
      <c r="AC7" s="79"/>
      <c r="AD7" s="79"/>
      <c r="AE7" s="79"/>
      <c r="AF7" s="79"/>
      <c r="AG7" s="79"/>
      <c r="AH7" s="79"/>
      <c r="AI7" s="79"/>
      <c r="AJ7" s="79"/>
      <c r="AK7" s="79"/>
      <c r="AL7" s="79"/>
      <c r="AM7" s="79"/>
      <c r="AN7" s="79"/>
      <c r="AO7" s="79" t="s">
        <v>169</v>
      </c>
      <c r="AP7" s="79" t="s">
        <v>170</v>
      </c>
      <c r="AQ7" s="80" t="s">
        <v>171</v>
      </c>
      <c r="AR7" s="80" t="s">
        <v>171</v>
      </c>
      <c r="AS7" s="80" t="s">
        <v>171</v>
      </c>
      <c r="AT7" s="80" t="str">
        <f t="shared" si="1"/>
        <v>Distrital</v>
      </c>
      <c r="AU7" s="79" t="s">
        <v>172</v>
      </c>
      <c r="AV7" s="79"/>
      <c r="AW7" s="79"/>
      <c r="AX7" s="79"/>
      <c r="AY7" s="79"/>
      <c r="AZ7" s="79"/>
      <c r="BA7" s="80" t="str">
        <f t="shared" si="2"/>
        <v>Distrital</v>
      </c>
      <c r="BB7" s="79" t="s">
        <v>172</v>
      </c>
      <c r="BC7" s="79"/>
      <c r="BD7" s="79"/>
      <c r="BE7" s="79"/>
      <c r="BF7" s="79"/>
      <c r="BG7" s="79"/>
      <c r="BH7" s="80" t="str">
        <f t="shared" si="3"/>
        <v>Distrital</v>
      </c>
      <c r="BI7" s="79" t="s">
        <v>172</v>
      </c>
      <c r="BJ7" s="79"/>
      <c r="BK7" s="79"/>
      <c r="BL7" s="79"/>
      <c r="BM7" s="79"/>
      <c r="BN7" s="79"/>
      <c r="BO7" s="79"/>
      <c r="BP7" s="79"/>
      <c r="BQ7" s="79"/>
      <c r="BR7" s="79"/>
      <c r="BS7" s="80" t="s">
        <v>173</v>
      </c>
      <c r="BT7" s="80" t="s">
        <v>174</v>
      </c>
      <c r="BU7" s="80" t="s">
        <v>197</v>
      </c>
      <c r="BV7" s="71"/>
      <c r="BW7" s="79" t="s">
        <v>153</v>
      </c>
      <c r="BX7" s="79" t="s">
        <v>176</v>
      </c>
      <c r="BY7" s="71"/>
      <c r="BZ7" s="79">
        <v>16</v>
      </c>
      <c r="CA7" s="79">
        <v>9</v>
      </c>
      <c r="CB7" s="79">
        <f t="shared" si="4"/>
        <v>25</v>
      </c>
      <c r="CC7" s="79" t="str">
        <f t="shared" si="5"/>
        <v>No Aplica</v>
      </c>
      <c r="CD7" s="79" t="s">
        <v>177</v>
      </c>
      <c r="CE7" s="79"/>
      <c r="CF7" s="79"/>
      <c r="CG7" s="83" t="s">
        <v>178</v>
      </c>
      <c r="CH7" s="41"/>
      <c r="CI7" s="79" t="s">
        <v>153</v>
      </c>
      <c r="CJ7" s="71"/>
      <c r="CK7" s="79">
        <f t="shared" si="6"/>
        <v>0</v>
      </c>
      <c r="CL7" s="79"/>
      <c r="CM7" s="79"/>
      <c r="CN7" s="79"/>
      <c r="CO7" s="79"/>
      <c r="CP7" s="79"/>
      <c r="CQ7" s="79"/>
      <c r="CR7" s="83" t="s">
        <v>179</v>
      </c>
      <c r="CS7" s="83" t="s">
        <v>179</v>
      </c>
      <c r="CT7" s="83" t="s">
        <v>179</v>
      </c>
      <c r="CU7" s="83" t="s">
        <v>179</v>
      </c>
      <c r="CV7" s="83" t="s">
        <v>179</v>
      </c>
      <c r="CW7" s="83" t="s">
        <v>179</v>
      </c>
      <c r="CX7" s="79" t="s">
        <v>153</v>
      </c>
      <c r="CY7" s="79">
        <f t="shared" si="7"/>
        <v>0</v>
      </c>
      <c r="CZ7" s="79">
        <v>0</v>
      </c>
      <c r="DA7" s="79">
        <f t="shared" si="8"/>
        <v>0</v>
      </c>
      <c r="DB7" s="84" t="str">
        <f t="shared" si="9"/>
        <v/>
      </c>
      <c r="DC7" s="41"/>
      <c r="DD7" s="79" t="s">
        <v>153</v>
      </c>
      <c r="DE7" s="71"/>
      <c r="DF7" s="85" t="s">
        <v>198</v>
      </c>
      <c r="DG7" s="79">
        <v>3</v>
      </c>
      <c r="DH7" s="86" t="str">
        <f t="shared" si="10"/>
        <v>Completo</v>
      </c>
      <c r="DI7" s="79" t="s">
        <v>181</v>
      </c>
      <c r="DJ7" s="79" t="s">
        <v>182</v>
      </c>
      <c r="DK7" s="79"/>
      <c r="DL7" s="79">
        <v>0</v>
      </c>
      <c r="DM7" s="79">
        <v>0</v>
      </c>
      <c r="DN7" s="79" t="s">
        <v>182</v>
      </c>
      <c r="DO7" s="79"/>
      <c r="DP7" s="79"/>
      <c r="DQ7" s="79"/>
      <c r="DR7" s="75" t="str">
        <f t="shared" si="11"/>
        <v>No aplica</v>
      </c>
      <c r="DS7" s="79"/>
      <c r="DT7" s="79"/>
      <c r="DU7" s="75" t="str">
        <f t="shared" si="12"/>
        <v>No aplica</v>
      </c>
      <c r="DV7" s="79" t="s">
        <v>182</v>
      </c>
      <c r="DW7" s="79" t="s">
        <v>182</v>
      </c>
      <c r="DX7" s="79"/>
      <c r="DY7" s="79"/>
      <c r="DZ7" s="79"/>
      <c r="EA7" s="79"/>
      <c r="EB7" s="79" t="s">
        <v>191</v>
      </c>
      <c r="EC7" s="79"/>
      <c r="ED7" s="79" t="s">
        <v>184</v>
      </c>
      <c r="EE7" s="79" t="str">
        <f t="shared" si="13"/>
        <v>Completo</v>
      </c>
      <c r="EF7" s="41"/>
      <c r="EG7" s="79" t="s">
        <v>153</v>
      </c>
      <c r="EH7" s="71"/>
      <c r="EI7" s="80"/>
      <c r="EJ7" s="71"/>
      <c r="EK7" s="79" t="s">
        <v>179</v>
      </c>
      <c r="EL7" s="76" t="str">
        <f t="shared" si="14"/>
        <v>No requiere</v>
      </c>
      <c r="EM7" s="76" t="str">
        <f t="shared" si="15"/>
        <v>No requiere</v>
      </c>
      <c r="EN7" s="76" t="str">
        <f t="shared" si="23"/>
        <v>No requiere</v>
      </c>
      <c r="EO7" s="71"/>
      <c r="EP7" s="73" t="str">
        <f t="shared" si="17"/>
        <v>No requiere</v>
      </c>
      <c r="EQ7" s="77" t="str">
        <f t="shared" si="18"/>
        <v>No requiere</v>
      </c>
      <c r="ER7" s="71"/>
      <c r="ES7" s="79" t="s">
        <v>179</v>
      </c>
      <c r="ET7" s="73" t="str">
        <f t="shared" si="19"/>
        <v>No requiere</v>
      </c>
      <c r="EU7" s="73" t="str">
        <f t="shared" si="24"/>
        <v>No requiere</v>
      </c>
      <c r="EV7" s="73" t="str">
        <f t="shared" si="21"/>
        <v>No requiere</v>
      </c>
      <c r="EW7" s="73" t="str">
        <f t="shared" si="22"/>
        <v>No requiere</v>
      </c>
      <c r="EX7" s="78"/>
      <c r="EY7" s="78"/>
    </row>
    <row r="8" spans="1:155" ht="46.5" customHeight="1">
      <c r="A8" s="79">
        <v>4</v>
      </c>
      <c r="B8" s="80" t="s">
        <v>199</v>
      </c>
      <c r="C8" s="81">
        <v>45316</v>
      </c>
      <c r="D8" s="82">
        <v>0.64583333333333337</v>
      </c>
      <c r="E8" s="79" t="s">
        <v>200</v>
      </c>
      <c r="F8" s="79" t="s">
        <v>153</v>
      </c>
      <c r="G8" s="79" t="s">
        <v>152</v>
      </c>
      <c r="H8" s="79" t="s">
        <v>152</v>
      </c>
      <c r="I8" s="79" t="s">
        <v>152</v>
      </c>
      <c r="J8" s="79" t="s">
        <v>201</v>
      </c>
      <c r="K8" s="79" t="s">
        <v>202</v>
      </c>
      <c r="L8" s="80" t="s">
        <v>203</v>
      </c>
      <c r="M8" s="80" t="s">
        <v>157</v>
      </c>
      <c r="N8" s="79" t="s">
        <v>168</v>
      </c>
      <c r="O8" s="80" t="str">
        <f t="shared" si="0"/>
        <v/>
      </c>
      <c r="P8" s="79"/>
      <c r="Q8" s="79"/>
      <c r="R8" s="79"/>
      <c r="S8" s="79"/>
      <c r="T8" s="79"/>
      <c r="U8" s="79"/>
      <c r="V8" s="79"/>
      <c r="W8" s="79"/>
      <c r="X8" s="79"/>
      <c r="Y8" s="79"/>
      <c r="Z8" s="79"/>
      <c r="AA8" s="79"/>
      <c r="AB8" s="79"/>
      <c r="AC8" s="79"/>
      <c r="AD8" s="79"/>
      <c r="AE8" s="79"/>
      <c r="AF8" s="79"/>
      <c r="AG8" s="79"/>
      <c r="AH8" s="79"/>
      <c r="AI8" s="79"/>
      <c r="AJ8" s="79"/>
      <c r="AK8" s="79"/>
      <c r="AL8" s="79"/>
      <c r="AM8" s="79"/>
      <c r="AN8" s="79"/>
      <c r="AO8" s="79" t="s">
        <v>169</v>
      </c>
      <c r="AP8" s="79" t="s">
        <v>204</v>
      </c>
      <c r="AQ8" s="80" t="s">
        <v>205</v>
      </c>
      <c r="AR8" s="83" t="s">
        <v>206</v>
      </c>
      <c r="AS8" s="80" t="s">
        <v>206</v>
      </c>
      <c r="AT8" s="80" t="str">
        <f t="shared" si="1"/>
        <v>Distrital</v>
      </c>
      <c r="AU8" s="79" t="s">
        <v>172</v>
      </c>
      <c r="AV8" s="79"/>
      <c r="AW8" s="79"/>
      <c r="AX8" s="79"/>
      <c r="AY8" s="79"/>
      <c r="AZ8" s="79"/>
      <c r="BA8" s="80" t="str">
        <f t="shared" si="2"/>
        <v>Distrital</v>
      </c>
      <c r="BB8" s="79" t="s">
        <v>172</v>
      </c>
      <c r="BC8" s="79"/>
      <c r="BD8" s="79"/>
      <c r="BE8" s="79"/>
      <c r="BF8" s="79"/>
      <c r="BG8" s="79"/>
      <c r="BH8" s="80" t="str">
        <f t="shared" si="3"/>
        <v>Distrital</v>
      </c>
      <c r="BI8" s="79" t="s">
        <v>172</v>
      </c>
      <c r="BJ8" s="79"/>
      <c r="BK8" s="79"/>
      <c r="BL8" s="79"/>
      <c r="BM8" s="79"/>
      <c r="BN8" s="79"/>
      <c r="BO8" s="79"/>
      <c r="BP8" s="79"/>
      <c r="BQ8" s="79"/>
      <c r="BR8" s="79"/>
      <c r="BS8" s="80" t="s">
        <v>173</v>
      </c>
      <c r="BT8" s="80" t="s">
        <v>174</v>
      </c>
      <c r="BU8" s="80" t="s">
        <v>171</v>
      </c>
      <c r="BV8" s="71"/>
      <c r="BW8" s="79" t="s">
        <v>153</v>
      </c>
      <c r="BX8" s="79" t="s">
        <v>176</v>
      </c>
      <c r="BY8" s="71"/>
      <c r="BZ8" s="79">
        <v>5</v>
      </c>
      <c r="CA8" s="79">
        <v>3</v>
      </c>
      <c r="CB8" s="79">
        <f t="shared" si="4"/>
        <v>8</v>
      </c>
      <c r="CC8" s="79" t="str">
        <f t="shared" si="5"/>
        <v>No Aplica</v>
      </c>
      <c r="CD8" s="79" t="s">
        <v>177</v>
      </c>
      <c r="CE8" s="79"/>
      <c r="CF8" s="79"/>
      <c r="CG8" s="83" t="s">
        <v>207</v>
      </c>
      <c r="CH8" s="41"/>
      <c r="CI8" s="79" t="s">
        <v>153</v>
      </c>
      <c r="CJ8" s="71"/>
      <c r="CK8" s="79">
        <f t="shared" si="6"/>
        <v>0</v>
      </c>
      <c r="CL8" s="79"/>
      <c r="CM8" s="79"/>
      <c r="CN8" s="79"/>
      <c r="CO8" s="79"/>
      <c r="CP8" s="79"/>
      <c r="CQ8" s="79"/>
      <c r="CR8" s="83" t="s">
        <v>179</v>
      </c>
      <c r="CS8" s="83" t="s">
        <v>179</v>
      </c>
      <c r="CT8" s="83" t="s">
        <v>179</v>
      </c>
      <c r="CU8" s="83" t="s">
        <v>179</v>
      </c>
      <c r="CV8" s="83" t="s">
        <v>179</v>
      </c>
      <c r="CW8" s="83" t="s">
        <v>179</v>
      </c>
      <c r="CX8" s="79" t="s">
        <v>153</v>
      </c>
      <c r="CY8" s="79">
        <f t="shared" si="7"/>
        <v>0</v>
      </c>
      <c r="CZ8" s="79">
        <v>0</v>
      </c>
      <c r="DA8" s="79">
        <f t="shared" si="8"/>
        <v>0</v>
      </c>
      <c r="DB8" s="84" t="str">
        <f t="shared" si="9"/>
        <v/>
      </c>
      <c r="DC8" s="41"/>
      <c r="DD8" s="79" t="s">
        <v>153</v>
      </c>
      <c r="DE8" s="71"/>
      <c r="DF8" s="85" t="s">
        <v>208</v>
      </c>
      <c r="DG8" s="79">
        <v>4</v>
      </c>
      <c r="DH8" s="86" t="str">
        <f t="shared" si="10"/>
        <v>Completo</v>
      </c>
      <c r="DI8" s="79" t="s">
        <v>181</v>
      </c>
      <c r="DJ8" s="79" t="s">
        <v>182</v>
      </c>
      <c r="DK8" s="79"/>
      <c r="DL8" s="79">
        <v>0</v>
      </c>
      <c r="DM8" s="79">
        <v>0</v>
      </c>
      <c r="DN8" s="79" t="s">
        <v>191</v>
      </c>
      <c r="DO8" s="79"/>
      <c r="DP8" s="79"/>
      <c r="DQ8" s="79"/>
      <c r="DR8" s="75" t="str">
        <f t="shared" si="11"/>
        <v>No aplica</v>
      </c>
      <c r="DS8" s="79"/>
      <c r="DT8" s="79"/>
      <c r="DU8" s="75" t="str">
        <f t="shared" si="12"/>
        <v>No aplica</v>
      </c>
      <c r="DV8" s="79" t="s">
        <v>191</v>
      </c>
      <c r="DW8" s="79" t="s">
        <v>191</v>
      </c>
      <c r="DX8" s="79"/>
      <c r="DY8" s="79"/>
      <c r="DZ8" s="79"/>
      <c r="EA8" s="79"/>
      <c r="EB8" s="79" t="s">
        <v>191</v>
      </c>
      <c r="EC8" s="79"/>
      <c r="ED8" s="79" t="s">
        <v>209</v>
      </c>
      <c r="EE8" s="79" t="str">
        <f t="shared" si="13"/>
        <v>Completo</v>
      </c>
      <c r="EF8" s="41"/>
      <c r="EG8" s="79" t="s">
        <v>153</v>
      </c>
      <c r="EH8" s="71"/>
      <c r="EI8" s="80"/>
      <c r="EJ8" s="71"/>
      <c r="EK8" s="79" t="s">
        <v>179</v>
      </c>
      <c r="EL8" s="76" t="str">
        <f t="shared" si="14"/>
        <v>No requiere</v>
      </c>
      <c r="EM8" s="76" t="str">
        <f t="shared" si="15"/>
        <v>No requiere</v>
      </c>
      <c r="EN8" s="76" t="str">
        <f t="shared" si="23"/>
        <v>No requiere</v>
      </c>
      <c r="EO8" s="71"/>
      <c r="EP8" s="73" t="str">
        <f t="shared" si="17"/>
        <v>No requiere</v>
      </c>
      <c r="EQ8" s="77" t="str">
        <f t="shared" si="18"/>
        <v>No requiere</v>
      </c>
      <c r="ER8" s="71"/>
      <c r="ES8" s="79" t="s">
        <v>179</v>
      </c>
      <c r="ET8" s="73" t="str">
        <f t="shared" si="19"/>
        <v>No requiere</v>
      </c>
      <c r="EU8" s="73" t="str">
        <f t="shared" si="24"/>
        <v>No requiere</v>
      </c>
      <c r="EV8" s="73" t="str">
        <f t="shared" si="21"/>
        <v>No requiere</v>
      </c>
      <c r="EW8" s="73" t="str">
        <f t="shared" si="22"/>
        <v>No requiere</v>
      </c>
      <c r="EX8" s="78"/>
      <c r="EY8" s="78"/>
    </row>
    <row r="9" spans="1:155" ht="46.5" customHeight="1">
      <c r="A9" s="79">
        <v>5</v>
      </c>
      <c r="B9" s="80" t="s">
        <v>210</v>
      </c>
      <c r="C9" s="81">
        <v>45317</v>
      </c>
      <c r="D9" s="82">
        <v>0.375</v>
      </c>
      <c r="E9" s="79" t="s">
        <v>200</v>
      </c>
      <c r="F9" s="79" t="s">
        <v>153</v>
      </c>
      <c r="G9" s="79" t="s">
        <v>152</v>
      </c>
      <c r="H9" s="79" t="s">
        <v>152</v>
      </c>
      <c r="I9" s="79" t="s">
        <v>152</v>
      </c>
      <c r="J9" s="79" t="s">
        <v>211</v>
      </c>
      <c r="K9" s="79" t="s">
        <v>155</v>
      </c>
      <c r="L9" s="80" t="s">
        <v>212</v>
      </c>
      <c r="M9" s="80" t="s">
        <v>157</v>
      </c>
      <c r="N9" s="79" t="s">
        <v>213</v>
      </c>
      <c r="O9" s="80" t="str">
        <f t="shared" si="0"/>
        <v>Yeiker Guerra Sarmiento</v>
      </c>
      <c r="P9" s="79" t="s">
        <v>163</v>
      </c>
      <c r="Q9" s="79"/>
      <c r="R9" s="79"/>
      <c r="S9" s="79"/>
      <c r="T9" s="79"/>
      <c r="U9" s="79"/>
      <c r="V9" s="79"/>
      <c r="W9" s="79"/>
      <c r="X9" s="79"/>
      <c r="Y9" s="79"/>
      <c r="Z9" s="79"/>
      <c r="AA9" s="79"/>
      <c r="AB9" s="79"/>
      <c r="AC9" s="79"/>
      <c r="AD9" s="79"/>
      <c r="AE9" s="79"/>
      <c r="AF9" s="79"/>
      <c r="AG9" s="79"/>
      <c r="AH9" s="79"/>
      <c r="AI9" s="79"/>
      <c r="AJ9" s="79"/>
      <c r="AK9" s="79"/>
      <c r="AL9" s="79"/>
      <c r="AM9" s="79"/>
      <c r="AN9" s="79"/>
      <c r="AO9" s="79" t="s">
        <v>169</v>
      </c>
      <c r="AP9" s="79" t="s">
        <v>214</v>
      </c>
      <c r="AQ9" s="80" t="s">
        <v>215</v>
      </c>
      <c r="AR9" s="83">
        <v>6077799280</v>
      </c>
      <c r="AS9" s="80" t="s">
        <v>216</v>
      </c>
      <c r="AT9" s="80" t="str">
        <f t="shared" si="1"/>
        <v>Ciudad Bolívar</v>
      </c>
      <c r="AU9" s="79" t="s">
        <v>217</v>
      </c>
      <c r="AV9" s="79"/>
      <c r="AW9" s="79"/>
      <c r="AX9" s="79"/>
      <c r="AY9" s="79"/>
      <c r="AZ9" s="79"/>
      <c r="BA9" s="80" t="str">
        <f t="shared" si="2"/>
        <v>Suroriente, Ruralidad</v>
      </c>
      <c r="BB9" s="79" t="s">
        <v>218</v>
      </c>
      <c r="BC9" s="79" t="s">
        <v>219</v>
      </c>
      <c r="BD9" s="79"/>
      <c r="BE9" s="79"/>
      <c r="BF9" s="79"/>
      <c r="BG9" s="79"/>
      <c r="BH9" s="80" t="str">
        <f t="shared" si="3"/>
        <v>Arborizadora, Lucero, Cuenca del Tunjuelo</v>
      </c>
      <c r="BI9" s="79" t="s">
        <v>220</v>
      </c>
      <c r="BJ9" s="79" t="s">
        <v>221</v>
      </c>
      <c r="BK9" s="79" t="s">
        <v>222</v>
      </c>
      <c r="BL9" s="79"/>
      <c r="BM9" s="79"/>
      <c r="BN9" s="79"/>
      <c r="BO9" s="79"/>
      <c r="BP9" s="79"/>
      <c r="BQ9" s="79"/>
      <c r="BR9" s="79"/>
      <c r="BS9" s="80" t="s">
        <v>173</v>
      </c>
      <c r="BT9" s="80" t="s">
        <v>174</v>
      </c>
      <c r="BU9" s="80" t="s">
        <v>223</v>
      </c>
      <c r="BV9" s="71"/>
      <c r="BW9" s="79" t="s">
        <v>152</v>
      </c>
      <c r="BX9" s="79" t="s">
        <v>179</v>
      </c>
      <c r="BY9" s="71"/>
      <c r="BZ9" s="79">
        <v>11</v>
      </c>
      <c r="CA9" s="79">
        <v>2</v>
      </c>
      <c r="CB9" s="79">
        <f t="shared" si="4"/>
        <v>13</v>
      </c>
      <c r="CC9" s="79" t="str">
        <f t="shared" si="5"/>
        <v>No Aplica</v>
      </c>
      <c r="CD9" s="79" t="s">
        <v>177</v>
      </c>
      <c r="CE9" s="79"/>
      <c r="CF9" s="79"/>
      <c r="CG9" s="83" t="s">
        <v>224</v>
      </c>
      <c r="CH9" s="41"/>
      <c r="CI9" s="79" t="s">
        <v>153</v>
      </c>
      <c r="CJ9" s="71"/>
      <c r="CK9" s="79">
        <f t="shared" si="6"/>
        <v>0</v>
      </c>
      <c r="CL9" s="79"/>
      <c r="CM9" s="79"/>
      <c r="CN9" s="79"/>
      <c r="CO9" s="79"/>
      <c r="CP9" s="79"/>
      <c r="CQ9" s="79"/>
      <c r="CR9" s="83" t="s">
        <v>179</v>
      </c>
      <c r="CS9" s="83" t="s">
        <v>179</v>
      </c>
      <c r="CT9" s="83" t="s">
        <v>179</v>
      </c>
      <c r="CU9" s="83" t="s">
        <v>179</v>
      </c>
      <c r="CV9" s="83" t="s">
        <v>179</v>
      </c>
      <c r="CW9" s="83" t="s">
        <v>179</v>
      </c>
      <c r="CX9" s="79" t="s">
        <v>153</v>
      </c>
      <c r="CY9" s="79">
        <f t="shared" si="7"/>
        <v>0</v>
      </c>
      <c r="CZ9" s="79">
        <v>0</v>
      </c>
      <c r="DA9" s="79">
        <f t="shared" si="8"/>
        <v>0</v>
      </c>
      <c r="DB9" s="84" t="str">
        <f t="shared" si="9"/>
        <v/>
      </c>
      <c r="DC9" s="41"/>
      <c r="DD9" s="79" t="s">
        <v>153</v>
      </c>
      <c r="DE9" s="71"/>
      <c r="DF9" s="85" t="s">
        <v>225</v>
      </c>
      <c r="DG9" s="79">
        <v>5</v>
      </c>
      <c r="DH9" s="86" t="str">
        <f t="shared" si="10"/>
        <v>Completo</v>
      </c>
      <c r="DI9" s="79" t="s">
        <v>181</v>
      </c>
      <c r="DJ9" s="79" t="s">
        <v>182</v>
      </c>
      <c r="DK9" s="79"/>
      <c r="DL9" s="79">
        <v>0</v>
      </c>
      <c r="DM9" s="79">
        <v>0</v>
      </c>
      <c r="DN9" s="79" t="s">
        <v>191</v>
      </c>
      <c r="DO9" s="79"/>
      <c r="DP9" s="79"/>
      <c r="DQ9" s="79"/>
      <c r="DR9" s="75" t="str">
        <f t="shared" si="11"/>
        <v>No aplica</v>
      </c>
      <c r="DS9" s="79"/>
      <c r="DT9" s="79"/>
      <c r="DU9" s="75" t="str">
        <f t="shared" si="12"/>
        <v>No aplica</v>
      </c>
      <c r="DV9" s="79" t="s">
        <v>182</v>
      </c>
      <c r="DW9" s="79" t="s">
        <v>182</v>
      </c>
      <c r="DX9" s="79"/>
      <c r="DY9" s="79"/>
      <c r="DZ9" s="79"/>
      <c r="EA9" s="79"/>
      <c r="EB9" s="79" t="s">
        <v>191</v>
      </c>
      <c r="EC9" s="79"/>
      <c r="ED9" s="79" t="s">
        <v>184</v>
      </c>
      <c r="EE9" s="79" t="str">
        <f t="shared" si="13"/>
        <v>Completo</v>
      </c>
      <c r="EF9" s="41"/>
      <c r="EG9" s="79" t="s">
        <v>153</v>
      </c>
      <c r="EH9" s="71"/>
      <c r="EI9" s="80"/>
      <c r="EJ9" s="71"/>
      <c r="EK9" s="79" t="s">
        <v>179</v>
      </c>
      <c r="EL9" s="76" t="str">
        <f t="shared" si="14"/>
        <v>No requiere</v>
      </c>
      <c r="EM9" s="76" t="str">
        <f t="shared" si="15"/>
        <v>No requiere</v>
      </c>
      <c r="EN9" s="76" t="str">
        <f t="shared" si="23"/>
        <v>No requiere</v>
      </c>
      <c r="EO9" s="71"/>
      <c r="EP9" s="73" t="str">
        <f t="shared" si="17"/>
        <v>No requiere</v>
      </c>
      <c r="EQ9" s="77" t="str">
        <f t="shared" si="18"/>
        <v>No requiere</v>
      </c>
      <c r="ER9" s="71"/>
      <c r="ES9" s="79" t="s">
        <v>179</v>
      </c>
      <c r="ET9" s="73" t="str">
        <f t="shared" si="19"/>
        <v>No requiere</v>
      </c>
      <c r="EU9" s="73" t="str">
        <f t="shared" si="24"/>
        <v>No requiere</v>
      </c>
      <c r="EV9" s="73" t="str">
        <f t="shared" si="21"/>
        <v>No requiere</v>
      </c>
      <c r="EW9" s="73" t="str">
        <f t="shared" si="22"/>
        <v>No requiere</v>
      </c>
      <c r="EX9" s="78"/>
      <c r="EY9" s="78"/>
    </row>
    <row r="10" spans="1:155" ht="46.5" customHeight="1">
      <c r="A10" s="79">
        <v>6</v>
      </c>
      <c r="B10" s="80" t="s">
        <v>226</v>
      </c>
      <c r="C10" s="81">
        <v>45317</v>
      </c>
      <c r="D10" s="82">
        <v>0.375</v>
      </c>
      <c r="E10" s="79" t="s">
        <v>151</v>
      </c>
      <c r="F10" s="79" t="s">
        <v>153</v>
      </c>
      <c r="G10" s="79" t="s">
        <v>153</v>
      </c>
      <c r="H10" s="79" t="s">
        <v>152</v>
      </c>
      <c r="I10" s="79" t="s">
        <v>153</v>
      </c>
      <c r="J10" s="79" t="s">
        <v>227</v>
      </c>
      <c r="K10" s="79" t="s">
        <v>155</v>
      </c>
      <c r="L10" s="80" t="s">
        <v>228</v>
      </c>
      <c r="M10" s="80" t="s">
        <v>229</v>
      </c>
      <c r="N10" s="79" t="s">
        <v>166</v>
      </c>
      <c r="O10" s="80" t="str">
        <f t="shared" si="0"/>
        <v/>
      </c>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t="s">
        <v>230</v>
      </c>
      <c r="AP10" s="79" t="s">
        <v>231</v>
      </c>
      <c r="AQ10" s="80" t="s">
        <v>232</v>
      </c>
      <c r="AR10" s="83">
        <v>3228657280</v>
      </c>
      <c r="AS10" s="80" t="s">
        <v>233</v>
      </c>
      <c r="AT10" s="80" t="str">
        <f t="shared" si="1"/>
        <v>Engativá</v>
      </c>
      <c r="AU10" s="79" t="s">
        <v>234</v>
      </c>
      <c r="AV10" s="79"/>
      <c r="AW10" s="79"/>
      <c r="AX10" s="79"/>
      <c r="AY10" s="79"/>
      <c r="AZ10" s="79"/>
      <c r="BA10" s="80" t="str">
        <f t="shared" si="2"/>
        <v>Occidente</v>
      </c>
      <c r="BB10" s="79" t="s">
        <v>235</v>
      </c>
      <c r="BC10" s="79"/>
      <c r="BD10" s="79"/>
      <c r="BE10" s="79"/>
      <c r="BF10" s="79"/>
      <c r="BG10" s="79"/>
      <c r="BH10" s="80" t="str">
        <f t="shared" si="3"/>
        <v>Engativá</v>
      </c>
      <c r="BI10" s="79" t="s">
        <v>234</v>
      </c>
      <c r="BJ10" s="79"/>
      <c r="BK10" s="79"/>
      <c r="BL10" s="79"/>
      <c r="BM10" s="79"/>
      <c r="BN10" s="79"/>
      <c r="BO10" s="79"/>
      <c r="BP10" s="79"/>
      <c r="BQ10" s="79"/>
      <c r="BR10" s="79"/>
      <c r="BS10" s="80" t="s">
        <v>173</v>
      </c>
      <c r="BT10" s="80" t="s">
        <v>236</v>
      </c>
      <c r="BU10" s="80" t="s">
        <v>197</v>
      </c>
      <c r="BV10" s="71"/>
      <c r="BW10" s="79" t="s">
        <v>152</v>
      </c>
      <c r="BX10" s="79" t="s">
        <v>179</v>
      </c>
      <c r="BY10" s="71"/>
      <c r="BZ10" s="79">
        <v>7</v>
      </c>
      <c r="CA10" s="79">
        <v>5</v>
      </c>
      <c r="CB10" s="79">
        <f t="shared" si="4"/>
        <v>12</v>
      </c>
      <c r="CC10" s="79" t="str">
        <f t="shared" si="5"/>
        <v>No Aplica</v>
      </c>
      <c r="CD10" s="79" t="s">
        <v>177</v>
      </c>
      <c r="CE10" s="79"/>
      <c r="CF10" s="79"/>
      <c r="CG10" s="83" t="s">
        <v>237</v>
      </c>
      <c r="CH10" s="41"/>
      <c r="CI10" s="79" t="s">
        <v>153</v>
      </c>
      <c r="CJ10" s="71"/>
      <c r="CK10" s="79">
        <f t="shared" si="6"/>
        <v>0</v>
      </c>
      <c r="CL10" s="79"/>
      <c r="CM10" s="79"/>
      <c r="CN10" s="79"/>
      <c r="CO10" s="79"/>
      <c r="CP10" s="79"/>
      <c r="CQ10" s="79"/>
      <c r="CR10" s="83" t="s">
        <v>179</v>
      </c>
      <c r="CS10" s="83" t="s">
        <v>179</v>
      </c>
      <c r="CT10" s="83" t="s">
        <v>179</v>
      </c>
      <c r="CU10" s="83" t="s">
        <v>179</v>
      </c>
      <c r="CV10" s="83" t="s">
        <v>179</v>
      </c>
      <c r="CW10" s="83" t="s">
        <v>179</v>
      </c>
      <c r="CX10" s="79" t="s">
        <v>153</v>
      </c>
      <c r="CY10" s="79">
        <f t="shared" si="7"/>
        <v>0</v>
      </c>
      <c r="CZ10" s="79">
        <v>0</v>
      </c>
      <c r="DA10" s="79">
        <f t="shared" si="8"/>
        <v>0</v>
      </c>
      <c r="DB10" s="84" t="str">
        <f t="shared" si="9"/>
        <v/>
      </c>
      <c r="DC10" s="41"/>
      <c r="DD10" s="79" t="s">
        <v>153</v>
      </c>
      <c r="DE10" s="71"/>
      <c r="DF10" s="85" t="s">
        <v>238</v>
      </c>
      <c r="DG10" s="79">
        <v>6</v>
      </c>
      <c r="DH10" s="86" t="str">
        <f t="shared" si="10"/>
        <v>Completo</v>
      </c>
      <c r="DI10" s="79" t="s">
        <v>181</v>
      </c>
      <c r="DJ10" s="79" t="s">
        <v>182</v>
      </c>
      <c r="DK10" s="79"/>
      <c r="DL10" s="79">
        <v>0</v>
      </c>
      <c r="DM10" s="79">
        <v>0</v>
      </c>
      <c r="DN10" s="79" t="s">
        <v>182</v>
      </c>
      <c r="DO10" s="79"/>
      <c r="DP10" s="79"/>
      <c r="DQ10" s="79"/>
      <c r="DR10" s="75" t="str">
        <f t="shared" si="11"/>
        <v>No aplica</v>
      </c>
      <c r="DS10" s="79"/>
      <c r="DT10" s="79"/>
      <c r="DU10" s="75" t="str">
        <f t="shared" si="12"/>
        <v>No aplica</v>
      </c>
      <c r="DV10" s="79" t="s">
        <v>182</v>
      </c>
      <c r="DW10" s="79" t="s">
        <v>182</v>
      </c>
      <c r="DX10" s="79"/>
      <c r="DY10" s="79"/>
      <c r="DZ10" s="79"/>
      <c r="EA10" s="79"/>
      <c r="EB10" s="79" t="s">
        <v>191</v>
      </c>
      <c r="EC10" s="79"/>
      <c r="ED10" s="79" t="s">
        <v>184</v>
      </c>
      <c r="EE10" s="79" t="str">
        <f t="shared" si="13"/>
        <v>Completo</v>
      </c>
      <c r="EF10" s="41"/>
      <c r="EG10" s="79" t="s">
        <v>153</v>
      </c>
      <c r="EH10" s="71"/>
      <c r="EI10" s="80"/>
      <c r="EJ10" s="71"/>
      <c r="EK10" s="79" t="s">
        <v>179</v>
      </c>
      <c r="EL10" s="76" t="str">
        <f t="shared" si="14"/>
        <v>No requiere</v>
      </c>
      <c r="EM10" s="76" t="str">
        <f t="shared" si="15"/>
        <v>No requiere</v>
      </c>
      <c r="EN10" s="76" t="str">
        <f t="shared" si="23"/>
        <v>No requiere</v>
      </c>
      <c r="EO10" s="71"/>
      <c r="EP10" s="73" t="str">
        <f t="shared" si="17"/>
        <v>No requiere</v>
      </c>
      <c r="EQ10" s="77" t="str">
        <f t="shared" si="18"/>
        <v>No requiere</v>
      </c>
      <c r="ER10" s="71"/>
      <c r="ES10" s="79" t="s">
        <v>179</v>
      </c>
      <c r="ET10" s="73" t="str">
        <f t="shared" si="19"/>
        <v>No requiere</v>
      </c>
      <c r="EU10" s="73" t="str">
        <f t="shared" si="24"/>
        <v>No requiere</v>
      </c>
      <c r="EV10" s="73" t="str">
        <f t="shared" si="21"/>
        <v>No requiere</v>
      </c>
      <c r="EW10" s="73" t="str">
        <f t="shared" si="22"/>
        <v>No requiere</v>
      </c>
      <c r="EX10" s="78"/>
      <c r="EY10" s="78"/>
    </row>
    <row r="11" spans="1:155" ht="46.5" customHeight="1">
      <c r="A11" s="79">
        <v>7</v>
      </c>
      <c r="B11" s="80" t="s">
        <v>239</v>
      </c>
      <c r="C11" s="81">
        <v>45317</v>
      </c>
      <c r="D11" s="82">
        <v>0.60416666666666663</v>
      </c>
      <c r="E11" s="79" t="s">
        <v>200</v>
      </c>
      <c r="F11" s="79" t="s">
        <v>153</v>
      </c>
      <c r="G11" s="79" t="s">
        <v>153</v>
      </c>
      <c r="H11" s="79" t="s">
        <v>152</v>
      </c>
      <c r="I11" s="79" t="s">
        <v>152</v>
      </c>
      <c r="J11" s="79" t="s">
        <v>211</v>
      </c>
      <c r="K11" s="79" t="s">
        <v>155</v>
      </c>
      <c r="L11" s="80" t="s">
        <v>240</v>
      </c>
      <c r="M11" s="80" t="s">
        <v>241</v>
      </c>
      <c r="N11" s="79" t="s">
        <v>213</v>
      </c>
      <c r="O11" s="80" t="str">
        <f t="shared" si="0"/>
        <v/>
      </c>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t="s">
        <v>230</v>
      </c>
      <c r="AP11" s="79" t="s">
        <v>242</v>
      </c>
      <c r="AQ11" s="80" t="s">
        <v>243</v>
      </c>
      <c r="AR11" s="83">
        <v>3102122010</v>
      </c>
      <c r="AS11" s="80" t="s">
        <v>244</v>
      </c>
      <c r="AT11" s="80" t="str">
        <f t="shared" si="1"/>
        <v>Distrital</v>
      </c>
      <c r="AU11" s="79" t="s">
        <v>172</v>
      </c>
      <c r="AV11" s="79"/>
      <c r="AW11" s="79"/>
      <c r="AX11" s="79"/>
      <c r="AY11" s="79"/>
      <c r="AZ11" s="79"/>
      <c r="BA11" s="80" t="str">
        <f t="shared" si="2"/>
        <v>Distrital</v>
      </c>
      <c r="BB11" s="79" t="s">
        <v>172</v>
      </c>
      <c r="BC11" s="79"/>
      <c r="BD11" s="79"/>
      <c r="BE11" s="79"/>
      <c r="BF11" s="79"/>
      <c r="BG11" s="79"/>
      <c r="BH11" s="80" t="str">
        <f t="shared" si="3"/>
        <v>Distrital</v>
      </c>
      <c r="BI11" s="79" t="s">
        <v>172</v>
      </c>
      <c r="BJ11" s="79"/>
      <c r="BK11" s="79"/>
      <c r="BL11" s="79"/>
      <c r="BM11" s="79"/>
      <c r="BN11" s="79"/>
      <c r="BO11" s="79"/>
      <c r="BP11" s="79"/>
      <c r="BQ11" s="79"/>
      <c r="BR11" s="79"/>
      <c r="BS11" s="80" t="s">
        <v>173</v>
      </c>
      <c r="BT11" s="80" t="s">
        <v>174</v>
      </c>
      <c r="BU11" s="80" t="s">
        <v>245</v>
      </c>
      <c r="BV11" s="71"/>
      <c r="BW11" s="79" t="s">
        <v>152</v>
      </c>
      <c r="BX11" s="79" t="s">
        <v>179</v>
      </c>
      <c r="BY11" s="71"/>
      <c r="BZ11" s="79">
        <v>9</v>
      </c>
      <c r="CA11" s="79">
        <v>4</v>
      </c>
      <c r="CB11" s="79">
        <f t="shared" si="4"/>
        <v>13</v>
      </c>
      <c r="CC11" s="79" t="str">
        <f t="shared" si="5"/>
        <v>No Aplica</v>
      </c>
      <c r="CD11" s="79" t="s">
        <v>177</v>
      </c>
      <c r="CE11" s="79"/>
      <c r="CF11" s="79"/>
      <c r="CG11" s="83" t="s">
        <v>246</v>
      </c>
      <c r="CH11" s="41"/>
      <c r="CI11" s="79" t="s">
        <v>153</v>
      </c>
      <c r="CJ11" s="71"/>
      <c r="CK11" s="79">
        <f t="shared" si="6"/>
        <v>0</v>
      </c>
      <c r="CL11" s="79"/>
      <c r="CM11" s="79"/>
      <c r="CN11" s="79"/>
      <c r="CO11" s="79"/>
      <c r="CP11" s="79"/>
      <c r="CQ11" s="79"/>
      <c r="CR11" s="83" t="s">
        <v>179</v>
      </c>
      <c r="CS11" s="83" t="s">
        <v>179</v>
      </c>
      <c r="CT11" s="83" t="s">
        <v>179</v>
      </c>
      <c r="CU11" s="83" t="s">
        <v>179</v>
      </c>
      <c r="CV11" s="83" t="s">
        <v>179</v>
      </c>
      <c r="CW11" s="83" t="s">
        <v>179</v>
      </c>
      <c r="CX11" s="79" t="s">
        <v>153</v>
      </c>
      <c r="CY11" s="79">
        <f t="shared" si="7"/>
        <v>0</v>
      </c>
      <c r="CZ11" s="79">
        <v>0</v>
      </c>
      <c r="DA11" s="79">
        <f t="shared" si="8"/>
        <v>0</v>
      </c>
      <c r="DB11" s="84" t="str">
        <f t="shared" si="9"/>
        <v/>
      </c>
      <c r="DC11" s="41"/>
      <c r="DD11" s="79" t="s">
        <v>153</v>
      </c>
      <c r="DE11" s="71"/>
      <c r="DF11" s="85" t="s">
        <v>247</v>
      </c>
      <c r="DG11" s="79">
        <v>7</v>
      </c>
      <c r="DH11" s="86" t="str">
        <f t="shared" si="10"/>
        <v>Completo</v>
      </c>
      <c r="DI11" s="79" t="s">
        <v>181</v>
      </c>
      <c r="DJ11" s="79" t="s">
        <v>182</v>
      </c>
      <c r="DK11" s="79"/>
      <c r="DL11" s="79">
        <v>0</v>
      </c>
      <c r="DM11" s="79">
        <v>0</v>
      </c>
      <c r="DN11" s="79" t="s">
        <v>182</v>
      </c>
      <c r="DO11" s="79"/>
      <c r="DP11" s="79"/>
      <c r="DQ11" s="79"/>
      <c r="DR11" s="75" t="str">
        <f t="shared" si="11"/>
        <v>No aplica</v>
      </c>
      <c r="DS11" s="79"/>
      <c r="DT11" s="79"/>
      <c r="DU11" s="75" t="str">
        <f t="shared" si="12"/>
        <v>No aplica</v>
      </c>
      <c r="DV11" s="79" t="s">
        <v>182</v>
      </c>
      <c r="DW11" s="79" t="s">
        <v>182</v>
      </c>
      <c r="DX11" s="79"/>
      <c r="DY11" s="79"/>
      <c r="DZ11" s="79"/>
      <c r="EA11" s="79"/>
      <c r="EB11" s="79" t="s">
        <v>182</v>
      </c>
      <c r="EC11" s="79" t="s">
        <v>248</v>
      </c>
      <c r="ED11" s="79" t="s">
        <v>249</v>
      </c>
      <c r="EE11" s="79" t="str">
        <f t="shared" si="13"/>
        <v>Completo</v>
      </c>
      <c r="EF11" s="41"/>
      <c r="EG11" s="79" t="s">
        <v>153</v>
      </c>
      <c r="EH11" s="71"/>
      <c r="EI11" s="80"/>
      <c r="EJ11" s="71"/>
      <c r="EK11" s="79" t="s">
        <v>179</v>
      </c>
      <c r="EL11" s="76" t="str">
        <f t="shared" si="14"/>
        <v>No requiere</v>
      </c>
      <c r="EM11" s="76" t="str">
        <f t="shared" si="15"/>
        <v>No requiere</v>
      </c>
      <c r="EN11" s="76" t="str">
        <f t="shared" si="23"/>
        <v>No requiere</v>
      </c>
      <c r="EO11" s="71"/>
      <c r="EP11" s="73" t="str">
        <f t="shared" si="17"/>
        <v>No requiere</v>
      </c>
      <c r="EQ11" s="77" t="str">
        <f t="shared" si="18"/>
        <v>No requiere</v>
      </c>
      <c r="ER11" s="71"/>
      <c r="ES11" s="79" t="s">
        <v>179</v>
      </c>
      <c r="ET11" s="73" t="str">
        <f t="shared" si="19"/>
        <v>No requiere</v>
      </c>
      <c r="EU11" s="73" t="str">
        <f t="shared" si="24"/>
        <v>No requiere</v>
      </c>
      <c r="EV11" s="73" t="str">
        <f t="shared" si="21"/>
        <v>No requiere</v>
      </c>
      <c r="EW11" s="73" t="str">
        <f t="shared" si="22"/>
        <v>No requiere</v>
      </c>
      <c r="EX11" s="78"/>
      <c r="EY11" s="78"/>
    </row>
    <row r="12" spans="1:155" ht="46.5" customHeight="1">
      <c r="A12" s="79" t="str">
        <v/>
      </c>
      <c r="B12" s="80" t="s">
        <v>250</v>
      </c>
      <c r="C12" s="81">
        <v>45322</v>
      </c>
      <c r="D12" s="82">
        <v>0.33333333333333331</v>
      </c>
      <c r="E12" s="79" t="s">
        <v>151</v>
      </c>
      <c r="F12" s="79" t="s">
        <v>152</v>
      </c>
      <c r="G12" s="79" t="s">
        <v>153</v>
      </c>
      <c r="H12" s="79" t="s">
        <v>152</v>
      </c>
      <c r="I12" s="79" t="s">
        <v>152</v>
      </c>
      <c r="J12" s="79" t="s">
        <v>251</v>
      </c>
      <c r="K12" s="79" t="s">
        <v>155</v>
      </c>
      <c r="L12" s="80" t="s">
        <v>252</v>
      </c>
      <c r="M12" s="80" t="s">
        <v>157</v>
      </c>
      <c r="N12" s="79" t="s">
        <v>253</v>
      </c>
      <c r="O12" s="80" t="str">
        <f t="shared" si="0"/>
        <v/>
      </c>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t="s">
        <v>169</v>
      </c>
      <c r="AP12" s="79" t="s">
        <v>170</v>
      </c>
      <c r="AQ12" s="80" t="s">
        <v>171</v>
      </c>
      <c r="AR12" s="80" t="s">
        <v>171</v>
      </c>
      <c r="AS12" s="80" t="s">
        <v>171</v>
      </c>
      <c r="AT12" s="80" t="str">
        <f t="shared" si="1"/>
        <v>Distrital</v>
      </c>
      <c r="AU12" s="79" t="s">
        <v>172</v>
      </c>
      <c r="AV12" s="79"/>
      <c r="AW12" s="79"/>
      <c r="AX12" s="79"/>
      <c r="AY12" s="79"/>
      <c r="AZ12" s="79"/>
      <c r="BA12" s="80" t="str">
        <f t="shared" si="2"/>
        <v>Distrital</v>
      </c>
      <c r="BB12" s="79" t="s">
        <v>172</v>
      </c>
      <c r="BC12" s="79"/>
      <c r="BD12" s="79"/>
      <c r="BE12" s="79"/>
      <c r="BF12" s="79"/>
      <c r="BG12" s="79"/>
      <c r="BH12" s="80" t="str">
        <f t="shared" si="3"/>
        <v>Distrital</v>
      </c>
      <c r="BI12" s="79" t="s">
        <v>172</v>
      </c>
      <c r="BJ12" s="79"/>
      <c r="BK12" s="79"/>
      <c r="BL12" s="79"/>
      <c r="BM12" s="79"/>
      <c r="BN12" s="79"/>
      <c r="BO12" s="79"/>
      <c r="BP12" s="79"/>
      <c r="BQ12" s="79"/>
      <c r="BR12" s="79"/>
      <c r="BS12" s="80" t="s">
        <v>173</v>
      </c>
      <c r="BT12" s="80" t="s">
        <v>174</v>
      </c>
      <c r="BU12" s="80" t="s">
        <v>254</v>
      </c>
      <c r="BV12" s="71"/>
      <c r="BW12" s="79" t="s">
        <v>152</v>
      </c>
      <c r="BX12" s="79" t="s">
        <v>179</v>
      </c>
      <c r="BY12" s="71"/>
      <c r="BZ12" s="79">
        <v>0</v>
      </c>
      <c r="CA12" s="79">
        <v>73</v>
      </c>
      <c r="CB12" s="79">
        <f t="shared" si="4"/>
        <v>73</v>
      </c>
      <c r="CC12" s="79" t="str">
        <f t="shared" si="5"/>
        <v>No Aplica</v>
      </c>
      <c r="CD12" s="79" t="s">
        <v>177</v>
      </c>
      <c r="CE12" s="79"/>
      <c r="CF12" s="79"/>
      <c r="CG12" s="83" t="s">
        <v>255</v>
      </c>
      <c r="CH12" s="41"/>
      <c r="CI12" s="79" t="s">
        <v>153</v>
      </c>
      <c r="CJ12" s="71"/>
      <c r="CK12" s="79">
        <f t="shared" si="6"/>
        <v>0</v>
      </c>
      <c r="CL12" s="79"/>
      <c r="CM12" s="79"/>
      <c r="CN12" s="79"/>
      <c r="CO12" s="79"/>
      <c r="CP12" s="79"/>
      <c r="CQ12" s="79"/>
      <c r="CR12" s="83" t="s">
        <v>179</v>
      </c>
      <c r="CS12" s="83" t="s">
        <v>179</v>
      </c>
      <c r="CT12" s="83" t="s">
        <v>179</v>
      </c>
      <c r="CU12" s="83" t="s">
        <v>179</v>
      </c>
      <c r="CV12" s="83" t="s">
        <v>179</v>
      </c>
      <c r="CW12" s="83" t="s">
        <v>179</v>
      </c>
      <c r="CX12" s="79" t="s">
        <v>153</v>
      </c>
      <c r="CY12" s="79">
        <f t="shared" si="7"/>
        <v>0</v>
      </c>
      <c r="CZ12" s="79">
        <v>0</v>
      </c>
      <c r="DA12" s="79">
        <f t="shared" si="8"/>
        <v>0</v>
      </c>
      <c r="DB12" s="84" t="str">
        <f t="shared" si="9"/>
        <v/>
      </c>
      <c r="DC12" s="41"/>
      <c r="DD12" s="79" t="s">
        <v>153</v>
      </c>
      <c r="DE12" s="71"/>
      <c r="DF12" s="85" t="s">
        <v>256</v>
      </c>
      <c r="DG12" s="79">
        <v>8</v>
      </c>
      <c r="DH12" s="86" t="str">
        <f t="shared" si="10"/>
        <v>Completo</v>
      </c>
      <c r="DI12" s="79" t="s">
        <v>181</v>
      </c>
      <c r="DJ12" s="79" t="s">
        <v>182</v>
      </c>
      <c r="DK12" s="79"/>
      <c r="DL12" s="79">
        <v>0</v>
      </c>
      <c r="DM12" s="79">
        <v>0</v>
      </c>
      <c r="DN12" s="79"/>
      <c r="DO12" s="79"/>
      <c r="DP12" s="79"/>
      <c r="DQ12" s="79"/>
      <c r="DR12" s="75" t="str">
        <f t="shared" si="11"/>
        <v>No aplica</v>
      </c>
      <c r="DS12" s="79"/>
      <c r="DT12" s="79"/>
      <c r="DU12" s="75" t="str">
        <f t="shared" si="12"/>
        <v>No aplica</v>
      </c>
      <c r="DV12" s="79"/>
      <c r="DW12" s="79"/>
      <c r="DX12" s="79"/>
      <c r="DY12" s="79"/>
      <c r="DZ12" s="79"/>
      <c r="EA12" s="79"/>
      <c r="EB12" s="79" t="s">
        <v>182</v>
      </c>
      <c r="EC12" s="79" t="s">
        <v>183</v>
      </c>
      <c r="ED12" s="79" t="s">
        <v>257</v>
      </c>
      <c r="EE12" s="79" t="str">
        <f t="shared" si="13"/>
        <v>Completo</v>
      </c>
      <c r="EF12" s="41"/>
      <c r="EG12" s="79" t="s">
        <v>153</v>
      </c>
      <c r="EH12" s="71"/>
      <c r="EI12" s="80"/>
      <c r="EJ12" s="71"/>
      <c r="EK12" s="79" t="s">
        <v>179</v>
      </c>
      <c r="EL12" s="76" t="str">
        <f t="shared" si="14"/>
        <v>No requiere</v>
      </c>
      <c r="EM12" s="76" t="str">
        <f t="shared" si="15"/>
        <v>No requiere</v>
      </c>
      <c r="EN12" s="76" t="str">
        <f t="shared" si="23"/>
        <v>No requiere</v>
      </c>
      <c r="EO12" s="71"/>
      <c r="EP12" s="73" t="str">
        <f t="shared" si="17"/>
        <v>No requiere</v>
      </c>
      <c r="EQ12" s="77" t="str">
        <f t="shared" si="18"/>
        <v>No requiere</v>
      </c>
      <c r="ER12" s="71"/>
      <c r="ES12" s="79" t="s">
        <v>179</v>
      </c>
      <c r="ET12" s="73" t="str">
        <f t="shared" si="19"/>
        <v>No requiere</v>
      </c>
      <c r="EU12" s="73" t="str">
        <f t="shared" si="24"/>
        <v>No requiere</v>
      </c>
      <c r="EV12" s="73" t="str">
        <f t="shared" si="21"/>
        <v>No requiere</v>
      </c>
      <c r="EW12" s="73" t="str">
        <f t="shared" si="22"/>
        <v>No requiere</v>
      </c>
      <c r="EX12" s="78"/>
      <c r="EY12" s="78"/>
    </row>
    <row r="13" spans="1:155" ht="46.5" customHeight="1">
      <c r="A13" s="79" t="str">
        <v/>
      </c>
      <c r="B13" s="80" t="s">
        <v>258</v>
      </c>
      <c r="C13" s="81">
        <v>45322</v>
      </c>
      <c r="D13" s="82">
        <v>0.60416666666666663</v>
      </c>
      <c r="E13" s="79" t="s">
        <v>151</v>
      </c>
      <c r="F13" s="79" t="s">
        <v>152</v>
      </c>
      <c r="G13" s="79" t="s">
        <v>153</v>
      </c>
      <c r="H13" s="79" t="s">
        <v>152</v>
      </c>
      <c r="I13" s="79" t="s">
        <v>152</v>
      </c>
      <c r="J13" s="79" t="s">
        <v>154</v>
      </c>
      <c r="K13" s="79" t="s">
        <v>155</v>
      </c>
      <c r="L13" s="80" t="s">
        <v>259</v>
      </c>
      <c r="M13" s="80" t="s">
        <v>157</v>
      </c>
      <c r="N13" s="79" t="s">
        <v>195</v>
      </c>
      <c r="O13" s="80" t="str">
        <f t="shared" si="0"/>
        <v/>
      </c>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t="s">
        <v>169</v>
      </c>
      <c r="AP13" s="79" t="s">
        <v>170</v>
      </c>
      <c r="AQ13" s="80" t="s">
        <v>171</v>
      </c>
      <c r="AR13" s="80" t="s">
        <v>171</v>
      </c>
      <c r="AS13" s="80" t="s">
        <v>171</v>
      </c>
      <c r="AT13" s="80" t="str">
        <f t="shared" si="1"/>
        <v>Distrital</v>
      </c>
      <c r="AU13" s="79" t="s">
        <v>172</v>
      </c>
      <c r="AV13" s="79"/>
      <c r="AW13" s="79"/>
      <c r="AX13" s="79"/>
      <c r="AY13" s="79"/>
      <c r="AZ13" s="79"/>
      <c r="BA13" s="80" t="str">
        <f t="shared" si="2"/>
        <v>Distrital</v>
      </c>
      <c r="BB13" s="79" t="s">
        <v>172</v>
      </c>
      <c r="BC13" s="79"/>
      <c r="BD13" s="79"/>
      <c r="BE13" s="79"/>
      <c r="BF13" s="79"/>
      <c r="BG13" s="79"/>
      <c r="BH13" s="80" t="str">
        <f t="shared" si="3"/>
        <v>Distrital</v>
      </c>
      <c r="BI13" s="79" t="s">
        <v>172</v>
      </c>
      <c r="BJ13" s="79"/>
      <c r="BK13" s="79"/>
      <c r="BL13" s="79"/>
      <c r="BM13" s="79"/>
      <c r="BN13" s="79"/>
      <c r="BO13" s="79"/>
      <c r="BP13" s="79"/>
      <c r="BQ13" s="79"/>
      <c r="BR13" s="79"/>
      <c r="BS13" s="80" t="s">
        <v>173</v>
      </c>
      <c r="BT13" s="80" t="s">
        <v>174</v>
      </c>
      <c r="BU13" s="80" t="s">
        <v>197</v>
      </c>
      <c r="BV13" s="71"/>
      <c r="BW13" s="79" t="s">
        <v>153</v>
      </c>
      <c r="BX13" s="79" t="s">
        <v>176</v>
      </c>
      <c r="BY13" s="71"/>
      <c r="BZ13" s="79">
        <v>0</v>
      </c>
      <c r="CA13" s="79">
        <v>6</v>
      </c>
      <c r="CB13" s="79">
        <f t="shared" si="4"/>
        <v>6</v>
      </c>
      <c r="CC13" s="79" t="str">
        <f t="shared" si="5"/>
        <v>No Aplica</v>
      </c>
      <c r="CD13" s="79" t="s">
        <v>177</v>
      </c>
      <c r="CE13" s="79"/>
      <c r="CF13" s="79"/>
      <c r="CG13" s="83" t="s">
        <v>260</v>
      </c>
      <c r="CH13" s="41"/>
      <c r="CI13" s="79" t="s">
        <v>153</v>
      </c>
      <c r="CJ13" s="71"/>
      <c r="CK13" s="79">
        <f t="shared" si="6"/>
        <v>0</v>
      </c>
      <c r="CL13" s="79"/>
      <c r="CM13" s="79"/>
      <c r="CN13" s="79"/>
      <c r="CO13" s="79"/>
      <c r="CP13" s="79"/>
      <c r="CQ13" s="79"/>
      <c r="CR13" s="83" t="s">
        <v>179</v>
      </c>
      <c r="CS13" s="83" t="s">
        <v>179</v>
      </c>
      <c r="CT13" s="83" t="s">
        <v>179</v>
      </c>
      <c r="CU13" s="83" t="s">
        <v>179</v>
      </c>
      <c r="CV13" s="83" t="s">
        <v>179</v>
      </c>
      <c r="CW13" s="83" t="s">
        <v>179</v>
      </c>
      <c r="CX13" s="79" t="s">
        <v>153</v>
      </c>
      <c r="CY13" s="79">
        <f t="shared" si="7"/>
        <v>0</v>
      </c>
      <c r="CZ13" s="79">
        <v>0</v>
      </c>
      <c r="DA13" s="79">
        <f t="shared" si="8"/>
        <v>0</v>
      </c>
      <c r="DB13" s="84" t="str">
        <f t="shared" si="9"/>
        <v/>
      </c>
      <c r="DC13" s="41"/>
      <c r="DD13" s="79" t="s">
        <v>153</v>
      </c>
      <c r="DE13" s="71"/>
      <c r="DF13" s="85" t="s">
        <v>261</v>
      </c>
      <c r="DG13" s="79">
        <v>9</v>
      </c>
      <c r="DH13" s="86" t="str">
        <f t="shared" si="10"/>
        <v>Completo</v>
      </c>
      <c r="DI13" s="79" t="s">
        <v>181</v>
      </c>
      <c r="DJ13" s="79" t="s">
        <v>182</v>
      </c>
      <c r="DK13" s="79"/>
      <c r="DL13" s="79">
        <v>0</v>
      </c>
      <c r="DM13" s="79">
        <v>0</v>
      </c>
      <c r="DN13" s="79"/>
      <c r="DO13" s="79"/>
      <c r="DP13" s="79"/>
      <c r="DQ13" s="79"/>
      <c r="DR13" s="75" t="str">
        <f t="shared" si="11"/>
        <v>No aplica</v>
      </c>
      <c r="DS13" s="79"/>
      <c r="DT13" s="79"/>
      <c r="DU13" s="75" t="str">
        <f t="shared" si="12"/>
        <v>No aplica</v>
      </c>
      <c r="DV13" s="79"/>
      <c r="DW13" s="79"/>
      <c r="DX13" s="79"/>
      <c r="DY13" s="79"/>
      <c r="DZ13" s="79"/>
      <c r="EA13" s="79"/>
      <c r="EB13" s="79"/>
      <c r="EC13" s="79"/>
      <c r="ED13" s="79" t="s">
        <v>262</v>
      </c>
      <c r="EE13" s="79" t="str">
        <f t="shared" si="13"/>
        <v>Completo</v>
      </c>
      <c r="EF13" s="41"/>
      <c r="EG13" s="79" t="s">
        <v>153</v>
      </c>
      <c r="EH13" s="71"/>
      <c r="EI13" s="80"/>
      <c r="EJ13" s="71"/>
      <c r="EK13" s="79" t="s">
        <v>179</v>
      </c>
      <c r="EL13" s="76" t="str">
        <f t="shared" si="14"/>
        <v>No requiere</v>
      </c>
      <c r="EM13" s="76" t="str">
        <f t="shared" si="15"/>
        <v>No requiere</v>
      </c>
      <c r="EN13" s="76" t="str">
        <f t="shared" si="23"/>
        <v>No requiere</v>
      </c>
      <c r="EO13" s="71"/>
      <c r="EP13" s="73" t="str">
        <f t="shared" si="17"/>
        <v>No requiere</v>
      </c>
      <c r="EQ13" s="77" t="str">
        <f t="shared" si="18"/>
        <v>No requiere</v>
      </c>
      <c r="ER13" s="71"/>
      <c r="ES13" s="79" t="s">
        <v>179</v>
      </c>
      <c r="ET13" s="73" t="str">
        <f t="shared" si="19"/>
        <v>No requiere</v>
      </c>
      <c r="EU13" s="73" t="str">
        <f t="shared" si="24"/>
        <v>No requiere</v>
      </c>
      <c r="EV13" s="73" t="str">
        <f t="shared" si="21"/>
        <v>No requiere</v>
      </c>
      <c r="EW13" s="73" t="str">
        <f t="shared" si="22"/>
        <v>No requiere</v>
      </c>
      <c r="EX13" s="78"/>
      <c r="EY13" s="78"/>
    </row>
    <row r="14" spans="1:155" ht="46.5" customHeight="1">
      <c r="A14" s="79" t="str">
        <v/>
      </c>
      <c r="B14" s="80" t="s">
        <v>263</v>
      </c>
      <c r="C14" s="81">
        <v>45322</v>
      </c>
      <c r="D14" s="82">
        <v>0.66666666666666663</v>
      </c>
      <c r="E14" s="79" t="s">
        <v>151</v>
      </c>
      <c r="F14" s="79" t="s">
        <v>152</v>
      </c>
      <c r="G14" s="79" t="s">
        <v>153</v>
      </c>
      <c r="H14" s="79" t="s">
        <v>152</v>
      </c>
      <c r="I14" s="79" t="s">
        <v>152</v>
      </c>
      <c r="J14" s="79" t="s">
        <v>154</v>
      </c>
      <c r="K14" s="79" t="s">
        <v>202</v>
      </c>
      <c r="L14" s="80" t="s">
        <v>264</v>
      </c>
      <c r="M14" s="80" t="s">
        <v>157</v>
      </c>
      <c r="N14" s="79" t="s">
        <v>265</v>
      </c>
      <c r="O14" s="80" t="str">
        <f t="shared" si="0"/>
        <v/>
      </c>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t="s">
        <v>169</v>
      </c>
      <c r="AP14" s="79" t="s">
        <v>170</v>
      </c>
      <c r="AQ14" s="80" t="s">
        <v>171</v>
      </c>
      <c r="AR14" s="80" t="s">
        <v>171</v>
      </c>
      <c r="AS14" s="80" t="s">
        <v>171</v>
      </c>
      <c r="AT14" s="80" t="str">
        <f t="shared" si="1"/>
        <v>Distrital</v>
      </c>
      <c r="AU14" s="79" t="s">
        <v>172</v>
      </c>
      <c r="AV14" s="79"/>
      <c r="AW14" s="79"/>
      <c r="AX14" s="79"/>
      <c r="AY14" s="79"/>
      <c r="AZ14" s="79"/>
      <c r="BA14" s="80" t="str">
        <f t="shared" si="2"/>
        <v>Distrital</v>
      </c>
      <c r="BB14" s="79" t="s">
        <v>172</v>
      </c>
      <c r="BC14" s="79"/>
      <c r="BD14" s="79"/>
      <c r="BE14" s="79"/>
      <c r="BF14" s="79"/>
      <c r="BG14" s="79"/>
      <c r="BH14" s="80" t="str">
        <f t="shared" si="3"/>
        <v>Distrital</v>
      </c>
      <c r="BI14" s="79" t="s">
        <v>172</v>
      </c>
      <c r="BJ14" s="79"/>
      <c r="BK14" s="79"/>
      <c r="BL14" s="79"/>
      <c r="BM14" s="79"/>
      <c r="BN14" s="79"/>
      <c r="BO14" s="79"/>
      <c r="BP14" s="79"/>
      <c r="BQ14" s="79"/>
      <c r="BR14" s="79"/>
      <c r="BS14" s="80" t="s">
        <v>173</v>
      </c>
      <c r="BT14" s="80" t="s">
        <v>266</v>
      </c>
      <c r="BU14" s="89" t="s">
        <v>267</v>
      </c>
      <c r="BV14" s="71"/>
      <c r="BW14" s="79" t="s">
        <v>153</v>
      </c>
      <c r="BX14" s="79" t="s">
        <v>176</v>
      </c>
      <c r="BY14" s="71"/>
      <c r="BZ14" s="79">
        <v>157</v>
      </c>
      <c r="CA14" s="79">
        <v>1</v>
      </c>
      <c r="CB14" s="79">
        <f t="shared" si="4"/>
        <v>158</v>
      </c>
      <c r="CC14" s="79" t="str">
        <f t="shared" si="5"/>
        <v>No Aplica</v>
      </c>
      <c r="CD14" s="79" t="s">
        <v>177</v>
      </c>
      <c r="CE14" s="79"/>
      <c r="CF14" s="79"/>
      <c r="CG14" s="83" t="s">
        <v>268</v>
      </c>
      <c r="CH14" s="41"/>
      <c r="CI14" s="79" t="s">
        <v>153</v>
      </c>
      <c r="CJ14" s="71"/>
      <c r="CK14" s="79">
        <f t="shared" si="6"/>
        <v>0</v>
      </c>
      <c r="CL14" s="79"/>
      <c r="CM14" s="79"/>
      <c r="CN14" s="79"/>
      <c r="CO14" s="79"/>
      <c r="CP14" s="79"/>
      <c r="CQ14" s="79"/>
      <c r="CR14" s="83" t="s">
        <v>179</v>
      </c>
      <c r="CS14" s="83" t="s">
        <v>179</v>
      </c>
      <c r="CT14" s="83" t="s">
        <v>179</v>
      </c>
      <c r="CU14" s="83" t="s">
        <v>179</v>
      </c>
      <c r="CV14" s="83" t="s">
        <v>179</v>
      </c>
      <c r="CW14" s="83" t="s">
        <v>179</v>
      </c>
      <c r="CX14" s="79" t="s">
        <v>153</v>
      </c>
      <c r="CY14" s="79">
        <f t="shared" si="7"/>
        <v>0</v>
      </c>
      <c r="CZ14" s="79">
        <v>0</v>
      </c>
      <c r="DA14" s="79">
        <f t="shared" si="8"/>
        <v>0</v>
      </c>
      <c r="DB14" s="84" t="str">
        <f t="shared" si="9"/>
        <v/>
      </c>
      <c r="DC14" s="41"/>
      <c r="DD14" s="79" t="s">
        <v>153</v>
      </c>
      <c r="DE14" s="71"/>
      <c r="DF14" s="85" t="s">
        <v>269</v>
      </c>
      <c r="DG14" s="79">
        <v>10</v>
      </c>
      <c r="DH14" s="86" t="str">
        <f t="shared" si="10"/>
        <v>Completo</v>
      </c>
      <c r="DI14" s="79" t="s">
        <v>181</v>
      </c>
      <c r="DJ14" s="79" t="s">
        <v>182</v>
      </c>
      <c r="DK14" s="79"/>
      <c r="DL14" s="79">
        <v>0</v>
      </c>
      <c r="DM14" s="79">
        <v>0</v>
      </c>
      <c r="DN14" s="79" t="s">
        <v>182</v>
      </c>
      <c r="DO14" s="79"/>
      <c r="DP14" s="79"/>
      <c r="DQ14" s="79"/>
      <c r="DR14" s="75" t="str">
        <f t="shared" si="11"/>
        <v>No aplica</v>
      </c>
      <c r="DS14" s="79"/>
      <c r="DT14" s="79"/>
      <c r="DU14" s="75" t="str">
        <f t="shared" si="12"/>
        <v>No aplica</v>
      </c>
      <c r="DV14" s="79" t="s">
        <v>182</v>
      </c>
      <c r="DW14" s="79" t="s">
        <v>182</v>
      </c>
      <c r="DX14" s="79"/>
      <c r="DY14" s="79"/>
      <c r="DZ14" s="79"/>
      <c r="EA14" s="79"/>
      <c r="EB14" s="79" t="s">
        <v>191</v>
      </c>
      <c r="EC14" s="79"/>
      <c r="ED14" s="79" t="s">
        <v>270</v>
      </c>
      <c r="EE14" s="79" t="str">
        <f t="shared" si="13"/>
        <v>Completo</v>
      </c>
      <c r="EF14" s="41"/>
      <c r="EG14" s="79" t="s">
        <v>153</v>
      </c>
      <c r="EH14" s="71"/>
      <c r="EI14" s="80"/>
      <c r="EJ14" s="71"/>
      <c r="EK14" s="79" t="s">
        <v>179</v>
      </c>
      <c r="EL14" s="76" t="str">
        <f t="shared" si="14"/>
        <v>No requiere</v>
      </c>
      <c r="EM14" s="76" t="str">
        <f t="shared" si="15"/>
        <v>No requiere</v>
      </c>
      <c r="EN14" s="76" t="str">
        <f t="shared" si="23"/>
        <v>No requiere</v>
      </c>
      <c r="EO14" s="71"/>
      <c r="EP14" s="73" t="str">
        <f t="shared" si="17"/>
        <v>No requiere</v>
      </c>
      <c r="EQ14" s="77" t="str">
        <f t="shared" si="18"/>
        <v>No requiere</v>
      </c>
      <c r="ER14" s="71"/>
      <c r="ES14" s="79" t="s">
        <v>179</v>
      </c>
      <c r="ET14" s="73" t="str">
        <f t="shared" si="19"/>
        <v>No requiere</v>
      </c>
      <c r="EU14" s="73" t="str">
        <f t="shared" si="24"/>
        <v>No requiere</v>
      </c>
      <c r="EV14" s="73" t="str">
        <f t="shared" si="21"/>
        <v>No requiere</v>
      </c>
      <c r="EW14" s="73" t="str">
        <f t="shared" si="22"/>
        <v>No requiere</v>
      </c>
      <c r="EX14" s="78"/>
      <c r="EY14" s="78"/>
    </row>
    <row r="15" spans="1:155" ht="46.5" customHeight="1">
      <c r="A15" s="79">
        <v>11</v>
      </c>
      <c r="B15" s="80" t="s">
        <v>271</v>
      </c>
      <c r="C15" s="81">
        <v>45324</v>
      </c>
      <c r="D15" s="82">
        <v>0.33333333333333331</v>
      </c>
      <c r="E15" s="79" t="s">
        <v>200</v>
      </c>
      <c r="F15" s="79" t="s">
        <v>153</v>
      </c>
      <c r="G15" s="79" t="s">
        <v>152</v>
      </c>
      <c r="H15" s="79" t="s">
        <v>152</v>
      </c>
      <c r="I15" s="79" t="s">
        <v>152</v>
      </c>
      <c r="J15" s="79" t="s">
        <v>272</v>
      </c>
      <c r="K15" s="79" t="s">
        <v>155</v>
      </c>
      <c r="L15" s="80" t="s">
        <v>273</v>
      </c>
      <c r="M15" s="80" t="s">
        <v>157</v>
      </c>
      <c r="N15" s="79" t="s">
        <v>195</v>
      </c>
      <c r="O15" s="80" t="str">
        <f t="shared" si="0"/>
        <v/>
      </c>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t="s">
        <v>169</v>
      </c>
      <c r="AP15" s="79" t="s">
        <v>170</v>
      </c>
      <c r="AQ15" s="80" t="s">
        <v>171</v>
      </c>
      <c r="AR15" s="80" t="s">
        <v>171</v>
      </c>
      <c r="AS15" s="80" t="s">
        <v>171</v>
      </c>
      <c r="AT15" s="80" t="str">
        <f t="shared" si="1"/>
        <v>Distrital</v>
      </c>
      <c r="AU15" s="79" t="s">
        <v>172</v>
      </c>
      <c r="AV15" s="79"/>
      <c r="AW15" s="79"/>
      <c r="AX15" s="79"/>
      <c r="AY15" s="79"/>
      <c r="AZ15" s="79"/>
      <c r="BA15" s="80" t="str">
        <f t="shared" si="2"/>
        <v>Distrital</v>
      </c>
      <c r="BB15" s="79" t="s">
        <v>172</v>
      </c>
      <c r="BC15" s="79"/>
      <c r="BD15" s="79"/>
      <c r="BE15" s="79"/>
      <c r="BF15" s="79"/>
      <c r="BG15" s="79"/>
      <c r="BH15" s="80" t="str">
        <f t="shared" si="3"/>
        <v>Distrital</v>
      </c>
      <c r="BI15" s="79" t="s">
        <v>172</v>
      </c>
      <c r="BJ15" s="79"/>
      <c r="BK15" s="79"/>
      <c r="BL15" s="79"/>
      <c r="BM15" s="79"/>
      <c r="BN15" s="79"/>
      <c r="BO15" s="79"/>
      <c r="BP15" s="79"/>
      <c r="BQ15" s="79"/>
      <c r="BR15" s="79"/>
      <c r="BS15" s="80" t="s">
        <v>173</v>
      </c>
      <c r="BT15" s="80" t="s">
        <v>174</v>
      </c>
      <c r="BU15" s="80"/>
      <c r="BV15" s="71"/>
      <c r="BW15" s="79" t="s">
        <v>152</v>
      </c>
      <c r="BX15" s="79" t="s">
        <v>179</v>
      </c>
      <c r="BY15" s="71"/>
      <c r="BZ15" s="79">
        <v>0</v>
      </c>
      <c r="CA15" s="79">
        <v>3</v>
      </c>
      <c r="CB15" s="79">
        <f t="shared" si="4"/>
        <v>3</v>
      </c>
      <c r="CC15" s="79" t="str">
        <f t="shared" si="5"/>
        <v>No Aplica</v>
      </c>
      <c r="CD15" s="79" t="s">
        <v>177</v>
      </c>
      <c r="CE15" s="79"/>
      <c r="CF15" s="79"/>
      <c r="CG15" s="83" t="s">
        <v>274</v>
      </c>
      <c r="CH15" s="41"/>
      <c r="CI15" s="79" t="s">
        <v>153</v>
      </c>
      <c r="CJ15" s="71"/>
      <c r="CK15" s="79">
        <f t="shared" si="6"/>
        <v>0</v>
      </c>
      <c r="CL15" s="79"/>
      <c r="CM15" s="79"/>
      <c r="CN15" s="79"/>
      <c r="CO15" s="79"/>
      <c r="CP15" s="79"/>
      <c r="CQ15" s="79"/>
      <c r="CR15" s="83" t="s">
        <v>179</v>
      </c>
      <c r="CS15" s="83" t="s">
        <v>179</v>
      </c>
      <c r="CT15" s="83" t="s">
        <v>179</v>
      </c>
      <c r="CU15" s="83" t="s">
        <v>179</v>
      </c>
      <c r="CV15" s="83" t="s">
        <v>179</v>
      </c>
      <c r="CW15" s="83" t="s">
        <v>179</v>
      </c>
      <c r="CX15" s="79" t="s">
        <v>153</v>
      </c>
      <c r="CY15" s="79">
        <f t="shared" si="7"/>
        <v>0</v>
      </c>
      <c r="CZ15" s="79">
        <v>0</v>
      </c>
      <c r="DA15" s="79">
        <f t="shared" si="8"/>
        <v>0</v>
      </c>
      <c r="DB15" s="84" t="str">
        <f t="shared" si="9"/>
        <v/>
      </c>
      <c r="DC15" s="41"/>
      <c r="DD15" s="79" t="s">
        <v>153</v>
      </c>
      <c r="DE15" s="71"/>
      <c r="DF15" s="85" t="s">
        <v>275</v>
      </c>
      <c r="DG15" s="79">
        <v>11</v>
      </c>
      <c r="DH15" s="86" t="str">
        <f t="shared" si="10"/>
        <v>Completo</v>
      </c>
      <c r="DI15" s="79" t="s">
        <v>181</v>
      </c>
      <c r="DJ15" s="79" t="s">
        <v>182</v>
      </c>
      <c r="DK15" s="79"/>
      <c r="DL15" s="79">
        <v>0</v>
      </c>
      <c r="DM15" s="79">
        <v>0</v>
      </c>
      <c r="DN15" s="79" t="s">
        <v>191</v>
      </c>
      <c r="DO15" s="79"/>
      <c r="DP15" s="79"/>
      <c r="DQ15" s="79"/>
      <c r="DR15" s="75" t="str">
        <f t="shared" si="11"/>
        <v>No aplica</v>
      </c>
      <c r="DS15" s="79"/>
      <c r="DT15" s="79"/>
      <c r="DU15" s="75" t="str">
        <f t="shared" si="12"/>
        <v>No aplica</v>
      </c>
      <c r="DV15" s="79" t="s">
        <v>182</v>
      </c>
      <c r="DW15" s="79" t="s">
        <v>182</v>
      </c>
      <c r="DX15" s="79"/>
      <c r="DY15" s="79"/>
      <c r="DZ15" s="79"/>
      <c r="EA15" s="79"/>
      <c r="EB15" s="79" t="s">
        <v>191</v>
      </c>
      <c r="EC15" s="79"/>
      <c r="ED15" s="79" t="s">
        <v>249</v>
      </c>
      <c r="EE15" s="79" t="str">
        <f t="shared" si="13"/>
        <v>Completo</v>
      </c>
      <c r="EF15" s="41"/>
      <c r="EG15" s="79" t="s">
        <v>153</v>
      </c>
      <c r="EH15" s="71"/>
      <c r="EI15" s="80"/>
      <c r="EJ15" s="71"/>
      <c r="EK15" s="79" t="s">
        <v>179</v>
      </c>
      <c r="EL15" s="76" t="str">
        <f t="shared" si="14"/>
        <v>No requiere</v>
      </c>
      <c r="EM15" s="76" t="str">
        <f t="shared" si="15"/>
        <v>No requiere</v>
      </c>
      <c r="EN15" s="76" t="str">
        <f t="shared" si="23"/>
        <v>No requiere</v>
      </c>
      <c r="EO15" s="71"/>
      <c r="EP15" s="73" t="str">
        <f t="shared" si="17"/>
        <v>No requiere</v>
      </c>
      <c r="EQ15" s="77" t="str">
        <f t="shared" si="18"/>
        <v>No requiere</v>
      </c>
      <c r="ER15" s="71"/>
      <c r="ES15" s="79" t="s">
        <v>179</v>
      </c>
      <c r="ET15" s="73" t="str">
        <f t="shared" si="19"/>
        <v>No requiere</v>
      </c>
      <c r="EU15" s="73" t="str">
        <f t="shared" si="24"/>
        <v>No requiere</v>
      </c>
      <c r="EV15" s="73" t="str">
        <f t="shared" si="21"/>
        <v>No requiere</v>
      </c>
      <c r="EW15" s="73" t="str">
        <f t="shared" si="22"/>
        <v>No requiere</v>
      </c>
      <c r="EX15" s="78"/>
      <c r="EY15" s="78"/>
    </row>
    <row r="16" spans="1:155" ht="46.5" customHeight="1">
      <c r="A16" s="79" t="str">
        <v/>
      </c>
      <c r="B16" s="80" t="s">
        <v>276</v>
      </c>
      <c r="C16" s="81">
        <v>45327</v>
      </c>
      <c r="D16" s="82">
        <v>0.45833333333333331</v>
      </c>
      <c r="E16" s="79" t="s">
        <v>151</v>
      </c>
      <c r="F16" s="79" t="s">
        <v>152</v>
      </c>
      <c r="G16" s="79" t="s">
        <v>153</v>
      </c>
      <c r="H16" s="79" t="s">
        <v>152</v>
      </c>
      <c r="I16" s="79" t="s">
        <v>152</v>
      </c>
      <c r="J16" s="79" t="s">
        <v>154</v>
      </c>
      <c r="K16" s="79" t="s">
        <v>155</v>
      </c>
      <c r="L16" s="80" t="s">
        <v>277</v>
      </c>
      <c r="M16" s="80" t="s">
        <v>157</v>
      </c>
      <c r="N16" s="79" t="s">
        <v>167</v>
      </c>
      <c r="O16" s="80" t="str">
        <f t="shared" si="0"/>
        <v>Yeiker José Guerra, Laura Camila Bechara Cordoba</v>
      </c>
      <c r="P16" s="79" t="s">
        <v>187</v>
      </c>
      <c r="Q16" s="79" t="s">
        <v>278</v>
      </c>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t="s">
        <v>169</v>
      </c>
      <c r="AP16" s="79" t="s">
        <v>170</v>
      </c>
      <c r="AQ16" s="80" t="s">
        <v>279</v>
      </c>
      <c r="AR16" s="83">
        <v>3112744489</v>
      </c>
      <c r="AS16" s="80" t="s">
        <v>171</v>
      </c>
      <c r="AT16" s="80" t="str">
        <f t="shared" si="1"/>
        <v>Distrital</v>
      </c>
      <c r="AU16" s="79" t="s">
        <v>172</v>
      </c>
      <c r="AV16" s="79"/>
      <c r="AW16" s="79"/>
      <c r="AX16" s="79"/>
      <c r="AY16" s="79"/>
      <c r="AZ16" s="79"/>
      <c r="BA16" s="80" t="str">
        <f t="shared" si="2"/>
        <v>Distrital</v>
      </c>
      <c r="BB16" s="79" t="s">
        <v>172</v>
      </c>
      <c r="BC16" s="79"/>
      <c r="BD16" s="79"/>
      <c r="BE16" s="79"/>
      <c r="BF16" s="79"/>
      <c r="BG16" s="79"/>
      <c r="BH16" s="80" t="str">
        <f t="shared" si="3"/>
        <v>Distrital</v>
      </c>
      <c r="BI16" s="79" t="s">
        <v>172</v>
      </c>
      <c r="BJ16" s="79"/>
      <c r="BK16" s="79"/>
      <c r="BL16" s="79"/>
      <c r="BM16" s="79"/>
      <c r="BN16" s="79"/>
      <c r="BO16" s="79"/>
      <c r="BP16" s="79"/>
      <c r="BQ16" s="79"/>
      <c r="BR16" s="79"/>
      <c r="BS16" s="80" t="s">
        <v>173</v>
      </c>
      <c r="BT16" s="80" t="s">
        <v>174</v>
      </c>
      <c r="BU16" s="80" t="s">
        <v>280</v>
      </c>
      <c r="BV16" s="71"/>
      <c r="BW16" s="79" t="s">
        <v>153</v>
      </c>
      <c r="BX16" s="79" t="s">
        <v>176</v>
      </c>
      <c r="BY16" s="71"/>
      <c r="BZ16" s="79">
        <v>5</v>
      </c>
      <c r="CA16" s="79">
        <v>3</v>
      </c>
      <c r="CB16" s="79">
        <f t="shared" si="4"/>
        <v>8</v>
      </c>
      <c r="CC16" s="79" t="str">
        <f t="shared" si="5"/>
        <v>No Aplica</v>
      </c>
      <c r="CD16" s="79" t="s">
        <v>177</v>
      </c>
      <c r="CE16" s="79"/>
      <c r="CF16" s="79"/>
      <c r="CG16" s="83" t="s">
        <v>281</v>
      </c>
      <c r="CH16" s="41"/>
      <c r="CI16" s="79" t="s">
        <v>153</v>
      </c>
      <c r="CJ16" s="71"/>
      <c r="CK16" s="79">
        <f t="shared" si="6"/>
        <v>0</v>
      </c>
      <c r="CL16" s="79"/>
      <c r="CM16" s="79"/>
      <c r="CN16" s="79"/>
      <c r="CO16" s="79"/>
      <c r="CP16" s="79"/>
      <c r="CQ16" s="79"/>
      <c r="CR16" s="83" t="s">
        <v>179</v>
      </c>
      <c r="CS16" s="83" t="s">
        <v>179</v>
      </c>
      <c r="CT16" s="83" t="s">
        <v>179</v>
      </c>
      <c r="CU16" s="83" t="s">
        <v>179</v>
      </c>
      <c r="CV16" s="83" t="s">
        <v>179</v>
      </c>
      <c r="CW16" s="83" t="s">
        <v>179</v>
      </c>
      <c r="CX16" s="79" t="s">
        <v>153</v>
      </c>
      <c r="CY16" s="79">
        <f t="shared" si="7"/>
        <v>0</v>
      </c>
      <c r="CZ16" s="79">
        <v>0</v>
      </c>
      <c r="DA16" s="79">
        <f t="shared" si="8"/>
        <v>0</v>
      </c>
      <c r="DB16" s="84" t="str">
        <f t="shared" si="9"/>
        <v/>
      </c>
      <c r="DC16" s="41"/>
      <c r="DD16" s="79" t="s">
        <v>153</v>
      </c>
      <c r="DE16" s="71"/>
      <c r="DF16" s="85" t="s">
        <v>282</v>
      </c>
      <c r="DG16" s="79">
        <v>12</v>
      </c>
      <c r="DH16" s="86" t="str">
        <f t="shared" si="10"/>
        <v>Completo</v>
      </c>
      <c r="DI16" s="79" t="s">
        <v>181</v>
      </c>
      <c r="DJ16" s="79" t="s">
        <v>182</v>
      </c>
      <c r="DK16" s="79"/>
      <c r="DL16" s="79">
        <v>0</v>
      </c>
      <c r="DM16" s="79">
        <v>0</v>
      </c>
      <c r="DN16" s="79" t="s">
        <v>191</v>
      </c>
      <c r="DO16" s="79"/>
      <c r="DP16" s="79"/>
      <c r="DQ16" s="79"/>
      <c r="DR16" s="75" t="str">
        <f t="shared" si="11"/>
        <v>No aplica</v>
      </c>
      <c r="DS16" s="79"/>
      <c r="DT16" s="79"/>
      <c r="DU16" s="75" t="str">
        <f t="shared" si="12"/>
        <v>No aplica</v>
      </c>
      <c r="DV16" s="79"/>
      <c r="DW16" s="79"/>
      <c r="DX16" s="79"/>
      <c r="DY16" s="79"/>
      <c r="DZ16" s="79"/>
      <c r="EA16" s="79"/>
      <c r="EB16" s="79"/>
      <c r="EC16" s="79"/>
      <c r="ED16" s="79" t="s">
        <v>283</v>
      </c>
      <c r="EE16" s="79" t="str">
        <f t="shared" si="13"/>
        <v>Completo</v>
      </c>
      <c r="EF16" s="41"/>
      <c r="EG16" s="79" t="s">
        <v>152</v>
      </c>
      <c r="EH16" s="71"/>
      <c r="EI16" s="80"/>
      <c r="EJ16" s="71"/>
      <c r="EK16" s="79" t="s">
        <v>179</v>
      </c>
      <c r="EL16" s="76" t="str">
        <f t="shared" si="14"/>
        <v>No requiere</v>
      </c>
      <c r="EM16" s="76" t="str">
        <f t="shared" si="15"/>
        <v>No requiere</v>
      </c>
      <c r="EN16" s="76" t="str">
        <f t="shared" si="23"/>
        <v>No requiere</v>
      </c>
      <c r="EO16" s="71"/>
      <c r="EP16" s="73" t="str">
        <f t="shared" si="17"/>
        <v>No requiere</v>
      </c>
      <c r="EQ16" s="77" t="str">
        <f t="shared" si="18"/>
        <v>No requiere</v>
      </c>
      <c r="ER16" s="71"/>
      <c r="ES16" s="79" t="s">
        <v>179</v>
      </c>
      <c r="ET16" s="73" t="str">
        <f t="shared" si="19"/>
        <v>No requiere</v>
      </c>
      <c r="EU16" s="73" t="str">
        <f t="shared" si="24"/>
        <v>No requiere</v>
      </c>
      <c r="EV16" s="73" t="str">
        <f t="shared" si="21"/>
        <v>No requiere</v>
      </c>
      <c r="EW16" s="73" t="str">
        <f t="shared" si="22"/>
        <v>No requiere</v>
      </c>
      <c r="EX16" s="78"/>
      <c r="EY16" s="78"/>
    </row>
    <row r="17" spans="1:155" ht="46.5" customHeight="1">
      <c r="A17" s="79" t="str">
        <v/>
      </c>
      <c r="B17" s="80" t="s">
        <v>284</v>
      </c>
      <c r="C17" s="81">
        <v>45327</v>
      </c>
      <c r="D17" s="82">
        <v>0.375</v>
      </c>
      <c r="E17" s="79" t="s">
        <v>151</v>
      </c>
      <c r="F17" s="79" t="s">
        <v>152</v>
      </c>
      <c r="G17" s="79" t="s">
        <v>153</v>
      </c>
      <c r="H17" s="79" t="s">
        <v>152</v>
      </c>
      <c r="I17" s="79" t="s">
        <v>152</v>
      </c>
      <c r="J17" s="79" t="s">
        <v>154</v>
      </c>
      <c r="K17" s="79" t="s">
        <v>155</v>
      </c>
      <c r="L17" s="80" t="s">
        <v>194</v>
      </c>
      <c r="M17" s="80" t="s">
        <v>157</v>
      </c>
      <c r="N17" s="79" t="s">
        <v>195</v>
      </c>
      <c r="O17" s="80" t="str">
        <f t="shared" si="0"/>
        <v/>
      </c>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t="s">
        <v>169</v>
      </c>
      <c r="AP17" s="79" t="s">
        <v>170</v>
      </c>
      <c r="AQ17" s="80" t="s">
        <v>171</v>
      </c>
      <c r="AR17" s="80" t="s">
        <v>171</v>
      </c>
      <c r="AS17" s="80" t="s">
        <v>171</v>
      </c>
      <c r="AT17" s="80" t="str">
        <f t="shared" si="1"/>
        <v>Distrital</v>
      </c>
      <c r="AU17" s="79" t="s">
        <v>172</v>
      </c>
      <c r="AV17" s="79"/>
      <c r="AW17" s="79"/>
      <c r="AX17" s="79"/>
      <c r="AY17" s="79"/>
      <c r="AZ17" s="79"/>
      <c r="BA17" s="80" t="str">
        <f t="shared" si="2"/>
        <v>Distrital</v>
      </c>
      <c r="BB17" s="79" t="s">
        <v>172</v>
      </c>
      <c r="BC17" s="79"/>
      <c r="BD17" s="79"/>
      <c r="BE17" s="79"/>
      <c r="BF17" s="79"/>
      <c r="BG17" s="79"/>
      <c r="BH17" s="80" t="str">
        <f t="shared" si="3"/>
        <v>Distrital</v>
      </c>
      <c r="BI17" s="79" t="s">
        <v>172</v>
      </c>
      <c r="BJ17" s="79"/>
      <c r="BK17" s="79"/>
      <c r="BL17" s="79"/>
      <c r="BM17" s="79"/>
      <c r="BN17" s="79"/>
      <c r="BO17" s="79"/>
      <c r="BP17" s="79"/>
      <c r="BQ17" s="79"/>
      <c r="BR17" s="79"/>
      <c r="BS17" s="80" t="s">
        <v>173</v>
      </c>
      <c r="BT17" s="80" t="s">
        <v>174</v>
      </c>
      <c r="BU17" s="80" t="s">
        <v>285</v>
      </c>
      <c r="BV17" s="71"/>
      <c r="BW17" s="79" t="s">
        <v>153</v>
      </c>
      <c r="BX17" s="79" t="s">
        <v>176</v>
      </c>
      <c r="BY17" s="71"/>
      <c r="BZ17" s="79">
        <v>15</v>
      </c>
      <c r="CA17" s="79">
        <v>5</v>
      </c>
      <c r="CB17" s="79">
        <f t="shared" si="4"/>
        <v>20</v>
      </c>
      <c r="CC17" s="79" t="str">
        <f t="shared" si="5"/>
        <v>No Aplica</v>
      </c>
      <c r="CD17" s="79" t="s">
        <v>177</v>
      </c>
      <c r="CE17" s="79"/>
      <c r="CF17" s="79"/>
      <c r="CG17" s="83" t="s">
        <v>178</v>
      </c>
      <c r="CH17" s="41"/>
      <c r="CI17" s="79" t="s">
        <v>153</v>
      </c>
      <c r="CJ17" s="71"/>
      <c r="CK17" s="79">
        <f t="shared" si="6"/>
        <v>0</v>
      </c>
      <c r="CL17" s="79"/>
      <c r="CM17" s="79"/>
      <c r="CN17" s="79"/>
      <c r="CO17" s="79"/>
      <c r="CP17" s="79"/>
      <c r="CQ17" s="79"/>
      <c r="CR17" s="83" t="s">
        <v>179</v>
      </c>
      <c r="CS17" s="83" t="s">
        <v>179</v>
      </c>
      <c r="CT17" s="83" t="s">
        <v>179</v>
      </c>
      <c r="CU17" s="83" t="s">
        <v>179</v>
      </c>
      <c r="CV17" s="83" t="s">
        <v>179</v>
      </c>
      <c r="CW17" s="83" t="s">
        <v>179</v>
      </c>
      <c r="CX17" s="79" t="s">
        <v>153</v>
      </c>
      <c r="CY17" s="79">
        <f t="shared" si="7"/>
        <v>0</v>
      </c>
      <c r="CZ17" s="79">
        <v>0</v>
      </c>
      <c r="DA17" s="79">
        <f t="shared" si="8"/>
        <v>0</v>
      </c>
      <c r="DB17" s="84" t="str">
        <f t="shared" si="9"/>
        <v/>
      </c>
      <c r="DC17" s="41"/>
      <c r="DD17" s="79" t="s">
        <v>153</v>
      </c>
      <c r="DE17" s="71"/>
      <c r="DF17" s="85" t="s">
        <v>286</v>
      </c>
      <c r="DG17" s="79">
        <v>13</v>
      </c>
      <c r="DH17" s="86" t="str">
        <f t="shared" si="10"/>
        <v>Completo</v>
      </c>
      <c r="DI17" s="79" t="s">
        <v>181</v>
      </c>
      <c r="DJ17" s="79" t="s">
        <v>182</v>
      </c>
      <c r="DK17" s="79"/>
      <c r="DL17" s="79">
        <v>0</v>
      </c>
      <c r="DM17" s="79">
        <v>0</v>
      </c>
      <c r="DN17" s="79" t="s">
        <v>182</v>
      </c>
      <c r="DO17" s="79"/>
      <c r="DP17" s="79"/>
      <c r="DQ17" s="79"/>
      <c r="DR17" s="75" t="str">
        <f t="shared" si="11"/>
        <v>No aplica</v>
      </c>
      <c r="DS17" s="79"/>
      <c r="DT17" s="79"/>
      <c r="DU17" s="75" t="str">
        <f t="shared" si="12"/>
        <v>No aplica</v>
      </c>
      <c r="DV17" s="79" t="s">
        <v>182</v>
      </c>
      <c r="DW17" s="79" t="s">
        <v>182</v>
      </c>
      <c r="DX17" s="79"/>
      <c r="DY17" s="79"/>
      <c r="DZ17" s="79"/>
      <c r="EA17" s="79"/>
      <c r="EB17" s="79" t="s">
        <v>191</v>
      </c>
      <c r="EC17" s="79"/>
      <c r="ED17" s="79" t="s">
        <v>184</v>
      </c>
      <c r="EE17" s="79" t="str">
        <f t="shared" si="13"/>
        <v>Completo</v>
      </c>
      <c r="EF17" s="41"/>
      <c r="EG17" s="79" t="s">
        <v>153</v>
      </c>
      <c r="EH17" s="71"/>
      <c r="EI17" s="80"/>
      <c r="EJ17" s="71"/>
      <c r="EK17" s="79" t="s">
        <v>179</v>
      </c>
      <c r="EL17" s="76" t="str">
        <f t="shared" si="14"/>
        <v>No requiere</v>
      </c>
      <c r="EM17" s="76" t="str">
        <f t="shared" si="15"/>
        <v>No requiere</v>
      </c>
      <c r="EN17" s="76" t="str">
        <f t="shared" si="23"/>
        <v>No requiere</v>
      </c>
      <c r="EO17" s="71"/>
      <c r="EP17" s="73" t="str">
        <f t="shared" si="17"/>
        <v>No requiere</v>
      </c>
      <c r="EQ17" s="77" t="str">
        <f t="shared" si="18"/>
        <v>No requiere</v>
      </c>
      <c r="ER17" s="71"/>
      <c r="ES17" s="79" t="s">
        <v>179</v>
      </c>
      <c r="ET17" s="73" t="str">
        <f t="shared" si="19"/>
        <v>No requiere</v>
      </c>
      <c r="EU17" s="73" t="str">
        <f t="shared" si="24"/>
        <v>No requiere</v>
      </c>
      <c r="EV17" s="73" t="str">
        <f t="shared" si="21"/>
        <v>No requiere</v>
      </c>
      <c r="EW17" s="73" t="str">
        <f t="shared" si="22"/>
        <v>No requiere</v>
      </c>
      <c r="EX17" s="78"/>
      <c r="EY17" s="78"/>
    </row>
    <row r="18" spans="1:155" ht="46.5" customHeight="1">
      <c r="A18" s="79" t="str">
        <v/>
      </c>
      <c r="B18" s="80" t="s">
        <v>287</v>
      </c>
      <c r="C18" s="81">
        <v>45329</v>
      </c>
      <c r="D18" s="82">
        <v>0.58333333333333337</v>
      </c>
      <c r="E18" s="79" t="s">
        <v>151</v>
      </c>
      <c r="F18" s="79" t="s">
        <v>152</v>
      </c>
      <c r="G18" s="79" t="s">
        <v>153</v>
      </c>
      <c r="H18" s="79" t="s">
        <v>152</v>
      </c>
      <c r="I18" s="79" t="s">
        <v>152</v>
      </c>
      <c r="J18" s="79" t="s">
        <v>154</v>
      </c>
      <c r="K18" s="79" t="s">
        <v>155</v>
      </c>
      <c r="L18" s="80" t="s">
        <v>194</v>
      </c>
      <c r="M18" s="80" t="s">
        <v>157</v>
      </c>
      <c r="N18" s="79" t="s">
        <v>164</v>
      </c>
      <c r="O18" s="80" t="str">
        <f t="shared" si="0"/>
        <v/>
      </c>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t="s">
        <v>169</v>
      </c>
      <c r="AP18" s="79" t="s">
        <v>170</v>
      </c>
      <c r="AQ18" s="80" t="s">
        <v>171</v>
      </c>
      <c r="AR18" s="80" t="s">
        <v>171</v>
      </c>
      <c r="AS18" s="80" t="s">
        <v>171</v>
      </c>
      <c r="AT18" s="80" t="str">
        <f t="shared" si="1"/>
        <v>Distrital</v>
      </c>
      <c r="AU18" s="79" t="s">
        <v>172</v>
      </c>
      <c r="AV18" s="79"/>
      <c r="AW18" s="79"/>
      <c r="AX18" s="79"/>
      <c r="AY18" s="79"/>
      <c r="AZ18" s="79"/>
      <c r="BA18" s="80" t="str">
        <f t="shared" si="2"/>
        <v>Distrital</v>
      </c>
      <c r="BB18" s="79" t="s">
        <v>172</v>
      </c>
      <c r="BC18" s="79"/>
      <c r="BD18" s="79"/>
      <c r="BE18" s="79"/>
      <c r="BF18" s="79"/>
      <c r="BG18" s="79"/>
      <c r="BH18" s="80" t="str">
        <f t="shared" si="3"/>
        <v>Distrital</v>
      </c>
      <c r="BI18" s="79" t="s">
        <v>172</v>
      </c>
      <c r="BJ18" s="79"/>
      <c r="BK18" s="79"/>
      <c r="BL18" s="79"/>
      <c r="BM18" s="79"/>
      <c r="BN18" s="79"/>
      <c r="BO18" s="79"/>
      <c r="BP18" s="79"/>
      <c r="BQ18" s="79"/>
      <c r="BR18" s="79"/>
      <c r="BS18" s="80" t="s">
        <v>288</v>
      </c>
      <c r="BT18" s="80" t="s">
        <v>174</v>
      </c>
      <c r="BU18" s="80" t="s">
        <v>197</v>
      </c>
      <c r="BV18" s="71"/>
      <c r="BW18" s="79" t="s">
        <v>153</v>
      </c>
      <c r="BX18" s="79" t="s">
        <v>176</v>
      </c>
      <c r="BY18" s="71"/>
      <c r="BZ18" s="79">
        <v>6</v>
      </c>
      <c r="CA18" s="79">
        <v>5</v>
      </c>
      <c r="CB18" s="79">
        <f t="shared" si="4"/>
        <v>11</v>
      </c>
      <c r="CC18" s="79" t="str">
        <f t="shared" si="5"/>
        <v>No Aplica</v>
      </c>
      <c r="CD18" s="79" t="s">
        <v>177</v>
      </c>
      <c r="CE18" s="79"/>
      <c r="CF18" s="79"/>
      <c r="CG18" s="83" t="s">
        <v>289</v>
      </c>
      <c r="CH18" s="41"/>
      <c r="CI18" s="79" t="s">
        <v>153</v>
      </c>
      <c r="CJ18" s="71"/>
      <c r="CK18" s="79">
        <f t="shared" si="6"/>
        <v>0</v>
      </c>
      <c r="CL18" s="79"/>
      <c r="CM18" s="79"/>
      <c r="CN18" s="79"/>
      <c r="CO18" s="79"/>
      <c r="CP18" s="79"/>
      <c r="CQ18" s="79"/>
      <c r="CR18" s="83" t="s">
        <v>179</v>
      </c>
      <c r="CS18" s="83" t="s">
        <v>179</v>
      </c>
      <c r="CT18" s="83" t="s">
        <v>179</v>
      </c>
      <c r="CU18" s="83" t="s">
        <v>179</v>
      </c>
      <c r="CV18" s="83" t="s">
        <v>179</v>
      </c>
      <c r="CW18" s="83" t="s">
        <v>179</v>
      </c>
      <c r="CX18" s="79" t="s">
        <v>153</v>
      </c>
      <c r="CY18" s="79">
        <f t="shared" si="7"/>
        <v>0</v>
      </c>
      <c r="CZ18" s="79">
        <v>0</v>
      </c>
      <c r="DA18" s="79">
        <f t="shared" si="8"/>
        <v>0</v>
      </c>
      <c r="DB18" s="84" t="str">
        <f t="shared" si="9"/>
        <v/>
      </c>
      <c r="DC18" s="41"/>
      <c r="DD18" s="79" t="s">
        <v>153</v>
      </c>
      <c r="DE18" s="71"/>
      <c r="DF18" s="85" t="s">
        <v>290</v>
      </c>
      <c r="DG18" s="79">
        <v>14</v>
      </c>
      <c r="DH18" s="86" t="str">
        <f t="shared" si="10"/>
        <v>Completo</v>
      </c>
      <c r="DI18" s="79" t="s">
        <v>181</v>
      </c>
      <c r="DJ18" s="79" t="s">
        <v>182</v>
      </c>
      <c r="DK18" s="79"/>
      <c r="DL18" s="79">
        <v>0</v>
      </c>
      <c r="DM18" s="79">
        <v>0</v>
      </c>
      <c r="DN18" s="79" t="s">
        <v>182</v>
      </c>
      <c r="DO18" s="79"/>
      <c r="DP18" s="79"/>
      <c r="DQ18" s="79"/>
      <c r="DR18" s="75" t="str">
        <f t="shared" si="11"/>
        <v>No aplica</v>
      </c>
      <c r="DS18" s="79"/>
      <c r="DT18" s="79"/>
      <c r="DU18" s="75" t="str">
        <f t="shared" si="12"/>
        <v>No aplica</v>
      </c>
      <c r="DV18" s="79" t="s">
        <v>182</v>
      </c>
      <c r="DW18" s="79" t="s">
        <v>182</v>
      </c>
      <c r="DX18" s="79"/>
      <c r="DY18" s="79"/>
      <c r="DZ18" s="79"/>
      <c r="EA18" s="79"/>
      <c r="EB18" s="79" t="s">
        <v>191</v>
      </c>
      <c r="EC18" s="79"/>
      <c r="ED18" s="79" t="s">
        <v>184</v>
      </c>
      <c r="EE18" s="79" t="str">
        <f t="shared" si="13"/>
        <v>Completo</v>
      </c>
      <c r="EF18" s="41"/>
      <c r="EG18" s="79" t="s">
        <v>153</v>
      </c>
      <c r="EH18" s="71"/>
      <c r="EI18" s="80"/>
      <c r="EJ18" s="71"/>
      <c r="EK18" s="79" t="s">
        <v>179</v>
      </c>
      <c r="EL18" s="76" t="str">
        <f t="shared" si="14"/>
        <v>No requiere</v>
      </c>
      <c r="EM18" s="76" t="str">
        <f t="shared" si="15"/>
        <v>No requiere</v>
      </c>
      <c r="EN18" s="76" t="str">
        <f t="shared" si="23"/>
        <v>No requiere</v>
      </c>
      <c r="EO18" s="71"/>
      <c r="EP18" s="73" t="str">
        <f t="shared" si="17"/>
        <v>No requiere</v>
      </c>
      <c r="EQ18" s="77" t="str">
        <f t="shared" si="18"/>
        <v>No requiere</v>
      </c>
      <c r="ER18" s="71"/>
      <c r="ES18" s="79" t="s">
        <v>179</v>
      </c>
      <c r="ET18" s="73" t="str">
        <f t="shared" si="19"/>
        <v>No requiere</v>
      </c>
      <c r="EU18" s="73" t="str">
        <f t="shared" si="24"/>
        <v>No requiere</v>
      </c>
      <c r="EV18" s="73" t="str">
        <f t="shared" si="21"/>
        <v>No requiere</v>
      </c>
      <c r="EW18" s="73" t="str">
        <f t="shared" si="22"/>
        <v>No requiere</v>
      </c>
      <c r="EX18" s="78"/>
      <c r="EY18" s="78"/>
    </row>
    <row r="19" spans="1:155" ht="46.5" customHeight="1">
      <c r="A19" s="79" t="str">
        <v/>
      </c>
      <c r="B19" s="80" t="s">
        <v>291</v>
      </c>
      <c r="C19" s="81">
        <v>45330</v>
      </c>
      <c r="D19" s="82">
        <v>0.64583333333333337</v>
      </c>
      <c r="E19" s="79" t="s">
        <v>151</v>
      </c>
      <c r="F19" s="79" t="s">
        <v>152</v>
      </c>
      <c r="G19" s="79" t="s">
        <v>153</v>
      </c>
      <c r="H19" s="79" t="s">
        <v>152</v>
      </c>
      <c r="I19" s="79" t="s">
        <v>152</v>
      </c>
      <c r="J19" s="79" t="s">
        <v>251</v>
      </c>
      <c r="K19" s="79" t="s">
        <v>202</v>
      </c>
      <c r="L19" s="80" t="s">
        <v>292</v>
      </c>
      <c r="M19" s="80" t="s">
        <v>157</v>
      </c>
      <c r="N19" s="79" t="s">
        <v>158</v>
      </c>
      <c r="O19" s="80" t="str">
        <f t="shared" si="0"/>
        <v>PENDIENTE, PENDIENTE</v>
      </c>
      <c r="P19" s="79" t="s">
        <v>196</v>
      </c>
      <c r="Q19" s="79" t="s">
        <v>196</v>
      </c>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t="s">
        <v>169</v>
      </c>
      <c r="AP19" s="79" t="s">
        <v>170</v>
      </c>
      <c r="AQ19" s="80" t="s">
        <v>293</v>
      </c>
      <c r="AR19" s="83" t="s">
        <v>294</v>
      </c>
      <c r="AS19" s="80" t="s">
        <v>295</v>
      </c>
      <c r="AT19" s="80" t="str">
        <f t="shared" si="1"/>
        <v>Distrital</v>
      </c>
      <c r="AU19" s="79" t="s">
        <v>172</v>
      </c>
      <c r="AV19" s="79"/>
      <c r="AW19" s="79"/>
      <c r="AX19" s="79"/>
      <c r="AY19" s="79"/>
      <c r="AZ19" s="79"/>
      <c r="BA19" s="80" t="str">
        <f t="shared" si="2"/>
        <v>Distrital</v>
      </c>
      <c r="BB19" s="79" t="s">
        <v>172</v>
      </c>
      <c r="BC19" s="79"/>
      <c r="BD19" s="79"/>
      <c r="BE19" s="79"/>
      <c r="BF19" s="79"/>
      <c r="BG19" s="79"/>
      <c r="BH19" s="80" t="str">
        <f t="shared" si="3"/>
        <v>Distrital</v>
      </c>
      <c r="BI19" s="79" t="s">
        <v>172</v>
      </c>
      <c r="BJ19" s="79"/>
      <c r="BK19" s="79"/>
      <c r="BL19" s="79"/>
      <c r="BM19" s="79"/>
      <c r="BN19" s="79"/>
      <c r="BO19" s="79"/>
      <c r="BP19" s="79"/>
      <c r="BQ19" s="79"/>
      <c r="BR19" s="79"/>
      <c r="BS19" s="80" t="s">
        <v>288</v>
      </c>
      <c r="BT19" s="80" t="s">
        <v>174</v>
      </c>
      <c r="BU19" s="89" t="s">
        <v>296</v>
      </c>
      <c r="BV19" s="71"/>
      <c r="BW19" s="79" t="s">
        <v>152</v>
      </c>
      <c r="BX19" s="79" t="s">
        <v>179</v>
      </c>
      <c r="BY19" s="71"/>
      <c r="BZ19" s="79">
        <v>0</v>
      </c>
      <c r="CA19" s="79">
        <v>10</v>
      </c>
      <c r="CB19" s="79">
        <f t="shared" si="4"/>
        <v>10</v>
      </c>
      <c r="CC19" s="79" t="str">
        <f t="shared" si="5"/>
        <v>No Aplica</v>
      </c>
      <c r="CD19" s="79" t="s">
        <v>177</v>
      </c>
      <c r="CE19" s="79"/>
      <c r="CF19" s="79"/>
      <c r="CG19" s="83" t="s">
        <v>297</v>
      </c>
      <c r="CH19" s="41"/>
      <c r="CI19" s="79" t="s">
        <v>153</v>
      </c>
      <c r="CJ19" s="71"/>
      <c r="CK19" s="79">
        <f t="shared" si="6"/>
        <v>0</v>
      </c>
      <c r="CL19" s="79"/>
      <c r="CM19" s="79"/>
      <c r="CN19" s="79"/>
      <c r="CO19" s="79"/>
      <c r="CP19" s="79"/>
      <c r="CQ19" s="79"/>
      <c r="CR19" s="83" t="s">
        <v>179</v>
      </c>
      <c r="CS19" s="83" t="s">
        <v>179</v>
      </c>
      <c r="CT19" s="83" t="s">
        <v>179</v>
      </c>
      <c r="CU19" s="83" t="s">
        <v>179</v>
      </c>
      <c r="CV19" s="83" t="s">
        <v>179</v>
      </c>
      <c r="CW19" s="83" t="s">
        <v>179</v>
      </c>
      <c r="CX19" s="79" t="s">
        <v>153</v>
      </c>
      <c r="CY19" s="79">
        <f t="shared" si="7"/>
        <v>0</v>
      </c>
      <c r="CZ19" s="79">
        <v>0</v>
      </c>
      <c r="DA19" s="79">
        <f t="shared" si="8"/>
        <v>0</v>
      </c>
      <c r="DB19" s="84" t="str">
        <f t="shared" si="9"/>
        <v/>
      </c>
      <c r="DC19" s="41"/>
      <c r="DD19" s="79" t="s">
        <v>153</v>
      </c>
      <c r="DE19" s="71"/>
      <c r="DF19" s="85" t="s">
        <v>298</v>
      </c>
      <c r="DG19" s="79">
        <v>15</v>
      </c>
      <c r="DH19" s="86" t="str">
        <f t="shared" si="10"/>
        <v>Completo</v>
      </c>
      <c r="DI19" s="79" t="s">
        <v>181</v>
      </c>
      <c r="DJ19" s="79" t="s">
        <v>182</v>
      </c>
      <c r="DK19" s="79"/>
      <c r="DL19" s="79">
        <v>0</v>
      </c>
      <c r="DM19" s="79">
        <v>0</v>
      </c>
      <c r="DN19" s="79" t="s">
        <v>191</v>
      </c>
      <c r="DO19" s="79"/>
      <c r="DP19" s="79"/>
      <c r="DQ19" s="79"/>
      <c r="DR19" s="75" t="str">
        <f t="shared" si="11"/>
        <v>No aplica</v>
      </c>
      <c r="DS19" s="79"/>
      <c r="DT19" s="79"/>
      <c r="DU19" s="75" t="str">
        <f t="shared" si="12"/>
        <v>No aplica</v>
      </c>
      <c r="DV19" s="79" t="s">
        <v>182</v>
      </c>
      <c r="DW19" s="79" t="s">
        <v>191</v>
      </c>
      <c r="DX19" s="79"/>
      <c r="DY19" s="79"/>
      <c r="DZ19" s="79"/>
      <c r="EA19" s="79"/>
      <c r="EB19" s="79" t="s">
        <v>191</v>
      </c>
      <c r="EC19" s="79"/>
      <c r="ED19" s="79" t="s">
        <v>299</v>
      </c>
      <c r="EE19" s="79" t="str">
        <f t="shared" si="13"/>
        <v>Completo</v>
      </c>
      <c r="EF19" s="41"/>
      <c r="EG19" s="79" t="s">
        <v>153</v>
      </c>
      <c r="EH19" s="71"/>
      <c r="EI19" s="80"/>
      <c r="EJ19" s="71"/>
      <c r="EK19" s="79" t="s">
        <v>179</v>
      </c>
      <c r="EL19" s="76" t="str">
        <f t="shared" si="14"/>
        <v>No requiere</v>
      </c>
      <c r="EM19" s="76" t="str">
        <f t="shared" si="15"/>
        <v>No requiere</v>
      </c>
      <c r="EN19" s="76" t="str">
        <f t="shared" si="23"/>
        <v>No requiere</v>
      </c>
      <c r="EO19" s="71"/>
      <c r="EP19" s="73" t="str">
        <f t="shared" si="17"/>
        <v>No requiere</v>
      </c>
      <c r="EQ19" s="77" t="str">
        <f t="shared" si="18"/>
        <v>No requiere</v>
      </c>
      <c r="ER19" s="71"/>
      <c r="ES19" s="79" t="s">
        <v>179</v>
      </c>
      <c r="ET19" s="73" t="str">
        <f t="shared" si="19"/>
        <v>No requiere</v>
      </c>
      <c r="EU19" s="73" t="str">
        <f t="shared" si="24"/>
        <v>No requiere</v>
      </c>
      <c r="EV19" s="73" t="str">
        <f t="shared" si="21"/>
        <v>No requiere</v>
      </c>
      <c r="EW19" s="73" t="str">
        <f t="shared" si="22"/>
        <v>No requiere</v>
      </c>
      <c r="EX19" s="78"/>
      <c r="EY19" s="78"/>
    </row>
    <row r="20" spans="1:155" ht="46.5" customHeight="1">
      <c r="A20" s="79">
        <v>16</v>
      </c>
      <c r="B20" s="80" t="s">
        <v>300</v>
      </c>
      <c r="C20" s="81">
        <v>45331</v>
      </c>
      <c r="D20" s="82">
        <v>0.35416666666666669</v>
      </c>
      <c r="E20" s="79" t="s">
        <v>200</v>
      </c>
      <c r="F20" s="79" t="s">
        <v>153</v>
      </c>
      <c r="G20" s="79" t="s">
        <v>152</v>
      </c>
      <c r="H20" s="79" t="s">
        <v>152</v>
      </c>
      <c r="I20" s="79" t="s">
        <v>152</v>
      </c>
      <c r="J20" s="79" t="s">
        <v>301</v>
      </c>
      <c r="K20" s="79" t="s">
        <v>202</v>
      </c>
      <c r="L20" s="80" t="s">
        <v>302</v>
      </c>
      <c r="M20" s="80" t="s">
        <v>303</v>
      </c>
      <c r="N20" s="79" t="s">
        <v>166</v>
      </c>
      <c r="O20" s="80" t="str">
        <f t="shared" si="0"/>
        <v/>
      </c>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t="s">
        <v>304</v>
      </c>
      <c r="AP20" s="79"/>
      <c r="AQ20" s="80" t="s">
        <v>305</v>
      </c>
      <c r="AR20" s="83">
        <v>3143970232</v>
      </c>
      <c r="AS20" s="80" t="s">
        <v>306</v>
      </c>
      <c r="AT20" s="80" t="str">
        <f t="shared" si="1"/>
        <v>Distrital</v>
      </c>
      <c r="AU20" s="79" t="s">
        <v>172</v>
      </c>
      <c r="AV20" s="79"/>
      <c r="AW20" s="79"/>
      <c r="AX20" s="79"/>
      <c r="AY20" s="79"/>
      <c r="AZ20" s="79"/>
      <c r="BA20" s="80" t="str">
        <f t="shared" si="2"/>
        <v>Distrital</v>
      </c>
      <c r="BB20" s="79" t="s">
        <v>172</v>
      </c>
      <c r="BC20" s="79"/>
      <c r="BD20" s="79"/>
      <c r="BE20" s="79"/>
      <c r="BF20" s="79"/>
      <c r="BG20" s="79"/>
      <c r="BH20" s="80" t="str">
        <f t="shared" si="3"/>
        <v>Distrital</v>
      </c>
      <c r="BI20" s="79" t="s">
        <v>172</v>
      </c>
      <c r="BJ20" s="79"/>
      <c r="BK20" s="79"/>
      <c r="BL20" s="79"/>
      <c r="BM20" s="79"/>
      <c r="BN20" s="79"/>
      <c r="BO20" s="79"/>
      <c r="BP20" s="79"/>
      <c r="BQ20" s="79"/>
      <c r="BR20" s="79"/>
      <c r="BS20" s="80" t="s">
        <v>288</v>
      </c>
      <c r="BT20" s="80" t="s">
        <v>174</v>
      </c>
      <c r="BU20" s="80" t="s">
        <v>307</v>
      </c>
      <c r="BV20" s="71"/>
      <c r="BW20" s="79" t="s">
        <v>152</v>
      </c>
      <c r="BX20" s="79" t="s">
        <v>179</v>
      </c>
      <c r="BY20" s="71"/>
      <c r="BZ20" s="79">
        <v>0</v>
      </c>
      <c r="CA20" s="79">
        <v>2</v>
      </c>
      <c r="CB20" s="79">
        <f t="shared" si="4"/>
        <v>2</v>
      </c>
      <c r="CC20" s="79" t="str">
        <f t="shared" si="5"/>
        <v>No Aplica</v>
      </c>
      <c r="CD20" s="79" t="s">
        <v>177</v>
      </c>
      <c r="CE20" s="79"/>
      <c r="CF20" s="79"/>
      <c r="CG20" s="83" t="s">
        <v>308</v>
      </c>
      <c r="CH20" s="41"/>
      <c r="CI20" s="79" t="s">
        <v>153</v>
      </c>
      <c r="CJ20" s="71"/>
      <c r="CK20" s="79">
        <f t="shared" si="6"/>
        <v>0</v>
      </c>
      <c r="CL20" s="79"/>
      <c r="CM20" s="79"/>
      <c r="CN20" s="79"/>
      <c r="CO20" s="79"/>
      <c r="CP20" s="79"/>
      <c r="CQ20" s="79"/>
      <c r="CR20" s="83" t="s">
        <v>179</v>
      </c>
      <c r="CS20" s="83" t="s">
        <v>179</v>
      </c>
      <c r="CT20" s="83" t="s">
        <v>179</v>
      </c>
      <c r="CU20" s="83" t="s">
        <v>179</v>
      </c>
      <c r="CV20" s="83" t="s">
        <v>179</v>
      </c>
      <c r="CW20" s="83" t="s">
        <v>179</v>
      </c>
      <c r="CX20" s="79" t="s">
        <v>153</v>
      </c>
      <c r="CY20" s="79">
        <f t="shared" si="7"/>
        <v>0</v>
      </c>
      <c r="CZ20" s="79">
        <v>0</v>
      </c>
      <c r="DA20" s="79">
        <f t="shared" si="8"/>
        <v>0</v>
      </c>
      <c r="DB20" s="84" t="str">
        <f t="shared" si="9"/>
        <v/>
      </c>
      <c r="DC20" s="41"/>
      <c r="DD20" s="79" t="s">
        <v>153</v>
      </c>
      <c r="DE20" s="71"/>
      <c r="DF20" s="85" t="s">
        <v>309</v>
      </c>
      <c r="DG20" s="79">
        <v>16</v>
      </c>
      <c r="DH20" s="86" t="str">
        <f t="shared" si="10"/>
        <v>Completo</v>
      </c>
      <c r="DI20" s="79" t="s">
        <v>181</v>
      </c>
      <c r="DJ20" s="79" t="s">
        <v>182</v>
      </c>
      <c r="DK20" s="79"/>
      <c r="DL20" s="79">
        <v>0</v>
      </c>
      <c r="DM20" s="79">
        <v>0</v>
      </c>
      <c r="DN20" s="79" t="s">
        <v>191</v>
      </c>
      <c r="DO20" s="79"/>
      <c r="DP20" s="79"/>
      <c r="DQ20" s="79"/>
      <c r="DR20" s="75" t="str">
        <f t="shared" si="11"/>
        <v>No aplica</v>
      </c>
      <c r="DS20" s="79"/>
      <c r="DT20" s="79"/>
      <c r="DU20" s="75" t="str">
        <f t="shared" si="12"/>
        <v>No aplica</v>
      </c>
      <c r="DV20" s="79" t="s">
        <v>182</v>
      </c>
      <c r="DW20" s="79" t="s">
        <v>182</v>
      </c>
      <c r="DX20" s="79"/>
      <c r="DY20" s="79"/>
      <c r="DZ20" s="79"/>
      <c r="EA20" s="79"/>
      <c r="EB20" s="79" t="s">
        <v>191</v>
      </c>
      <c r="EC20" s="79"/>
      <c r="ED20" s="79" t="s">
        <v>184</v>
      </c>
      <c r="EE20" s="79" t="str">
        <f t="shared" si="13"/>
        <v>Completo</v>
      </c>
      <c r="EF20" s="41"/>
      <c r="EG20" s="79" t="s">
        <v>153</v>
      </c>
      <c r="EH20" s="71"/>
      <c r="EI20" s="80"/>
      <c r="EJ20" s="71"/>
      <c r="EK20" s="79" t="s">
        <v>179</v>
      </c>
      <c r="EL20" s="76" t="str">
        <f t="shared" si="14"/>
        <v>No requiere</v>
      </c>
      <c r="EM20" s="76" t="str">
        <f t="shared" si="15"/>
        <v>No requiere</v>
      </c>
      <c r="EN20" s="76" t="str">
        <f t="shared" si="23"/>
        <v>No requiere</v>
      </c>
      <c r="EO20" s="71"/>
      <c r="EP20" s="73" t="str">
        <f t="shared" si="17"/>
        <v>No requiere</v>
      </c>
      <c r="EQ20" s="77" t="str">
        <f t="shared" si="18"/>
        <v>No requiere</v>
      </c>
      <c r="ER20" s="71"/>
      <c r="ES20" s="79" t="s">
        <v>179</v>
      </c>
      <c r="ET20" s="73" t="str">
        <f t="shared" si="19"/>
        <v>No requiere</v>
      </c>
      <c r="EU20" s="73" t="str">
        <f t="shared" si="24"/>
        <v>No requiere</v>
      </c>
      <c r="EV20" s="73" t="str">
        <f t="shared" si="21"/>
        <v>No requiere</v>
      </c>
      <c r="EW20" s="73" t="str">
        <f t="shared" si="22"/>
        <v>No requiere</v>
      </c>
      <c r="EX20" s="78"/>
      <c r="EY20" s="78"/>
    </row>
    <row r="21" spans="1:155" ht="46.5" customHeight="1">
      <c r="A21" s="79" t="str">
        <v/>
      </c>
      <c r="B21" s="80" t="s">
        <v>310</v>
      </c>
      <c r="C21" s="81">
        <v>45331</v>
      </c>
      <c r="D21" s="82">
        <v>0.45833333333333331</v>
      </c>
      <c r="E21" s="79" t="s">
        <v>151</v>
      </c>
      <c r="F21" s="79" t="s">
        <v>152</v>
      </c>
      <c r="G21" s="79" t="s">
        <v>153</v>
      </c>
      <c r="H21" s="79" t="s">
        <v>152</v>
      </c>
      <c r="I21" s="79" t="s">
        <v>152</v>
      </c>
      <c r="J21" s="79" t="s">
        <v>154</v>
      </c>
      <c r="K21" s="79" t="s">
        <v>202</v>
      </c>
      <c r="L21" s="80" t="s">
        <v>311</v>
      </c>
      <c r="M21" s="80" t="s">
        <v>157</v>
      </c>
      <c r="N21" s="79" t="s">
        <v>167</v>
      </c>
      <c r="O21" s="80" t="str">
        <f t="shared" si="0"/>
        <v/>
      </c>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t="s">
        <v>169</v>
      </c>
      <c r="AP21" s="79" t="s">
        <v>170</v>
      </c>
      <c r="AQ21" s="80" t="s">
        <v>312</v>
      </c>
      <c r="AR21" s="80">
        <v>3108688172</v>
      </c>
      <c r="AS21" s="80" t="s">
        <v>313</v>
      </c>
      <c r="AT21" s="80" t="str">
        <f t="shared" si="1"/>
        <v>Distrital</v>
      </c>
      <c r="AU21" s="79" t="s">
        <v>172</v>
      </c>
      <c r="AV21" s="79"/>
      <c r="AW21" s="79"/>
      <c r="AX21" s="79"/>
      <c r="AY21" s="79"/>
      <c r="AZ21" s="79"/>
      <c r="BA21" s="80" t="str">
        <f t="shared" si="2"/>
        <v>Distrital</v>
      </c>
      <c r="BB21" s="79" t="s">
        <v>172</v>
      </c>
      <c r="BC21" s="79"/>
      <c r="BD21" s="79"/>
      <c r="BE21" s="79"/>
      <c r="BF21" s="79"/>
      <c r="BG21" s="79"/>
      <c r="BH21" s="80" t="str">
        <f t="shared" si="3"/>
        <v>Distrital</v>
      </c>
      <c r="BI21" s="79" t="s">
        <v>172</v>
      </c>
      <c r="BJ21" s="79"/>
      <c r="BK21" s="79"/>
      <c r="BL21" s="79"/>
      <c r="BM21" s="79"/>
      <c r="BN21" s="79"/>
      <c r="BO21" s="79"/>
      <c r="BP21" s="79"/>
      <c r="BQ21" s="79"/>
      <c r="BR21" s="79"/>
      <c r="BS21" s="80" t="s">
        <v>173</v>
      </c>
      <c r="BT21" s="80" t="s">
        <v>174</v>
      </c>
      <c r="BU21" s="80" t="s">
        <v>314</v>
      </c>
      <c r="BV21" s="71"/>
      <c r="BW21" s="79" t="s">
        <v>153</v>
      </c>
      <c r="BX21" s="79" t="s">
        <v>176</v>
      </c>
      <c r="BY21" s="71"/>
      <c r="BZ21" s="79">
        <v>5</v>
      </c>
      <c r="CA21" s="79">
        <v>3</v>
      </c>
      <c r="CB21" s="79">
        <v>8</v>
      </c>
      <c r="CC21" s="79" t="str">
        <f t="shared" si="5"/>
        <v>No Aplica</v>
      </c>
      <c r="CD21" s="79" t="s">
        <v>177</v>
      </c>
      <c r="CE21" s="79"/>
      <c r="CF21" s="79"/>
      <c r="CG21" s="83" t="s">
        <v>315</v>
      </c>
      <c r="CH21" s="41"/>
      <c r="CI21" s="79" t="s">
        <v>153</v>
      </c>
      <c r="CJ21" s="71"/>
      <c r="CK21" s="79">
        <f t="shared" si="6"/>
        <v>0</v>
      </c>
      <c r="CL21" s="79"/>
      <c r="CM21" s="79"/>
      <c r="CN21" s="79"/>
      <c r="CO21" s="79"/>
      <c r="CP21" s="79"/>
      <c r="CQ21" s="79"/>
      <c r="CR21" s="83" t="s">
        <v>179</v>
      </c>
      <c r="CS21" s="83" t="s">
        <v>179</v>
      </c>
      <c r="CT21" s="83" t="s">
        <v>179</v>
      </c>
      <c r="CU21" s="83" t="s">
        <v>179</v>
      </c>
      <c r="CV21" s="83" t="s">
        <v>179</v>
      </c>
      <c r="CW21" s="83" t="s">
        <v>179</v>
      </c>
      <c r="CX21" s="79" t="s">
        <v>153</v>
      </c>
      <c r="CY21" s="79">
        <v>0</v>
      </c>
      <c r="CZ21" s="79">
        <v>0</v>
      </c>
      <c r="DA21" s="79">
        <v>0</v>
      </c>
      <c r="DB21" s="84" t="s">
        <v>316</v>
      </c>
      <c r="DC21" s="41"/>
      <c r="DD21" s="79" t="s">
        <v>153</v>
      </c>
      <c r="DE21" s="71"/>
      <c r="DF21" s="85" t="s">
        <v>317</v>
      </c>
      <c r="DG21" s="79">
        <v>17</v>
      </c>
      <c r="DH21" s="86" t="s">
        <v>182</v>
      </c>
      <c r="DI21" s="79" t="s">
        <v>181</v>
      </c>
      <c r="DJ21" s="79" t="s">
        <v>182</v>
      </c>
      <c r="DK21" s="79"/>
      <c r="DL21" s="79">
        <v>0</v>
      </c>
      <c r="DM21" s="79">
        <v>0</v>
      </c>
      <c r="DN21" s="79"/>
      <c r="DO21" s="79"/>
      <c r="DP21" s="79"/>
      <c r="DQ21" s="79"/>
      <c r="DR21" s="75" t="str">
        <f t="shared" si="11"/>
        <v>No aplica</v>
      </c>
      <c r="DS21" s="79"/>
      <c r="DT21" s="79"/>
      <c r="DU21" s="75" t="str">
        <f t="shared" si="12"/>
        <v>No aplica</v>
      </c>
      <c r="DV21" s="79"/>
      <c r="DW21" s="79"/>
      <c r="DX21" s="79"/>
      <c r="DY21" s="79"/>
      <c r="DZ21" s="79"/>
      <c r="EA21" s="79"/>
      <c r="EB21" s="79"/>
      <c r="EC21" s="79"/>
      <c r="ED21" s="79" t="s">
        <v>318</v>
      </c>
      <c r="EE21" s="79" t="s">
        <v>182</v>
      </c>
      <c r="EF21" s="41"/>
      <c r="EG21" s="79" t="s">
        <v>153</v>
      </c>
      <c r="EH21" s="71"/>
      <c r="EI21" s="80"/>
      <c r="EJ21" s="71"/>
      <c r="EK21" s="79" t="s">
        <v>179</v>
      </c>
      <c r="EL21" s="76" t="str">
        <f t="shared" si="14"/>
        <v>No requiere</v>
      </c>
      <c r="EM21" s="76" t="str">
        <f t="shared" si="15"/>
        <v>No requiere</v>
      </c>
      <c r="EN21" s="76" t="str">
        <f t="shared" si="23"/>
        <v>No requiere</v>
      </c>
      <c r="EO21" s="71"/>
      <c r="EP21" s="73" t="str">
        <f t="shared" si="17"/>
        <v>No requiere</v>
      </c>
      <c r="EQ21" s="77" t="str">
        <f t="shared" si="18"/>
        <v>No requiere</v>
      </c>
      <c r="ER21" s="71"/>
      <c r="ES21" s="79" t="s">
        <v>179</v>
      </c>
      <c r="ET21" s="73" t="str">
        <f t="shared" si="19"/>
        <v>No requiere</v>
      </c>
      <c r="EU21" s="73" t="str">
        <f t="shared" si="24"/>
        <v>No requiere</v>
      </c>
      <c r="EV21" s="73" t="str">
        <f t="shared" si="21"/>
        <v>No requiere</v>
      </c>
      <c r="EW21" s="73" t="str">
        <f t="shared" si="22"/>
        <v>No requiere</v>
      </c>
      <c r="EX21" s="78"/>
      <c r="EY21" s="78"/>
    </row>
    <row r="22" spans="1:155" ht="46.5" customHeight="1">
      <c r="A22" s="79">
        <v>18</v>
      </c>
      <c r="B22" s="80" t="s">
        <v>319</v>
      </c>
      <c r="C22" s="81">
        <v>45331</v>
      </c>
      <c r="D22" s="82">
        <v>0.66666666666666663</v>
      </c>
      <c r="E22" s="79" t="s">
        <v>200</v>
      </c>
      <c r="F22" s="79" t="s">
        <v>153</v>
      </c>
      <c r="G22" s="79" t="s">
        <v>152</v>
      </c>
      <c r="H22" s="79" t="s">
        <v>152</v>
      </c>
      <c r="I22" s="79" t="s">
        <v>152</v>
      </c>
      <c r="J22" s="79" t="s">
        <v>320</v>
      </c>
      <c r="K22" s="79" t="s">
        <v>155</v>
      </c>
      <c r="L22" s="80" t="s">
        <v>321</v>
      </c>
      <c r="M22" s="80" t="s">
        <v>229</v>
      </c>
      <c r="N22" s="79" t="s">
        <v>195</v>
      </c>
      <c r="O22" s="80" t="str">
        <f t="shared" si="0"/>
        <v/>
      </c>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t="s">
        <v>169</v>
      </c>
      <c r="AP22" s="79" t="s">
        <v>170</v>
      </c>
      <c r="AQ22" s="80" t="s">
        <v>171</v>
      </c>
      <c r="AR22" s="80" t="s">
        <v>171</v>
      </c>
      <c r="AS22" s="80" t="s">
        <v>171</v>
      </c>
      <c r="AT22" s="80" t="str">
        <f t="shared" si="1"/>
        <v>Distrital</v>
      </c>
      <c r="AU22" s="79" t="s">
        <v>172</v>
      </c>
      <c r="AV22" s="79"/>
      <c r="AW22" s="79"/>
      <c r="AX22" s="79"/>
      <c r="AY22" s="79"/>
      <c r="AZ22" s="79"/>
      <c r="BA22" s="80" t="str">
        <f t="shared" si="2"/>
        <v>Distrital</v>
      </c>
      <c r="BB22" s="79" t="s">
        <v>172</v>
      </c>
      <c r="BC22" s="79"/>
      <c r="BD22" s="79"/>
      <c r="BE22" s="79"/>
      <c r="BF22" s="79"/>
      <c r="BG22" s="79"/>
      <c r="BH22" s="80" t="str">
        <f t="shared" si="3"/>
        <v>Distrital</v>
      </c>
      <c r="BI22" s="79" t="s">
        <v>172</v>
      </c>
      <c r="BJ22" s="79"/>
      <c r="BK22" s="79"/>
      <c r="BL22" s="79"/>
      <c r="BM22" s="79"/>
      <c r="BN22" s="79"/>
      <c r="BO22" s="79"/>
      <c r="BP22" s="79"/>
      <c r="BQ22" s="79"/>
      <c r="BR22" s="79"/>
      <c r="BS22" s="80" t="s">
        <v>288</v>
      </c>
      <c r="BT22" s="80" t="s">
        <v>174</v>
      </c>
      <c r="BU22" s="80" t="s">
        <v>322</v>
      </c>
      <c r="BV22" s="71"/>
      <c r="BW22" s="79" t="s">
        <v>153</v>
      </c>
      <c r="BX22" s="79" t="s">
        <v>176</v>
      </c>
      <c r="BY22" s="71"/>
      <c r="BZ22" s="79">
        <v>0</v>
      </c>
      <c r="CA22" s="79">
        <v>3</v>
      </c>
      <c r="CB22" s="79">
        <f t="shared" ref="CB22:CB281" si="25">BZ22+CA22</f>
        <v>3</v>
      </c>
      <c r="CC22" s="79" t="str">
        <f t="shared" si="5"/>
        <v>No Aplica</v>
      </c>
      <c r="CD22" s="79" t="s">
        <v>177</v>
      </c>
      <c r="CE22" s="79"/>
      <c r="CF22" s="79"/>
      <c r="CG22" s="83" t="s">
        <v>323</v>
      </c>
      <c r="CH22" s="41"/>
      <c r="CI22" s="79" t="s">
        <v>153</v>
      </c>
      <c r="CJ22" s="71"/>
      <c r="CK22" s="79">
        <f t="shared" si="6"/>
        <v>0</v>
      </c>
      <c r="CL22" s="79"/>
      <c r="CM22" s="79"/>
      <c r="CN22" s="79"/>
      <c r="CO22" s="79"/>
      <c r="CP22" s="79"/>
      <c r="CQ22" s="79"/>
      <c r="CR22" s="83" t="s">
        <v>179</v>
      </c>
      <c r="CS22" s="83" t="s">
        <v>179</v>
      </c>
      <c r="CT22" s="83" t="s">
        <v>179</v>
      </c>
      <c r="CU22" s="83" t="s">
        <v>179</v>
      </c>
      <c r="CV22" s="83" t="s">
        <v>179</v>
      </c>
      <c r="CW22" s="83" t="s">
        <v>179</v>
      </c>
      <c r="CX22" s="79" t="s">
        <v>153</v>
      </c>
      <c r="CY22" s="79">
        <f t="shared" ref="CY22:CY58" si="26">SUM(COUNTIF(CR22:CW22,"Realizado y Devuelto a la Ciudadanía"),COUNTIF(CR22:CW22,"Realizado y Trasladado por competencia"), COUNTIF(CR22:CW22,"Realizado y Gestionado"))</f>
        <v>0</v>
      </c>
      <c r="CZ22" s="79">
        <v>0</v>
      </c>
      <c r="DA22" s="79">
        <f t="shared" ref="DA22:DA58" si="27">COUNTIF(CR22:CW22,"Realizado y Devuelto a la Ciudadanía")</f>
        <v>0</v>
      </c>
      <c r="DB22" s="84" t="str">
        <f t="shared" ref="DB22:DB58" si="28">IFERROR(CY22/CK22,"")</f>
        <v/>
      </c>
      <c r="DC22" s="41"/>
      <c r="DD22" s="79" t="s">
        <v>153</v>
      </c>
      <c r="DE22" s="71"/>
      <c r="DF22" s="85" t="s">
        <v>324</v>
      </c>
      <c r="DG22" s="79">
        <v>18</v>
      </c>
      <c r="DH22" s="86" t="str">
        <f t="shared" ref="DH22:DH85" si="29">IF(EE22="Por completar",C22+3,"Completo")</f>
        <v>Completo</v>
      </c>
      <c r="DI22" s="79" t="s">
        <v>181</v>
      </c>
      <c r="DJ22" s="79" t="s">
        <v>182</v>
      </c>
      <c r="DK22" s="79"/>
      <c r="DL22" s="79">
        <v>0</v>
      </c>
      <c r="DM22" s="79">
        <v>0</v>
      </c>
      <c r="DN22" s="79" t="s">
        <v>191</v>
      </c>
      <c r="DO22" s="79"/>
      <c r="DP22" s="79"/>
      <c r="DQ22" s="79"/>
      <c r="DR22" s="75" t="str">
        <f t="shared" si="11"/>
        <v>No aplica</v>
      </c>
      <c r="DS22" s="79"/>
      <c r="DT22" s="79"/>
      <c r="DU22" s="75" t="str">
        <f t="shared" si="12"/>
        <v>No aplica</v>
      </c>
      <c r="DV22" s="79" t="s">
        <v>182</v>
      </c>
      <c r="DW22" s="79" t="s">
        <v>191</v>
      </c>
      <c r="DX22" s="79"/>
      <c r="DY22" s="79"/>
      <c r="DZ22" s="79"/>
      <c r="EA22" s="79"/>
      <c r="EB22" s="79" t="s">
        <v>191</v>
      </c>
      <c r="EC22" s="79"/>
      <c r="ED22" s="79" t="s">
        <v>249</v>
      </c>
      <c r="EE22" s="79" t="str">
        <f t="shared" ref="EE22:EE58" si="30">IF(DI22="Subsanado","Completo","Por Completar")</f>
        <v>Completo</v>
      </c>
      <c r="EF22" s="41"/>
      <c r="EG22" s="79" t="s">
        <v>153</v>
      </c>
      <c r="EH22" s="71"/>
      <c r="EI22" s="80"/>
      <c r="EJ22" s="71"/>
      <c r="EK22" s="79" t="s">
        <v>179</v>
      </c>
      <c r="EL22" s="76" t="str">
        <f t="shared" si="14"/>
        <v>No requiere</v>
      </c>
      <c r="EM22" s="76" t="str">
        <f t="shared" si="15"/>
        <v>No requiere</v>
      </c>
      <c r="EN22" s="76" t="str">
        <f t="shared" si="23"/>
        <v>No requiere</v>
      </c>
      <c r="EO22" s="71"/>
      <c r="EP22" s="73" t="str">
        <f t="shared" si="17"/>
        <v>No requiere</v>
      </c>
      <c r="EQ22" s="77" t="str">
        <f t="shared" si="18"/>
        <v>No requiere</v>
      </c>
      <c r="ER22" s="71"/>
      <c r="ES22" s="79" t="s">
        <v>179</v>
      </c>
      <c r="ET22" s="73" t="str">
        <f t="shared" si="19"/>
        <v>No requiere</v>
      </c>
      <c r="EU22" s="73" t="str">
        <f t="shared" si="24"/>
        <v>No requiere</v>
      </c>
      <c r="EV22" s="73" t="str">
        <f t="shared" si="21"/>
        <v>No requiere</v>
      </c>
      <c r="EW22" s="73" t="str">
        <f t="shared" si="22"/>
        <v>No requiere</v>
      </c>
      <c r="EX22" s="78"/>
      <c r="EY22" s="78"/>
    </row>
    <row r="23" spans="1:155" ht="46.5" customHeight="1">
      <c r="A23" s="79">
        <v>19</v>
      </c>
      <c r="B23" s="80" t="s">
        <v>325</v>
      </c>
      <c r="C23" s="81">
        <v>45333</v>
      </c>
      <c r="D23" s="82">
        <v>0.375</v>
      </c>
      <c r="E23" s="79" t="s">
        <v>151</v>
      </c>
      <c r="F23" s="79" t="s">
        <v>153</v>
      </c>
      <c r="G23" s="79" t="s">
        <v>153</v>
      </c>
      <c r="H23" s="79" t="s">
        <v>152</v>
      </c>
      <c r="I23" s="79" t="s">
        <v>152</v>
      </c>
      <c r="J23" s="79" t="s">
        <v>154</v>
      </c>
      <c r="K23" s="79" t="s">
        <v>155</v>
      </c>
      <c r="L23" s="80" t="s">
        <v>326</v>
      </c>
      <c r="M23" s="80" t="s">
        <v>327</v>
      </c>
      <c r="N23" s="79" t="s">
        <v>328</v>
      </c>
      <c r="O23" s="80" t="str">
        <f t="shared" si="0"/>
        <v>Yohan David Díaz, Valentina González Pontón</v>
      </c>
      <c r="P23" s="79" t="s">
        <v>164</v>
      </c>
      <c r="Q23" s="79" t="s">
        <v>329</v>
      </c>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t="s">
        <v>304</v>
      </c>
      <c r="AP23" s="79"/>
      <c r="AQ23" s="80" t="s">
        <v>330</v>
      </c>
      <c r="AR23" s="83" t="s">
        <v>331</v>
      </c>
      <c r="AS23" s="80" t="s">
        <v>332</v>
      </c>
      <c r="AT23" s="80" t="str">
        <f t="shared" si="1"/>
        <v>Ciudad Bolívar</v>
      </c>
      <c r="AU23" s="79" t="s">
        <v>217</v>
      </c>
      <c r="AV23" s="79"/>
      <c r="AW23" s="79"/>
      <c r="AX23" s="79"/>
      <c r="AY23" s="79"/>
      <c r="AZ23" s="79"/>
      <c r="BA23" s="80" t="str">
        <f t="shared" si="2"/>
        <v>Ruralidad</v>
      </c>
      <c r="BB23" s="79" t="s">
        <v>219</v>
      </c>
      <c r="BC23" s="79"/>
      <c r="BD23" s="79"/>
      <c r="BE23" s="79"/>
      <c r="BF23" s="79"/>
      <c r="BG23" s="79"/>
      <c r="BH23" s="80" t="str">
        <f t="shared" si="3"/>
        <v>Cuenca del Tunjuelo</v>
      </c>
      <c r="BI23" s="79" t="s">
        <v>222</v>
      </c>
      <c r="BJ23" s="79"/>
      <c r="BK23" s="79"/>
      <c r="BL23" s="79"/>
      <c r="BM23" s="79"/>
      <c r="BN23" s="79"/>
      <c r="BO23" s="79"/>
      <c r="BP23" s="79"/>
      <c r="BQ23" s="79"/>
      <c r="BR23" s="79"/>
      <c r="BS23" s="80" t="s">
        <v>333</v>
      </c>
      <c r="BT23" s="80" t="s">
        <v>174</v>
      </c>
      <c r="BU23" s="80" t="s">
        <v>333</v>
      </c>
      <c r="BV23" s="71"/>
      <c r="BW23" s="79" t="s">
        <v>153</v>
      </c>
      <c r="BX23" s="79" t="s">
        <v>334</v>
      </c>
      <c r="BY23" s="71"/>
      <c r="BZ23" s="79">
        <v>22</v>
      </c>
      <c r="CA23" s="79">
        <v>3</v>
      </c>
      <c r="CB23" s="79">
        <f t="shared" si="25"/>
        <v>25</v>
      </c>
      <c r="CC23" s="79" t="str">
        <f t="shared" si="5"/>
        <v>No Aplica</v>
      </c>
      <c r="CD23" s="79" t="s">
        <v>177</v>
      </c>
      <c r="CE23" s="79"/>
      <c r="CF23" s="79"/>
      <c r="CG23" s="83" t="s">
        <v>335</v>
      </c>
      <c r="CH23" s="41"/>
      <c r="CI23" s="79" t="s">
        <v>153</v>
      </c>
      <c r="CJ23" s="71"/>
      <c r="CK23" s="79">
        <f t="shared" si="6"/>
        <v>0</v>
      </c>
      <c r="CL23" s="79"/>
      <c r="CM23" s="79"/>
      <c r="CN23" s="79"/>
      <c r="CO23" s="79"/>
      <c r="CP23" s="79"/>
      <c r="CQ23" s="79"/>
      <c r="CR23" s="83" t="s">
        <v>179</v>
      </c>
      <c r="CS23" s="83" t="s">
        <v>179</v>
      </c>
      <c r="CT23" s="83" t="s">
        <v>179</v>
      </c>
      <c r="CU23" s="83" t="s">
        <v>179</v>
      </c>
      <c r="CV23" s="83" t="s">
        <v>179</v>
      </c>
      <c r="CW23" s="83" t="s">
        <v>179</v>
      </c>
      <c r="CX23" s="79" t="s">
        <v>153</v>
      </c>
      <c r="CY23" s="79">
        <f t="shared" si="26"/>
        <v>0</v>
      </c>
      <c r="CZ23" s="79">
        <v>0</v>
      </c>
      <c r="DA23" s="79">
        <f t="shared" si="27"/>
        <v>0</v>
      </c>
      <c r="DB23" s="84" t="str">
        <f t="shared" si="28"/>
        <v/>
      </c>
      <c r="DC23" s="41"/>
      <c r="DD23" s="79" t="s">
        <v>153</v>
      </c>
      <c r="DE23" s="71"/>
      <c r="DF23" s="85" t="s">
        <v>336</v>
      </c>
      <c r="DG23" s="79">
        <v>19</v>
      </c>
      <c r="DH23" s="86" t="str">
        <f t="shared" si="29"/>
        <v>Completo</v>
      </c>
      <c r="DI23" s="79" t="s">
        <v>181</v>
      </c>
      <c r="DJ23" s="79" t="s">
        <v>182</v>
      </c>
      <c r="DK23" s="79"/>
      <c r="DL23" s="79">
        <v>0</v>
      </c>
      <c r="DM23" s="79">
        <v>0</v>
      </c>
      <c r="DN23" s="79" t="s">
        <v>182</v>
      </c>
      <c r="DO23" s="79"/>
      <c r="DP23" s="79"/>
      <c r="DQ23" s="79"/>
      <c r="DR23" s="75" t="str">
        <f t="shared" si="11"/>
        <v>No aplica</v>
      </c>
      <c r="DS23" s="79"/>
      <c r="DT23" s="79"/>
      <c r="DU23" s="75" t="str">
        <f t="shared" si="12"/>
        <v>No aplica</v>
      </c>
      <c r="DV23" s="79" t="s">
        <v>182</v>
      </c>
      <c r="DW23" s="79" t="s">
        <v>191</v>
      </c>
      <c r="DX23" s="79"/>
      <c r="DY23" s="79"/>
      <c r="DZ23" s="79"/>
      <c r="EA23" s="79"/>
      <c r="EB23" s="79" t="s">
        <v>191</v>
      </c>
      <c r="EC23" s="79"/>
      <c r="ED23" s="79" t="s">
        <v>184</v>
      </c>
      <c r="EE23" s="79" t="str">
        <f t="shared" si="30"/>
        <v>Completo</v>
      </c>
      <c r="EF23" s="41"/>
      <c r="EG23" s="79" t="s">
        <v>153</v>
      </c>
      <c r="EH23" s="71"/>
      <c r="EI23" s="80"/>
      <c r="EJ23" s="71"/>
      <c r="EK23" s="79" t="s">
        <v>179</v>
      </c>
      <c r="EL23" s="76" t="str">
        <f t="shared" si="14"/>
        <v>No requiere</v>
      </c>
      <c r="EM23" s="76" t="str">
        <f t="shared" si="15"/>
        <v>No requiere</v>
      </c>
      <c r="EN23" s="76" t="str">
        <f t="shared" si="23"/>
        <v>No requiere</v>
      </c>
      <c r="EO23" s="71"/>
      <c r="EP23" s="73" t="str">
        <f t="shared" si="17"/>
        <v>No requiere</v>
      </c>
      <c r="EQ23" s="77" t="str">
        <f t="shared" si="18"/>
        <v>No requiere</v>
      </c>
      <c r="ER23" s="71"/>
      <c r="ES23" s="79" t="s">
        <v>179</v>
      </c>
      <c r="ET23" s="73" t="str">
        <f t="shared" si="19"/>
        <v>No requiere</v>
      </c>
      <c r="EU23" s="73" t="str">
        <f t="shared" si="24"/>
        <v>No requiere</v>
      </c>
      <c r="EV23" s="73" t="str">
        <f t="shared" si="21"/>
        <v>No requiere</v>
      </c>
      <c r="EW23" s="73" t="str">
        <f t="shared" si="22"/>
        <v>No requiere</v>
      </c>
      <c r="EX23" s="78"/>
      <c r="EY23" s="78"/>
    </row>
    <row r="24" spans="1:155" ht="46.5" customHeight="1">
      <c r="A24" s="79" t="str">
        <v/>
      </c>
      <c r="B24" s="80" t="s">
        <v>337</v>
      </c>
      <c r="C24" s="81">
        <v>45335</v>
      </c>
      <c r="D24" s="82">
        <v>0.45833333333333331</v>
      </c>
      <c r="E24" s="79" t="s">
        <v>151</v>
      </c>
      <c r="F24" s="79" t="s">
        <v>152</v>
      </c>
      <c r="G24" s="79" t="s">
        <v>153</v>
      </c>
      <c r="H24" s="79" t="s">
        <v>152</v>
      </c>
      <c r="I24" s="79" t="s">
        <v>152</v>
      </c>
      <c r="J24" s="79" t="s">
        <v>154</v>
      </c>
      <c r="K24" s="79" t="s">
        <v>155</v>
      </c>
      <c r="L24" s="80" t="s">
        <v>338</v>
      </c>
      <c r="M24" s="80" t="s">
        <v>157</v>
      </c>
      <c r="N24" s="79" t="s">
        <v>167</v>
      </c>
      <c r="O24" s="80" t="str">
        <f t="shared" si="0"/>
        <v/>
      </c>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t="s">
        <v>169</v>
      </c>
      <c r="AP24" s="79" t="s">
        <v>170</v>
      </c>
      <c r="AQ24" s="80" t="s">
        <v>339</v>
      </c>
      <c r="AR24" s="80" t="s">
        <v>171</v>
      </c>
      <c r="AS24" s="80" t="s">
        <v>171</v>
      </c>
      <c r="AT24" s="80" t="str">
        <f t="shared" si="1"/>
        <v>Distrital</v>
      </c>
      <c r="AU24" s="79" t="s">
        <v>172</v>
      </c>
      <c r="AV24" s="79"/>
      <c r="AW24" s="79"/>
      <c r="AX24" s="79"/>
      <c r="AY24" s="79"/>
      <c r="AZ24" s="79"/>
      <c r="BA24" s="80" t="str">
        <f t="shared" si="2"/>
        <v>Distrital</v>
      </c>
      <c r="BB24" s="79" t="s">
        <v>172</v>
      </c>
      <c r="BC24" s="79"/>
      <c r="BD24" s="79"/>
      <c r="BE24" s="79"/>
      <c r="BF24" s="79"/>
      <c r="BG24" s="79"/>
      <c r="BH24" s="80" t="str">
        <f t="shared" si="3"/>
        <v>Distrital</v>
      </c>
      <c r="BI24" s="79" t="s">
        <v>172</v>
      </c>
      <c r="BJ24" s="79"/>
      <c r="BK24" s="79"/>
      <c r="BL24" s="79"/>
      <c r="BM24" s="79"/>
      <c r="BN24" s="79"/>
      <c r="BO24" s="79"/>
      <c r="BP24" s="79"/>
      <c r="BQ24" s="79"/>
      <c r="BR24" s="79"/>
      <c r="BS24" s="80" t="s">
        <v>288</v>
      </c>
      <c r="BT24" s="80" t="s">
        <v>174</v>
      </c>
      <c r="BU24" s="80" t="s">
        <v>340</v>
      </c>
      <c r="BV24" s="71"/>
      <c r="BW24" s="79" t="s">
        <v>153</v>
      </c>
      <c r="BX24" s="79" t="s">
        <v>176</v>
      </c>
      <c r="BY24" s="71"/>
      <c r="BZ24" s="79">
        <v>5</v>
      </c>
      <c r="CA24" s="79">
        <v>3</v>
      </c>
      <c r="CB24" s="79">
        <f t="shared" si="25"/>
        <v>8</v>
      </c>
      <c r="CC24" s="79" t="str">
        <f t="shared" si="5"/>
        <v>No Aplica</v>
      </c>
      <c r="CD24" s="79" t="s">
        <v>177</v>
      </c>
      <c r="CE24" s="79"/>
      <c r="CF24" s="79"/>
      <c r="CG24" s="83" t="s">
        <v>341</v>
      </c>
      <c r="CH24" s="41"/>
      <c r="CI24" s="79" t="s">
        <v>153</v>
      </c>
      <c r="CJ24" s="71"/>
      <c r="CK24" s="79">
        <f t="shared" si="6"/>
        <v>0</v>
      </c>
      <c r="CL24" s="79"/>
      <c r="CM24" s="79"/>
      <c r="CN24" s="79"/>
      <c r="CO24" s="79"/>
      <c r="CP24" s="79"/>
      <c r="CQ24" s="79"/>
      <c r="CR24" s="83" t="s">
        <v>179</v>
      </c>
      <c r="CS24" s="83" t="s">
        <v>179</v>
      </c>
      <c r="CT24" s="83" t="s">
        <v>179</v>
      </c>
      <c r="CU24" s="83" t="s">
        <v>179</v>
      </c>
      <c r="CV24" s="83" t="s">
        <v>179</v>
      </c>
      <c r="CW24" s="83" t="s">
        <v>179</v>
      </c>
      <c r="CX24" s="79" t="s">
        <v>153</v>
      </c>
      <c r="CY24" s="79">
        <f t="shared" si="26"/>
        <v>0</v>
      </c>
      <c r="CZ24" s="79">
        <v>0</v>
      </c>
      <c r="DA24" s="79">
        <f t="shared" si="27"/>
        <v>0</v>
      </c>
      <c r="DB24" s="84" t="str">
        <f t="shared" si="28"/>
        <v/>
      </c>
      <c r="DC24" s="41"/>
      <c r="DD24" s="79" t="s">
        <v>153</v>
      </c>
      <c r="DE24" s="71"/>
      <c r="DF24" s="85" t="s">
        <v>342</v>
      </c>
      <c r="DG24" s="79">
        <v>20</v>
      </c>
      <c r="DH24" s="86" t="str">
        <f t="shared" si="29"/>
        <v>Completo</v>
      </c>
      <c r="DI24" s="79" t="s">
        <v>181</v>
      </c>
      <c r="DJ24" s="79" t="s">
        <v>182</v>
      </c>
      <c r="DK24" s="79"/>
      <c r="DL24" s="79">
        <v>0</v>
      </c>
      <c r="DM24" s="79">
        <v>0</v>
      </c>
      <c r="DN24" s="79" t="s">
        <v>191</v>
      </c>
      <c r="DO24" s="79"/>
      <c r="DP24" s="79"/>
      <c r="DQ24" s="79"/>
      <c r="DR24" s="75" t="str">
        <f t="shared" si="11"/>
        <v>No aplica</v>
      </c>
      <c r="DS24" s="79"/>
      <c r="DT24" s="79"/>
      <c r="DU24" s="75" t="str">
        <f t="shared" si="12"/>
        <v>No aplica</v>
      </c>
      <c r="DV24" s="79" t="s">
        <v>191</v>
      </c>
      <c r="DW24" s="79" t="s">
        <v>191</v>
      </c>
      <c r="DX24" s="79"/>
      <c r="DY24" s="79"/>
      <c r="DZ24" s="79"/>
      <c r="EA24" s="79"/>
      <c r="EB24" s="79" t="s">
        <v>191</v>
      </c>
      <c r="EC24" s="79"/>
      <c r="ED24" s="79" t="s">
        <v>343</v>
      </c>
      <c r="EE24" s="79" t="str">
        <f t="shared" si="30"/>
        <v>Completo</v>
      </c>
      <c r="EF24" s="41"/>
      <c r="EG24" s="79" t="s">
        <v>153</v>
      </c>
      <c r="EH24" s="71"/>
      <c r="EI24" s="80"/>
      <c r="EJ24" s="71"/>
      <c r="EK24" s="79" t="s">
        <v>179</v>
      </c>
      <c r="EL24" s="76" t="str">
        <f t="shared" si="14"/>
        <v>No requiere</v>
      </c>
      <c r="EM24" s="76" t="str">
        <f t="shared" si="15"/>
        <v>No requiere</v>
      </c>
      <c r="EN24" s="76" t="str">
        <f t="shared" si="23"/>
        <v>No requiere</v>
      </c>
      <c r="EO24" s="71"/>
      <c r="EP24" s="73" t="str">
        <f t="shared" si="17"/>
        <v>No requiere</v>
      </c>
      <c r="EQ24" s="77" t="str">
        <f t="shared" si="18"/>
        <v>No requiere</v>
      </c>
      <c r="ER24" s="71"/>
      <c r="ES24" s="79" t="s">
        <v>179</v>
      </c>
      <c r="ET24" s="73" t="str">
        <f t="shared" si="19"/>
        <v>No requiere</v>
      </c>
      <c r="EU24" s="73" t="str">
        <f t="shared" si="24"/>
        <v>No requiere</v>
      </c>
      <c r="EV24" s="73" t="str">
        <f t="shared" si="21"/>
        <v>No requiere</v>
      </c>
      <c r="EW24" s="73" t="str">
        <f t="shared" si="22"/>
        <v>No requiere</v>
      </c>
      <c r="EX24" s="78"/>
      <c r="EY24" s="78"/>
    </row>
    <row r="25" spans="1:155" ht="46.5" customHeight="1">
      <c r="A25" s="79">
        <v>21</v>
      </c>
      <c r="B25" s="80" t="s">
        <v>344</v>
      </c>
      <c r="C25" s="81">
        <v>45335</v>
      </c>
      <c r="D25" s="82">
        <v>0.66666666666666663</v>
      </c>
      <c r="E25" s="79" t="s">
        <v>151</v>
      </c>
      <c r="F25" s="79" t="s">
        <v>153</v>
      </c>
      <c r="G25" s="79" t="s">
        <v>152</v>
      </c>
      <c r="H25" s="79" t="s">
        <v>152</v>
      </c>
      <c r="I25" s="79" t="s">
        <v>152</v>
      </c>
      <c r="J25" s="79" t="s">
        <v>154</v>
      </c>
      <c r="K25" s="79" t="s">
        <v>155</v>
      </c>
      <c r="L25" s="80" t="s">
        <v>345</v>
      </c>
      <c r="M25" s="80" t="s">
        <v>327</v>
      </c>
      <c r="N25" s="79" t="s">
        <v>346</v>
      </c>
      <c r="O25" s="80" t="str">
        <f t="shared" si="0"/>
        <v>Yohan David Díaz, Rosemberg Prisco Vasquez</v>
      </c>
      <c r="P25" s="79" t="s">
        <v>164</v>
      </c>
      <c r="Q25" s="79" t="s">
        <v>162</v>
      </c>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t="s">
        <v>230</v>
      </c>
      <c r="AP25" s="79" t="s">
        <v>347</v>
      </c>
      <c r="AQ25" s="80" t="s">
        <v>171</v>
      </c>
      <c r="AR25" s="80" t="s">
        <v>171</v>
      </c>
      <c r="AS25" s="80" t="s">
        <v>171</v>
      </c>
      <c r="AT25" s="80" t="str">
        <f t="shared" si="1"/>
        <v>Distrital</v>
      </c>
      <c r="AU25" s="79" t="s">
        <v>172</v>
      </c>
      <c r="AV25" s="79"/>
      <c r="AW25" s="79"/>
      <c r="AX25" s="79"/>
      <c r="AY25" s="79"/>
      <c r="AZ25" s="79"/>
      <c r="BA25" s="80" t="str">
        <f t="shared" si="2"/>
        <v>Distrital</v>
      </c>
      <c r="BB25" s="79" t="s">
        <v>172</v>
      </c>
      <c r="BC25" s="79"/>
      <c r="BD25" s="79"/>
      <c r="BE25" s="79"/>
      <c r="BF25" s="79"/>
      <c r="BG25" s="79"/>
      <c r="BH25" s="80" t="str">
        <f t="shared" si="3"/>
        <v>Distrital</v>
      </c>
      <c r="BI25" s="79" t="s">
        <v>172</v>
      </c>
      <c r="BJ25" s="79"/>
      <c r="BK25" s="79"/>
      <c r="BL25" s="79"/>
      <c r="BM25" s="79"/>
      <c r="BN25" s="79"/>
      <c r="BO25" s="79"/>
      <c r="BP25" s="79"/>
      <c r="BQ25" s="79"/>
      <c r="BR25" s="79"/>
      <c r="BS25" s="80" t="s">
        <v>288</v>
      </c>
      <c r="BT25" s="80" t="s">
        <v>174</v>
      </c>
      <c r="BU25" s="80" t="s">
        <v>348</v>
      </c>
      <c r="BV25" s="71"/>
      <c r="BW25" s="79" t="s">
        <v>153</v>
      </c>
      <c r="BX25" s="79" t="s">
        <v>334</v>
      </c>
      <c r="BY25" s="71"/>
      <c r="BZ25" s="79">
        <v>27</v>
      </c>
      <c r="CA25" s="79">
        <v>5</v>
      </c>
      <c r="CB25" s="79">
        <f t="shared" si="25"/>
        <v>32</v>
      </c>
      <c r="CC25" s="79" t="str">
        <f t="shared" si="5"/>
        <v>Lenguaje de señas, Contenidos adaptados, Horarios Acordes</v>
      </c>
      <c r="CD25" s="79" t="s">
        <v>349</v>
      </c>
      <c r="CE25" s="79" t="s">
        <v>350</v>
      </c>
      <c r="CF25" s="79" t="s">
        <v>351</v>
      </c>
      <c r="CG25" s="83" t="s">
        <v>352</v>
      </c>
      <c r="CH25" s="41"/>
      <c r="CI25" s="79" t="s">
        <v>153</v>
      </c>
      <c r="CJ25" s="71"/>
      <c r="CK25" s="79">
        <f t="shared" si="6"/>
        <v>0</v>
      </c>
      <c r="CL25" s="79"/>
      <c r="CM25" s="79"/>
      <c r="CN25" s="79"/>
      <c r="CO25" s="79"/>
      <c r="CP25" s="79"/>
      <c r="CQ25" s="79"/>
      <c r="CR25" s="83" t="s">
        <v>179</v>
      </c>
      <c r="CS25" s="83" t="s">
        <v>179</v>
      </c>
      <c r="CT25" s="83" t="s">
        <v>179</v>
      </c>
      <c r="CU25" s="83" t="s">
        <v>179</v>
      </c>
      <c r="CV25" s="83" t="s">
        <v>179</v>
      </c>
      <c r="CW25" s="83" t="s">
        <v>179</v>
      </c>
      <c r="CX25" s="79" t="s">
        <v>153</v>
      </c>
      <c r="CY25" s="79">
        <f t="shared" si="26"/>
        <v>0</v>
      </c>
      <c r="CZ25" s="79">
        <v>0</v>
      </c>
      <c r="DA25" s="79">
        <f t="shared" si="27"/>
        <v>0</v>
      </c>
      <c r="DB25" s="84" t="str">
        <f t="shared" si="28"/>
        <v/>
      </c>
      <c r="DC25" s="41"/>
      <c r="DD25" s="79" t="s">
        <v>153</v>
      </c>
      <c r="DE25" s="71"/>
      <c r="DF25" s="85" t="s">
        <v>353</v>
      </c>
      <c r="DG25" s="79">
        <v>21</v>
      </c>
      <c r="DH25" s="86" t="str">
        <f t="shared" si="29"/>
        <v>Completo</v>
      </c>
      <c r="DI25" s="79" t="s">
        <v>181</v>
      </c>
      <c r="DJ25" s="79" t="s">
        <v>182</v>
      </c>
      <c r="DK25" s="79"/>
      <c r="DL25" s="79">
        <v>0</v>
      </c>
      <c r="DM25" s="79">
        <v>0</v>
      </c>
      <c r="DN25" s="79" t="s">
        <v>182</v>
      </c>
      <c r="DO25" s="79"/>
      <c r="DP25" s="79"/>
      <c r="DQ25" s="79"/>
      <c r="DR25" s="75" t="str">
        <f t="shared" si="11"/>
        <v>No aplica</v>
      </c>
      <c r="DS25" s="79"/>
      <c r="DT25" s="79"/>
      <c r="DU25" s="75" t="str">
        <f t="shared" si="12"/>
        <v>No aplica</v>
      </c>
      <c r="DV25" s="79" t="s">
        <v>182</v>
      </c>
      <c r="DW25" s="79" t="s">
        <v>191</v>
      </c>
      <c r="DX25" s="79"/>
      <c r="DY25" s="79"/>
      <c r="DZ25" s="79"/>
      <c r="EA25" s="79"/>
      <c r="EB25" s="79" t="s">
        <v>182</v>
      </c>
      <c r="EC25" s="79"/>
      <c r="ED25" s="79" t="s">
        <v>249</v>
      </c>
      <c r="EE25" s="79" t="str">
        <f t="shared" si="30"/>
        <v>Completo</v>
      </c>
      <c r="EF25" s="41"/>
      <c r="EG25" s="79" t="s">
        <v>153</v>
      </c>
      <c r="EH25" s="71"/>
      <c r="EI25" s="80"/>
      <c r="EJ25" s="71"/>
      <c r="EK25" s="79" t="s">
        <v>179</v>
      </c>
      <c r="EL25" s="76" t="str">
        <f t="shared" si="14"/>
        <v>No requiere</v>
      </c>
      <c r="EM25" s="76" t="str">
        <f t="shared" si="15"/>
        <v>No requiere</v>
      </c>
      <c r="EN25" s="76" t="str">
        <f t="shared" si="23"/>
        <v>No requiere</v>
      </c>
      <c r="EO25" s="71"/>
      <c r="EP25" s="73" t="str">
        <f t="shared" si="17"/>
        <v>No requiere</v>
      </c>
      <c r="EQ25" s="77" t="str">
        <f t="shared" si="18"/>
        <v>No requiere</v>
      </c>
      <c r="ER25" s="71"/>
      <c r="ES25" s="79" t="s">
        <v>179</v>
      </c>
      <c r="ET25" s="73" t="str">
        <f t="shared" si="19"/>
        <v>No requiere</v>
      </c>
      <c r="EU25" s="73" t="str">
        <f t="shared" si="24"/>
        <v>No requiere</v>
      </c>
      <c r="EV25" s="73" t="str">
        <f t="shared" si="21"/>
        <v>No requiere</v>
      </c>
      <c r="EW25" s="73" t="str">
        <f t="shared" si="22"/>
        <v>No requiere</v>
      </c>
      <c r="EX25" s="78"/>
      <c r="EY25" s="78"/>
    </row>
    <row r="26" spans="1:155" ht="46.5" customHeight="1">
      <c r="A26" s="79">
        <v>22</v>
      </c>
      <c r="B26" s="80" t="s">
        <v>354</v>
      </c>
      <c r="C26" s="81">
        <v>45335</v>
      </c>
      <c r="D26" s="82">
        <v>0.66666666666666663</v>
      </c>
      <c r="E26" s="79" t="s">
        <v>151</v>
      </c>
      <c r="F26" s="79" t="s">
        <v>153</v>
      </c>
      <c r="G26" s="79" t="s">
        <v>152</v>
      </c>
      <c r="H26" s="79" t="s">
        <v>152</v>
      </c>
      <c r="I26" s="79" t="s">
        <v>152</v>
      </c>
      <c r="J26" s="79" t="s">
        <v>154</v>
      </c>
      <c r="K26" s="79" t="s">
        <v>155</v>
      </c>
      <c r="L26" s="80" t="s">
        <v>355</v>
      </c>
      <c r="M26" s="80" t="s">
        <v>157</v>
      </c>
      <c r="N26" s="79" t="s">
        <v>328</v>
      </c>
      <c r="O26" s="80" t="str">
        <f t="shared" si="0"/>
        <v/>
      </c>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t="s">
        <v>230</v>
      </c>
      <c r="AP26" s="79" t="s">
        <v>356</v>
      </c>
      <c r="AQ26" s="80" t="s">
        <v>357</v>
      </c>
      <c r="AR26" s="83" t="s">
        <v>358</v>
      </c>
      <c r="AS26" s="80" t="s">
        <v>359</v>
      </c>
      <c r="AT26" s="80" t="str">
        <f t="shared" si="1"/>
        <v>Chapinero</v>
      </c>
      <c r="AU26" s="79" t="s">
        <v>360</v>
      </c>
      <c r="AV26" s="79"/>
      <c r="AW26" s="79"/>
      <c r="AX26" s="79"/>
      <c r="AY26" s="79"/>
      <c r="AZ26" s="79"/>
      <c r="BA26" s="80" t="str">
        <f t="shared" si="2"/>
        <v>Ruralidad</v>
      </c>
      <c r="BB26" s="79" t="s">
        <v>219</v>
      </c>
      <c r="BC26" s="79"/>
      <c r="BD26" s="79"/>
      <c r="BE26" s="79"/>
      <c r="BF26" s="79"/>
      <c r="BG26" s="79"/>
      <c r="BH26" s="80" t="str">
        <f t="shared" si="3"/>
        <v>Cerros Orientales</v>
      </c>
      <c r="BI26" s="79" t="s">
        <v>361</v>
      </c>
      <c r="BJ26" s="79"/>
      <c r="BK26" s="79"/>
      <c r="BL26" s="79"/>
      <c r="BM26" s="79"/>
      <c r="BN26" s="79"/>
      <c r="BO26" s="79"/>
      <c r="BP26" s="79"/>
      <c r="BQ26" s="79"/>
      <c r="BR26" s="79"/>
      <c r="BS26" s="80" t="s">
        <v>288</v>
      </c>
      <c r="BT26" s="80" t="s">
        <v>174</v>
      </c>
      <c r="BU26" s="80" t="s">
        <v>362</v>
      </c>
      <c r="BV26" s="71"/>
      <c r="BW26" s="79" t="s">
        <v>153</v>
      </c>
      <c r="BX26" s="79" t="s">
        <v>176</v>
      </c>
      <c r="BY26" s="71"/>
      <c r="BZ26" s="79">
        <v>24</v>
      </c>
      <c r="CA26" s="79">
        <v>1</v>
      </c>
      <c r="CB26" s="79">
        <f t="shared" si="25"/>
        <v>25</v>
      </c>
      <c r="CC26" s="79" t="str">
        <f t="shared" si="5"/>
        <v>No Aplica</v>
      </c>
      <c r="CD26" s="79" t="s">
        <v>177</v>
      </c>
      <c r="CE26" s="79"/>
      <c r="CF26" s="79"/>
      <c r="CG26" s="83" t="s">
        <v>363</v>
      </c>
      <c r="CH26" s="41"/>
      <c r="CI26" s="79" t="s">
        <v>153</v>
      </c>
      <c r="CJ26" s="71"/>
      <c r="CK26" s="79">
        <f t="shared" si="6"/>
        <v>0</v>
      </c>
      <c r="CL26" s="79"/>
      <c r="CM26" s="79"/>
      <c r="CN26" s="79"/>
      <c r="CO26" s="79"/>
      <c r="CP26" s="79"/>
      <c r="CQ26" s="79"/>
      <c r="CR26" s="83" t="s">
        <v>179</v>
      </c>
      <c r="CS26" s="83" t="s">
        <v>179</v>
      </c>
      <c r="CT26" s="83" t="s">
        <v>179</v>
      </c>
      <c r="CU26" s="83" t="s">
        <v>179</v>
      </c>
      <c r="CV26" s="83" t="s">
        <v>179</v>
      </c>
      <c r="CW26" s="83" t="s">
        <v>179</v>
      </c>
      <c r="CX26" s="79" t="s">
        <v>153</v>
      </c>
      <c r="CY26" s="79">
        <f t="shared" si="26"/>
        <v>0</v>
      </c>
      <c r="CZ26" s="79">
        <v>0</v>
      </c>
      <c r="DA26" s="79">
        <f t="shared" si="27"/>
        <v>0</v>
      </c>
      <c r="DB26" s="84" t="str">
        <f t="shared" si="28"/>
        <v/>
      </c>
      <c r="DC26" s="41"/>
      <c r="DD26" s="79" t="s">
        <v>153</v>
      </c>
      <c r="DE26" s="71"/>
      <c r="DF26" s="85" t="s">
        <v>364</v>
      </c>
      <c r="DG26" s="79">
        <v>22</v>
      </c>
      <c r="DH26" s="86" t="str">
        <f t="shared" si="29"/>
        <v>Completo</v>
      </c>
      <c r="DI26" s="79" t="s">
        <v>181</v>
      </c>
      <c r="DJ26" s="79" t="s">
        <v>182</v>
      </c>
      <c r="DK26" s="79"/>
      <c r="DL26" s="79">
        <v>0</v>
      </c>
      <c r="DM26" s="79">
        <v>0</v>
      </c>
      <c r="DN26" s="79" t="s">
        <v>182</v>
      </c>
      <c r="DO26" s="79"/>
      <c r="DP26" s="79"/>
      <c r="DQ26" s="79"/>
      <c r="DR26" s="75" t="str">
        <f t="shared" si="11"/>
        <v>No aplica</v>
      </c>
      <c r="DS26" s="79"/>
      <c r="DT26" s="79"/>
      <c r="DU26" s="75" t="str">
        <f t="shared" si="12"/>
        <v>No aplica</v>
      </c>
      <c r="DV26" s="79" t="s">
        <v>182</v>
      </c>
      <c r="DW26" s="79" t="s">
        <v>191</v>
      </c>
      <c r="DX26" s="79"/>
      <c r="DY26" s="79"/>
      <c r="DZ26" s="79"/>
      <c r="EA26" s="79"/>
      <c r="EB26" s="79" t="s">
        <v>191</v>
      </c>
      <c r="EC26" s="79"/>
      <c r="ED26" s="79" t="s">
        <v>184</v>
      </c>
      <c r="EE26" s="79" t="str">
        <f t="shared" si="30"/>
        <v>Completo</v>
      </c>
      <c r="EF26" s="41"/>
      <c r="EG26" s="79" t="s">
        <v>153</v>
      </c>
      <c r="EH26" s="71"/>
      <c r="EI26" s="80"/>
      <c r="EJ26" s="71"/>
      <c r="EK26" s="79" t="s">
        <v>179</v>
      </c>
      <c r="EL26" s="76" t="str">
        <f t="shared" si="14"/>
        <v>No requiere</v>
      </c>
      <c r="EM26" s="76" t="str">
        <f t="shared" si="15"/>
        <v>No requiere</v>
      </c>
      <c r="EN26" s="76" t="str">
        <f t="shared" si="23"/>
        <v>No requiere</v>
      </c>
      <c r="EO26" s="71"/>
      <c r="EP26" s="73" t="str">
        <f t="shared" si="17"/>
        <v>No requiere</v>
      </c>
      <c r="EQ26" s="77" t="str">
        <f t="shared" si="18"/>
        <v>No requiere</v>
      </c>
      <c r="ER26" s="71"/>
      <c r="ES26" s="79" t="s">
        <v>179</v>
      </c>
      <c r="ET26" s="73" t="str">
        <f t="shared" si="19"/>
        <v>No requiere</v>
      </c>
      <c r="EU26" s="73" t="str">
        <f t="shared" si="24"/>
        <v>No requiere</v>
      </c>
      <c r="EV26" s="73" t="str">
        <f t="shared" si="21"/>
        <v>No requiere</v>
      </c>
      <c r="EW26" s="73" t="str">
        <f t="shared" si="22"/>
        <v>No requiere</v>
      </c>
      <c r="EX26" s="78"/>
      <c r="EY26" s="78"/>
    </row>
    <row r="27" spans="1:155" ht="46.5" customHeight="1">
      <c r="A27" s="79">
        <v>23</v>
      </c>
      <c r="B27" s="80" t="s">
        <v>365</v>
      </c>
      <c r="C27" s="81">
        <v>45336</v>
      </c>
      <c r="D27" s="82">
        <v>0.35416666666666669</v>
      </c>
      <c r="E27" s="79" t="s">
        <v>151</v>
      </c>
      <c r="F27" s="79" t="s">
        <v>153</v>
      </c>
      <c r="G27" s="79" t="s">
        <v>153</v>
      </c>
      <c r="H27" s="79" t="s">
        <v>152</v>
      </c>
      <c r="I27" s="79" t="s">
        <v>152</v>
      </c>
      <c r="J27" s="79" t="s">
        <v>154</v>
      </c>
      <c r="K27" s="79" t="s">
        <v>202</v>
      </c>
      <c r="L27" s="80" t="s">
        <v>366</v>
      </c>
      <c r="M27" s="80" t="s">
        <v>303</v>
      </c>
      <c r="N27" s="79" t="s">
        <v>195</v>
      </c>
      <c r="O27" s="80" t="str">
        <f t="shared" si="0"/>
        <v>PENDIENTE, PENDIENTE</v>
      </c>
      <c r="P27" s="79" t="s">
        <v>196</v>
      </c>
      <c r="Q27" s="79" t="s">
        <v>196</v>
      </c>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t="s">
        <v>169</v>
      </c>
      <c r="AP27" s="79" t="s">
        <v>170</v>
      </c>
      <c r="AQ27" s="80" t="s">
        <v>171</v>
      </c>
      <c r="AR27" s="80" t="s">
        <v>171</v>
      </c>
      <c r="AS27" s="80" t="s">
        <v>171</v>
      </c>
      <c r="AT27" s="80" t="str">
        <f t="shared" si="1"/>
        <v>Distrital</v>
      </c>
      <c r="AU27" s="79" t="s">
        <v>172</v>
      </c>
      <c r="AV27" s="79"/>
      <c r="AW27" s="79"/>
      <c r="AX27" s="79"/>
      <c r="AY27" s="79"/>
      <c r="AZ27" s="79"/>
      <c r="BA27" s="80" t="str">
        <f t="shared" si="2"/>
        <v>Distrital</v>
      </c>
      <c r="BB27" s="79" t="s">
        <v>172</v>
      </c>
      <c r="BC27" s="79"/>
      <c r="BD27" s="79"/>
      <c r="BE27" s="79"/>
      <c r="BF27" s="79"/>
      <c r="BG27" s="79"/>
      <c r="BH27" s="80" t="str">
        <f t="shared" si="3"/>
        <v>Distrital</v>
      </c>
      <c r="BI27" s="79" t="s">
        <v>172</v>
      </c>
      <c r="BJ27" s="79"/>
      <c r="BK27" s="79"/>
      <c r="BL27" s="79"/>
      <c r="BM27" s="79"/>
      <c r="BN27" s="79"/>
      <c r="BO27" s="79"/>
      <c r="BP27" s="79"/>
      <c r="BQ27" s="79"/>
      <c r="BR27" s="79"/>
      <c r="BS27" s="80" t="s">
        <v>288</v>
      </c>
      <c r="BT27" s="80" t="s">
        <v>174</v>
      </c>
      <c r="BU27" s="89" t="s">
        <v>367</v>
      </c>
      <c r="BV27" s="71"/>
      <c r="BW27" s="79" t="s">
        <v>153</v>
      </c>
      <c r="BX27" s="79" t="s">
        <v>176</v>
      </c>
      <c r="BY27" s="71"/>
      <c r="BZ27" s="79">
        <v>13</v>
      </c>
      <c r="CA27" s="79">
        <v>3</v>
      </c>
      <c r="CB27" s="79">
        <f t="shared" si="25"/>
        <v>16</v>
      </c>
      <c r="CC27" s="79" t="str">
        <f t="shared" si="5"/>
        <v>No Aplica</v>
      </c>
      <c r="CD27" s="79" t="s">
        <v>177</v>
      </c>
      <c r="CE27" s="79"/>
      <c r="CF27" s="79"/>
      <c r="CG27" s="83" t="s">
        <v>368</v>
      </c>
      <c r="CH27" s="41"/>
      <c r="CI27" s="79" t="s">
        <v>153</v>
      </c>
      <c r="CJ27" s="71"/>
      <c r="CK27" s="79">
        <f t="shared" si="6"/>
        <v>0</v>
      </c>
      <c r="CL27" s="79"/>
      <c r="CM27" s="79"/>
      <c r="CN27" s="79"/>
      <c r="CO27" s="79"/>
      <c r="CP27" s="79"/>
      <c r="CQ27" s="79"/>
      <c r="CR27" s="83" t="s">
        <v>179</v>
      </c>
      <c r="CS27" s="83" t="s">
        <v>179</v>
      </c>
      <c r="CT27" s="83" t="s">
        <v>179</v>
      </c>
      <c r="CU27" s="83" t="s">
        <v>179</v>
      </c>
      <c r="CV27" s="83" t="s">
        <v>179</v>
      </c>
      <c r="CW27" s="83" t="s">
        <v>179</v>
      </c>
      <c r="CX27" s="79" t="s">
        <v>153</v>
      </c>
      <c r="CY27" s="79">
        <f t="shared" si="26"/>
        <v>0</v>
      </c>
      <c r="CZ27" s="79">
        <v>0</v>
      </c>
      <c r="DA27" s="79">
        <f t="shared" si="27"/>
        <v>0</v>
      </c>
      <c r="DB27" s="84" t="str">
        <f t="shared" si="28"/>
        <v/>
      </c>
      <c r="DC27" s="41"/>
      <c r="DD27" s="79" t="s">
        <v>153</v>
      </c>
      <c r="DE27" s="71"/>
      <c r="DF27" s="85" t="s">
        <v>369</v>
      </c>
      <c r="DG27" s="79">
        <v>23</v>
      </c>
      <c r="DH27" s="86" t="str">
        <f t="shared" si="29"/>
        <v>Completo</v>
      </c>
      <c r="DI27" s="79" t="s">
        <v>181</v>
      </c>
      <c r="DJ27" s="79" t="s">
        <v>182</v>
      </c>
      <c r="DK27" s="79"/>
      <c r="DL27" s="79">
        <v>0</v>
      </c>
      <c r="DM27" s="79">
        <v>0</v>
      </c>
      <c r="DN27" s="79" t="s">
        <v>182</v>
      </c>
      <c r="DO27" s="79"/>
      <c r="DP27" s="79"/>
      <c r="DQ27" s="79"/>
      <c r="DR27" s="75" t="str">
        <f t="shared" si="11"/>
        <v>No aplica</v>
      </c>
      <c r="DS27" s="79"/>
      <c r="DT27" s="79"/>
      <c r="DU27" s="75" t="str">
        <f t="shared" si="12"/>
        <v>No aplica</v>
      </c>
      <c r="DV27" s="79" t="s">
        <v>182</v>
      </c>
      <c r="DW27" s="79" t="s">
        <v>182</v>
      </c>
      <c r="DX27" s="79"/>
      <c r="DY27" s="79"/>
      <c r="DZ27" s="79"/>
      <c r="EA27" s="79"/>
      <c r="EB27" s="79" t="s">
        <v>182</v>
      </c>
      <c r="EC27" s="79" t="s">
        <v>370</v>
      </c>
      <c r="ED27" s="79" t="s">
        <v>184</v>
      </c>
      <c r="EE27" s="79" t="str">
        <f t="shared" si="30"/>
        <v>Completo</v>
      </c>
      <c r="EF27" s="41"/>
      <c r="EG27" s="79" t="s">
        <v>153</v>
      </c>
      <c r="EH27" s="71"/>
      <c r="EI27" s="80"/>
      <c r="EJ27" s="71"/>
      <c r="EK27" s="79" t="s">
        <v>179</v>
      </c>
      <c r="EL27" s="76" t="str">
        <f t="shared" si="14"/>
        <v>No requiere</v>
      </c>
      <c r="EM27" s="76" t="str">
        <f t="shared" si="15"/>
        <v>No requiere</v>
      </c>
      <c r="EN27" s="76" t="str">
        <f t="shared" si="23"/>
        <v>No requiere</v>
      </c>
      <c r="EO27" s="71"/>
      <c r="EP27" s="73" t="str">
        <f t="shared" si="17"/>
        <v>No requiere</v>
      </c>
      <c r="EQ27" s="77" t="str">
        <f t="shared" si="18"/>
        <v>No requiere</v>
      </c>
      <c r="ER27" s="71"/>
      <c r="ES27" s="79" t="s">
        <v>179</v>
      </c>
      <c r="ET27" s="73" t="str">
        <f t="shared" si="19"/>
        <v>No requiere</v>
      </c>
      <c r="EU27" s="73" t="str">
        <f t="shared" si="24"/>
        <v>No requiere</v>
      </c>
      <c r="EV27" s="73" t="str">
        <f t="shared" si="21"/>
        <v>No requiere</v>
      </c>
      <c r="EW27" s="73" t="str">
        <f t="shared" si="22"/>
        <v>No requiere</v>
      </c>
      <c r="EX27" s="78"/>
      <c r="EY27" s="78"/>
    </row>
    <row r="28" spans="1:155" ht="46.5" customHeight="1">
      <c r="A28" s="79">
        <v>24</v>
      </c>
      <c r="B28" s="80" t="s">
        <v>371</v>
      </c>
      <c r="C28" s="81">
        <v>45336</v>
      </c>
      <c r="D28" s="82">
        <v>0.60416666666666663</v>
      </c>
      <c r="E28" s="79" t="s">
        <v>151</v>
      </c>
      <c r="F28" s="79" t="s">
        <v>153</v>
      </c>
      <c r="G28" s="79" t="s">
        <v>152</v>
      </c>
      <c r="H28" s="79" t="s">
        <v>152</v>
      </c>
      <c r="I28" s="79" t="s">
        <v>152</v>
      </c>
      <c r="J28" s="79" t="s">
        <v>154</v>
      </c>
      <c r="K28" s="79" t="s">
        <v>202</v>
      </c>
      <c r="L28" s="80" t="s">
        <v>372</v>
      </c>
      <c r="M28" s="80" t="s">
        <v>229</v>
      </c>
      <c r="N28" s="79" t="s">
        <v>373</v>
      </c>
      <c r="O28" s="80" t="str">
        <f t="shared" si="0"/>
        <v/>
      </c>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t="s">
        <v>230</v>
      </c>
      <c r="AP28" s="79" t="s">
        <v>347</v>
      </c>
      <c r="AQ28" s="80" t="s">
        <v>374</v>
      </c>
      <c r="AR28" s="80" t="s">
        <v>171</v>
      </c>
      <c r="AS28" s="80" t="s">
        <v>375</v>
      </c>
      <c r="AT28" s="80" t="str">
        <f t="shared" si="1"/>
        <v>Distrital</v>
      </c>
      <c r="AU28" s="79" t="s">
        <v>172</v>
      </c>
      <c r="AV28" s="79"/>
      <c r="AW28" s="79"/>
      <c r="AX28" s="79"/>
      <c r="AY28" s="79"/>
      <c r="AZ28" s="79"/>
      <c r="BA28" s="80" t="str">
        <f t="shared" si="2"/>
        <v>Distrital</v>
      </c>
      <c r="BB28" s="79" t="s">
        <v>172</v>
      </c>
      <c r="BC28" s="79"/>
      <c r="BD28" s="79"/>
      <c r="BE28" s="79"/>
      <c r="BF28" s="79"/>
      <c r="BG28" s="79"/>
      <c r="BH28" s="80" t="str">
        <f t="shared" si="3"/>
        <v>Distrital</v>
      </c>
      <c r="BI28" s="79" t="s">
        <v>172</v>
      </c>
      <c r="BJ28" s="79"/>
      <c r="BK28" s="79"/>
      <c r="BL28" s="79"/>
      <c r="BM28" s="79"/>
      <c r="BN28" s="79"/>
      <c r="BO28" s="79"/>
      <c r="BP28" s="79"/>
      <c r="BQ28" s="79"/>
      <c r="BR28" s="79"/>
      <c r="BS28" s="80" t="s">
        <v>288</v>
      </c>
      <c r="BT28" s="80" t="s">
        <v>376</v>
      </c>
      <c r="BU28" s="89" t="s">
        <v>377</v>
      </c>
      <c r="BV28" s="71"/>
      <c r="BW28" s="79" t="s">
        <v>153</v>
      </c>
      <c r="BX28" s="79" t="s">
        <v>176</v>
      </c>
      <c r="BY28" s="71"/>
      <c r="BZ28" s="79">
        <v>19</v>
      </c>
      <c r="CA28" s="79">
        <v>4</v>
      </c>
      <c r="CB28" s="79">
        <f t="shared" si="25"/>
        <v>23</v>
      </c>
      <c r="CC28" s="79" t="str">
        <f t="shared" si="5"/>
        <v>Horarios Acordes, Lenguaje de señas, Contenidos adaptados</v>
      </c>
      <c r="CD28" s="79" t="s">
        <v>351</v>
      </c>
      <c r="CE28" s="79" t="s">
        <v>349</v>
      </c>
      <c r="CF28" s="79" t="s">
        <v>350</v>
      </c>
      <c r="CG28" s="83" t="s">
        <v>378</v>
      </c>
      <c r="CH28" s="41"/>
      <c r="CI28" s="79" t="s">
        <v>153</v>
      </c>
      <c r="CJ28" s="71"/>
      <c r="CK28" s="79">
        <f t="shared" si="6"/>
        <v>0</v>
      </c>
      <c r="CL28" s="79"/>
      <c r="CM28" s="79"/>
      <c r="CN28" s="79"/>
      <c r="CO28" s="79"/>
      <c r="CP28" s="79"/>
      <c r="CQ28" s="79"/>
      <c r="CR28" s="83" t="s">
        <v>179</v>
      </c>
      <c r="CS28" s="83" t="s">
        <v>179</v>
      </c>
      <c r="CT28" s="83" t="s">
        <v>179</v>
      </c>
      <c r="CU28" s="83" t="s">
        <v>179</v>
      </c>
      <c r="CV28" s="83" t="s">
        <v>179</v>
      </c>
      <c r="CW28" s="83" t="s">
        <v>179</v>
      </c>
      <c r="CX28" s="79" t="s">
        <v>153</v>
      </c>
      <c r="CY28" s="79">
        <f t="shared" si="26"/>
        <v>0</v>
      </c>
      <c r="CZ28" s="79">
        <v>0</v>
      </c>
      <c r="DA28" s="79">
        <f t="shared" si="27"/>
        <v>0</v>
      </c>
      <c r="DB28" s="84" t="str">
        <f t="shared" si="28"/>
        <v/>
      </c>
      <c r="DC28" s="41"/>
      <c r="DD28" s="79" t="s">
        <v>153</v>
      </c>
      <c r="DE28" s="71"/>
      <c r="DF28" s="85" t="s">
        <v>379</v>
      </c>
      <c r="DG28" s="79">
        <v>24</v>
      </c>
      <c r="DH28" s="86" t="str">
        <f t="shared" si="29"/>
        <v>Completo</v>
      </c>
      <c r="DI28" s="79" t="s">
        <v>181</v>
      </c>
      <c r="DJ28" s="79" t="s">
        <v>182</v>
      </c>
      <c r="DK28" s="79"/>
      <c r="DL28" s="79">
        <v>0</v>
      </c>
      <c r="DM28" s="79">
        <v>0</v>
      </c>
      <c r="DN28" s="79" t="s">
        <v>182</v>
      </c>
      <c r="DO28" s="79"/>
      <c r="DP28" s="79"/>
      <c r="DQ28" s="79"/>
      <c r="DR28" s="75" t="str">
        <f t="shared" si="11"/>
        <v>No aplica</v>
      </c>
      <c r="DS28" s="79"/>
      <c r="DT28" s="79"/>
      <c r="DU28" s="75" t="str">
        <f t="shared" si="12"/>
        <v>No aplica</v>
      </c>
      <c r="DV28" s="79" t="s">
        <v>191</v>
      </c>
      <c r="DW28" s="79" t="s">
        <v>191</v>
      </c>
      <c r="DX28" s="79"/>
      <c r="DY28" s="79"/>
      <c r="DZ28" s="79"/>
      <c r="EA28" s="79"/>
      <c r="EB28" s="79" t="s">
        <v>182</v>
      </c>
      <c r="EC28" s="79" t="s">
        <v>380</v>
      </c>
      <c r="ED28" s="79" t="s">
        <v>184</v>
      </c>
      <c r="EE28" s="79" t="str">
        <f t="shared" si="30"/>
        <v>Completo</v>
      </c>
      <c r="EF28" s="41"/>
      <c r="EG28" s="79" t="s">
        <v>153</v>
      </c>
      <c r="EH28" s="71"/>
      <c r="EI28" s="80"/>
      <c r="EJ28" s="71"/>
      <c r="EK28" s="79" t="s">
        <v>179</v>
      </c>
      <c r="EL28" s="76" t="str">
        <f t="shared" si="14"/>
        <v>No requiere</v>
      </c>
      <c r="EM28" s="76" t="str">
        <f t="shared" si="15"/>
        <v>No requiere</v>
      </c>
      <c r="EN28" s="76" t="str">
        <f t="shared" si="23"/>
        <v>No requiere</v>
      </c>
      <c r="EO28" s="71"/>
      <c r="EP28" s="73" t="str">
        <f t="shared" si="17"/>
        <v>No requiere</v>
      </c>
      <c r="EQ28" s="77" t="str">
        <f t="shared" si="18"/>
        <v>No requiere</v>
      </c>
      <c r="ER28" s="71"/>
      <c r="ES28" s="79" t="s">
        <v>179</v>
      </c>
      <c r="ET28" s="73" t="str">
        <f t="shared" si="19"/>
        <v>No requiere</v>
      </c>
      <c r="EU28" s="73" t="str">
        <f t="shared" si="24"/>
        <v>No requiere</v>
      </c>
      <c r="EV28" s="73" t="str">
        <f t="shared" si="21"/>
        <v>No requiere</v>
      </c>
      <c r="EW28" s="73" t="str">
        <f t="shared" si="22"/>
        <v>No requiere</v>
      </c>
      <c r="EX28" s="78"/>
      <c r="EY28" s="78"/>
    </row>
    <row r="29" spans="1:155" ht="46.5" customHeight="1">
      <c r="A29" s="79">
        <v>25</v>
      </c>
      <c r="B29" s="80" t="s">
        <v>381</v>
      </c>
      <c r="C29" s="81">
        <v>45337</v>
      </c>
      <c r="D29" s="82">
        <v>0.33333333333333331</v>
      </c>
      <c r="E29" s="79" t="s">
        <v>151</v>
      </c>
      <c r="F29" s="79" t="s">
        <v>153</v>
      </c>
      <c r="G29" s="79" t="s">
        <v>153</v>
      </c>
      <c r="H29" s="79" t="s">
        <v>153</v>
      </c>
      <c r="I29" s="79" t="s">
        <v>152</v>
      </c>
      <c r="J29" s="79" t="s">
        <v>154</v>
      </c>
      <c r="K29" s="79" t="s">
        <v>155</v>
      </c>
      <c r="L29" s="80" t="s">
        <v>382</v>
      </c>
      <c r="M29" s="80" t="s">
        <v>303</v>
      </c>
      <c r="N29" s="79" t="s">
        <v>328</v>
      </c>
      <c r="O29" s="80" t="str">
        <f t="shared" si="0"/>
        <v/>
      </c>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t="s">
        <v>304</v>
      </c>
      <c r="AP29" s="79"/>
      <c r="AQ29" s="80" t="s">
        <v>383</v>
      </c>
      <c r="AR29" s="83" t="s">
        <v>384</v>
      </c>
      <c r="AS29" s="80" t="s">
        <v>385</v>
      </c>
      <c r="AT29" s="80" t="str">
        <f t="shared" si="1"/>
        <v>Distrital</v>
      </c>
      <c r="AU29" s="79" t="s">
        <v>172</v>
      </c>
      <c r="AV29" s="79"/>
      <c r="AW29" s="79"/>
      <c r="AX29" s="79"/>
      <c r="AY29" s="79"/>
      <c r="AZ29" s="79"/>
      <c r="BA29" s="80" t="str">
        <f t="shared" si="2"/>
        <v>Distrital</v>
      </c>
      <c r="BB29" s="79" t="s">
        <v>172</v>
      </c>
      <c r="BC29" s="79"/>
      <c r="BD29" s="79"/>
      <c r="BE29" s="79"/>
      <c r="BF29" s="79"/>
      <c r="BG29" s="79"/>
      <c r="BH29" s="80" t="str">
        <f t="shared" si="3"/>
        <v>Distrital</v>
      </c>
      <c r="BI29" s="79" t="s">
        <v>172</v>
      </c>
      <c r="BJ29" s="79"/>
      <c r="BK29" s="79"/>
      <c r="BL29" s="79"/>
      <c r="BM29" s="79"/>
      <c r="BN29" s="79"/>
      <c r="BO29" s="79"/>
      <c r="BP29" s="79"/>
      <c r="BQ29" s="79"/>
      <c r="BR29" s="79"/>
      <c r="BS29" s="80" t="s">
        <v>288</v>
      </c>
      <c r="BT29" s="80" t="s">
        <v>386</v>
      </c>
      <c r="BU29" s="80" t="s">
        <v>387</v>
      </c>
      <c r="BV29" s="71"/>
      <c r="BW29" s="79" t="s">
        <v>153</v>
      </c>
      <c r="BX29" s="79" t="s">
        <v>334</v>
      </c>
      <c r="BY29" s="71"/>
      <c r="BZ29" s="79">
        <v>22</v>
      </c>
      <c r="CA29" s="79">
        <v>12</v>
      </c>
      <c r="CB29" s="79">
        <f t="shared" si="25"/>
        <v>34</v>
      </c>
      <c r="CC29" s="79" t="str">
        <f t="shared" si="5"/>
        <v>Ninguna</v>
      </c>
      <c r="CD29" s="79" t="s">
        <v>174</v>
      </c>
      <c r="CE29" s="79"/>
      <c r="CF29" s="79"/>
      <c r="CG29" s="83" t="s">
        <v>388</v>
      </c>
      <c r="CH29" s="41"/>
      <c r="CI29" s="79" t="s">
        <v>153</v>
      </c>
      <c r="CJ29" s="71"/>
      <c r="CK29" s="79">
        <f t="shared" si="6"/>
        <v>1</v>
      </c>
      <c r="CL29" s="93" t="s">
        <v>389</v>
      </c>
      <c r="CM29" s="79"/>
      <c r="CN29" s="79"/>
      <c r="CO29" s="79"/>
      <c r="CP29" s="79"/>
      <c r="CQ29" s="79"/>
      <c r="CR29" s="83" t="s">
        <v>390</v>
      </c>
      <c r="CS29" s="83" t="s">
        <v>179</v>
      </c>
      <c r="CT29" s="83" t="s">
        <v>179</v>
      </c>
      <c r="CU29" s="83" t="s">
        <v>179</v>
      </c>
      <c r="CV29" s="83" t="s">
        <v>179</v>
      </c>
      <c r="CW29" s="83" t="s">
        <v>179</v>
      </c>
      <c r="CX29" s="79" t="s">
        <v>153</v>
      </c>
      <c r="CY29" s="79">
        <f t="shared" si="26"/>
        <v>1</v>
      </c>
      <c r="CZ29" s="79">
        <v>1</v>
      </c>
      <c r="DA29" s="79">
        <f t="shared" si="27"/>
        <v>1</v>
      </c>
      <c r="DB29" s="84">
        <f t="shared" si="28"/>
        <v>1</v>
      </c>
      <c r="DC29" s="41"/>
      <c r="DD29" s="79" t="s">
        <v>153</v>
      </c>
      <c r="DE29" s="71"/>
      <c r="DF29" s="85" t="s">
        <v>391</v>
      </c>
      <c r="DG29" s="79">
        <v>25</v>
      </c>
      <c r="DH29" s="86" t="str">
        <f t="shared" si="29"/>
        <v>Completo</v>
      </c>
      <c r="DI29" s="79" t="s">
        <v>181</v>
      </c>
      <c r="DJ29" s="79" t="s">
        <v>182</v>
      </c>
      <c r="DK29" s="79" t="s">
        <v>153</v>
      </c>
      <c r="DL29" s="79">
        <v>0</v>
      </c>
      <c r="DM29" s="79">
        <v>0</v>
      </c>
      <c r="DN29" s="79" t="s">
        <v>182</v>
      </c>
      <c r="DO29" s="79"/>
      <c r="DP29" s="79" t="s">
        <v>182</v>
      </c>
      <c r="DQ29" s="79">
        <v>8</v>
      </c>
      <c r="DR29" s="75">
        <f t="shared" si="11"/>
        <v>1.2121212121212122</v>
      </c>
      <c r="DS29" s="79" t="s">
        <v>182</v>
      </c>
      <c r="DT29" s="79">
        <v>10</v>
      </c>
      <c r="DU29" s="75">
        <f t="shared" si="12"/>
        <v>1.2987012987012989</v>
      </c>
      <c r="DV29" s="79" t="s">
        <v>182</v>
      </c>
      <c r="DW29" s="79" t="s">
        <v>182</v>
      </c>
      <c r="DX29" s="79">
        <v>2</v>
      </c>
      <c r="DY29" s="79">
        <v>0</v>
      </c>
      <c r="DZ29" s="79"/>
      <c r="EA29" s="79" t="s">
        <v>179</v>
      </c>
      <c r="EB29" s="79" t="s">
        <v>182</v>
      </c>
      <c r="EC29" s="79" t="s">
        <v>380</v>
      </c>
      <c r="ED29" s="79" t="s">
        <v>184</v>
      </c>
      <c r="EE29" s="79" t="str">
        <f t="shared" si="30"/>
        <v>Completo</v>
      </c>
      <c r="EF29" s="41"/>
      <c r="EG29" s="79" t="s">
        <v>153</v>
      </c>
      <c r="EH29" s="71"/>
      <c r="EI29" s="89" t="s">
        <v>392</v>
      </c>
      <c r="EJ29" s="71"/>
      <c r="EK29" s="79" t="s">
        <v>393</v>
      </c>
      <c r="EL29" s="76" t="str">
        <f t="shared" si="14"/>
        <v>Sí</v>
      </c>
      <c r="EM29" s="76" t="str">
        <f t="shared" si="15"/>
        <v>No</v>
      </c>
      <c r="EN29" s="76" t="str">
        <f t="shared" si="23"/>
        <v>No</v>
      </c>
      <c r="EO29" s="71"/>
      <c r="EP29" s="73" t="str">
        <f t="shared" si="17"/>
        <v>No aplica</v>
      </c>
      <c r="EQ29" s="77">
        <f t="shared" si="18"/>
        <v>1.2987012987012989</v>
      </c>
      <c r="ER29" s="71"/>
      <c r="ES29" s="79" t="s">
        <v>393</v>
      </c>
      <c r="ET29" s="73">
        <f t="shared" si="19"/>
        <v>1</v>
      </c>
      <c r="EU29" s="73">
        <f t="shared" si="24"/>
        <v>1</v>
      </c>
      <c r="EV29" s="73">
        <f t="shared" si="21"/>
        <v>1</v>
      </c>
      <c r="EW29" s="73" t="str">
        <f t="shared" si="22"/>
        <v>No aplica</v>
      </c>
      <c r="EX29" s="78"/>
      <c r="EY29" s="78"/>
    </row>
    <row r="30" spans="1:155" ht="46.5" customHeight="1">
      <c r="A30" s="79">
        <v>26</v>
      </c>
      <c r="B30" s="80" t="s">
        <v>394</v>
      </c>
      <c r="C30" s="81">
        <v>45337</v>
      </c>
      <c r="D30" s="82">
        <v>0.33333333333333331</v>
      </c>
      <c r="E30" s="79" t="s">
        <v>151</v>
      </c>
      <c r="F30" s="79" t="s">
        <v>153</v>
      </c>
      <c r="G30" s="79" t="s">
        <v>153</v>
      </c>
      <c r="H30" s="79" t="s">
        <v>152</v>
      </c>
      <c r="I30" s="79" t="s">
        <v>152</v>
      </c>
      <c r="J30" s="79" t="s">
        <v>154</v>
      </c>
      <c r="K30" s="79" t="s">
        <v>155</v>
      </c>
      <c r="L30" s="80" t="s">
        <v>395</v>
      </c>
      <c r="M30" s="80" t="s">
        <v>157</v>
      </c>
      <c r="N30" s="79" t="s">
        <v>346</v>
      </c>
      <c r="O30" s="80" t="str">
        <f t="shared" si="0"/>
        <v>Rosemberg Prisco Vasquez</v>
      </c>
      <c r="P30" s="79" t="s">
        <v>162</v>
      </c>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t="s">
        <v>169</v>
      </c>
      <c r="AP30" s="79" t="s">
        <v>170</v>
      </c>
      <c r="AQ30" s="80" t="s">
        <v>171</v>
      </c>
      <c r="AR30" s="80" t="s">
        <v>171</v>
      </c>
      <c r="AS30" s="80" t="s">
        <v>171</v>
      </c>
      <c r="AT30" s="80" t="str">
        <f t="shared" si="1"/>
        <v>Distrital</v>
      </c>
      <c r="AU30" s="79" t="s">
        <v>172</v>
      </c>
      <c r="AV30" s="79"/>
      <c r="AW30" s="79"/>
      <c r="AX30" s="79"/>
      <c r="AY30" s="79"/>
      <c r="AZ30" s="79"/>
      <c r="BA30" s="80" t="str">
        <f t="shared" si="2"/>
        <v>Distrital</v>
      </c>
      <c r="BB30" s="79" t="s">
        <v>172</v>
      </c>
      <c r="BC30" s="79"/>
      <c r="BD30" s="79"/>
      <c r="BE30" s="79"/>
      <c r="BF30" s="79"/>
      <c r="BG30" s="79"/>
      <c r="BH30" s="80" t="str">
        <f t="shared" si="3"/>
        <v>Distrital</v>
      </c>
      <c r="BI30" s="79" t="s">
        <v>172</v>
      </c>
      <c r="BJ30" s="79"/>
      <c r="BK30" s="79"/>
      <c r="BL30" s="79"/>
      <c r="BM30" s="79"/>
      <c r="BN30" s="79"/>
      <c r="BO30" s="79"/>
      <c r="BP30" s="79"/>
      <c r="BQ30" s="79"/>
      <c r="BR30" s="79"/>
      <c r="BS30" s="80" t="s">
        <v>288</v>
      </c>
      <c r="BT30" s="80" t="s">
        <v>174</v>
      </c>
      <c r="BU30" s="80" t="s">
        <v>396</v>
      </c>
      <c r="BV30" s="71"/>
      <c r="BW30" s="79" t="s">
        <v>153</v>
      </c>
      <c r="BX30" s="79" t="s">
        <v>334</v>
      </c>
      <c r="BY30" s="71"/>
      <c r="BZ30" s="79">
        <v>0</v>
      </c>
      <c r="CA30" s="79">
        <v>100</v>
      </c>
      <c r="CB30" s="79">
        <f t="shared" si="25"/>
        <v>100</v>
      </c>
      <c r="CC30" s="79" t="str">
        <f t="shared" si="5"/>
        <v>Lenguaje de señas, Accesibilidad Universal, Horarios Acordes</v>
      </c>
      <c r="CD30" s="79" t="s">
        <v>349</v>
      </c>
      <c r="CE30" s="79" t="s">
        <v>397</v>
      </c>
      <c r="CF30" s="79" t="s">
        <v>351</v>
      </c>
      <c r="CG30" s="83" t="s">
        <v>398</v>
      </c>
      <c r="CH30" s="41"/>
      <c r="CI30" s="79" t="s">
        <v>153</v>
      </c>
      <c r="CJ30" s="71"/>
      <c r="CK30" s="79">
        <f t="shared" si="6"/>
        <v>0</v>
      </c>
      <c r="CL30" s="79"/>
      <c r="CM30" s="79"/>
      <c r="CN30" s="79"/>
      <c r="CO30" s="79"/>
      <c r="CP30" s="79"/>
      <c r="CQ30" s="79"/>
      <c r="CR30" s="83" t="s">
        <v>179</v>
      </c>
      <c r="CS30" s="83" t="s">
        <v>179</v>
      </c>
      <c r="CT30" s="83" t="s">
        <v>179</v>
      </c>
      <c r="CU30" s="83" t="s">
        <v>179</v>
      </c>
      <c r="CV30" s="83" t="s">
        <v>179</v>
      </c>
      <c r="CW30" s="83" t="s">
        <v>179</v>
      </c>
      <c r="CX30" s="79" t="s">
        <v>153</v>
      </c>
      <c r="CY30" s="79">
        <f t="shared" si="26"/>
        <v>0</v>
      </c>
      <c r="CZ30" s="79">
        <v>0</v>
      </c>
      <c r="DA30" s="79">
        <f t="shared" si="27"/>
        <v>0</v>
      </c>
      <c r="DB30" s="84" t="str">
        <f t="shared" si="28"/>
        <v/>
      </c>
      <c r="DC30" s="41"/>
      <c r="DD30" s="79" t="s">
        <v>153</v>
      </c>
      <c r="DE30" s="71"/>
      <c r="DF30" s="85" t="s">
        <v>399</v>
      </c>
      <c r="DG30" s="79">
        <v>26</v>
      </c>
      <c r="DH30" s="86" t="str">
        <f t="shared" si="29"/>
        <v>Completo</v>
      </c>
      <c r="DI30" s="79" t="s">
        <v>181</v>
      </c>
      <c r="DJ30" s="79" t="s">
        <v>182</v>
      </c>
      <c r="DK30" s="79"/>
      <c r="DL30" s="79">
        <v>0</v>
      </c>
      <c r="DM30" s="79">
        <v>0</v>
      </c>
      <c r="DN30" s="79" t="s">
        <v>191</v>
      </c>
      <c r="DO30" s="79"/>
      <c r="DP30" s="79"/>
      <c r="DQ30" s="79"/>
      <c r="DR30" s="75" t="str">
        <f t="shared" si="11"/>
        <v>No aplica</v>
      </c>
      <c r="DS30" s="79"/>
      <c r="DT30" s="79"/>
      <c r="DU30" s="75" t="str">
        <f t="shared" si="12"/>
        <v>No aplica</v>
      </c>
      <c r="DV30" s="79" t="s">
        <v>182</v>
      </c>
      <c r="DW30" s="79" t="s">
        <v>191</v>
      </c>
      <c r="DX30" s="79"/>
      <c r="DY30" s="79"/>
      <c r="DZ30" s="79"/>
      <c r="EA30" s="79"/>
      <c r="EB30" s="79" t="s">
        <v>191</v>
      </c>
      <c r="EC30" s="79"/>
      <c r="ED30" s="79" t="s">
        <v>184</v>
      </c>
      <c r="EE30" s="79" t="str">
        <f t="shared" si="30"/>
        <v>Completo</v>
      </c>
      <c r="EF30" s="41"/>
      <c r="EG30" s="79" t="s">
        <v>153</v>
      </c>
      <c r="EH30" s="71"/>
      <c r="EI30" s="80"/>
      <c r="EJ30" s="71"/>
      <c r="EK30" s="79" t="s">
        <v>179</v>
      </c>
      <c r="EL30" s="76" t="str">
        <f t="shared" si="14"/>
        <v>No requiere</v>
      </c>
      <c r="EM30" s="76" t="str">
        <f t="shared" si="15"/>
        <v>No requiere</v>
      </c>
      <c r="EN30" s="76" t="str">
        <f t="shared" si="23"/>
        <v>No requiere</v>
      </c>
      <c r="EO30" s="71"/>
      <c r="EP30" s="73" t="str">
        <f t="shared" si="17"/>
        <v>No requiere</v>
      </c>
      <c r="EQ30" s="77" t="str">
        <f t="shared" si="18"/>
        <v>No requiere</v>
      </c>
      <c r="ER30" s="71"/>
      <c r="ES30" s="79" t="s">
        <v>179</v>
      </c>
      <c r="ET30" s="73" t="str">
        <f t="shared" si="19"/>
        <v>No requiere</v>
      </c>
      <c r="EU30" s="73" t="str">
        <f t="shared" si="24"/>
        <v>No requiere</v>
      </c>
      <c r="EV30" s="73" t="str">
        <f t="shared" si="21"/>
        <v>No requiere</v>
      </c>
      <c r="EW30" s="73" t="str">
        <f t="shared" si="22"/>
        <v>No requiere</v>
      </c>
      <c r="EX30" s="78"/>
      <c r="EY30" s="78"/>
    </row>
    <row r="31" spans="1:155" ht="46.5" customHeight="1">
      <c r="A31" s="79">
        <v>27</v>
      </c>
      <c r="B31" s="80" t="s">
        <v>400</v>
      </c>
      <c r="C31" s="81">
        <v>45337</v>
      </c>
      <c r="D31" s="82">
        <v>0.58333333333333337</v>
      </c>
      <c r="E31" s="79" t="s">
        <v>151</v>
      </c>
      <c r="F31" s="79" t="s">
        <v>153</v>
      </c>
      <c r="G31" s="79" t="s">
        <v>153</v>
      </c>
      <c r="H31" s="79" t="s">
        <v>153</v>
      </c>
      <c r="I31" s="79" t="s">
        <v>152</v>
      </c>
      <c r="J31" s="79" t="s">
        <v>154</v>
      </c>
      <c r="K31" s="79" t="s">
        <v>155</v>
      </c>
      <c r="L31" s="80" t="s">
        <v>382</v>
      </c>
      <c r="M31" s="80" t="s">
        <v>303</v>
      </c>
      <c r="N31" s="79" t="s">
        <v>328</v>
      </c>
      <c r="O31" s="80" t="str">
        <f t="shared" si="0"/>
        <v/>
      </c>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t="s">
        <v>304</v>
      </c>
      <c r="AP31" s="79"/>
      <c r="AQ31" s="80" t="s">
        <v>383</v>
      </c>
      <c r="AR31" s="83" t="s">
        <v>384</v>
      </c>
      <c r="AS31" s="80" t="s">
        <v>385</v>
      </c>
      <c r="AT31" s="80" t="str">
        <f t="shared" si="1"/>
        <v>Distrital</v>
      </c>
      <c r="AU31" s="79" t="s">
        <v>172</v>
      </c>
      <c r="AV31" s="79"/>
      <c r="AW31" s="79"/>
      <c r="AX31" s="79"/>
      <c r="AY31" s="79"/>
      <c r="AZ31" s="79"/>
      <c r="BA31" s="80" t="str">
        <f t="shared" si="2"/>
        <v>Distrital</v>
      </c>
      <c r="BB31" s="79" t="s">
        <v>172</v>
      </c>
      <c r="BC31" s="79"/>
      <c r="BD31" s="79"/>
      <c r="BE31" s="79"/>
      <c r="BF31" s="79"/>
      <c r="BG31" s="79"/>
      <c r="BH31" s="80" t="str">
        <f t="shared" si="3"/>
        <v>Distrital</v>
      </c>
      <c r="BI31" s="79" t="s">
        <v>172</v>
      </c>
      <c r="BJ31" s="79"/>
      <c r="BK31" s="79"/>
      <c r="BL31" s="79"/>
      <c r="BM31" s="79"/>
      <c r="BN31" s="79"/>
      <c r="BO31" s="79"/>
      <c r="BP31" s="79"/>
      <c r="BQ31" s="79"/>
      <c r="BR31" s="79"/>
      <c r="BS31" s="80" t="s">
        <v>288</v>
      </c>
      <c r="BT31" s="80" t="s">
        <v>386</v>
      </c>
      <c r="BU31" s="80" t="s">
        <v>401</v>
      </c>
      <c r="BV31" s="71"/>
      <c r="BW31" s="79" t="s">
        <v>153</v>
      </c>
      <c r="BX31" s="79" t="s">
        <v>334</v>
      </c>
      <c r="BY31" s="71"/>
      <c r="BZ31" s="79">
        <v>33</v>
      </c>
      <c r="CA31" s="79">
        <v>10</v>
      </c>
      <c r="CB31" s="79">
        <f t="shared" si="25"/>
        <v>43</v>
      </c>
      <c r="CC31" s="79" t="str">
        <f t="shared" si="5"/>
        <v>Ninguna</v>
      </c>
      <c r="CD31" s="79" t="s">
        <v>174</v>
      </c>
      <c r="CE31" s="79"/>
      <c r="CF31" s="79"/>
      <c r="CG31" s="83" t="s">
        <v>388</v>
      </c>
      <c r="CH31" s="41"/>
      <c r="CI31" s="79" t="s">
        <v>153</v>
      </c>
      <c r="CJ31" s="71"/>
      <c r="CK31" s="79">
        <f t="shared" si="6"/>
        <v>1</v>
      </c>
      <c r="CL31" s="93" t="s">
        <v>389</v>
      </c>
      <c r="CM31" s="79"/>
      <c r="CN31" s="79"/>
      <c r="CO31" s="79"/>
      <c r="CP31" s="79"/>
      <c r="CQ31" s="79"/>
      <c r="CR31" s="83" t="s">
        <v>390</v>
      </c>
      <c r="CS31" s="83" t="s">
        <v>179</v>
      </c>
      <c r="CT31" s="83" t="s">
        <v>179</v>
      </c>
      <c r="CU31" s="83" t="s">
        <v>179</v>
      </c>
      <c r="CV31" s="83" t="s">
        <v>179</v>
      </c>
      <c r="CW31" s="83" t="s">
        <v>179</v>
      </c>
      <c r="CX31" s="79" t="s">
        <v>153</v>
      </c>
      <c r="CY31" s="79">
        <f t="shared" si="26"/>
        <v>1</v>
      </c>
      <c r="CZ31" s="79">
        <v>1</v>
      </c>
      <c r="DA31" s="79">
        <f t="shared" si="27"/>
        <v>1</v>
      </c>
      <c r="DB31" s="84">
        <f t="shared" si="28"/>
        <v>1</v>
      </c>
      <c r="DC31" s="41"/>
      <c r="DD31" s="79" t="s">
        <v>153</v>
      </c>
      <c r="DE31" s="71"/>
      <c r="DF31" s="85" t="s">
        <v>402</v>
      </c>
      <c r="DG31" s="79">
        <v>27</v>
      </c>
      <c r="DH31" s="86" t="str">
        <f t="shared" si="29"/>
        <v>Completo</v>
      </c>
      <c r="DI31" s="79" t="s">
        <v>181</v>
      </c>
      <c r="DJ31" s="79" t="s">
        <v>182</v>
      </c>
      <c r="DK31" s="79" t="s">
        <v>153</v>
      </c>
      <c r="DL31" s="79">
        <v>1</v>
      </c>
      <c r="DM31" s="79">
        <v>1</v>
      </c>
      <c r="DN31" s="79" t="s">
        <v>182</v>
      </c>
      <c r="DO31" s="79"/>
      <c r="DP31" s="79" t="s">
        <v>182</v>
      </c>
      <c r="DQ31" s="79">
        <v>12</v>
      </c>
      <c r="DR31" s="75">
        <f t="shared" si="11"/>
        <v>1.2121212121212122</v>
      </c>
      <c r="DS31" s="79" t="s">
        <v>182</v>
      </c>
      <c r="DT31" s="79">
        <v>19</v>
      </c>
      <c r="DU31" s="75">
        <f t="shared" si="12"/>
        <v>1.6450216450216453</v>
      </c>
      <c r="DV31" s="79" t="s">
        <v>182</v>
      </c>
      <c r="DW31" s="79" t="s">
        <v>182</v>
      </c>
      <c r="DX31" s="79">
        <v>2</v>
      </c>
      <c r="DY31" s="79">
        <v>0</v>
      </c>
      <c r="DZ31" s="79"/>
      <c r="EA31" s="79" t="s">
        <v>179</v>
      </c>
      <c r="EB31" s="79" t="s">
        <v>182</v>
      </c>
      <c r="EC31" s="79" t="s">
        <v>380</v>
      </c>
      <c r="ED31" s="79" t="s">
        <v>184</v>
      </c>
      <c r="EE31" s="79" t="str">
        <f t="shared" si="30"/>
        <v>Completo</v>
      </c>
      <c r="EF31" s="41"/>
      <c r="EG31" s="79" t="s">
        <v>153</v>
      </c>
      <c r="EH31" s="71"/>
      <c r="EI31" s="90" t="s">
        <v>403</v>
      </c>
      <c r="EJ31" s="71"/>
      <c r="EK31" s="79" t="s">
        <v>393</v>
      </c>
      <c r="EL31" s="76" t="str">
        <f t="shared" si="14"/>
        <v>Sí</v>
      </c>
      <c r="EM31" s="76" t="str">
        <f t="shared" si="15"/>
        <v>No</v>
      </c>
      <c r="EN31" s="76" t="str">
        <f t="shared" si="23"/>
        <v>No</v>
      </c>
      <c r="EO31" s="71"/>
      <c r="EP31" s="73">
        <f t="shared" si="17"/>
        <v>1</v>
      </c>
      <c r="EQ31" s="77">
        <f t="shared" si="18"/>
        <v>1.6450216450216453</v>
      </c>
      <c r="ER31" s="71"/>
      <c r="ES31" s="79" t="s">
        <v>393</v>
      </c>
      <c r="ET31" s="73">
        <f t="shared" si="19"/>
        <v>1</v>
      </c>
      <c r="EU31" s="73">
        <f t="shared" si="24"/>
        <v>1</v>
      </c>
      <c r="EV31" s="73">
        <f t="shared" si="21"/>
        <v>1</v>
      </c>
      <c r="EW31" s="73" t="str">
        <f t="shared" si="22"/>
        <v>No aplica</v>
      </c>
      <c r="EX31" s="78"/>
      <c r="EY31" s="78"/>
    </row>
    <row r="32" spans="1:155" ht="46.5" customHeight="1">
      <c r="A32" s="79">
        <v>28</v>
      </c>
      <c r="B32" s="80" t="s">
        <v>404</v>
      </c>
      <c r="C32" s="81">
        <v>45338</v>
      </c>
      <c r="D32" s="82">
        <v>0.33333333333333331</v>
      </c>
      <c r="E32" s="79" t="s">
        <v>151</v>
      </c>
      <c r="F32" s="79" t="s">
        <v>153</v>
      </c>
      <c r="G32" s="79" t="s">
        <v>153</v>
      </c>
      <c r="H32" s="79" t="s">
        <v>153</v>
      </c>
      <c r="I32" s="79" t="s">
        <v>152</v>
      </c>
      <c r="J32" s="79" t="s">
        <v>154</v>
      </c>
      <c r="K32" s="79" t="s">
        <v>155</v>
      </c>
      <c r="L32" s="80" t="s">
        <v>382</v>
      </c>
      <c r="M32" s="80" t="s">
        <v>303</v>
      </c>
      <c r="N32" s="79" t="s">
        <v>328</v>
      </c>
      <c r="O32" s="80" t="str">
        <f t="shared" si="0"/>
        <v/>
      </c>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t="s">
        <v>304</v>
      </c>
      <c r="AP32" s="79"/>
      <c r="AQ32" s="80" t="s">
        <v>383</v>
      </c>
      <c r="AR32" s="83" t="s">
        <v>384</v>
      </c>
      <c r="AS32" s="80" t="s">
        <v>385</v>
      </c>
      <c r="AT32" s="80" t="str">
        <f t="shared" si="1"/>
        <v>Distrital</v>
      </c>
      <c r="AU32" s="79" t="s">
        <v>172</v>
      </c>
      <c r="AV32" s="79"/>
      <c r="AW32" s="79"/>
      <c r="AX32" s="79"/>
      <c r="AY32" s="79"/>
      <c r="AZ32" s="79"/>
      <c r="BA32" s="80" t="str">
        <f t="shared" si="2"/>
        <v>Distrital</v>
      </c>
      <c r="BB32" s="79" t="s">
        <v>172</v>
      </c>
      <c r="BC32" s="79"/>
      <c r="BD32" s="79"/>
      <c r="BE32" s="79"/>
      <c r="BF32" s="79"/>
      <c r="BG32" s="79"/>
      <c r="BH32" s="80" t="str">
        <f t="shared" si="3"/>
        <v>Distrital</v>
      </c>
      <c r="BI32" s="79" t="s">
        <v>172</v>
      </c>
      <c r="BJ32" s="79"/>
      <c r="BK32" s="79"/>
      <c r="BL32" s="79"/>
      <c r="BM32" s="79"/>
      <c r="BN32" s="79"/>
      <c r="BO32" s="79"/>
      <c r="BP32" s="79"/>
      <c r="BQ32" s="79"/>
      <c r="BR32" s="79"/>
      <c r="BS32" s="80" t="s">
        <v>288</v>
      </c>
      <c r="BT32" s="80" t="s">
        <v>386</v>
      </c>
      <c r="BU32" s="80" t="s">
        <v>405</v>
      </c>
      <c r="BV32" s="71"/>
      <c r="BW32" s="79" t="s">
        <v>153</v>
      </c>
      <c r="BX32" s="79" t="s">
        <v>334</v>
      </c>
      <c r="BY32" s="71"/>
      <c r="BZ32" s="79">
        <v>44</v>
      </c>
      <c r="CA32" s="79">
        <v>12</v>
      </c>
      <c r="CB32" s="79">
        <f t="shared" si="25"/>
        <v>56</v>
      </c>
      <c r="CC32" s="79" t="str">
        <f t="shared" si="5"/>
        <v>Ninguna</v>
      </c>
      <c r="CD32" s="79" t="s">
        <v>174</v>
      </c>
      <c r="CE32" s="79"/>
      <c r="CF32" s="79"/>
      <c r="CG32" s="83" t="s">
        <v>406</v>
      </c>
      <c r="CH32" s="41"/>
      <c r="CI32" s="79" t="s">
        <v>153</v>
      </c>
      <c r="CJ32" s="71"/>
      <c r="CK32" s="79">
        <f t="shared" si="6"/>
        <v>1</v>
      </c>
      <c r="CL32" s="93" t="s">
        <v>389</v>
      </c>
      <c r="CM32" s="79"/>
      <c r="CN32" s="79"/>
      <c r="CO32" s="79"/>
      <c r="CP32" s="79"/>
      <c r="CQ32" s="79"/>
      <c r="CR32" s="83" t="s">
        <v>390</v>
      </c>
      <c r="CS32" s="83" t="s">
        <v>179</v>
      </c>
      <c r="CT32" s="83" t="s">
        <v>179</v>
      </c>
      <c r="CU32" s="83" t="s">
        <v>179</v>
      </c>
      <c r="CV32" s="83" t="s">
        <v>179</v>
      </c>
      <c r="CW32" s="83" t="s">
        <v>179</v>
      </c>
      <c r="CX32" s="79" t="s">
        <v>153</v>
      </c>
      <c r="CY32" s="79">
        <f t="shared" si="26"/>
        <v>1</v>
      </c>
      <c r="CZ32" s="79">
        <v>1</v>
      </c>
      <c r="DA32" s="79">
        <f t="shared" si="27"/>
        <v>1</v>
      </c>
      <c r="DB32" s="84">
        <f t="shared" si="28"/>
        <v>1</v>
      </c>
      <c r="DC32" s="41"/>
      <c r="DD32" s="79" t="s">
        <v>153</v>
      </c>
      <c r="DE32" s="71"/>
      <c r="DF32" s="85" t="s">
        <v>407</v>
      </c>
      <c r="DG32" s="79">
        <v>28</v>
      </c>
      <c r="DH32" s="86" t="str">
        <f t="shared" si="29"/>
        <v>Completo</v>
      </c>
      <c r="DI32" s="79" t="s">
        <v>181</v>
      </c>
      <c r="DJ32" s="79" t="s">
        <v>182</v>
      </c>
      <c r="DK32" s="79" t="s">
        <v>153</v>
      </c>
      <c r="DL32" s="79">
        <v>2</v>
      </c>
      <c r="DM32" s="79">
        <v>2</v>
      </c>
      <c r="DN32" s="79" t="s">
        <v>182</v>
      </c>
      <c r="DO32" s="79"/>
      <c r="DP32" s="79" t="s">
        <v>182</v>
      </c>
      <c r="DQ32" s="79">
        <v>7</v>
      </c>
      <c r="DR32" s="75">
        <f t="shared" si="11"/>
        <v>0.53030303030303028</v>
      </c>
      <c r="DS32" s="79" t="s">
        <v>182</v>
      </c>
      <c r="DT32" s="79">
        <v>51</v>
      </c>
      <c r="DU32" s="75">
        <f t="shared" si="12"/>
        <v>3.3116883116883118</v>
      </c>
      <c r="DV32" s="79" t="s">
        <v>182</v>
      </c>
      <c r="DW32" s="79" t="s">
        <v>182</v>
      </c>
      <c r="DX32" s="79">
        <v>2</v>
      </c>
      <c r="DY32" s="79">
        <v>0</v>
      </c>
      <c r="DZ32" s="79"/>
      <c r="EA32" s="79" t="s">
        <v>179</v>
      </c>
      <c r="EB32" s="79" t="s">
        <v>182</v>
      </c>
      <c r="EC32" s="79" t="s">
        <v>380</v>
      </c>
      <c r="ED32" s="79" t="s">
        <v>184</v>
      </c>
      <c r="EE32" s="79" t="str">
        <f t="shared" si="30"/>
        <v>Completo</v>
      </c>
      <c r="EF32" s="41"/>
      <c r="EG32" s="79" t="s">
        <v>153</v>
      </c>
      <c r="EH32" s="71"/>
      <c r="EI32" s="89" t="s">
        <v>408</v>
      </c>
      <c r="EJ32" s="71"/>
      <c r="EK32" s="79" t="s">
        <v>409</v>
      </c>
      <c r="EL32" s="76" t="str">
        <f t="shared" si="14"/>
        <v>Sí</v>
      </c>
      <c r="EM32" s="76" t="str">
        <f t="shared" si="15"/>
        <v>No</v>
      </c>
      <c r="EN32" s="76" t="str">
        <f t="shared" si="23"/>
        <v>No</v>
      </c>
      <c r="EO32" s="71"/>
      <c r="EP32" s="73">
        <f t="shared" si="17"/>
        <v>1</v>
      </c>
      <c r="EQ32" s="77">
        <f t="shared" si="18"/>
        <v>3.3116883116883118</v>
      </c>
      <c r="ER32" s="71"/>
      <c r="ES32" s="79" t="s">
        <v>409</v>
      </c>
      <c r="ET32" s="73">
        <f t="shared" si="19"/>
        <v>1</v>
      </c>
      <c r="EU32" s="73">
        <f t="shared" si="24"/>
        <v>1</v>
      </c>
      <c r="EV32" s="73">
        <f t="shared" si="21"/>
        <v>1</v>
      </c>
      <c r="EW32" s="73" t="str">
        <f t="shared" si="22"/>
        <v>No aplica</v>
      </c>
      <c r="EX32" s="78"/>
      <c r="EY32" s="78"/>
    </row>
    <row r="33" spans="1:155" ht="46.5" customHeight="1">
      <c r="A33" s="79">
        <v>29</v>
      </c>
      <c r="B33" s="80" t="s">
        <v>410</v>
      </c>
      <c r="C33" s="81">
        <v>45338</v>
      </c>
      <c r="D33" s="82">
        <v>0.41666666666666669</v>
      </c>
      <c r="E33" s="79" t="s">
        <v>151</v>
      </c>
      <c r="F33" s="79" t="s">
        <v>153</v>
      </c>
      <c r="G33" s="79" t="s">
        <v>152</v>
      </c>
      <c r="H33" s="79" t="s">
        <v>152</v>
      </c>
      <c r="I33" s="79" t="s">
        <v>152</v>
      </c>
      <c r="J33" s="79" t="s">
        <v>154</v>
      </c>
      <c r="K33" s="79" t="s">
        <v>155</v>
      </c>
      <c r="L33" s="80" t="s">
        <v>411</v>
      </c>
      <c r="M33" s="80" t="s">
        <v>229</v>
      </c>
      <c r="N33" s="79" t="s">
        <v>373</v>
      </c>
      <c r="O33" s="80" t="str">
        <f t="shared" si="0"/>
        <v/>
      </c>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t="s">
        <v>169</v>
      </c>
      <c r="AP33" s="79" t="s">
        <v>214</v>
      </c>
      <c r="AQ33" s="80" t="s">
        <v>412</v>
      </c>
      <c r="AR33" s="83">
        <v>3106615065</v>
      </c>
      <c r="AS33" s="80" t="s">
        <v>413</v>
      </c>
      <c r="AT33" s="80" t="str">
        <f t="shared" si="1"/>
        <v>Engativá</v>
      </c>
      <c r="AU33" s="79" t="s">
        <v>234</v>
      </c>
      <c r="AV33" s="79"/>
      <c r="AW33" s="79"/>
      <c r="AX33" s="79"/>
      <c r="AY33" s="79"/>
      <c r="AZ33" s="79"/>
      <c r="BA33" s="80" t="str">
        <f t="shared" si="2"/>
        <v>Occidente</v>
      </c>
      <c r="BB33" s="79" t="s">
        <v>235</v>
      </c>
      <c r="BC33" s="79"/>
      <c r="BD33" s="79"/>
      <c r="BE33" s="79"/>
      <c r="BF33" s="79"/>
      <c r="BG33" s="79"/>
      <c r="BH33" s="80" t="str">
        <f t="shared" si="3"/>
        <v>Engativá, Tabora, Salitre</v>
      </c>
      <c r="BI33" s="79" t="s">
        <v>234</v>
      </c>
      <c r="BJ33" s="79" t="s">
        <v>414</v>
      </c>
      <c r="BK33" s="79" t="s">
        <v>415</v>
      </c>
      <c r="BL33" s="79"/>
      <c r="BM33" s="79"/>
      <c r="BN33" s="79"/>
      <c r="BO33" s="79"/>
      <c r="BP33" s="79"/>
      <c r="BQ33" s="79"/>
      <c r="BR33" s="79"/>
      <c r="BS33" s="80" t="s">
        <v>288</v>
      </c>
      <c r="BT33" s="80" t="s">
        <v>174</v>
      </c>
      <c r="BU33" s="80" t="s">
        <v>416</v>
      </c>
      <c r="BV33" s="71"/>
      <c r="BW33" s="79" t="s">
        <v>153</v>
      </c>
      <c r="BX33" s="79" t="s">
        <v>176</v>
      </c>
      <c r="BY33" s="71"/>
      <c r="BZ33" s="79">
        <v>7</v>
      </c>
      <c r="CA33" s="79">
        <v>3</v>
      </c>
      <c r="CB33" s="79">
        <f t="shared" si="25"/>
        <v>10</v>
      </c>
      <c r="CC33" s="79" t="str">
        <f t="shared" si="5"/>
        <v>Horarios Acordes</v>
      </c>
      <c r="CD33" s="79" t="s">
        <v>351</v>
      </c>
      <c r="CE33" s="79"/>
      <c r="CF33" s="79"/>
      <c r="CG33" s="83" t="s">
        <v>378</v>
      </c>
      <c r="CH33" s="41"/>
      <c r="CI33" s="79" t="s">
        <v>153</v>
      </c>
      <c r="CJ33" s="71"/>
      <c r="CK33" s="79">
        <f t="shared" si="6"/>
        <v>1</v>
      </c>
      <c r="CL33" s="79" t="s">
        <v>417</v>
      </c>
      <c r="CM33" s="79"/>
      <c r="CN33" s="79"/>
      <c r="CO33" s="79"/>
      <c r="CP33" s="79"/>
      <c r="CQ33" s="79"/>
      <c r="CR33" s="83" t="s">
        <v>390</v>
      </c>
      <c r="CS33" s="83" t="s">
        <v>179</v>
      </c>
      <c r="CT33" s="83" t="s">
        <v>179</v>
      </c>
      <c r="CU33" s="83" t="s">
        <v>179</v>
      </c>
      <c r="CV33" s="83" t="s">
        <v>179</v>
      </c>
      <c r="CW33" s="83" t="s">
        <v>179</v>
      </c>
      <c r="CX33" s="79" t="s">
        <v>153</v>
      </c>
      <c r="CY33" s="79">
        <f t="shared" si="26"/>
        <v>1</v>
      </c>
      <c r="CZ33" s="79">
        <v>0</v>
      </c>
      <c r="DA33" s="79">
        <f t="shared" si="27"/>
        <v>1</v>
      </c>
      <c r="DB33" s="84">
        <f t="shared" si="28"/>
        <v>1</v>
      </c>
      <c r="DC33" s="41"/>
      <c r="DD33" s="79" t="s">
        <v>153</v>
      </c>
      <c r="DE33" s="71"/>
      <c r="DF33" s="85" t="s">
        <v>418</v>
      </c>
      <c r="DG33" s="79">
        <v>29</v>
      </c>
      <c r="DH33" s="86" t="str">
        <f t="shared" si="29"/>
        <v>Completo</v>
      </c>
      <c r="DI33" s="79" t="s">
        <v>181</v>
      </c>
      <c r="DJ33" s="79" t="s">
        <v>182</v>
      </c>
      <c r="DK33" s="79"/>
      <c r="DL33" s="79">
        <v>0</v>
      </c>
      <c r="DM33" s="79">
        <v>0</v>
      </c>
      <c r="DN33" s="79" t="s">
        <v>191</v>
      </c>
      <c r="DO33" s="79"/>
      <c r="DP33" s="79"/>
      <c r="DQ33" s="79"/>
      <c r="DR33" s="75" t="str">
        <f t="shared" si="11"/>
        <v>No aplica</v>
      </c>
      <c r="DS33" s="79"/>
      <c r="DT33" s="79"/>
      <c r="DU33" s="75" t="str">
        <f t="shared" si="12"/>
        <v>No aplica</v>
      </c>
      <c r="DV33" s="79" t="s">
        <v>182</v>
      </c>
      <c r="DW33" s="79" t="s">
        <v>182</v>
      </c>
      <c r="DX33" s="79"/>
      <c r="DY33" s="79"/>
      <c r="DZ33" s="79"/>
      <c r="EA33" s="79"/>
      <c r="EB33" s="79" t="s">
        <v>182</v>
      </c>
      <c r="EC33" s="79" t="s">
        <v>419</v>
      </c>
      <c r="ED33" s="79" t="s">
        <v>184</v>
      </c>
      <c r="EE33" s="79" t="str">
        <f t="shared" si="30"/>
        <v>Completo</v>
      </c>
      <c r="EF33" s="41"/>
      <c r="EG33" s="79" t="s">
        <v>153</v>
      </c>
      <c r="EH33" s="71"/>
      <c r="EI33" s="80"/>
      <c r="EJ33" s="71"/>
      <c r="EK33" s="79" t="s">
        <v>179</v>
      </c>
      <c r="EL33" s="76" t="str">
        <f t="shared" si="14"/>
        <v>No requiere</v>
      </c>
      <c r="EM33" s="76" t="str">
        <f t="shared" si="15"/>
        <v>No requiere</v>
      </c>
      <c r="EN33" s="76" t="str">
        <f t="shared" si="23"/>
        <v>No requiere</v>
      </c>
      <c r="EO33" s="71"/>
      <c r="EP33" s="73" t="str">
        <f t="shared" si="17"/>
        <v>No requiere</v>
      </c>
      <c r="EQ33" s="77" t="str">
        <f t="shared" si="18"/>
        <v>No requiere</v>
      </c>
      <c r="ER33" s="71"/>
      <c r="ES33" s="79" t="s">
        <v>179</v>
      </c>
      <c r="ET33" s="73" t="str">
        <f t="shared" si="19"/>
        <v>No requiere</v>
      </c>
      <c r="EU33" s="73" t="str">
        <f t="shared" si="24"/>
        <v>No requiere</v>
      </c>
      <c r="EV33" s="73" t="str">
        <f t="shared" si="21"/>
        <v>No requiere</v>
      </c>
      <c r="EW33" s="73" t="str">
        <f t="shared" si="22"/>
        <v>No requiere</v>
      </c>
      <c r="EX33" s="78"/>
      <c r="EY33" s="78"/>
    </row>
    <row r="34" spans="1:155" ht="46.5" customHeight="1">
      <c r="A34" s="79" t="str">
        <v/>
      </c>
      <c r="B34" s="80" t="s">
        <v>420</v>
      </c>
      <c r="C34" s="81">
        <v>45341</v>
      </c>
      <c r="D34" s="82">
        <v>0.60416666666666663</v>
      </c>
      <c r="E34" s="79" t="s">
        <v>151</v>
      </c>
      <c r="F34" s="79" t="s">
        <v>152</v>
      </c>
      <c r="G34" s="79" t="s">
        <v>153</v>
      </c>
      <c r="H34" s="79" t="s">
        <v>152</v>
      </c>
      <c r="I34" s="79" t="s">
        <v>152</v>
      </c>
      <c r="J34" s="79" t="s">
        <v>251</v>
      </c>
      <c r="K34" s="79" t="s">
        <v>155</v>
      </c>
      <c r="L34" s="80" t="s">
        <v>421</v>
      </c>
      <c r="M34" s="80" t="s">
        <v>157</v>
      </c>
      <c r="N34" s="79" t="s">
        <v>422</v>
      </c>
      <c r="O34" s="80" t="str">
        <f t="shared" si="0"/>
        <v/>
      </c>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t="s">
        <v>169</v>
      </c>
      <c r="AP34" s="79" t="s">
        <v>170</v>
      </c>
      <c r="AQ34" s="80" t="s">
        <v>423</v>
      </c>
      <c r="AR34" s="83" t="s">
        <v>424</v>
      </c>
      <c r="AS34" s="80" t="s">
        <v>425</v>
      </c>
      <c r="AT34" s="80" t="str">
        <f t="shared" si="1"/>
        <v>Distrital</v>
      </c>
      <c r="AU34" s="79" t="s">
        <v>172</v>
      </c>
      <c r="AV34" s="79"/>
      <c r="AW34" s="79"/>
      <c r="AX34" s="79"/>
      <c r="AY34" s="79"/>
      <c r="AZ34" s="79"/>
      <c r="BA34" s="80" t="str">
        <f t="shared" si="2"/>
        <v>Distrital</v>
      </c>
      <c r="BB34" s="79" t="s">
        <v>172</v>
      </c>
      <c r="BC34" s="79"/>
      <c r="BD34" s="79"/>
      <c r="BE34" s="79"/>
      <c r="BF34" s="79"/>
      <c r="BG34" s="79"/>
      <c r="BH34" s="80" t="str">
        <f t="shared" si="3"/>
        <v>Distrital</v>
      </c>
      <c r="BI34" s="79" t="s">
        <v>172</v>
      </c>
      <c r="BJ34" s="79"/>
      <c r="BK34" s="79"/>
      <c r="BL34" s="79"/>
      <c r="BM34" s="79"/>
      <c r="BN34" s="79"/>
      <c r="BO34" s="79"/>
      <c r="BP34" s="79"/>
      <c r="BQ34" s="79"/>
      <c r="BR34" s="79"/>
      <c r="BS34" s="80" t="s">
        <v>288</v>
      </c>
      <c r="BT34" s="80" t="s">
        <v>174</v>
      </c>
      <c r="BU34" s="80" t="s">
        <v>426</v>
      </c>
      <c r="BV34" s="71"/>
      <c r="BW34" s="79" t="s">
        <v>152</v>
      </c>
      <c r="BX34" s="79" t="s">
        <v>179</v>
      </c>
      <c r="BY34" s="71"/>
      <c r="BZ34" s="79">
        <v>4</v>
      </c>
      <c r="CA34" s="79">
        <v>6</v>
      </c>
      <c r="CB34" s="79">
        <f t="shared" si="25"/>
        <v>10</v>
      </c>
      <c r="CC34" s="79" t="str">
        <f t="shared" si="5"/>
        <v>No Aplica</v>
      </c>
      <c r="CD34" s="79" t="s">
        <v>177</v>
      </c>
      <c r="CE34" s="79"/>
      <c r="CF34" s="79"/>
      <c r="CG34" s="83" t="s">
        <v>427</v>
      </c>
      <c r="CH34" s="41"/>
      <c r="CI34" s="79" t="s">
        <v>153</v>
      </c>
      <c r="CJ34" s="71"/>
      <c r="CK34" s="79">
        <f t="shared" si="6"/>
        <v>0</v>
      </c>
      <c r="CL34" s="79"/>
      <c r="CM34" s="79"/>
      <c r="CN34" s="79"/>
      <c r="CO34" s="79"/>
      <c r="CP34" s="79"/>
      <c r="CQ34" s="79"/>
      <c r="CR34" s="83" t="s">
        <v>179</v>
      </c>
      <c r="CS34" s="83" t="s">
        <v>179</v>
      </c>
      <c r="CT34" s="83" t="s">
        <v>179</v>
      </c>
      <c r="CU34" s="83" t="s">
        <v>179</v>
      </c>
      <c r="CV34" s="83" t="s">
        <v>179</v>
      </c>
      <c r="CW34" s="83" t="s">
        <v>179</v>
      </c>
      <c r="CX34" s="79" t="s">
        <v>153</v>
      </c>
      <c r="CY34" s="79">
        <f t="shared" si="26"/>
        <v>0</v>
      </c>
      <c r="CZ34" s="79">
        <v>0</v>
      </c>
      <c r="DA34" s="79">
        <f t="shared" si="27"/>
        <v>0</v>
      </c>
      <c r="DB34" s="84" t="str">
        <f t="shared" si="28"/>
        <v/>
      </c>
      <c r="DC34" s="41"/>
      <c r="DD34" s="79" t="s">
        <v>153</v>
      </c>
      <c r="DE34" s="71"/>
      <c r="DF34" s="85" t="s">
        <v>428</v>
      </c>
      <c r="DG34" s="79">
        <v>30</v>
      </c>
      <c r="DH34" s="86" t="str">
        <f t="shared" si="29"/>
        <v>Completo</v>
      </c>
      <c r="DI34" s="79" t="s">
        <v>181</v>
      </c>
      <c r="DJ34" s="79" t="s">
        <v>182</v>
      </c>
      <c r="DK34" s="79"/>
      <c r="DL34" s="79">
        <v>0</v>
      </c>
      <c r="DM34" s="79">
        <v>0</v>
      </c>
      <c r="DN34" s="79"/>
      <c r="DO34" s="79"/>
      <c r="DP34" s="79"/>
      <c r="DQ34" s="79"/>
      <c r="DR34" s="75" t="str">
        <f t="shared" si="11"/>
        <v>No aplica</v>
      </c>
      <c r="DS34" s="79"/>
      <c r="DT34" s="79"/>
      <c r="DU34" s="75" t="str">
        <f t="shared" si="12"/>
        <v>No aplica</v>
      </c>
      <c r="DV34" s="79" t="s">
        <v>182</v>
      </c>
      <c r="DW34" s="79"/>
      <c r="DX34" s="79"/>
      <c r="DY34" s="79"/>
      <c r="DZ34" s="79"/>
      <c r="EA34" s="79"/>
      <c r="EB34" s="79"/>
      <c r="EC34" s="79"/>
      <c r="ED34" s="79" t="s">
        <v>429</v>
      </c>
      <c r="EE34" s="79" t="str">
        <f t="shared" si="30"/>
        <v>Completo</v>
      </c>
      <c r="EF34" s="41"/>
      <c r="EG34" s="79" t="s">
        <v>153</v>
      </c>
      <c r="EH34" s="71"/>
      <c r="EI34" s="80"/>
      <c r="EJ34" s="71"/>
      <c r="EK34" s="79" t="s">
        <v>179</v>
      </c>
      <c r="EL34" s="76" t="str">
        <f t="shared" si="14"/>
        <v>No requiere</v>
      </c>
      <c r="EM34" s="76" t="str">
        <f t="shared" si="15"/>
        <v>No requiere</v>
      </c>
      <c r="EN34" s="76" t="str">
        <f t="shared" si="23"/>
        <v>No requiere</v>
      </c>
      <c r="EO34" s="71"/>
      <c r="EP34" s="73" t="str">
        <f t="shared" si="17"/>
        <v>No requiere</v>
      </c>
      <c r="EQ34" s="77" t="str">
        <f t="shared" si="18"/>
        <v>No requiere</v>
      </c>
      <c r="ER34" s="71"/>
      <c r="ES34" s="79" t="s">
        <v>179</v>
      </c>
      <c r="ET34" s="73" t="str">
        <f t="shared" si="19"/>
        <v>No requiere</v>
      </c>
      <c r="EU34" s="73" t="str">
        <f t="shared" si="24"/>
        <v>No requiere</v>
      </c>
      <c r="EV34" s="73" t="str">
        <f t="shared" si="21"/>
        <v>No requiere</v>
      </c>
      <c r="EW34" s="73" t="str">
        <f t="shared" si="22"/>
        <v>No requiere</v>
      </c>
      <c r="EX34" s="78"/>
      <c r="EY34" s="78"/>
    </row>
    <row r="35" spans="1:155" ht="46.5" customHeight="1">
      <c r="A35" s="79" t="str">
        <v/>
      </c>
      <c r="B35" s="80" t="s">
        <v>420</v>
      </c>
      <c r="C35" s="81">
        <v>45343</v>
      </c>
      <c r="D35" s="82">
        <v>0.33333333333333331</v>
      </c>
      <c r="E35" s="79" t="s">
        <v>151</v>
      </c>
      <c r="F35" s="79" t="s">
        <v>152</v>
      </c>
      <c r="G35" s="79" t="s">
        <v>153</v>
      </c>
      <c r="H35" s="79" t="s">
        <v>152</v>
      </c>
      <c r="I35" s="79" t="s">
        <v>152</v>
      </c>
      <c r="J35" s="79" t="s">
        <v>251</v>
      </c>
      <c r="K35" s="79" t="s">
        <v>202</v>
      </c>
      <c r="L35" s="80" t="s">
        <v>430</v>
      </c>
      <c r="M35" s="80" t="s">
        <v>157</v>
      </c>
      <c r="N35" s="79" t="s">
        <v>422</v>
      </c>
      <c r="O35" s="80" t="str">
        <f t="shared" si="0"/>
        <v/>
      </c>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t="s">
        <v>169</v>
      </c>
      <c r="AP35" s="79" t="s">
        <v>170</v>
      </c>
      <c r="AQ35" s="80" t="s">
        <v>423</v>
      </c>
      <c r="AR35" s="83" t="s">
        <v>424</v>
      </c>
      <c r="AS35" s="80" t="s">
        <v>425</v>
      </c>
      <c r="AT35" s="80" t="str">
        <f t="shared" si="1"/>
        <v>Distrital</v>
      </c>
      <c r="AU35" s="79" t="s">
        <v>172</v>
      </c>
      <c r="AV35" s="79"/>
      <c r="AW35" s="79"/>
      <c r="AX35" s="79"/>
      <c r="AY35" s="79"/>
      <c r="AZ35" s="79"/>
      <c r="BA35" s="80" t="str">
        <f t="shared" si="2"/>
        <v>Distrital</v>
      </c>
      <c r="BB35" s="79" t="s">
        <v>172</v>
      </c>
      <c r="BC35" s="79"/>
      <c r="BD35" s="79"/>
      <c r="BE35" s="79"/>
      <c r="BF35" s="79"/>
      <c r="BG35" s="79"/>
      <c r="BH35" s="80" t="str">
        <f t="shared" si="3"/>
        <v>Distrital</v>
      </c>
      <c r="BI35" s="79" t="s">
        <v>172</v>
      </c>
      <c r="BJ35" s="79"/>
      <c r="BK35" s="79"/>
      <c r="BL35" s="79"/>
      <c r="BM35" s="79"/>
      <c r="BN35" s="79"/>
      <c r="BO35" s="79"/>
      <c r="BP35" s="79"/>
      <c r="BQ35" s="79"/>
      <c r="BR35" s="79"/>
      <c r="BS35" s="80" t="s">
        <v>288</v>
      </c>
      <c r="BT35" s="80" t="s">
        <v>174</v>
      </c>
      <c r="BU35" s="89" t="s">
        <v>431</v>
      </c>
      <c r="BV35" s="71"/>
      <c r="BW35" s="79" t="s">
        <v>152</v>
      </c>
      <c r="BX35" s="79" t="s">
        <v>179</v>
      </c>
      <c r="BY35" s="71"/>
      <c r="BZ35" s="79">
        <v>4</v>
      </c>
      <c r="CA35" s="79">
        <v>6</v>
      </c>
      <c r="CB35" s="79">
        <f t="shared" si="25"/>
        <v>10</v>
      </c>
      <c r="CC35" s="79" t="str">
        <f t="shared" si="5"/>
        <v>No Aplica</v>
      </c>
      <c r="CD35" s="79" t="s">
        <v>177</v>
      </c>
      <c r="CE35" s="79"/>
      <c r="CF35" s="79"/>
      <c r="CG35" s="83" t="s">
        <v>432</v>
      </c>
      <c r="CH35" s="41"/>
      <c r="CI35" s="79" t="s">
        <v>153</v>
      </c>
      <c r="CJ35" s="71"/>
      <c r="CK35" s="79">
        <f t="shared" si="6"/>
        <v>0</v>
      </c>
      <c r="CL35" s="79"/>
      <c r="CM35" s="79"/>
      <c r="CN35" s="79"/>
      <c r="CO35" s="79"/>
      <c r="CP35" s="79"/>
      <c r="CQ35" s="79"/>
      <c r="CR35" s="83" t="s">
        <v>179</v>
      </c>
      <c r="CS35" s="83" t="s">
        <v>179</v>
      </c>
      <c r="CT35" s="83" t="s">
        <v>179</v>
      </c>
      <c r="CU35" s="83" t="s">
        <v>179</v>
      </c>
      <c r="CV35" s="83" t="s">
        <v>179</v>
      </c>
      <c r="CW35" s="83" t="s">
        <v>179</v>
      </c>
      <c r="CX35" s="79" t="s">
        <v>153</v>
      </c>
      <c r="CY35" s="79">
        <f t="shared" si="26"/>
        <v>0</v>
      </c>
      <c r="CZ35" s="79">
        <v>0</v>
      </c>
      <c r="DA35" s="79">
        <f t="shared" si="27"/>
        <v>0</v>
      </c>
      <c r="DB35" s="84" t="str">
        <f t="shared" si="28"/>
        <v/>
      </c>
      <c r="DC35" s="41"/>
      <c r="DD35" s="79" t="s">
        <v>153</v>
      </c>
      <c r="DE35" s="71"/>
      <c r="DF35" s="85" t="s">
        <v>433</v>
      </c>
      <c r="DG35" s="79">
        <v>31</v>
      </c>
      <c r="DH35" s="86" t="str">
        <f t="shared" si="29"/>
        <v>Completo</v>
      </c>
      <c r="DI35" s="79" t="s">
        <v>181</v>
      </c>
      <c r="DJ35" s="79" t="s">
        <v>182</v>
      </c>
      <c r="DK35" s="79"/>
      <c r="DL35" s="79">
        <v>0</v>
      </c>
      <c r="DM35" s="79">
        <v>0</v>
      </c>
      <c r="DN35" s="79"/>
      <c r="DO35" s="79"/>
      <c r="DP35" s="79"/>
      <c r="DQ35" s="79"/>
      <c r="DR35" s="75" t="str">
        <f t="shared" si="11"/>
        <v>No aplica</v>
      </c>
      <c r="DS35" s="79"/>
      <c r="DT35" s="79"/>
      <c r="DU35" s="75" t="str">
        <f t="shared" si="12"/>
        <v>No aplica</v>
      </c>
      <c r="DV35" s="79" t="s">
        <v>182</v>
      </c>
      <c r="DW35" s="79"/>
      <c r="DX35" s="79"/>
      <c r="DY35" s="79"/>
      <c r="DZ35" s="79"/>
      <c r="EA35" s="79"/>
      <c r="EB35" s="79"/>
      <c r="EC35" s="79"/>
      <c r="ED35" s="79" t="s">
        <v>429</v>
      </c>
      <c r="EE35" s="79" t="str">
        <f t="shared" si="30"/>
        <v>Completo</v>
      </c>
      <c r="EF35" s="41"/>
      <c r="EG35" s="79" t="s">
        <v>153</v>
      </c>
      <c r="EH35" s="71"/>
      <c r="EI35" s="80"/>
      <c r="EJ35" s="71"/>
      <c r="EK35" s="79" t="s">
        <v>179</v>
      </c>
      <c r="EL35" s="76" t="str">
        <f t="shared" si="14"/>
        <v>No requiere</v>
      </c>
      <c r="EM35" s="76" t="str">
        <f t="shared" si="15"/>
        <v>No requiere</v>
      </c>
      <c r="EN35" s="76" t="str">
        <f t="shared" si="23"/>
        <v>No requiere</v>
      </c>
      <c r="EO35" s="71"/>
      <c r="EP35" s="73" t="str">
        <f t="shared" si="17"/>
        <v>No requiere</v>
      </c>
      <c r="EQ35" s="77" t="str">
        <f t="shared" si="18"/>
        <v>No requiere</v>
      </c>
      <c r="ER35" s="71"/>
      <c r="ES35" s="79" t="s">
        <v>179</v>
      </c>
      <c r="ET35" s="73" t="str">
        <f t="shared" si="19"/>
        <v>No requiere</v>
      </c>
      <c r="EU35" s="73" t="str">
        <f t="shared" si="24"/>
        <v>No requiere</v>
      </c>
      <c r="EV35" s="73" t="str">
        <f t="shared" si="21"/>
        <v>No requiere</v>
      </c>
      <c r="EW35" s="73" t="str">
        <f t="shared" si="22"/>
        <v>No requiere</v>
      </c>
      <c r="EX35" s="78"/>
      <c r="EY35" s="78"/>
    </row>
    <row r="36" spans="1:155" ht="46.5" customHeight="1">
      <c r="A36" s="79">
        <v>32</v>
      </c>
      <c r="B36" s="80" t="s">
        <v>434</v>
      </c>
      <c r="C36" s="81">
        <v>45343</v>
      </c>
      <c r="D36" s="82">
        <v>0.33333333333333331</v>
      </c>
      <c r="E36" s="79" t="s">
        <v>151</v>
      </c>
      <c r="F36" s="79" t="s">
        <v>153</v>
      </c>
      <c r="G36" s="79" t="s">
        <v>153</v>
      </c>
      <c r="H36" s="79" t="s">
        <v>152</v>
      </c>
      <c r="I36" s="79" t="s">
        <v>152</v>
      </c>
      <c r="J36" s="79" t="s">
        <v>154</v>
      </c>
      <c r="K36" s="79" t="s">
        <v>202</v>
      </c>
      <c r="L36" s="80" t="s">
        <v>435</v>
      </c>
      <c r="M36" s="80" t="s">
        <v>157</v>
      </c>
      <c r="N36" s="79" t="s">
        <v>195</v>
      </c>
      <c r="O36" s="80" t="str">
        <f t="shared" si="0"/>
        <v>Yohan David Díaz, Valentina González Pontón</v>
      </c>
      <c r="P36" s="79" t="s">
        <v>164</v>
      </c>
      <c r="Q36" s="79" t="s">
        <v>329</v>
      </c>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t="s">
        <v>169</v>
      </c>
      <c r="AP36" s="79" t="s">
        <v>170</v>
      </c>
      <c r="AQ36" s="80" t="s">
        <v>171</v>
      </c>
      <c r="AR36" s="83" t="s">
        <v>171</v>
      </c>
      <c r="AS36" s="80" t="s">
        <v>171</v>
      </c>
      <c r="AT36" s="80" t="str">
        <f t="shared" si="1"/>
        <v>Distrital</v>
      </c>
      <c r="AU36" s="79" t="s">
        <v>172</v>
      </c>
      <c r="AV36" s="79"/>
      <c r="AW36" s="79"/>
      <c r="AX36" s="79"/>
      <c r="AY36" s="79"/>
      <c r="AZ36" s="79"/>
      <c r="BA36" s="80" t="str">
        <f t="shared" si="2"/>
        <v>Distrital</v>
      </c>
      <c r="BB36" s="79" t="s">
        <v>172</v>
      </c>
      <c r="BC36" s="79"/>
      <c r="BD36" s="79"/>
      <c r="BE36" s="79"/>
      <c r="BF36" s="79"/>
      <c r="BG36" s="79"/>
      <c r="BH36" s="80" t="str">
        <f t="shared" si="3"/>
        <v>Distrital</v>
      </c>
      <c r="BI36" s="79" t="s">
        <v>172</v>
      </c>
      <c r="BJ36" s="79"/>
      <c r="BK36" s="79"/>
      <c r="BL36" s="79"/>
      <c r="BM36" s="79"/>
      <c r="BN36" s="79"/>
      <c r="BO36" s="79"/>
      <c r="BP36" s="79"/>
      <c r="BQ36" s="79"/>
      <c r="BR36" s="79"/>
      <c r="BS36" s="80" t="s">
        <v>288</v>
      </c>
      <c r="BT36" s="80" t="s">
        <v>174</v>
      </c>
      <c r="BU36" s="89" t="s">
        <v>436</v>
      </c>
      <c r="BV36" s="71"/>
      <c r="BW36" s="79" t="s">
        <v>153</v>
      </c>
      <c r="BX36" s="79" t="s">
        <v>176</v>
      </c>
      <c r="BY36" s="71"/>
      <c r="BZ36" s="79">
        <v>20</v>
      </c>
      <c r="CA36" s="79">
        <v>5</v>
      </c>
      <c r="CB36" s="79">
        <f t="shared" si="25"/>
        <v>25</v>
      </c>
      <c r="CC36" s="79" t="str">
        <f t="shared" si="5"/>
        <v>No Aplica</v>
      </c>
      <c r="CD36" s="79" t="s">
        <v>177</v>
      </c>
      <c r="CE36" s="79"/>
      <c r="CF36" s="79"/>
      <c r="CG36" s="83" t="s">
        <v>437</v>
      </c>
      <c r="CH36" s="41"/>
      <c r="CI36" s="79" t="s">
        <v>153</v>
      </c>
      <c r="CJ36" s="71"/>
      <c r="CK36" s="79">
        <f t="shared" si="6"/>
        <v>0</v>
      </c>
      <c r="CL36" s="79"/>
      <c r="CM36" s="79"/>
      <c r="CN36" s="79"/>
      <c r="CO36" s="79"/>
      <c r="CP36" s="79"/>
      <c r="CQ36" s="79"/>
      <c r="CR36" s="83" t="s">
        <v>179</v>
      </c>
      <c r="CS36" s="83" t="s">
        <v>179</v>
      </c>
      <c r="CT36" s="83" t="s">
        <v>179</v>
      </c>
      <c r="CU36" s="83" t="s">
        <v>179</v>
      </c>
      <c r="CV36" s="83" t="s">
        <v>179</v>
      </c>
      <c r="CW36" s="83" t="s">
        <v>179</v>
      </c>
      <c r="CX36" s="79" t="s">
        <v>153</v>
      </c>
      <c r="CY36" s="79">
        <f t="shared" si="26"/>
        <v>0</v>
      </c>
      <c r="CZ36" s="79">
        <v>0</v>
      </c>
      <c r="DA36" s="79">
        <f t="shared" si="27"/>
        <v>0</v>
      </c>
      <c r="DB36" s="84" t="str">
        <f t="shared" si="28"/>
        <v/>
      </c>
      <c r="DC36" s="41"/>
      <c r="DD36" s="79" t="s">
        <v>153</v>
      </c>
      <c r="DE36" s="71"/>
      <c r="DF36" s="85" t="s">
        <v>438</v>
      </c>
      <c r="DG36" s="79">
        <v>32</v>
      </c>
      <c r="DH36" s="86" t="str">
        <f t="shared" si="29"/>
        <v>Completo</v>
      </c>
      <c r="DI36" s="79" t="s">
        <v>181</v>
      </c>
      <c r="DJ36" s="79" t="s">
        <v>182</v>
      </c>
      <c r="DK36" s="79"/>
      <c r="DL36" s="79">
        <v>0</v>
      </c>
      <c r="DM36" s="79">
        <v>0</v>
      </c>
      <c r="DN36" s="79" t="s">
        <v>182</v>
      </c>
      <c r="DO36" s="79"/>
      <c r="DP36" s="79"/>
      <c r="DQ36" s="79"/>
      <c r="DR36" s="75" t="str">
        <f t="shared" si="11"/>
        <v>No aplica</v>
      </c>
      <c r="DS36" s="79"/>
      <c r="DT36" s="79"/>
      <c r="DU36" s="75" t="str">
        <f t="shared" si="12"/>
        <v>No aplica</v>
      </c>
      <c r="DV36" s="79" t="s">
        <v>182</v>
      </c>
      <c r="DW36" s="79" t="s">
        <v>191</v>
      </c>
      <c r="DX36" s="79"/>
      <c r="DY36" s="79"/>
      <c r="DZ36" s="79"/>
      <c r="EA36" s="79"/>
      <c r="EB36" s="79" t="s">
        <v>182</v>
      </c>
      <c r="EC36" s="79" t="s">
        <v>370</v>
      </c>
      <c r="ED36" s="79" t="s">
        <v>184</v>
      </c>
      <c r="EE36" s="79" t="str">
        <f t="shared" si="30"/>
        <v>Completo</v>
      </c>
      <c r="EF36" s="41"/>
      <c r="EG36" s="79" t="s">
        <v>153</v>
      </c>
      <c r="EH36" s="71"/>
      <c r="EI36" s="80"/>
      <c r="EJ36" s="71"/>
      <c r="EK36" s="79" t="s">
        <v>179</v>
      </c>
      <c r="EL36" s="76" t="str">
        <f t="shared" si="14"/>
        <v>No requiere</v>
      </c>
      <c r="EM36" s="76" t="str">
        <f t="shared" si="15"/>
        <v>No requiere</v>
      </c>
      <c r="EN36" s="76" t="str">
        <f t="shared" si="23"/>
        <v>No requiere</v>
      </c>
      <c r="EO36" s="71"/>
      <c r="EP36" s="73" t="str">
        <f t="shared" si="17"/>
        <v>No requiere</v>
      </c>
      <c r="EQ36" s="77" t="str">
        <f t="shared" si="18"/>
        <v>No requiere</v>
      </c>
      <c r="ER36" s="71"/>
      <c r="ES36" s="79" t="s">
        <v>179</v>
      </c>
      <c r="ET36" s="73" t="str">
        <f t="shared" si="19"/>
        <v>No requiere</v>
      </c>
      <c r="EU36" s="73" t="str">
        <f t="shared" si="24"/>
        <v>No requiere</v>
      </c>
      <c r="EV36" s="73" t="str">
        <f t="shared" si="21"/>
        <v>No requiere</v>
      </c>
      <c r="EW36" s="73" t="str">
        <f t="shared" si="22"/>
        <v>No requiere</v>
      </c>
      <c r="EX36" s="78"/>
      <c r="EY36" s="78"/>
    </row>
    <row r="37" spans="1:155" ht="46.5" customHeight="1">
      <c r="A37" s="79">
        <v>33</v>
      </c>
      <c r="B37" s="80" t="s">
        <v>439</v>
      </c>
      <c r="C37" s="81">
        <v>45343</v>
      </c>
      <c r="D37" s="82">
        <v>0.72916666666666663</v>
      </c>
      <c r="E37" s="79" t="s">
        <v>151</v>
      </c>
      <c r="F37" s="79" t="s">
        <v>153</v>
      </c>
      <c r="G37" s="79" t="s">
        <v>152</v>
      </c>
      <c r="H37" s="79" t="s">
        <v>152</v>
      </c>
      <c r="I37" s="79" t="s">
        <v>152</v>
      </c>
      <c r="J37" s="79" t="s">
        <v>154</v>
      </c>
      <c r="K37" s="79" t="s">
        <v>202</v>
      </c>
      <c r="L37" s="80" t="s">
        <v>440</v>
      </c>
      <c r="M37" s="80" t="s">
        <v>229</v>
      </c>
      <c r="N37" s="79" t="s">
        <v>346</v>
      </c>
      <c r="O37" s="80" t="str">
        <f t="shared" si="0"/>
        <v>Rosemberg Prisco Vasquez</v>
      </c>
      <c r="P37" s="79" t="s">
        <v>162</v>
      </c>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t="s">
        <v>230</v>
      </c>
      <c r="AP37" s="79" t="s">
        <v>231</v>
      </c>
      <c r="AQ37" s="80" t="s">
        <v>171</v>
      </c>
      <c r="AR37" s="83" t="s">
        <v>171</v>
      </c>
      <c r="AS37" s="80" t="s">
        <v>171</v>
      </c>
      <c r="AT37" s="80" t="str">
        <f t="shared" si="1"/>
        <v>Distrital</v>
      </c>
      <c r="AU37" s="79" t="s">
        <v>172</v>
      </c>
      <c r="AV37" s="79"/>
      <c r="AW37" s="79"/>
      <c r="AX37" s="79"/>
      <c r="AY37" s="79"/>
      <c r="AZ37" s="79"/>
      <c r="BA37" s="80" t="str">
        <f t="shared" si="2"/>
        <v>Distrital</v>
      </c>
      <c r="BB37" s="79" t="s">
        <v>172</v>
      </c>
      <c r="BC37" s="79"/>
      <c r="BD37" s="79"/>
      <c r="BE37" s="79"/>
      <c r="BF37" s="79"/>
      <c r="BG37" s="79"/>
      <c r="BH37" s="80" t="str">
        <f t="shared" si="3"/>
        <v>Distrital</v>
      </c>
      <c r="BI37" s="79" t="s">
        <v>172</v>
      </c>
      <c r="BJ37" s="79"/>
      <c r="BK37" s="79"/>
      <c r="BL37" s="79"/>
      <c r="BM37" s="79"/>
      <c r="BN37" s="79"/>
      <c r="BO37" s="79"/>
      <c r="BP37" s="79"/>
      <c r="BQ37" s="79"/>
      <c r="BR37" s="79"/>
      <c r="BS37" s="80" t="s">
        <v>288</v>
      </c>
      <c r="BT37" s="80" t="s">
        <v>174</v>
      </c>
      <c r="BU37" s="89" t="s">
        <v>441</v>
      </c>
      <c r="BV37" s="71"/>
      <c r="BW37" s="79" t="s">
        <v>153</v>
      </c>
      <c r="BX37" s="79" t="s">
        <v>176</v>
      </c>
      <c r="BY37" s="71"/>
      <c r="BZ37" s="79">
        <v>64</v>
      </c>
      <c r="CA37" s="79">
        <v>2</v>
      </c>
      <c r="CB37" s="79">
        <f t="shared" si="25"/>
        <v>66</v>
      </c>
      <c r="CC37" s="79" t="str">
        <f t="shared" ref="CC37:CC68" si="31">_xlfn.TEXTJOIN(", ",TRUE,$CD37:$CF37)</f>
        <v>No Aplica</v>
      </c>
      <c r="CD37" s="79" t="s">
        <v>177</v>
      </c>
      <c r="CE37" s="79"/>
      <c r="CF37" s="79"/>
      <c r="CG37" s="83" t="s">
        <v>442</v>
      </c>
      <c r="CH37" s="41"/>
      <c r="CI37" s="79" t="s">
        <v>153</v>
      </c>
      <c r="CJ37" s="71"/>
      <c r="CK37" s="79">
        <f t="shared" si="6"/>
        <v>0</v>
      </c>
      <c r="CL37" s="79"/>
      <c r="CM37" s="79"/>
      <c r="CN37" s="79"/>
      <c r="CO37" s="79"/>
      <c r="CP37" s="79"/>
      <c r="CQ37" s="79"/>
      <c r="CR37" s="83" t="s">
        <v>179</v>
      </c>
      <c r="CS37" s="83" t="s">
        <v>179</v>
      </c>
      <c r="CT37" s="83" t="s">
        <v>179</v>
      </c>
      <c r="CU37" s="83" t="s">
        <v>179</v>
      </c>
      <c r="CV37" s="83" t="s">
        <v>179</v>
      </c>
      <c r="CW37" s="83" t="s">
        <v>179</v>
      </c>
      <c r="CX37" s="79" t="s">
        <v>153</v>
      </c>
      <c r="CY37" s="79">
        <f t="shared" si="26"/>
        <v>0</v>
      </c>
      <c r="CZ37" s="79">
        <v>0</v>
      </c>
      <c r="DA37" s="79">
        <f t="shared" si="27"/>
        <v>0</v>
      </c>
      <c r="DB37" s="84" t="str">
        <f t="shared" si="28"/>
        <v/>
      </c>
      <c r="DC37" s="41"/>
      <c r="DD37" s="79" t="s">
        <v>153</v>
      </c>
      <c r="DE37" s="71"/>
      <c r="DF37" s="85" t="s">
        <v>443</v>
      </c>
      <c r="DG37" s="79">
        <v>33</v>
      </c>
      <c r="DH37" s="86" t="str">
        <f t="shared" si="29"/>
        <v>Completo</v>
      </c>
      <c r="DI37" s="79" t="s">
        <v>181</v>
      </c>
      <c r="DJ37" s="79" t="s">
        <v>182</v>
      </c>
      <c r="DK37" s="79"/>
      <c r="DL37" s="79">
        <v>0</v>
      </c>
      <c r="DM37" s="79">
        <v>0</v>
      </c>
      <c r="DN37" s="79" t="s">
        <v>182</v>
      </c>
      <c r="DO37" s="79"/>
      <c r="DP37" s="79"/>
      <c r="DQ37" s="79"/>
      <c r="DR37" s="75" t="str">
        <f t="shared" si="11"/>
        <v>No aplica</v>
      </c>
      <c r="DS37" s="79"/>
      <c r="DT37" s="79"/>
      <c r="DU37" s="75" t="str">
        <f t="shared" si="12"/>
        <v>No aplica</v>
      </c>
      <c r="DV37" s="79" t="s">
        <v>182</v>
      </c>
      <c r="DW37" s="79" t="s">
        <v>182</v>
      </c>
      <c r="DX37" s="79"/>
      <c r="DY37" s="79"/>
      <c r="DZ37" s="79"/>
      <c r="EA37" s="79"/>
      <c r="EB37" s="79" t="s">
        <v>182</v>
      </c>
      <c r="EC37" s="79" t="s">
        <v>444</v>
      </c>
      <c r="ED37" s="79"/>
      <c r="EE37" s="79" t="str">
        <f t="shared" si="30"/>
        <v>Completo</v>
      </c>
      <c r="EF37" s="41"/>
      <c r="EG37" s="79" t="s">
        <v>153</v>
      </c>
      <c r="EH37" s="71"/>
      <c r="EI37" s="80"/>
      <c r="EJ37" s="71"/>
      <c r="EK37" s="79" t="s">
        <v>179</v>
      </c>
      <c r="EL37" s="76" t="str">
        <f t="shared" si="14"/>
        <v>No requiere</v>
      </c>
      <c r="EM37" s="76" t="str">
        <f t="shared" si="15"/>
        <v>No requiere</v>
      </c>
      <c r="EN37" s="76" t="str">
        <f t="shared" si="23"/>
        <v>No requiere</v>
      </c>
      <c r="EO37" s="71"/>
      <c r="EP37" s="73" t="str">
        <f t="shared" si="17"/>
        <v>No requiere</v>
      </c>
      <c r="EQ37" s="77" t="str">
        <f t="shared" si="18"/>
        <v>No requiere</v>
      </c>
      <c r="ER37" s="71"/>
      <c r="ES37" s="79" t="s">
        <v>179</v>
      </c>
      <c r="ET37" s="73" t="str">
        <f t="shared" si="19"/>
        <v>No requiere</v>
      </c>
      <c r="EU37" s="73" t="str">
        <f t="shared" si="24"/>
        <v>No requiere</v>
      </c>
      <c r="EV37" s="73" t="str">
        <f t="shared" si="21"/>
        <v>No requiere</v>
      </c>
      <c r="EW37" s="73" t="str">
        <f t="shared" si="22"/>
        <v>No requiere</v>
      </c>
      <c r="EX37" s="78"/>
      <c r="EY37" s="78"/>
    </row>
    <row r="38" spans="1:155" ht="46.5" customHeight="1">
      <c r="A38" s="79">
        <v>34</v>
      </c>
      <c r="B38" s="80" t="s">
        <v>445</v>
      </c>
      <c r="C38" s="81">
        <v>45344</v>
      </c>
      <c r="D38" s="82">
        <v>0.375</v>
      </c>
      <c r="E38" s="79" t="s">
        <v>200</v>
      </c>
      <c r="F38" s="79" t="s">
        <v>153</v>
      </c>
      <c r="G38" s="79" t="s">
        <v>153</v>
      </c>
      <c r="H38" s="79" t="s">
        <v>152</v>
      </c>
      <c r="I38" s="79" t="s">
        <v>152</v>
      </c>
      <c r="J38" s="79" t="s">
        <v>211</v>
      </c>
      <c r="K38" s="79" t="s">
        <v>202</v>
      </c>
      <c r="L38" s="80" t="s">
        <v>446</v>
      </c>
      <c r="M38" s="80" t="s">
        <v>241</v>
      </c>
      <c r="N38" s="79" t="s">
        <v>164</v>
      </c>
      <c r="O38" s="80" t="str">
        <f t="shared" si="0"/>
        <v/>
      </c>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t="s">
        <v>169</v>
      </c>
      <c r="AP38" s="79" t="s">
        <v>170</v>
      </c>
      <c r="AQ38" s="80" t="s">
        <v>423</v>
      </c>
      <c r="AR38" s="83" t="s">
        <v>424</v>
      </c>
      <c r="AS38" s="80" t="s">
        <v>425</v>
      </c>
      <c r="AT38" s="80" t="str">
        <f t="shared" si="1"/>
        <v>Distrital</v>
      </c>
      <c r="AU38" s="79" t="s">
        <v>172</v>
      </c>
      <c r="AV38" s="79"/>
      <c r="AW38" s="79"/>
      <c r="AX38" s="79"/>
      <c r="AY38" s="79"/>
      <c r="AZ38" s="79"/>
      <c r="BA38" s="80" t="str">
        <f t="shared" si="2"/>
        <v>Distrital</v>
      </c>
      <c r="BB38" s="79" t="s">
        <v>172</v>
      </c>
      <c r="BC38" s="79"/>
      <c r="BD38" s="79"/>
      <c r="BE38" s="79"/>
      <c r="BF38" s="79"/>
      <c r="BG38" s="79"/>
      <c r="BH38" s="80" t="str">
        <f t="shared" si="3"/>
        <v>Distrital</v>
      </c>
      <c r="BI38" s="79" t="s">
        <v>172</v>
      </c>
      <c r="BJ38" s="79"/>
      <c r="BK38" s="79"/>
      <c r="BL38" s="79"/>
      <c r="BM38" s="79"/>
      <c r="BN38" s="79"/>
      <c r="BO38" s="79"/>
      <c r="BP38" s="79"/>
      <c r="BQ38" s="79"/>
      <c r="BR38" s="79"/>
      <c r="BS38" s="80" t="s">
        <v>288</v>
      </c>
      <c r="BT38" s="80" t="s">
        <v>174</v>
      </c>
      <c r="BU38" s="89" t="s">
        <v>447</v>
      </c>
      <c r="BV38" s="71"/>
      <c r="BW38" s="79" t="s">
        <v>152</v>
      </c>
      <c r="BX38" s="79" t="s">
        <v>179</v>
      </c>
      <c r="BY38" s="71"/>
      <c r="BZ38" s="79">
        <v>13</v>
      </c>
      <c r="CA38" s="79">
        <v>5</v>
      </c>
      <c r="CB38" s="79">
        <f t="shared" si="25"/>
        <v>18</v>
      </c>
      <c r="CC38" s="79" t="str">
        <f t="shared" si="31"/>
        <v>Horarios Acordes</v>
      </c>
      <c r="CD38" s="79" t="s">
        <v>351</v>
      </c>
      <c r="CE38" s="79"/>
      <c r="CF38" s="79"/>
      <c r="CG38" s="83" t="s">
        <v>448</v>
      </c>
      <c r="CH38" s="41"/>
      <c r="CI38" s="79" t="s">
        <v>153</v>
      </c>
      <c r="CJ38" s="71"/>
      <c r="CK38" s="79">
        <f t="shared" si="6"/>
        <v>0</v>
      </c>
      <c r="CL38" s="79"/>
      <c r="CM38" s="79"/>
      <c r="CN38" s="79"/>
      <c r="CO38" s="79"/>
      <c r="CP38" s="79"/>
      <c r="CQ38" s="79"/>
      <c r="CR38" s="83" t="s">
        <v>179</v>
      </c>
      <c r="CS38" s="83" t="s">
        <v>179</v>
      </c>
      <c r="CT38" s="83" t="s">
        <v>179</v>
      </c>
      <c r="CU38" s="83" t="s">
        <v>179</v>
      </c>
      <c r="CV38" s="83" t="s">
        <v>179</v>
      </c>
      <c r="CW38" s="83" t="s">
        <v>179</v>
      </c>
      <c r="CX38" s="79" t="s">
        <v>153</v>
      </c>
      <c r="CY38" s="79">
        <f t="shared" si="26"/>
        <v>0</v>
      </c>
      <c r="CZ38" s="79">
        <v>0</v>
      </c>
      <c r="DA38" s="79">
        <f t="shared" si="27"/>
        <v>0</v>
      </c>
      <c r="DB38" s="84" t="str">
        <f t="shared" si="28"/>
        <v/>
      </c>
      <c r="DC38" s="41"/>
      <c r="DD38" s="79" t="s">
        <v>153</v>
      </c>
      <c r="DE38" s="71"/>
      <c r="DF38" s="85" t="s">
        <v>449</v>
      </c>
      <c r="DG38" s="79">
        <v>34</v>
      </c>
      <c r="DH38" s="86" t="str">
        <f t="shared" si="29"/>
        <v>Completo</v>
      </c>
      <c r="DI38" s="79" t="s">
        <v>181</v>
      </c>
      <c r="DJ38" s="79" t="s">
        <v>182</v>
      </c>
      <c r="DK38" s="79"/>
      <c r="DL38" s="79">
        <v>0</v>
      </c>
      <c r="DM38" s="79">
        <v>0</v>
      </c>
      <c r="DN38" s="79" t="s">
        <v>182</v>
      </c>
      <c r="DO38" s="79"/>
      <c r="DP38" s="79"/>
      <c r="DQ38" s="79"/>
      <c r="DR38" s="75" t="str">
        <f t="shared" si="11"/>
        <v>No aplica</v>
      </c>
      <c r="DS38" s="79"/>
      <c r="DT38" s="79"/>
      <c r="DU38" s="75" t="str">
        <f t="shared" si="12"/>
        <v>No aplica</v>
      </c>
      <c r="DV38" s="79" t="s">
        <v>182</v>
      </c>
      <c r="DW38" s="79" t="s">
        <v>182</v>
      </c>
      <c r="DX38" s="79"/>
      <c r="DY38" s="79"/>
      <c r="DZ38" s="79"/>
      <c r="EA38" s="79"/>
      <c r="EB38" s="79" t="s">
        <v>182</v>
      </c>
      <c r="EC38" s="79" t="s">
        <v>183</v>
      </c>
      <c r="ED38" s="79" t="s">
        <v>184</v>
      </c>
      <c r="EE38" s="79" t="str">
        <f t="shared" si="30"/>
        <v>Completo</v>
      </c>
      <c r="EF38" s="41"/>
      <c r="EG38" s="79" t="s">
        <v>153</v>
      </c>
      <c r="EH38" s="71"/>
      <c r="EI38" s="80"/>
      <c r="EJ38" s="71"/>
      <c r="EK38" s="79" t="s">
        <v>179</v>
      </c>
      <c r="EL38" s="76" t="str">
        <f t="shared" si="14"/>
        <v>No requiere</v>
      </c>
      <c r="EM38" s="76" t="str">
        <f t="shared" si="15"/>
        <v>No requiere</v>
      </c>
      <c r="EN38" s="76" t="str">
        <f t="shared" ref="EN38:EN69" si="32">IF(F38="NO","No requiere",IF(H38="No","No requiere",IF(CC38="","",IF(CD38&lt;&gt;"No aplica",IF(CD38&lt;&gt;"Ninguna",IF(COUNTIF(CD38:CF38,"*")&gt;=1,"Sí","No"),"No"),"No aplica"))))</f>
        <v>No requiere</v>
      </c>
      <c r="EO38" s="71"/>
      <c r="EP38" s="73" t="str">
        <f t="shared" si="17"/>
        <v>No requiere</v>
      </c>
      <c r="EQ38" s="77" t="str">
        <f t="shared" si="18"/>
        <v>No requiere</v>
      </c>
      <c r="ER38" s="71"/>
      <c r="ES38" s="79" t="s">
        <v>179</v>
      </c>
      <c r="ET38" s="73" t="str">
        <f t="shared" si="19"/>
        <v>No requiere</v>
      </c>
      <c r="EU38" s="73" t="str">
        <f t="shared" ref="EU38:EU69" si="33">IF(F38="NO","No requiere",IF(H38="No","No requiere",IF(B38="","",IF(CX38="SÍ",IF(CK38&gt;=1,CY38/CK38,"Sin compromisos"),"Por verificar"))))</f>
        <v>No requiere</v>
      </c>
      <c r="EV38" s="73" t="str">
        <f t="shared" si="21"/>
        <v>No requiere</v>
      </c>
      <c r="EW38" s="73" t="str">
        <f t="shared" si="22"/>
        <v>No requiere</v>
      </c>
      <c r="EX38" s="78"/>
      <c r="EY38" s="78"/>
    </row>
    <row r="39" spans="1:155" ht="46.5" customHeight="1">
      <c r="A39" s="79">
        <v>35</v>
      </c>
      <c r="B39" s="80" t="s">
        <v>450</v>
      </c>
      <c r="C39" s="81">
        <v>45344</v>
      </c>
      <c r="D39" s="82">
        <v>0.70833333333333337</v>
      </c>
      <c r="E39" s="79" t="s">
        <v>200</v>
      </c>
      <c r="F39" s="79" t="s">
        <v>153</v>
      </c>
      <c r="G39" s="79" t="s">
        <v>153</v>
      </c>
      <c r="H39" s="79" t="s">
        <v>152</v>
      </c>
      <c r="I39" s="79" t="s">
        <v>152</v>
      </c>
      <c r="J39" s="79" t="s">
        <v>211</v>
      </c>
      <c r="K39" s="79" t="s">
        <v>202</v>
      </c>
      <c r="L39" s="80" t="s">
        <v>451</v>
      </c>
      <c r="M39" s="80" t="s">
        <v>241</v>
      </c>
      <c r="N39" s="79" t="s">
        <v>162</v>
      </c>
      <c r="O39" s="80" t="str">
        <f t="shared" si="0"/>
        <v/>
      </c>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t="s">
        <v>169</v>
      </c>
      <c r="AP39" s="79" t="s">
        <v>170</v>
      </c>
      <c r="AQ39" s="80" t="s">
        <v>423</v>
      </c>
      <c r="AR39" s="83" t="s">
        <v>424</v>
      </c>
      <c r="AS39" s="80" t="s">
        <v>425</v>
      </c>
      <c r="AT39" s="80" t="str">
        <f t="shared" si="1"/>
        <v>Distrital</v>
      </c>
      <c r="AU39" s="79" t="s">
        <v>172</v>
      </c>
      <c r="AV39" s="79"/>
      <c r="AW39" s="79"/>
      <c r="AX39" s="79"/>
      <c r="AY39" s="79"/>
      <c r="AZ39" s="79"/>
      <c r="BA39" s="80" t="str">
        <f t="shared" si="2"/>
        <v>Distrital</v>
      </c>
      <c r="BB39" s="79" t="s">
        <v>172</v>
      </c>
      <c r="BC39" s="79"/>
      <c r="BD39" s="79"/>
      <c r="BE39" s="79"/>
      <c r="BF39" s="79"/>
      <c r="BG39" s="79"/>
      <c r="BH39" s="80" t="str">
        <f t="shared" si="3"/>
        <v>Distrital</v>
      </c>
      <c r="BI39" s="79" t="s">
        <v>172</v>
      </c>
      <c r="BJ39" s="79"/>
      <c r="BK39" s="79"/>
      <c r="BL39" s="79"/>
      <c r="BM39" s="79"/>
      <c r="BN39" s="79"/>
      <c r="BO39" s="79"/>
      <c r="BP39" s="79"/>
      <c r="BQ39" s="79"/>
      <c r="BR39" s="79"/>
      <c r="BS39" s="80" t="s">
        <v>288</v>
      </c>
      <c r="BT39" s="80" t="s">
        <v>174</v>
      </c>
      <c r="BU39" s="89" t="s">
        <v>447</v>
      </c>
      <c r="BV39" s="71"/>
      <c r="BW39" s="79" t="s">
        <v>152</v>
      </c>
      <c r="BX39" s="79" t="s">
        <v>179</v>
      </c>
      <c r="BY39" s="71"/>
      <c r="BZ39" s="79">
        <v>7</v>
      </c>
      <c r="CA39" s="79">
        <v>4</v>
      </c>
      <c r="CB39" s="79">
        <f t="shared" si="25"/>
        <v>11</v>
      </c>
      <c r="CC39" s="79" t="str">
        <f t="shared" si="31"/>
        <v>Horarios Acordes</v>
      </c>
      <c r="CD39" s="79" t="s">
        <v>351</v>
      </c>
      <c r="CE39" s="79"/>
      <c r="CF39" s="79"/>
      <c r="CG39" s="83" t="s">
        <v>452</v>
      </c>
      <c r="CH39" s="41"/>
      <c r="CI39" s="79" t="s">
        <v>153</v>
      </c>
      <c r="CJ39" s="71"/>
      <c r="CK39" s="79">
        <f t="shared" si="6"/>
        <v>0</v>
      </c>
      <c r="CL39" s="79"/>
      <c r="CM39" s="79"/>
      <c r="CN39" s="79"/>
      <c r="CO39" s="79"/>
      <c r="CP39" s="79"/>
      <c r="CQ39" s="79"/>
      <c r="CR39" s="83" t="s">
        <v>179</v>
      </c>
      <c r="CS39" s="83" t="s">
        <v>179</v>
      </c>
      <c r="CT39" s="83" t="s">
        <v>179</v>
      </c>
      <c r="CU39" s="83" t="s">
        <v>179</v>
      </c>
      <c r="CV39" s="83" t="s">
        <v>179</v>
      </c>
      <c r="CW39" s="83" t="s">
        <v>179</v>
      </c>
      <c r="CX39" s="79" t="s">
        <v>153</v>
      </c>
      <c r="CY39" s="79">
        <f t="shared" si="26"/>
        <v>0</v>
      </c>
      <c r="CZ39" s="79">
        <v>0</v>
      </c>
      <c r="DA39" s="79">
        <f t="shared" si="27"/>
        <v>0</v>
      </c>
      <c r="DB39" s="84" t="str">
        <f t="shared" si="28"/>
        <v/>
      </c>
      <c r="DC39" s="41"/>
      <c r="DD39" s="79" t="s">
        <v>153</v>
      </c>
      <c r="DE39" s="71"/>
      <c r="DF39" s="85" t="s">
        <v>453</v>
      </c>
      <c r="DG39" s="79">
        <v>35</v>
      </c>
      <c r="DH39" s="86" t="str">
        <f t="shared" si="29"/>
        <v>Completo</v>
      </c>
      <c r="DI39" s="79" t="s">
        <v>181</v>
      </c>
      <c r="DJ39" s="79" t="s">
        <v>182</v>
      </c>
      <c r="DK39" s="79"/>
      <c r="DL39" s="79">
        <v>0</v>
      </c>
      <c r="DM39" s="79">
        <v>0</v>
      </c>
      <c r="DN39" s="79" t="s">
        <v>182</v>
      </c>
      <c r="DO39" s="79"/>
      <c r="DP39" s="79"/>
      <c r="DQ39" s="79"/>
      <c r="DR39" s="75" t="str">
        <f t="shared" si="11"/>
        <v>No aplica</v>
      </c>
      <c r="DS39" s="79"/>
      <c r="DT39" s="79"/>
      <c r="DU39" s="75" t="str">
        <f t="shared" si="12"/>
        <v>No aplica</v>
      </c>
      <c r="DV39" s="79" t="s">
        <v>182</v>
      </c>
      <c r="DW39" s="79" t="s">
        <v>182</v>
      </c>
      <c r="DX39" s="79"/>
      <c r="DY39" s="79"/>
      <c r="DZ39" s="79"/>
      <c r="EA39" s="79"/>
      <c r="EB39" s="79" t="s">
        <v>182</v>
      </c>
      <c r="EC39" s="79" t="s">
        <v>183</v>
      </c>
      <c r="ED39" s="79" t="s">
        <v>249</v>
      </c>
      <c r="EE39" s="79" t="str">
        <f t="shared" si="30"/>
        <v>Completo</v>
      </c>
      <c r="EF39" s="41"/>
      <c r="EG39" s="79" t="s">
        <v>153</v>
      </c>
      <c r="EH39" s="71"/>
      <c r="EI39" s="80"/>
      <c r="EJ39" s="71"/>
      <c r="EK39" s="79" t="s">
        <v>179</v>
      </c>
      <c r="EL39" s="76" t="str">
        <f t="shared" si="14"/>
        <v>No requiere</v>
      </c>
      <c r="EM39" s="76" t="str">
        <f t="shared" si="15"/>
        <v>No requiere</v>
      </c>
      <c r="EN39" s="76" t="str">
        <f t="shared" si="32"/>
        <v>No requiere</v>
      </c>
      <c r="EO39" s="71"/>
      <c r="EP39" s="73" t="str">
        <f t="shared" si="17"/>
        <v>No requiere</v>
      </c>
      <c r="EQ39" s="77" t="str">
        <f t="shared" si="18"/>
        <v>No requiere</v>
      </c>
      <c r="ER39" s="71"/>
      <c r="ES39" s="79" t="s">
        <v>179</v>
      </c>
      <c r="ET39" s="73" t="str">
        <f t="shared" si="19"/>
        <v>No requiere</v>
      </c>
      <c r="EU39" s="73" t="str">
        <f t="shared" si="33"/>
        <v>No requiere</v>
      </c>
      <c r="EV39" s="73" t="str">
        <f t="shared" si="21"/>
        <v>No requiere</v>
      </c>
      <c r="EW39" s="73" t="str">
        <f t="shared" si="22"/>
        <v>No requiere</v>
      </c>
      <c r="EX39" s="78"/>
      <c r="EY39" s="78"/>
    </row>
    <row r="40" spans="1:155" ht="46.5" customHeight="1">
      <c r="A40" s="79">
        <v>36</v>
      </c>
      <c r="B40" s="80" t="s">
        <v>454</v>
      </c>
      <c r="C40" s="81">
        <v>45345</v>
      </c>
      <c r="D40" s="82">
        <v>0.33333333333333331</v>
      </c>
      <c r="E40" s="79" t="s">
        <v>151</v>
      </c>
      <c r="F40" s="79" t="s">
        <v>153</v>
      </c>
      <c r="G40" s="79" t="s">
        <v>152</v>
      </c>
      <c r="H40" s="79" t="s">
        <v>152</v>
      </c>
      <c r="I40" s="79" t="s">
        <v>152</v>
      </c>
      <c r="J40" s="79" t="s">
        <v>455</v>
      </c>
      <c r="K40" s="79" t="s">
        <v>155</v>
      </c>
      <c r="L40" s="80" t="s">
        <v>456</v>
      </c>
      <c r="M40" s="80" t="s">
        <v>229</v>
      </c>
      <c r="N40" s="79" t="s">
        <v>158</v>
      </c>
      <c r="O40" s="80" t="str">
        <f t="shared" si="0"/>
        <v>Yohan David Díaz, Valentina González Pontón, Norberto Muñoz Morera, Nathalia Guzmán Martínez, Rosemberg Prisco Vasquez</v>
      </c>
      <c r="P40" s="79" t="s">
        <v>164</v>
      </c>
      <c r="Q40" s="79" t="s">
        <v>329</v>
      </c>
      <c r="R40" s="79" t="s">
        <v>161</v>
      </c>
      <c r="S40" s="79" t="s">
        <v>166</v>
      </c>
      <c r="T40" s="79" t="s">
        <v>162</v>
      </c>
      <c r="U40" s="79"/>
      <c r="V40" s="79"/>
      <c r="W40" s="79"/>
      <c r="X40" s="79"/>
      <c r="Y40" s="79"/>
      <c r="Z40" s="79"/>
      <c r="AA40" s="79"/>
      <c r="AB40" s="79"/>
      <c r="AC40" s="79"/>
      <c r="AD40" s="79"/>
      <c r="AE40" s="79"/>
      <c r="AF40" s="79"/>
      <c r="AG40" s="79"/>
      <c r="AH40" s="79"/>
      <c r="AI40" s="79"/>
      <c r="AJ40" s="79"/>
      <c r="AK40" s="79"/>
      <c r="AL40" s="79"/>
      <c r="AM40" s="79"/>
      <c r="AN40" s="79"/>
      <c r="AO40" s="79" t="s">
        <v>304</v>
      </c>
      <c r="AP40" s="79"/>
      <c r="AQ40" s="80" t="s">
        <v>457</v>
      </c>
      <c r="AR40" s="83" t="s">
        <v>458</v>
      </c>
      <c r="AS40" s="80" t="s">
        <v>459</v>
      </c>
      <c r="AT40" s="80" t="str">
        <f t="shared" si="1"/>
        <v>Distrital</v>
      </c>
      <c r="AU40" s="79" t="s">
        <v>172</v>
      </c>
      <c r="AV40" s="79"/>
      <c r="AW40" s="79"/>
      <c r="AX40" s="79"/>
      <c r="AY40" s="79"/>
      <c r="AZ40" s="79"/>
      <c r="BA40" s="80" t="str">
        <f t="shared" si="2"/>
        <v>Distrital</v>
      </c>
      <c r="BB40" s="79" t="s">
        <v>172</v>
      </c>
      <c r="BC40" s="79"/>
      <c r="BD40" s="79"/>
      <c r="BE40" s="79"/>
      <c r="BF40" s="79"/>
      <c r="BG40" s="79"/>
      <c r="BH40" s="80" t="str">
        <f t="shared" si="3"/>
        <v>Distrital</v>
      </c>
      <c r="BI40" s="79" t="s">
        <v>172</v>
      </c>
      <c r="BJ40" s="79"/>
      <c r="BK40" s="79"/>
      <c r="BL40" s="79"/>
      <c r="BM40" s="79"/>
      <c r="BN40" s="79"/>
      <c r="BO40" s="79"/>
      <c r="BP40" s="79"/>
      <c r="BQ40" s="79"/>
      <c r="BR40" s="79"/>
      <c r="BS40" s="80" t="s">
        <v>288</v>
      </c>
      <c r="BT40" s="80" t="s">
        <v>460</v>
      </c>
      <c r="BU40" s="80" t="s">
        <v>461</v>
      </c>
      <c r="BV40" s="71"/>
      <c r="BW40" s="79" t="s">
        <v>152</v>
      </c>
      <c r="BX40" s="79"/>
      <c r="BY40" s="71"/>
      <c r="BZ40" s="79">
        <v>121</v>
      </c>
      <c r="CA40" s="79">
        <v>15</v>
      </c>
      <c r="CB40" s="79">
        <f t="shared" si="25"/>
        <v>136</v>
      </c>
      <c r="CC40" s="79" t="str">
        <f t="shared" si="31"/>
        <v>Accesibilidad Universal, Horarios Acordes, Contenidos adaptados</v>
      </c>
      <c r="CD40" s="79" t="s">
        <v>397</v>
      </c>
      <c r="CE40" s="79" t="s">
        <v>351</v>
      </c>
      <c r="CF40" s="79" t="s">
        <v>350</v>
      </c>
      <c r="CG40" s="83" t="s">
        <v>462</v>
      </c>
      <c r="CH40" s="41"/>
      <c r="CI40" s="79" t="s">
        <v>153</v>
      </c>
      <c r="CJ40" s="71"/>
      <c r="CK40" s="79">
        <f t="shared" si="6"/>
        <v>0</v>
      </c>
      <c r="CL40" s="79"/>
      <c r="CM40" s="79"/>
      <c r="CN40" s="79"/>
      <c r="CO40" s="79"/>
      <c r="CP40" s="79"/>
      <c r="CQ40" s="79"/>
      <c r="CR40" s="83" t="s">
        <v>179</v>
      </c>
      <c r="CS40" s="83" t="s">
        <v>179</v>
      </c>
      <c r="CT40" s="83" t="s">
        <v>179</v>
      </c>
      <c r="CU40" s="83" t="s">
        <v>179</v>
      </c>
      <c r="CV40" s="83" t="s">
        <v>179</v>
      </c>
      <c r="CW40" s="83" t="s">
        <v>179</v>
      </c>
      <c r="CX40" s="79" t="s">
        <v>153</v>
      </c>
      <c r="CY40" s="79">
        <f t="shared" si="26"/>
        <v>0</v>
      </c>
      <c r="CZ40" s="79">
        <v>0</v>
      </c>
      <c r="DA40" s="79">
        <f t="shared" si="27"/>
        <v>0</v>
      </c>
      <c r="DB40" s="84" t="str">
        <f t="shared" si="28"/>
        <v/>
      </c>
      <c r="DC40" s="41"/>
      <c r="DD40" s="79" t="s">
        <v>153</v>
      </c>
      <c r="DE40" s="71"/>
      <c r="DF40" s="85" t="s">
        <v>463</v>
      </c>
      <c r="DG40" s="79">
        <v>36</v>
      </c>
      <c r="DH40" s="86" t="str">
        <f t="shared" si="29"/>
        <v>Completo</v>
      </c>
      <c r="DI40" s="79" t="s">
        <v>181</v>
      </c>
      <c r="DJ40" s="79" t="s">
        <v>182</v>
      </c>
      <c r="DK40" s="79"/>
      <c r="DL40" s="79">
        <v>0</v>
      </c>
      <c r="DM40" s="79">
        <v>0</v>
      </c>
      <c r="DN40" s="79" t="s">
        <v>182</v>
      </c>
      <c r="DO40" s="79"/>
      <c r="DP40" s="79"/>
      <c r="DQ40" s="79"/>
      <c r="DR40" s="75" t="str">
        <f t="shared" si="11"/>
        <v>No aplica</v>
      </c>
      <c r="DS40" s="79"/>
      <c r="DT40" s="79"/>
      <c r="DU40" s="75" t="str">
        <f t="shared" si="12"/>
        <v>No aplica</v>
      </c>
      <c r="DV40" s="79" t="s">
        <v>182</v>
      </c>
      <c r="DW40" s="79" t="s">
        <v>182</v>
      </c>
      <c r="DX40" s="79"/>
      <c r="DY40" s="79"/>
      <c r="DZ40" s="79" t="s">
        <v>464</v>
      </c>
      <c r="EA40" s="79" t="s">
        <v>179</v>
      </c>
      <c r="EB40" s="79" t="s">
        <v>182</v>
      </c>
      <c r="EC40" s="79" t="s">
        <v>465</v>
      </c>
      <c r="ED40" s="79" t="s">
        <v>249</v>
      </c>
      <c r="EE40" s="79" t="str">
        <f t="shared" si="30"/>
        <v>Completo</v>
      </c>
      <c r="EF40" s="41"/>
      <c r="EG40" s="79" t="s">
        <v>153</v>
      </c>
      <c r="EH40" s="71"/>
      <c r="EI40" s="80"/>
      <c r="EJ40" s="71"/>
      <c r="EK40" s="79" t="s">
        <v>179</v>
      </c>
      <c r="EL40" s="76" t="str">
        <f t="shared" si="14"/>
        <v>No requiere</v>
      </c>
      <c r="EM40" s="76" t="str">
        <f t="shared" si="15"/>
        <v>No requiere</v>
      </c>
      <c r="EN40" s="76" t="str">
        <f t="shared" si="32"/>
        <v>No requiere</v>
      </c>
      <c r="EO40" s="71"/>
      <c r="EP40" s="73" t="str">
        <f t="shared" si="17"/>
        <v>No requiere</v>
      </c>
      <c r="EQ40" s="77" t="str">
        <f t="shared" si="18"/>
        <v>No requiere</v>
      </c>
      <c r="ER40" s="71"/>
      <c r="ES40" s="79" t="s">
        <v>179</v>
      </c>
      <c r="ET40" s="73" t="str">
        <f t="shared" si="19"/>
        <v>No requiere</v>
      </c>
      <c r="EU40" s="73" t="str">
        <f t="shared" si="33"/>
        <v>No requiere</v>
      </c>
      <c r="EV40" s="73" t="str">
        <f t="shared" si="21"/>
        <v>No requiere</v>
      </c>
      <c r="EW40" s="73" t="str">
        <f t="shared" si="22"/>
        <v>No requiere</v>
      </c>
      <c r="EX40" s="78"/>
      <c r="EY40" s="78"/>
    </row>
    <row r="41" spans="1:155" ht="46.5" customHeight="1">
      <c r="A41" s="79" t="str">
        <v/>
      </c>
      <c r="B41" s="80" t="s">
        <v>420</v>
      </c>
      <c r="C41" s="81">
        <v>45345</v>
      </c>
      <c r="D41" s="82">
        <v>0.39583333333333331</v>
      </c>
      <c r="E41" s="79" t="s">
        <v>151</v>
      </c>
      <c r="F41" s="79" t="s">
        <v>152</v>
      </c>
      <c r="G41" s="79" t="s">
        <v>153</v>
      </c>
      <c r="H41" s="79" t="s">
        <v>152</v>
      </c>
      <c r="I41" s="79" t="s">
        <v>152</v>
      </c>
      <c r="J41" s="79" t="s">
        <v>251</v>
      </c>
      <c r="K41" s="79" t="s">
        <v>202</v>
      </c>
      <c r="L41" s="80" t="s">
        <v>466</v>
      </c>
      <c r="M41" s="80" t="s">
        <v>157</v>
      </c>
      <c r="N41" s="79" t="s">
        <v>422</v>
      </c>
      <c r="O41" s="80" t="str">
        <f t="shared" si="0"/>
        <v/>
      </c>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t="s">
        <v>169</v>
      </c>
      <c r="AP41" s="79" t="s">
        <v>170</v>
      </c>
      <c r="AQ41" s="80" t="s">
        <v>423</v>
      </c>
      <c r="AR41" s="83" t="s">
        <v>424</v>
      </c>
      <c r="AS41" s="80" t="s">
        <v>425</v>
      </c>
      <c r="AT41" s="80" t="str">
        <f t="shared" si="1"/>
        <v>Distrital</v>
      </c>
      <c r="AU41" s="79" t="s">
        <v>172</v>
      </c>
      <c r="AV41" s="79"/>
      <c r="AW41" s="79"/>
      <c r="AX41" s="79"/>
      <c r="AY41" s="79"/>
      <c r="AZ41" s="79"/>
      <c r="BA41" s="80" t="str">
        <f t="shared" si="2"/>
        <v>Distrital</v>
      </c>
      <c r="BB41" s="79" t="s">
        <v>172</v>
      </c>
      <c r="BC41" s="79"/>
      <c r="BD41" s="79"/>
      <c r="BE41" s="79"/>
      <c r="BF41" s="79"/>
      <c r="BG41" s="79"/>
      <c r="BH41" s="80" t="str">
        <f t="shared" si="3"/>
        <v>Distrital</v>
      </c>
      <c r="BI41" s="79" t="s">
        <v>172</v>
      </c>
      <c r="BJ41" s="79"/>
      <c r="BK41" s="79"/>
      <c r="BL41" s="79"/>
      <c r="BM41" s="79"/>
      <c r="BN41" s="79"/>
      <c r="BO41" s="79"/>
      <c r="BP41" s="79"/>
      <c r="BQ41" s="79"/>
      <c r="BR41" s="79"/>
      <c r="BS41" s="80" t="s">
        <v>288</v>
      </c>
      <c r="BT41" s="80" t="s">
        <v>174</v>
      </c>
      <c r="BU41" s="89" t="s">
        <v>467</v>
      </c>
      <c r="BV41" s="71"/>
      <c r="BW41" s="79" t="s">
        <v>152</v>
      </c>
      <c r="BX41" s="79" t="s">
        <v>179</v>
      </c>
      <c r="BY41" s="71"/>
      <c r="BZ41" s="79">
        <v>4</v>
      </c>
      <c r="CA41" s="79">
        <v>6</v>
      </c>
      <c r="CB41" s="79">
        <f t="shared" si="25"/>
        <v>10</v>
      </c>
      <c r="CC41" s="79" t="str">
        <f t="shared" si="31"/>
        <v>No Aplica</v>
      </c>
      <c r="CD41" s="79" t="s">
        <v>177</v>
      </c>
      <c r="CE41" s="79"/>
      <c r="CF41" s="79"/>
      <c r="CG41" s="83" t="s">
        <v>468</v>
      </c>
      <c r="CH41" s="41"/>
      <c r="CI41" s="79" t="s">
        <v>153</v>
      </c>
      <c r="CJ41" s="71"/>
      <c r="CK41" s="79">
        <f t="shared" si="6"/>
        <v>0</v>
      </c>
      <c r="CL41" s="79"/>
      <c r="CM41" s="79"/>
      <c r="CN41" s="79"/>
      <c r="CO41" s="79"/>
      <c r="CP41" s="79"/>
      <c r="CQ41" s="79"/>
      <c r="CR41" s="83" t="s">
        <v>179</v>
      </c>
      <c r="CS41" s="83" t="s">
        <v>179</v>
      </c>
      <c r="CT41" s="83" t="s">
        <v>179</v>
      </c>
      <c r="CU41" s="83" t="s">
        <v>179</v>
      </c>
      <c r="CV41" s="83" t="s">
        <v>179</v>
      </c>
      <c r="CW41" s="83" t="s">
        <v>179</v>
      </c>
      <c r="CX41" s="79" t="s">
        <v>153</v>
      </c>
      <c r="CY41" s="79">
        <f t="shared" si="26"/>
        <v>0</v>
      </c>
      <c r="CZ41" s="79">
        <v>0</v>
      </c>
      <c r="DA41" s="79">
        <f t="shared" si="27"/>
        <v>0</v>
      </c>
      <c r="DB41" s="84" t="str">
        <f t="shared" si="28"/>
        <v/>
      </c>
      <c r="DC41" s="41"/>
      <c r="DD41" s="79" t="s">
        <v>153</v>
      </c>
      <c r="DE41" s="71"/>
      <c r="DF41" s="85" t="s">
        <v>469</v>
      </c>
      <c r="DG41" s="79">
        <v>37</v>
      </c>
      <c r="DH41" s="86" t="str">
        <f t="shared" si="29"/>
        <v>Completo</v>
      </c>
      <c r="DI41" s="79" t="s">
        <v>181</v>
      </c>
      <c r="DJ41" s="79" t="s">
        <v>182</v>
      </c>
      <c r="DK41" s="79"/>
      <c r="DL41" s="79">
        <v>0</v>
      </c>
      <c r="DM41" s="79">
        <v>0</v>
      </c>
      <c r="DN41" s="79"/>
      <c r="DO41" s="79"/>
      <c r="DP41" s="79"/>
      <c r="DQ41" s="79"/>
      <c r="DR41" s="75" t="str">
        <f t="shared" si="11"/>
        <v>No aplica</v>
      </c>
      <c r="DS41" s="79"/>
      <c r="DT41" s="79"/>
      <c r="DU41" s="75" t="str">
        <f t="shared" si="12"/>
        <v>No aplica</v>
      </c>
      <c r="DV41" s="79" t="s">
        <v>182</v>
      </c>
      <c r="DW41" s="79"/>
      <c r="DX41" s="79"/>
      <c r="DY41" s="79"/>
      <c r="DZ41" s="79"/>
      <c r="EA41" s="79"/>
      <c r="EB41" s="79"/>
      <c r="EC41" s="79"/>
      <c r="ED41" s="79" t="s">
        <v>299</v>
      </c>
      <c r="EE41" s="79" t="str">
        <f t="shared" si="30"/>
        <v>Completo</v>
      </c>
      <c r="EF41" s="41"/>
      <c r="EG41" s="79" t="s">
        <v>153</v>
      </c>
      <c r="EH41" s="71"/>
      <c r="EI41" s="80"/>
      <c r="EJ41" s="71"/>
      <c r="EK41" s="79" t="s">
        <v>179</v>
      </c>
      <c r="EL41" s="76" t="str">
        <f t="shared" si="14"/>
        <v>No requiere</v>
      </c>
      <c r="EM41" s="76" t="str">
        <f t="shared" si="15"/>
        <v>No requiere</v>
      </c>
      <c r="EN41" s="76" t="str">
        <f t="shared" si="32"/>
        <v>No requiere</v>
      </c>
      <c r="EO41" s="71"/>
      <c r="EP41" s="73" t="str">
        <f t="shared" si="17"/>
        <v>No requiere</v>
      </c>
      <c r="EQ41" s="77" t="str">
        <f t="shared" si="18"/>
        <v>No requiere</v>
      </c>
      <c r="ER41" s="71"/>
      <c r="ES41" s="79" t="s">
        <v>179</v>
      </c>
      <c r="ET41" s="73" t="str">
        <f t="shared" si="19"/>
        <v>No requiere</v>
      </c>
      <c r="EU41" s="73" t="str">
        <f t="shared" si="33"/>
        <v>No requiere</v>
      </c>
      <c r="EV41" s="73" t="str">
        <f t="shared" si="21"/>
        <v>No requiere</v>
      </c>
      <c r="EW41" s="73" t="str">
        <f t="shared" si="22"/>
        <v>No requiere</v>
      </c>
      <c r="EX41" s="78"/>
      <c r="EY41" s="78"/>
    </row>
    <row r="42" spans="1:155" ht="46.5" customHeight="1">
      <c r="A42" s="79">
        <v>38</v>
      </c>
      <c r="B42" s="80" t="s">
        <v>470</v>
      </c>
      <c r="C42" s="81">
        <v>45345</v>
      </c>
      <c r="D42" s="82">
        <v>0.60416666666666663</v>
      </c>
      <c r="E42" s="79" t="s">
        <v>151</v>
      </c>
      <c r="F42" s="79" t="s">
        <v>153</v>
      </c>
      <c r="G42" s="79" t="s">
        <v>152</v>
      </c>
      <c r="H42" s="79" t="s">
        <v>152</v>
      </c>
      <c r="I42" s="79" t="s">
        <v>152</v>
      </c>
      <c r="J42" s="79" t="s">
        <v>272</v>
      </c>
      <c r="K42" s="79" t="s">
        <v>155</v>
      </c>
      <c r="L42" s="80" t="s">
        <v>471</v>
      </c>
      <c r="M42" s="80" t="s">
        <v>157</v>
      </c>
      <c r="N42" s="79" t="s">
        <v>472</v>
      </c>
      <c r="O42" s="80" t="str">
        <f t="shared" si="0"/>
        <v>Diana Marcela Fernández, Diego Alejandro Camacho, Juan Carlos Prieto</v>
      </c>
      <c r="P42" s="79" t="s">
        <v>473</v>
      </c>
      <c r="Q42" s="79" t="s">
        <v>422</v>
      </c>
      <c r="R42" s="79" t="s">
        <v>474</v>
      </c>
      <c r="S42" s="79"/>
      <c r="T42" s="79"/>
      <c r="U42" s="79"/>
      <c r="V42" s="79"/>
      <c r="W42" s="79"/>
      <c r="X42" s="79"/>
      <c r="Y42" s="79"/>
      <c r="Z42" s="79"/>
      <c r="AA42" s="79"/>
      <c r="AB42" s="79"/>
      <c r="AC42" s="79"/>
      <c r="AD42" s="79"/>
      <c r="AE42" s="79"/>
      <c r="AF42" s="79"/>
      <c r="AG42" s="79"/>
      <c r="AH42" s="79"/>
      <c r="AI42" s="79"/>
      <c r="AJ42" s="79"/>
      <c r="AK42" s="79"/>
      <c r="AL42" s="79"/>
      <c r="AM42" s="79"/>
      <c r="AN42" s="79"/>
      <c r="AO42" s="79" t="s">
        <v>169</v>
      </c>
      <c r="AP42" s="79" t="s">
        <v>475</v>
      </c>
      <c r="AQ42" s="80" t="s">
        <v>476</v>
      </c>
      <c r="AR42" s="83" t="s">
        <v>477</v>
      </c>
      <c r="AS42" s="80" t="s">
        <v>478</v>
      </c>
      <c r="AT42" s="80" t="str">
        <f t="shared" si="1"/>
        <v>Distrital</v>
      </c>
      <c r="AU42" s="79" t="s">
        <v>172</v>
      </c>
      <c r="AV42" s="79"/>
      <c r="AW42" s="79"/>
      <c r="AX42" s="79"/>
      <c r="AY42" s="79"/>
      <c r="AZ42" s="79"/>
      <c r="BA42" s="80" t="str">
        <f t="shared" si="2"/>
        <v>Distrital</v>
      </c>
      <c r="BB42" s="79" t="s">
        <v>172</v>
      </c>
      <c r="BC42" s="79"/>
      <c r="BD42" s="79"/>
      <c r="BE42" s="79"/>
      <c r="BF42" s="79"/>
      <c r="BG42" s="79"/>
      <c r="BH42" s="80" t="str">
        <f t="shared" si="3"/>
        <v>Distrital</v>
      </c>
      <c r="BI42" s="79" t="s">
        <v>172</v>
      </c>
      <c r="BJ42" s="79"/>
      <c r="BK42" s="79"/>
      <c r="BL42" s="79"/>
      <c r="BM42" s="79"/>
      <c r="BN42" s="79"/>
      <c r="BO42" s="79"/>
      <c r="BP42" s="79"/>
      <c r="BQ42" s="79"/>
      <c r="BR42" s="79"/>
      <c r="BS42" s="80" t="s">
        <v>288</v>
      </c>
      <c r="BT42" s="80" t="s">
        <v>479</v>
      </c>
      <c r="BU42" s="80" t="s">
        <v>480</v>
      </c>
      <c r="BV42" s="71"/>
      <c r="BW42" s="79" t="s">
        <v>152</v>
      </c>
      <c r="BX42" s="79"/>
      <c r="BY42" s="71"/>
      <c r="BZ42" s="79">
        <v>10</v>
      </c>
      <c r="CA42" s="79">
        <v>3</v>
      </c>
      <c r="CB42" s="79">
        <f t="shared" si="25"/>
        <v>13</v>
      </c>
      <c r="CC42" s="79" t="str">
        <f t="shared" si="31"/>
        <v>No Aplica</v>
      </c>
      <c r="CD42" s="79" t="s">
        <v>177</v>
      </c>
      <c r="CE42" s="79"/>
      <c r="CF42" s="79"/>
      <c r="CG42" s="83" t="s">
        <v>481</v>
      </c>
      <c r="CH42" s="41"/>
      <c r="CI42" s="79" t="s">
        <v>153</v>
      </c>
      <c r="CJ42" s="71"/>
      <c r="CK42" s="79">
        <f t="shared" si="6"/>
        <v>0</v>
      </c>
      <c r="CL42" s="79"/>
      <c r="CM42" s="79"/>
      <c r="CN42" s="79"/>
      <c r="CO42" s="79"/>
      <c r="CP42" s="79"/>
      <c r="CQ42" s="79"/>
      <c r="CR42" s="83" t="s">
        <v>179</v>
      </c>
      <c r="CS42" s="83" t="s">
        <v>179</v>
      </c>
      <c r="CT42" s="83" t="s">
        <v>179</v>
      </c>
      <c r="CU42" s="83" t="s">
        <v>179</v>
      </c>
      <c r="CV42" s="83" t="s">
        <v>179</v>
      </c>
      <c r="CW42" s="83" t="s">
        <v>179</v>
      </c>
      <c r="CX42" s="79" t="s">
        <v>153</v>
      </c>
      <c r="CY42" s="79">
        <f t="shared" si="26"/>
        <v>0</v>
      </c>
      <c r="CZ42" s="79">
        <v>0</v>
      </c>
      <c r="DA42" s="79">
        <f t="shared" si="27"/>
        <v>0</v>
      </c>
      <c r="DB42" s="84" t="str">
        <f t="shared" si="28"/>
        <v/>
      </c>
      <c r="DC42" s="41"/>
      <c r="DD42" s="79" t="s">
        <v>153</v>
      </c>
      <c r="DE42" s="71"/>
      <c r="DF42" s="85" t="s">
        <v>482</v>
      </c>
      <c r="DG42" s="79">
        <v>38</v>
      </c>
      <c r="DH42" s="86" t="str">
        <f t="shared" si="29"/>
        <v>Completo</v>
      </c>
      <c r="DI42" s="79" t="s">
        <v>181</v>
      </c>
      <c r="DJ42" s="79" t="s">
        <v>182</v>
      </c>
      <c r="DK42" s="79"/>
      <c r="DL42" s="79">
        <v>0</v>
      </c>
      <c r="DM42" s="79">
        <v>0</v>
      </c>
      <c r="DN42" s="79" t="s">
        <v>182</v>
      </c>
      <c r="DO42" s="79"/>
      <c r="DP42" s="79"/>
      <c r="DQ42" s="79"/>
      <c r="DR42" s="75" t="str">
        <f t="shared" si="11"/>
        <v>No aplica</v>
      </c>
      <c r="DS42" s="79"/>
      <c r="DT42" s="79"/>
      <c r="DU42" s="75" t="str">
        <f t="shared" si="12"/>
        <v>No aplica</v>
      </c>
      <c r="DV42" s="79" t="s">
        <v>182</v>
      </c>
      <c r="DW42" s="79" t="s">
        <v>182</v>
      </c>
      <c r="DX42" s="79"/>
      <c r="DY42" s="79"/>
      <c r="DZ42" s="79"/>
      <c r="EA42" s="79"/>
      <c r="EB42" s="79" t="s">
        <v>191</v>
      </c>
      <c r="EC42" s="79"/>
      <c r="ED42" s="79" t="s">
        <v>184</v>
      </c>
      <c r="EE42" s="79" t="str">
        <f t="shared" si="30"/>
        <v>Completo</v>
      </c>
      <c r="EF42" s="41"/>
      <c r="EG42" s="79" t="s">
        <v>153</v>
      </c>
      <c r="EH42" s="71"/>
      <c r="EI42" s="80"/>
      <c r="EJ42" s="71"/>
      <c r="EK42" s="79" t="s">
        <v>179</v>
      </c>
      <c r="EL42" s="76" t="str">
        <f t="shared" si="14"/>
        <v>No requiere</v>
      </c>
      <c r="EM42" s="76" t="str">
        <f t="shared" si="15"/>
        <v>No requiere</v>
      </c>
      <c r="EN42" s="76" t="str">
        <f t="shared" si="32"/>
        <v>No requiere</v>
      </c>
      <c r="EO42" s="71"/>
      <c r="EP42" s="73" t="str">
        <f t="shared" si="17"/>
        <v>No requiere</v>
      </c>
      <c r="EQ42" s="77" t="str">
        <f t="shared" si="18"/>
        <v>No requiere</v>
      </c>
      <c r="ER42" s="71"/>
      <c r="ES42" s="79" t="s">
        <v>179</v>
      </c>
      <c r="ET42" s="73" t="str">
        <f t="shared" si="19"/>
        <v>No requiere</v>
      </c>
      <c r="EU42" s="73" t="str">
        <f t="shared" si="33"/>
        <v>No requiere</v>
      </c>
      <c r="EV42" s="73" t="str">
        <f t="shared" si="21"/>
        <v>No requiere</v>
      </c>
      <c r="EW42" s="73" t="str">
        <f t="shared" si="22"/>
        <v>No requiere</v>
      </c>
      <c r="EX42" s="78"/>
      <c r="EY42" s="78"/>
    </row>
    <row r="43" spans="1:155" ht="46.5" customHeight="1">
      <c r="A43" s="79" t="str">
        <v/>
      </c>
      <c r="B43" s="80" t="s">
        <v>337</v>
      </c>
      <c r="C43" s="81">
        <v>45345</v>
      </c>
      <c r="D43" s="82">
        <v>0.66666666666666663</v>
      </c>
      <c r="E43" s="79" t="s">
        <v>151</v>
      </c>
      <c r="F43" s="79" t="s">
        <v>152</v>
      </c>
      <c r="G43" s="79" t="s">
        <v>153</v>
      </c>
      <c r="H43" s="79" t="s">
        <v>152</v>
      </c>
      <c r="I43" s="79" t="s">
        <v>152</v>
      </c>
      <c r="J43" s="79" t="s">
        <v>154</v>
      </c>
      <c r="K43" s="79" t="s">
        <v>202</v>
      </c>
      <c r="L43" s="80" t="s">
        <v>338</v>
      </c>
      <c r="M43" s="80" t="s">
        <v>157</v>
      </c>
      <c r="N43" s="79" t="s">
        <v>167</v>
      </c>
      <c r="O43" s="80" t="str">
        <f t="shared" si="0"/>
        <v/>
      </c>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t="s">
        <v>169</v>
      </c>
      <c r="AP43" s="79" t="s">
        <v>170</v>
      </c>
      <c r="AQ43" s="80" t="s">
        <v>483</v>
      </c>
      <c r="AR43" s="80" t="s">
        <v>171</v>
      </c>
      <c r="AS43" s="80" t="s">
        <v>171</v>
      </c>
      <c r="AT43" s="80" t="str">
        <f t="shared" si="1"/>
        <v>Distrital</v>
      </c>
      <c r="AU43" s="79" t="s">
        <v>172</v>
      </c>
      <c r="AV43" s="79"/>
      <c r="AW43" s="79"/>
      <c r="AX43" s="79"/>
      <c r="AY43" s="79"/>
      <c r="AZ43" s="79"/>
      <c r="BA43" s="80" t="str">
        <f t="shared" si="2"/>
        <v>Distrital</v>
      </c>
      <c r="BB43" s="79" t="s">
        <v>172</v>
      </c>
      <c r="BC43" s="79"/>
      <c r="BD43" s="79"/>
      <c r="BE43" s="79"/>
      <c r="BF43" s="79"/>
      <c r="BG43" s="79"/>
      <c r="BH43" s="80" t="str">
        <f t="shared" si="3"/>
        <v>Distrital</v>
      </c>
      <c r="BI43" s="79" t="s">
        <v>172</v>
      </c>
      <c r="BJ43" s="79"/>
      <c r="BK43" s="79"/>
      <c r="BL43" s="79"/>
      <c r="BM43" s="79"/>
      <c r="BN43" s="79"/>
      <c r="BO43" s="79"/>
      <c r="BP43" s="79"/>
      <c r="BQ43" s="79"/>
      <c r="BR43" s="79"/>
      <c r="BS43" s="80" t="s">
        <v>288</v>
      </c>
      <c r="BT43" s="80" t="s">
        <v>174</v>
      </c>
      <c r="BU43" s="89" t="s">
        <v>484</v>
      </c>
      <c r="BV43" s="71"/>
      <c r="BW43" s="79" t="s">
        <v>153</v>
      </c>
      <c r="BX43" s="79" t="s">
        <v>176</v>
      </c>
      <c r="BY43" s="71"/>
      <c r="BZ43" s="79">
        <v>5</v>
      </c>
      <c r="CA43" s="79">
        <v>3</v>
      </c>
      <c r="CB43" s="79">
        <f t="shared" si="25"/>
        <v>8</v>
      </c>
      <c r="CC43" s="79" t="str">
        <f t="shared" si="31"/>
        <v>No Aplica</v>
      </c>
      <c r="CD43" s="79" t="s">
        <v>177</v>
      </c>
      <c r="CE43" s="79"/>
      <c r="CF43" s="79"/>
      <c r="CG43" s="83" t="s">
        <v>341</v>
      </c>
      <c r="CH43" s="41"/>
      <c r="CI43" s="79" t="s">
        <v>153</v>
      </c>
      <c r="CJ43" s="71"/>
      <c r="CK43" s="79">
        <f t="shared" si="6"/>
        <v>0</v>
      </c>
      <c r="CL43" s="79"/>
      <c r="CM43" s="79"/>
      <c r="CN43" s="79"/>
      <c r="CO43" s="79"/>
      <c r="CP43" s="79"/>
      <c r="CQ43" s="79"/>
      <c r="CR43" s="83" t="s">
        <v>179</v>
      </c>
      <c r="CS43" s="83" t="s">
        <v>179</v>
      </c>
      <c r="CT43" s="83" t="s">
        <v>179</v>
      </c>
      <c r="CU43" s="83" t="s">
        <v>179</v>
      </c>
      <c r="CV43" s="83" t="s">
        <v>179</v>
      </c>
      <c r="CW43" s="83" t="s">
        <v>179</v>
      </c>
      <c r="CX43" s="79" t="s">
        <v>153</v>
      </c>
      <c r="CY43" s="79">
        <f t="shared" si="26"/>
        <v>0</v>
      </c>
      <c r="CZ43" s="79">
        <v>0</v>
      </c>
      <c r="DA43" s="79">
        <f t="shared" si="27"/>
        <v>0</v>
      </c>
      <c r="DB43" s="84" t="str">
        <f t="shared" si="28"/>
        <v/>
      </c>
      <c r="DC43" s="41"/>
      <c r="DD43" s="79" t="s">
        <v>153</v>
      </c>
      <c r="DE43" s="71"/>
      <c r="DF43" s="85" t="s">
        <v>485</v>
      </c>
      <c r="DG43" s="79">
        <v>39</v>
      </c>
      <c r="DH43" s="86" t="str">
        <f t="shared" si="29"/>
        <v>Completo</v>
      </c>
      <c r="DI43" s="79" t="s">
        <v>181</v>
      </c>
      <c r="DJ43" s="79" t="s">
        <v>182</v>
      </c>
      <c r="DK43" s="79"/>
      <c r="DL43" s="79">
        <v>0</v>
      </c>
      <c r="DM43" s="79">
        <v>0</v>
      </c>
      <c r="DN43" s="79"/>
      <c r="DO43" s="79"/>
      <c r="DP43" s="79"/>
      <c r="DQ43" s="79"/>
      <c r="DR43" s="75" t="str">
        <f t="shared" si="11"/>
        <v>No aplica</v>
      </c>
      <c r="DS43" s="79"/>
      <c r="DT43" s="79"/>
      <c r="DU43" s="75" t="str">
        <f t="shared" si="12"/>
        <v>No aplica</v>
      </c>
      <c r="DV43" s="79"/>
      <c r="DW43" s="79"/>
      <c r="DX43" s="79"/>
      <c r="DY43" s="79"/>
      <c r="DZ43" s="79"/>
      <c r="EA43" s="79"/>
      <c r="EB43" s="79"/>
      <c r="EC43" s="79"/>
      <c r="ED43" s="79" t="s">
        <v>343</v>
      </c>
      <c r="EE43" s="79" t="str">
        <f t="shared" si="30"/>
        <v>Completo</v>
      </c>
      <c r="EF43" s="41"/>
      <c r="EG43" s="79" t="s">
        <v>153</v>
      </c>
      <c r="EH43" s="71"/>
      <c r="EI43" s="80"/>
      <c r="EJ43" s="71"/>
      <c r="EK43" s="79" t="s">
        <v>179</v>
      </c>
      <c r="EL43" s="76" t="str">
        <f t="shared" si="14"/>
        <v>No requiere</v>
      </c>
      <c r="EM43" s="76" t="str">
        <f t="shared" si="15"/>
        <v>No requiere</v>
      </c>
      <c r="EN43" s="76" t="str">
        <f t="shared" si="32"/>
        <v>No requiere</v>
      </c>
      <c r="EO43" s="71"/>
      <c r="EP43" s="73" t="str">
        <f t="shared" si="17"/>
        <v>No requiere</v>
      </c>
      <c r="EQ43" s="77" t="str">
        <f t="shared" si="18"/>
        <v>No requiere</v>
      </c>
      <c r="ER43" s="71"/>
      <c r="ES43" s="79" t="s">
        <v>179</v>
      </c>
      <c r="ET43" s="73" t="str">
        <f t="shared" si="19"/>
        <v>No requiere</v>
      </c>
      <c r="EU43" s="73" t="str">
        <f t="shared" si="33"/>
        <v>No requiere</v>
      </c>
      <c r="EV43" s="73" t="str">
        <f t="shared" si="21"/>
        <v>No requiere</v>
      </c>
      <c r="EW43" s="73" t="str">
        <f t="shared" si="22"/>
        <v>No requiere</v>
      </c>
      <c r="EX43" s="78"/>
      <c r="EY43" s="78"/>
    </row>
    <row r="44" spans="1:155" ht="46.5" customHeight="1">
      <c r="A44" s="79">
        <v>40</v>
      </c>
      <c r="B44" s="80" t="s">
        <v>486</v>
      </c>
      <c r="C44" s="81">
        <v>45348</v>
      </c>
      <c r="D44" s="82">
        <v>0.375</v>
      </c>
      <c r="E44" s="79" t="s">
        <v>200</v>
      </c>
      <c r="F44" s="79" t="s">
        <v>153</v>
      </c>
      <c r="G44" s="79" t="s">
        <v>153</v>
      </c>
      <c r="H44" s="79" t="s">
        <v>152</v>
      </c>
      <c r="I44" s="79" t="s">
        <v>152</v>
      </c>
      <c r="J44" s="79" t="s">
        <v>211</v>
      </c>
      <c r="K44" s="79" t="s">
        <v>202</v>
      </c>
      <c r="L44" s="80" t="s">
        <v>487</v>
      </c>
      <c r="M44" s="80" t="s">
        <v>241</v>
      </c>
      <c r="N44" s="79" t="s">
        <v>329</v>
      </c>
      <c r="O44" s="80" t="str">
        <f t="shared" si="0"/>
        <v/>
      </c>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t="s">
        <v>169</v>
      </c>
      <c r="AP44" s="79" t="s">
        <v>170</v>
      </c>
      <c r="AQ44" s="80" t="s">
        <v>423</v>
      </c>
      <c r="AR44" s="83" t="s">
        <v>424</v>
      </c>
      <c r="AS44" s="80" t="s">
        <v>425</v>
      </c>
      <c r="AT44" s="80" t="str">
        <f t="shared" si="1"/>
        <v>Distrital</v>
      </c>
      <c r="AU44" s="79" t="s">
        <v>172</v>
      </c>
      <c r="AV44" s="79"/>
      <c r="AW44" s="79"/>
      <c r="AX44" s="79"/>
      <c r="AY44" s="79"/>
      <c r="AZ44" s="79"/>
      <c r="BA44" s="80" t="str">
        <f t="shared" si="2"/>
        <v>Distrital</v>
      </c>
      <c r="BB44" s="79" t="s">
        <v>172</v>
      </c>
      <c r="BC44" s="79"/>
      <c r="BD44" s="79"/>
      <c r="BE44" s="79"/>
      <c r="BF44" s="79"/>
      <c r="BG44" s="79"/>
      <c r="BH44" s="80" t="str">
        <f t="shared" si="3"/>
        <v>Distrital</v>
      </c>
      <c r="BI44" s="79" t="s">
        <v>172</v>
      </c>
      <c r="BJ44" s="79"/>
      <c r="BK44" s="79"/>
      <c r="BL44" s="79"/>
      <c r="BM44" s="79"/>
      <c r="BN44" s="79"/>
      <c r="BO44" s="79"/>
      <c r="BP44" s="79"/>
      <c r="BQ44" s="79"/>
      <c r="BR44" s="79"/>
      <c r="BS44" s="80" t="s">
        <v>288</v>
      </c>
      <c r="BT44" s="80" t="s">
        <v>174</v>
      </c>
      <c r="BU44" s="89" t="s">
        <v>488</v>
      </c>
      <c r="BV44" s="71"/>
      <c r="BW44" s="79" t="s">
        <v>152</v>
      </c>
      <c r="BX44" s="79" t="s">
        <v>179</v>
      </c>
      <c r="BY44" s="71"/>
      <c r="BZ44" s="79">
        <v>14</v>
      </c>
      <c r="CA44" s="79">
        <v>5</v>
      </c>
      <c r="CB44" s="79">
        <f t="shared" si="25"/>
        <v>19</v>
      </c>
      <c r="CC44" s="79" t="str">
        <f t="shared" si="31"/>
        <v>No Aplica</v>
      </c>
      <c r="CD44" s="79" t="s">
        <v>177</v>
      </c>
      <c r="CE44" s="79"/>
      <c r="CF44" s="79"/>
      <c r="CG44" s="83" t="s">
        <v>489</v>
      </c>
      <c r="CH44" s="41"/>
      <c r="CI44" s="79" t="s">
        <v>153</v>
      </c>
      <c r="CJ44" s="71"/>
      <c r="CK44" s="79">
        <f t="shared" si="6"/>
        <v>0</v>
      </c>
      <c r="CL44" s="79"/>
      <c r="CM44" s="79"/>
      <c r="CN44" s="79"/>
      <c r="CO44" s="79"/>
      <c r="CP44" s="79"/>
      <c r="CQ44" s="79"/>
      <c r="CR44" s="83" t="s">
        <v>179</v>
      </c>
      <c r="CS44" s="83" t="s">
        <v>179</v>
      </c>
      <c r="CT44" s="83" t="s">
        <v>179</v>
      </c>
      <c r="CU44" s="83" t="s">
        <v>179</v>
      </c>
      <c r="CV44" s="83" t="s">
        <v>179</v>
      </c>
      <c r="CW44" s="83" t="s">
        <v>179</v>
      </c>
      <c r="CX44" s="79" t="s">
        <v>153</v>
      </c>
      <c r="CY44" s="79">
        <f t="shared" si="26"/>
        <v>0</v>
      </c>
      <c r="CZ44" s="79">
        <v>0</v>
      </c>
      <c r="DA44" s="79">
        <f t="shared" si="27"/>
        <v>0</v>
      </c>
      <c r="DB44" s="84" t="str">
        <f t="shared" si="28"/>
        <v/>
      </c>
      <c r="DC44" s="41"/>
      <c r="DD44" s="79" t="s">
        <v>153</v>
      </c>
      <c r="DE44" s="71"/>
      <c r="DF44" s="85" t="s">
        <v>490</v>
      </c>
      <c r="DG44" s="79">
        <v>40</v>
      </c>
      <c r="DH44" s="86" t="str">
        <f t="shared" si="29"/>
        <v>Completo</v>
      </c>
      <c r="DI44" s="79" t="s">
        <v>181</v>
      </c>
      <c r="DJ44" s="79" t="s">
        <v>182</v>
      </c>
      <c r="DK44" s="79"/>
      <c r="DL44" s="79">
        <v>0</v>
      </c>
      <c r="DM44" s="79">
        <v>0</v>
      </c>
      <c r="DN44" s="79" t="s">
        <v>182</v>
      </c>
      <c r="DO44" s="79"/>
      <c r="DP44" s="79"/>
      <c r="DQ44" s="79"/>
      <c r="DR44" s="75" t="str">
        <f t="shared" si="11"/>
        <v>No aplica</v>
      </c>
      <c r="DS44" s="79"/>
      <c r="DT44" s="79"/>
      <c r="DU44" s="75" t="str">
        <f t="shared" si="12"/>
        <v>No aplica</v>
      </c>
      <c r="DV44" s="79" t="s">
        <v>182</v>
      </c>
      <c r="DW44" s="79" t="s">
        <v>182</v>
      </c>
      <c r="DX44" s="79"/>
      <c r="DY44" s="79"/>
      <c r="DZ44" s="79"/>
      <c r="EA44" s="79"/>
      <c r="EB44" s="79" t="s">
        <v>182</v>
      </c>
      <c r="EC44" s="79" t="s">
        <v>491</v>
      </c>
      <c r="ED44" s="79" t="s">
        <v>249</v>
      </c>
      <c r="EE44" s="79" t="str">
        <f t="shared" si="30"/>
        <v>Completo</v>
      </c>
      <c r="EF44" s="41"/>
      <c r="EG44" s="79" t="s">
        <v>153</v>
      </c>
      <c r="EH44" s="71"/>
      <c r="EI44" s="80"/>
      <c r="EJ44" s="71"/>
      <c r="EK44" s="79" t="s">
        <v>179</v>
      </c>
      <c r="EL44" s="76" t="str">
        <f t="shared" si="14"/>
        <v>No requiere</v>
      </c>
      <c r="EM44" s="76" t="str">
        <f t="shared" si="15"/>
        <v>No requiere</v>
      </c>
      <c r="EN44" s="76" t="str">
        <f t="shared" si="32"/>
        <v>No requiere</v>
      </c>
      <c r="EO44" s="71"/>
      <c r="EP44" s="73" t="str">
        <f t="shared" si="17"/>
        <v>No requiere</v>
      </c>
      <c r="EQ44" s="77" t="str">
        <f t="shared" si="18"/>
        <v>No requiere</v>
      </c>
      <c r="ER44" s="71"/>
      <c r="ES44" s="79" t="s">
        <v>179</v>
      </c>
      <c r="ET44" s="73" t="str">
        <f t="shared" si="19"/>
        <v>No requiere</v>
      </c>
      <c r="EU44" s="73" t="str">
        <f t="shared" si="33"/>
        <v>No requiere</v>
      </c>
      <c r="EV44" s="73" t="str">
        <f t="shared" si="21"/>
        <v>No requiere</v>
      </c>
      <c r="EW44" s="73" t="str">
        <f t="shared" si="22"/>
        <v>No requiere</v>
      </c>
      <c r="EX44" s="78"/>
      <c r="EY44" s="78"/>
    </row>
    <row r="45" spans="1:155" ht="46.5" customHeight="1">
      <c r="A45" s="79" t="str">
        <v/>
      </c>
      <c r="B45" s="80" t="s">
        <v>492</v>
      </c>
      <c r="C45" s="81">
        <v>45348</v>
      </c>
      <c r="D45" s="82">
        <v>0.58333333333333337</v>
      </c>
      <c r="E45" s="79" t="s">
        <v>151</v>
      </c>
      <c r="F45" s="79" t="s">
        <v>152</v>
      </c>
      <c r="G45" s="79" t="s">
        <v>153</v>
      </c>
      <c r="H45" s="79" t="s">
        <v>152</v>
      </c>
      <c r="I45" s="79" t="s">
        <v>152</v>
      </c>
      <c r="J45" s="79" t="s">
        <v>251</v>
      </c>
      <c r="K45" s="79" t="s">
        <v>155</v>
      </c>
      <c r="L45" s="80" t="s">
        <v>493</v>
      </c>
      <c r="M45" s="80" t="s">
        <v>157</v>
      </c>
      <c r="N45" s="79" t="s">
        <v>494</v>
      </c>
      <c r="O45" s="80" t="str">
        <f t="shared" si="0"/>
        <v/>
      </c>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t="s">
        <v>169</v>
      </c>
      <c r="AP45" s="79" t="s">
        <v>170</v>
      </c>
      <c r="AQ45" s="80" t="s">
        <v>171</v>
      </c>
      <c r="AR45" s="80" t="s">
        <v>171</v>
      </c>
      <c r="AS45" s="80" t="s">
        <v>171</v>
      </c>
      <c r="AT45" s="80" t="str">
        <f t="shared" si="1"/>
        <v>Distrital</v>
      </c>
      <c r="AU45" s="79" t="s">
        <v>172</v>
      </c>
      <c r="AV45" s="79"/>
      <c r="AW45" s="79"/>
      <c r="AX45" s="79"/>
      <c r="AY45" s="79"/>
      <c r="AZ45" s="79"/>
      <c r="BA45" s="80" t="str">
        <f t="shared" si="2"/>
        <v>Distrital</v>
      </c>
      <c r="BB45" s="79" t="s">
        <v>172</v>
      </c>
      <c r="BC45" s="79"/>
      <c r="BD45" s="79"/>
      <c r="BE45" s="79"/>
      <c r="BF45" s="79"/>
      <c r="BG45" s="79"/>
      <c r="BH45" s="80" t="str">
        <f t="shared" si="3"/>
        <v>Distrital</v>
      </c>
      <c r="BI45" s="79" t="s">
        <v>172</v>
      </c>
      <c r="BJ45" s="79"/>
      <c r="BK45" s="79"/>
      <c r="BL45" s="79"/>
      <c r="BM45" s="79"/>
      <c r="BN45" s="79"/>
      <c r="BO45" s="79"/>
      <c r="BP45" s="79"/>
      <c r="BQ45" s="79"/>
      <c r="BR45" s="79"/>
      <c r="BS45" s="80" t="s">
        <v>288</v>
      </c>
      <c r="BT45" s="80" t="s">
        <v>174</v>
      </c>
      <c r="BU45" s="80" t="s">
        <v>197</v>
      </c>
      <c r="BV45" s="71"/>
      <c r="BW45" s="79" t="s">
        <v>152</v>
      </c>
      <c r="BX45" s="79" t="s">
        <v>179</v>
      </c>
      <c r="BY45" s="71"/>
      <c r="BZ45" s="79">
        <v>0</v>
      </c>
      <c r="CA45" s="79">
        <v>38</v>
      </c>
      <c r="CB45" s="79">
        <f t="shared" si="25"/>
        <v>38</v>
      </c>
      <c r="CC45" s="79" t="str">
        <f t="shared" si="31"/>
        <v>No Aplica</v>
      </c>
      <c r="CD45" s="79" t="s">
        <v>177</v>
      </c>
      <c r="CE45" s="79"/>
      <c r="CF45" s="79"/>
      <c r="CG45" s="83" t="s">
        <v>495</v>
      </c>
      <c r="CH45" s="41"/>
      <c r="CI45" s="79" t="s">
        <v>153</v>
      </c>
      <c r="CJ45" s="71"/>
      <c r="CK45" s="79">
        <f t="shared" si="6"/>
        <v>0</v>
      </c>
      <c r="CL45" s="79"/>
      <c r="CM45" s="79"/>
      <c r="CN45" s="79"/>
      <c r="CO45" s="79"/>
      <c r="CP45" s="79"/>
      <c r="CQ45" s="79"/>
      <c r="CR45" s="83" t="s">
        <v>179</v>
      </c>
      <c r="CS45" s="83" t="s">
        <v>179</v>
      </c>
      <c r="CT45" s="83" t="s">
        <v>179</v>
      </c>
      <c r="CU45" s="83" t="s">
        <v>179</v>
      </c>
      <c r="CV45" s="83" t="s">
        <v>179</v>
      </c>
      <c r="CW45" s="83" t="s">
        <v>179</v>
      </c>
      <c r="CX45" s="79" t="s">
        <v>153</v>
      </c>
      <c r="CY45" s="79">
        <f t="shared" si="26"/>
        <v>0</v>
      </c>
      <c r="CZ45" s="79">
        <v>0</v>
      </c>
      <c r="DA45" s="79">
        <f t="shared" si="27"/>
        <v>0</v>
      </c>
      <c r="DB45" s="84" t="str">
        <f t="shared" si="28"/>
        <v/>
      </c>
      <c r="DC45" s="41"/>
      <c r="DD45" s="79" t="s">
        <v>153</v>
      </c>
      <c r="DE45" s="71"/>
      <c r="DF45" s="85" t="s">
        <v>496</v>
      </c>
      <c r="DG45" s="79">
        <v>41</v>
      </c>
      <c r="DH45" s="86" t="str">
        <f t="shared" si="29"/>
        <v>Completo</v>
      </c>
      <c r="DI45" s="79" t="s">
        <v>181</v>
      </c>
      <c r="DJ45" s="79" t="s">
        <v>182</v>
      </c>
      <c r="DK45" s="79"/>
      <c r="DL45" s="79">
        <v>0</v>
      </c>
      <c r="DM45" s="79">
        <v>0</v>
      </c>
      <c r="DN45" s="79" t="s">
        <v>182</v>
      </c>
      <c r="DO45" s="79"/>
      <c r="DP45" s="79"/>
      <c r="DQ45" s="79"/>
      <c r="DR45" s="75" t="str">
        <f t="shared" si="11"/>
        <v>No aplica</v>
      </c>
      <c r="DS45" s="79"/>
      <c r="DT45" s="79"/>
      <c r="DU45" s="75" t="str">
        <f t="shared" si="12"/>
        <v>No aplica</v>
      </c>
      <c r="DV45" s="79"/>
      <c r="DW45" s="79"/>
      <c r="DX45" s="79"/>
      <c r="DY45" s="79"/>
      <c r="DZ45" s="79"/>
      <c r="EA45" s="79"/>
      <c r="EB45" s="79" t="s">
        <v>182</v>
      </c>
      <c r="EC45" s="79"/>
      <c r="ED45" s="79"/>
      <c r="EE45" s="79" t="str">
        <f t="shared" si="30"/>
        <v>Completo</v>
      </c>
      <c r="EF45" s="41"/>
      <c r="EG45" s="79" t="s">
        <v>153</v>
      </c>
      <c r="EH45" s="71"/>
      <c r="EI45" s="80"/>
      <c r="EJ45" s="71"/>
      <c r="EK45" s="79" t="s">
        <v>179</v>
      </c>
      <c r="EL45" s="76" t="str">
        <f t="shared" si="14"/>
        <v>No requiere</v>
      </c>
      <c r="EM45" s="76" t="str">
        <f t="shared" si="15"/>
        <v>No requiere</v>
      </c>
      <c r="EN45" s="76" t="str">
        <f t="shared" si="32"/>
        <v>No requiere</v>
      </c>
      <c r="EO45" s="71"/>
      <c r="EP45" s="73" t="str">
        <f t="shared" si="17"/>
        <v>No requiere</v>
      </c>
      <c r="EQ45" s="77" t="str">
        <f t="shared" si="18"/>
        <v>No requiere</v>
      </c>
      <c r="ER45" s="71"/>
      <c r="ES45" s="79" t="s">
        <v>179</v>
      </c>
      <c r="ET45" s="73" t="str">
        <f t="shared" si="19"/>
        <v>No requiere</v>
      </c>
      <c r="EU45" s="73" t="str">
        <f t="shared" si="33"/>
        <v>No requiere</v>
      </c>
      <c r="EV45" s="73" t="str">
        <f t="shared" si="21"/>
        <v>No requiere</v>
      </c>
      <c r="EW45" s="73" t="str">
        <f t="shared" si="22"/>
        <v>No requiere</v>
      </c>
      <c r="EX45" s="78"/>
      <c r="EY45" s="78"/>
    </row>
    <row r="46" spans="1:155" ht="46.5" customHeight="1">
      <c r="A46" s="79">
        <v>42</v>
      </c>
      <c r="B46" s="80" t="s">
        <v>497</v>
      </c>
      <c r="C46" s="81">
        <v>45348</v>
      </c>
      <c r="D46" s="82">
        <v>0.70833333333333337</v>
      </c>
      <c r="E46" s="79" t="s">
        <v>200</v>
      </c>
      <c r="F46" s="79" t="s">
        <v>153</v>
      </c>
      <c r="G46" s="79" t="s">
        <v>153</v>
      </c>
      <c r="H46" s="79" t="s">
        <v>152</v>
      </c>
      <c r="I46" s="79" t="s">
        <v>152</v>
      </c>
      <c r="J46" s="79" t="s">
        <v>211</v>
      </c>
      <c r="K46" s="79" t="s">
        <v>202</v>
      </c>
      <c r="L46" s="80" t="s">
        <v>498</v>
      </c>
      <c r="M46" s="80" t="s">
        <v>241</v>
      </c>
      <c r="N46" s="79" t="s">
        <v>499</v>
      </c>
      <c r="O46" s="80" t="str">
        <f t="shared" si="0"/>
        <v/>
      </c>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t="s">
        <v>169</v>
      </c>
      <c r="AP46" s="79" t="s">
        <v>170</v>
      </c>
      <c r="AQ46" s="80" t="s">
        <v>423</v>
      </c>
      <c r="AR46" s="83" t="s">
        <v>424</v>
      </c>
      <c r="AS46" s="80" t="s">
        <v>425</v>
      </c>
      <c r="AT46" s="80" t="str">
        <f t="shared" si="1"/>
        <v>Distrital</v>
      </c>
      <c r="AU46" s="79" t="s">
        <v>172</v>
      </c>
      <c r="AV46" s="79"/>
      <c r="AW46" s="79"/>
      <c r="AX46" s="79"/>
      <c r="AY46" s="79"/>
      <c r="AZ46" s="79"/>
      <c r="BA46" s="80" t="str">
        <f t="shared" si="2"/>
        <v>Distrital</v>
      </c>
      <c r="BB46" s="79" t="s">
        <v>172</v>
      </c>
      <c r="BC46" s="79"/>
      <c r="BD46" s="79"/>
      <c r="BE46" s="79"/>
      <c r="BF46" s="79"/>
      <c r="BG46" s="79"/>
      <c r="BH46" s="80" t="str">
        <f t="shared" si="3"/>
        <v>Distrital</v>
      </c>
      <c r="BI46" s="79" t="s">
        <v>172</v>
      </c>
      <c r="BJ46" s="79"/>
      <c r="BK46" s="79"/>
      <c r="BL46" s="79"/>
      <c r="BM46" s="79"/>
      <c r="BN46" s="79"/>
      <c r="BO46" s="79"/>
      <c r="BP46" s="79"/>
      <c r="BQ46" s="79"/>
      <c r="BR46" s="79"/>
      <c r="BS46" s="80" t="s">
        <v>288</v>
      </c>
      <c r="BT46" s="80" t="s">
        <v>174</v>
      </c>
      <c r="BU46" s="89" t="s">
        <v>500</v>
      </c>
      <c r="BV46" s="71"/>
      <c r="BW46" s="79" t="s">
        <v>152</v>
      </c>
      <c r="BX46" s="79" t="s">
        <v>179</v>
      </c>
      <c r="BY46" s="71"/>
      <c r="BZ46" s="79">
        <v>14</v>
      </c>
      <c r="CA46" s="79">
        <v>4</v>
      </c>
      <c r="CB46" s="79">
        <f t="shared" si="25"/>
        <v>18</v>
      </c>
      <c r="CC46" s="79" t="str">
        <f t="shared" si="31"/>
        <v>No Aplica</v>
      </c>
      <c r="CD46" s="79" t="s">
        <v>177</v>
      </c>
      <c r="CE46" s="79"/>
      <c r="CF46" s="79"/>
      <c r="CG46" s="83" t="s">
        <v>501</v>
      </c>
      <c r="CH46" s="41"/>
      <c r="CI46" s="79" t="s">
        <v>153</v>
      </c>
      <c r="CJ46" s="71"/>
      <c r="CK46" s="79">
        <f t="shared" si="6"/>
        <v>0</v>
      </c>
      <c r="CL46" s="79"/>
      <c r="CM46" s="79"/>
      <c r="CN46" s="79"/>
      <c r="CO46" s="79"/>
      <c r="CP46" s="79"/>
      <c r="CQ46" s="79"/>
      <c r="CR46" s="83" t="s">
        <v>179</v>
      </c>
      <c r="CS46" s="83" t="s">
        <v>179</v>
      </c>
      <c r="CT46" s="83" t="s">
        <v>179</v>
      </c>
      <c r="CU46" s="83" t="s">
        <v>179</v>
      </c>
      <c r="CV46" s="83" t="s">
        <v>179</v>
      </c>
      <c r="CW46" s="83" t="s">
        <v>179</v>
      </c>
      <c r="CX46" s="79" t="s">
        <v>153</v>
      </c>
      <c r="CY46" s="79">
        <f t="shared" si="26"/>
        <v>0</v>
      </c>
      <c r="CZ46" s="79">
        <v>0</v>
      </c>
      <c r="DA46" s="79">
        <f t="shared" si="27"/>
        <v>0</v>
      </c>
      <c r="DB46" s="84" t="str">
        <f t="shared" si="28"/>
        <v/>
      </c>
      <c r="DC46" s="41"/>
      <c r="DD46" s="79" t="s">
        <v>153</v>
      </c>
      <c r="DE46" s="71"/>
      <c r="DF46" s="85" t="s">
        <v>502</v>
      </c>
      <c r="DG46" s="79">
        <v>42</v>
      </c>
      <c r="DH46" s="86" t="str">
        <f t="shared" si="29"/>
        <v>Completo</v>
      </c>
      <c r="DI46" s="79" t="s">
        <v>181</v>
      </c>
      <c r="DJ46" s="79" t="s">
        <v>182</v>
      </c>
      <c r="DK46" s="79"/>
      <c r="DL46" s="79">
        <v>0</v>
      </c>
      <c r="DM46" s="79">
        <v>0</v>
      </c>
      <c r="DN46" s="79" t="s">
        <v>182</v>
      </c>
      <c r="DO46" s="79"/>
      <c r="DP46" s="79"/>
      <c r="DQ46" s="79"/>
      <c r="DR46" s="75" t="str">
        <f t="shared" si="11"/>
        <v>No aplica</v>
      </c>
      <c r="DS46" s="79"/>
      <c r="DT46" s="79"/>
      <c r="DU46" s="75" t="str">
        <f t="shared" si="12"/>
        <v>No aplica</v>
      </c>
      <c r="DV46" s="79" t="s">
        <v>182</v>
      </c>
      <c r="DW46" s="79" t="s">
        <v>182</v>
      </c>
      <c r="DX46" s="79"/>
      <c r="DY46" s="79"/>
      <c r="DZ46" s="79"/>
      <c r="EA46" s="79"/>
      <c r="EB46" s="79" t="s">
        <v>182</v>
      </c>
      <c r="EC46" s="79" t="s">
        <v>380</v>
      </c>
      <c r="ED46" s="79" t="s">
        <v>184</v>
      </c>
      <c r="EE46" s="79" t="str">
        <f t="shared" si="30"/>
        <v>Completo</v>
      </c>
      <c r="EF46" s="41"/>
      <c r="EG46" s="79" t="s">
        <v>153</v>
      </c>
      <c r="EH46" s="71"/>
      <c r="EI46" s="80"/>
      <c r="EJ46" s="71"/>
      <c r="EK46" s="79" t="s">
        <v>179</v>
      </c>
      <c r="EL46" s="76" t="str">
        <f t="shared" si="14"/>
        <v>No requiere</v>
      </c>
      <c r="EM46" s="76" t="str">
        <f t="shared" si="15"/>
        <v>No requiere</v>
      </c>
      <c r="EN46" s="76" t="str">
        <f t="shared" si="32"/>
        <v>No requiere</v>
      </c>
      <c r="EO46" s="71"/>
      <c r="EP46" s="73" t="str">
        <f t="shared" si="17"/>
        <v>No requiere</v>
      </c>
      <c r="EQ46" s="77" t="str">
        <f t="shared" si="18"/>
        <v>No requiere</v>
      </c>
      <c r="ER46" s="71"/>
      <c r="ES46" s="79" t="s">
        <v>179</v>
      </c>
      <c r="ET46" s="73" t="str">
        <f t="shared" si="19"/>
        <v>No requiere</v>
      </c>
      <c r="EU46" s="73" t="str">
        <f t="shared" si="33"/>
        <v>No requiere</v>
      </c>
      <c r="EV46" s="73" t="str">
        <f t="shared" si="21"/>
        <v>No requiere</v>
      </c>
      <c r="EW46" s="73" t="str">
        <f t="shared" si="22"/>
        <v>No requiere</v>
      </c>
      <c r="EX46" s="78"/>
      <c r="EY46" s="78"/>
    </row>
    <row r="47" spans="1:155" ht="46.5" customHeight="1">
      <c r="A47" s="79">
        <v>43</v>
      </c>
      <c r="B47" s="80" t="s">
        <v>503</v>
      </c>
      <c r="C47" s="81">
        <v>45349</v>
      </c>
      <c r="D47" s="82">
        <v>0.375</v>
      </c>
      <c r="E47" s="79" t="s">
        <v>200</v>
      </c>
      <c r="F47" s="79" t="s">
        <v>153</v>
      </c>
      <c r="G47" s="79" t="s">
        <v>152</v>
      </c>
      <c r="H47" s="79" t="s">
        <v>152</v>
      </c>
      <c r="I47" s="79" t="s">
        <v>152</v>
      </c>
      <c r="J47" s="79" t="s">
        <v>504</v>
      </c>
      <c r="K47" s="79" t="s">
        <v>202</v>
      </c>
      <c r="L47" s="80" t="s">
        <v>505</v>
      </c>
      <c r="M47" s="80" t="s">
        <v>157</v>
      </c>
      <c r="N47" s="79" t="s">
        <v>506</v>
      </c>
      <c r="O47" s="80" t="str">
        <f t="shared" si="0"/>
        <v/>
      </c>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t="s">
        <v>169</v>
      </c>
      <c r="AP47" s="79" t="s">
        <v>507</v>
      </c>
      <c r="AQ47" s="80" t="s">
        <v>508</v>
      </c>
      <c r="AR47" s="83" t="s">
        <v>509</v>
      </c>
      <c r="AS47" s="80" t="s">
        <v>171</v>
      </c>
      <c r="AT47" s="80" t="str">
        <f t="shared" si="1"/>
        <v>Sumapaz</v>
      </c>
      <c r="AU47" s="79" t="s">
        <v>510</v>
      </c>
      <c r="AV47" s="79"/>
      <c r="AW47" s="79"/>
      <c r="AX47" s="79"/>
      <c r="AY47" s="79"/>
      <c r="AZ47" s="79"/>
      <c r="BA47" s="80" t="str">
        <f t="shared" si="2"/>
        <v>Ruralidad</v>
      </c>
      <c r="BB47" s="79" t="s">
        <v>219</v>
      </c>
      <c r="BC47" s="79"/>
      <c r="BD47" s="79"/>
      <c r="BE47" s="79"/>
      <c r="BF47" s="79"/>
      <c r="BG47" s="79"/>
      <c r="BH47" s="80" t="str">
        <f t="shared" si="3"/>
        <v>Sumapaz</v>
      </c>
      <c r="BI47" s="79" t="s">
        <v>510</v>
      </c>
      <c r="BJ47" s="79"/>
      <c r="BK47" s="79"/>
      <c r="BL47" s="79"/>
      <c r="BM47" s="79"/>
      <c r="BN47" s="79"/>
      <c r="BO47" s="79"/>
      <c r="BP47" s="79"/>
      <c r="BQ47" s="79"/>
      <c r="BR47" s="79"/>
      <c r="BS47" s="80" t="s">
        <v>288</v>
      </c>
      <c r="BT47" s="80" t="s">
        <v>174</v>
      </c>
      <c r="BU47" s="89" t="s">
        <v>511</v>
      </c>
      <c r="BV47" s="71"/>
      <c r="BW47" s="79" t="s">
        <v>152</v>
      </c>
      <c r="BX47" s="79" t="s">
        <v>179</v>
      </c>
      <c r="BY47" s="71"/>
      <c r="BZ47" s="79">
        <v>21</v>
      </c>
      <c r="CA47" s="79">
        <v>1</v>
      </c>
      <c r="CB47" s="79">
        <f t="shared" si="25"/>
        <v>22</v>
      </c>
      <c r="CC47" s="79" t="str">
        <f t="shared" si="31"/>
        <v>No Aplica</v>
      </c>
      <c r="CD47" s="79" t="s">
        <v>177</v>
      </c>
      <c r="CE47" s="79"/>
      <c r="CF47" s="79"/>
      <c r="CG47" s="83" t="s">
        <v>512</v>
      </c>
      <c r="CH47" s="41"/>
      <c r="CI47" s="79" t="s">
        <v>153</v>
      </c>
      <c r="CJ47" s="71"/>
      <c r="CK47" s="79">
        <f t="shared" si="6"/>
        <v>0</v>
      </c>
      <c r="CL47" s="79"/>
      <c r="CM47" s="79"/>
      <c r="CN47" s="79"/>
      <c r="CO47" s="79"/>
      <c r="CP47" s="79"/>
      <c r="CQ47" s="79"/>
      <c r="CR47" s="83" t="s">
        <v>179</v>
      </c>
      <c r="CS47" s="83" t="s">
        <v>179</v>
      </c>
      <c r="CT47" s="83" t="s">
        <v>179</v>
      </c>
      <c r="CU47" s="83" t="s">
        <v>179</v>
      </c>
      <c r="CV47" s="83" t="s">
        <v>179</v>
      </c>
      <c r="CW47" s="83" t="s">
        <v>179</v>
      </c>
      <c r="CX47" s="79" t="s">
        <v>153</v>
      </c>
      <c r="CY47" s="79">
        <f t="shared" si="26"/>
        <v>0</v>
      </c>
      <c r="CZ47" s="79">
        <v>0</v>
      </c>
      <c r="DA47" s="79">
        <f t="shared" si="27"/>
        <v>0</v>
      </c>
      <c r="DB47" s="84" t="str">
        <f t="shared" si="28"/>
        <v/>
      </c>
      <c r="DC47" s="41"/>
      <c r="DD47" s="79" t="s">
        <v>153</v>
      </c>
      <c r="DE47" s="71"/>
      <c r="DF47" s="85" t="s">
        <v>513</v>
      </c>
      <c r="DG47" s="79">
        <v>43</v>
      </c>
      <c r="DH47" s="86" t="str">
        <f t="shared" si="29"/>
        <v>Completo</v>
      </c>
      <c r="DI47" s="79" t="s">
        <v>181</v>
      </c>
      <c r="DJ47" s="79" t="s">
        <v>182</v>
      </c>
      <c r="DK47" s="79"/>
      <c r="DL47" s="79">
        <v>0</v>
      </c>
      <c r="DM47" s="79">
        <v>0</v>
      </c>
      <c r="DN47" s="79" t="s">
        <v>182</v>
      </c>
      <c r="DO47" s="79"/>
      <c r="DP47" s="79"/>
      <c r="DQ47" s="79"/>
      <c r="DR47" s="75" t="str">
        <f t="shared" si="11"/>
        <v>No aplica</v>
      </c>
      <c r="DS47" s="79"/>
      <c r="DT47" s="79"/>
      <c r="DU47" s="75" t="str">
        <f t="shared" si="12"/>
        <v>No aplica</v>
      </c>
      <c r="DV47" s="79" t="s">
        <v>182</v>
      </c>
      <c r="DW47" s="79" t="s">
        <v>182</v>
      </c>
      <c r="DX47" s="79"/>
      <c r="DY47" s="79"/>
      <c r="DZ47" s="79"/>
      <c r="EA47" s="79"/>
      <c r="EB47" s="79" t="s">
        <v>191</v>
      </c>
      <c r="EC47" s="79"/>
      <c r="ED47" s="79" t="s">
        <v>249</v>
      </c>
      <c r="EE47" s="79" t="str">
        <f t="shared" si="30"/>
        <v>Completo</v>
      </c>
      <c r="EF47" s="41"/>
      <c r="EG47" s="79" t="s">
        <v>153</v>
      </c>
      <c r="EH47" s="71"/>
      <c r="EI47" s="80"/>
      <c r="EJ47" s="71"/>
      <c r="EK47" s="79" t="s">
        <v>179</v>
      </c>
      <c r="EL47" s="76" t="str">
        <f t="shared" si="14"/>
        <v>No requiere</v>
      </c>
      <c r="EM47" s="76" t="str">
        <f t="shared" si="15"/>
        <v>No requiere</v>
      </c>
      <c r="EN47" s="76" t="str">
        <f t="shared" si="32"/>
        <v>No requiere</v>
      </c>
      <c r="EO47" s="71"/>
      <c r="EP47" s="73" t="str">
        <f t="shared" si="17"/>
        <v>No requiere</v>
      </c>
      <c r="EQ47" s="77" t="str">
        <f t="shared" si="18"/>
        <v>No requiere</v>
      </c>
      <c r="ER47" s="71"/>
      <c r="ES47" s="79" t="s">
        <v>179</v>
      </c>
      <c r="ET47" s="73" t="str">
        <f t="shared" si="19"/>
        <v>No requiere</v>
      </c>
      <c r="EU47" s="73" t="str">
        <f t="shared" si="33"/>
        <v>No requiere</v>
      </c>
      <c r="EV47" s="73" t="str">
        <f t="shared" si="21"/>
        <v>No requiere</v>
      </c>
      <c r="EW47" s="73" t="str">
        <f t="shared" si="22"/>
        <v>No requiere</v>
      </c>
      <c r="EX47" s="78"/>
      <c r="EY47" s="78"/>
    </row>
    <row r="48" spans="1:155" ht="46.5" customHeight="1">
      <c r="A48" s="79">
        <v>44</v>
      </c>
      <c r="B48" s="80" t="s">
        <v>514</v>
      </c>
      <c r="C48" s="81">
        <v>45349</v>
      </c>
      <c r="D48" s="82">
        <v>0.58333333333333337</v>
      </c>
      <c r="E48" s="79" t="s">
        <v>200</v>
      </c>
      <c r="F48" s="79" t="s">
        <v>153</v>
      </c>
      <c r="G48" s="79" t="s">
        <v>152</v>
      </c>
      <c r="H48" s="79" t="s">
        <v>152</v>
      </c>
      <c r="I48" s="79" t="s">
        <v>152</v>
      </c>
      <c r="J48" s="79" t="s">
        <v>504</v>
      </c>
      <c r="K48" s="79" t="s">
        <v>202</v>
      </c>
      <c r="L48" s="80" t="s">
        <v>515</v>
      </c>
      <c r="M48" s="80" t="s">
        <v>157</v>
      </c>
      <c r="N48" s="79" t="s">
        <v>328</v>
      </c>
      <c r="O48" s="80" t="str">
        <f t="shared" si="0"/>
        <v/>
      </c>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t="s">
        <v>169</v>
      </c>
      <c r="AP48" s="79" t="s">
        <v>507</v>
      </c>
      <c r="AQ48" s="80" t="s">
        <v>516</v>
      </c>
      <c r="AR48" s="83">
        <v>3160503967</v>
      </c>
      <c r="AS48" s="80" t="s">
        <v>517</v>
      </c>
      <c r="AT48" s="80" t="str">
        <f t="shared" si="1"/>
        <v>Ciudad Bolívar</v>
      </c>
      <c r="AU48" s="79" t="s">
        <v>217</v>
      </c>
      <c r="AV48" s="79"/>
      <c r="AW48" s="79"/>
      <c r="AX48" s="79"/>
      <c r="AY48" s="79"/>
      <c r="AZ48" s="79"/>
      <c r="BA48" s="80" t="str">
        <f t="shared" si="2"/>
        <v>Suroriente, Ruralidad</v>
      </c>
      <c r="BB48" s="79" t="s">
        <v>218</v>
      </c>
      <c r="BC48" s="79" t="s">
        <v>219</v>
      </c>
      <c r="BD48" s="79"/>
      <c r="BE48" s="79"/>
      <c r="BF48" s="79"/>
      <c r="BG48" s="79"/>
      <c r="BH48" s="80" t="str">
        <f t="shared" si="3"/>
        <v>Arborizadora, Lucero, Cuenca del Tunjuelo</v>
      </c>
      <c r="BI48" s="79" t="s">
        <v>220</v>
      </c>
      <c r="BJ48" s="79" t="s">
        <v>221</v>
      </c>
      <c r="BK48" s="79" t="s">
        <v>222</v>
      </c>
      <c r="BL48" s="79"/>
      <c r="BM48" s="79"/>
      <c r="BN48" s="79"/>
      <c r="BO48" s="79"/>
      <c r="BP48" s="79"/>
      <c r="BQ48" s="79"/>
      <c r="BR48" s="79"/>
      <c r="BS48" s="80" t="s">
        <v>288</v>
      </c>
      <c r="BT48" s="80" t="s">
        <v>174</v>
      </c>
      <c r="BU48" s="89" t="s">
        <v>518</v>
      </c>
      <c r="BV48" s="71"/>
      <c r="BW48" s="79" t="s">
        <v>152</v>
      </c>
      <c r="BX48" s="79" t="s">
        <v>179</v>
      </c>
      <c r="BY48" s="71"/>
      <c r="BZ48" s="79">
        <v>13</v>
      </c>
      <c r="CA48" s="79">
        <v>1</v>
      </c>
      <c r="CB48" s="79">
        <f t="shared" si="25"/>
        <v>14</v>
      </c>
      <c r="CC48" s="79" t="str">
        <f t="shared" si="31"/>
        <v>No Aplica</v>
      </c>
      <c r="CD48" s="79" t="s">
        <v>177</v>
      </c>
      <c r="CE48" s="79"/>
      <c r="CF48" s="79"/>
      <c r="CG48" s="83" t="s">
        <v>519</v>
      </c>
      <c r="CH48" s="41"/>
      <c r="CI48" s="79" t="s">
        <v>153</v>
      </c>
      <c r="CJ48" s="71"/>
      <c r="CK48" s="79">
        <f t="shared" si="6"/>
        <v>0</v>
      </c>
      <c r="CL48" s="79"/>
      <c r="CM48" s="79"/>
      <c r="CN48" s="79"/>
      <c r="CO48" s="79"/>
      <c r="CP48" s="79"/>
      <c r="CQ48" s="79"/>
      <c r="CR48" s="83" t="s">
        <v>179</v>
      </c>
      <c r="CS48" s="83" t="s">
        <v>179</v>
      </c>
      <c r="CT48" s="83" t="s">
        <v>179</v>
      </c>
      <c r="CU48" s="83" t="s">
        <v>179</v>
      </c>
      <c r="CV48" s="83" t="s">
        <v>179</v>
      </c>
      <c r="CW48" s="83" t="s">
        <v>179</v>
      </c>
      <c r="CX48" s="79" t="s">
        <v>153</v>
      </c>
      <c r="CY48" s="79">
        <f t="shared" si="26"/>
        <v>0</v>
      </c>
      <c r="CZ48" s="79">
        <v>0</v>
      </c>
      <c r="DA48" s="79">
        <f t="shared" si="27"/>
        <v>0</v>
      </c>
      <c r="DB48" s="84" t="str">
        <f t="shared" si="28"/>
        <v/>
      </c>
      <c r="DC48" s="41"/>
      <c r="DD48" s="79" t="s">
        <v>153</v>
      </c>
      <c r="DE48" s="71"/>
      <c r="DF48" s="85" t="s">
        <v>513</v>
      </c>
      <c r="DG48" s="79">
        <v>44</v>
      </c>
      <c r="DH48" s="86" t="str">
        <f t="shared" si="29"/>
        <v>Completo</v>
      </c>
      <c r="DI48" s="79" t="s">
        <v>181</v>
      </c>
      <c r="DJ48" s="79" t="s">
        <v>182</v>
      </c>
      <c r="DK48" s="79"/>
      <c r="DL48" s="79">
        <v>0</v>
      </c>
      <c r="DM48" s="79">
        <v>0</v>
      </c>
      <c r="DN48" s="79" t="s">
        <v>182</v>
      </c>
      <c r="DO48" s="79"/>
      <c r="DP48" s="79"/>
      <c r="DQ48" s="79"/>
      <c r="DR48" s="75" t="str">
        <f t="shared" si="11"/>
        <v>No aplica</v>
      </c>
      <c r="DS48" s="79"/>
      <c r="DT48" s="79"/>
      <c r="DU48" s="75" t="str">
        <f t="shared" si="12"/>
        <v>No aplica</v>
      </c>
      <c r="DV48" s="79" t="s">
        <v>182</v>
      </c>
      <c r="DW48" s="79" t="s">
        <v>182</v>
      </c>
      <c r="DX48" s="79"/>
      <c r="DY48" s="79"/>
      <c r="DZ48" s="79"/>
      <c r="EA48" s="79"/>
      <c r="EB48" s="79" t="s">
        <v>191</v>
      </c>
      <c r="EC48" s="79"/>
      <c r="ED48" s="79"/>
      <c r="EE48" s="79" t="str">
        <f t="shared" si="30"/>
        <v>Completo</v>
      </c>
      <c r="EF48" s="41"/>
      <c r="EG48" s="79" t="s">
        <v>153</v>
      </c>
      <c r="EH48" s="71"/>
      <c r="EI48" s="80"/>
      <c r="EJ48" s="71"/>
      <c r="EK48" s="79" t="s">
        <v>179</v>
      </c>
      <c r="EL48" s="76" t="str">
        <f t="shared" si="14"/>
        <v>No requiere</v>
      </c>
      <c r="EM48" s="76" t="str">
        <f t="shared" si="15"/>
        <v>No requiere</v>
      </c>
      <c r="EN48" s="76" t="str">
        <f t="shared" si="32"/>
        <v>No requiere</v>
      </c>
      <c r="EO48" s="71"/>
      <c r="EP48" s="73" t="str">
        <f t="shared" si="17"/>
        <v>No requiere</v>
      </c>
      <c r="EQ48" s="77" t="str">
        <f t="shared" si="18"/>
        <v>No requiere</v>
      </c>
      <c r="ER48" s="71"/>
      <c r="ES48" s="79" t="s">
        <v>179</v>
      </c>
      <c r="ET48" s="73" t="str">
        <f t="shared" si="19"/>
        <v>No requiere</v>
      </c>
      <c r="EU48" s="73" t="str">
        <f t="shared" si="33"/>
        <v>No requiere</v>
      </c>
      <c r="EV48" s="73" t="str">
        <f t="shared" si="21"/>
        <v>No requiere</v>
      </c>
      <c r="EW48" s="73" t="str">
        <f t="shared" si="22"/>
        <v>No requiere</v>
      </c>
      <c r="EX48" s="78"/>
      <c r="EY48" s="78"/>
    </row>
    <row r="49" spans="1:155" ht="46.5" customHeight="1">
      <c r="A49" s="79">
        <v>45</v>
      </c>
      <c r="B49" s="80" t="s">
        <v>520</v>
      </c>
      <c r="C49" s="81">
        <v>45349</v>
      </c>
      <c r="D49" s="82">
        <v>0.64583333333333337</v>
      </c>
      <c r="E49" s="79" t="s">
        <v>200</v>
      </c>
      <c r="F49" s="79" t="s">
        <v>153</v>
      </c>
      <c r="G49" s="79" t="s">
        <v>153</v>
      </c>
      <c r="H49" s="79" t="s">
        <v>152</v>
      </c>
      <c r="I49" s="79" t="s">
        <v>152</v>
      </c>
      <c r="J49" s="79" t="s">
        <v>211</v>
      </c>
      <c r="K49" s="79" t="s">
        <v>155</v>
      </c>
      <c r="L49" s="80" t="s">
        <v>521</v>
      </c>
      <c r="M49" s="80" t="s">
        <v>229</v>
      </c>
      <c r="N49" s="79" t="s">
        <v>522</v>
      </c>
      <c r="O49" s="80" t="str">
        <f t="shared" si="0"/>
        <v>Johanna Catherine Gamez, Diana Carolina Aristizábal, Mateo López Narváez, Ana María Ulloa, José Ignacio Albarracín, Yohan David Díaz, Valentina González Pontón, Rosemberg Prisco Vasquez, Germán Ramón Jacome, Maria Alejandra Castañeda, Derly Adriana Castillo, Paula Andrea González</v>
      </c>
      <c r="P49" s="79" t="s">
        <v>213</v>
      </c>
      <c r="Q49" s="79" t="s">
        <v>165</v>
      </c>
      <c r="R49" s="79" t="s">
        <v>523</v>
      </c>
      <c r="S49" s="79" t="s">
        <v>522</v>
      </c>
      <c r="T49" s="79" t="s">
        <v>524</v>
      </c>
      <c r="U49" s="79" t="s">
        <v>164</v>
      </c>
      <c r="V49" s="79" t="s">
        <v>329</v>
      </c>
      <c r="W49" s="79" t="s">
        <v>162</v>
      </c>
      <c r="X49" s="79" t="s">
        <v>525</v>
      </c>
      <c r="Y49" s="79" t="s">
        <v>494</v>
      </c>
      <c r="Z49" s="79" t="s">
        <v>526</v>
      </c>
      <c r="AA49" s="79" t="s">
        <v>158</v>
      </c>
      <c r="AB49" s="79"/>
      <c r="AC49" s="79"/>
      <c r="AD49" s="79"/>
      <c r="AE49" s="79"/>
      <c r="AF49" s="79"/>
      <c r="AG49" s="79"/>
      <c r="AH49" s="79"/>
      <c r="AI49" s="79"/>
      <c r="AJ49" s="79"/>
      <c r="AK49" s="79"/>
      <c r="AL49" s="79"/>
      <c r="AM49" s="79"/>
      <c r="AN49" s="79"/>
      <c r="AO49" s="79" t="s">
        <v>230</v>
      </c>
      <c r="AP49" s="79" t="s">
        <v>242</v>
      </c>
      <c r="AQ49" s="80" t="s">
        <v>527</v>
      </c>
      <c r="AR49" s="83" t="s">
        <v>528</v>
      </c>
      <c r="AS49" s="80" t="s">
        <v>529</v>
      </c>
      <c r="AT49" s="80" t="str">
        <f t="shared" si="1"/>
        <v>Distrital</v>
      </c>
      <c r="AU49" s="79" t="s">
        <v>172</v>
      </c>
      <c r="AV49" s="79"/>
      <c r="AW49" s="79"/>
      <c r="AX49" s="79"/>
      <c r="AY49" s="79"/>
      <c r="AZ49" s="79"/>
      <c r="BA49" s="80" t="str">
        <f t="shared" si="2"/>
        <v>Distrital</v>
      </c>
      <c r="BB49" s="79" t="s">
        <v>172</v>
      </c>
      <c r="BC49" s="79"/>
      <c r="BD49" s="79"/>
      <c r="BE49" s="79"/>
      <c r="BF49" s="79"/>
      <c r="BG49" s="79"/>
      <c r="BH49" s="80" t="str">
        <f t="shared" si="3"/>
        <v>Distrital</v>
      </c>
      <c r="BI49" s="79" t="s">
        <v>172</v>
      </c>
      <c r="BJ49" s="79"/>
      <c r="BK49" s="79"/>
      <c r="BL49" s="79"/>
      <c r="BM49" s="79"/>
      <c r="BN49" s="79"/>
      <c r="BO49" s="79"/>
      <c r="BP49" s="79"/>
      <c r="BQ49" s="79"/>
      <c r="BR49" s="79"/>
      <c r="BS49" s="80" t="s">
        <v>288</v>
      </c>
      <c r="BT49" s="80" t="s">
        <v>174</v>
      </c>
      <c r="BU49" s="80" t="s">
        <v>530</v>
      </c>
      <c r="BV49" s="71"/>
      <c r="BW49" s="79" t="s">
        <v>152</v>
      </c>
      <c r="BX49" s="79" t="s">
        <v>179</v>
      </c>
      <c r="BY49" s="71"/>
      <c r="BZ49" s="79">
        <v>97</v>
      </c>
      <c r="CA49" s="79">
        <v>13</v>
      </c>
      <c r="CB49" s="79">
        <f t="shared" si="25"/>
        <v>110</v>
      </c>
      <c r="CC49" s="79" t="str">
        <f t="shared" si="31"/>
        <v>Lenguaje de señas</v>
      </c>
      <c r="CD49" s="79" t="s">
        <v>349</v>
      </c>
      <c r="CE49" s="79"/>
      <c r="CF49" s="79"/>
      <c r="CG49" s="83" t="s">
        <v>531</v>
      </c>
      <c r="CH49" s="41"/>
      <c r="CI49" s="79" t="s">
        <v>153</v>
      </c>
      <c r="CJ49" s="71"/>
      <c r="CK49" s="79">
        <f t="shared" si="6"/>
        <v>0</v>
      </c>
      <c r="CL49" s="79"/>
      <c r="CM49" s="79"/>
      <c r="CN49" s="79"/>
      <c r="CO49" s="79"/>
      <c r="CP49" s="79"/>
      <c r="CQ49" s="79"/>
      <c r="CR49" s="83" t="s">
        <v>179</v>
      </c>
      <c r="CS49" s="83" t="s">
        <v>179</v>
      </c>
      <c r="CT49" s="83" t="s">
        <v>179</v>
      </c>
      <c r="CU49" s="83" t="s">
        <v>179</v>
      </c>
      <c r="CV49" s="83" t="s">
        <v>179</v>
      </c>
      <c r="CW49" s="83" t="s">
        <v>179</v>
      </c>
      <c r="CX49" s="79" t="s">
        <v>153</v>
      </c>
      <c r="CY49" s="79">
        <f t="shared" si="26"/>
        <v>0</v>
      </c>
      <c r="CZ49" s="79">
        <v>0</v>
      </c>
      <c r="DA49" s="79">
        <f t="shared" si="27"/>
        <v>0</v>
      </c>
      <c r="DB49" s="84" t="str">
        <f t="shared" si="28"/>
        <v/>
      </c>
      <c r="DC49" s="41"/>
      <c r="DD49" s="79" t="s">
        <v>153</v>
      </c>
      <c r="DE49" s="71"/>
      <c r="DF49" s="85" t="s">
        <v>532</v>
      </c>
      <c r="DG49" s="79">
        <v>45</v>
      </c>
      <c r="DH49" s="86" t="str">
        <f t="shared" si="29"/>
        <v>Completo</v>
      </c>
      <c r="DI49" s="79" t="s">
        <v>181</v>
      </c>
      <c r="DJ49" s="79" t="s">
        <v>182</v>
      </c>
      <c r="DK49" s="79"/>
      <c r="DL49" s="79">
        <v>0</v>
      </c>
      <c r="DM49" s="79">
        <v>0</v>
      </c>
      <c r="DN49" s="79" t="s">
        <v>182</v>
      </c>
      <c r="DO49" s="79"/>
      <c r="DP49" s="79"/>
      <c r="DQ49" s="79"/>
      <c r="DR49" s="75" t="str">
        <f t="shared" si="11"/>
        <v>No aplica</v>
      </c>
      <c r="DS49" s="79"/>
      <c r="DT49" s="79"/>
      <c r="DU49" s="75" t="str">
        <f t="shared" si="12"/>
        <v>No aplica</v>
      </c>
      <c r="DV49" s="79" t="s">
        <v>182</v>
      </c>
      <c r="DW49" s="79" t="s">
        <v>182</v>
      </c>
      <c r="DX49" s="79"/>
      <c r="DY49" s="79"/>
      <c r="DZ49" s="79"/>
      <c r="EA49" s="79"/>
      <c r="EB49" s="79" t="s">
        <v>182</v>
      </c>
      <c r="EC49" s="79" t="s">
        <v>533</v>
      </c>
      <c r="ED49" s="79" t="s">
        <v>249</v>
      </c>
      <c r="EE49" s="79" t="str">
        <f t="shared" si="30"/>
        <v>Completo</v>
      </c>
      <c r="EF49" s="41"/>
      <c r="EG49" s="79" t="s">
        <v>153</v>
      </c>
      <c r="EH49" s="71"/>
      <c r="EI49" s="80"/>
      <c r="EJ49" s="71"/>
      <c r="EK49" s="79" t="s">
        <v>179</v>
      </c>
      <c r="EL49" s="76" t="str">
        <f t="shared" si="14"/>
        <v>No requiere</v>
      </c>
      <c r="EM49" s="76" t="str">
        <f t="shared" si="15"/>
        <v>No requiere</v>
      </c>
      <c r="EN49" s="76" t="str">
        <f t="shared" si="32"/>
        <v>No requiere</v>
      </c>
      <c r="EO49" s="71"/>
      <c r="EP49" s="73" t="str">
        <f t="shared" si="17"/>
        <v>No requiere</v>
      </c>
      <c r="EQ49" s="77" t="str">
        <f t="shared" si="18"/>
        <v>No requiere</v>
      </c>
      <c r="ER49" s="71"/>
      <c r="ES49" s="79" t="s">
        <v>179</v>
      </c>
      <c r="ET49" s="73" t="str">
        <f t="shared" si="19"/>
        <v>No requiere</v>
      </c>
      <c r="EU49" s="73" t="str">
        <f t="shared" si="33"/>
        <v>No requiere</v>
      </c>
      <c r="EV49" s="73" t="str">
        <f t="shared" si="21"/>
        <v>No requiere</v>
      </c>
      <c r="EW49" s="73" t="str">
        <f t="shared" si="22"/>
        <v>No requiere</v>
      </c>
      <c r="EX49" s="78"/>
      <c r="EY49" s="78"/>
    </row>
    <row r="50" spans="1:155" ht="46.5" customHeight="1">
      <c r="A50" s="79" t="str">
        <v/>
      </c>
      <c r="B50" s="80" t="s">
        <v>534</v>
      </c>
      <c r="C50" s="81">
        <v>45350</v>
      </c>
      <c r="D50" s="82">
        <v>0.375</v>
      </c>
      <c r="E50" s="79" t="s">
        <v>151</v>
      </c>
      <c r="F50" s="79" t="s">
        <v>152</v>
      </c>
      <c r="G50" s="79" t="s">
        <v>153</v>
      </c>
      <c r="H50" s="79" t="s">
        <v>152</v>
      </c>
      <c r="I50" s="79" t="s">
        <v>152</v>
      </c>
      <c r="J50" s="79" t="s">
        <v>154</v>
      </c>
      <c r="K50" s="79" t="s">
        <v>155</v>
      </c>
      <c r="L50" s="80" t="s">
        <v>535</v>
      </c>
      <c r="M50" s="80" t="s">
        <v>229</v>
      </c>
      <c r="N50" s="79" t="s">
        <v>166</v>
      </c>
      <c r="O50" s="80" t="str">
        <f t="shared" si="0"/>
        <v/>
      </c>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t="s">
        <v>230</v>
      </c>
      <c r="AP50" s="79" t="s">
        <v>347</v>
      </c>
      <c r="AQ50" s="80" t="s">
        <v>536</v>
      </c>
      <c r="AR50" s="83">
        <v>3114546690</v>
      </c>
      <c r="AS50" s="80" t="s">
        <v>537</v>
      </c>
      <c r="AT50" s="80" t="str">
        <f t="shared" si="1"/>
        <v>Distrital</v>
      </c>
      <c r="AU50" s="79" t="s">
        <v>172</v>
      </c>
      <c r="AV50" s="79"/>
      <c r="AW50" s="79"/>
      <c r="AX50" s="79"/>
      <c r="AY50" s="79"/>
      <c r="AZ50" s="79"/>
      <c r="BA50" s="80" t="str">
        <f t="shared" si="2"/>
        <v>Distrital</v>
      </c>
      <c r="BB50" s="79" t="s">
        <v>172</v>
      </c>
      <c r="BC50" s="79"/>
      <c r="BD50" s="79"/>
      <c r="BE50" s="79"/>
      <c r="BF50" s="79"/>
      <c r="BG50" s="79"/>
      <c r="BH50" s="80" t="str">
        <f t="shared" si="3"/>
        <v>Distrital</v>
      </c>
      <c r="BI50" s="79" t="s">
        <v>172</v>
      </c>
      <c r="BJ50" s="79"/>
      <c r="BK50" s="79"/>
      <c r="BL50" s="79"/>
      <c r="BM50" s="79"/>
      <c r="BN50" s="79"/>
      <c r="BO50" s="79"/>
      <c r="BP50" s="79"/>
      <c r="BQ50" s="79"/>
      <c r="BR50" s="79"/>
      <c r="BS50" s="80" t="s">
        <v>288</v>
      </c>
      <c r="BT50" s="80" t="s">
        <v>538</v>
      </c>
      <c r="BU50" s="80" t="s">
        <v>539</v>
      </c>
      <c r="BV50" s="71"/>
      <c r="BW50" s="79" t="s">
        <v>153</v>
      </c>
      <c r="BX50" s="79" t="s">
        <v>176</v>
      </c>
      <c r="BY50" s="71"/>
      <c r="BZ50" s="79">
        <v>26</v>
      </c>
      <c r="CA50" s="79">
        <v>2</v>
      </c>
      <c r="CB50" s="79">
        <f t="shared" si="25"/>
        <v>28</v>
      </c>
      <c r="CC50" s="79" t="str">
        <f t="shared" si="31"/>
        <v>No Aplica</v>
      </c>
      <c r="CD50" s="79" t="s">
        <v>177</v>
      </c>
      <c r="CE50" s="79"/>
      <c r="CF50" s="79"/>
      <c r="CG50" s="83" t="s">
        <v>540</v>
      </c>
      <c r="CH50" s="41"/>
      <c r="CI50" s="79" t="s">
        <v>153</v>
      </c>
      <c r="CJ50" s="71"/>
      <c r="CK50" s="79">
        <f t="shared" si="6"/>
        <v>0</v>
      </c>
      <c r="CL50" s="79"/>
      <c r="CM50" s="79"/>
      <c r="CN50" s="79"/>
      <c r="CO50" s="79"/>
      <c r="CP50" s="79"/>
      <c r="CQ50" s="79"/>
      <c r="CR50" s="83" t="s">
        <v>179</v>
      </c>
      <c r="CS50" s="83" t="s">
        <v>179</v>
      </c>
      <c r="CT50" s="83" t="s">
        <v>179</v>
      </c>
      <c r="CU50" s="83" t="s">
        <v>179</v>
      </c>
      <c r="CV50" s="83" t="s">
        <v>179</v>
      </c>
      <c r="CW50" s="83" t="s">
        <v>179</v>
      </c>
      <c r="CX50" s="79" t="s">
        <v>153</v>
      </c>
      <c r="CY50" s="79">
        <f t="shared" si="26"/>
        <v>0</v>
      </c>
      <c r="CZ50" s="79">
        <v>0</v>
      </c>
      <c r="DA50" s="79">
        <f t="shared" si="27"/>
        <v>0</v>
      </c>
      <c r="DB50" s="84" t="str">
        <f t="shared" si="28"/>
        <v/>
      </c>
      <c r="DC50" s="41"/>
      <c r="DD50" s="79" t="s">
        <v>153</v>
      </c>
      <c r="DE50" s="71"/>
      <c r="DF50" s="85" t="s">
        <v>541</v>
      </c>
      <c r="DG50" s="79">
        <v>46</v>
      </c>
      <c r="DH50" s="86" t="str">
        <f t="shared" si="29"/>
        <v>Completo</v>
      </c>
      <c r="DI50" s="79" t="s">
        <v>181</v>
      </c>
      <c r="DJ50" s="79" t="s">
        <v>182</v>
      </c>
      <c r="DK50" s="79"/>
      <c r="DL50" s="79">
        <v>0</v>
      </c>
      <c r="DM50" s="79">
        <v>0</v>
      </c>
      <c r="DN50" s="79" t="s">
        <v>182</v>
      </c>
      <c r="DO50" s="79"/>
      <c r="DP50" s="79"/>
      <c r="DQ50" s="79"/>
      <c r="DR50" s="75" t="str">
        <f t="shared" si="11"/>
        <v>No aplica</v>
      </c>
      <c r="DS50" s="79"/>
      <c r="DT50" s="79"/>
      <c r="DU50" s="75" t="str">
        <f t="shared" si="12"/>
        <v>No aplica</v>
      </c>
      <c r="DV50" s="79" t="s">
        <v>182</v>
      </c>
      <c r="DW50" s="79" t="s">
        <v>182</v>
      </c>
      <c r="DX50" s="79"/>
      <c r="DY50" s="79"/>
      <c r="DZ50" s="79"/>
      <c r="EA50" s="79"/>
      <c r="EB50" s="79" t="s">
        <v>182</v>
      </c>
      <c r="EC50" s="79" t="s">
        <v>380</v>
      </c>
      <c r="ED50" s="79"/>
      <c r="EE50" s="79" t="str">
        <f t="shared" si="30"/>
        <v>Completo</v>
      </c>
      <c r="EF50" s="41"/>
      <c r="EG50" s="79" t="s">
        <v>153</v>
      </c>
      <c r="EH50" s="71"/>
      <c r="EI50" s="80"/>
      <c r="EJ50" s="71"/>
      <c r="EK50" s="79" t="s">
        <v>179</v>
      </c>
      <c r="EL50" s="76" t="str">
        <f t="shared" si="14"/>
        <v>No requiere</v>
      </c>
      <c r="EM50" s="76" t="str">
        <f t="shared" si="15"/>
        <v>No requiere</v>
      </c>
      <c r="EN50" s="76" t="str">
        <f t="shared" si="32"/>
        <v>No requiere</v>
      </c>
      <c r="EO50" s="71"/>
      <c r="EP50" s="73" t="str">
        <f t="shared" si="17"/>
        <v>No requiere</v>
      </c>
      <c r="EQ50" s="77" t="str">
        <f t="shared" si="18"/>
        <v>No requiere</v>
      </c>
      <c r="ER50" s="71"/>
      <c r="ES50" s="79" t="s">
        <v>179</v>
      </c>
      <c r="ET50" s="73" t="str">
        <f t="shared" si="19"/>
        <v>No requiere</v>
      </c>
      <c r="EU50" s="73" t="str">
        <f t="shared" si="33"/>
        <v>No requiere</v>
      </c>
      <c r="EV50" s="73" t="str">
        <f t="shared" si="21"/>
        <v>No requiere</v>
      </c>
      <c r="EW50" s="73" t="str">
        <f t="shared" si="22"/>
        <v>No requiere</v>
      </c>
      <c r="EX50" s="78"/>
      <c r="EY50" s="78"/>
    </row>
    <row r="51" spans="1:155" ht="46.5" customHeight="1">
      <c r="A51" s="79">
        <v>47</v>
      </c>
      <c r="B51" s="80" t="s">
        <v>542</v>
      </c>
      <c r="C51" s="81">
        <v>45350</v>
      </c>
      <c r="D51" s="82">
        <v>0.54166666666666663</v>
      </c>
      <c r="E51" s="79" t="s">
        <v>543</v>
      </c>
      <c r="F51" s="79" t="s">
        <v>153</v>
      </c>
      <c r="G51" s="79" t="s">
        <v>153</v>
      </c>
      <c r="H51" s="79" t="s">
        <v>152</v>
      </c>
      <c r="I51" s="79" t="s">
        <v>152</v>
      </c>
      <c r="J51" s="79" t="s">
        <v>154</v>
      </c>
      <c r="K51" s="79" t="s">
        <v>155</v>
      </c>
      <c r="L51" s="80" t="s">
        <v>544</v>
      </c>
      <c r="M51" s="80" t="s">
        <v>303</v>
      </c>
      <c r="N51" s="79" t="s">
        <v>213</v>
      </c>
      <c r="O51" s="80" t="str">
        <f t="shared" si="0"/>
        <v>Humberto Díaz Acosta, Diana Carolina Aristizábal, Mateo López Narváez, Ana María Ulloa, Maria Angélica Higuera, Sebastian Potes Buitrago, Sarah Lucia Triviño, Claudia Fernanda Pineda, Zuly Marcela Mesa, David Reinaldo Jojoa, Laura Sofia Morales, Jimmy Alejandro Osorio</v>
      </c>
      <c r="P51" s="79" t="s">
        <v>253</v>
      </c>
      <c r="Q51" s="79" t="s">
        <v>165</v>
      </c>
      <c r="R51" s="79" t="s">
        <v>523</v>
      </c>
      <c r="S51" s="79" t="s">
        <v>522</v>
      </c>
      <c r="T51" s="79" t="s">
        <v>328</v>
      </c>
      <c r="U51" s="79" t="s">
        <v>545</v>
      </c>
      <c r="V51" s="79" t="s">
        <v>499</v>
      </c>
      <c r="W51" s="79" t="s">
        <v>546</v>
      </c>
      <c r="X51" s="79" t="s">
        <v>547</v>
      </c>
      <c r="Y51" s="79" t="s">
        <v>548</v>
      </c>
      <c r="Z51" s="79" t="s">
        <v>506</v>
      </c>
      <c r="AA51" s="79" t="s">
        <v>549</v>
      </c>
      <c r="AB51" s="79"/>
      <c r="AC51" s="79"/>
      <c r="AD51" s="79"/>
      <c r="AE51" s="79"/>
      <c r="AF51" s="79"/>
      <c r="AG51" s="79"/>
      <c r="AH51" s="79"/>
      <c r="AI51" s="79"/>
      <c r="AJ51" s="79"/>
      <c r="AK51" s="79"/>
      <c r="AL51" s="79"/>
      <c r="AM51" s="79"/>
      <c r="AN51" s="79"/>
      <c r="AO51" s="79" t="s">
        <v>304</v>
      </c>
      <c r="AP51" s="79"/>
      <c r="AQ51" s="83" t="s">
        <v>171</v>
      </c>
      <c r="AR51" s="83" t="s">
        <v>171</v>
      </c>
      <c r="AS51" s="83" t="s">
        <v>171</v>
      </c>
      <c r="AT51" s="80" t="str">
        <f t="shared" si="1"/>
        <v>Distrital</v>
      </c>
      <c r="AU51" s="79" t="s">
        <v>172</v>
      </c>
      <c r="AV51" s="79"/>
      <c r="AW51" s="79"/>
      <c r="AX51" s="79"/>
      <c r="AY51" s="79"/>
      <c r="AZ51" s="79"/>
      <c r="BA51" s="80" t="str">
        <f t="shared" si="2"/>
        <v>Distrital</v>
      </c>
      <c r="BB51" s="79" t="s">
        <v>172</v>
      </c>
      <c r="BC51" s="79"/>
      <c r="BD51" s="79"/>
      <c r="BE51" s="79"/>
      <c r="BF51" s="79"/>
      <c r="BG51" s="79"/>
      <c r="BH51" s="80" t="str">
        <f t="shared" si="3"/>
        <v>Distrital</v>
      </c>
      <c r="BI51" s="79" t="s">
        <v>172</v>
      </c>
      <c r="BJ51" s="79"/>
      <c r="BK51" s="79"/>
      <c r="BL51" s="79"/>
      <c r="BM51" s="79"/>
      <c r="BN51" s="79"/>
      <c r="BO51" s="79"/>
      <c r="BP51" s="79"/>
      <c r="BQ51" s="79"/>
      <c r="BR51" s="79"/>
      <c r="BS51" s="80" t="s">
        <v>288</v>
      </c>
      <c r="BT51" s="80" t="s">
        <v>174</v>
      </c>
      <c r="BU51" s="80" t="s">
        <v>550</v>
      </c>
      <c r="BV51" s="71"/>
      <c r="BW51" s="79" t="s">
        <v>153</v>
      </c>
      <c r="BX51" s="79" t="s">
        <v>334</v>
      </c>
      <c r="BY51" s="71"/>
      <c r="BZ51" s="79">
        <v>383</v>
      </c>
      <c r="CA51" s="79">
        <v>94</v>
      </c>
      <c r="CB51" s="79">
        <f t="shared" si="25"/>
        <v>477</v>
      </c>
      <c r="CC51" s="79" t="str">
        <f t="shared" si="31"/>
        <v>Lenguaje de señas</v>
      </c>
      <c r="CD51" s="79" t="s">
        <v>349</v>
      </c>
      <c r="CE51" s="79"/>
      <c r="CF51" s="79"/>
      <c r="CG51" s="83" t="s">
        <v>551</v>
      </c>
      <c r="CH51" s="41"/>
      <c r="CI51" s="79" t="s">
        <v>153</v>
      </c>
      <c r="CJ51" s="71"/>
      <c r="CK51" s="79">
        <f t="shared" si="6"/>
        <v>0</v>
      </c>
      <c r="CL51" s="79"/>
      <c r="CM51" s="79"/>
      <c r="CN51" s="79"/>
      <c r="CO51" s="79"/>
      <c r="CP51" s="79"/>
      <c r="CQ51" s="79"/>
      <c r="CR51" s="83" t="s">
        <v>179</v>
      </c>
      <c r="CS51" s="83" t="s">
        <v>179</v>
      </c>
      <c r="CT51" s="83" t="s">
        <v>179</v>
      </c>
      <c r="CU51" s="83" t="s">
        <v>179</v>
      </c>
      <c r="CV51" s="83" t="s">
        <v>179</v>
      </c>
      <c r="CW51" s="83" t="s">
        <v>179</v>
      </c>
      <c r="CX51" s="79" t="s">
        <v>153</v>
      </c>
      <c r="CY51" s="79">
        <f t="shared" si="26"/>
        <v>0</v>
      </c>
      <c r="CZ51" s="79">
        <v>0</v>
      </c>
      <c r="DA51" s="79">
        <f t="shared" si="27"/>
        <v>0</v>
      </c>
      <c r="DB51" s="84" t="str">
        <f t="shared" si="28"/>
        <v/>
      </c>
      <c r="DC51" s="41"/>
      <c r="DD51" s="79" t="s">
        <v>153</v>
      </c>
      <c r="DE51" s="71"/>
      <c r="DF51" s="85" t="s">
        <v>552</v>
      </c>
      <c r="DG51" s="79">
        <v>47</v>
      </c>
      <c r="DH51" s="86" t="str">
        <f t="shared" si="29"/>
        <v>Completo</v>
      </c>
      <c r="DI51" s="79" t="s">
        <v>181</v>
      </c>
      <c r="DJ51" s="79" t="s">
        <v>182</v>
      </c>
      <c r="DK51" s="79"/>
      <c r="DL51" s="79">
        <v>0</v>
      </c>
      <c r="DM51" s="79">
        <v>0</v>
      </c>
      <c r="DN51" s="79" t="s">
        <v>182</v>
      </c>
      <c r="DO51" s="79"/>
      <c r="DP51" s="79"/>
      <c r="DQ51" s="79"/>
      <c r="DR51" s="75" t="str">
        <f t="shared" si="11"/>
        <v>No aplica</v>
      </c>
      <c r="DS51" s="79"/>
      <c r="DT51" s="79"/>
      <c r="DU51" s="75" t="str">
        <f t="shared" si="12"/>
        <v>No aplica</v>
      </c>
      <c r="DV51" s="79" t="s">
        <v>182</v>
      </c>
      <c r="DW51" s="79" t="s">
        <v>182</v>
      </c>
      <c r="DX51" s="79"/>
      <c r="DY51" s="79"/>
      <c r="DZ51" s="79"/>
      <c r="EA51" s="79"/>
      <c r="EB51" s="79" t="s">
        <v>182</v>
      </c>
      <c r="EC51" s="79" t="s">
        <v>553</v>
      </c>
      <c r="ED51" s="79" t="s">
        <v>249</v>
      </c>
      <c r="EE51" s="79" t="str">
        <f t="shared" si="30"/>
        <v>Completo</v>
      </c>
      <c r="EF51" s="41"/>
      <c r="EG51" s="79" t="s">
        <v>153</v>
      </c>
      <c r="EH51" s="71"/>
      <c r="EI51" s="80"/>
      <c r="EJ51" s="71"/>
      <c r="EK51" s="79" t="s">
        <v>179</v>
      </c>
      <c r="EL51" s="76" t="str">
        <f t="shared" si="14"/>
        <v>No requiere</v>
      </c>
      <c r="EM51" s="76" t="str">
        <f t="shared" si="15"/>
        <v>No requiere</v>
      </c>
      <c r="EN51" s="76" t="str">
        <f t="shared" si="32"/>
        <v>No requiere</v>
      </c>
      <c r="EO51" s="71"/>
      <c r="EP51" s="73" t="str">
        <f t="shared" si="17"/>
        <v>No requiere</v>
      </c>
      <c r="EQ51" s="77" t="str">
        <f t="shared" si="18"/>
        <v>No requiere</v>
      </c>
      <c r="ER51" s="71"/>
      <c r="ES51" s="79" t="s">
        <v>179</v>
      </c>
      <c r="ET51" s="73" t="str">
        <f t="shared" si="19"/>
        <v>No requiere</v>
      </c>
      <c r="EU51" s="73" t="str">
        <f t="shared" si="33"/>
        <v>No requiere</v>
      </c>
      <c r="EV51" s="73" t="str">
        <f t="shared" si="21"/>
        <v>No requiere</v>
      </c>
      <c r="EW51" s="73" t="str">
        <f t="shared" si="22"/>
        <v>No requiere</v>
      </c>
      <c r="EX51" s="78"/>
      <c r="EY51" s="78"/>
    </row>
    <row r="52" spans="1:155" ht="46.5" customHeight="1">
      <c r="A52" s="79">
        <v>48</v>
      </c>
      <c r="B52" s="80" t="s">
        <v>554</v>
      </c>
      <c r="C52" s="81">
        <v>45350</v>
      </c>
      <c r="D52" s="82">
        <v>0.66666666666666663</v>
      </c>
      <c r="E52" s="79" t="s">
        <v>151</v>
      </c>
      <c r="F52" s="79" t="s">
        <v>153</v>
      </c>
      <c r="G52" s="79" t="s">
        <v>153</v>
      </c>
      <c r="H52" s="79" t="s">
        <v>153</v>
      </c>
      <c r="I52" s="79" t="s">
        <v>152</v>
      </c>
      <c r="J52" s="79" t="s">
        <v>154</v>
      </c>
      <c r="K52" s="79" t="s">
        <v>155</v>
      </c>
      <c r="L52" s="80" t="s">
        <v>555</v>
      </c>
      <c r="M52" s="80" t="s">
        <v>303</v>
      </c>
      <c r="N52" s="79" t="s">
        <v>168</v>
      </c>
      <c r="O52" s="80" t="str">
        <f t="shared" si="0"/>
        <v>Yohan David Díaz, Rosemberg Prisco Vasquez, Valentina González Pontón, Paula Andrea González, Nathalia Guzmán Martínez, Camilo Andrés Vásquez, Erika Lizeth Rueda, Diego Alejandro Camacho, Mónica Lyzeth Cantor, Norberto Muñoz Morera</v>
      </c>
      <c r="P52" s="79" t="s">
        <v>164</v>
      </c>
      <c r="Q52" s="79" t="s">
        <v>162</v>
      </c>
      <c r="R52" s="79" t="s">
        <v>329</v>
      </c>
      <c r="S52" s="79" t="s">
        <v>158</v>
      </c>
      <c r="T52" s="79" t="s">
        <v>166</v>
      </c>
      <c r="U52" s="79" t="s">
        <v>373</v>
      </c>
      <c r="V52" s="79" t="s">
        <v>556</v>
      </c>
      <c r="W52" s="79" t="s">
        <v>422</v>
      </c>
      <c r="X52" s="79" t="s">
        <v>346</v>
      </c>
      <c r="Y52" s="79" t="s">
        <v>161</v>
      </c>
      <c r="Z52" s="79"/>
      <c r="AA52" s="79"/>
      <c r="AB52" s="79"/>
      <c r="AC52" s="79"/>
      <c r="AD52" s="79"/>
      <c r="AE52" s="79"/>
      <c r="AF52" s="79"/>
      <c r="AG52" s="79"/>
      <c r="AH52" s="79"/>
      <c r="AI52" s="79"/>
      <c r="AJ52" s="79"/>
      <c r="AK52" s="79"/>
      <c r="AL52" s="79"/>
      <c r="AM52" s="79"/>
      <c r="AN52" s="79"/>
      <c r="AO52" s="79" t="s">
        <v>304</v>
      </c>
      <c r="AP52" s="79"/>
      <c r="AQ52" s="80" t="s">
        <v>557</v>
      </c>
      <c r="AR52" s="83" t="s">
        <v>171</v>
      </c>
      <c r="AS52" s="80" t="s">
        <v>558</v>
      </c>
      <c r="AT52" s="80" t="str">
        <f t="shared" si="1"/>
        <v>Distrital</v>
      </c>
      <c r="AU52" s="79" t="s">
        <v>172</v>
      </c>
      <c r="AV52" s="79"/>
      <c r="AW52" s="79"/>
      <c r="AX52" s="79"/>
      <c r="AY52" s="79"/>
      <c r="AZ52" s="79"/>
      <c r="BA52" s="80" t="str">
        <f t="shared" si="2"/>
        <v>Distrital</v>
      </c>
      <c r="BB52" s="79" t="s">
        <v>172</v>
      </c>
      <c r="BC52" s="79"/>
      <c r="BD52" s="79"/>
      <c r="BE52" s="79"/>
      <c r="BF52" s="79"/>
      <c r="BG52" s="79"/>
      <c r="BH52" s="80" t="str">
        <f t="shared" si="3"/>
        <v>Distrital</v>
      </c>
      <c r="BI52" s="79" t="s">
        <v>172</v>
      </c>
      <c r="BJ52" s="79"/>
      <c r="BK52" s="79"/>
      <c r="BL52" s="79"/>
      <c r="BM52" s="79"/>
      <c r="BN52" s="79"/>
      <c r="BO52" s="79"/>
      <c r="BP52" s="79"/>
      <c r="BQ52" s="79"/>
      <c r="BR52" s="79"/>
      <c r="BS52" s="80" t="s">
        <v>288</v>
      </c>
      <c r="BT52" s="80" t="s">
        <v>559</v>
      </c>
      <c r="BU52" s="80" t="s">
        <v>560</v>
      </c>
      <c r="BV52" s="71"/>
      <c r="BW52" s="79" t="s">
        <v>153</v>
      </c>
      <c r="BX52" s="79" t="s">
        <v>334</v>
      </c>
      <c r="BY52" s="71"/>
      <c r="BZ52" s="79">
        <v>137</v>
      </c>
      <c r="CA52" s="79">
        <v>15</v>
      </c>
      <c r="CB52" s="79">
        <f t="shared" si="25"/>
        <v>152</v>
      </c>
      <c r="CC52" s="79" t="str">
        <f t="shared" si="31"/>
        <v>Ninguna</v>
      </c>
      <c r="CD52" s="79" t="s">
        <v>174</v>
      </c>
      <c r="CE52" s="79"/>
      <c r="CF52" s="79"/>
      <c r="CG52" s="83" t="s">
        <v>561</v>
      </c>
      <c r="CH52" s="41"/>
      <c r="CI52" s="79" t="s">
        <v>153</v>
      </c>
      <c r="CJ52" s="71"/>
      <c r="CK52" s="79">
        <f t="shared" si="6"/>
        <v>1</v>
      </c>
      <c r="CL52" s="93" t="s">
        <v>562</v>
      </c>
      <c r="CM52" s="79"/>
      <c r="CN52" s="79"/>
      <c r="CO52" s="79"/>
      <c r="CP52" s="79"/>
      <c r="CQ52" s="79"/>
      <c r="CR52" s="83" t="s">
        <v>390</v>
      </c>
      <c r="CS52" s="83" t="s">
        <v>179</v>
      </c>
      <c r="CT52" s="83" t="s">
        <v>179</v>
      </c>
      <c r="CU52" s="83" t="s">
        <v>179</v>
      </c>
      <c r="CV52" s="83" t="s">
        <v>179</v>
      </c>
      <c r="CW52" s="83" t="s">
        <v>179</v>
      </c>
      <c r="CX52" s="79" t="s">
        <v>153</v>
      </c>
      <c r="CY52" s="79">
        <f t="shared" si="26"/>
        <v>1</v>
      </c>
      <c r="CZ52" s="79">
        <v>1</v>
      </c>
      <c r="DA52" s="79">
        <f t="shared" si="27"/>
        <v>1</v>
      </c>
      <c r="DB52" s="84">
        <f t="shared" si="28"/>
        <v>1</v>
      </c>
      <c r="DC52" s="41"/>
      <c r="DD52" s="79" t="s">
        <v>153</v>
      </c>
      <c r="DE52" s="71"/>
      <c r="DF52" s="85" t="s">
        <v>563</v>
      </c>
      <c r="DG52" s="79">
        <v>48</v>
      </c>
      <c r="DH52" s="86" t="str">
        <f t="shared" si="29"/>
        <v>Completo</v>
      </c>
      <c r="DI52" s="79" t="s">
        <v>181</v>
      </c>
      <c r="DJ52" s="79" t="s">
        <v>182</v>
      </c>
      <c r="DK52" s="79" t="s">
        <v>153</v>
      </c>
      <c r="DL52" s="79">
        <v>0</v>
      </c>
      <c r="DM52" s="79">
        <v>0</v>
      </c>
      <c r="DN52" s="79" t="s">
        <v>182</v>
      </c>
      <c r="DO52" s="79"/>
      <c r="DP52" s="79" t="s">
        <v>182</v>
      </c>
      <c r="DQ52" s="79">
        <v>27</v>
      </c>
      <c r="DR52" s="75">
        <f t="shared" si="11"/>
        <v>0.65693430656934304</v>
      </c>
      <c r="DS52" s="79" t="s">
        <v>182</v>
      </c>
      <c r="DT52" s="79">
        <v>222</v>
      </c>
      <c r="DU52" s="75">
        <f t="shared" si="12"/>
        <v>4.6298227320125136</v>
      </c>
      <c r="DV52" s="79" t="s">
        <v>182</v>
      </c>
      <c r="DW52" s="79" t="s">
        <v>182</v>
      </c>
      <c r="DX52" s="79">
        <v>2</v>
      </c>
      <c r="DY52" s="79">
        <v>1</v>
      </c>
      <c r="DZ52" s="79" t="s">
        <v>564</v>
      </c>
      <c r="EA52" s="79" t="s">
        <v>179</v>
      </c>
      <c r="EB52" s="79" t="s">
        <v>182</v>
      </c>
      <c r="EC52" s="79" t="s">
        <v>565</v>
      </c>
      <c r="ED52" s="79" t="s">
        <v>184</v>
      </c>
      <c r="EE52" s="79" t="str">
        <f t="shared" si="30"/>
        <v>Completo</v>
      </c>
      <c r="EF52" s="41"/>
      <c r="EG52" s="79" t="s">
        <v>153</v>
      </c>
      <c r="EH52" s="71"/>
      <c r="EI52" s="89" t="s">
        <v>566</v>
      </c>
      <c r="EJ52" s="71"/>
      <c r="EK52" s="79" t="s">
        <v>393</v>
      </c>
      <c r="EL52" s="76" t="str">
        <f t="shared" si="14"/>
        <v>Sí</v>
      </c>
      <c r="EM52" s="76" t="str">
        <f t="shared" si="15"/>
        <v>Sí</v>
      </c>
      <c r="EN52" s="76" t="str">
        <f t="shared" si="32"/>
        <v>No</v>
      </c>
      <c r="EO52" s="71"/>
      <c r="EP52" s="73" t="str">
        <f t="shared" si="17"/>
        <v>No aplica</v>
      </c>
      <c r="EQ52" s="77">
        <f t="shared" si="18"/>
        <v>4.6298227320125136</v>
      </c>
      <c r="ER52" s="71"/>
      <c r="ES52" s="79" t="s">
        <v>393</v>
      </c>
      <c r="ET52" s="73">
        <f t="shared" si="19"/>
        <v>1</v>
      </c>
      <c r="EU52" s="73">
        <f t="shared" si="33"/>
        <v>1</v>
      </c>
      <c r="EV52" s="73">
        <f t="shared" si="21"/>
        <v>1</v>
      </c>
      <c r="EW52" s="73" t="str">
        <f t="shared" si="22"/>
        <v>No aplica</v>
      </c>
      <c r="EX52" s="78"/>
      <c r="EY52" s="78"/>
    </row>
    <row r="53" spans="1:155" ht="46.5" customHeight="1">
      <c r="A53" s="79">
        <v>49</v>
      </c>
      <c r="B53" s="80" t="s">
        <v>567</v>
      </c>
      <c r="C53" s="81">
        <v>45351</v>
      </c>
      <c r="D53" s="82">
        <v>0.33333333333333331</v>
      </c>
      <c r="E53" s="79" t="s">
        <v>151</v>
      </c>
      <c r="F53" s="79" t="s">
        <v>153</v>
      </c>
      <c r="G53" s="79" t="s">
        <v>152</v>
      </c>
      <c r="H53" s="79" t="s">
        <v>152</v>
      </c>
      <c r="I53" s="79" t="s">
        <v>152</v>
      </c>
      <c r="J53" s="79" t="s">
        <v>272</v>
      </c>
      <c r="K53" s="79" t="s">
        <v>155</v>
      </c>
      <c r="L53" s="80" t="s">
        <v>568</v>
      </c>
      <c r="M53" s="80" t="s">
        <v>157</v>
      </c>
      <c r="N53" s="79" t="s">
        <v>546</v>
      </c>
      <c r="O53" s="80" t="str">
        <f t="shared" si="0"/>
        <v/>
      </c>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t="s">
        <v>169</v>
      </c>
      <c r="AP53" s="79" t="s">
        <v>214</v>
      </c>
      <c r="AQ53" s="80" t="s">
        <v>569</v>
      </c>
      <c r="AR53" s="80" t="s">
        <v>171</v>
      </c>
      <c r="AS53" s="80" t="s">
        <v>171</v>
      </c>
      <c r="AT53" s="80" t="str">
        <f t="shared" si="1"/>
        <v>San Cristóbal</v>
      </c>
      <c r="AU53" s="79" t="s">
        <v>570</v>
      </c>
      <c r="AV53" s="79"/>
      <c r="AW53" s="79"/>
      <c r="AX53" s="79"/>
      <c r="AY53" s="79"/>
      <c r="AZ53" s="79"/>
      <c r="BA53" s="80" t="str">
        <f t="shared" si="2"/>
        <v>Suroriente</v>
      </c>
      <c r="BB53" s="79" t="s">
        <v>218</v>
      </c>
      <c r="BC53" s="79"/>
      <c r="BD53" s="79"/>
      <c r="BE53" s="79"/>
      <c r="BF53" s="79"/>
      <c r="BG53" s="79"/>
      <c r="BH53" s="80" t="str">
        <f t="shared" si="3"/>
        <v>San Cristobal</v>
      </c>
      <c r="BI53" s="79" t="s">
        <v>571</v>
      </c>
      <c r="BJ53" s="79"/>
      <c r="BK53" s="79"/>
      <c r="BL53" s="79"/>
      <c r="BM53" s="79"/>
      <c r="BN53" s="79"/>
      <c r="BO53" s="79"/>
      <c r="BP53" s="79"/>
      <c r="BQ53" s="79"/>
      <c r="BR53" s="79"/>
      <c r="BS53" s="80" t="s">
        <v>288</v>
      </c>
      <c r="BT53" s="80" t="s">
        <v>174</v>
      </c>
      <c r="BU53" s="80" t="s">
        <v>572</v>
      </c>
      <c r="BV53" s="71"/>
      <c r="BW53" s="79" t="s">
        <v>152</v>
      </c>
      <c r="BX53" s="79" t="s">
        <v>179</v>
      </c>
      <c r="BY53" s="71"/>
      <c r="BZ53" s="79">
        <v>12</v>
      </c>
      <c r="CA53" s="79">
        <v>1</v>
      </c>
      <c r="CB53" s="79">
        <f t="shared" si="25"/>
        <v>13</v>
      </c>
      <c r="CC53" s="79" t="str">
        <f t="shared" si="31"/>
        <v>No Aplica</v>
      </c>
      <c r="CD53" s="79" t="s">
        <v>177</v>
      </c>
      <c r="CE53" s="79"/>
      <c r="CF53" s="79"/>
      <c r="CG53" s="83" t="s">
        <v>573</v>
      </c>
      <c r="CH53" s="41"/>
      <c r="CI53" s="79" t="s">
        <v>153</v>
      </c>
      <c r="CJ53" s="71"/>
      <c r="CK53" s="79">
        <f t="shared" si="6"/>
        <v>0</v>
      </c>
      <c r="CL53" s="79"/>
      <c r="CM53" s="79"/>
      <c r="CN53" s="79"/>
      <c r="CO53" s="79"/>
      <c r="CP53" s="79"/>
      <c r="CQ53" s="79"/>
      <c r="CR53" s="83" t="s">
        <v>179</v>
      </c>
      <c r="CS53" s="83" t="s">
        <v>179</v>
      </c>
      <c r="CT53" s="83" t="s">
        <v>179</v>
      </c>
      <c r="CU53" s="83" t="s">
        <v>179</v>
      </c>
      <c r="CV53" s="83" t="s">
        <v>179</v>
      </c>
      <c r="CW53" s="83" t="s">
        <v>179</v>
      </c>
      <c r="CX53" s="79" t="s">
        <v>153</v>
      </c>
      <c r="CY53" s="79">
        <f t="shared" si="26"/>
        <v>0</v>
      </c>
      <c r="CZ53" s="79">
        <v>0</v>
      </c>
      <c r="DA53" s="79">
        <f t="shared" si="27"/>
        <v>0</v>
      </c>
      <c r="DB53" s="84" t="str">
        <f t="shared" si="28"/>
        <v/>
      </c>
      <c r="DC53" s="41"/>
      <c r="DD53" s="79" t="s">
        <v>153</v>
      </c>
      <c r="DE53" s="71"/>
      <c r="DF53" s="85" t="s">
        <v>574</v>
      </c>
      <c r="DG53" s="79">
        <v>49</v>
      </c>
      <c r="DH53" s="86" t="str">
        <f t="shared" si="29"/>
        <v>Completo</v>
      </c>
      <c r="DI53" s="79" t="s">
        <v>181</v>
      </c>
      <c r="DJ53" s="79" t="s">
        <v>182</v>
      </c>
      <c r="DK53" s="79"/>
      <c r="DL53" s="79">
        <v>0</v>
      </c>
      <c r="DM53" s="79">
        <v>0</v>
      </c>
      <c r="DN53" s="79" t="s">
        <v>182</v>
      </c>
      <c r="DO53" s="79"/>
      <c r="DP53" s="79"/>
      <c r="DQ53" s="79"/>
      <c r="DR53" s="75" t="str">
        <f t="shared" si="11"/>
        <v>No aplica</v>
      </c>
      <c r="DS53" s="79"/>
      <c r="DT53" s="79"/>
      <c r="DU53" s="75" t="str">
        <f t="shared" si="12"/>
        <v>No aplica</v>
      </c>
      <c r="DV53" s="79" t="s">
        <v>182</v>
      </c>
      <c r="DW53" s="79" t="s">
        <v>191</v>
      </c>
      <c r="DX53" s="79"/>
      <c r="DY53" s="79"/>
      <c r="DZ53" s="79"/>
      <c r="EA53" s="79"/>
      <c r="EB53" s="79" t="s">
        <v>182</v>
      </c>
      <c r="EC53" s="79" t="s">
        <v>575</v>
      </c>
      <c r="ED53" s="79" t="s">
        <v>184</v>
      </c>
      <c r="EE53" s="79" t="str">
        <f t="shared" si="30"/>
        <v>Completo</v>
      </c>
      <c r="EF53" s="41"/>
      <c r="EG53" s="79" t="s">
        <v>153</v>
      </c>
      <c r="EH53" s="71"/>
      <c r="EI53" s="80"/>
      <c r="EJ53" s="71"/>
      <c r="EK53" s="79" t="s">
        <v>179</v>
      </c>
      <c r="EL53" s="76" t="str">
        <f t="shared" si="14"/>
        <v>No requiere</v>
      </c>
      <c r="EM53" s="76" t="str">
        <f t="shared" si="15"/>
        <v>No requiere</v>
      </c>
      <c r="EN53" s="76" t="str">
        <f t="shared" si="32"/>
        <v>No requiere</v>
      </c>
      <c r="EO53" s="71"/>
      <c r="EP53" s="73" t="str">
        <f t="shared" si="17"/>
        <v>No requiere</v>
      </c>
      <c r="EQ53" s="77" t="str">
        <f t="shared" si="18"/>
        <v>No requiere</v>
      </c>
      <c r="ER53" s="71"/>
      <c r="ES53" s="79" t="s">
        <v>179</v>
      </c>
      <c r="ET53" s="73" t="str">
        <f t="shared" si="19"/>
        <v>No requiere</v>
      </c>
      <c r="EU53" s="73" t="str">
        <f t="shared" si="33"/>
        <v>No requiere</v>
      </c>
      <c r="EV53" s="73" t="str">
        <f t="shared" si="21"/>
        <v>No requiere</v>
      </c>
      <c r="EW53" s="73" t="str">
        <f t="shared" si="22"/>
        <v>No requiere</v>
      </c>
      <c r="EX53" s="78"/>
      <c r="EY53" s="78"/>
    </row>
    <row r="54" spans="1:155" ht="46.5" customHeight="1">
      <c r="A54" s="79" t="str">
        <v/>
      </c>
      <c r="B54" s="80" t="s">
        <v>576</v>
      </c>
      <c r="C54" s="81">
        <v>45351</v>
      </c>
      <c r="D54" s="82">
        <v>0.375</v>
      </c>
      <c r="E54" s="79" t="s">
        <v>151</v>
      </c>
      <c r="F54" s="79" t="s">
        <v>152</v>
      </c>
      <c r="G54" s="79" t="s">
        <v>153</v>
      </c>
      <c r="H54" s="79" t="s">
        <v>152</v>
      </c>
      <c r="I54" s="79" t="s">
        <v>152</v>
      </c>
      <c r="J54" s="79" t="s">
        <v>154</v>
      </c>
      <c r="K54" s="79" t="s">
        <v>202</v>
      </c>
      <c r="L54" s="80" t="s">
        <v>577</v>
      </c>
      <c r="M54" s="80" t="s">
        <v>157</v>
      </c>
      <c r="N54" s="79" t="s">
        <v>195</v>
      </c>
      <c r="O54" s="80" t="str">
        <f t="shared" si="0"/>
        <v/>
      </c>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t="s">
        <v>578</v>
      </c>
      <c r="AP54" s="79" t="s">
        <v>170</v>
      </c>
      <c r="AQ54" s="80" t="s">
        <v>171</v>
      </c>
      <c r="AR54" s="80" t="s">
        <v>171</v>
      </c>
      <c r="AS54" s="80" t="s">
        <v>171</v>
      </c>
      <c r="AT54" s="80" t="str">
        <f t="shared" si="1"/>
        <v>Distrital</v>
      </c>
      <c r="AU54" s="79" t="s">
        <v>172</v>
      </c>
      <c r="AV54" s="79"/>
      <c r="AW54" s="79"/>
      <c r="AX54" s="79"/>
      <c r="AY54" s="79"/>
      <c r="AZ54" s="79"/>
      <c r="BA54" s="80" t="str">
        <f t="shared" si="2"/>
        <v>Distrital</v>
      </c>
      <c r="BB54" s="79" t="s">
        <v>172</v>
      </c>
      <c r="BC54" s="79"/>
      <c r="BD54" s="79"/>
      <c r="BE54" s="79"/>
      <c r="BF54" s="79"/>
      <c r="BG54" s="79"/>
      <c r="BH54" s="80" t="str">
        <f t="shared" si="3"/>
        <v>Distrital</v>
      </c>
      <c r="BI54" s="79" t="s">
        <v>172</v>
      </c>
      <c r="BJ54" s="79"/>
      <c r="BK54" s="79"/>
      <c r="BL54" s="79"/>
      <c r="BM54" s="79"/>
      <c r="BN54" s="79"/>
      <c r="BO54" s="79"/>
      <c r="BP54" s="79"/>
      <c r="BQ54" s="79"/>
      <c r="BR54" s="79"/>
      <c r="BS54" s="80" t="s">
        <v>288</v>
      </c>
      <c r="BT54" s="80" t="s">
        <v>174</v>
      </c>
      <c r="BU54" s="89" t="s">
        <v>579</v>
      </c>
      <c r="BV54" s="71"/>
      <c r="BW54" s="79" t="s">
        <v>153</v>
      </c>
      <c r="BX54" s="79" t="s">
        <v>176</v>
      </c>
      <c r="BY54" s="71"/>
      <c r="BZ54" s="79">
        <v>289</v>
      </c>
      <c r="CA54" s="79">
        <v>7</v>
      </c>
      <c r="CB54" s="79">
        <f t="shared" si="25"/>
        <v>296</v>
      </c>
      <c r="CC54" s="79" t="str">
        <f t="shared" si="31"/>
        <v>No Aplica</v>
      </c>
      <c r="CD54" s="79" t="s">
        <v>177</v>
      </c>
      <c r="CE54" s="79"/>
      <c r="CF54" s="79"/>
      <c r="CG54" s="83" t="s">
        <v>580</v>
      </c>
      <c r="CH54" s="41"/>
      <c r="CI54" s="79" t="s">
        <v>153</v>
      </c>
      <c r="CJ54" s="71"/>
      <c r="CK54" s="79">
        <f t="shared" si="6"/>
        <v>0</v>
      </c>
      <c r="CL54" s="79"/>
      <c r="CM54" s="79"/>
      <c r="CN54" s="79"/>
      <c r="CO54" s="79"/>
      <c r="CP54" s="79"/>
      <c r="CQ54" s="79"/>
      <c r="CR54" s="83" t="s">
        <v>179</v>
      </c>
      <c r="CS54" s="83" t="s">
        <v>179</v>
      </c>
      <c r="CT54" s="83" t="s">
        <v>179</v>
      </c>
      <c r="CU54" s="83" t="s">
        <v>179</v>
      </c>
      <c r="CV54" s="83" t="s">
        <v>179</v>
      </c>
      <c r="CW54" s="83" t="s">
        <v>179</v>
      </c>
      <c r="CX54" s="79" t="s">
        <v>153</v>
      </c>
      <c r="CY54" s="79">
        <f t="shared" si="26"/>
        <v>0</v>
      </c>
      <c r="CZ54" s="79">
        <v>0</v>
      </c>
      <c r="DA54" s="79">
        <f t="shared" si="27"/>
        <v>0</v>
      </c>
      <c r="DB54" s="84" t="str">
        <f t="shared" si="28"/>
        <v/>
      </c>
      <c r="DC54" s="41"/>
      <c r="DD54" s="79" t="s">
        <v>153</v>
      </c>
      <c r="DE54" s="71"/>
      <c r="DF54" s="85" t="s">
        <v>581</v>
      </c>
      <c r="DG54" s="79">
        <v>50</v>
      </c>
      <c r="DH54" s="86" t="str">
        <f t="shared" si="29"/>
        <v>Completo</v>
      </c>
      <c r="DI54" s="79" t="s">
        <v>181</v>
      </c>
      <c r="DJ54" s="79" t="s">
        <v>182</v>
      </c>
      <c r="DK54" s="79"/>
      <c r="DL54" s="79">
        <v>0</v>
      </c>
      <c r="DM54" s="79">
        <v>0</v>
      </c>
      <c r="DN54" s="79" t="s">
        <v>182</v>
      </c>
      <c r="DO54" s="79"/>
      <c r="DP54" s="79"/>
      <c r="DQ54" s="79"/>
      <c r="DR54" s="75" t="str">
        <f t="shared" si="11"/>
        <v>No aplica</v>
      </c>
      <c r="DS54" s="79"/>
      <c r="DT54" s="79"/>
      <c r="DU54" s="75" t="str">
        <f t="shared" si="12"/>
        <v>No aplica</v>
      </c>
      <c r="DV54" s="79" t="s">
        <v>182</v>
      </c>
      <c r="DW54" s="79" t="s">
        <v>182</v>
      </c>
      <c r="DX54" s="79"/>
      <c r="DY54" s="79"/>
      <c r="DZ54" s="79"/>
      <c r="EA54" s="79"/>
      <c r="EB54" s="79" t="s">
        <v>182</v>
      </c>
      <c r="EC54" s="79" t="s">
        <v>582</v>
      </c>
      <c r="ED54" s="79" t="s">
        <v>262</v>
      </c>
      <c r="EE54" s="79" t="str">
        <f t="shared" si="30"/>
        <v>Completo</v>
      </c>
      <c r="EF54" s="41"/>
      <c r="EG54" s="79" t="s">
        <v>153</v>
      </c>
      <c r="EH54" s="71"/>
      <c r="EI54" s="80"/>
      <c r="EJ54" s="71"/>
      <c r="EK54" s="79" t="s">
        <v>179</v>
      </c>
      <c r="EL54" s="76" t="str">
        <f t="shared" si="14"/>
        <v>No requiere</v>
      </c>
      <c r="EM54" s="76" t="str">
        <f t="shared" si="15"/>
        <v>No requiere</v>
      </c>
      <c r="EN54" s="76" t="str">
        <f t="shared" si="32"/>
        <v>No requiere</v>
      </c>
      <c r="EO54" s="71"/>
      <c r="EP54" s="73" t="str">
        <f t="shared" si="17"/>
        <v>No requiere</v>
      </c>
      <c r="EQ54" s="77" t="str">
        <f t="shared" si="18"/>
        <v>No requiere</v>
      </c>
      <c r="ER54" s="71"/>
      <c r="ES54" s="79" t="s">
        <v>179</v>
      </c>
      <c r="ET54" s="73" t="str">
        <f t="shared" si="19"/>
        <v>No requiere</v>
      </c>
      <c r="EU54" s="73" t="str">
        <f t="shared" si="33"/>
        <v>No requiere</v>
      </c>
      <c r="EV54" s="73" t="str">
        <f t="shared" si="21"/>
        <v>No requiere</v>
      </c>
      <c r="EW54" s="73" t="str">
        <f t="shared" si="22"/>
        <v>No requiere</v>
      </c>
      <c r="EX54" s="78"/>
      <c r="EY54" s="78"/>
    </row>
    <row r="55" spans="1:155" ht="46.5" customHeight="1">
      <c r="A55" s="79">
        <v>51</v>
      </c>
      <c r="B55" s="80" t="s">
        <v>583</v>
      </c>
      <c r="C55" s="81">
        <v>45351</v>
      </c>
      <c r="D55" s="82">
        <v>0.39583333333333331</v>
      </c>
      <c r="E55" s="79" t="s">
        <v>151</v>
      </c>
      <c r="F55" s="79" t="s">
        <v>153</v>
      </c>
      <c r="G55" s="79" t="s">
        <v>152</v>
      </c>
      <c r="H55" s="79" t="s">
        <v>152</v>
      </c>
      <c r="I55" s="79" t="s">
        <v>152</v>
      </c>
      <c r="J55" s="79" t="s">
        <v>154</v>
      </c>
      <c r="K55" s="79" t="s">
        <v>202</v>
      </c>
      <c r="L55" s="80" t="s">
        <v>577</v>
      </c>
      <c r="M55" s="80" t="s">
        <v>157</v>
      </c>
      <c r="N55" s="79" t="s">
        <v>373</v>
      </c>
      <c r="O55" s="80" t="str">
        <f t="shared" si="0"/>
        <v/>
      </c>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t="s">
        <v>169</v>
      </c>
      <c r="AP55" s="79" t="s">
        <v>170</v>
      </c>
      <c r="AQ55" s="83" t="s">
        <v>584</v>
      </c>
      <c r="AR55" s="83">
        <v>3143480013</v>
      </c>
      <c r="AS55" s="83" t="s">
        <v>585</v>
      </c>
      <c r="AT55" s="80" t="str">
        <f t="shared" si="1"/>
        <v>Distrital</v>
      </c>
      <c r="AU55" s="79" t="s">
        <v>172</v>
      </c>
      <c r="AV55" s="79"/>
      <c r="AW55" s="79"/>
      <c r="AX55" s="79"/>
      <c r="AY55" s="79"/>
      <c r="AZ55" s="79"/>
      <c r="BA55" s="80" t="str">
        <f t="shared" si="2"/>
        <v>Distrital</v>
      </c>
      <c r="BB55" s="79" t="s">
        <v>172</v>
      </c>
      <c r="BC55" s="79"/>
      <c r="BD55" s="79"/>
      <c r="BE55" s="79"/>
      <c r="BF55" s="79"/>
      <c r="BG55" s="79"/>
      <c r="BH55" s="80" t="str">
        <f t="shared" si="3"/>
        <v>Distrital</v>
      </c>
      <c r="BI55" s="79" t="s">
        <v>172</v>
      </c>
      <c r="BJ55" s="79"/>
      <c r="BK55" s="79"/>
      <c r="BL55" s="79"/>
      <c r="BM55" s="79"/>
      <c r="BN55" s="79"/>
      <c r="BO55" s="79"/>
      <c r="BP55" s="79"/>
      <c r="BQ55" s="79"/>
      <c r="BR55" s="79"/>
      <c r="BS55" s="80" t="s">
        <v>288</v>
      </c>
      <c r="BT55" s="80" t="s">
        <v>174</v>
      </c>
      <c r="BU55" s="89" t="s">
        <v>586</v>
      </c>
      <c r="BV55" s="71"/>
      <c r="BW55" s="79" t="s">
        <v>153</v>
      </c>
      <c r="BX55" s="79" t="s">
        <v>176</v>
      </c>
      <c r="BY55" s="71"/>
      <c r="BZ55" s="79">
        <v>183</v>
      </c>
      <c r="CA55" s="79">
        <v>1</v>
      </c>
      <c r="CB55" s="79">
        <f t="shared" si="25"/>
        <v>184</v>
      </c>
      <c r="CC55" s="79" t="str">
        <f t="shared" si="31"/>
        <v>Horarios Acordes, Contenidos adaptados</v>
      </c>
      <c r="CD55" s="79" t="s">
        <v>351</v>
      </c>
      <c r="CE55" s="79" t="s">
        <v>350</v>
      </c>
      <c r="CF55" s="79"/>
      <c r="CG55" s="83" t="s">
        <v>587</v>
      </c>
      <c r="CH55" s="41"/>
      <c r="CI55" s="79" t="s">
        <v>153</v>
      </c>
      <c r="CJ55" s="71"/>
      <c r="CK55" s="79">
        <f t="shared" si="6"/>
        <v>0</v>
      </c>
      <c r="CL55" s="79"/>
      <c r="CM55" s="79"/>
      <c r="CN55" s="79"/>
      <c r="CO55" s="79"/>
      <c r="CP55" s="79"/>
      <c r="CQ55" s="79"/>
      <c r="CR55" s="83" t="s">
        <v>179</v>
      </c>
      <c r="CS55" s="83" t="s">
        <v>179</v>
      </c>
      <c r="CT55" s="83" t="s">
        <v>179</v>
      </c>
      <c r="CU55" s="83" t="s">
        <v>179</v>
      </c>
      <c r="CV55" s="83" t="s">
        <v>179</v>
      </c>
      <c r="CW55" s="83" t="s">
        <v>179</v>
      </c>
      <c r="CX55" s="79" t="s">
        <v>153</v>
      </c>
      <c r="CY55" s="79">
        <f t="shared" si="26"/>
        <v>0</v>
      </c>
      <c r="CZ55" s="79">
        <v>0</v>
      </c>
      <c r="DA55" s="79">
        <f t="shared" si="27"/>
        <v>0</v>
      </c>
      <c r="DB55" s="84" t="str">
        <f t="shared" si="28"/>
        <v/>
      </c>
      <c r="DC55" s="41"/>
      <c r="DD55" s="79" t="s">
        <v>153</v>
      </c>
      <c r="DE55" s="71"/>
      <c r="DF55" s="85" t="s">
        <v>588</v>
      </c>
      <c r="DG55" s="79">
        <v>51</v>
      </c>
      <c r="DH55" s="86" t="str">
        <f t="shared" si="29"/>
        <v>Completo</v>
      </c>
      <c r="DI55" s="79" t="s">
        <v>181</v>
      </c>
      <c r="DJ55" s="79" t="s">
        <v>182</v>
      </c>
      <c r="DK55" s="79"/>
      <c r="DL55" s="79">
        <v>0</v>
      </c>
      <c r="DM55" s="79">
        <v>0</v>
      </c>
      <c r="DN55" s="79" t="s">
        <v>182</v>
      </c>
      <c r="DO55" s="79"/>
      <c r="DP55" s="79"/>
      <c r="DQ55" s="79"/>
      <c r="DR55" s="75" t="str">
        <f t="shared" si="11"/>
        <v>No aplica</v>
      </c>
      <c r="DS55" s="79"/>
      <c r="DT55" s="79"/>
      <c r="DU55" s="75" t="str">
        <f t="shared" si="12"/>
        <v>No aplica</v>
      </c>
      <c r="DV55" s="79" t="s">
        <v>182</v>
      </c>
      <c r="DW55" s="79" t="s">
        <v>182</v>
      </c>
      <c r="DX55" s="79"/>
      <c r="DY55" s="79"/>
      <c r="DZ55" s="79"/>
      <c r="EA55" s="79"/>
      <c r="EB55" s="79" t="s">
        <v>182</v>
      </c>
      <c r="EC55" s="79" t="s">
        <v>589</v>
      </c>
      <c r="ED55" s="79" t="s">
        <v>184</v>
      </c>
      <c r="EE55" s="79" t="str">
        <f t="shared" si="30"/>
        <v>Completo</v>
      </c>
      <c r="EF55" s="41"/>
      <c r="EG55" s="79" t="s">
        <v>153</v>
      </c>
      <c r="EH55" s="71"/>
      <c r="EI55" s="80"/>
      <c r="EJ55" s="71"/>
      <c r="EK55" s="79" t="s">
        <v>179</v>
      </c>
      <c r="EL55" s="76" t="str">
        <f t="shared" si="14"/>
        <v>No requiere</v>
      </c>
      <c r="EM55" s="76" t="str">
        <f t="shared" si="15"/>
        <v>No requiere</v>
      </c>
      <c r="EN55" s="76" t="str">
        <f t="shared" si="32"/>
        <v>No requiere</v>
      </c>
      <c r="EO55" s="71"/>
      <c r="EP55" s="73" t="str">
        <f t="shared" si="17"/>
        <v>No requiere</v>
      </c>
      <c r="EQ55" s="77" t="str">
        <f t="shared" si="18"/>
        <v>No requiere</v>
      </c>
      <c r="ER55" s="71"/>
      <c r="ES55" s="79" t="s">
        <v>179</v>
      </c>
      <c r="ET55" s="73" t="str">
        <f t="shared" si="19"/>
        <v>No requiere</v>
      </c>
      <c r="EU55" s="73" t="str">
        <f t="shared" si="33"/>
        <v>No requiere</v>
      </c>
      <c r="EV55" s="73" t="str">
        <f t="shared" si="21"/>
        <v>No requiere</v>
      </c>
      <c r="EW55" s="73" t="str">
        <f t="shared" si="22"/>
        <v>No requiere</v>
      </c>
      <c r="EX55" s="78"/>
      <c r="EY55" s="78"/>
    </row>
    <row r="56" spans="1:155" ht="46.5" customHeight="1">
      <c r="A56" s="79" t="str">
        <v/>
      </c>
      <c r="B56" s="80" t="s">
        <v>590</v>
      </c>
      <c r="C56" s="81">
        <v>45351</v>
      </c>
      <c r="D56" s="82">
        <v>0.45833333333333331</v>
      </c>
      <c r="E56" s="79" t="s">
        <v>151</v>
      </c>
      <c r="F56" s="79" t="s">
        <v>152</v>
      </c>
      <c r="G56" s="79" t="s">
        <v>153</v>
      </c>
      <c r="H56" s="79" t="s">
        <v>152</v>
      </c>
      <c r="I56" s="79" t="s">
        <v>152</v>
      </c>
      <c r="J56" s="79" t="s">
        <v>154</v>
      </c>
      <c r="K56" s="79" t="s">
        <v>202</v>
      </c>
      <c r="L56" s="80" t="s">
        <v>591</v>
      </c>
      <c r="M56" s="80" t="s">
        <v>157</v>
      </c>
      <c r="N56" s="79" t="s">
        <v>166</v>
      </c>
      <c r="O56" s="80" t="str">
        <f t="shared" si="0"/>
        <v/>
      </c>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t="s">
        <v>169</v>
      </c>
      <c r="AP56" s="79" t="s">
        <v>170</v>
      </c>
      <c r="AQ56" s="80" t="s">
        <v>536</v>
      </c>
      <c r="AR56" s="83">
        <v>3114546690</v>
      </c>
      <c r="AS56" s="80" t="s">
        <v>537</v>
      </c>
      <c r="AT56" s="80" t="str">
        <f t="shared" si="1"/>
        <v>Distrital</v>
      </c>
      <c r="AU56" s="79" t="s">
        <v>172</v>
      </c>
      <c r="AV56" s="79"/>
      <c r="AW56" s="79"/>
      <c r="AX56" s="79"/>
      <c r="AY56" s="79"/>
      <c r="AZ56" s="79"/>
      <c r="BA56" s="80" t="str">
        <f t="shared" si="2"/>
        <v>Distrital</v>
      </c>
      <c r="BB56" s="79" t="s">
        <v>172</v>
      </c>
      <c r="BC56" s="79"/>
      <c r="BD56" s="79"/>
      <c r="BE56" s="79"/>
      <c r="BF56" s="79"/>
      <c r="BG56" s="79"/>
      <c r="BH56" s="80" t="str">
        <f t="shared" si="3"/>
        <v>Distrital</v>
      </c>
      <c r="BI56" s="79" t="s">
        <v>172</v>
      </c>
      <c r="BJ56" s="79"/>
      <c r="BK56" s="79"/>
      <c r="BL56" s="79"/>
      <c r="BM56" s="79"/>
      <c r="BN56" s="79"/>
      <c r="BO56" s="79"/>
      <c r="BP56" s="79"/>
      <c r="BQ56" s="79"/>
      <c r="BR56" s="79"/>
      <c r="BS56" s="80" t="s">
        <v>288</v>
      </c>
      <c r="BT56" s="80" t="s">
        <v>174</v>
      </c>
      <c r="BU56" s="89" t="s">
        <v>592</v>
      </c>
      <c r="BV56" s="71"/>
      <c r="BW56" s="79" t="s">
        <v>153</v>
      </c>
      <c r="BX56" s="79" t="s">
        <v>176</v>
      </c>
      <c r="BY56" s="71"/>
      <c r="BZ56" s="79">
        <v>3</v>
      </c>
      <c r="CA56" s="79">
        <v>4</v>
      </c>
      <c r="CB56" s="79">
        <f t="shared" si="25"/>
        <v>7</v>
      </c>
      <c r="CC56" s="79" t="str">
        <f t="shared" si="31"/>
        <v>No Aplica</v>
      </c>
      <c r="CD56" s="79" t="s">
        <v>177</v>
      </c>
      <c r="CE56" s="79"/>
      <c r="CF56" s="79"/>
      <c r="CG56" s="83" t="s">
        <v>593</v>
      </c>
      <c r="CH56" s="41"/>
      <c r="CI56" s="79" t="s">
        <v>153</v>
      </c>
      <c r="CJ56" s="71"/>
      <c r="CK56" s="79">
        <f t="shared" si="6"/>
        <v>0</v>
      </c>
      <c r="CL56" s="79"/>
      <c r="CM56" s="79"/>
      <c r="CN56" s="79"/>
      <c r="CO56" s="79"/>
      <c r="CP56" s="79"/>
      <c r="CQ56" s="79"/>
      <c r="CR56" s="83" t="s">
        <v>179</v>
      </c>
      <c r="CS56" s="83" t="s">
        <v>179</v>
      </c>
      <c r="CT56" s="83" t="s">
        <v>179</v>
      </c>
      <c r="CU56" s="83" t="s">
        <v>179</v>
      </c>
      <c r="CV56" s="83" t="s">
        <v>179</v>
      </c>
      <c r="CW56" s="83" t="s">
        <v>179</v>
      </c>
      <c r="CX56" s="79" t="s">
        <v>153</v>
      </c>
      <c r="CY56" s="79">
        <f t="shared" si="26"/>
        <v>0</v>
      </c>
      <c r="CZ56" s="79">
        <v>0</v>
      </c>
      <c r="DA56" s="79">
        <f t="shared" si="27"/>
        <v>0</v>
      </c>
      <c r="DB56" s="84" t="str">
        <f t="shared" si="28"/>
        <v/>
      </c>
      <c r="DC56" s="41"/>
      <c r="DD56" s="79" t="s">
        <v>153</v>
      </c>
      <c r="DE56" s="71"/>
      <c r="DF56" s="85" t="s">
        <v>594</v>
      </c>
      <c r="DG56" s="79">
        <v>52</v>
      </c>
      <c r="DH56" s="86" t="str">
        <f t="shared" si="29"/>
        <v>Completo</v>
      </c>
      <c r="DI56" s="79" t="s">
        <v>181</v>
      </c>
      <c r="DJ56" s="79" t="s">
        <v>182</v>
      </c>
      <c r="DK56" s="79"/>
      <c r="DL56" s="79">
        <v>0</v>
      </c>
      <c r="DM56" s="79">
        <v>0</v>
      </c>
      <c r="DN56" s="79" t="s">
        <v>182</v>
      </c>
      <c r="DO56" s="79"/>
      <c r="DP56" s="79"/>
      <c r="DQ56" s="79"/>
      <c r="DR56" s="75" t="str">
        <f t="shared" si="11"/>
        <v>No aplica</v>
      </c>
      <c r="DS56" s="79"/>
      <c r="DT56" s="79"/>
      <c r="DU56" s="75" t="str">
        <f t="shared" si="12"/>
        <v>No aplica</v>
      </c>
      <c r="DV56" s="79" t="s">
        <v>182</v>
      </c>
      <c r="DW56" s="79" t="s">
        <v>182</v>
      </c>
      <c r="DX56" s="79"/>
      <c r="DY56" s="79"/>
      <c r="DZ56" s="79"/>
      <c r="EA56" s="79"/>
      <c r="EB56" s="79" t="s">
        <v>191</v>
      </c>
      <c r="EC56" s="79"/>
      <c r="ED56" s="79" t="s">
        <v>184</v>
      </c>
      <c r="EE56" s="79" t="str">
        <f t="shared" si="30"/>
        <v>Completo</v>
      </c>
      <c r="EF56" s="41"/>
      <c r="EG56" s="79" t="s">
        <v>153</v>
      </c>
      <c r="EH56" s="71"/>
      <c r="EI56" s="80"/>
      <c r="EJ56" s="71"/>
      <c r="EK56" s="79" t="s">
        <v>179</v>
      </c>
      <c r="EL56" s="76" t="str">
        <f t="shared" si="14"/>
        <v>No requiere</v>
      </c>
      <c r="EM56" s="76" t="str">
        <f t="shared" si="15"/>
        <v>No requiere</v>
      </c>
      <c r="EN56" s="76" t="str">
        <f t="shared" si="32"/>
        <v>No requiere</v>
      </c>
      <c r="EO56" s="71"/>
      <c r="EP56" s="73" t="str">
        <f t="shared" si="17"/>
        <v>No requiere</v>
      </c>
      <c r="EQ56" s="77" t="str">
        <f t="shared" si="18"/>
        <v>No requiere</v>
      </c>
      <c r="ER56" s="71"/>
      <c r="ES56" s="79" t="s">
        <v>179</v>
      </c>
      <c r="ET56" s="73" t="str">
        <f t="shared" si="19"/>
        <v>No requiere</v>
      </c>
      <c r="EU56" s="73" t="str">
        <f t="shared" si="33"/>
        <v>No requiere</v>
      </c>
      <c r="EV56" s="73" t="str">
        <f t="shared" si="21"/>
        <v>No requiere</v>
      </c>
      <c r="EW56" s="73" t="str">
        <f t="shared" si="22"/>
        <v>No requiere</v>
      </c>
      <c r="EX56" s="78"/>
      <c r="EY56" s="78"/>
    </row>
    <row r="57" spans="1:155" ht="46.5" customHeight="1">
      <c r="A57" s="79">
        <v>53</v>
      </c>
      <c r="B57" s="80" t="s">
        <v>595</v>
      </c>
      <c r="C57" s="81">
        <v>45351</v>
      </c>
      <c r="D57" s="82">
        <v>0.60416666666666663</v>
      </c>
      <c r="E57" s="79" t="s">
        <v>200</v>
      </c>
      <c r="F57" s="79" t="s">
        <v>153</v>
      </c>
      <c r="G57" s="79" t="s">
        <v>152</v>
      </c>
      <c r="H57" s="79" t="s">
        <v>152</v>
      </c>
      <c r="I57" s="79" t="s">
        <v>152</v>
      </c>
      <c r="J57" s="79" t="s">
        <v>201</v>
      </c>
      <c r="K57" s="79" t="s">
        <v>202</v>
      </c>
      <c r="L57" s="80" t="s">
        <v>596</v>
      </c>
      <c r="M57" s="80" t="s">
        <v>157</v>
      </c>
      <c r="N57" s="79" t="s">
        <v>168</v>
      </c>
      <c r="O57" s="80" t="str">
        <f t="shared" si="0"/>
        <v/>
      </c>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t="s">
        <v>169</v>
      </c>
      <c r="AP57" s="79" t="s">
        <v>204</v>
      </c>
      <c r="AQ57" s="80" t="s">
        <v>205</v>
      </c>
      <c r="AR57" s="83" t="s">
        <v>206</v>
      </c>
      <c r="AS57" s="80" t="s">
        <v>206</v>
      </c>
      <c r="AT57" s="80" t="str">
        <f t="shared" si="1"/>
        <v>Distrital</v>
      </c>
      <c r="AU57" s="79" t="s">
        <v>172</v>
      </c>
      <c r="AV57" s="79"/>
      <c r="AW57" s="79"/>
      <c r="AX57" s="79"/>
      <c r="AY57" s="79"/>
      <c r="AZ57" s="79"/>
      <c r="BA57" s="80" t="str">
        <f t="shared" si="2"/>
        <v>Distrital</v>
      </c>
      <c r="BB57" s="79" t="s">
        <v>172</v>
      </c>
      <c r="BC57" s="79"/>
      <c r="BD57" s="79"/>
      <c r="BE57" s="79"/>
      <c r="BF57" s="79"/>
      <c r="BG57" s="79"/>
      <c r="BH57" s="80" t="str">
        <f t="shared" si="3"/>
        <v>Distrital</v>
      </c>
      <c r="BI57" s="79" t="s">
        <v>172</v>
      </c>
      <c r="BJ57" s="79"/>
      <c r="BK57" s="79"/>
      <c r="BL57" s="79"/>
      <c r="BM57" s="79"/>
      <c r="BN57" s="79"/>
      <c r="BO57" s="79"/>
      <c r="BP57" s="79"/>
      <c r="BQ57" s="79"/>
      <c r="BR57" s="79"/>
      <c r="BS57" s="80" t="s">
        <v>288</v>
      </c>
      <c r="BT57" s="80" t="s">
        <v>174</v>
      </c>
      <c r="BU57" s="80" t="s">
        <v>171</v>
      </c>
      <c r="BV57" s="71"/>
      <c r="BW57" s="79" t="s">
        <v>152</v>
      </c>
      <c r="BX57" s="79" t="s">
        <v>179</v>
      </c>
      <c r="BY57" s="71"/>
      <c r="BZ57" s="79">
        <v>6</v>
      </c>
      <c r="CA57" s="79">
        <v>1</v>
      </c>
      <c r="CB57" s="79">
        <f t="shared" si="25"/>
        <v>7</v>
      </c>
      <c r="CC57" s="79" t="str">
        <f t="shared" si="31"/>
        <v>No Aplica</v>
      </c>
      <c r="CD57" s="79" t="s">
        <v>177</v>
      </c>
      <c r="CE57" s="79"/>
      <c r="CF57" s="79"/>
      <c r="CG57" s="83" t="s">
        <v>597</v>
      </c>
      <c r="CH57" s="41"/>
      <c r="CI57" s="79" t="s">
        <v>153</v>
      </c>
      <c r="CJ57" s="71"/>
      <c r="CK57" s="79">
        <f t="shared" si="6"/>
        <v>0</v>
      </c>
      <c r="CL57" s="79"/>
      <c r="CM57" s="79"/>
      <c r="CN57" s="79"/>
      <c r="CO57" s="79"/>
      <c r="CP57" s="79"/>
      <c r="CQ57" s="79"/>
      <c r="CR57" s="83" t="s">
        <v>179</v>
      </c>
      <c r="CS57" s="83" t="s">
        <v>179</v>
      </c>
      <c r="CT57" s="83" t="s">
        <v>179</v>
      </c>
      <c r="CU57" s="83" t="s">
        <v>179</v>
      </c>
      <c r="CV57" s="83" t="s">
        <v>179</v>
      </c>
      <c r="CW57" s="83" t="s">
        <v>179</v>
      </c>
      <c r="CX57" s="79" t="s">
        <v>153</v>
      </c>
      <c r="CY57" s="79">
        <f t="shared" si="26"/>
        <v>0</v>
      </c>
      <c r="CZ57" s="79">
        <v>0</v>
      </c>
      <c r="DA57" s="79">
        <f t="shared" si="27"/>
        <v>0</v>
      </c>
      <c r="DB57" s="84" t="str">
        <f t="shared" si="28"/>
        <v/>
      </c>
      <c r="DC57" s="41"/>
      <c r="DD57" s="79" t="s">
        <v>153</v>
      </c>
      <c r="DE57" s="71"/>
      <c r="DF57" s="85" t="s">
        <v>598</v>
      </c>
      <c r="DG57" s="79">
        <v>53</v>
      </c>
      <c r="DH57" s="86" t="str">
        <f t="shared" si="29"/>
        <v>Completo</v>
      </c>
      <c r="DI57" s="79" t="s">
        <v>181</v>
      </c>
      <c r="DJ57" s="79" t="s">
        <v>182</v>
      </c>
      <c r="DK57" s="79"/>
      <c r="DL57" s="79">
        <v>0</v>
      </c>
      <c r="DM57" s="79">
        <v>0</v>
      </c>
      <c r="DN57" s="79" t="s">
        <v>191</v>
      </c>
      <c r="DO57" s="79"/>
      <c r="DP57" s="79"/>
      <c r="DQ57" s="79"/>
      <c r="DR57" s="75" t="str">
        <f t="shared" si="11"/>
        <v>No aplica</v>
      </c>
      <c r="DS57" s="79"/>
      <c r="DT57" s="79"/>
      <c r="DU57" s="75" t="str">
        <f t="shared" si="12"/>
        <v>No aplica</v>
      </c>
      <c r="DV57" s="79" t="s">
        <v>191</v>
      </c>
      <c r="DW57" s="79" t="s">
        <v>191</v>
      </c>
      <c r="DX57" s="79"/>
      <c r="DY57" s="79"/>
      <c r="DZ57" s="79"/>
      <c r="EA57" s="79"/>
      <c r="EB57" s="79" t="s">
        <v>191</v>
      </c>
      <c r="EC57" s="79"/>
      <c r="ED57" s="79" t="s">
        <v>184</v>
      </c>
      <c r="EE57" s="79" t="str">
        <f t="shared" si="30"/>
        <v>Completo</v>
      </c>
      <c r="EF57" s="41"/>
      <c r="EG57" s="79" t="s">
        <v>153</v>
      </c>
      <c r="EH57" s="71"/>
      <c r="EI57" s="80"/>
      <c r="EJ57" s="71"/>
      <c r="EK57" s="79" t="s">
        <v>179</v>
      </c>
      <c r="EL57" s="76" t="str">
        <f t="shared" si="14"/>
        <v>No requiere</v>
      </c>
      <c r="EM57" s="76" t="str">
        <f t="shared" si="15"/>
        <v>No requiere</v>
      </c>
      <c r="EN57" s="76" t="str">
        <f t="shared" si="32"/>
        <v>No requiere</v>
      </c>
      <c r="EO57" s="71"/>
      <c r="EP57" s="73" t="str">
        <f t="shared" si="17"/>
        <v>No requiere</v>
      </c>
      <c r="EQ57" s="77" t="str">
        <f t="shared" si="18"/>
        <v>No requiere</v>
      </c>
      <c r="ER57" s="71"/>
      <c r="ES57" s="79" t="s">
        <v>179</v>
      </c>
      <c r="ET57" s="73" t="str">
        <f t="shared" si="19"/>
        <v>No requiere</v>
      </c>
      <c r="EU57" s="73" t="str">
        <f t="shared" si="33"/>
        <v>No requiere</v>
      </c>
      <c r="EV57" s="73" t="str">
        <f t="shared" si="21"/>
        <v>No requiere</v>
      </c>
      <c r="EW57" s="73" t="str">
        <f t="shared" si="22"/>
        <v>No requiere</v>
      </c>
      <c r="EX57" s="78"/>
      <c r="EY57" s="78"/>
    </row>
    <row r="58" spans="1:155" ht="46.5" customHeight="1">
      <c r="A58" s="79">
        <v>54</v>
      </c>
      <c r="B58" s="80" t="s">
        <v>599</v>
      </c>
      <c r="C58" s="81">
        <v>45352</v>
      </c>
      <c r="D58" s="82">
        <v>0.625</v>
      </c>
      <c r="E58" s="79" t="s">
        <v>151</v>
      </c>
      <c r="F58" s="79" t="s">
        <v>153</v>
      </c>
      <c r="G58" s="79" t="s">
        <v>153</v>
      </c>
      <c r="H58" s="79" t="s">
        <v>153</v>
      </c>
      <c r="I58" s="79" t="s">
        <v>152</v>
      </c>
      <c r="J58" s="79" t="s">
        <v>154</v>
      </c>
      <c r="K58" s="79" t="s">
        <v>155</v>
      </c>
      <c r="L58" s="80" t="s">
        <v>600</v>
      </c>
      <c r="M58" s="80" t="s">
        <v>303</v>
      </c>
      <c r="N58" s="79" t="s">
        <v>158</v>
      </c>
      <c r="O58" s="80" t="str">
        <f t="shared" si="0"/>
        <v>Mateo López Narváez, Maria Alejandra Castañeda, Diego Alejandro Camacho, Melina Julieta Solano, Julio César Martínez, Maria Angélica Higuera, Paula Andrea González, Germán Ramón Jacome, Michael Cruz Roa, Luz Maritza Acero, Camilo Andrés Vásquez, Diana Marcela Fernández, Rosemberg Prisco Vasquez, José Ignacio Albarracín</v>
      </c>
      <c r="P58" s="79" t="s">
        <v>523</v>
      </c>
      <c r="Q58" s="79" t="s">
        <v>494</v>
      </c>
      <c r="R58" s="79" t="s">
        <v>422</v>
      </c>
      <c r="S58" s="79" t="s">
        <v>168</v>
      </c>
      <c r="T58" s="79" t="s">
        <v>601</v>
      </c>
      <c r="U58" s="79" t="s">
        <v>328</v>
      </c>
      <c r="V58" s="79" t="s">
        <v>158</v>
      </c>
      <c r="W58" s="79" t="s">
        <v>525</v>
      </c>
      <c r="X58" s="79" t="s">
        <v>265</v>
      </c>
      <c r="Y58" s="79" t="s">
        <v>167</v>
      </c>
      <c r="Z58" s="79" t="s">
        <v>373</v>
      </c>
      <c r="AA58" s="79" t="s">
        <v>473</v>
      </c>
      <c r="AB58" s="79" t="s">
        <v>162</v>
      </c>
      <c r="AC58" s="79" t="s">
        <v>524</v>
      </c>
      <c r="AD58" s="79"/>
      <c r="AE58" s="79"/>
      <c r="AF58" s="79"/>
      <c r="AG58" s="79"/>
      <c r="AH58" s="79"/>
      <c r="AI58" s="79"/>
      <c r="AJ58" s="79"/>
      <c r="AK58" s="79"/>
      <c r="AL58" s="79"/>
      <c r="AM58" s="79"/>
      <c r="AN58" s="79"/>
      <c r="AO58" s="79" t="s">
        <v>304</v>
      </c>
      <c r="AP58" s="79"/>
      <c r="AQ58" s="80" t="s">
        <v>171</v>
      </c>
      <c r="AR58" s="80" t="s">
        <v>171</v>
      </c>
      <c r="AS58" s="80" t="s">
        <v>171</v>
      </c>
      <c r="AT58" s="80" t="str">
        <f t="shared" si="1"/>
        <v>Suba</v>
      </c>
      <c r="AU58" s="79" t="s">
        <v>602</v>
      </c>
      <c r="AV58" s="79"/>
      <c r="AW58" s="79"/>
      <c r="AX58" s="79"/>
      <c r="AY58" s="79"/>
      <c r="AZ58" s="79"/>
      <c r="BA58" s="80" t="str">
        <f t="shared" si="2"/>
        <v>Noroccidente</v>
      </c>
      <c r="BB58" s="79" t="s">
        <v>603</v>
      </c>
      <c r="BC58" s="79"/>
      <c r="BD58" s="79"/>
      <c r="BE58" s="79"/>
      <c r="BF58" s="79"/>
      <c r="BG58" s="79"/>
      <c r="BH58" s="80" t="str">
        <f t="shared" si="3"/>
        <v>Suba Rincón</v>
      </c>
      <c r="BI58" s="79" t="s">
        <v>604</v>
      </c>
      <c r="BJ58" s="79"/>
      <c r="BK58" s="79"/>
      <c r="BL58" s="79"/>
      <c r="BM58" s="79"/>
      <c r="BN58" s="79"/>
      <c r="BO58" s="79"/>
      <c r="BP58" s="79"/>
      <c r="BQ58" s="79"/>
      <c r="BR58" s="79"/>
      <c r="BS58" s="80" t="s">
        <v>288</v>
      </c>
      <c r="BT58" s="80" t="s">
        <v>605</v>
      </c>
      <c r="BU58" s="80" t="s">
        <v>606</v>
      </c>
      <c r="BV58" s="71"/>
      <c r="BW58" s="79" t="s">
        <v>153</v>
      </c>
      <c r="BX58" s="79" t="s">
        <v>607</v>
      </c>
      <c r="BY58" s="71"/>
      <c r="BZ58" s="79">
        <v>58</v>
      </c>
      <c r="CA58" s="79">
        <v>13</v>
      </c>
      <c r="CB58" s="79">
        <f t="shared" si="25"/>
        <v>71</v>
      </c>
      <c r="CC58" s="79" t="str">
        <f t="shared" si="31"/>
        <v>Lenguaje de señas, Horarios Acordes, Accesibilidad Universal</v>
      </c>
      <c r="CD58" s="79" t="s">
        <v>349</v>
      </c>
      <c r="CE58" s="79" t="s">
        <v>351</v>
      </c>
      <c r="CF58" s="79" t="s">
        <v>397</v>
      </c>
      <c r="CG58" s="83" t="s">
        <v>608</v>
      </c>
      <c r="CH58" s="41"/>
      <c r="CI58" s="79" t="s">
        <v>153</v>
      </c>
      <c r="CJ58" s="71"/>
      <c r="CK58" s="79">
        <f t="shared" si="6"/>
        <v>1</v>
      </c>
      <c r="CL58" s="93" t="s">
        <v>609</v>
      </c>
      <c r="CM58" s="79"/>
      <c r="CN58" s="79"/>
      <c r="CO58" s="79"/>
      <c r="CP58" s="79"/>
      <c r="CQ58" s="79"/>
      <c r="CR58" s="83" t="s">
        <v>390</v>
      </c>
      <c r="CS58" s="83" t="s">
        <v>179</v>
      </c>
      <c r="CT58" s="83" t="s">
        <v>179</v>
      </c>
      <c r="CU58" s="83" t="s">
        <v>179</v>
      </c>
      <c r="CV58" s="83" t="s">
        <v>179</v>
      </c>
      <c r="CW58" s="83" t="s">
        <v>179</v>
      </c>
      <c r="CX58" s="79" t="s">
        <v>153</v>
      </c>
      <c r="CY58" s="79">
        <f t="shared" si="26"/>
        <v>1</v>
      </c>
      <c r="CZ58" s="79">
        <v>1</v>
      </c>
      <c r="DA58" s="79">
        <f t="shared" si="27"/>
        <v>1</v>
      </c>
      <c r="DB58" s="84">
        <f t="shared" si="28"/>
        <v>1</v>
      </c>
      <c r="DC58" s="41"/>
      <c r="DD58" s="79" t="s">
        <v>153</v>
      </c>
      <c r="DE58" s="71"/>
      <c r="DF58" s="85" t="s">
        <v>610</v>
      </c>
      <c r="DG58" s="79">
        <v>54</v>
      </c>
      <c r="DH58" s="86" t="str">
        <f t="shared" si="29"/>
        <v>Completo</v>
      </c>
      <c r="DI58" s="79" t="s">
        <v>181</v>
      </c>
      <c r="DJ58" s="79" t="s">
        <v>182</v>
      </c>
      <c r="DK58" s="79" t="s">
        <v>153</v>
      </c>
      <c r="DL58" s="79">
        <v>0</v>
      </c>
      <c r="DM58" s="79">
        <v>0</v>
      </c>
      <c r="DN58" s="79" t="s">
        <v>182</v>
      </c>
      <c r="DO58" s="79">
        <v>688</v>
      </c>
      <c r="DP58" s="79" t="s">
        <v>182</v>
      </c>
      <c r="DQ58" s="79">
        <v>12</v>
      </c>
      <c r="DR58" s="75">
        <f t="shared" si="11"/>
        <v>0.68965517241379315</v>
      </c>
      <c r="DS58" s="79" t="s">
        <v>182</v>
      </c>
      <c r="DT58" s="79">
        <v>73</v>
      </c>
      <c r="DU58" s="75">
        <f t="shared" si="12"/>
        <v>3.5960591133004933</v>
      </c>
      <c r="DV58" s="79" t="s">
        <v>182</v>
      </c>
      <c r="DW58" s="79" t="s">
        <v>182</v>
      </c>
      <c r="DX58" s="79">
        <v>3</v>
      </c>
      <c r="DY58" s="79">
        <v>1</v>
      </c>
      <c r="DZ58" s="79" t="s">
        <v>611</v>
      </c>
      <c r="EA58" s="79">
        <v>2785</v>
      </c>
      <c r="EB58" s="79" t="s">
        <v>182</v>
      </c>
      <c r="EC58" s="79" t="s">
        <v>612</v>
      </c>
      <c r="ED58" s="79" t="s">
        <v>184</v>
      </c>
      <c r="EE58" s="79" t="str">
        <f t="shared" si="30"/>
        <v>Completo</v>
      </c>
      <c r="EF58" s="41"/>
      <c r="EG58" s="79" t="s">
        <v>153</v>
      </c>
      <c r="EH58" s="71"/>
      <c r="EI58" s="90" t="s">
        <v>613</v>
      </c>
      <c r="EJ58" s="71"/>
      <c r="EK58" s="79" t="s">
        <v>393</v>
      </c>
      <c r="EL58" s="76" t="str">
        <f t="shared" si="14"/>
        <v>Sí</v>
      </c>
      <c r="EM58" s="76" t="str">
        <f t="shared" si="15"/>
        <v>Sí</v>
      </c>
      <c r="EN58" s="76" t="str">
        <f t="shared" si="32"/>
        <v>Sí</v>
      </c>
      <c r="EO58" s="71"/>
      <c r="EP58" s="73" t="str">
        <f t="shared" si="17"/>
        <v>No aplica</v>
      </c>
      <c r="EQ58" s="77">
        <f t="shared" si="18"/>
        <v>3.5960591133004933</v>
      </c>
      <c r="ER58" s="71"/>
      <c r="ES58" s="79" t="s">
        <v>393</v>
      </c>
      <c r="ET58" s="73">
        <f t="shared" si="19"/>
        <v>1</v>
      </c>
      <c r="EU58" s="73">
        <f t="shared" si="33"/>
        <v>1</v>
      </c>
      <c r="EV58" s="73">
        <f t="shared" si="21"/>
        <v>1</v>
      </c>
      <c r="EW58" s="73">
        <f t="shared" si="22"/>
        <v>0.24703770197486535</v>
      </c>
      <c r="EX58" s="78"/>
      <c r="EY58" s="78"/>
    </row>
    <row r="59" spans="1:155" ht="46.5" customHeight="1">
      <c r="A59" s="79">
        <v>55</v>
      </c>
      <c r="B59" s="80" t="s">
        <v>614</v>
      </c>
      <c r="C59" s="81">
        <v>45352</v>
      </c>
      <c r="D59" s="82">
        <v>0.64583333333333337</v>
      </c>
      <c r="E59" s="79" t="s">
        <v>151</v>
      </c>
      <c r="F59" s="79" t="s">
        <v>153</v>
      </c>
      <c r="G59" s="79" t="s">
        <v>152</v>
      </c>
      <c r="H59" s="79" t="s">
        <v>152</v>
      </c>
      <c r="I59" s="79" t="s">
        <v>152</v>
      </c>
      <c r="J59" s="79" t="s">
        <v>154</v>
      </c>
      <c r="K59" s="79" t="s">
        <v>155</v>
      </c>
      <c r="L59" s="80" t="s">
        <v>615</v>
      </c>
      <c r="M59" s="80" t="s">
        <v>229</v>
      </c>
      <c r="N59" s="79" t="s">
        <v>346</v>
      </c>
      <c r="O59" s="80" t="str">
        <f t="shared" si="0"/>
        <v>Sebastian Potes Buitrago</v>
      </c>
      <c r="P59" s="79" t="s">
        <v>545</v>
      </c>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t="s">
        <v>230</v>
      </c>
      <c r="AP59" s="79" t="s">
        <v>347</v>
      </c>
      <c r="AQ59" s="80" t="s">
        <v>616</v>
      </c>
      <c r="AR59" s="83" t="s">
        <v>171</v>
      </c>
      <c r="AS59" s="80" t="s">
        <v>171</v>
      </c>
      <c r="AT59" s="80" t="str">
        <f t="shared" si="1"/>
        <v>Distrital</v>
      </c>
      <c r="AU59" s="79" t="s">
        <v>172</v>
      </c>
      <c r="AV59" s="79"/>
      <c r="AW59" s="79"/>
      <c r="AX59" s="79"/>
      <c r="AY59" s="79"/>
      <c r="AZ59" s="79"/>
      <c r="BA59" s="80" t="str">
        <f t="shared" si="2"/>
        <v>Distrital</v>
      </c>
      <c r="BB59" s="79" t="s">
        <v>172</v>
      </c>
      <c r="BC59" s="79"/>
      <c r="BD59" s="79"/>
      <c r="BE59" s="79"/>
      <c r="BF59" s="79"/>
      <c r="BG59" s="79"/>
      <c r="BH59" s="80" t="str">
        <f t="shared" si="3"/>
        <v>Distrital</v>
      </c>
      <c r="BI59" s="79" t="s">
        <v>172</v>
      </c>
      <c r="BJ59" s="79"/>
      <c r="BK59" s="79"/>
      <c r="BL59" s="79"/>
      <c r="BM59" s="79"/>
      <c r="BN59" s="79"/>
      <c r="BO59" s="79"/>
      <c r="BP59" s="79"/>
      <c r="BQ59" s="79"/>
      <c r="BR59" s="79"/>
      <c r="BS59" s="80" t="s">
        <v>288</v>
      </c>
      <c r="BT59" s="80" t="s">
        <v>174</v>
      </c>
      <c r="BU59" s="80" t="s">
        <v>617</v>
      </c>
      <c r="BV59" s="71"/>
      <c r="BW59" s="79" t="s">
        <v>153</v>
      </c>
      <c r="BX59" s="79" t="s">
        <v>176</v>
      </c>
      <c r="BY59" s="71"/>
      <c r="BZ59" s="79">
        <v>18</v>
      </c>
      <c r="CA59" s="79">
        <v>2</v>
      </c>
      <c r="CB59" s="79">
        <f t="shared" si="25"/>
        <v>20</v>
      </c>
      <c r="CC59" s="79" t="str">
        <f t="shared" si="31"/>
        <v>No Aplica</v>
      </c>
      <c r="CD59" s="79" t="s">
        <v>177</v>
      </c>
      <c r="CE59" s="79"/>
      <c r="CF59" s="79"/>
      <c r="CG59" s="83" t="s">
        <v>618</v>
      </c>
      <c r="CH59" s="41"/>
      <c r="CI59" s="79" t="s">
        <v>153</v>
      </c>
      <c r="CJ59" s="71"/>
      <c r="CK59" s="79">
        <f t="shared" si="6"/>
        <v>0</v>
      </c>
      <c r="CL59" s="79"/>
      <c r="CM59" s="79"/>
      <c r="CN59" s="79"/>
      <c r="CO59" s="79"/>
      <c r="CP59" s="79"/>
      <c r="CQ59" s="79"/>
      <c r="CR59" s="83" t="s">
        <v>179</v>
      </c>
      <c r="CS59" s="83" t="s">
        <v>179</v>
      </c>
      <c r="CT59" s="83" t="s">
        <v>179</v>
      </c>
      <c r="CU59" s="83" t="s">
        <v>179</v>
      </c>
      <c r="CV59" s="83" t="s">
        <v>179</v>
      </c>
      <c r="CW59" s="83" t="s">
        <v>179</v>
      </c>
      <c r="CX59" s="79" t="s">
        <v>153</v>
      </c>
      <c r="CY59" s="79">
        <v>0</v>
      </c>
      <c r="CZ59" s="79">
        <v>0</v>
      </c>
      <c r="DA59" s="79">
        <v>0</v>
      </c>
      <c r="DB59" s="84" t="s">
        <v>316</v>
      </c>
      <c r="DC59" s="41"/>
      <c r="DD59" s="79" t="s">
        <v>153</v>
      </c>
      <c r="DE59" s="71"/>
      <c r="DF59" s="85" t="s">
        <v>619</v>
      </c>
      <c r="DG59" s="79">
        <v>55</v>
      </c>
      <c r="DH59" s="86">
        <f t="shared" si="29"/>
        <v>45355</v>
      </c>
      <c r="DI59" s="79" t="s">
        <v>181</v>
      </c>
      <c r="DJ59" s="79" t="s">
        <v>182</v>
      </c>
      <c r="DK59" s="79"/>
      <c r="DL59" s="79">
        <v>0</v>
      </c>
      <c r="DM59" s="79">
        <v>0</v>
      </c>
      <c r="DN59" s="79" t="s">
        <v>182</v>
      </c>
      <c r="DO59" s="79"/>
      <c r="DP59" s="79"/>
      <c r="DQ59" s="79"/>
      <c r="DR59" s="75" t="str">
        <f t="shared" si="11"/>
        <v>No aplica</v>
      </c>
      <c r="DS59" s="79"/>
      <c r="DT59" s="79"/>
      <c r="DU59" s="75" t="str">
        <f t="shared" si="12"/>
        <v>No aplica</v>
      </c>
      <c r="DV59" s="79" t="s">
        <v>182</v>
      </c>
      <c r="DW59" s="79" t="s">
        <v>182</v>
      </c>
      <c r="DX59" s="79"/>
      <c r="DY59" s="79"/>
      <c r="DZ59" s="93"/>
      <c r="EA59" s="79"/>
      <c r="EB59" s="79" t="s">
        <v>182</v>
      </c>
      <c r="EC59" s="79" t="s">
        <v>620</v>
      </c>
      <c r="ED59" s="79" t="s">
        <v>184</v>
      </c>
      <c r="EE59" s="79" t="s">
        <v>621</v>
      </c>
      <c r="EF59" s="41"/>
      <c r="EG59" s="79" t="s">
        <v>153</v>
      </c>
      <c r="EH59" s="71"/>
      <c r="EI59" s="80"/>
      <c r="EJ59" s="71"/>
      <c r="EK59" s="79"/>
      <c r="EL59" s="76" t="str">
        <f t="shared" si="14"/>
        <v>No requiere</v>
      </c>
      <c r="EM59" s="76" t="str">
        <f t="shared" si="15"/>
        <v>No requiere</v>
      </c>
      <c r="EN59" s="76" t="str">
        <f t="shared" si="32"/>
        <v>No requiere</v>
      </c>
      <c r="EO59" s="71"/>
      <c r="EP59" s="73" t="str">
        <f t="shared" si="17"/>
        <v>No requiere</v>
      </c>
      <c r="EQ59" s="77" t="str">
        <f t="shared" si="18"/>
        <v>No requiere</v>
      </c>
      <c r="ER59" s="71"/>
      <c r="ES59" s="79"/>
      <c r="ET59" s="73" t="str">
        <f t="shared" si="19"/>
        <v>No requiere</v>
      </c>
      <c r="EU59" s="73" t="str">
        <f t="shared" si="33"/>
        <v>No requiere</v>
      </c>
      <c r="EV59" s="73" t="str">
        <f t="shared" si="21"/>
        <v>No requiere</v>
      </c>
      <c r="EW59" s="73" t="str">
        <f t="shared" si="22"/>
        <v>No requiere</v>
      </c>
      <c r="EX59" s="78"/>
      <c r="EY59" s="78"/>
    </row>
    <row r="60" spans="1:155" ht="46.5" customHeight="1">
      <c r="A60" s="79">
        <v>56</v>
      </c>
      <c r="B60" s="80" t="s">
        <v>622</v>
      </c>
      <c r="C60" s="81">
        <v>45352</v>
      </c>
      <c r="D60" s="82">
        <v>0.75</v>
      </c>
      <c r="E60" s="79" t="s">
        <v>200</v>
      </c>
      <c r="F60" s="79" t="s">
        <v>153</v>
      </c>
      <c r="G60" s="79" t="s">
        <v>152</v>
      </c>
      <c r="H60" s="79" t="s">
        <v>152</v>
      </c>
      <c r="I60" s="79" t="s">
        <v>152</v>
      </c>
      <c r="J60" s="79" t="s">
        <v>211</v>
      </c>
      <c r="K60" s="79" t="s">
        <v>202</v>
      </c>
      <c r="L60" s="80" t="s">
        <v>623</v>
      </c>
      <c r="M60" s="80" t="s">
        <v>624</v>
      </c>
      <c r="N60" s="79" t="s">
        <v>253</v>
      </c>
      <c r="O60" s="80" t="str">
        <f t="shared" si="0"/>
        <v>PENDIENTE</v>
      </c>
      <c r="P60" s="79" t="s">
        <v>196</v>
      </c>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t="s">
        <v>230</v>
      </c>
      <c r="AP60" s="79" t="s">
        <v>242</v>
      </c>
      <c r="AQ60" s="80" t="s">
        <v>625</v>
      </c>
      <c r="AR60" s="83">
        <v>3188799909</v>
      </c>
      <c r="AS60" s="80" t="s">
        <v>171</v>
      </c>
      <c r="AT60" s="80" t="str">
        <f t="shared" si="1"/>
        <v>Distrital</v>
      </c>
      <c r="AU60" s="79" t="s">
        <v>172</v>
      </c>
      <c r="AV60" s="79"/>
      <c r="AW60" s="79"/>
      <c r="AX60" s="79"/>
      <c r="AY60" s="79"/>
      <c r="AZ60" s="79"/>
      <c r="BA60" s="80" t="str">
        <f t="shared" si="2"/>
        <v>Distrital</v>
      </c>
      <c r="BB60" s="79" t="s">
        <v>172</v>
      </c>
      <c r="BC60" s="79"/>
      <c r="BD60" s="79"/>
      <c r="BE60" s="79"/>
      <c r="BF60" s="79"/>
      <c r="BG60" s="79"/>
      <c r="BH60" s="80" t="str">
        <f t="shared" si="3"/>
        <v>Distrital</v>
      </c>
      <c r="BI60" s="79" t="s">
        <v>172</v>
      </c>
      <c r="BJ60" s="79"/>
      <c r="BK60" s="79"/>
      <c r="BL60" s="79"/>
      <c r="BM60" s="79"/>
      <c r="BN60" s="79"/>
      <c r="BO60" s="79"/>
      <c r="BP60" s="79"/>
      <c r="BQ60" s="79"/>
      <c r="BR60" s="79"/>
      <c r="BS60" s="80" t="s">
        <v>288</v>
      </c>
      <c r="BT60" s="80" t="s">
        <v>174</v>
      </c>
      <c r="BU60" s="89" t="s">
        <v>626</v>
      </c>
      <c r="BV60" s="71"/>
      <c r="BW60" s="79" t="s">
        <v>152</v>
      </c>
      <c r="BX60" s="79" t="s">
        <v>179</v>
      </c>
      <c r="BY60" s="71"/>
      <c r="BZ60" s="79">
        <v>86</v>
      </c>
      <c r="CA60" s="79">
        <v>2</v>
      </c>
      <c r="CB60" s="79">
        <f t="shared" si="25"/>
        <v>88</v>
      </c>
      <c r="CC60" s="79" t="str">
        <f t="shared" si="31"/>
        <v>No Aplica</v>
      </c>
      <c r="CD60" s="79" t="s">
        <v>177</v>
      </c>
      <c r="CE60" s="79"/>
      <c r="CF60" s="79"/>
      <c r="CG60" s="83" t="s">
        <v>627</v>
      </c>
      <c r="CH60" s="41"/>
      <c r="CI60" s="79" t="s">
        <v>153</v>
      </c>
      <c r="CJ60" s="71"/>
      <c r="CK60" s="79">
        <f t="shared" si="6"/>
        <v>0</v>
      </c>
      <c r="CL60" s="79"/>
      <c r="CM60" s="79"/>
      <c r="CN60" s="79"/>
      <c r="CO60" s="79"/>
      <c r="CP60" s="79"/>
      <c r="CQ60" s="79"/>
      <c r="CR60" s="83" t="s">
        <v>179</v>
      </c>
      <c r="CS60" s="83" t="s">
        <v>179</v>
      </c>
      <c r="CT60" s="83" t="s">
        <v>179</v>
      </c>
      <c r="CU60" s="83" t="s">
        <v>179</v>
      </c>
      <c r="CV60" s="83" t="s">
        <v>179</v>
      </c>
      <c r="CW60" s="83" t="s">
        <v>179</v>
      </c>
      <c r="CX60" s="79" t="s">
        <v>153</v>
      </c>
      <c r="CY60" s="79">
        <f t="shared" ref="CY60:CY66" si="34">SUM(COUNTIF(CR60:CW60,"Realizado y Devuelto a la Ciudadanía"),COUNTIF(CR60:CW60,"Realizado y Trasladado por competencia"), COUNTIF(CR60:CW60,"Realizado y Gestionado"))</f>
        <v>0</v>
      </c>
      <c r="CZ60" s="79">
        <v>0</v>
      </c>
      <c r="DA60" s="79">
        <f t="shared" ref="DA60:DA66" si="35">COUNTIF(CR60:CW60,"Realizado y Devuelto a la Ciudadanía")</f>
        <v>0</v>
      </c>
      <c r="DB60" s="84" t="str">
        <f t="shared" ref="DB60:DB66" si="36">IFERROR(CY60/CK60,"")</f>
        <v/>
      </c>
      <c r="DC60" s="41"/>
      <c r="DD60" s="79" t="s">
        <v>153</v>
      </c>
      <c r="DE60" s="71"/>
      <c r="DF60" s="85" t="s">
        <v>628</v>
      </c>
      <c r="DG60" s="79">
        <v>56</v>
      </c>
      <c r="DH60" s="86" t="str">
        <f t="shared" si="29"/>
        <v>Completo</v>
      </c>
      <c r="DI60" s="79" t="s">
        <v>181</v>
      </c>
      <c r="DJ60" s="79" t="s">
        <v>182</v>
      </c>
      <c r="DK60" s="79"/>
      <c r="DL60" s="79">
        <v>0</v>
      </c>
      <c r="DM60" s="79">
        <v>0</v>
      </c>
      <c r="DN60" s="79" t="s">
        <v>182</v>
      </c>
      <c r="DO60" s="79"/>
      <c r="DP60" s="79"/>
      <c r="DQ60" s="79"/>
      <c r="DR60" s="75" t="str">
        <f t="shared" si="11"/>
        <v>No aplica</v>
      </c>
      <c r="DS60" s="79"/>
      <c r="DT60" s="79"/>
      <c r="DU60" s="75" t="str">
        <f t="shared" si="12"/>
        <v>No aplica</v>
      </c>
      <c r="DV60" s="79" t="s">
        <v>182</v>
      </c>
      <c r="DW60" s="79" t="s">
        <v>182</v>
      </c>
      <c r="DX60" s="79"/>
      <c r="DY60" s="79"/>
      <c r="DZ60" s="93"/>
      <c r="EA60" s="79"/>
      <c r="EB60" s="79" t="s">
        <v>182</v>
      </c>
      <c r="EC60" s="79" t="s">
        <v>629</v>
      </c>
      <c r="ED60" s="79" t="s">
        <v>184</v>
      </c>
      <c r="EE60" s="79" t="str">
        <f t="shared" ref="EE60:EE115" si="37">IF(DI60="Subsanado","Completo","Por Completar")</f>
        <v>Completo</v>
      </c>
      <c r="EF60" s="41"/>
      <c r="EG60" s="79" t="s">
        <v>153</v>
      </c>
      <c r="EH60" s="71"/>
      <c r="EI60" s="80"/>
      <c r="EJ60" s="71"/>
      <c r="EK60" s="79" t="s">
        <v>179</v>
      </c>
      <c r="EL60" s="76" t="str">
        <f t="shared" si="14"/>
        <v>No requiere</v>
      </c>
      <c r="EM60" s="76" t="str">
        <f t="shared" si="15"/>
        <v>No requiere</v>
      </c>
      <c r="EN60" s="76" t="str">
        <f t="shared" si="32"/>
        <v>No requiere</v>
      </c>
      <c r="EO60" s="71"/>
      <c r="EP60" s="73" t="str">
        <f t="shared" si="17"/>
        <v>No requiere</v>
      </c>
      <c r="EQ60" s="77" t="str">
        <f t="shared" si="18"/>
        <v>No requiere</v>
      </c>
      <c r="ER60" s="71"/>
      <c r="ES60" s="79" t="s">
        <v>179</v>
      </c>
      <c r="ET60" s="73" t="str">
        <f t="shared" si="19"/>
        <v>No requiere</v>
      </c>
      <c r="EU60" s="73" t="str">
        <f t="shared" si="33"/>
        <v>No requiere</v>
      </c>
      <c r="EV60" s="73" t="str">
        <f t="shared" si="21"/>
        <v>No requiere</v>
      </c>
      <c r="EW60" s="73" t="str">
        <f t="shared" si="22"/>
        <v>No requiere</v>
      </c>
      <c r="EX60" s="78"/>
      <c r="EY60" s="78"/>
    </row>
    <row r="61" spans="1:155" ht="46.5" customHeight="1">
      <c r="A61" s="79">
        <v>57</v>
      </c>
      <c r="B61" s="80" t="s">
        <v>630</v>
      </c>
      <c r="C61" s="81">
        <v>45353</v>
      </c>
      <c r="D61" s="82">
        <v>0.375</v>
      </c>
      <c r="E61" s="79" t="s">
        <v>151</v>
      </c>
      <c r="F61" s="79" t="s">
        <v>153</v>
      </c>
      <c r="G61" s="79" t="s">
        <v>153</v>
      </c>
      <c r="H61" s="79" t="s">
        <v>153</v>
      </c>
      <c r="I61" s="79" t="s">
        <v>152</v>
      </c>
      <c r="J61" s="79" t="s">
        <v>154</v>
      </c>
      <c r="K61" s="79" t="s">
        <v>155</v>
      </c>
      <c r="L61" s="80" t="s">
        <v>600</v>
      </c>
      <c r="M61" s="80" t="s">
        <v>303</v>
      </c>
      <c r="N61" s="79" t="s">
        <v>506</v>
      </c>
      <c r="O61" s="80" t="str">
        <f t="shared" si="0"/>
        <v>Maria Alejandra Castañeda, Sebastian Potes Buitrago, Mario Herrera, Ana María Ulloa, Claudia Fernanda Pineda, Humberto Díaz Acosta, James Fernando Núñez, Hernán Darío Meléndez, Yohan David Díaz, Laura Sofia Morales, Derly Adriana Castillo, Jimmy Alejandro Osorio, Rosemberg Prisco Vasquez</v>
      </c>
      <c r="P61" s="79" t="s">
        <v>494</v>
      </c>
      <c r="Q61" s="79" t="s">
        <v>545</v>
      </c>
      <c r="R61" s="79"/>
      <c r="S61" s="79" t="s">
        <v>631</v>
      </c>
      <c r="T61" s="79" t="s">
        <v>522</v>
      </c>
      <c r="U61" s="79" t="s">
        <v>546</v>
      </c>
      <c r="V61" s="79" t="s">
        <v>253</v>
      </c>
      <c r="W61" s="79" t="s">
        <v>632</v>
      </c>
      <c r="X61" s="79" t="s">
        <v>633</v>
      </c>
      <c r="Y61" s="79" t="s">
        <v>164</v>
      </c>
      <c r="Z61" s="79" t="s">
        <v>506</v>
      </c>
      <c r="AA61" s="79" t="s">
        <v>526</v>
      </c>
      <c r="AB61" s="79" t="s">
        <v>549</v>
      </c>
      <c r="AC61" s="79" t="s">
        <v>162</v>
      </c>
      <c r="AD61" s="79"/>
      <c r="AE61" s="79"/>
      <c r="AF61" s="79"/>
      <c r="AG61" s="79"/>
      <c r="AH61" s="79"/>
      <c r="AI61" s="79"/>
      <c r="AJ61" s="79"/>
      <c r="AK61" s="79"/>
      <c r="AL61" s="79"/>
      <c r="AM61" s="79"/>
      <c r="AN61" s="79"/>
      <c r="AO61" s="79" t="s">
        <v>304</v>
      </c>
      <c r="AP61" s="79"/>
      <c r="AQ61" s="80" t="s">
        <v>171</v>
      </c>
      <c r="AR61" s="80" t="s">
        <v>171</v>
      </c>
      <c r="AS61" s="80" t="s">
        <v>171</v>
      </c>
      <c r="AT61" s="80" t="str">
        <f t="shared" si="1"/>
        <v>Antonio Nariño, Rafael Uribe Uribe</v>
      </c>
      <c r="AU61" s="79" t="s">
        <v>634</v>
      </c>
      <c r="AV61" s="79" t="s">
        <v>635</v>
      </c>
      <c r="AW61" s="79"/>
      <c r="AX61" s="79"/>
      <c r="AY61" s="79"/>
      <c r="AZ61" s="79"/>
      <c r="BA61" s="80" t="str">
        <f t="shared" si="2"/>
        <v>Centro Ampliado</v>
      </c>
      <c r="BB61" s="79" t="s">
        <v>636</v>
      </c>
      <c r="BC61" s="79"/>
      <c r="BD61" s="79"/>
      <c r="BE61" s="79"/>
      <c r="BF61" s="79"/>
      <c r="BG61" s="79"/>
      <c r="BH61" s="80" t="str">
        <f t="shared" si="3"/>
        <v>Restrepo</v>
      </c>
      <c r="BI61" s="79" t="s">
        <v>637</v>
      </c>
      <c r="BJ61" s="79"/>
      <c r="BK61" s="79"/>
      <c r="BL61" s="79"/>
      <c r="BM61" s="79"/>
      <c r="BN61" s="79"/>
      <c r="BO61" s="79"/>
      <c r="BP61" s="79"/>
      <c r="BQ61" s="79"/>
      <c r="BR61" s="79"/>
      <c r="BS61" s="80" t="s">
        <v>288</v>
      </c>
      <c r="BT61" s="80" t="s">
        <v>605</v>
      </c>
      <c r="BU61" s="80" t="s">
        <v>638</v>
      </c>
      <c r="BV61" s="71"/>
      <c r="BW61" s="79" t="s">
        <v>153</v>
      </c>
      <c r="BX61" s="79" t="s">
        <v>607</v>
      </c>
      <c r="BY61" s="71"/>
      <c r="BZ61" s="79">
        <v>55</v>
      </c>
      <c r="CA61" s="79">
        <v>14</v>
      </c>
      <c r="CB61" s="79">
        <f t="shared" si="25"/>
        <v>69</v>
      </c>
      <c r="CC61" s="79" t="str">
        <f t="shared" si="31"/>
        <v>Horarios Acordes, Lenguaje de señas</v>
      </c>
      <c r="CD61" s="79" t="s">
        <v>351</v>
      </c>
      <c r="CE61" s="79" t="s">
        <v>349</v>
      </c>
      <c r="CF61" s="79"/>
      <c r="CG61" s="83" t="s">
        <v>608</v>
      </c>
      <c r="CH61" s="41"/>
      <c r="CI61" s="79" t="s">
        <v>153</v>
      </c>
      <c r="CJ61" s="71"/>
      <c r="CK61" s="79">
        <f t="shared" si="6"/>
        <v>1</v>
      </c>
      <c r="CL61" s="93" t="s">
        <v>389</v>
      </c>
      <c r="CM61" s="79"/>
      <c r="CN61" s="79"/>
      <c r="CO61" s="79"/>
      <c r="CP61" s="79"/>
      <c r="CQ61" s="79"/>
      <c r="CR61" s="83" t="s">
        <v>390</v>
      </c>
      <c r="CS61" s="83" t="s">
        <v>179</v>
      </c>
      <c r="CT61" s="83" t="s">
        <v>179</v>
      </c>
      <c r="CU61" s="83" t="s">
        <v>179</v>
      </c>
      <c r="CV61" s="83" t="s">
        <v>179</v>
      </c>
      <c r="CW61" s="83" t="s">
        <v>179</v>
      </c>
      <c r="CX61" s="79" t="s">
        <v>153</v>
      </c>
      <c r="CY61" s="79">
        <f t="shared" si="34"/>
        <v>1</v>
      </c>
      <c r="CZ61" s="79">
        <v>1</v>
      </c>
      <c r="DA61" s="79">
        <f t="shared" si="35"/>
        <v>1</v>
      </c>
      <c r="DB61" s="84">
        <f t="shared" si="36"/>
        <v>1</v>
      </c>
      <c r="DC61" s="41"/>
      <c r="DD61" s="79" t="s">
        <v>153</v>
      </c>
      <c r="DE61" s="71"/>
      <c r="DF61" s="85" t="s">
        <v>639</v>
      </c>
      <c r="DG61" s="79">
        <v>57</v>
      </c>
      <c r="DH61" s="86" t="str">
        <f t="shared" si="29"/>
        <v>Completo</v>
      </c>
      <c r="DI61" s="79" t="s">
        <v>181</v>
      </c>
      <c r="DJ61" s="79" t="s">
        <v>182</v>
      </c>
      <c r="DK61" s="79" t="s">
        <v>153</v>
      </c>
      <c r="DL61" s="79">
        <v>0</v>
      </c>
      <c r="DM61" s="79">
        <v>0</v>
      </c>
      <c r="DN61" s="79" t="s">
        <v>182</v>
      </c>
      <c r="DO61" s="79">
        <v>714</v>
      </c>
      <c r="DP61" s="79" t="s">
        <v>182</v>
      </c>
      <c r="DQ61" s="79">
        <v>20</v>
      </c>
      <c r="DR61" s="75">
        <f t="shared" si="11"/>
        <v>1.2121212121212122</v>
      </c>
      <c r="DS61" s="79" t="s">
        <v>182</v>
      </c>
      <c r="DT61" s="79">
        <v>20</v>
      </c>
      <c r="DU61" s="75">
        <f t="shared" si="12"/>
        <v>1.0389610389610389</v>
      </c>
      <c r="DV61" s="79" t="s">
        <v>182</v>
      </c>
      <c r="DW61" s="79" t="s">
        <v>182</v>
      </c>
      <c r="DX61" s="79">
        <v>5</v>
      </c>
      <c r="DY61" s="79">
        <v>1</v>
      </c>
      <c r="DZ61" s="79" t="s">
        <v>640</v>
      </c>
      <c r="EA61" s="79">
        <v>3146</v>
      </c>
      <c r="EB61" s="79" t="s">
        <v>182</v>
      </c>
      <c r="EC61" s="79" t="s">
        <v>641</v>
      </c>
      <c r="ED61" s="79" t="s">
        <v>249</v>
      </c>
      <c r="EE61" s="79" t="str">
        <f t="shared" si="37"/>
        <v>Completo</v>
      </c>
      <c r="EF61" s="41"/>
      <c r="EG61" s="79" t="s">
        <v>153</v>
      </c>
      <c r="EH61" s="71"/>
      <c r="EI61" s="89" t="s">
        <v>642</v>
      </c>
      <c r="EJ61" s="71"/>
      <c r="EK61" s="79" t="s">
        <v>409</v>
      </c>
      <c r="EL61" s="76" t="str">
        <f t="shared" si="14"/>
        <v>Sí</v>
      </c>
      <c r="EM61" s="76" t="str">
        <f t="shared" si="15"/>
        <v>Sí</v>
      </c>
      <c r="EN61" s="76" t="str">
        <f t="shared" si="32"/>
        <v>Sí</v>
      </c>
      <c r="EO61" s="71"/>
      <c r="EP61" s="73" t="str">
        <f t="shared" si="17"/>
        <v>No aplica</v>
      </c>
      <c r="EQ61" s="77">
        <f t="shared" si="18"/>
        <v>1.0389610389610389</v>
      </c>
      <c r="ER61" s="71"/>
      <c r="ES61" s="79" t="s">
        <v>393</v>
      </c>
      <c r="ET61" s="73">
        <f t="shared" si="19"/>
        <v>1</v>
      </c>
      <c r="EU61" s="73">
        <f t="shared" si="33"/>
        <v>1</v>
      </c>
      <c r="EV61" s="73">
        <f t="shared" si="21"/>
        <v>1</v>
      </c>
      <c r="EW61" s="73">
        <f t="shared" si="22"/>
        <v>0.22695486331849968</v>
      </c>
      <c r="EX61" s="78"/>
      <c r="EY61" s="78"/>
    </row>
    <row r="62" spans="1:155" ht="46.5" customHeight="1">
      <c r="A62" s="79">
        <v>58</v>
      </c>
      <c r="B62" s="80" t="s">
        <v>643</v>
      </c>
      <c r="C62" s="81">
        <v>45353</v>
      </c>
      <c r="D62" s="82">
        <v>0.375</v>
      </c>
      <c r="E62" s="79" t="s">
        <v>151</v>
      </c>
      <c r="F62" s="79" t="s">
        <v>153</v>
      </c>
      <c r="G62" s="79" t="s">
        <v>153</v>
      </c>
      <c r="H62" s="79" t="s">
        <v>153</v>
      </c>
      <c r="I62" s="79" t="s">
        <v>152</v>
      </c>
      <c r="J62" s="79" t="s">
        <v>154</v>
      </c>
      <c r="K62" s="79" t="s">
        <v>155</v>
      </c>
      <c r="L62" s="80" t="s">
        <v>600</v>
      </c>
      <c r="M62" s="80" t="s">
        <v>303</v>
      </c>
      <c r="N62" s="79" t="s">
        <v>161</v>
      </c>
      <c r="O62" s="80" t="str">
        <f t="shared" si="0"/>
        <v>Diana Carolina Aristizábal, Sarah Lucia Triviño, María del Pilar Barreto, Johanna Catherine Gamez, Mónica Lyzeth Cantor, Erika Lizeth Rueda, Nicolás Esteban Flórez, Nixon Sandoval Mateus, Nathalia Guzmán Martínez, Norberto Muñoz Morera, David Reinaldo Jojoa, Valentina González Pontón, Nicolas Esteban Hernández</v>
      </c>
      <c r="P62" s="79" t="s">
        <v>165</v>
      </c>
      <c r="Q62" s="79" t="s">
        <v>499</v>
      </c>
      <c r="R62" s="79"/>
      <c r="S62" s="79" t="s">
        <v>195</v>
      </c>
      <c r="T62" s="79" t="s">
        <v>213</v>
      </c>
      <c r="U62" s="79" t="s">
        <v>346</v>
      </c>
      <c r="V62" s="79" t="s">
        <v>556</v>
      </c>
      <c r="W62" s="79" t="s">
        <v>472</v>
      </c>
      <c r="X62" s="79" t="s">
        <v>644</v>
      </c>
      <c r="Y62" s="79" t="s">
        <v>166</v>
      </c>
      <c r="Z62" s="79" t="s">
        <v>161</v>
      </c>
      <c r="AA62" s="79" t="s">
        <v>548</v>
      </c>
      <c r="AB62" s="79" t="s">
        <v>329</v>
      </c>
      <c r="AC62" s="79" t="s">
        <v>645</v>
      </c>
      <c r="AD62" s="79"/>
      <c r="AE62" s="79"/>
      <c r="AF62" s="79"/>
      <c r="AG62" s="79"/>
      <c r="AH62" s="79"/>
      <c r="AI62" s="79"/>
      <c r="AJ62" s="79"/>
      <c r="AK62" s="79"/>
      <c r="AL62" s="79"/>
      <c r="AM62" s="79"/>
      <c r="AN62" s="79"/>
      <c r="AO62" s="79" t="s">
        <v>304</v>
      </c>
      <c r="AP62" s="79"/>
      <c r="AQ62" s="80" t="s">
        <v>171</v>
      </c>
      <c r="AR62" s="80" t="s">
        <v>171</v>
      </c>
      <c r="AS62" s="80" t="s">
        <v>171</v>
      </c>
      <c r="AT62" s="80" t="str">
        <f t="shared" si="1"/>
        <v>Fontibón</v>
      </c>
      <c r="AU62" s="79" t="s">
        <v>646</v>
      </c>
      <c r="AV62" s="79"/>
      <c r="AW62" s="79"/>
      <c r="AX62" s="79"/>
      <c r="AY62" s="79"/>
      <c r="AZ62" s="79"/>
      <c r="BA62" s="80" t="str">
        <f t="shared" si="2"/>
        <v>Occidente</v>
      </c>
      <c r="BB62" s="79" t="s">
        <v>235</v>
      </c>
      <c r="BC62" s="79"/>
      <c r="BD62" s="79"/>
      <c r="BE62" s="79"/>
      <c r="BF62" s="79"/>
      <c r="BG62" s="79"/>
      <c r="BH62" s="80" t="str">
        <f t="shared" si="3"/>
        <v>Fontibón</v>
      </c>
      <c r="BI62" s="79" t="s">
        <v>646</v>
      </c>
      <c r="BJ62" s="79"/>
      <c r="BK62" s="79"/>
      <c r="BL62" s="79"/>
      <c r="BM62" s="79"/>
      <c r="BN62" s="79"/>
      <c r="BO62" s="79"/>
      <c r="BP62" s="79"/>
      <c r="BQ62" s="79"/>
      <c r="BR62" s="79"/>
      <c r="BS62" s="80" t="s">
        <v>288</v>
      </c>
      <c r="BT62" s="80" t="s">
        <v>605</v>
      </c>
      <c r="BU62" s="80" t="s">
        <v>647</v>
      </c>
      <c r="BV62" s="71"/>
      <c r="BW62" s="79" t="s">
        <v>153</v>
      </c>
      <c r="BX62" s="79" t="s">
        <v>607</v>
      </c>
      <c r="BY62" s="71"/>
      <c r="BZ62" s="79">
        <v>50</v>
      </c>
      <c r="CA62" s="79">
        <v>13</v>
      </c>
      <c r="CB62" s="79">
        <f t="shared" si="25"/>
        <v>63</v>
      </c>
      <c r="CC62" s="79" t="str">
        <f t="shared" si="31"/>
        <v>Accesibilidad Universal, Horarios Acordes</v>
      </c>
      <c r="CD62" s="79" t="s">
        <v>397</v>
      </c>
      <c r="CE62" s="79" t="s">
        <v>351</v>
      </c>
      <c r="CF62" s="79"/>
      <c r="CG62" s="83" t="s">
        <v>608</v>
      </c>
      <c r="CH62" s="41"/>
      <c r="CI62" s="79" t="s">
        <v>153</v>
      </c>
      <c r="CJ62" s="71"/>
      <c r="CK62" s="79">
        <f t="shared" si="6"/>
        <v>1</v>
      </c>
      <c r="CL62" s="93" t="s">
        <v>648</v>
      </c>
      <c r="CM62" s="79"/>
      <c r="CN62" s="79"/>
      <c r="CO62" s="79"/>
      <c r="CP62" s="79"/>
      <c r="CQ62" s="79"/>
      <c r="CR62" s="83" t="s">
        <v>390</v>
      </c>
      <c r="CS62" s="83" t="s">
        <v>179</v>
      </c>
      <c r="CT62" s="83" t="s">
        <v>179</v>
      </c>
      <c r="CU62" s="83" t="s">
        <v>179</v>
      </c>
      <c r="CV62" s="83" t="s">
        <v>179</v>
      </c>
      <c r="CW62" s="83" t="s">
        <v>179</v>
      </c>
      <c r="CX62" s="79" t="s">
        <v>153</v>
      </c>
      <c r="CY62" s="79">
        <f t="shared" si="34"/>
        <v>1</v>
      </c>
      <c r="CZ62" s="79">
        <v>1</v>
      </c>
      <c r="DA62" s="79">
        <f t="shared" si="35"/>
        <v>1</v>
      </c>
      <c r="DB62" s="84">
        <f t="shared" si="36"/>
        <v>1</v>
      </c>
      <c r="DC62" s="41"/>
      <c r="DD62" s="79" t="s">
        <v>153</v>
      </c>
      <c r="DE62" s="71"/>
      <c r="DF62" s="85" t="s">
        <v>649</v>
      </c>
      <c r="DG62" s="79">
        <v>58</v>
      </c>
      <c r="DH62" s="86" t="str">
        <f t="shared" si="29"/>
        <v>Completo</v>
      </c>
      <c r="DI62" s="79" t="s">
        <v>181</v>
      </c>
      <c r="DJ62" s="79" t="s">
        <v>182</v>
      </c>
      <c r="DK62" s="79" t="s">
        <v>153</v>
      </c>
      <c r="DL62" s="79">
        <v>0</v>
      </c>
      <c r="DM62" s="79">
        <v>0</v>
      </c>
      <c r="DN62" s="79" t="s">
        <v>182</v>
      </c>
      <c r="DO62" s="79">
        <v>1400</v>
      </c>
      <c r="DP62" s="79" t="s">
        <v>182</v>
      </c>
      <c r="DQ62" s="79">
        <v>12</v>
      </c>
      <c r="DR62" s="75">
        <f t="shared" si="11"/>
        <v>0.8</v>
      </c>
      <c r="DS62" s="79" t="s">
        <v>182</v>
      </c>
      <c r="DT62" s="79">
        <v>56</v>
      </c>
      <c r="DU62" s="75">
        <f t="shared" si="12"/>
        <v>3.2</v>
      </c>
      <c r="DV62" s="79" t="s">
        <v>182</v>
      </c>
      <c r="DW62" s="79" t="s">
        <v>182</v>
      </c>
      <c r="DX62" s="79">
        <v>4</v>
      </c>
      <c r="DY62" s="79">
        <v>1</v>
      </c>
      <c r="DZ62" s="79" t="s">
        <v>640</v>
      </c>
      <c r="EA62" s="79">
        <v>2863</v>
      </c>
      <c r="EB62" s="79" t="s">
        <v>182</v>
      </c>
      <c r="EC62" s="79" t="s">
        <v>650</v>
      </c>
      <c r="ED62" s="79" t="s">
        <v>184</v>
      </c>
      <c r="EE62" s="79" t="str">
        <f t="shared" si="37"/>
        <v>Completo</v>
      </c>
      <c r="EF62" s="41"/>
      <c r="EG62" s="79" t="s">
        <v>153</v>
      </c>
      <c r="EH62" s="71"/>
      <c r="EI62" s="89" t="s">
        <v>651</v>
      </c>
      <c r="EJ62" s="71"/>
      <c r="EK62" s="79" t="s">
        <v>409</v>
      </c>
      <c r="EL62" s="76" t="str">
        <f t="shared" si="14"/>
        <v>Sí</v>
      </c>
      <c r="EM62" s="76" t="str">
        <f t="shared" si="15"/>
        <v>Sí</v>
      </c>
      <c r="EN62" s="76" t="str">
        <f t="shared" si="32"/>
        <v>Sí</v>
      </c>
      <c r="EO62" s="71"/>
      <c r="EP62" s="73" t="str">
        <f t="shared" si="17"/>
        <v>No aplica</v>
      </c>
      <c r="EQ62" s="77">
        <f t="shared" si="18"/>
        <v>3.2</v>
      </c>
      <c r="ER62" s="71"/>
      <c r="ES62" s="79" t="s">
        <v>409</v>
      </c>
      <c r="ET62" s="73">
        <f t="shared" si="19"/>
        <v>1</v>
      </c>
      <c r="EU62" s="73">
        <f t="shared" si="33"/>
        <v>1</v>
      </c>
      <c r="EV62" s="73">
        <f t="shared" si="21"/>
        <v>1</v>
      </c>
      <c r="EW62" s="73">
        <f t="shared" si="22"/>
        <v>0.48899755501222492</v>
      </c>
      <c r="EX62" s="78"/>
      <c r="EY62" s="78"/>
    </row>
    <row r="63" spans="1:155" ht="46.5" customHeight="1">
      <c r="A63" s="79">
        <v>59</v>
      </c>
      <c r="B63" s="80" t="s">
        <v>652</v>
      </c>
      <c r="C63" s="81">
        <v>45355</v>
      </c>
      <c r="D63" s="82">
        <v>0.29166666666666669</v>
      </c>
      <c r="E63" s="79" t="s">
        <v>151</v>
      </c>
      <c r="F63" s="79" t="s">
        <v>153</v>
      </c>
      <c r="G63" s="79" t="s">
        <v>152</v>
      </c>
      <c r="H63" s="79" t="s">
        <v>152</v>
      </c>
      <c r="I63" s="79" t="s">
        <v>152</v>
      </c>
      <c r="J63" s="79" t="s">
        <v>154</v>
      </c>
      <c r="K63" s="79" t="s">
        <v>202</v>
      </c>
      <c r="L63" s="80" t="s">
        <v>653</v>
      </c>
      <c r="M63" s="80" t="s">
        <v>303</v>
      </c>
      <c r="N63" s="79" t="s">
        <v>166</v>
      </c>
      <c r="O63" s="80" t="str">
        <f t="shared" si="0"/>
        <v>Diego Alejandro Camacho</v>
      </c>
      <c r="P63" s="79" t="s">
        <v>422</v>
      </c>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t="s">
        <v>230</v>
      </c>
      <c r="AP63" s="79" t="s">
        <v>347</v>
      </c>
      <c r="AQ63" s="80" t="s">
        <v>536</v>
      </c>
      <c r="AR63" s="83">
        <v>3114546690</v>
      </c>
      <c r="AS63" s="80" t="s">
        <v>537</v>
      </c>
      <c r="AT63" s="80" t="str">
        <f t="shared" si="1"/>
        <v>Distrital</v>
      </c>
      <c r="AU63" s="79" t="s">
        <v>172</v>
      </c>
      <c r="AV63" s="79"/>
      <c r="AW63" s="79"/>
      <c r="AX63" s="79"/>
      <c r="AY63" s="79"/>
      <c r="AZ63" s="79"/>
      <c r="BA63" s="80" t="str">
        <f t="shared" si="2"/>
        <v>Distrital</v>
      </c>
      <c r="BB63" s="79" t="s">
        <v>172</v>
      </c>
      <c r="BC63" s="79"/>
      <c r="BD63" s="79"/>
      <c r="BE63" s="79"/>
      <c r="BF63" s="79"/>
      <c r="BG63" s="79"/>
      <c r="BH63" s="80" t="str">
        <f t="shared" si="3"/>
        <v>Distrital</v>
      </c>
      <c r="BI63" s="79" t="s">
        <v>172</v>
      </c>
      <c r="BJ63" s="79"/>
      <c r="BK63" s="79"/>
      <c r="BL63" s="79"/>
      <c r="BM63" s="79"/>
      <c r="BN63" s="79"/>
      <c r="BO63" s="79"/>
      <c r="BP63" s="79"/>
      <c r="BQ63" s="79"/>
      <c r="BR63" s="79"/>
      <c r="BS63" s="80" t="s">
        <v>288</v>
      </c>
      <c r="BT63" s="80" t="s">
        <v>605</v>
      </c>
      <c r="BU63" s="89" t="s">
        <v>654</v>
      </c>
      <c r="BV63" s="71"/>
      <c r="BW63" s="79" t="s">
        <v>153</v>
      </c>
      <c r="BX63" s="79" t="s">
        <v>607</v>
      </c>
      <c r="BY63" s="71"/>
      <c r="BZ63" s="79">
        <v>18</v>
      </c>
      <c r="CA63" s="79">
        <v>5</v>
      </c>
      <c r="CB63" s="79">
        <f t="shared" si="25"/>
        <v>23</v>
      </c>
      <c r="CC63" s="79" t="str">
        <f t="shared" si="31"/>
        <v>Horarios Acordes</v>
      </c>
      <c r="CD63" s="79" t="s">
        <v>351</v>
      </c>
      <c r="CE63" s="79"/>
      <c r="CF63" s="79"/>
      <c r="CG63" s="83" t="s">
        <v>655</v>
      </c>
      <c r="CH63" s="41"/>
      <c r="CI63" s="79" t="s">
        <v>153</v>
      </c>
      <c r="CJ63" s="71"/>
      <c r="CK63" s="79">
        <f t="shared" si="6"/>
        <v>1</v>
      </c>
      <c r="CL63" s="93" t="s">
        <v>656</v>
      </c>
      <c r="CM63" s="79"/>
      <c r="CN63" s="79"/>
      <c r="CO63" s="79"/>
      <c r="CP63" s="79"/>
      <c r="CQ63" s="79"/>
      <c r="CR63" s="83" t="s">
        <v>390</v>
      </c>
      <c r="CS63" s="83" t="s">
        <v>179</v>
      </c>
      <c r="CT63" s="83" t="s">
        <v>179</v>
      </c>
      <c r="CU63" s="83" t="s">
        <v>179</v>
      </c>
      <c r="CV63" s="83" t="s">
        <v>179</v>
      </c>
      <c r="CW63" s="83" t="s">
        <v>179</v>
      </c>
      <c r="CX63" s="79" t="s">
        <v>153</v>
      </c>
      <c r="CY63" s="79">
        <f t="shared" si="34"/>
        <v>1</v>
      </c>
      <c r="CZ63" s="79">
        <v>0</v>
      </c>
      <c r="DA63" s="79">
        <f t="shared" si="35"/>
        <v>1</v>
      </c>
      <c r="DB63" s="84">
        <f t="shared" si="36"/>
        <v>1</v>
      </c>
      <c r="DC63" s="41"/>
      <c r="DD63" s="79" t="s">
        <v>153</v>
      </c>
      <c r="DE63" s="71"/>
      <c r="DF63" s="85" t="s">
        <v>657</v>
      </c>
      <c r="DG63" s="79">
        <v>59</v>
      </c>
      <c r="DH63" s="86" t="str">
        <f t="shared" si="29"/>
        <v>Completo</v>
      </c>
      <c r="DI63" s="79" t="s">
        <v>181</v>
      </c>
      <c r="DJ63" s="79" t="s">
        <v>182</v>
      </c>
      <c r="DK63" s="79"/>
      <c r="DL63" s="79">
        <v>0</v>
      </c>
      <c r="DM63" s="79">
        <v>0</v>
      </c>
      <c r="DN63" s="79" t="s">
        <v>182</v>
      </c>
      <c r="DO63" s="79"/>
      <c r="DP63" s="79"/>
      <c r="DQ63" s="79"/>
      <c r="DR63" s="75" t="str">
        <f t="shared" si="11"/>
        <v>No aplica</v>
      </c>
      <c r="DS63" s="79"/>
      <c r="DT63" s="79"/>
      <c r="DU63" s="75" t="str">
        <f t="shared" si="12"/>
        <v>No aplica</v>
      </c>
      <c r="DV63" s="79" t="s">
        <v>182</v>
      </c>
      <c r="DW63" s="79" t="s">
        <v>182</v>
      </c>
      <c r="DX63" s="79"/>
      <c r="DY63" s="79"/>
      <c r="DZ63" s="79"/>
      <c r="EA63" s="79"/>
      <c r="EB63" s="79" t="s">
        <v>182</v>
      </c>
      <c r="EC63" s="79" t="s">
        <v>658</v>
      </c>
      <c r="ED63" s="79" t="s">
        <v>249</v>
      </c>
      <c r="EE63" s="79" t="str">
        <f t="shared" si="37"/>
        <v>Completo</v>
      </c>
      <c r="EF63" s="41"/>
      <c r="EG63" s="79" t="s">
        <v>153</v>
      </c>
      <c r="EH63" s="71"/>
      <c r="EI63" s="80"/>
      <c r="EJ63" s="71"/>
      <c r="EK63" s="79" t="s">
        <v>179</v>
      </c>
      <c r="EL63" s="76" t="str">
        <f t="shared" si="14"/>
        <v>No requiere</v>
      </c>
      <c r="EM63" s="76" t="str">
        <f t="shared" si="15"/>
        <v>No requiere</v>
      </c>
      <c r="EN63" s="76" t="str">
        <f t="shared" si="32"/>
        <v>No requiere</v>
      </c>
      <c r="EO63" s="71"/>
      <c r="EP63" s="73" t="str">
        <f t="shared" si="17"/>
        <v>No requiere</v>
      </c>
      <c r="EQ63" s="77" t="str">
        <f t="shared" si="18"/>
        <v>No requiere</v>
      </c>
      <c r="ER63" s="71"/>
      <c r="ES63" s="79" t="s">
        <v>179</v>
      </c>
      <c r="ET63" s="73" t="str">
        <f t="shared" si="19"/>
        <v>No requiere</v>
      </c>
      <c r="EU63" s="73" t="str">
        <f t="shared" si="33"/>
        <v>No requiere</v>
      </c>
      <c r="EV63" s="73" t="str">
        <f t="shared" si="21"/>
        <v>No requiere</v>
      </c>
      <c r="EW63" s="73" t="str">
        <f t="shared" si="22"/>
        <v>No requiere</v>
      </c>
      <c r="EX63" s="78"/>
      <c r="EY63" s="78"/>
    </row>
    <row r="64" spans="1:155" ht="46.5" customHeight="1">
      <c r="A64" s="79">
        <v>60</v>
      </c>
      <c r="B64" s="80" t="s">
        <v>659</v>
      </c>
      <c r="C64" s="81">
        <v>45355</v>
      </c>
      <c r="D64" s="82">
        <v>0.625</v>
      </c>
      <c r="E64" s="79" t="s">
        <v>151</v>
      </c>
      <c r="F64" s="79" t="s">
        <v>153</v>
      </c>
      <c r="G64" s="79" t="s">
        <v>153</v>
      </c>
      <c r="H64" s="79" t="s">
        <v>153</v>
      </c>
      <c r="I64" s="79" t="s">
        <v>152</v>
      </c>
      <c r="J64" s="79" t="s">
        <v>154</v>
      </c>
      <c r="K64" s="79" t="s">
        <v>155</v>
      </c>
      <c r="L64" s="80" t="s">
        <v>600</v>
      </c>
      <c r="M64" s="80" t="s">
        <v>303</v>
      </c>
      <c r="N64" s="79" t="s">
        <v>525</v>
      </c>
      <c r="O64" s="80" t="str">
        <f t="shared" si="0"/>
        <v>Maria Alejandra Castañeda, David Reinaldo Jojoa, Mónica Lyzeth Cantor, Diego Alejandro Camacho, Daniela Velasco Vega, Maria Angélica Higuera, James Fernando Núñez, Germán Ramón Jacome, Claudia Fernanda Pineda, Valentina González Pontón, Yohan David Díaz, Diana Marcela Fernández, Rosemberg Prisco Vasquez, Paula Andrea González</v>
      </c>
      <c r="P64" s="79" t="s">
        <v>494</v>
      </c>
      <c r="Q64" s="79" t="s">
        <v>548</v>
      </c>
      <c r="R64" s="79" t="s">
        <v>346</v>
      </c>
      <c r="S64" s="79" t="s">
        <v>422</v>
      </c>
      <c r="T64" s="79" t="s">
        <v>660</v>
      </c>
      <c r="U64" s="79" t="s">
        <v>328</v>
      </c>
      <c r="V64" s="79" t="s">
        <v>632</v>
      </c>
      <c r="W64" s="79" t="s">
        <v>525</v>
      </c>
      <c r="X64" s="79" t="s">
        <v>546</v>
      </c>
      <c r="Y64" s="79" t="s">
        <v>329</v>
      </c>
      <c r="Z64" s="79" t="s">
        <v>164</v>
      </c>
      <c r="AA64" s="79" t="s">
        <v>473</v>
      </c>
      <c r="AB64" s="79" t="s">
        <v>162</v>
      </c>
      <c r="AC64" s="79" t="s">
        <v>158</v>
      </c>
      <c r="AD64" s="79"/>
      <c r="AE64" s="79"/>
      <c r="AF64" s="79"/>
      <c r="AG64" s="79"/>
      <c r="AH64" s="79"/>
      <c r="AI64" s="79"/>
      <c r="AJ64" s="79"/>
      <c r="AK64" s="79"/>
      <c r="AL64" s="79"/>
      <c r="AM64" s="79"/>
      <c r="AN64" s="79"/>
      <c r="AO64" s="79" t="s">
        <v>304</v>
      </c>
      <c r="AP64" s="79"/>
      <c r="AQ64" s="80" t="s">
        <v>171</v>
      </c>
      <c r="AR64" s="80" t="s">
        <v>171</v>
      </c>
      <c r="AS64" s="80" t="s">
        <v>171</v>
      </c>
      <c r="AT64" s="80" t="str">
        <f t="shared" si="1"/>
        <v>Usaquén</v>
      </c>
      <c r="AU64" s="79" t="s">
        <v>661</v>
      </c>
      <c r="AV64" s="79"/>
      <c r="AW64" s="79"/>
      <c r="AX64" s="79"/>
      <c r="AY64" s="79"/>
      <c r="AZ64" s="79"/>
      <c r="BA64" s="80" t="str">
        <f t="shared" si="2"/>
        <v>Norte</v>
      </c>
      <c r="BB64" s="79" t="s">
        <v>662</v>
      </c>
      <c r="BC64" s="79"/>
      <c r="BD64" s="79"/>
      <c r="BE64" s="79"/>
      <c r="BF64" s="79"/>
      <c r="BG64" s="79"/>
      <c r="BH64" s="80" t="str">
        <f t="shared" si="3"/>
        <v>Usaquén</v>
      </c>
      <c r="BI64" s="79" t="s">
        <v>661</v>
      </c>
      <c r="BJ64" s="79"/>
      <c r="BK64" s="79"/>
      <c r="BL64" s="79"/>
      <c r="BM64" s="79"/>
      <c r="BN64" s="79"/>
      <c r="BO64" s="79"/>
      <c r="BP64" s="79"/>
      <c r="BQ64" s="79"/>
      <c r="BR64" s="79"/>
      <c r="BS64" s="80" t="s">
        <v>288</v>
      </c>
      <c r="BT64" s="80" t="s">
        <v>605</v>
      </c>
      <c r="BU64" s="80" t="s">
        <v>663</v>
      </c>
      <c r="BV64" s="71"/>
      <c r="BW64" s="79" t="s">
        <v>153</v>
      </c>
      <c r="BX64" s="79" t="s">
        <v>607</v>
      </c>
      <c r="BY64" s="71"/>
      <c r="BZ64" s="79">
        <v>35</v>
      </c>
      <c r="CA64" s="79">
        <v>16</v>
      </c>
      <c r="CB64" s="79">
        <f t="shared" si="25"/>
        <v>51</v>
      </c>
      <c r="CC64" s="79" t="str">
        <f t="shared" si="31"/>
        <v>Ninguna</v>
      </c>
      <c r="CD64" s="79" t="s">
        <v>174</v>
      </c>
      <c r="CE64" s="79"/>
      <c r="CF64" s="79"/>
      <c r="CG64" s="83" t="s">
        <v>664</v>
      </c>
      <c r="CH64" s="41"/>
      <c r="CI64" s="79" t="s">
        <v>153</v>
      </c>
      <c r="CJ64" s="71"/>
      <c r="CK64" s="79">
        <f t="shared" si="6"/>
        <v>1</v>
      </c>
      <c r="CL64" s="93" t="s">
        <v>389</v>
      </c>
      <c r="CM64" s="79"/>
      <c r="CN64" s="79"/>
      <c r="CO64" s="79"/>
      <c r="CP64" s="79"/>
      <c r="CQ64" s="79"/>
      <c r="CR64" s="83" t="s">
        <v>390</v>
      </c>
      <c r="CS64" s="83" t="s">
        <v>179</v>
      </c>
      <c r="CT64" s="83" t="s">
        <v>179</v>
      </c>
      <c r="CU64" s="83" t="s">
        <v>179</v>
      </c>
      <c r="CV64" s="83" t="s">
        <v>179</v>
      </c>
      <c r="CW64" s="83" t="s">
        <v>179</v>
      </c>
      <c r="CX64" s="79" t="s">
        <v>153</v>
      </c>
      <c r="CY64" s="79">
        <f t="shared" si="34"/>
        <v>1</v>
      </c>
      <c r="CZ64" s="79">
        <v>1</v>
      </c>
      <c r="DA64" s="79">
        <f t="shared" si="35"/>
        <v>1</v>
      </c>
      <c r="DB64" s="84">
        <f t="shared" si="36"/>
        <v>1</v>
      </c>
      <c r="DC64" s="41"/>
      <c r="DD64" s="79" t="s">
        <v>153</v>
      </c>
      <c r="DE64" s="71"/>
      <c r="DF64" s="85" t="s">
        <v>665</v>
      </c>
      <c r="DG64" s="79">
        <v>60</v>
      </c>
      <c r="DH64" s="86" t="str">
        <f t="shared" si="29"/>
        <v>Completo</v>
      </c>
      <c r="DI64" s="79" t="s">
        <v>181</v>
      </c>
      <c r="DJ64" s="79" t="s">
        <v>182</v>
      </c>
      <c r="DK64" s="79" t="s">
        <v>153</v>
      </c>
      <c r="DL64" s="79">
        <v>0</v>
      </c>
      <c r="DM64" s="79">
        <v>0</v>
      </c>
      <c r="DN64" s="79" t="s">
        <v>182</v>
      </c>
      <c r="DO64" s="79">
        <v>3170</v>
      </c>
      <c r="DP64" s="79" t="s">
        <v>182</v>
      </c>
      <c r="DQ64" s="79">
        <v>10</v>
      </c>
      <c r="DR64" s="75">
        <f t="shared" si="11"/>
        <v>0.95238095238095233</v>
      </c>
      <c r="DS64" s="79" t="s">
        <v>182</v>
      </c>
      <c r="DT64" s="79">
        <v>52</v>
      </c>
      <c r="DU64" s="75">
        <f t="shared" si="12"/>
        <v>4.2448979591836737</v>
      </c>
      <c r="DV64" s="79" t="s">
        <v>182</v>
      </c>
      <c r="DW64" s="79" t="s">
        <v>182</v>
      </c>
      <c r="DX64" s="79">
        <v>3</v>
      </c>
      <c r="DY64" s="79">
        <v>1</v>
      </c>
      <c r="DZ64" s="79" t="s">
        <v>640</v>
      </c>
      <c r="EA64" s="79">
        <v>3170</v>
      </c>
      <c r="EB64" s="79" t="s">
        <v>182</v>
      </c>
      <c r="EC64" s="79" t="s">
        <v>666</v>
      </c>
      <c r="ED64" s="79" t="s">
        <v>184</v>
      </c>
      <c r="EE64" s="79" t="str">
        <f t="shared" si="37"/>
        <v>Completo</v>
      </c>
      <c r="EF64" s="41"/>
      <c r="EG64" s="79" t="s">
        <v>153</v>
      </c>
      <c r="EH64" s="71"/>
      <c r="EI64" s="91" t="s">
        <v>667</v>
      </c>
      <c r="EJ64" s="71"/>
      <c r="EK64" s="79" t="s">
        <v>393</v>
      </c>
      <c r="EL64" s="76" t="str">
        <f t="shared" si="14"/>
        <v>Sí</v>
      </c>
      <c r="EM64" s="76" t="str">
        <f t="shared" si="15"/>
        <v>Sí</v>
      </c>
      <c r="EN64" s="76" t="str">
        <f t="shared" si="32"/>
        <v>No</v>
      </c>
      <c r="EO64" s="71"/>
      <c r="EP64" s="73" t="str">
        <f t="shared" si="17"/>
        <v>No aplica</v>
      </c>
      <c r="EQ64" s="77">
        <f t="shared" si="18"/>
        <v>4.2448979591836737</v>
      </c>
      <c r="ER64" s="71"/>
      <c r="ES64" s="79" t="s">
        <v>393</v>
      </c>
      <c r="ET64" s="73">
        <f t="shared" si="19"/>
        <v>1</v>
      </c>
      <c r="EU64" s="73">
        <f t="shared" si="33"/>
        <v>1</v>
      </c>
      <c r="EV64" s="73">
        <f t="shared" si="21"/>
        <v>1</v>
      </c>
      <c r="EW64" s="73">
        <f t="shared" si="22"/>
        <v>1</v>
      </c>
      <c r="EX64" s="78"/>
      <c r="EY64" s="78"/>
    </row>
    <row r="65" spans="1:155" ht="46.5" customHeight="1">
      <c r="A65" s="79">
        <v>61</v>
      </c>
      <c r="B65" s="80" t="s">
        <v>668</v>
      </c>
      <c r="C65" s="81">
        <v>45356</v>
      </c>
      <c r="D65" s="82">
        <v>0.39583333333333331</v>
      </c>
      <c r="E65" s="79" t="s">
        <v>151</v>
      </c>
      <c r="F65" s="79" t="s">
        <v>153</v>
      </c>
      <c r="G65" s="79" t="s">
        <v>152</v>
      </c>
      <c r="H65" s="79" t="s">
        <v>152</v>
      </c>
      <c r="I65" s="79" t="s">
        <v>152</v>
      </c>
      <c r="J65" s="79" t="s">
        <v>154</v>
      </c>
      <c r="K65" s="79" t="s">
        <v>202</v>
      </c>
      <c r="L65" s="80" t="s">
        <v>577</v>
      </c>
      <c r="M65" s="80" t="s">
        <v>157</v>
      </c>
      <c r="N65" s="79" t="s">
        <v>373</v>
      </c>
      <c r="O65" s="80" t="str">
        <f t="shared" si="0"/>
        <v/>
      </c>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t="s">
        <v>169</v>
      </c>
      <c r="AP65" s="79" t="s">
        <v>170</v>
      </c>
      <c r="AQ65" s="83" t="s">
        <v>584</v>
      </c>
      <c r="AR65" s="83">
        <v>3143480013</v>
      </c>
      <c r="AS65" s="83" t="s">
        <v>585</v>
      </c>
      <c r="AT65" s="80" t="str">
        <f t="shared" si="1"/>
        <v>Distrital</v>
      </c>
      <c r="AU65" s="79" t="s">
        <v>172</v>
      </c>
      <c r="AV65" s="79"/>
      <c r="AW65" s="79"/>
      <c r="AX65" s="79"/>
      <c r="AY65" s="79"/>
      <c r="AZ65" s="79"/>
      <c r="BA65" s="80" t="str">
        <f t="shared" si="2"/>
        <v>Distrital</v>
      </c>
      <c r="BB65" s="79" t="s">
        <v>172</v>
      </c>
      <c r="BC65" s="79"/>
      <c r="BD65" s="79"/>
      <c r="BE65" s="79"/>
      <c r="BF65" s="79"/>
      <c r="BG65" s="79"/>
      <c r="BH65" s="80" t="str">
        <f t="shared" si="3"/>
        <v>Distrital</v>
      </c>
      <c r="BI65" s="79" t="s">
        <v>172</v>
      </c>
      <c r="BJ65" s="79"/>
      <c r="BK65" s="79"/>
      <c r="BL65" s="79"/>
      <c r="BM65" s="79"/>
      <c r="BN65" s="79"/>
      <c r="BO65" s="79"/>
      <c r="BP65" s="79"/>
      <c r="BQ65" s="79"/>
      <c r="BR65" s="79"/>
      <c r="BS65" s="80" t="s">
        <v>288</v>
      </c>
      <c r="BT65" s="80" t="s">
        <v>174</v>
      </c>
      <c r="BU65" s="89" t="s">
        <v>669</v>
      </c>
      <c r="BV65" s="71"/>
      <c r="BW65" s="79" t="s">
        <v>153</v>
      </c>
      <c r="BX65" s="79" t="s">
        <v>176</v>
      </c>
      <c r="BY65" s="71"/>
      <c r="BZ65" s="79">
        <v>80</v>
      </c>
      <c r="CA65" s="79">
        <v>1</v>
      </c>
      <c r="CB65" s="79">
        <f t="shared" si="25"/>
        <v>81</v>
      </c>
      <c r="CC65" s="79" t="str">
        <f t="shared" si="31"/>
        <v>Horarios Acordes</v>
      </c>
      <c r="CD65" s="79" t="s">
        <v>351</v>
      </c>
      <c r="CE65" s="79"/>
      <c r="CF65" s="79"/>
      <c r="CG65" s="83" t="s">
        <v>670</v>
      </c>
      <c r="CH65" s="41"/>
      <c r="CI65" s="79" t="s">
        <v>153</v>
      </c>
      <c r="CJ65" s="71"/>
      <c r="CK65" s="79">
        <f t="shared" si="6"/>
        <v>0</v>
      </c>
      <c r="CL65" s="79"/>
      <c r="CM65" s="79"/>
      <c r="CN65" s="79"/>
      <c r="CO65" s="79"/>
      <c r="CP65" s="79"/>
      <c r="CQ65" s="79"/>
      <c r="CR65" s="83"/>
      <c r="CS65" s="83"/>
      <c r="CT65" s="83"/>
      <c r="CU65" s="83"/>
      <c r="CV65" s="83"/>
      <c r="CW65" s="83"/>
      <c r="CX65" s="79" t="s">
        <v>153</v>
      </c>
      <c r="CY65" s="79">
        <f t="shared" si="34"/>
        <v>0</v>
      </c>
      <c r="CZ65" s="79">
        <v>0</v>
      </c>
      <c r="DA65" s="79">
        <f t="shared" si="35"/>
        <v>0</v>
      </c>
      <c r="DB65" s="84" t="str">
        <f t="shared" si="36"/>
        <v/>
      </c>
      <c r="DC65" s="41"/>
      <c r="DD65" s="79" t="s">
        <v>153</v>
      </c>
      <c r="DE65" s="71"/>
      <c r="DF65" s="85" t="s">
        <v>671</v>
      </c>
      <c r="DG65" s="79">
        <v>61</v>
      </c>
      <c r="DH65" s="86" t="str">
        <f t="shared" si="29"/>
        <v>Completo</v>
      </c>
      <c r="DI65" s="79" t="s">
        <v>181</v>
      </c>
      <c r="DJ65" s="79" t="s">
        <v>182</v>
      </c>
      <c r="DK65" s="79"/>
      <c r="DL65" s="79">
        <v>0</v>
      </c>
      <c r="DM65" s="79">
        <v>0</v>
      </c>
      <c r="DN65" s="79" t="s">
        <v>182</v>
      </c>
      <c r="DO65" s="79"/>
      <c r="DP65" s="79"/>
      <c r="DQ65" s="79"/>
      <c r="DR65" s="75" t="str">
        <f t="shared" si="11"/>
        <v>No aplica</v>
      </c>
      <c r="DS65" s="79"/>
      <c r="DT65" s="79"/>
      <c r="DU65" s="75" t="str">
        <f t="shared" si="12"/>
        <v>No aplica</v>
      </c>
      <c r="DV65" s="79" t="s">
        <v>182</v>
      </c>
      <c r="DW65" s="79" t="s">
        <v>182</v>
      </c>
      <c r="DX65" s="79"/>
      <c r="DY65" s="79"/>
      <c r="DZ65" s="79"/>
      <c r="EA65" s="79"/>
      <c r="EB65" s="79" t="s">
        <v>182</v>
      </c>
      <c r="EC65" s="79" t="s">
        <v>672</v>
      </c>
      <c r="ED65" s="79" t="s">
        <v>673</v>
      </c>
      <c r="EE65" s="79" t="str">
        <f t="shared" si="37"/>
        <v>Completo</v>
      </c>
      <c r="EF65" s="41"/>
      <c r="EG65" s="79" t="s">
        <v>153</v>
      </c>
      <c r="EH65" s="71"/>
      <c r="EI65" s="80"/>
      <c r="EJ65" s="71"/>
      <c r="EK65" s="79" t="s">
        <v>179</v>
      </c>
      <c r="EL65" s="76" t="str">
        <f t="shared" si="14"/>
        <v>No requiere</v>
      </c>
      <c r="EM65" s="76" t="str">
        <f t="shared" si="15"/>
        <v>No requiere</v>
      </c>
      <c r="EN65" s="76" t="str">
        <f t="shared" si="32"/>
        <v>No requiere</v>
      </c>
      <c r="EO65" s="71"/>
      <c r="EP65" s="73" t="str">
        <f t="shared" si="17"/>
        <v>No requiere</v>
      </c>
      <c r="EQ65" s="77" t="str">
        <f t="shared" si="18"/>
        <v>No requiere</v>
      </c>
      <c r="ER65" s="71"/>
      <c r="ES65" s="79" t="s">
        <v>179</v>
      </c>
      <c r="ET65" s="73" t="str">
        <f t="shared" si="19"/>
        <v>No requiere</v>
      </c>
      <c r="EU65" s="73" t="str">
        <f t="shared" si="33"/>
        <v>No requiere</v>
      </c>
      <c r="EV65" s="73" t="str">
        <f t="shared" si="21"/>
        <v>No requiere</v>
      </c>
      <c r="EW65" s="73" t="str">
        <f t="shared" si="22"/>
        <v>No requiere</v>
      </c>
      <c r="EX65" s="78"/>
      <c r="EY65" s="78"/>
    </row>
    <row r="66" spans="1:155" ht="46.5" customHeight="1">
      <c r="A66" s="79">
        <v>62</v>
      </c>
      <c r="B66" s="80" t="s">
        <v>674</v>
      </c>
      <c r="C66" s="81">
        <v>45356</v>
      </c>
      <c r="D66" s="82">
        <v>0.625</v>
      </c>
      <c r="E66" s="79" t="s">
        <v>151</v>
      </c>
      <c r="F66" s="79" t="s">
        <v>153</v>
      </c>
      <c r="G66" s="79" t="s">
        <v>153</v>
      </c>
      <c r="H66" s="79" t="s">
        <v>153</v>
      </c>
      <c r="I66" s="79" t="s">
        <v>152</v>
      </c>
      <c r="J66" s="79" t="s">
        <v>154</v>
      </c>
      <c r="K66" s="79" t="s">
        <v>155</v>
      </c>
      <c r="L66" s="80" t="s">
        <v>600</v>
      </c>
      <c r="M66" s="80" t="s">
        <v>303</v>
      </c>
      <c r="N66" s="79" t="s">
        <v>546</v>
      </c>
      <c r="O66" s="80" t="str">
        <f t="shared" si="0"/>
        <v>Sebastian Potes Buitrago, Sarah Lucia Triviño, Melina Julieta Solano, Julio César Martínez, Maria Angélica Higuera, Nixon Sandoval Mateus, Derly Adriana Castillo, Reinaldo Terrios Andrade, Yohan David Díaz, Claudia Fernanda Pineda, Camilo Andrés Vásquez, Laura Sofia Morales, Jimmy Alejandro Osorio, Nicolas Esteban Hernández</v>
      </c>
      <c r="P66" s="79" t="s">
        <v>545</v>
      </c>
      <c r="Q66" s="79" t="s">
        <v>499</v>
      </c>
      <c r="R66" s="79" t="s">
        <v>168</v>
      </c>
      <c r="S66" s="79" t="s">
        <v>601</v>
      </c>
      <c r="T66" s="79" t="s">
        <v>328</v>
      </c>
      <c r="U66" s="79" t="s">
        <v>644</v>
      </c>
      <c r="V66" s="79" t="s">
        <v>526</v>
      </c>
      <c r="W66" s="79" t="s">
        <v>675</v>
      </c>
      <c r="X66" s="79" t="s">
        <v>164</v>
      </c>
      <c r="Y66" s="79" t="s">
        <v>546</v>
      </c>
      <c r="Z66" s="79" t="s">
        <v>373</v>
      </c>
      <c r="AA66" s="79" t="s">
        <v>506</v>
      </c>
      <c r="AB66" s="79" t="s">
        <v>549</v>
      </c>
      <c r="AC66" s="79" t="s">
        <v>645</v>
      </c>
      <c r="AD66" s="79"/>
      <c r="AE66" s="79"/>
      <c r="AF66" s="79"/>
      <c r="AG66" s="79"/>
      <c r="AH66" s="79"/>
      <c r="AI66" s="79"/>
      <c r="AJ66" s="79"/>
      <c r="AK66" s="79"/>
      <c r="AL66" s="79"/>
      <c r="AM66" s="79"/>
      <c r="AN66" s="79"/>
      <c r="AO66" s="79" t="s">
        <v>304</v>
      </c>
      <c r="AP66" s="79"/>
      <c r="AQ66" s="80" t="s">
        <v>171</v>
      </c>
      <c r="AR66" s="80" t="s">
        <v>171</v>
      </c>
      <c r="AS66" s="80" t="s">
        <v>171</v>
      </c>
      <c r="AT66" s="80" t="str">
        <f t="shared" si="1"/>
        <v>Ciudad Bolívar</v>
      </c>
      <c r="AU66" s="79" t="s">
        <v>217</v>
      </c>
      <c r="AV66" s="79"/>
      <c r="AW66" s="79"/>
      <c r="AX66" s="79"/>
      <c r="AY66" s="79"/>
      <c r="AZ66" s="79"/>
      <c r="BA66" s="80" t="str">
        <f t="shared" si="2"/>
        <v>Suroriente</v>
      </c>
      <c r="BB66" s="79" t="s">
        <v>218</v>
      </c>
      <c r="BC66" s="79"/>
      <c r="BD66" s="79"/>
      <c r="BE66" s="79"/>
      <c r="BF66" s="79"/>
      <c r="BG66" s="79"/>
      <c r="BH66" s="80" t="str">
        <f t="shared" si="3"/>
        <v>Lucero</v>
      </c>
      <c r="BI66" s="79" t="s">
        <v>221</v>
      </c>
      <c r="BJ66" s="79"/>
      <c r="BK66" s="79"/>
      <c r="BL66" s="79"/>
      <c r="BM66" s="79"/>
      <c r="BN66" s="79"/>
      <c r="BO66" s="79"/>
      <c r="BP66" s="79"/>
      <c r="BQ66" s="79"/>
      <c r="BR66" s="79"/>
      <c r="BS66" s="80" t="s">
        <v>288</v>
      </c>
      <c r="BT66" s="80" t="s">
        <v>605</v>
      </c>
      <c r="BU66" s="80" t="s">
        <v>676</v>
      </c>
      <c r="BV66" s="71"/>
      <c r="BW66" s="79" t="s">
        <v>153</v>
      </c>
      <c r="BX66" s="79" t="s">
        <v>607</v>
      </c>
      <c r="BY66" s="71"/>
      <c r="BZ66" s="79">
        <v>77</v>
      </c>
      <c r="CA66" s="79">
        <v>14</v>
      </c>
      <c r="CB66" s="79">
        <f t="shared" si="25"/>
        <v>91</v>
      </c>
      <c r="CC66" s="79" t="str">
        <f t="shared" si="31"/>
        <v>Accesibilidad Universal, Horarios Acordes</v>
      </c>
      <c r="CD66" s="79" t="s">
        <v>397</v>
      </c>
      <c r="CE66" s="79" t="s">
        <v>351</v>
      </c>
      <c r="CF66" s="79"/>
      <c r="CG66" s="83" t="s">
        <v>608</v>
      </c>
      <c r="CH66" s="41"/>
      <c r="CI66" s="79" t="s">
        <v>153</v>
      </c>
      <c r="CJ66" s="71"/>
      <c r="CK66" s="79">
        <f t="shared" si="6"/>
        <v>1</v>
      </c>
      <c r="CL66" s="93" t="s">
        <v>389</v>
      </c>
      <c r="CM66" s="79"/>
      <c r="CN66" s="79"/>
      <c r="CO66" s="79"/>
      <c r="CP66" s="79"/>
      <c r="CQ66" s="79"/>
      <c r="CR66" s="83" t="s">
        <v>390</v>
      </c>
      <c r="CS66" s="83" t="s">
        <v>179</v>
      </c>
      <c r="CT66" s="83" t="s">
        <v>179</v>
      </c>
      <c r="CU66" s="83" t="s">
        <v>179</v>
      </c>
      <c r="CV66" s="83" t="s">
        <v>179</v>
      </c>
      <c r="CW66" s="83" t="s">
        <v>179</v>
      </c>
      <c r="CX66" s="79" t="s">
        <v>153</v>
      </c>
      <c r="CY66" s="79">
        <f t="shared" si="34"/>
        <v>1</v>
      </c>
      <c r="CZ66" s="79">
        <v>1</v>
      </c>
      <c r="DA66" s="79">
        <f t="shared" si="35"/>
        <v>1</v>
      </c>
      <c r="DB66" s="84">
        <f t="shared" si="36"/>
        <v>1</v>
      </c>
      <c r="DC66" s="41"/>
      <c r="DD66" s="79" t="s">
        <v>153</v>
      </c>
      <c r="DE66" s="71"/>
      <c r="DF66" s="85" t="s">
        <v>677</v>
      </c>
      <c r="DG66" s="79">
        <v>62</v>
      </c>
      <c r="DH66" s="86" t="str">
        <f t="shared" si="29"/>
        <v>Completo</v>
      </c>
      <c r="DI66" s="79" t="s">
        <v>181</v>
      </c>
      <c r="DJ66" s="79" t="s">
        <v>182</v>
      </c>
      <c r="DK66" s="79" t="s">
        <v>153</v>
      </c>
      <c r="DL66" s="79">
        <v>0</v>
      </c>
      <c r="DM66" s="79">
        <v>0</v>
      </c>
      <c r="DN66" s="79" t="s">
        <v>182</v>
      </c>
      <c r="DO66" s="79">
        <v>300</v>
      </c>
      <c r="DP66" s="79" t="s">
        <v>182</v>
      </c>
      <c r="DQ66" s="79">
        <v>25</v>
      </c>
      <c r="DR66" s="75">
        <f t="shared" si="11"/>
        <v>1.0822510822510822</v>
      </c>
      <c r="DS66" s="79" t="s">
        <v>182</v>
      </c>
      <c r="DT66" s="79">
        <v>70</v>
      </c>
      <c r="DU66" s="75">
        <f t="shared" si="12"/>
        <v>2.5974025974025974</v>
      </c>
      <c r="DV66" s="79" t="s">
        <v>182</v>
      </c>
      <c r="DW66" s="79" t="s">
        <v>182</v>
      </c>
      <c r="DX66" s="79">
        <v>4</v>
      </c>
      <c r="DY66" s="79">
        <v>1</v>
      </c>
      <c r="DZ66" s="79" t="s">
        <v>611</v>
      </c>
      <c r="EA66" s="79">
        <v>4704</v>
      </c>
      <c r="EB66" s="79" t="s">
        <v>182</v>
      </c>
      <c r="EC66" s="79" t="s">
        <v>678</v>
      </c>
      <c r="ED66" s="79" t="s">
        <v>249</v>
      </c>
      <c r="EE66" s="79" t="str">
        <f t="shared" si="37"/>
        <v>Completo</v>
      </c>
      <c r="EF66" s="41"/>
      <c r="EG66" s="79" t="s">
        <v>153</v>
      </c>
      <c r="EH66" s="71"/>
      <c r="EI66" s="89" t="s">
        <v>679</v>
      </c>
      <c r="EJ66" s="71"/>
      <c r="EK66" s="79" t="s">
        <v>393</v>
      </c>
      <c r="EL66" s="76" t="str">
        <f t="shared" si="14"/>
        <v>Sí</v>
      </c>
      <c r="EM66" s="76" t="str">
        <f t="shared" si="15"/>
        <v>Sí</v>
      </c>
      <c r="EN66" s="76" t="str">
        <f t="shared" si="32"/>
        <v>Sí</v>
      </c>
      <c r="EO66" s="71"/>
      <c r="EP66" s="73" t="str">
        <f t="shared" si="17"/>
        <v>No aplica</v>
      </c>
      <c r="EQ66" s="77">
        <f t="shared" si="18"/>
        <v>2.5974025974025974</v>
      </c>
      <c r="ER66" s="71"/>
      <c r="ES66" s="79" t="s">
        <v>393</v>
      </c>
      <c r="ET66" s="73">
        <f t="shared" si="19"/>
        <v>1</v>
      </c>
      <c r="EU66" s="73">
        <f t="shared" si="33"/>
        <v>1</v>
      </c>
      <c r="EV66" s="73">
        <f t="shared" si="21"/>
        <v>1</v>
      </c>
      <c r="EW66" s="73">
        <f t="shared" si="22"/>
        <v>6.3775510204081634E-2</v>
      </c>
      <c r="EX66" s="78"/>
      <c r="EY66" s="78"/>
    </row>
    <row r="67" spans="1:155" ht="46.5" customHeight="1">
      <c r="A67" s="79">
        <v>63</v>
      </c>
      <c r="B67" s="80" t="s">
        <v>680</v>
      </c>
      <c r="C67" s="81">
        <v>45356</v>
      </c>
      <c r="D67" s="82">
        <v>0.70833333333333337</v>
      </c>
      <c r="E67" s="79" t="s">
        <v>200</v>
      </c>
      <c r="F67" s="79" t="s">
        <v>153</v>
      </c>
      <c r="G67" s="79" t="s">
        <v>152</v>
      </c>
      <c r="H67" s="79" t="s">
        <v>152</v>
      </c>
      <c r="I67" s="79" t="s">
        <v>152</v>
      </c>
      <c r="J67" s="79" t="s">
        <v>211</v>
      </c>
      <c r="K67" s="79" t="s">
        <v>202</v>
      </c>
      <c r="L67" s="80" t="s">
        <v>681</v>
      </c>
      <c r="M67" s="80" t="s">
        <v>624</v>
      </c>
      <c r="N67" s="79" t="s">
        <v>253</v>
      </c>
      <c r="O67" s="80" t="str">
        <f t="shared" si="0"/>
        <v>PENDIENTE</v>
      </c>
      <c r="P67" s="79" t="s">
        <v>196</v>
      </c>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t="s">
        <v>169</v>
      </c>
      <c r="AP67" s="79" t="s">
        <v>242</v>
      </c>
      <c r="AQ67" s="80" t="s">
        <v>625</v>
      </c>
      <c r="AR67" s="80">
        <v>3188799909</v>
      </c>
      <c r="AS67" s="80" t="s">
        <v>682</v>
      </c>
      <c r="AT67" s="80" t="str">
        <f t="shared" si="1"/>
        <v>Distrital</v>
      </c>
      <c r="AU67" s="79" t="s">
        <v>172</v>
      </c>
      <c r="AV67" s="79"/>
      <c r="AW67" s="79"/>
      <c r="AX67" s="79"/>
      <c r="AY67" s="79"/>
      <c r="AZ67" s="79"/>
      <c r="BA67" s="80" t="str">
        <f t="shared" si="2"/>
        <v>Distrital</v>
      </c>
      <c r="BB67" s="79" t="s">
        <v>172</v>
      </c>
      <c r="BC67" s="79"/>
      <c r="BD67" s="79"/>
      <c r="BE67" s="79"/>
      <c r="BF67" s="79"/>
      <c r="BG67" s="79"/>
      <c r="BH67" s="80" t="str">
        <f t="shared" si="3"/>
        <v>Distrital</v>
      </c>
      <c r="BI67" s="79" t="s">
        <v>172</v>
      </c>
      <c r="BJ67" s="79"/>
      <c r="BK67" s="79"/>
      <c r="BL67" s="79"/>
      <c r="BM67" s="79"/>
      <c r="BN67" s="79"/>
      <c r="BO67" s="79"/>
      <c r="BP67" s="79"/>
      <c r="BQ67" s="79"/>
      <c r="BR67" s="79"/>
      <c r="BS67" s="80" t="s">
        <v>288</v>
      </c>
      <c r="BT67" s="80" t="s">
        <v>174</v>
      </c>
      <c r="BU67" s="89" t="s">
        <v>683</v>
      </c>
      <c r="BV67" s="71"/>
      <c r="BW67" s="79" t="s">
        <v>152</v>
      </c>
      <c r="BX67" s="79" t="s">
        <v>179</v>
      </c>
      <c r="BY67" s="71"/>
      <c r="BZ67" s="79">
        <v>92</v>
      </c>
      <c r="CA67" s="79">
        <v>3</v>
      </c>
      <c r="CB67" s="79">
        <f t="shared" si="25"/>
        <v>95</v>
      </c>
      <c r="CC67" s="79" t="str">
        <f t="shared" si="31"/>
        <v>No Aplica</v>
      </c>
      <c r="CD67" s="79" t="s">
        <v>177</v>
      </c>
      <c r="CE67" s="79"/>
      <c r="CF67" s="79"/>
      <c r="CG67" s="83" t="s">
        <v>684</v>
      </c>
      <c r="CH67" s="41"/>
      <c r="CI67" s="79" t="s">
        <v>153</v>
      </c>
      <c r="CJ67" s="71"/>
      <c r="CK67" s="79"/>
      <c r="CL67" s="79"/>
      <c r="CM67" s="79"/>
      <c r="CN67" s="79"/>
      <c r="CO67" s="79"/>
      <c r="CP67" s="79"/>
      <c r="CQ67" s="79"/>
      <c r="CR67" s="83" t="s">
        <v>179</v>
      </c>
      <c r="CS67" s="83" t="s">
        <v>179</v>
      </c>
      <c r="CT67" s="83" t="s">
        <v>179</v>
      </c>
      <c r="CU67" s="83" t="s">
        <v>179</v>
      </c>
      <c r="CV67" s="83" t="s">
        <v>179</v>
      </c>
      <c r="CW67" s="83" t="s">
        <v>179</v>
      </c>
      <c r="CX67" s="79" t="s">
        <v>153</v>
      </c>
      <c r="CY67" s="79"/>
      <c r="CZ67" s="79"/>
      <c r="DA67" s="79"/>
      <c r="DB67" s="84"/>
      <c r="DC67" s="41"/>
      <c r="DD67" s="79" t="s">
        <v>153</v>
      </c>
      <c r="DE67" s="71"/>
      <c r="DF67" s="85" t="s">
        <v>685</v>
      </c>
      <c r="DG67" s="79" t="s">
        <v>686</v>
      </c>
      <c r="DH67" s="86" t="str">
        <f t="shared" si="29"/>
        <v>Completo</v>
      </c>
      <c r="DI67" s="79" t="s">
        <v>181</v>
      </c>
      <c r="DJ67" s="79" t="s">
        <v>182</v>
      </c>
      <c r="DK67" s="79"/>
      <c r="DL67" s="79"/>
      <c r="DM67" s="79"/>
      <c r="DN67" s="79" t="s">
        <v>182</v>
      </c>
      <c r="DO67" s="79"/>
      <c r="DP67" s="79"/>
      <c r="DQ67" s="79"/>
      <c r="DR67" s="75" t="str">
        <f t="shared" si="11"/>
        <v>No aplica</v>
      </c>
      <c r="DS67" s="79"/>
      <c r="DT67" s="79"/>
      <c r="DU67" s="75" t="str">
        <f t="shared" si="12"/>
        <v>No aplica</v>
      </c>
      <c r="DV67" s="79" t="s">
        <v>182</v>
      </c>
      <c r="DW67" s="79" t="s">
        <v>182</v>
      </c>
      <c r="DX67" s="79"/>
      <c r="DY67" s="79"/>
      <c r="DZ67" s="79"/>
      <c r="EA67" s="79"/>
      <c r="EB67" s="79" t="s">
        <v>182</v>
      </c>
      <c r="EC67" s="79" t="s">
        <v>687</v>
      </c>
      <c r="ED67" s="79" t="s">
        <v>184</v>
      </c>
      <c r="EE67" s="79" t="str">
        <f t="shared" si="37"/>
        <v>Completo</v>
      </c>
      <c r="EF67" s="41"/>
      <c r="EG67" s="79" t="s">
        <v>153</v>
      </c>
      <c r="EH67" s="71"/>
      <c r="EI67" s="80"/>
      <c r="EJ67" s="71"/>
      <c r="EK67" s="79"/>
      <c r="EL67" s="76" t="str">
        <f t="shared" si="14"/>
        <v>No requiere</v>
      </c>
      <c r="EM67" s="76" t="str">
        <f t="shared" si="15"/>
        <v>No requiere</v>
      </c>
      <c r="EN67" s="76" t="str">
        <f t="shared" si="32"/>
        <v>No requiere</v>
      </c>
      <c r="EO67" s="71"/>
      <c r="EP67" s="73" t="str">
        <f t="shared" si="17"/>
        <v>No requiere</v>
      </c>
      <c r="EQ67" s="77" t="str">
        <f t="shared" si="18"/>
        <v>No requiere</v>
      </c>
      <c r="ER67" s="71"/>
      <c r="ES67" s="79"/>
      <c r="ET67" s="73" t="str">
        <f t="shared" si="19"/>
        <v>No requiere</v>
      </c>
      <c r="EU67" s="73" t="str">
        <f t="shared" si="33"/>
        <v>No requiere</v>
      </c>
      <c r="EV67" s="73" t="str">
        <f t="shared" si="21"/>
        <v>No requiere</v>
      </c>
      <c r="EW67" s="73" t="str">
        <f t="shared" si="22"/>
        <v>No requiere</v>
      </c>
      <c r="EX67" s="78"/>
      <c r="EY67" s="78"/>
    </row>
    <row r="68" spans="1:155" ht="46.5" customHeight="1">
      <c r="A68" s="79" t="str">
        <v/>
      </c>
      <c r="B68" s="80" t="s">
        <v>688</v>
      </c>
      <c r="C68" s="81">
        <v>45356</v>
      </c>
      <c r="D68" s="82">
        <v>0.41666666666666669</v>
      </c>
      <c r="E68" s="79" t="s">
        <v>151</v>
      </c>
      <c r="F68" s="79" t="s">
        <v>152</v>
      </c>
      <c r="G68" s="79" t="s">
        <v>153</v>
      </c>
      <c r="H68" s="79" t="s">
        <v>152</v>
      </c>
      <c r="I68" s="79" t="s">
        <v>152</v>
      </c>
      <c r="J68" s="79" t="s">
        <v>251</v>
      </c>
      <c r="K68" s="79" t="s">
        <v>202</v>
      </c>
      <c r="L68" s="80" t="s">
        <v>689</v>
      </c>
      <c r="M68" s="80" t="s">
        <v>157</v>
      </c>
      <c r="N68" s="79" t="s">
        <v>265</v>
      </c>
      <c r="O68" s="80" t="str">
        <f t="shared" si="0"/>
        <v/>
      </c>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t="s">
        <v>169</v>
      </c>
      <c r="AP68" s="79" t="s">
        <v>170</v>
      </c>
      <c r="AQ68" s="80" t="s">
        <v>690</v>
      </c>
      <c r="AR68" s="80">
        <v>3002675080</v>
      </c>
      <c r="AS68" s="80" t="s">
        <v>691</v>
      </c>
      <c r="AT68" s="80" t="str">
        <f t="shared" si="1"/>
        <v>Distrital</v>
      </c>
      <c r="AU68" s="79" t="s">
        <v>172</v>
      </c>
      <c r="AV68" s="79"/>
      <c r="AW68" s="79"/>
      <c r="AX68" s="79"/>
      <c r="AY68" s="79"/>
      <c r="AZ68" s="79"/>
      <c r="BA68" s="80" t="str">
        <f t="shared" si="2"/>
        <v>Distrital</v>
      </c>
      <c r="BB68" s="79" t="s">
        <v>172</v>
      </c>
      <c r="BC68" s="79"/>
      <c r="BD68" s="79"/>
      <c r="BE68" s="79"/>
      <c r="BF68" s="79"/>
      <c r="BG68" s="79"/>
      <c r="BH68" s="80" t="str">
        <f t="shared" si="3"/>
        <v>Distrital</v>
      </c>
      <c r="BI68" s="79" t="s">
        <v>172</v>
      </c>
      <c r="BJ68" s="79"/>
      <c r="BK68" s="79"/>
      <c r="BL68" s="79"/>
      <c r="BM68" s="79"/>
      <c r="BN68" s="79"/>
      <c r="BO68" s="79"/>
      <c r="BP68" s="79"/>
      <c r="BQ68" s="79"/>
      <c r="BR68" s="79"/>
      <c r="BS68" s="80" t="s">
        <v>288</v>
      </c>
      <c r="BT68" s="80"/>
      <c r="BU68" s="80" t="s">
        <v>692</v>
      </c>
      <c r="BV68" s="71"/>
      <c r="BW68" s="79" t="s">
        <v>152</v>
      </c>
      <c r="BX68" s="79" t="s">
        <v>176</v>
      </c>
      <c r="BY68" s="71"/>
      <c r="BZ68" s="79">
        <v>0</v>
      </c>
      <c r="CA68" s="79">
        <v>4</v>
      </c>
      <c r="CB68" s="79">
        <f t="shared" si="25"/>
        <v>4</v>
      </c>
      <c r="CC68" s="79" t="str">
        <f t="shared" si="31"/>
        <v>Ninguna</v>
      </c>
      <c r="CD68" s="79" t="s">
        <v>174</v>
      </c>
      <c r="CE68" s="79"/>
      <c r="CF68" s="79"/>
      <c r="CG68" s="83" t="s">
        <v>693</v>
      </c>
      <c r="CH68" s="41"/>
      <c r="CI68" s="79" t="s">
        <v>153</v>
      </c>
      <c r="CJ68" s="71"/>
      <c r="CK68" s="79">
        <f t="shared" ref="CK68:CK256" si="38">COUNTIF(CL68:CQ68,"*")</f>
        <v>0</v>
      </c>
      <c r="CL68" s="79"/>
      <c r="CM68" s="79"/>
      <c r="CN68" s="79"/>
      <c r="CO68" s="79"/>
      <c r="CP68" s="79"/>
      <c r="CQ68" s="79"/>
      <c r="CR68" s="83" t="s">
        <v>179</v>
      </c>
      <c r="CS68" s="83" t="s">
        <v>179</v>
      </c>
      <c r="CT68" s="83" t="s">
        <v>179</v>
      </c>
      <c r="CU68" s="83" t="s">
        <v>179</v>
      </c>
      <c r="CV68" s="83" t="s">
        <v>179</v>
      </c>
      <c r="CW68" s="83" t="s">
        <v>179</v>
      </c>
      <c r="CX68" s="79" t="s">
        <v>153</v>
      </c>
      <c r="CY68" s="79">
        <f t="shared" ref="CY68:CY209" si="39">SUM(COUNTIF(CR68:CW68,"Realizado y Devuelto a la Ciudadanía"),COUNTIF(CR68:CW68,"Realizado y Trasladado por competencia"), COUNTIF(CR68:CW68,"Realizado y Gestionado"))</f>
        <v>0</v>
      </c>
      <c r="CZ68" s="79">
        <v>0</v>
      </c>
      <c r="DA68" s="79">
        <f t="shared" ref="DA68:DA132" si="40">COUNTIF(CR68:CW68,"Realizado y Devuelto a la Ciudadanía")</f>
        <v>0</v>
      </c>
      <c r="DB68" s="84"/>
      <c r="DC68" s="41"/>
      <c r="DD68" s="79" t="s">
        <v>153</v>
      </c>
      <c r="DE68" s="71"/>
      <c r="DF68" s="85" t="s">
        <v>694</v>
      </c>
      <c r="DG68" s="79">
        <v>63</v>
      </c>
      <c r="DH68" s="86" t="str">
        <f t="shared" si="29"/>
        <v>Completo</v>
      </c>
      <c r="DI68" s="79" t="s">
        <v>181</v>
      </c>
      <c r="DJ68" s="79" t="s">
        <v>182</v>
      </c>
      <c r="DK68" s="79"/>
      <c r="DL68" s="79"/>
      <c r="DM68" s="79"/>
      <c r="DN68" s="79"/>
      <c r="DO68" s="79"/>
      <c r="DP68" s="79"/>
      <c r="DQ68" s="79"/>
      <c r="DR68" s="75" t="str">
        <f t="shared" si="11"/>
        <v>No aplica</v>
      </c>
      <c r="DS68" s="79"/>
      <c r="DT68" s="79"/>
      <c r="DU68" s="75" t="str">
        <f t="shared" si="12"/>
        <v>No aplica</v>
      </c>
      <c r="DV68" s="79" t="s">
        <v>182</v>
      </c>
      <c r="DW68" s="79" t="s">
        <v>182</v>
      </c>
      <c r="DX68" s="79"/>
      <c r="DY68" s="79"/>
      <c r="DZ68" s="79"/>
      <c r="EA68" s="79"/>
      <c r="EB68" s="79"/>
      <c r="EC68" s="79"/>
      <c r="ED68" s="79" t="s">
        <v>695</v>
      </c>
      <c r="EE68" s="79" t="str">
        <f t="shared" si="37"/>
        <v>Completo</v>
      </c>
      <c r="EF68" s="41"/>
      <c r="EG68" s="79" t="s">
        <v>153</v>
      </c>
      <c r="EH68" s="71"/>
      <c r="EI68" s="80"/>
      <c r="EJ68" s="71"/>
      <c r="EK68" s="79" t="s">
        <v>179</v>
      </c>
      <c r="EL68" s="76" t="str">
        <f t="shared" si="14"/>
        <v>No requiere</v>
      </c>
      <c r="EM68" s="76" t="str">
        <f t="shared" si="15"/>
        <v>No requiere</v>
      </c>
      <c r="EN68" s="76" t="str">
        <f t="shared" si="32"/>
        <v>No requiere</v>
      </c>
      <c r="EO68" s="71"/>
      <c r="EP68" s="73" t="str">
        <f t="shared" si="17"/>
        <v>No requiere</v>
      </c>
      <c r="EQ68" s="77" t="str">
        <f t="shared" si="18"/>
        <v>No requiere</v>
      </c>
      <c r="ER68" s="71"/>
      <c r="ES68" s="79" t="s">
        <v>179</v>
      </c>
      <c r="ET68" s="73" t="str">
        <f t="shared" si="19"/>
        <v>No requiere</v>
      </c>
      <c r="EU68" s="73" t="str">
        <f t="shared" si="33"/>
        <v>No requiere</v>
      </c>
      <c r="EV68" s="73" t="str">
        <f t="shared" si="21"/>
        <v>No requiere</v>
      </c>
      <c r="EW68" s="73" t="str">
        <f t="shared" si="22"/>
        <v>No requiere</v>
      </c>
      <c r="EX68" s="78"/>
      <c r="EY68" s="78"/>
    </row>
    <row r="69" spans="1:155" ht="46.5" customHeight="1">
      <c r="A69" s="79">
        <v>65</v>
      </c>
      <c r="B69" s="80" t="s">
        <v>696</v>
      </c>
      <c r="C69" s="81">
        <v>45356</v>
      </c>
      <c r="D69" s="82">
        <v>0.79166666666666663</v>
      </c>
      <c r="E69" s="79" t="s">
        <v>543</v>
      </c>
      <c r="F69" s="79" t="s">
        <v>153</v>
      </c>
      <c r="G69" s="79" t="s">
        <v>152</v>
      </c>
      <c r="H69" s="79" t="s">
        <v>152</v>
      </c>
      <c r="I69" s="79" t="s">
        <v>152</v>
      </c>
      <c r="J69" s="79" t="s">
        <v>154</v>
      </c>
      <c r="K69" s="79" t="s">
        <v>155</v>
      </c>
      <c r="L69" s="80" t="s">
        <v>697</v>
      </c>
      <c r="M69" s="80" t="s">
        <v>303</v>
      </c>
      <c r="N69" s="79" t="s">
        <v>523</v>
      </c>
      <c r="O69" s="80" t="str">
        <f t="shared" ref="O69:O132" si="41">_xlfn.TEXTJOIN(", ",TRUE,P69:AN69)</f>
        <v>Juan Carlos Prieto, Mateo López Narváez, James Fernando Núñez, Mario Herrera</v>
      </c>
      <c r="P69" s="79" t="s">
        <v>474</v>
      </c>
      <c r="Q69" s="79" t="s">
        <v>523</v>
      </c>
      <c r="R69" s="79" t="s">
        <v>632</v>
      </c>
      <c r="S69" s="79" t="s">
        <v>631</v>
      </c>
      <c r="T69" s="79"/>
      <c r="U69" s="79"/>
      <c r="V69" s="79"/>
      <c r="W69" s="79"/>
      <c r="X69" s="79"/>
      <c r="Y69" s="79"/>
      <c r="Z69" s="79"/>
      <c r="AA69" s="79"/>
      <c r="AB69" s="79"/>
      <c r="AC69" s="79"/>
      <c r="AD69" s="79"/>
      <c r="AE69" s="79"/>
      <c r="AF69" s="79"/>
      <c r="AG69" s="79"/>
      <c r="AH69" s="79"/>
      <c r="AI69" s="79"/>
      <c r="AJ69" s="79"/>
      <c r="AK69" s="79"/>
      <c r="AL69" s="79"/>
      <c r="AM69" s="79"/>
      <c r="AN69" s="79"/>
      <c r="AO69" s="79" t="s">
        <v>304</v>
      </c>
      <c r="AP69" s="79"/>
      <c r="AQ69" s="80" t="s">
        <v>171</v>
      </c>
      <c r="AR69" s="80" t="s">
        <v>171</v>
      </c>
      <c r="AS69" s="80" t="s">
        <v>171</v>
      </c>
      <c r="AT69" s="80" t="str">
        <f t="shared" ref="AT69:AT132" si="42">_xlfn.TEXTJOIN(", ",TRUE,$AU69:$AY69)</f>
        <v>Distrital</v>
      </c>
      <c r="AU69" s="79" t="s">
        <v>172</v>
      </c>
      <c r="AV69" s="79"/>
      <c r="AW69" s="79"/>
      <c r="AX69" s="79"/>
      <c r="AY69" s="79"/>
      <c r="AZ69" s="79"/>
      <c r="BA69" s="80" t="str">
        <f t="shared" ref="BA69:BA132" si="43">_xlfn.TEXTJOIN(", ",TRUE,$BB69:$BG69)</f>
        <v>Distrital</v>
      </c>
      <c r="BB69" s="79" t="s">
        <v>172</v>
      </c>
      <c r="BC69" s="79"/>
      <c r="BD69" s="79"/>
      <c r="BE69" s="79"/>
      <c r="BF69" s="79"/>
      <c r="BG69" s="79"/>
      <c r="BH69" s="80" t="str">
        <f t="shared" ref="BH69:BH132" si="44">_xlfn.TEXTJOIN(", ",TRUE,$BI69:$BR69)</f>
        <v>Distrital</v>
      </c>
      <c r="BI69" s="79" t="s">
        <v>172</v>
      </c>
      <c r="BJ69" s="79"/>
      <c r="BK69" s="79"/>
      <c r="BL69" s="79"/>
      <c r="BM69" s="79"/>
      <c r="BN69" s="79"/>
      <c r="BO69" s="79"/>
      <c r="BP69" s="79"/>
      <c r="BQ69" s="79"/>
      <c r="BR69" s="79"/>
      <c r="BS69" s="80" t="s">
        <v>288</v>
      </c>
      <c r="BT69" s="80" t="s">
        <v>605</v>
      </c>
      <c r="BU69" s="80" t="s">
        <v>698</v>
      </c>
      <c r="BV69" s="71"/>
      <c r="BW69" s="79" t="s">
        <v>152</v>
      </c>
      <c r="BX69" s="79" t="s">
        <v>179</v>
      </c>
      <c r="BY69" s="71"/>
      <c r="BZ69" s="79">
        <v>33</v>
      </c>
      <c r="CA69" s="79">
        <v>7</v>
      </c>
      <c r="CB69" s="79">
        <f t="shared" si="25"/>
        <v>40</v>
      </c>
      <c r="CC69" s="79" t="str">
        <f t="shared" ref="CC69:CC100" si="45">_xlfn.TEXTJOIN(", ",TRUE,$CD69:$CF69)</f>
        <v>No Aplica</v>
      </c>
      <c r="CD69" s="79" t="s">
        <v>177</v>
      </c>
      <c r="CE69" s="79"/>
      <c r="CF69" s="79"/>
      <c r="CG69" s="83" t="s">
        <v>699</v>
      </c>
      <c r="CH69" s="41"/>
      <c r="CI69" s="79" t="s">
        <v>153</v>
      </c>
      <c r="CJ69" s="71"/>
      <c r="CK69" s="79">
        <f t="shared" si="38"/>
        <v>0</v>
      </c>
      <c r="CL69" s="79"/>
      <c r="CM69" s="79"/>
      <c r="CN69" s="79"/>
      <c r="CO69" s="79"/>
      <c r="CP69" s="79"/>
      <c r="CQ69" s="79"/>
      <c r="CR69" s="83" t="s">
        <v>179</v>
      </c>
      <c r="CS69" s="83" t="s">
        <v>179</v>
      </c>
      <c r="CT69" s="83" t="s">
        <v>179</v>
      </c>
      <c r="CU69" s="83" t="s">
        <v>179</v>
      </c>
      <c r="CV69" s="83" t="s">
        <v>179</v>
      </c>
      <c r="CW69" s="83" t="s">
        <v>179</v>
      </c>
      <c r="CX69" s="79" t="s">
        <v>153</v>
      </c>
      <c r="CY69" s="79">
        <f t="shared" si="39"/>
        <v>0</v>
      </c>
      <c r="CZ69" s="79">
        <v>0</v>
      </c>
      <c r="DA69" s="79">
        <f t="shared" si="40"/>
        <v>0</v>
      </c>
      <c r="DB69" s="84" t="str">
        <f t="shared" ref="DB69:DB209" si="46">IFERROR(CY69/CK69,"")</f>
        <v/>
      </c>
      <c r="DC69" s="41"/>
      <c r="DD69" s="79" t="s">
        <v>153</v>
      </c>
      <c r="DE69" s="71"/>
      <c r="DF69" s="85" t="s">
        <v>700</v>
      </c>
      <c r="DG69" s="79">
        <v>64</v>
      </c>
      <c r="DH69" s="86" t="str">
        <f t="shared" si="29"/>
        <v>Completo</v>
      </c>
      <c r="DI69" s="79" t="s">
        <v>181</v>
      </c>
      <c r="DJ69" s="79" t="s">
        <v>182</v>
      </c>
      <c r="DK69" s="79"/>
      <c r="DL69" s="79">
        <v>0</v>
      </c>
      <c r="DM69" s="79">
        <v>0</v>
      </c>
      <c r="DN69" s="79" t="s">
        <v>191</v>
      </c>
      <c r="DO69" s="79"/>
      <c r="DP69" s="79"/>
      <c r="DQ69" s="79"/>
      <c r="DR69" s="75" t="str">
        <f t="shared" ref="DR69:DR132" si="47">IF(H69="SÍ", (DQ69/(BZ69*0.3)), "No aplica")</f>
        <v>No aplica</v>
      </c>
      <c r="DS69" s="79"/>
      <c r="DT69" s="79"/>
      <c r="DU69" s="75" t="str">
        <f t="shared" ref="DU69:DU132" si="48">IF(H69="SÍ", (DT69/(BZ69*0.35)), "No aplica")</f>
        <v>No aplica</v>
      </c>
      <c r="DV69" s="79" t="s">
        <v>182</v>
      </c>
      <c r="DW69" s="79" t="s">
        <v>182</v>
      </c>
      <c r="DX69" s="79"/>
      <c r="DY69" s="79"/>
      <c r="DZ69" s="79"/>
      <c r="EA69" s="79"/>
      <c r="EB69" s="79" t="s">
        <v>191</v>
      </c>
      <c r="EC69" s="79"/>
      <c r="ED69" s="79" t="s">
        <v>184</v>
      </c>
      <c r="EE69" s="79" t="str">
        <f t="shared" si="37"/>
        <v>Completo</v>
      </c>
      <c r="EF69" s="41"/>
      <c r="EG69" s="79" t="s">
        <v>153</v>
      </c>
      <c r="EH69" s="71"/>
      <c r="EI69" s="80"/>
      <c r="EJ69" s="71"/>
      <c r="EK69" s="79" t="s">
        <v>179</v>
      </c>
      <c r="EL69" s="76" t="str">
        <f t="shared" ref="EL69:EL132" si="49">IF(F69="NO","No requiere",IF(H69="No","No requiere",IF(DW69="","",IF(DW69&lt;&gt;"No aplica",IF(DX69&lt;&gt;"No aplica",IF(DX69&gt;=2,"Sí","No"),"No aplica"),"No aplica"))))</f>
        <v>No requiere</v>
      </c>
      <c r="EM69" s="76" t="str">
        <f t="shared" ref="EM69:EM132" si="50">IF(F69="NO","No requiere",IF(H69="No","No requiere",IF(DW69="","",IF(DW69&lt;&gt;"No aplica",IF(DY69&lt;&gt;"No aplica",IF(DY69&gt;=1,"Sí","No"),"No aplica"),"No aplica"))))</f>
        <v>No requiere</v>
      </c>
      <c r="EN69" s="76" t="str">
        <f t="shared" si="32"/>
        <v>No requiere</v>
      </c>
      <c r="EO69" s="71"/>
      <c r="EP69" s="73" t="str">
        <f t="shared" ref="EP69:EP132" si="51">IF(F69="NO","No requiere",IF(H69="No","No requiere",IF(DL69="","",IF(DL69&gt;=1,DM69/DL69,"No aplica"))))</f>
        <v>No requiere</v>
      </c>
      <c r="EQ69" s="77" t="str">
        <f t="shared" ref="EQ69:EQ132" si="52">IFERROR(IF(F69="NO","No requiere",IF(H69="No","No requiere",DU69)),"")</f>
        <v>No requiere</v>
      </c>
      <c r="ER69" s="71"/>
      <c r="ES69" s="79" t="s">
        <v>179</v>
      </c>
      <c r="ET69" s="73" t="str">
        <f t="shared" ref="ET69:ET132" si="53">IF(F69="NO","No requiere",IF(H69="No","No requiere",IFERROR(COUNTIF(DJ69:DW69,"Completo")/SUM(COUNTIF(DJ69:DW69,"Completo"),COUNTIF(DJ69:DW69,"Incompleto"),COUNTIF(DJ69:DW69,"No subido"),COUNTIF(DJ69:DW69,"No existente"),COUNTIF(DJ69:DW69,"Pendiente")),"")))</f>
        <v>No requiere</v>
      </c>
      <c r="EU69" s="73" t="str">
        <f t="shared" si="33"/>
        <v>No requiere</v>
      </c>
      <c r="EV69" s="73" t="str">
        <f t="shared" ref="EV69:EV132" si="54">IF(EU69="Por verificar","Por verificar",IF(F69="NO","No requiere",IF(H69="No","No requiere",IFERROR(IF(EU69="","",IF(CK69&gt;=1,DA69/CZ69,"No aplica")),"No aplica"))))</f>
        <v>No requiere</v>
      </c>
      <c r="EW69" s="73" t="str">
        <f t="shared" ref="EW69:EW132" si="55">IF(F69="NO","No requiere",IF(H69="No","No requiere",IFERROR(IF(BZ69="","",IF(EA69&lt;&gt;"No aplica",IF(EA69&gt;=1,DO69/EA69,"0%"),"No aplica")),"")))</f>
        <v>No requiere</v>
      </c>
      <c r="EX69" s="78"/>
      <c r="EY69" s="78"/>
    </row>
    <row r="70" spans="1:155" ht="46.5" customHeight="1">
      <c r="A70" s="79" t="str">
        <v/>
      </c>
      <c r="B70" s="80" t="s">
        <v>701</v>
      </c>
      <c r="C70" s="81">
        <v>45357</v>
      </c>
      <c r="D70" s="82">
        <v>0.33333333333333331</v>
      </c>
      <c r="E70" s="79" t="s">
        <v>151</v>
      </c>
      <c r="F70" s="79" t="s">
        <v>152</v>
      </c>
      <c r="G70" s="79" t="s">
        <v>152</v>
      </c>
      <c r="H70" s="79" t="s">
        <v>152</v>
      </c>
      <c r="I70" s="79" t="s">
        <v>152</v>
      </c>
      <c r="J70" s="79" t="s">
        <v>251</v>
      </c>
      <c r="K70" s="79" t="s">
        <v>202</v>
      </c>
      <c r="L70" s="80" t="s">
        <v>702</v>
      </c>
      <c r="M70" s="80" t="s">
        <v>157</v>
      </c>
      <c r="N70" s="79" t="s">
        <v>158</v>
      </c>
      <c r="O70" s="80" t="str">
        <f t="shared" si="41"/>
        <v/>
      </c>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t="s">
        <v>169</v>
      </c>
      <c r="AP70" s="79" t="s">
        <v>170</v>
      </c>
      <c r="AQ70" s="80" t="s">
        <v>703</v>
      </c>
      <c r="AR70" s="83" t="s">
        <v>458</v>
      </c>
      <c r="AS70" s="80" t="s">
        <v>459</v>
      </c>
      <c r="AT70" s="80" t="str">
        <f t="shared" si="42"/>
        <v>Distrital</v>
      </c>
      <c r="AU70" s="79" t="s">
        <v>172</v>
      </c>
      <c r="AV70" s="79"/>
      <c r="AW70" s="79"/>
      <c r="AX70" s="79"/>
      <c r="AY70" s="79"/>
      <c r="AZ70" s="79"/>
      <c r="BA70" s="80" t="str">
        <f t="shared" si="43"/>
        <v>Distrital</v>
      </c>
      <c r="BB70" s="79" t="s">
        <v>172</v>
      </c>
      <c r="BC70" s="79"/>
      <c r="BD70" s="79"/>
      <c r="BE70" s="79"/>
      <c r="BF70" s="79"/>
      <c r="BG70" s="79"/>
      <c r="BH70" s="80" t="str">
        <f t="shared" si="44"/>
        <v>Distrital</v>
      </c>
      <c r="BI70" s="79" t="s">
        <v>172</v>
      </c>
      <c r="BJ70" s="79"/>
      <c r="BK70" s="79"/>
      <c r="BL70" s="79"/>
      <c r="BM70" s="79"/>
      <c r="BN70" s="79"/>
      <c r="BO70" s="79"/>
      <c r="BP70" s="79"/>
      <c r="BQ70" s="79"/>
      <c r="BR70" s="79"/>
      <c r="BS70" s="80" t="s">
        <v>288</v>
      </c>
      <c r="BT70" s="80" t="s">
        <v>704</v>
      </c>
      <c r="BU70" s="89" t="s">
        <v>705</v>
      </c>
      <c r="BV70" s="71"/>
      <c r="BW70" s="79" t="s">
        <v>152</v>
      </c>
      <c r="BX70" s="79" t="s">
        <v>179</v>
      </c>
      <c r="BY70" s="71"/>
      <c r="BZ70" s="79">
        <v>0</v>
      </c>
      <c r="CA70" s="79">
        <v>8</v>
      </c>
      <c r="CB70" s="79">
        <f t="shared" si="25"/>
        <v>8</v>
      </c>
      <c r="CC70" s="79" t="str">
        <f t="shared" si="45"/>
        <v>No Aplica</v>
      </c>
      <c r="CD70" s="79" t="s">
        <v>177</v>
      </c>
      <c r="CE70" s="79"/>
      <c r="CF70" s="79"/>
      <c r="CG70" s="83" t="s">
        <v>706</v>
      </c>
      <c r="CH70" s="41"/>
      <c r="CI70" s="79" t="s">
        <v>153</v>
      </c>
      <c r="CJ70" s="71"/>
      <c r="CK70" s="79">
        <f t="shared" si="38"/>
        <v>0</v>
      </c>
      <c r="CL70" s="79"/>
      <c r="CM70" s="79"/>
      <c r="CN70" s="79"/>
      <c r="CO70" s="79"/>
      <c r="CP70" s="79"/>
      <c r="CQ70" s="79"/>
      <c r="CR70" s="83" t="s">
        <v>179</v>
      </c>
      <c r="CS70" s="83" t="s">
        <v>179</v>
      </c>
      <c r="CT70" s="83" t="s">
        <v>179</v>
      </c>
      <c r="CU70" s="83" t="s">
        <v>179</v>
      </c>
      <c r="CV70" s="83" t="s">
        <v>179</v>
      </c>
      <c r="CW70" s="83" t="s">
        <v>179</v>
      </c>
      <c r="CX70" s="79" t="s">
        <v>153</v>
      </c>
      <c r="CY70" s="79">
        <f t="shared" si="39"/>
        <v>0</v>
      </c>
      <c r="CZ70" s="79">
        <v>0</v>
      </c>
      <c r="DA70" s="79">
        <f t="shared" si="40"/>
        <v>0</v>
      </c>
      <c r="DB70" s="84" t="str">
        <f t="shared" si="46"/>
        <v/>
      </c>
      <c r="DC70" s="41"/>
      <c r="DD70" s="79" t="s">
        <v>153</v>
      </c>
      <c r="DE70" s="71"/>
      <c r="DF70" s="85" t="s">
        <v>707</v>
      </c>
      <c r="DG70" s="79">
        <v>65</v>
      </c>
      <c r="DH70" s="86" t="str">
        <f t="shared" si="29"/>
        <v>Completo</v>
      </c>
      <c r="DI70" s="79" t="s">
        <v>181</v>
      </c>
      <c r="DJ70" s="79" t="s">
        <v>182</v>
      </c>
      <c r="DK70" s="79"/>
      <c r="DL70" s="79">
        <v>0</v>
      </c>
      <c r="DM70" s="79">
        <v>0</v>
      </c>
      <c r="DN70" s="79"/>
      <c r="DO70" s="79"/>
      <c r="DP70" s="79"/>
      <c r="DQ70" s="79"/>
      <c r="DR70" s="75" t="str">
        <f t="shared" si="47"/>
        <v>No aplica</v>
      </c>
      <c r="DS70" s="79"/>
      <c r="DT70" s="79"/>
      <c r="DU70" s="75" t="str">
        <f t="shared" si="48"/>
        <v>No aplica</v>
      </c>
      <c r="DV70" s="79" t="s">
        <v>182</v>
      </c>
      <c r="DW70" s="79"/>
      <c r="DX70" s="79"/>
      <c r="DY70" s="79"/>
      <c r="DZ70" s="79"/>
      <c r="EA70" s="79"/>
      <c r="EB70" s="79"/>
      <c r="EC70" s="79"/>
      <c r="ED70" s="79" t="s">
        <v>708</v>
      </c>
      <c r="EE70" s="79" t="str">
        <f t="shared" si="37"/>
        <v>Completo</v>
      </c>
      <c r="EF70" s="41"/>
      <c r="EG70" s="79" t="s">
        <v>153</v>
      </c>
      <c r="EH70" s="71"/>
      <c r="EI70" s="80"/>
      <c r="EJ70" s="71"/>
      <c r="EK70" s="79" t="s">
        <v>179</v>
      </c>
      <c r="EL70" s="76" t="str">
        <f t="shared" si="49"/>
        <v>No requiere</v>
      </c>
      <c r="EM70" s="76" t="str">
        <f t="shared" si="50"/>
        <v>No requiere</v>
      </c>
      <c r="EN70" s="76" t="str">
        <f t="shared" ref="EN70:EN101" si="56">IF(F70="NO","No requiere",IF(H70="No","No requiere",IF(CC70="","",IF(CD70&lt;&gt;"No aplica",IF(CD70&lt;&gt;"Ninguna",IF(COUNTIF(CD70:CF70,"*")&gt;=1,"Sí","No"),"No"),"No aplica"))))</f>
        <v>No requiere</v>
      </c>
      <c r="EO70" s="71"/>
      <c r="EP70" s="73" t="str">
        <f t="shared" si="51"/>
        <v>No requiere</v>
      </c>
      <c r="EQ70" s="77" t="str">
        <f t="shared" si="52"/>
        <v>No requiere</v>
      </c>
      <c r="ER70" s="71"/>
      <c r="ES70" s="79" t="s">
        <v>179</v>
      </c>
      <c r="ET70" s="73" t="str">
        <f t="shared" si="53"/>
        <v>No requiere</v>
      </c>
      <c r="EU70" s="73" t="str">
        <f t="shared" ref="EU70:EU101" si="57">IF(F70="NO","No requiere",IF(H70="No","No requiere",IF(B70="","",IF(CX70="SÍ",IF(CK70&gt;=1,CY70/CK70,"Sin compromisos"),"Por verificar"))))</f>
        <v>No requiere</v>
      </c>
      <c r="EV70" s="73" t="str">
        <f t="shared" si="54"/>
        <v>No requiere</v>
      </c>
      <c r="EW70" s="73" t="str">
        <f t="shared" si="55"/>
        <v>No requiere</v>
      </c>
      <c r="EX70" s="78"/>
      <c r="EY70" s="78"/>
    </row>
    <row r="71" spans="1:155" ht="46.5" customHeight="1">
      <c r="A71" s="79" t="str">
        <v/>
      </c>
      <c r="B71" s="80" t="s">
        <v>709</v>
      </c>
      <c r="C71" s="81">
        <v>45357</v>
      </c>
      <c r="D71" s="82">
        <v>0.33333333333333331</v>
      </c>
      <c r="E71" s="79" t="s">
        <v>151</v>
      </c>
      <c r="F71" s="79" t="s">
        <v>152</v>
      </c>
      <c r="G71" s="79" t="s">
        <v>152</v>
      </c>
      <c r="H71" s="79" t="s">
        <v>152</v>
      </c>
      <c r="I71" s="79" t="s">
        <v>152</v>
      </c>
      <c r="J71" s="79" t="s">
        <v>251</v>
      </c>
      <c r="K71" s="79" t="s">
        <v>202</v>
      </c>
      <c r="L71" s="80" t="s">
        <v>710</v>
      </c>
      <c r="M71" s="80" t="s">
        <v>157</v>
      </c>
      <c r="N71" s="79" t="s">
        <v>265</v>
      </c>
      <c r="O71" s="80" t="str">
        <f t="shared" si="41"/>
        <v/>
      </c>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t="s">
        <v>169</v>
      </c>
      <c r="AP71" s="79" t="s">
        <v>170</v>
      </c>
      <c r="AQ71" s="80" t="s">
        <v>690</v>
      </c>
      <c r="AR71" s="83">
        <v>3002675080</v>
      </c>
      <c r="AS71" s="80" t="s">
        <v>691</v>
      </c>
      <c r="AT71" s="80" t="str">
        <f t="shared" si="42"/>
        <v>Distrital</v>
      </c>
      <c r="AU71" s="79" t="s">
        <v>172</v>
      </c>
      <c r="AV71" s="79"/>
      <c r="AW71" s="79"/>
      <c r="AX71" s="79"/>
      <c r="AY71" s="79"/>
      <c r="AZ71" s="79"/>
      <c r="BA71" s="80" t="str">
        <f t="shared" si="43"/>
        <v>Distrital</v>
      </c>
      <c r="BB71" s="79" t="s">
        <v>172</v>
      </c>
      <c r="BC71" s="79"/>
      <c r="BD71" s="79"/>
      <c r="BE71" s="79"/>
      <c r="BF71" s="79"/>
      <c r="BG71" s="79"/>
      <c r="BH71" s="80" t="str">
        <f t="shared" si="44"/>
        <v>Distrital</v>
      </c>
      <c r="BI71" s="79" t="s">
        <v>172</v>
      </c>
      <c r="BJ71" s="79"/>
      <c r="BK71" s="79"/>
      <c r="BL71" s="79"/>
      <c r="BM71" s="79"/>
      <c r="BN71" s="79"/>
      <c r="BO71" s="79"/>
      <c r="BP71" s="79"/>
      <c r="BQ71" s="79"/>
      <c r="BR71" s="79"/>
      <c r="BS71" s="80" t="s">
        <v>288</v>
      </c>
      <c r="BT71" s="80" t="s">
        <v>174</v>
      </c>
      <c r="BU71" s="89" t="s">
        <v>711</v>
      </c>
      <c r="BV71" s="71"/>
      <c r="BW71" s="79" t="s">
        <v>152</v>
      </c>
      <c r="BX71" s="79" t="s">
        <v>179</v>
      </c>
      <c r="BY71" s="71"/>
      <c r="BZ71" s="79">
        <v>0</v>
      </c>
      <c r="CA71" s="79">
        <v>3</v>
      </c>
      <c r="CB71" s="79">
        <f t="shared" si="25"/>
        <v>3</v>
      </c>
      <c r="CC71" s="79" t="str">
        <f t="shared" si="45"/>
        <v>No Aplica</v>
      </c>
      <c r="CD71" s="79" t="s">
        <v>177</v>
      </c>
      <c r="CE71" s="79"/>
      <c r="CF71" s="79"/>
      <c r="CG71" s="83" t="s">
        <v>712</v>
      </c>
      <c r="CH71" s="41"/>
      <c r="CI71" s="79" t="s">
        <v>153</v>
      </c>
      <c r="CJ71" s="71"/>
      <c r="CK71" s="79">
        <f t="shared" si="38"/>
        <v>0</v>
      </c>
      <c r="CL71" s="79"/>
      <c r="CM71" s="79"/>
      <c r="CN71" s="79"/>
      <c r="CO71" s="79"/>
      <c r="CP71" s="79"/>
      <c r="CQ71" s="79"/>
      <c r="CR71" s="83" t="s">
        <v>179</v>
      </c>
      <c r="CS71" s="83" t="s">
        <v>179</v>
      </c>
      <c r="CT71" s="83" t="s">
        <v>179</v>
      </c>
      <c r="CU71" s="83" t="s">
        <v>179</v>
      </c>
      <c r="CV71" s="83" t="s">
        <v>179</v>
      </c>
      <c r="CW71" s="83" t="s">
        <v>179</v>
      </c>
      <c r="CX71" s="79" t="s">
        <v>153</v>
      </c>
      <c r="CY71" s="79">
        <f t="shared" si="39"/>
        <v>0</v>
      </c>
      <c r="CZ71" s="79">
        <v>0</v>
      </c>
      <c r="DA71" s="79">
        <f t="shared" si="40"/>
        <v>0</v>
      </c>
      <c r="DB71" s="84" t="str">
        <f t="shared" si="46"/>
        <v/>
      </c>
      <c r="DC71" s="41"/>
      <c r="DD71" s="79" t="s">
        <v>153</v>
      </c>
      <c r="DE71" s="71"/>
      <c r="DF71" s="85" t="s">
        <v>713</v>
      </c>
      <c r="DG71" s="79">
        <v>66</v>
      </c>
      <c r="DH71" s="86" t="str">
        <f t="shared" si="29"/>
        <v>Completo</v>
      </c>
      <c r="DI71" s="79" t="s">
        <v>181</v>
      </c>
      <c r="DJ71" s="79" t="s">
        <v>182</v>
      </c>
      <c r="DK71" s="79"/>
      <c r="DL71" s="79">
        <v>0</v>
      </c>
      <c r="DM71" s="79">
        <v>0</v>
      </c>
      <c r="DN71" s="79"/>
      <c r="DO71" s="79"/>
      <c r="DP71" s="79"/>
      <c r="DQ71" s="79"/>
      <c r="DR71" s="75" t="str">
        <f t="shared" si="47"/>
        <v>No aplica</v>
      </c>
      <c r="DS71" s="79"/>
      <c r="DT71" s="79"/>
      <c r="DU71" s="75" t="str">
        <f t="shared" si="48"/>
        <v>No aplica</v>
      </c>
      <c r="DV71" s="79"/>
      <c r="DW71" s="79" t="s">
        <v>182</v>
      </c>
      <c r="DX71" s="79"/>
      <c r="DY71" s="79"/>
      <c r="DZ71" s="79"/>
      <c r="EA71" s="79"/>
      <c r="EB71" s="79"/>
      <c r="EC71" s="79"/>
      <c r="ED71" s="79" t="s">
        <v>714</v>
      </c>
      <c r="EE71" s="79" t="str">
        <f t="shared" si="37"/>
        <v>Completo</v>
      </c>
      <c r="EF71" s="41"/>
      <c r="EG71" s="79" t="s">
        <v>153</v>
      </c>
      <c r="EH71" s="71"/>
      <c r="EI71" s="80"/>
      <c r="EJ71" s="71"/>
      <c r="EK71" s="79" t="s">
        <v>179</v>
      </c>
      <c r="EL71" s="76" t="str">
        <f t="shared" si="49"/>
        <v>No requiere</v>
      </c>
      <c r="EM71" s="76" t="str">
        <f t="shared" si="50"/>
        <v>No requiere</v>
      </c>
      <c r="EN71" s="76" t="str">
        <f t="shared" si="56"/>
        <v>No requiere</v>
      </c>
      <c r="EO71" s="71"/>
      <c r="EP71" s="73" t="str">
        <f t="shared" si="51"/>
        <v>No requiere</v>
      </c>
      <c r="EQ71" s="77" t="str">
        <f t="shared" si="52"/>
        <v>No requiere</v>
      </c>
      <c r="ER71" s="71"/>
      <c r="ES71" s="79" t="s">
        <v>179</v>
      </c>
      <c r="ET71" s="73" t="str">
        <f t="shared" si="53"/>
        <v>No requiere</v>
      </c>
      <c r="EU71" s="73" t="str">
        <f t="shared" si="57"/>
        <v>No requiere</v>
      </c>
      <c r="EV71" s="73" t="str">
        <f t="shared" si="54"/>
        <v>No requiere</v>
      </c>
      <c r="EW71" s="73" t="str">
        <f t="shared" si="55"/>
        <v>No requiere</v>
      </c>
      <c r="EX71" s="78"/>
      <c r="EY71" s="78"/>
    </row>
    <row r="72" spans="1:155" ht="46.5" customHeight="1">
      <c r="A72" s="79">
        <v>68</v>
      </c>
      <c r="B72" s="80" t="s">
        <v>715</v>
      </c>
      <c r="C72" s="81">
        <v>45357</v>
      </c>
      <c r="D72" s="82">
        <v>0.39583333333333331</v>
      </c>
      <c r="E72" s="79" t="s">
        <v>151</v>
      </c>
      <c r="F72" s="79" t="s">
        <v>153</v>
      </c>
      <c r="G72" s="79" t="s">
        <v>152</v>
      </c>
      <c r="H72" s="79" t="s">
        <v>152</v>
      </c>
      <c r="I72" s="79" t="s">
        <v>152</v>
      </c>
      <c r="J72" s="79" t="s">
        <v>154</v>
      </c>
      <c r="K72" s="79" t="s">
        <v>202</v>
      </c>
      <c r="L72" s="80" t="s">
        <v>577</v>
      </c>
      <c r="M72" s="80" t="s">
        <v>157</v>
      </c>
      <c r="N72" s="79" t="s">
        <v>373</v>
      </c>
      <c r="O72" s="80" t="str">
        <f t="shared" si="41"/>
        <v/>
      </c>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t="s">
        <v>169</v>
      </c>
      <c r="AP72" s="79" t="s">
        <v>170</v>
      </c>
      <c r="AQ72" s="83" t="s">
        <v>584</v>
      </c>
      <c r="AR72" s="83">
        <v>3143480013</v>
      </c>
      <c r="AS72" s="83" t="s">
        <v>585</v>
      </c>
      <c r="AT72" s="80" t="str">
        <f t="shared" si="42"/>
        <v>Distrital</v>
      </c>
      <c r="AU72" s="79" t="s">
        <v>172</v>
      </c>
      <c r="AV72" s="79"/>
      <c r="AW72" s="79"/>
      <c r="AX72" s="79"/>
      <c r="AY72" s="79"/>
      <c r="AZ72" s="79"/>
      <c r="BA72" s="80" t="str">
        <f t="shared" si="43"/>
        <v>Distrital</v>
      </c>
      <c r="BB72" s="79" t="s">
        <v>172</v>
      </c>
      <c r="BC72" s="79"/>
      <c r="BD72" s="79"/>
      <c r="BE72" s="79"/>
      <c r="BF72" s="79"/>
      <c r="BG72" s="79"/>
      <c r="BH72" s="80" t="str">
        <f t="shared" si="44"/>
        <v>Distrital</v>
      </c>
      <c r="BI72" s="79" t="s">
        <v>172</v>
      </c>
      <c r="BJ72" s="79"/>
      <c r="BK72" s="79"/>
      <c r="BL72" s="79"/>
      <c r="BM72" s="79"/>
      <c r="BN72" s="79"/>
      <c r="BO72" s="79"/>
      <c r="BP72" s="79"/>
      <c r="BQ72" s="79"/>
      <c r="BR72" s="79"/>
      <c r="BS72" s="80" t="s">
        <v>288</v>
      </c>
      <c r="BT72" s="80" t="s">
        <v>174</v>
      </c>
      <c r="BU72" s="89" t="s">
        <v>716</v>
      </c>
      <c r="BV72" s="71"/>
      <c r="BW72" s="79" t="s">
        <v>153</v>
      </c>
      <c r="BX72" s="79" t="s">
        <v>176</v>
      </c>
      <c r="BY72" s="71"/>
      <c r="BZ72" s="79">
        <v>42</v>
      </c>
      <c r="CA72" s="79">
        <v>1</v>
      </c>
      <c r="CB72" s="79">
        <f t="shared" si="25"/>
        <v>43</v>
      </c>
      <c r="CC72" s="79" t="str">
        <f t="shared" si="45"/>
        <v>No Aplica</v>
      </c>
      <c r="CD72" s="79" t="s">
        <v>177</v>
      </c>
      <c r="CE72" s="79"/>
      <c r="CF72" s="79"/>
      <c r="CG72" s="83" t="s">
        <v>670</v>
      </c>
      <c r="CH72" s="41"/>
      <c r="CI72" s="79" t="s">
        <v>153</v>
      </c>
      <c r="CJ72" s="71"/>
      <c r="CK72" s="79">
        <f t="shared" si="38"/>
        <v>0</v>
      </c>
      <c r="CL72" s="79"/>
      <c r="CM72" s="79"/>
      <c r="CN72" s="79"/>
      <c r="CO72" s="79"/>
      <c r="CP72" s="79"/>
      <c r="CQ72" s="79"/>
      <c r="CR72" s="83" t="s">
        <v>179</v>
      </c>
      <c r="CS72" s="83" t="s">
        <v>179</v>
      </c>
      <c r="CT72" s="83" t="s">
        <v>179</v>
      </c>
      <c r="CU72" s="83" t="s">
        <v>179</v>
      </c>
      <c r="CV72" s="83" t="s">
        <v>179</v>
      </c>
      <c r="CW72" s="83" t="s">
        <v>179</v>
      </c>
      <c r="CX72" s="79" t="s">
        <v>153</v>
      </c>
      <c r="CY72" s="79">
        <f t="shared" si="39"/>
        <v>0</v>
      </c>
      <c r="CZ72" s="79">
        <v>0</v>
      </c>
      <c r="DA72" s="79">
        <f t="shared" si="40"/>
        <v>0</v>
      </c>
      <c r="DB72" s="84" t="str">
        <f t="shared" si="46"/>
        <v/>
      </c>
      <c r="DC72" s="41"/>
      <c r="DD72" s="79" t="s">
        <v>153</v>
      </c>
      <c r="DE72" s="71"/>
      <c r="DF72" s="85" t="s">
        <v>717</v>
      </c>
      <c r="DG72" s="79">
        <v>67</v>
      </c>
      <c r="DH72" s="86" t="str">
        <f t="shared" si="29"/>
        <v>Completo</v>
      </c>
      <c r="DI72" s="79" t="s">
        <v>181</v>
      </c>
      <c r="DJ72" s="79" t="s">
        <v>182</v>
      </c>
      <c r="DK72" s="79"/>
      <c r="DL72" s="79">
        <v>0</v>
      </c>
      <c r="DM72" s="79">
        <v>0</v>
      </c>
      <c r="DN72" s="79" t="s">
        <v>182</v>
      </c>
      <c r="DO72" s="79"/>
      <c r="DP72" s="79"/>
      <c r="DQ72" s="79"/>
      <c r="DR72" s="75" t="str">
        <f t="shared" si="47"/>
        <v>No aplica</v>
      </c>
      <c r="DS72" s="79"/>
      <c r="DT72" s="79"/>
      <c r="DU72" s="75" t="str">
        <f t="shared" si="48"/>
        <v>No aplica</v>
      </c>
      <c r="DV72" s="79" t="s">
        <v>182</v>
      </c>
      <c r="DW72" s="79" t="s">
        <v>182</v>
      </c>
      <c r="DX72" s="79"/>
      <c r="DY72" s="79"/>
      <c r="DZ72" s="79"/>
      <c r="EA72" s="79"/>
      <c r="EB72" s="79" t="s">
        <v>182</v>
      </c>
      <c r="EC72" s="79" t="s">
        <v>672</v>
      </c>
      <c r="ED72" s="79" t="s">
        <v>673</v>
      </c>
      <c r="EE72" s="79" t="str">
        <f t="shared" si="37"/>
        <v>Completo</v>
      </c>
      <c r="EF72" s="41"/>
      <c r="EG72" s="79" t="s">
        <v>153</v>
      </c>
      <c r="EH72" s="71"/>
      <c r="EI72" s="80"/>
      <c r="EJ72" s="71"/>
      <c r="EK72" s="79" t="s">
        <v>179</v>
      </c>
      <c r="EL72" s="76" t="str">
        <f t="shared" si="49"/>
        <v>No requiere</v>
      </c>
      <c r="EM72" s="76" t="str">
        <f t="shared" si="50"/>
        <v>No requiere</v>
      </c>
      <c r="EN72" s="76" t="str">
        <f t="shared" si="56"/>
        <v>No requiere</v>
      </c>
      <c r="EO72" s="71"/>
      <c r="EP72" s="73" t="str">
        <f t="shared" si="51"/>
        <v>No requiere</v>
      </c>
      <c r="EQ72" s="77" t="str">
        <f t="shared" si="52"/>
        <v>No requiere</v>
      </c>
      <c r="ER72" s="71"/>
      <c r="ES72" s="79" t="s">
        <v>179</v>
      </c>
      <c r="ET72" s="73" t="str">
        <f t="shared" si="53"/>
        <v>No requiere</v>
      </c>
      <c r="EU72" s="73" t="str">
        <f t="shared" si="57"/>
        <v>No requiere</v>
      </c>
      <c r="EV72" s="73" t="str">
        <f t="shared" si="54"/>
        <v>No requiere</v>
      </c>
      <c r="EW72" s="73" t="str">
        <f t="shared" si="55"/>
        <v>No requiere</v>
      </c>
      <c r="EX72" s="78"/>
      <c r="EY72" s="78"/>
    </row>
    <row r="73" spans="1:155" ht="46.5" customHeight="1">
      <c r="A73" s="79">
        <v>69</v>
      </c>
      <c r="B73" s="80" t="s">
        <v>718</v>
      </c>
      <c r="C73" s="81">
        <v>45357</v>
      </c>
      <c r="D73" s="82">
        <v>0.58333333333333337</v>
      </c>
      <c r="E73" s="79" t="s">
        <v>200</v>
      </c>
      <c r="F73" s="79" t="s">
        <v>153</v>
      </c>
      <c r="G73" s="79" t="s">
        <v>152</v>
      </c>
      <c r="H73" s="79" t="s">
        <v>152</v>
      </c>
      <c r="I73" s="79" t="s">
        <v>152</v>
      </c>
      <c r="J73" s="79" t="s">
        <v>504</v>
      </c>
      <c r="K73" s="79" t="s">
        <v>202</v>
      </c>
      <c r="L73" s="80" t="s">
        <v>719</v>
      </c>
      <c r="M73" s="80" t="s">
        <v>157</v>
      </c>
      <c r="N73" s="79" t="s">
        <v>720</v>
      </c>
      <c r="O73" s="80" t="str">
        <f t="shared" si="41"/>
        <v/>
      </c>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t="s">
        <v>169</v>
      </c>
      <c r="AP73" s="79" t="s">
        <v>507</v>
      </c>
      <c r="AQ73" s="80" t="s">
        <v>721</v>
      </c>
      <c r="AR73" s="83" t="s">
        <v>722</v>
      </c>
      <c r="AS73" s="80" t="s">
        <v>171</v>
      </c>
      <c r="AT73" s="80" t="str">
        <f t="shared" si="42"/>
        <v>Rafael Uribe Uribe</v>
      </c>
      <c r="AU73" s="79" t="s">
        <v>635</v>
      </c>
      <c r="AV73" s="79"/>
      <c r="AW73" s="79"/>
      <c r="AX73" s="79"/>
      <c r="AY73" s="79"/>
      <c r="AZ73" s="79"/>
      <c r="BA73" s="80" t="str">
        <f t="shared" si="43"/>
        <v>Suroriente, Centro Ampliado</v>
      </c>
      <c r="BB73" s="79" t="s">
        <v>218</v>
      </c>
      <c r="BC73" s="79" t="s">
        <v>636</v>
      </c>
      <c r="BD73" s="79"/>
      <c r="BE73" s="79"/>
      <c r="BF73" s="79"/>
      <c r="BG73" s="79"/>
      <c r="BH73" s="80" t="str">
        <f t="shared" si="44"/>
        <v>Rafael Uribe, Restrepo, San Cristobal</v>
      </c>
      <c r="BI73" s="79" t="s">
        <v>723</v>
      </c>
      <c r="BJ73" s="79" t="s">
        <v>637</v>
      </c>
      <c r="BK73" s="79" t="s">
        <v>571</v>
      </c>
      <c r="BL73" s="79"/>
      <c r="BM73" s="79"/>
      <c r="BN73" s="79"/>
      <c r="BO73" s="79"/>
      <c r="BP73" s="79"/>
      <c r="BQ73" s="79"/>
      <c r="BR73" s="79"/>
      <c r="BS73" s="80" t="s">
        <v>288</v>
      </c>
      <c r="BT73" s="80" t="s">
        <v>174</v>
      </c>
      <c r="BU73" s="89" t="s">
        <v>724</v>
      </c>
      <c r="BV73" s="71"/>
      <c r="BW73" s="79" t="s">
        <v>152</v>
      </c>
      <c r="BX73" s="79" t="s">
        <v>179</v>
      </c>
      <c r="BY73" s="71"/>
      <c r="BZ73" s="79">
        <v>7</v>
      </c>
      <c r="CA73" s="79">
        <v>1</v>
      </c>
      <c r="CB73" s="79">
        <f t="shared" si="25"/>
        <v>8</v>
      </c>
      <c r="CC73" s="79" t="str">
        <f t="shared" si="45"/>
        <v>No Aplica</v>
      </c>
      <c r="CD73" s="79" t="s">
        <v>177</v>
      </c>
      <c r="CE73" s="79"/>
      <c r="CF73" s="79"/>
      <c r="CG73" s="83" t="s">
        <v>725</v>
      </c>
      <c r="CH73" s="41"/>
      <c r="CI73" s="79" t="s">
        <v>153</v>
      </c>
      <c r="CJ73" s="71"/>
      <c r="CK73" s="79">
        <f t="shared" si="38"/>
        <v>0</v>
      </c>
      <c r="CL73" s="79"/>
      <c r="CM73" s="79"/>
      <c r="CN73" s="79"/>
      <c r="CO73" s="79"/>
      <c r="CP73" s="79"/>
      <c r="CQ73" s="79"/>
      <c r="CR73" s="83" t="s">
        <v>179</v>
      </c>
      <c r="CS73" s="83" t="s">
        <v>179</v>
      </c>
      <c r="CT73" s="83" t="s">
        <v>179</v>
      </c>
      <c r="CU73" s="83" t="s">
        <v>179</v>
      </c>
      <c r="CV73" s="83" t="s">
        <v>179</v>
      </c>
      <c r="CW73" s="83" t="s">
        <v>179</v>
      </c>
      <c r="CX73" s="79" t="s">
        <v>153</v>
      </c>
      <c r="CY73" s="79">
        <f t="shared" si="39"/>
        <v>0</v>
      </c>
      <c r="CZ73" s="79">
        <v>0</v>
      </c>
      <c r="DA73" s="79">
        <f t="shared" si="40"/>
        <v>0</v>
      </c>
      <c r="DB73" s="84" t="str">
        <f t="shared" si="46"/>
        <v/>
      </c>
      <c r="DC73" s="41"/>
      <c r="DD73" s="79" t="s">
        <v>153</v>
      </c>
      <c r="DE73" s="71"/>
      <c r="DF73" s="85" t="s">
        <v>726</v>
      </c>
      <c r="DG73" s="79">
        <v>68</v>
      </c>
      <c r="DH73" s="86" t="str">
        <f t="shared" si="29"/>
        <v>Completo</v>
      </c>
      <c r="DI73" s="79" t="s">
        <v>181</v>
      </c>
      <c r="DJ73" s="79" t="s">
        <v>182</v>
      </c>
      <c r="DK73" s="79"/>
      <c r="DL73" s="79">
        <v>0</v>
      </c>
      <c r="DM73" s="79">
        <v>0</v>
      </c>
      <c r="DN73" s="79" t="s">
        <v>182</v>
      </c>
      <c r="DO73" s="79"/>
      <c r="DP73" s="79"/>
      <c r="DQ73" s="79"/>
      <c r="DR73" s="75" t="str">
        <f t="shared" si="47"/>
        <v>No aplica</v>
      </c>
      <c r="DS73" s="79"/>
      <c r="DT73" s="79"/>
      <c r="DU73" s="75" t="str">
        <f t="shared" si="48"/>
        <v>No aplica</v>
      </c>
      <c r="DV73" s="79" t="s">
        <v>182</v>
      </c>
      <c r="DW73" s="79" t="s">
        <v>182</v>
      </c>
      <c r="DX73" s="79"/>
      <c r="DY73" s="79"/>
      <c r="DZ73" s="79"/>
      <c r="EA73" s="79"/>
      <c r="EB73" s="79" t="s">
        <v>191</v>
      </c>
      <c r="EC73" s="79"/>
      <c r="ED73" s="79" t="s">
        <v>184</v>
      </c>
      <c r="EE73" s="79" t="str">
        <f t="shared" si="37"/>
        <v>Completo</v>
      </c>
      <c r="EF73" s="41"/>
      <c r="EG73" s="79" t="s">
        <v>153</v>
      </c>
      <c r="EH73" s="71"/>
      <c r="EI73" s="80"/>
      <c r="EJ73" s="71"/>
      <c r="EK73" s="79" t="s">
        <v>179</v>
      </c>
      <c r="EL73" s="76" t="str">
        <f t="shared" si="49"/>
        <v>No requiere</v>
      </c>
      <c r="EM73" s="76" t="str">
        <f t="shared" si="50"/>
        <v>No requiere</v>
      </c>
      <c r="EN73" s="76" t="str">
        <f t="shared" si="56"/>
        <v>No requiere</v>
      </c>
      <c r="EO73" s="71"/>
      <c r="EP73" s="73" t="str">
        <f t="shared" si="51"/>
        <v>No requiere</v>
      </c>
      <c r="EQ73" s="77" t="str">
        <f t="shared" si="52"/>
        <v>No requiere</v>
      </c>
      <c r="ER73" s="71"/>
      <c r="ES73" s="79" t="s">
        <v>179</v>
      </c>
      <c r="ET73" s="73" t="str">
        <f t="shared" si="53"/>
        <v>No requiere</v>
      </c>
      <c r="EU73" s="73" t="str">
        <f t="shared" si="57"/>
        <v>No requiere</v>
      </c>
      <c r="EV73" s="73" t="str">
        <f t="shared" si="54"/>
        <v>No requiere</v>
      </c>
      <c r="EW73" s="73" t="str">
        <f t="shared" si="55"/>
        <v>No requiere</v>
      </c>
      <c r="EX73" s="78"/>
      <c r="EY73" s="78"/>
    </row>
    <row r="74" spans="1:155" ht="46.5" customHeight="1">
      <c r="A74" s="79">
        <v>70</v>
      </c>
      <c r="B74" s="80" t="s">
        <v>727</v>
      </c>
      <c r="C74" s="81">
        <v>45357</v>
      </c>
      <c r="D74" s="82">
        <v>0.625</v>
      </c>
      <c r="E74" s="79" t="s">
        <v>151</v>
      </c>
      <c r="F74" s="79" t="s">
        <v>153</v>
      </c>
      <c r="G74" s="79" t="s">
        <v>153</v>
      </c>
      <c r="H74" s="79" t="s">
        <v>153</v>
      </c>
      <c r="I74" s="79" t="s">
        <v>152</v>
      </c>
      <c r="J74" s="79" t="s">
        <v>154</v>
      </c>
      <c r="K74" s="79" t="s">
        <v>155</v>
      </c>
      <c r="L74" s="80" t="s">
        <v>600</v>
      </c>
      <c r="M74" s="80" t="s">
        <v>303</v>
      </c>
      <c r="N74" s="79" t="s">
        <v>645</v>
      </c>
      <c r="O74" s="80" t="str">
        <f t="shared" si="41"/>
        <v>Mateo López Narváez, Joan Sebastian García, Zuly Marcela Mesa, Mónica Lyzeth Cantor, Jimmy Alejandro Osorio, Claudia Fernanda Pineda, Erika Lizeth Rueda, Nicolas Esteban Hernández, Reinaldo Terrios Andrade, Nathalia Guzmán Martínez, David Reinaldo Jojoa, Norberto Muñoz Morera, Diana Carolina Aristizábal, Daniela Velasco Vega, César Augusto Barrantes</v>
      </c>
      <c r="P74" s="79" t="s">
        <v>523</v>
      </c>
      <c r="Q74" s="79" t="s">
        <v>728</v>
      </c>
      <c r="R74" s="79" t="s">
        <v>547</v>
      </c>
      <c r="S74" s="79" t="s">
        <v>346</v>
      </c>
      <c r="T74" s="79" t="s">
        <v>549</v>
      </c>
      <c r="U74" s="79" t="s">
        <v>546</v>
      </c>
      <c r="V74" s="79" t="s">
        <v>556</v>
      </c>
      <c r="W74" s="79" t="s">
        <v>645</v>
      </c>
      <c r="X74" s="79" t="s">
        <v>675</v>
      </c>
      <c r="Y74" s="79" t="s">
        <v>166</v>
      </c>
      <c r="Z74" s="79" t="s">
        <v>548</v>
      </c>
      <c r="AA74" s="79" t="s">
        <v>161</v>
      </c>
      <c r="AB74" s="79" t="s">
        <v>165</v>
      </c>
      <c r="AC74" s="79" t="s">
        <v>660</v>
      </c>
      <c r="AD74" s="79" t="s">
        <v>729</v>
      </c>
      <c r="AE74" s="79"/>
      <c r="AF74" s="79"/>
      <c r="AG74" s="79"/>
      <c r="AH74" s="79"/>
      <c r="AI74" s="79"/>
      <c r="AJ74" s="79"/>
      <c r="AK74" s="79"/>
      <c r="AL74" s="79"/>
      <c r="AM74" s="79"/>
      <c r="AN74" s="79"/>
      <c r="AO74" s="79" t="s">
        <v>304</v>
      </c>
      <c r="AP74" s="79"/>
      <c r="AQ74" s="80" t="s">
        <v>171</v>
      </c>
      <c r="AR74" s="80" t="s">
        <v>171</v>
      </c>
      <c r="AS74" s="80" t="s">
        <v>171</v>
      </c>
      <c r="AT74" s="80" t="str">
        <f t="shared" si="42"/>
        <v>Bosa, Kennedy</v>
      </c>
      <c r="AU74" s="79" t="s">
        <v>730</v>
      </c>
      <c r="AV74" s="79" t="s">
        <v>731</v>
      </c>
      <c r="AW74" s="79"/>
      <c r="AX74" s="79"/>
      <c r="AY74" s="79"/>
      <c r="AZ74" s="79"/>
      <c r="BA74" s="80" t="str">
        <f t="shared" si="43"/>
        <v>Suroccidente</v>
      </c>
      <c r="BB74" s="79" t="s">
        <v>732</v>
      </c>
      <c r="BC74" s="79"/>
      <c r="BD74" s="79"/>
      <c r="BE74" s="79"/>
      <c r="BF74" s="79"/>
      <c r="BG74" s="79"/>
      <c r="BH74" s="80" t="str">
        <f t="shared" si="44"/>
        <v>Bosa</v>
      </c>
      <c r="BI74" s="79" t="s">
        <v>730</v>
      </c>
      <c r="BJ74" s="79"/>
      <c r="BK74" s="79"/>
      <c r="BL74" s="79"/>
      <c r="BM74" s="79"/>
      <c r="BN74" s="79"/>
      <c r="BO74" s="79"/>
      <c r="BP74" s="79"/>
      <c r="BQ74" s="79"/>
      <c r="BR74" s="79"/>
      <c r="BS74" s="80" t="s">
        <v>288</v>
      </c>
      <c r="BT74" s="80" t="s">
        <v>605</v>
      </c>
      <c r="BU74" s="80" t="s">
        <v>733</v>
      </c>
      <c r="BV74" s="71"/>
      <c r="BW74" s="79" t="s">
        <v>153</v>
      </c>
      <c r="BX74" s="79" t="s">
        <v>607</v>
      </c>
      <c r="BY74" s="71"/>
      <c r="BZ74" s="79">
        <v>62</v>
      </c>
      <c r="CA74" s="79">
        <v>15</v>
      </c>
      <c r="CB74" s="79">
        <f t="shared" si="25"/>
        <v>77</v>
      </c>
      <c r="CC74" s="79" t="str">
        <f t="shared" si="45"/>
        <v>Lenguaje de señas, Horarios Acordes</v>
      </c>
      <c r="CD74" s="79" t="s">
        <v>349</v>
      </c>
      <c r="CE74" s="79" t="s">
        <v>351</v>
      </c>
      <c r="CF74" s="79"/>
      <c r="CG74" s="83" t="s">
        <v>664</v>
      </c>
      <c r="CH74" s="41"/>
      <c r="CI74" s="79" t="s">
        <v>153</v>
      </c>
      <c r="CJ74" s="71"/>
      <c r="CK74" s="79">
        <f t="shared" si="38"/>
        <v>1</v>
      </c>
      <c r="CL74" s="93" t="s">
        <v>389</v>
      </c>
      <c r="CM74" s="79"/>
      <c r="CN74" s="79"/>
      <c r="CO74" s="79"/>
      <c r="CP74" s="79"/>
      <c r="CQ74" s="79"/>
      <c r="CR74" s="83" t="s">
        <v>390</v>
      </c>
      <c r="CS74" s="83" t="s">
        <v>179</v>
      </c>
      <c r="CT74" s="83" t="s">
        <v>179</v>
      </c>
      <c r="CU74" s="83" t="s">
        <v>179</v>
      </c>
      <c r="CV74" s="83" t="s">
        <v>179</v>
      </c>
      <c r="CW74" s="83" t="s">
        <v>179</v>
      </c>
      <c r="CX74" s="79" t="s">
        <v>153</v>
      </c>
      <c r="CY74" s="79">
        <f t="shared" si="39"/>
        <v>1</v>
      </c>
      <c r="CZ74" s="79">
        <v>1</v>
      </c>
      <c r="DA74" s="79">
        <f t="shared" si="40"/>
        <v>1</v>
      </c>
      <c r="DB74" s="84">
        <f t="shared" si="46"/>
        <v>1</v>
      </c>
      <c r="DC74" s="41"/>
      <c r="DD74" s="79" t="s">
        <v>153</v>
      </c>
      <c r="DE74" s="71"/>
      <c r="DF74" s="85" t="s">
        <v>734</v>
      </c>
      <c r="DG74" s="79">
        <v>69</v>
      </c>
      <c r="DH74" s="86" t="str">
        <f t="shared" si="29"/>
        <v>Completo</v>
      </c>
      <c r="DI74" s="79" t="s">
        <v>181</v>
      </c>
      <c r="DJ74" s="79" t="s">
        <v>182</v>
      </c>
      <c r="DK74" s="79" t="s">
        <v>153</v>
      </c>
      <c r="DL74" s="79">
        <v>0</v>
      </c>
      <c r="DM74" s="79">
        <v>0</v>
      </c>
      <c r="DN74" s="79" t="s">
        <v>182</v>
      </c>
      <c r="DO74" s="79">
        <v>4000</v>
      </c>
      <c r="DP74" s="79" t="s">
        <v>182</v>
      </c>
      <c r="DQ74" s="79">
        <v>18</v>
      </c>
      <c r="DR74" s="75">
        <f t="shared" si="47"/>
        <v>0.96774193548387111</v>
      </c>
      <c r="DS74" s="79" t="s">
        <v>182</v>
      </c>
      <c r="DT74" s="79">
        <v>44</v>
      </c>
      <c r="DU74" s="75">
        <f t="shared" si="48"/>
        <v>2.0276497695852536</v>
      </c>
      <c r="DV74" s="79" t="s">
        <v>182</v>
      </c>
      <c r="DW74" s="79" t="s">
        <v>182</v>
      </c>
      <c r="DX74" s="79">
        <v>5</v>
      </c>
      <c r="DY74" s="79">
        <v>1</v>
      </c>
      <c r="DZ74" s="79" t="s">
        <v>735</v>
      </c>
      <c r="EA74" s="79">
        <v>4622</v>
      </c>
      <c r="EB74" s="79" t="s">
        <v>182</v>
      </c>
      <c r="EC74" s="79" t="s">
        <v>736</v>
      </c>
      <c r="ED74" s="79" t="s">
        <v>249</v>
      </c>
      <c r="EE74" s="79" t="str">
        <f t="shared" si="37"/>
        <v>Completo</v>
      </c>
      <c r="EF74" s="41"/>
      <c r="EG74" s="79" t="s">
        <v>153</v>
      </c>
      <c r="EH74" s="71"/>
      <c r="EI74" s="89" t="s">
        <v>737</v>
      </c>
      <c r="EJ74" s="71"/>
      <c r="EK74" s="79" t="s">
        <v>409</v>
      </c>
      <c r="EL74" s="76" t="str">
        <f t="shared" si="49"/>
        <v>Sí</v>
      </c>
      <c r="EM74" s="76" t="str">
        <f t="shared" si="50"/>
        <v>Sí</v>
      </c>
      <c r="EN74" s="76" t="str">
        <f t="shared" si="56"/>
        <v>Sí</v>
      </c>
      <c r="EO74" s="71"/>
      <c r="EP74" s="73" t="str">
        <f t="shared" si="51"/>
        <v>No aplica</v>
      </c>
      <c r="EQ74" s="77">
        <f t="shared" si="52"/>
        <v>2.0276497695852536</v>
      </c>
      <c r="ER74" s="71"/>
      <c r="ES74" s="79" t="s">
        <v>393</v>
      </c>
      <c r="ET74" s="73">
        <f t="shared" si="53"/>
        <v>1</v>
      </c>
      <c r="EU74" s="73">
        <f t="shared" si="57"/>
        <v>1</v>
      </c>
      <c r="EV74" s="73">
        <f t="shared" si="54"/>
        <v>1</v>
      </c>
      <c r="EW74" s="73">
        <f t="shared" si="55"/>
        <v>0.86542622241453915</v>
      </c>
      <c r="EX74" s="78"/>
      <c r="EY74" s="78"/>
    </row>
    <row r="75" spans="1:155" ht="46.5" customHeight="1">
      <c r="A75" s="79" t="str">
        <v/>
      </c>
      <c r="B75" s="80" t="s">
        <v>738</v>
      </c>
      <c r="C75" s="81">
        <v>45357</v>
      </c>
      <c r="D75" s="82">
        <v>0.64583333333333337</v>
      </c>
      <c r="E75" s="79" t="s">
        <v>151</v>
      </c>
      <c r="F75" s="79" t="s">
        <v>152</v>
      </c>
      <c r="G75" s="79" t="s">
        <v>152</v>
      </c>
      <c r="H75" s="79" t="s">
        <v>152</v>
      </c>
      <c r="I75" s="79" t="s">
        <v>152</v>
      </c>
      <c r="J75" s="79" t="s">
        <v>154</v>
      </c>
      <c r="K75" s="79" t="s">
        <v>155</v>
      </c>
      <c r="L75" s="80" t="s">
        <v>739</v>
      </c>
      <c r="M75" s="80" t="s">
        <v>157</v>
      </c>
      <c r="N75" s="79" t="s">
        <v>472</v>
      </c>
      <c r="O75" s="80" t="str">
        <f t="shared" si="41"/>
        <v/>
      </c>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t="s">
        <v>169</v>
      </c>
      <c r="AP75" s="79" t="s">
        <v>170</v>
      </c>
      <c r="AQ75" s="80" t="s">
        <v>171</v>
      </c>
      <c r="AR75" s="80" t="s">
        <v>171</v>
      </c>
      <c r="AS75" s="80" t="s">
        <v>171</v>
      </c>
      <c r="AT75" s="80" t="str">
        <f t="shared" si="42"/>
        <v>Distrital</v>
      </c>
      <c r="AU75" s="79" t="s">
        <v>172</v>
      </c>
      <c r="AV75" s="79"/>
      <c r="AW75" s="79"/>
      <c r="AX75" s="79"/>
      <c r="AY75" s="79"/>
      <c r="AZ75" s="79"/>
      <c r="BA75" s="80" t="str">
        <f t="shared" si="43"/>
        <v>Distrital</v>
      </c>
      <c r="BB75" s="79" t="s">
        <v>172</v>
      </c>
      <c r="BC75" s="79"/>
      <c r="BD75" s="79"/>
      <c r="BE75" s="79"/>
      <c r="BF75" s="79"/>
      <c r="BG75" s="79"/>
      <c r="BH75" s="80" t="str">
        <f t="shared" si="44"/>
        <v>Distrital</v>
      </c>
      <c r="BI75" s="79" t="s">
        <v>172</v>
      </c>
      <c r="BJ75" s="79"/>
      <c r="BK75" s="79"/>
      <c r="BL75" s="79"/>
      <c r="BM75" s="79"/>
      <c r="BN75" s="79"/>
      <c r="BO75" s="79"/>
      <c r="BP75" s="79"/>
      <c r="BQ75" s="79"/>
      <c r="BR75" s="79"/>
      <c r="BS75" s="80" t="s">
        <v>288</v>
      </c>
      <c r="BT75" s="80" t="s">
        <v>174</v>
      </c>
      <c r="BU75" s="80" t="s">
        <v>740</v>
      </c>
      <c r="BV75" s="71"/>
      <c r="BW75" s="79" t="s">
        <v>153</v>
      </c>
      <c r="BX75" s="79" t="s">
        <v>176</v>
      </c>
      <c r="BY75" s="71"/>
      <c r="BZ75" s="79">
        <v>6</v>
      </c>
      <c r="CA75" s="79">
        <v>5</v>
      </c>
      <c r="CB75" s="79">
        <f t="shared" si="25"/>
        <v>11</v>
      </c>
      <c r="CC75" s="79" t="str">
        <f t="shared" si="45"/>
        <v>No Aplica</v>
      </c>
      <c r="CD75" s="79" t="s">
        <v>177</v>
      </c>
      <c r="CE75" s="79"/>
      <c r="CF75" s="79"/>
      <c r="CG75" s="83" t="s">
        <v>741</v>
      </c>
      <c r="CH75" s="41"/>
      <c r="CI75" s="79" t="s">
        <v>153</v>
      </c>
      <c r="CJ75" s="71"/>
      <c r="CK75" s="79">
        <f t="shared" si="38"/>
        <v>0</v>
      </c>
      <c r="CL75" s="79"/>
      <c r="CM75" s="79"/>
      <c r="CN75" s="79"/>
      <c r="CO75" s="79"/>
      <c r="CP75" s="79"/>
      <c r="CQ75" s="79"/>
      <c r="CR75" s="83" t="s">
        <v>179</v>
      </c>
      <c r="CS75" s="83" t="s">
        <v>179</v>
      </c>
      <c r="CT75" s="83" t="s">
        <v>179</v>
      </c>
      <c r="CU75" s="83" t="s">
        <v>179</v>
      </c>
      <c r="CV75" s="83" t="s">
        <v>179</v>
      </c>
      <c r="CW75" s="83" t="s">
        <v>179</v>
      </c>
      <c r="CX75" s="79" t="s">
        <v>153</v>
      </c>
      <c r="CY75" s="79">
        <f t="shared" si="39"/>
        <v>0</v>
      </c>
      <c r="CZ75" s="79">
        <v>0</v>
      </c>
      <c r="DA75" s="79">
        <f t="shared" si="40"/>
        <v>0</v>
      </c>
      <c r="DB75" s="84" t="str">
        <f t="shared" si="46"/>
        <v/>
      </c>
      <c r="DC75" s="41"/>
      <c r="DD75" s="79" t="s">
        <v>153</v>
      </c>
      <c r="DE75" s="71"/>
      <c r="DF75" s="85" t="s">
        <v>742</v>
      </c>
      <c r="DG75" s="79">
        <v>70</v>
      </c>
      <c r="DH75" s="86" t="str">
        <f t="shared" si="29"/>
        <v>Completo</v>
      </c>
      <c r="DI75" s="79" t="s">
        <v>181</v>
      </c>
      <c r="DJ75" s="79" t="s">
        <v>182</v>
      </c>
      <c r="DK75" s="79"/>
      <c r="DL75" s="79">
        <v>0</v>
      </c>
      <c r="DM75" s="79">
        <v>0</v>
      </c>
      <c r="DN75" s="79" t="s">
        <v>182</v>
      </c>
      <c r="DO75" s="79"/>
      <c r="DP75" s="79"/>
      <c r="DQ75" s="79"/>
      <c r="DR75" s="75" t="str">
        <f t="shared" si="47"/>
        <v>No aplica</v>
      </c>
      <c r="DS75" s="79"/>
      <c r="DT75" s="79"/>
      <c r="DU75" s="75" t="str">
        <f t="shared" si="48"/>
        <v>No aplica</v>
      </c>
      <c r="DV75" s="79" t="s">
        <v>182</v>
      </c>
      <c r="DW75" s="79" t="s">
        <v>182</v>
      </c>
      <c r="DX75" s="79"/>
      <c r="DY75" s="79"/>
      <c r="DZ75" s="79"/>
      <c r="EA75" s="79"/>
      <c r="EB75" s="79"/>
      <c r="EC75" s="79"/>
      <c r="ED75" s="79" t="s">
        <v>249</v>
      </c>
      <c r="EE75" s="79" t="str">
        <f t="shared" si="37"/>
        <v>Completo</v>
      </c>
      <c r="EF75" s="41"/>
      <c r="EG75" s="79" t="s">
        <v>153</v>
      </c>
      <c r="EH75" s="71"/>
      <c r="EI75" s="80"/>
      <c r="EJ75" s="71"/>
      <c r="EK75" s="79" t="s">
        <v>179</v>
      </c>
      <c r="EL75" s="76" t="str">
        <f t="shared" si="49"/>
        <v>No requiere</v>
      </c>
      <c r="EM75" s="76" t="str">
        <f t="shared" si="50"/>
        <v>No requiere</v>
      </c>
      <c r="EN75" s="76" t="str">
        <f t="shared" si="56"/>
        <v>No requiere</v>
      </c>
      <c r="EO75" s="71"/>
      <c r="EP75" s="73" t="str">
        <f t="shared" si="51"/>
        <v>No requiere</v>
      </c>
      <c r="EQ75" s="77" t="str">
        <f t="shared" si="52"/>
        <v>No requiere</v>
      </c>
      <c r="ER75" s="71"/>
      <c r="ES75" s="79" t="s">
        <v>179</v>
      </c>
      <c r="ET75" s="73" t="str">
        <f t="shared" si="53"/>
        <v>No requiere</v>
      </c>
      <c r="EU75" s="73" t="str">
        <f t="shared" si="57"/>
        <v>No requiere</v>
      </c>
      <c r="EV75" s="73" t="str">
        <f t="shared" si="54"/>
        <v>No requiere</v>
      </c>
      <c r="EW75" s="73" t="str">
        <f t="shared" si="55"/>
        <v>No requiere</v>
      </c>
      <c r="EX75" s="78"/>
      <c r="EY75" s="78"/>
    </row>
    <row r="76" spans="1:155" ht="46.5" customHeight="1">
      <c r="A76" s="79">
        <v>72</v>
      </c>
      <c r="B76" s="80" t="s">
        <v>434</v>
      </c>
      <c r="C76" s="81">
        <v>45358</v>
      </c>
      <c r="D76" s="82">
        <v>0.33333333333333331</v>
      </c>
      <c r="E76" s="79" t="s">
        <v>151</v>
      </c>
      <c r="F76" s="79" t="s">
        <v>153</v>
      </c>
      <c r="G76" s="79" t="s">
        <v>153</v>
      </c>
      <c r="H76" s="79" t="s">
        <v>152</v>
      </c>
      <c r="I76" s="79" t="s">
        <v>152</v>
      </c>
      <c r="J76" s="79" t="s">
        <v>154</v>
      </c>
      <c r="K76" s="79" t="s">
        <v>202</v>
      </c>
      <c r="L76" s="80" t="s">
        <v>435</v>
      </c>
      <c r="M76" s="80" t="s">
        <v>303</v>
      </c>
      <c r="N76" s="79" t="s">
        <v>195</v>
      </c>
      <c r="O76" s="80" t="str">
        <f t="shared" si="41"/>
        <v/>
      </c>
      <c r="P76" s="79"/>
      <c r="Q76" s="79"/>
      <c r="R76" s="79"/>
      <c r="S76" s="79"/>
      <c r="T76" s="79"/>
      <c r="U76" s="79"/>
      <c r="V76" s="79"/>
      <c r="W76" s="79"/>
      <c r="X76" s="79"/>
      <c r="Y76" s="79"/>
      <c r="Z76" s="79"/>
      <c r="AA76" s="79"/>
      <c r="AB76" s="79"/>
      <c r="AC76" s="79"/>
      <c r="AD76" s="79"/>
      <c r="AE76" s="79"/>
      <c r="AF76" s="79"/>
      <c r="AG76" s="79"/>
      <c r="AH76" s="79"/>
      <c r="AI76" s="79"/>
      <c r="AJ76" s="79"/>
      <c r="AK76" s="79"/>
      <c r="AL76" s="79"/>
      <c r="AM76" s="79"/>
      <c r="AN76" s="79"/>
      <c r="AO76" s="79" t="s">
        <v>169</v>
      </c>
      <c r="AP76" s="79" t="s">
        <v>170</v>
      </c>
      <c r="AQ76" s="80" t="s">
        <v>171</v>
      </c>
      <c r="AR76" s="80" t="s">
        <v>171</v>
      </c>
      <c r="AS76" s="80" t="s">
        <v>171</v>
      </c>
      <c r="AT76" s="80" t="str">
        <f t="shared" si="42"/>
        <v>Distrital</v>
      </c>
      <c r="AU76" s="79" t="s">
        <v>172</v>
      </c>
      <c r="AV76" s="79"/>
      <c r="AW76" s="79"/>
      <c r="AX76" s="79"/>
      <c r="AY76" s="79"/>
      <c r="AZ76" s="79"/>
      <c r="BA76" s="80" t="str">
        <f t="shared" si="43"/>
        <v>Distrital</v>
      </c>
      <c r="BB76" s="79" t="s">
        <v>172</v>
      </c>
      <c r="BC76" s="79"/>
      <c r="BD76" s="79"/>
      <c r="BE76" s="79"/>
      <c r="BF76" s="79"/>
      <c r="BG76" s="79"/>
      <c r="BH76" s="80" t="str">
        <f t="shared" si="44"/>
        <v>Distrital</v>
      </c>
      <c r="BI76" s="79" t="s">
        <v>172</v>
      </c>
      <c r="BJ76" s="79"/>
      <c r="BK76" s="79"/>
      <c r="BL76" s="79"/>
      <c r="BM76" s="79"/>
      <c r="BN76" s="79"/>
      <c r="BO76" s="79"/>
      <c r="BP76" s="79"/>
      <c r="BQ76" s="79"/>
      <c r="BR76" s="79"/>
      <c r="BS76" s="80" t="s">
        <v>288</v>
      </c>
      <c r="BT76" s="80" t="s">
        <v>174</v>
      </c>
      <c r="BU76" s="89" t="s">
        <v>743</v>
      </c>
      <c r="BV76" s="71"/>
      <c r="BW76" s="79" t="s">
        <v>153</v>
      </c>
      <c r="BX76" s="79" t="s">
        <v>176</v>
      </c>
      <c r="BY76" s="71"/>
      <c r="BZ76" s="79">
        <v>18</v>
      </c>
      <c r="CA76" s="79">
        <v>3</v>
      </c>
      <c r="CB76" s="79">
        <f t="shared" si="25"/>
        <v>21</v>
      </c>
      <c r="CC76" s="79" t="str">
        <f t="shared" si="45"/>
        <v>No Aplica</v>
      </c>
      <c r="CD76" s="79" t="s">
        <v>177</v>
      </c>
      <c r="CE76" s="79"/>
      <c r="CF76" s="79"/>
      <c r="CG76" s="83" t="s">
        <v>744</v>
      </c>
      <c r="CH76" s="41"/>
      <c r="CI76" s="79" t="s">
        <v>153</v>
      </c>
      <c r="CJ76" s="71"/>
      <c r="CK76" s="79">
        <f t="shared" si="38"/>
        <v>0</v>
      </c>
      <c r="CL76" s="79"/>
      <c r="CM76" s="79"/>
      <c r="CN76" s="79"/>
      <c r="CO76" s="79"/>
      <c r="CP76" s="79"/>
      <c r="CQ76" s="79"/>
      <c r="CR76" s="83" t="s">
        <v>179</v>
      </c>
      <c r="CS76" s="83" t="s">
        <v>179</v>
      </c>
      <c r="CT76" s="83" t="s">
        <v>179</v>
      </c>
      <c r="CU76" s="83" t="s">
        <v>179</v>
      </c>
      <c r="CV76" s="83" t="s">
        <v>179</v>
      </c>
      <c r="CW76" s="83" t="s">
        <v>179</v>
      </c>
      <c r="CX76" s="79" t="s">
        <v>153</v>
      </c>
      <c r="CY76" s="79">
        <f t="shared" si="39"/>
        <v>0</v>
      </c>
      <c r="CZ76" s="79">
        <v>0</v>
      </c>
      <c r="DA76" s="79">
        <f t="shared" si="40"/>
        <v>0</v>
      </c>
      <c r="DB76" s="84" t="str">
        <f t="shared" si="46"/>
        <v/>
      </c>
      <c r="DC76" s="41"/>
      <c r="DD76" s="79" t="s">
        <v>153</v>
      </c>
      <c r="DE76" s="71"/>
      <c r="DF76" s="85" t="s">
        <v>745</v>
      </c>
      <c r="DG76" s="79">
        <v>71</v>
      </c>
      <c r="DH76" s="86" t="str">
        <f t="shared" si="29"/>
        <v>Completo</v>
      </c>
      <c r="DI76" s="79" t="s">
        <v>181</v>
      </c>
      <c r="DJ76" s="79" t="s">
        <v>182</v>
      </c>
      <c r="DK76" s="79"/>
      <c r="DL76" s="79">
        <v>0</v>
      </c>
      <c r="DM76" s="79">
        <v>0</v>
      </c>
      <c r="DN76" s="79" t="s">
        <v>182</v>
      </c>
      <c r="DO76" s="79"/>
      <c r="DP76" s="79"/>
      <c r="DQ76" s="79"/>
      <c r="DR76" s="75" t="str">
        <f t="shared" si="47"/>
        <v>No aplica</v>
      </c>
      <c r="DS76" s="79"/>
      <c r="DT76" s="79"/>
      <c r="DU76" s="75" t="str">
        <f t="shared" si="48"/>
        <v>No aplica</v>
      </c>
      <c r="DV76" s="79" t="s">
        <v>182</v>
      </c>
      <c r="DW76" s="79" t="s">
        <v>191</v>
      </c>
      <c r="DX76" s="79"/>
      <c r="DY76" s="79"/>
      <c r="DZ76" s="79"/>
      <c r="EA76" s="79"/>
      <c r="EB76" s="79" t="s">
        <v>182</v>
      </c>
      <c r="EC76" s="79" t="s">
        <v>746</v>
      </c>
      <c r="ED76" s="79" t="s">
        <v>184</v>
      </c>
      <c r="EE76" s="79" t="str">
        <f t="shared" si="37"/>
        <v>Completo</v>
      </c>
      <c r="EF76" s="41"/>
      <c r="EG76" s="79" t="s">
        <v>153</v>
      </c>
      <c r="EH76" s="71"/>
      <c r="EI76" s="80"/>
      <c r="EJ76" s="71"/>
      <c r="EK76" s="79" t="s">
        <v>179</v>
      </c>
      <c r="EL76" s="76" t="str">
        <f t="shared" si="49"/>
        <v>No requiere</v>
      </c>
      <c r="EM76" s="76" t="str">
        <f t="shared" si="50"/>
        <v>No requiere</v>
      </c>
      <c r="EN76" s="76" t="str">
        <f t="shared" si="56"/>
        <v>No requiere</v>
      </c>
      <c r="EO76" s="71"/>
      <c r="EP76" s="73" t="str">
        <f t="shared" si="51"/>
        <v>No requiere</v>
      </c>
      <c r="EQ76" s="77" t="str">
        <f t="shared" si="52"/>
        <v>No requiere</v>
      </c>
      <c r="ER76" s="71"/>
      <c r="ES76" s="79" t="s">
        <v>179</v>
      </c>
      <c r="ET76" s="73" t="str">
        <f t="shared" si="53"/>
        <v>No requiere</v>
      </c>
      <c r="EU76" s="73" t="str">
        <f t="shared" si="57"/>
        <v>No requiere</v>
      </c>
      <c r="EV76" s="73" t="str">
        <f t="shared" si="54"/>
        <v>No requiere</v>
      </c>
      <c r="EW76" s="73" t="str">
        <f t="shared" si="55"/>
        <v>No requiere</v>
      </c>
      <c r="EX76" s="78"/>
      <c r="EY76" s="78"/>
    </row>
    <row r="77" spans="1:155" ht="46.5" customHeight="1">
      <c r="A77" s="79">
        <v>73</v>
      </c>
      <c r="B77" s="80" t="s">
        <v>747</v>
      </c>
      <c r="C77" s="81">
        <v>45358</v>
      </c>
      <c r="D77" s="82">
        <v>0.33333333333333331</v>
      </c>
      <c r="E77" s="79" t="s">
        <v>200</v>
      </c>
      <c r="F77" s="79" t="s">
        <v>153</v>
      </c>
      <c r="G77" s="79" t="s">
        <v>152</v>
      </c>
      <c r="H77" s="79" t="s">
        <v>152</v>
      </c>
      <c r="I77" s="79" t="s">
        <v>152</v>
      </c>
      <c r="J77" s="79" t="s">
        <v>504</v>
      </c>
      <c r="K77" s="79" t="s">
        <v>155</v>
      </c>
      <c r="L77" s="80" t="s">
        <v>748</v>
      </c>
      <c r="M77" s="80" t="s">
        <v>157</v>
      </c>
      <c r="N77" s="79" t="s">
        <v>749</v>
      </c>
      <c r="O77" s="80" t="str">
        <f t="shared" si="41"/>
        <v/>
      </c>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t="s">
        <v>169</v>
      </c>
      <c r="AP77" s="79" t="s">
        <v>507</v>
      </c>
      <c r="AQ77" s="80" t="s">
        <v>750</v>
      </c>
      <c r="AR77" s="83" t="s">
        <v>751</v>
      </c>
      <c r="AS77" s="80" t="s">
        <v>752</v>
      </c>
      <c r="AT77" s="80" t="str">
        <f t="shared" si="42"/>
        <v>La Candelaria</v>
      </c>
      <c r="AU77" s="79" t="s">
        <v>753</v>
      </c>
      <c r="AV77" s="79"/>
      <c r="AW77" s="79"/>
      <c r="AX77" s="79"/>
      <c r="AY77" s="79"/>
      <c r="AZ77" s="79"/>
      <c r="BA77" s="80" t="str">
        <f t="shared" si="43"/>
        <v>Centro Ampliado</v>
      </c>
      <c r="BB77" s="79" t="s">
        <v>636</v>
      </c>
      <c r="BC77" s="79"/>
      <c r="BD77" s="79"/>
      <c r="BE77" s="79"/>
      <c r="BF77" s="79"/>
      <c r="BG77" s="79"/>
      <c r="BH77" s="80" t="str">
        <f t="shared" si="44"/>
        <v>Centro Histórico</v>
      </c>
      <c r="BI77" s="79" t="s">
        <v>754</v>
      </c>
      <c r="BJ77" s="79"/>
      <c r="BK77" s="79"/>
      <c r="BL77" s="79"/>
      <c r="BM77" s="79"/>
      <c r="BN77" s="79"/>
      <c r="BO77" s="79"/>
      <c r="BP77" s="79"/>
      <c r="BQ77" s="79"/>
      <c r="BR77" s="79"/>
      <c r="BS77" s="80" t="s">
        <v>288</v>
      </c>
      <c r="BT77" s="80" t="s">
        <v>174</v>
      </c>
      <c r="BU77" s="92" t="s">
        <v>755</v>
      </c>
      <c r="BV77" s="71"/>
      <c r="BW77" s="79" t="s">
        <v>152</v>
      </c>
      <c r="BX77" s="79" t="s">
        <v>179</v>
      </c>
      <c r="BY77" s="71"/>
      <c r="BZ77" s="79">
        <v>20</v>
      </c>
      <c r="CA77" s="79">
        <v>1</v>
      </c>
      <c r="CB77" s="79">
        <f t="shared" si="25"/>
        <v>21</v>
      </c>
      <c r="CC77" s="79" t="str">
        <f t="shared" si="45"/>
        <v>No Aplica</v>
      </c>
      <c r="CD77" s="79" t="s">
        <v>177</v>
      </c>
      <c r="CE77" s="79"/>
      <c r="CF77" s="79"/>
      <c r="CG77" s="83" t="s">
        <v>756</v>
      </c>
      <c r="CH77" s="41"/>
      <c r="CI77" s="79" t="s">
        <v>153</v>
      </c>
      <c r="CJ77" s="71"/>
      <c r="CK77" s="79">
        <f t="shared" si="38"/>
        <v>0</v>
      </c>
      <c r="CL77" s="79"/>
      <c r="CM77" s="79"/>
      <c r="CN77" s="79"/>
      <c r="CO77" s="79"/>
      <c r="CP77" s="79"/>
      <c r="CQ77" s="79"/>
      <c r="CR77" s="83" t="s">
        <v>179</v>
      </c>
      <c r="CS77" s="83" t="s">
        <v>179</v>
      </c>
      <c r="CT77" s="83" t="s">
        <v>179</v>
      </c>
      <c r="CU77" s="83" t="s">
        <v>179</v>
      </c>
      <c r="CV77" s="83" t="s">
        <v>179</v>
      </c>
      <c r="CW77" s="83" t="s">
        <v>179</v>
      </c>
      <c r="CX77" s="79" t="s">
        <v>153</v>
      </c>
      <c r="CY77" s="79">
        <f t="shared" si="39"/>
        <v>0</v>
      </c>
      <c r="CZ77" s="79">
        <v>0</v>
      </c>
      <c r="DA77" s="79">
        <f t="shared" si="40"/>
        <v>0</v>
      </c>
      <c r="DB77" s="84" t="str">
        <f t="shared" si="46"/>
        <v/>
      </c>
      <c r="DC77" s="41"/>
      <c r="DD77" s="79" t="s">
        <v>153</v>
      </c>
      <c r="DE77" s="71"/>
      <c r="DF77" s="85" t="s">
        <v>757</v>
      </c>
      <c r="DG77" s="79">
        <v>72</v>
      </c>
      <c r="DH77" s="86" t="str">
        <f t="shared" si="29"/>
        <v>Completo</v>
      </c>
      <c r="DI77" s="79" t="s">
        <v>181</v>
      </c>
      <c r="DJ77" s="79" t="s">
        <v>182</v>
      </c>
      <c r="DK77" s="79"/>
      <c r="DL77" s="79">
        <v>0</v>
      </c>
      <c r="DM77" s="79">
        <v>0</v>
      </c>
      <c r="DN77" s="79" t="s">
        <v>182</v>
      </c>
      <c r="DO77" s="79"/>
      <c r="DP77" s="79"/>
      <c r="DQ77" s="79"/>
      <c r="DR77" s="75" t="str">
        <f t="shared" si="47"/>
        <v>No aplica</v>
      </c>
      <c r="DS77" s="79"/>
      <c r="DT77" s="79"/>
      <c r="DU77" s="75" t="str">
        <f t="shared" si="48"/>
        <v>No aplica</v>
      </c>
      <c r="DV77" s="79" t="s">
        <v>182</v>
      </c>
      <c r="DW77" s="79" t="s">
        <v>182</v>
      </c>
      <c r="DX77" s="79"/>
      <c r="DY77" s="79"/>
      <c r="DZ77" s="79"/>
      <c r="EA77" s="79"/>
      <c r="EB77" s="79"/>
      <c r="EC77" s="79"/>
      <c r="ED77" s="79" t="s">
        <v>249</v>
      </c>
      <c r="EE77" s="79" t="str">
        <f t="shared" si="37"/>
        <v>Completo</v>
      </c>
      <c r="EF77" s="41"/>
      <c r="EG77" s="79" t="s">
        <v>153</v>
      </c>
      <c r="EH77" s="71"/>
      <c r="EI77" s="80"/>
      <c r="EJ77" s="71"/>
      <c r="EK77" s="79" t="s">
        <v>179</v>
      </c>
      <c r="EL77" s="76" t="str">
        <f t="shared" si="49"/>
        <v>No requiere</v>
      </c>
      <c r="EM77" s="76" t="str">
        <f t="shared" si="50"/>
        <v>No requiere</v>
      </c>
      <c r="EN77" s="76" t="str">
        <f t="shared" si="56"/>
        <v>No requiere</v>
      </c>
      <c r="EO77" s="71"/>
      <c r="EP77" s="73" t="str">
        <f t="shared" si="51"/>
        <v>No requiere</v>
      </c>
      <c r="EQ77" s="77" t="str">
        <f t="shared" si="52"/>
        <v>No requiere</v>
      </c>
      <c r="ER77" s="71"/>
      <c r="ES77" s="79" t="s">
        <v>179</v>
      </c>
      <c r="ET77" s="73" t="str">
        <f t="shared" si="53"/>
        <v>No requiere</v>
      </c>
      <c r="EU77" s="73" t="str">
        <f t="shared" si="57"/>
        <v>No requiere</v>
      </c>
      <c r="EV77" s="73" t="str">
        <f t="shared" si="54"/>
        <v>No requiere</v>
      </c>
      <c r="EW77" s="73" t="str">
        <f t="shared" si="55"/>
        <v>No requiere</v>
      </c>
      <c r="EX77" s="78"/>
      <c r="EY77" s="78"/>
    </row>
    <row r="78" spans="1:155" ht="46.5" customHeight="1">
      <c r="A78" s="79">
        <v>74</v>
      </c>
      <c r="B78" s="80" t="s">
        <v>758</v>
      </c>
      <c r="C78" s="81">
        <v>45358</v>
      </c>
      <c r="D78" s="82">
        <v>0.39583333333333331</v>
      </c>
      <c r="E78" s="79" t="s">
        <v>151</v>
      </c>
      <c r="F78" s="79" t="s">
        <v>153</v>
      </c>
      <c r="G78" s="79" t="s">
        <v>152</v>
      </c>
      <c r="H78" s="79" t="s">
        <v>152</v>
      </c>
      <c r="I78" s="79" t="s">
        <v>152</v>
      </c>
      <c r="J78" s="79" t="s">
        <v>154</v>
      </c>
      <c r="K78" s="79" t="s">
        <v>202</v>
      </c>
      <c r="L78" s="80" t="s">
        <v>577</v>
      </c>
      <c r="M78" s="80" t="s">
        <v>157</v>
      </c>
      <c r="N78" s="79" t="s">
        <v>373</v>
      </c>
      <c r="O78" s="80" t="str">
        <f t="shared" si="41"/>
        <v/>
      </c>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t="s">
        <v>169</v>
      </c>
      <c r="AP78" s="79" t="s">
        <v>170</v>
      </c>
      <c r="AQ78" s="83" t="s">
        <v>584</v>
      </c>
      <c r="AR78" s="83">
        <v>3143480013</v>
      </c>
      <c r="AS78" s="83" t="s">
        <v>585</v>
      </c>
      <c r="AT78" s="80" t="str">
        <f t="shared" si="42"/>
        <v>Distrital</v>
      </c>
      <c r="AU78" s="79" t="s">
        <v>172</v>
      </c>
      <c r="AV78" s="79"/>
      <c r="AW78" s="79"/>
      <c r="AX78" s="79"/>
      <c r="AY78" s="79"/>
      <c r="AZ78" s="79"/>
      <c r="BA78" s="80" t="str">
        <f t="shared" si="43"/>
        <v>Distrital</v>
      </c>
      <c r="BB78" s="79" t="s">
        <v>172</v>
      </c>
      <c r="BC78" s="79"/>
      <c r="BD78" s="79"/>
      <c r="BE78" s="79"/>
      <c r="BF78" s="79"/>
      <c r="BG78" s="79"/>
      <c r="BH78" s="80" t="str">
        <f t="shared" si="44"/>
        <v>Distrital</v>
      </c>
      <c r="BI78" s="79" t="s">
        <v>172</v>
      </c>
      <c r="BJ78" s="79"/>
      <c r="BK78" s="79"/>
      <c r="BL78" s="79"/>
      <c r="BM78" s="79"/>
      <c r="BN78" s="79"/>
      <c r="BO78" s="79"/>
      <c r="BP78" s="79"/>
      <c r="BQ78" s="79"/>
      <c r="BR78" s="79"/>
      <c r="BS78" s="80" t="s">
        <v>288</v>
      </c>
      <c r="BT78" s="80" t="s">
        <v>174</v>
      </c>
      <c r="BU78" s="89" t="s">
        <v>759</v>
      </c>
      <c r="BV78" s="71"/>
      <c r="BW78" s="79" t="s">
        <v>153</v>
      </c>
      <c r="BX78" s="79" t="s">
        <v>176</v>
      </c>
      <c r="BY78" s="71"/>
      <c r="BZ78" s="79">
        <v>63</v>
      </c>
      <c r="CA78" s="79">
        <v>1</v>
      </c>
      <c r="CB78" s="79">
        <f t="shared" si="25"/>
        <v>64</v>
      </c>
      <c r="CC78" s="79" t="str">
        <f t="shared" si="45"/>
        <v>No Aplica</v>
      </c>
      <c r="CD78" s="79" t="s">
        <v>177</v>
      </c>
      <c r="CE78" s="79"/>
      <c r="CF78" s="79"/>
      <c r="CG78" s="83" t="s">
        <v>760</v>
      </c>
      <c r="CH78" s="41"/>
      <c r="CI78" s="79" t="s">
        <v>153</v>
      </c>
      <c r="CJ78" s="71"/>
      <c r="CK78" s="79">
        <f t="shared" si="38"/>
        <v>0</v>
      </c>
      <c r="CL78" s="79"/>
      <c r="CM78" s="79"/>
      <c r="CN78" s="79"/>
      <c r="CO78" s="79"/>
      <c r="CP78" s="79"/>
      <c r="CQ78" s="79"/>
      <c r="CR78" s="83" t="s">
        <v>179</v>
      </c>
      <c r="CS78" s="83" t="s">
        <v>179</v>
      </c>
      <c r="CT78" s="83" t="s">
        <v>179</v>
      </c>
      <c r="CU78" s="83" t="s">
        <v>179</v>
      </c>
      <c r="CV78" s="83" t="s">
        <v>179</v>
      </c>
      <c r="CW78" s="83" t="s">
        <v>179</v>
      </c>
      <c r="CX78" s="79" t="s">
        <v>153</v>
      </c>
      <c r="CY78" s="79">
        <f t="shared" si="39"/>
        <v>0</v>
      </c>
      <c r="CZ78" s="79">
        <v>0</v>
      </c>
      <c r="DA78" s="79">
        <f t="shared" si="40"/>
        <v>0</v>
      </c>
      <c r="DB78" s="84" t="str">
        <f t="shared" si="46"/>
        <v/>
      </c>
      <c r="DC78" s="41"/>
      <c r="DD78" s="79" t="s">
        <v>153</v>
      </c>
      <c r="DE78" s="71"/>
      <c r="DF78" s="85" t="s">
        <v>761</v>
      </c>
      <c r="DG78" s="79">
        <v>73</v>
      </c>
      <c r="DH78" s="86" t="str">
        <f t="shared" si="29"/>
        <v>Completo</v>
      </c>
      <c r="DI78" s="79" t="s">
        <v>181</v>
      </c>
      <c r="DJ78" s="79" t="s">
        <v>182</v>
      </c>
      <c r="DK78" s="79"/>
      <c r="DL78" s="79">
        <v>0</v>
      </c>
      <c r="DM78" s="79">
        <v>0</v>
      </c>
      <c r="DN78" s="79" t="s">
        <v>182</v>
      </c>
      <c r="DO78" s="79"/>
      <c r="DP78" s="79"/>
      <c r="DQ78" s="79"/>
      <c r="DR78" s="75" t="str">
        <f t="shared" si="47"/>
        <v>No aplica</v>
      </c>
      <c r="DS78" s="79"/>
      <c r="DT78" s="79"/>
      <c r="DU78" s="75" t="str">
        <f t="shared" si="48"/>
        <v>No aplica</v>
      </c>
      <c r="DV78" s="79" t="s">
        <v>182</v>
      </c>
      <c r="DW78" s="79" t="s">
        <v>182</v>
      </c>
      <c r="DX78" s="79"/>
      <c r="DY78" s="79"/>
      <c r="DZ78" s="79"/>
      <c r="EA78" s="79"/>
      <c r="EB78" s="79" t="s">
        <v>182</v>
      </c>
      <c r="EC78" s="79" t="s">
        <v>672</v>
      </c>
      <c r="ED78" s="79" t="s">
        <v>673</v>
      </c>
      <c r="EE78" s="79" t="str">
        <f t="shared" si="37"/>
        <v>Completo</v>
      </c>
      <c r="EF78" s="41"/>
      <c r="EG78" s="79" t="s">
        <v>153</v>
      </c>
      <c r="EH78" s="71"/>
      <c r="EI78" s="80"/>
      <c r="EJ78" s="71"/>
      <c r="EK78" s="79" t="s">
        <v>179</v>
      </c>
      <c r="EL78" s="76" t="str">
        <f t="shared" si="49"/>
        <v>No requiere</v>
      </c>
      <c r="EM78" s="76" t="str">
        <f t="shared" si="50"/>
        <v>No requiere</v>
      </c>
      <c r="EN78" s="76" t="str">
        <f t="shared" si="56"/>
        <v>No requiere</v>
      </c>
      <c r="EO78" s="71"/>
      <c r="EP78" s="73" t="str">
        <f t="shared" si="51"/>
        <v>No requiere</v>
      </c>
      <c r="EQ78" s="77" t="str">
        <f t="shared" si="52"/>
        <v>No requiere</v>
      </c>
      <c r="ER78" s="71"/>
      <c r="ES78" s="79" t="s">
        <v>179</v>
      </c>
      <c r="ET78" s="73" t="str">
        <f t="shared" si="53"/>
        <v>No requiere</v>
      </c>
      <c r="EU78" s="73" t="str">
        <f t="shared" si="57"/>
        <v>No requiere</v>
      </c>
      <c r="EV78" s="73" t="str">
        <f t="shared" si="54"/>
        <v>No requiere</v>
      </c>
      <c r="EW78" s="73" t="str">
        <f t="shared" si="55"/>
        <v>No requiere</v>
      </c>
      <c r="EX78" s="78"/>
      <c r="EY78" s="78"/>
    </row>
    <row r="79" spans="1:155" ht="46.5" customHeight="1">
      <c r="A79" s="79">
        <v>75</v>
      </c>
      <c r="B79" s="80" t="s">
        <v>762</v>
      </c>
      <c r="C79" s="81">
        <v>45358</v>
      </c>
      <c r="D79" s="82">
        <v>0.41666666666666669</v>
      </c>
      <c r="E79" s="79" t="s">
        <v>151</v>
      </c>
      <c r="F79" s="79" t="s">
        <v>153</v>
      </c>
      <c r="G79" s="79" t="s">
        <v>152</v>
      </c>
      <c r="H79" s="79" t="s">
        <v>152</v>
      </c>
      <c r="I79" s="79" t="s">
        <v>152</v>
      </c>
      <c r="J79" s="79" t="s">
        <v>154</v>
      </c>
      <c r="K79" s="79" t="s">
        <v>155</v>
      </c>
      <c r="L79" s="80" t="s">
        <v>763</v>
      </c>
      <c r="M79" s="80" t="s">
        <v>229</v>
      </c>
      <c r="N79" s="79" t="s">
        <v>422</v>
      </c>
      <c r="O79" s="80" t="str">
        <f t="shared" si="41"/>
        <v/>
      </c>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t="s">
        <v>230</v>
      </c>
      <c r="AP79" s="79" t="s">
        <v>347</v>
      </c>
      <c r="AQ79" s="80" t="s">
        <v>764</v>
      </c>
      <c r="AR79" s="80" t="s">
        <v>765</v>
      </c>
      <c r="AS79" s="80" t="s">
        <v>171</v>
      </c>
      <c r="AT79" s="80" t="str">
        <f t="shared" si="42"/>
        <v>Distrital</v>
      </c>
      <c r="AU79" s="79" t="s">
        <v>172</v>
      </c>
      <c r="AV79" s="79"/>
      <c r="AW79" s="79"/>
      <c r="AX79" s="79"/>
      <c r="AY79" s="79"/>
      <c r="AZ79" s="79"/>
      <c r="BA79" s="80" t="str">
        <f t="shared" si="43"/>
        <v>Distrital</v>
      </c>
      <c r="BB79" s="79" t="s">
        <v>172</v>
      </c>
      <c r="BC79" s="79"/>
      <c r="BD79" s="79"/>
      <c r="BE79" s="79"/>
      <c r="BF79" s="79"/>
      <c r="BG79" s="79"/>
      <c r="BH79" s="80" t="str">
        <f t="shared" si="44"/>
        <v>Distrital</v>
      </c>
      <c r="BI79" s="79" t="s">
        <v>172</v>
      </c>
      <c r="BJ79" s="79"/>
      <c r="BK79" s="79"/>
      <c r="BL79" s="79"/>
      <c r="BM79" s="79"/>
      <c r="BN79" s="79"/>
      <c r="BO79" s="79"/>
      <c r="BP79" s="79"/>
      <c r="BQ79" s="79"/>
      <c r="BR79" s="79"/>
      <c r="BS79" s="80" t="s">
        <v>288</v>
      </c>
      <c r="BT79" s="80" t="s">
        <v>605</v>
      </c>
      <c r="BU79" s="80" t="s">
        <v>766</v>
      </c>
      <c r="BV79" s="71"/>
      <c r="BW79" s="79" t="s">
        <v>153</v>
      </c>
      <c r="BX79" s="79" t="s">
        <v>176</v>
      </c>
      <c r="BY79" s="71"/>
      <c r="BZ79" s="79">
        <v>17</v>
      </c>
      <c r="CA79" s="79">
        <v>1</v>
      </c>
      <c r="CB79" s="79">
        <f t="shared" si="25"/>
        <v>18</v>
      </c>
      <c r="CC79" s="79" t="str">
        <f t="shared" si="45"/>
        <v>No Aplica</v>
      </c>
      <c r="CD79" s="79" t="s">
        <v>177</v>
      </c>
      <c r="CE79" s="79"/>
      <c r="CF79" s="79"/>
      <c r="CG79" s="83" t="s">
        <v>767</v>
      </c>
      <c r="CH79" s="41"/>
      <c r="CI79" s="79" t="s">
        <v>153</v>
      </c>
      <c r="CJ79" s="71"/>
      <c r="CK79" s="79">
        <f t="shared" si="38"/>
        <v>0</v>
      </c>
      <c r="CL79" s="79"/>
      <c r="CM79" s="79"/>
      <c r="CN79" s="79"/>
      <c r="CO79" s="79"/>
      <c r="CP79" s="79"/>
      <c r="CQ79" s="79"/>
      <c r="CR79" s="83" t="s">
        <v>179</v>
      </c>
      <c r="CS79" s="83" t="s">
        <v>179</v>
      </c>
      <c r="CT79" s="83" t="s">
        <v>179</v>
      </c>
      <c r="CU79" s="83" t="s">
        <v>179</v>
      </c>
      <c r="CV79" s="83" t="s">
        <v>179</v>
      </c>
      <c r="CW79" s="83" t="s">
        <v>179</v>
      </c>
      <c r="CX79" s="79" t="s">
        <v>153</v>
      </c>
      <c r="CY79" s="79">
        <f t="shared" si="39"/>
        <v>0</v>
      </c>
      <c r="CZ79" s="79">
        <v>0</v>
      </c>
      <c r="DA79" s="79">
        <f t="shared" si="40"/>
        <v>0</v>
      </c>
      <c r="DB79" s="84" t="str">
        <f t="shared" si="46"/>
        <v/>
      </c>
      <c r="DC79" s="41"/>
      <c r="DD79" s="79" t="s">
        <v>153</v>
      </c>
      <c r="DE79" s="71"/>
      <c r="DF79" s="85" t="s">
        <v>768</v>
      </c>
      <c r="DG79" s="79">
        <v>74</v>
      </c>
      <c r="DH79" s="86" t="str">
        <f t="shared" si="29"/>
        <v>Completo</v>
      </c>
      <c r="DI79" s="79" t="s">
        <v>181</v>
      </c>
      <c r="DJ79" s="79" t="s">
        <v>182</v>
      </c>
      <c r="DK79" s="79"/>
      <c r="DL79" s="79">
        <v>0</v>
      </c>
      <c r="DM79" s="79">
        <v>0</v>
      </c>
      <c r="DN79" s="79" t="s">
        <v>182</v>
      </c>
      <c r="DO79" s="79"/>
      <c r="DP79" s="79"/>
      <c r="DQ79" s="79"/>
      <c r="DR79" s="75" t="str">
        <f t="shared" si="47"/>
        <v>No aplica</v>
      </c>
      <c r="DS79" s="79"/>
      <c r="DT79" s="79"/>
      <c r="DU79" s="75" t="str">
        <f t="shared" si="48"/>
        <v>No aplica</v>
      </c>
      <c r="DV79" s="79" t="s">
        <v>182</v>
      </c>
      <c r="DW79" s="79" t="s">
        <v>191</v>
      </c>
      <c r="DX79" s="79"/>
      <c r="DY79" s="79"/>
      <c r="DZ79" s="79"/>
      <c r="EA79" s="79"/>
      <c r="EB79" s="79" t="s">
        <v>182</v>
      </c>
      <c r="EC79" s="79" t="s">
        <v>769</v>
      </c>
      <c r="ED79" s="79" t="s">
        <v>770</v>
      </c>
      <c r="EE79" s="79" t="str">
        <f t="shared" si="37"/>
        <v>Completo</v>
      </c>
      <c r="EF79" s="41"/>
      <c r="EG79" s="79" t="s">
        <v>153</v>
      </c>
      <c r="EH79" s="71"/>
      <c r="EI79" s="80"/>
      <c r="EJ79" s="71"/>
      <c r="EK79" s="79" t="s">
        <v>179</v>
      </c>
      <c r="EL79" s="76" t="str">
        <f t="shared" si="49"/>
        <v>No requiere</v>
      </c>
      <c r="EM79" s="76" t="str">
        <f t="shared" si="50"/>
        <v>No requiere</v>
      </c>
      <c r="EN79" s="76" t="str">
        <f t="shared" si="56"/>
        <v>No requiere</v>
      </c>
      <c r="EO79" s="71"/>
      <c r="EP79" s="73" t="str">
        <f t="shared" si="51"/>
        <v>No requiere</v>
      </c>
      <c r="EQ79" s="77" t="str">
        <f t="shared" si="52"/>
        <v>No requiere</v>
      </c>
      <c r="ER79" s="71"/>
      <c r="ES79" s="79" t="s">
        <v>179</v>
      </c>
      <c r="ET79" s="73" t="str">
        <f t="shared" si="53"/>
        <v>No requiere</v>
      </c>
      <c r="EU79" s="73" t="str">
        <f t="shared" si="57"/>
        <v>No requiere</v>
      </c>
      <c r="EV79" s="73" t="str">
        <f t="shared" si="54"/>
        <v>No requiere</v>
      </c>
      <c r="EW79" s="73" t="str">
        <f t="shared" si="55"/>
        <v>No requiere</v>
      </c>
      <c r="EX79" s="78"/>
      <c r="EY79" s="78"/>
    </row>
    <row r="80" spans="1:155" ht="46.5" customHeight="1">
      <c r="A80" s="79" t="str">
        <v/>
      </c>
      <c r="B80" s="80" t="s">
        <v>771</v>
      </c>
      <c r="C80" s="81">
        <v>45358</v>
      </c>
      <c r="D80" s="82">
        <v>0.41666666666666669</v>
      </c>
      <c r="E80" s="79" t="s">
        <v>151</v>
      </c>
      <c r="F80" s="79" t="s">
        <v>152</v>
      </c>
      <c r="G80" s="79" t="s">
        <v>153</v>
      </c>
      <c r="H80" s="79" t="s">
        <v>152</v>
      </c>
      <c r="I80" s="79" t="s">
        <v>152</v>
      </c>
      <c r="J80" s="79" t="s">
        <v>154</v>
      </c>
      <c r="K80" s="79" t="s">
        <v>202</v>
      </c>
      <c r="L80" s="80" t="s">
        <v>772</v>
      </c>
      <c r="M80" s="80" t="s">
        <v>157</v>
      </c>
      <c r="N80" s="79" t="s">
        <v>195</v>
      </c>
      <c r="O80" s="80" t="str">
        <f t="shared" si="41"/>
        <v/>
      </c>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t="s">
        <v>169</v>
      </c>
      <c r="AP80" s="79" t="s">
        <v>170</v>
      </c>
      <c r="AQ80" s="80" t="s">
        <v>171</v>
      </c>
      <c r="AR80" s="80" t="s">
        <v>171</v>
      </c>
      <c r="AS80" s="80" t="s">
        <v>171</v>
      </c>
      <c r="AT80" s="80" t="str">
        <f t="shared" si="42"/>
        <v>Distrital</v>
      </c>
      <c r="AU80" s="79" t="s">
        <v>172</v>
      </c>
      <c r="AV80" s="79"/>
      <c r="AW80" s="79"/>
      <c r="AX80" s="79"/>
      <c r="AY80" s="79"/>
      <c r="AZ80" s="79"/>
      <c r="BA80" s="80" t="str">
        <f t="shared" si="43"/>
        <v>Distrital</v>
      </c>
      <c r="BB80" s="79" t="s">
        <v>172</v>
      </c>
      <c r="BC80" s="79"/>
      <c r="BD80" s="79"/>
      <c r="BE80" s="79"/>
      <c r="BF80" s="79"/>
      <c r="BG80" s="79"/>
      <c r="BH80" s="80" t="str">
        <f t="shared" si="44"/>
        <v>Distrital</v>
      </c>
      <c r="BI80" s="79" t="s">
        <v>172</v>
      </c>
      <c r="BJ80" s="79"/>
      <c r="BK80" s="79"/>
      <c r="BL80" s="79"/>
      <c r="BM80" s="79"/>
      <c r="BN80" s="79"/>
      <c r="BO80" s="79"/>
      <c r="BP80" s="79"/>
      <c r="BQ80" s="79"/>
      <c r="BR80" s="79"/>
      <c r="BS80" s="80" t="s">
        <v>288</v>
      </c>
      <c r="BT80" s="80" t="s">
        <v>174</v>
      </c>
      <c r="BU80" s="89" t="s">
        <v>773</v>
      </c>
      <c r="BV80" s="71"/>
      <c r="BW80" s="79" t="s">
        <v>153</v>
      </c>
      <c r="BX80" s="79" t="s">
        <v>176</v>
      </c>
      <c r="BY80" s="71"/>
      <c r="BZ80" s="79">
        <v>0</v>
      </c>
      <c r="CA80" s="79">
        <v>44</v>
      </c>
      <c r="CB80" s="79">
        <f t="shared" si="25"/>
        <v>44</v>
      </c>
      <c r="CC80" s="79" t="str">
        <f t="shared" si="45"/>
        <v>No Aplica</v>
      </c>
      <c r="CD80" s="79" t="s">
        <v>177</v>
      </c>
      <c r="CE80" s="79"/>
      <c r="CF80" s="79"/>
      <c r="CG80" s="83" t="s">
        <v>774</v>
      </c>
      <c r="CH80" s="41"/>
      <c r="CI80" s="79" t="s">
        <v>153</v>
      </c>
      <c r="CJ80" s="71"/>
      <c r="CK80" s="79">
        <f t="shared" si="38"/>
        <v>0</v>
      </c>
      <c r="CL80" s="79"/>
      <c r="CM80" s="79"/>
      <c r="CN80" s="79"/>
      <c r="CO80" s="79"/>
      <c r="CP80" s="79"/>
      <c r="CQ80" s="79"/>
      <c r="CR80" s="83" t="s">
        <v>179</v>
      </c>
      <c r="CS80" s="83" t="s">
        <v>179</v>
      </c>
      <c r="CT80" s="83" t="s">
        <v>179</v>
      </c>
      <c r="CU80" s="83" t="s">
        <v>179</v>
      </c>
      <c r="CV80" s="83" t="s">
        <v>179</v>
      </c>
      <c r="CW80" s="83" t="s">
        <v>179</v>
      </c>
      <c r="CX80" s="79" t="s">
        <v>153</v>
      </c>
      <c r="CY80" s="79">
        <f t="shared" si="39"/>
        <v>0</v>
      </c>
      <c r="CZ80" s="79">
        <v>0</v>
      </c>
      <c r="DA80" s="79">
        <f t="shared" si="40"/>
        <v>0</v>
      </c>
      <c r="DB80" s="84" t="str">
        <f t="shared" si="46"/>
        <v/>
      </c>
      <c r="DC80" s="41"/>
      <c r="DD80" s="79" t="s">
        <v>153</v>
      </c>
      <c r="DE80" s="71"/>
      <c r="DF80" s="85" t="s">
        <v>775</v>
      </c>
      <c r="DG80" s="79">
        <v>75</v>
      </c>
      <c r="DH80" s="86" t="str">
        <f t="shared" si="29"/>
        <v>Completo</v>
      </c>
      <c r="DI80" s="79" t="s">
        <v>181</v>
      </c>
      <c r="DJ80" s="79" t="s">
        <v>182</v>
      </c>
      <c r="DK80" s="79"/>
      <c r="DL80" s="79">
        <v>0</v>
      </c>
      <c r="DM80" s="79">
        <v>0</v>
      </c>
      <c r="DN80" s="79" t="s">
        <v>182</v>
      </c>
      <c r="DO80" s="79"/>
      <c r="DP80" s="79"/>
      <c r="DQ80" s="79"/>
      <c r="DR80" s="75" t="str">
        <f t="shared" si="47"/>
        <v>No aplica</v>
      </c>
      <c r="DS80" s="79"/>
      <c r="DT80" s="79"/>
      <c r="DU80" s="75" t="str">
        <f t="shared" si="48"/>
        <v>No aplica</v>
      </c>
      <c r="DV80" s="79"/>
      <c r="DW80" s="79"/>
      <c r="DX80" s="79"/>
      <c r="DY80" s="79"/>
      <c r="DZ80" s="79"/>
      <c r="EA80" s="79"/>
      <c r="EB80" s="79"/>
      <c r="EC80" s="79"/>
      <c r="ED80" s="79" t="s">
        <v>776</v>
      </c>
      <c r="EE80" s="79" t="str">
        <f t="shared" si="37"/>
        <v>Completo</v>
      </c>
      <c r="EF80" s="41"/>
      <c r="EG80" s="79" t="s">
        <v>153</v>
      </c>
      <c r="EH80" s="71"/>
      <c r="EI80" s="80"/>
      <c r="EJ80" s="71"/>
      <c r="EK80" s="79" t="s">
        <v>179</v>
      </c>
      <c r="EL80" s="76" t="str">
        <f t="shared" si="49"/>
        <v>No requiere</v>
      </c>
      <c r="EM80" s="76" t="str">
        <f t="shared" si="50"/>
        <v>No requiere</v>
      </c>
      <c r="EN80" s="76" t="str">
        <f t="shared" si="56"/>
        <v>No requiere</v>
      </c>
      <c r="EO80" s="71"/>
      <c r="EP80" s="73" t="str">
        <f t="shared" si="51"/>
        <v>No requiere</v>
      </c>
      <c r="EQ80" s="77" t="str">
        <f t="shared" si="52"/>
        <v>No requiere</v>
      </c>
      <c r="ER80" s="71"/>
      <c r="ES80" s="79" t="s">
        <v>179</v>
      </c>
      <c r="ET80" s="73" t="str">
        <f t="shared" si="53"/>
        <v>No requiere</v>
      </c>
      <c r="EU80" s="73" t="str">
        <f t="shared" si="57"/>
        <v>No requiere</v>
      </c>
      <c r="EV80" s="73" t="str">
        <f t="shared" si="54"/>
        <v>No requiere</v>
      </c>
      <c r="EW80" s="73" t="str">
        <f t="shared" si="55"/>
        <v>No requiere</v>
      </c>
      <c r="EX80" s="78"/>
      <c r="EY80" s="78"/>
    </row>
    <row r="81" spans="1:155" ht="46.5" customHeight="1">
      <c r="A81" s="79" t="str">
        <v/>
      </c>
      <c r="B81" s="80" t="s">
        <v>777</v>
      </c>
      <c r="C81" s="81">
        <v>45358</v>
      </c>
      <c r="D81" s="82">
        <v>0.45833333333333331</v>
      </c>
      <c r="E81" s="79" t="s">
        <v>151</v>
      </c>
      <c r="F81" s="79" t="s">
        <v>152</v>
      </c>
      <c r="G81" s="79" t="s">
        <v>153</v>
      </c>
      <c r="H81" s="79" t="s">
        <v>152</v>
      </c>
      <c r="I81" s="79" t="s">
        <v>152</v>
      </c>
      <c r="J81" s="79" t="s">
        <v>154</v>
      </c>
      <c r="K81" s="79" t="s">
        <v>202</v>
      </c>
      <c r="L81" s="80" t="s">
        <v>778</v>
      </c>
      <c r="M81" s="80" t="s">
        <v>157</v>
      </c>
      <c r="N81" s="79" t="s">
        <v>265</v>
      </c>
      <c r="O81" s="80" t="str">
        <f t="shared" si="41"/>
        <v/>
      </c>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t="s">
        <v>169</v>
      </c>
      <c r="AP81" s="79" t="s">
        <v>170</v>
      </c>
      <c r="AQ81" s="80" t="s">
        <v>779</v>
      </c>
      <c r="AR81" s="80" t="s">
        <v>171</v>
      </c>
      <c r="AS81" s="80" t="s">
        <v>780</v>
      </c>
      <c r="AT81" s="80" t="str">
        <f t="shared" si="42"/>
        <v>Distrital</v>
      </c>
      <c r="AU81" s="79" t="s">
        <v>172</v>
      </c>
      <c r="AV81" s="79"/>
      <c r="AW81" s="79"/>
      <c r="AX81" s="79"/>
      <c r="AY81" s="79"/>
      <c r="AZ81" s="79"/>
      <c r="BA81" s="80" t="str">
        <f t="shared" si="43"/>
        <v>Distrital</v>
      </c>
      <c r="BB81" s="79" t="s">
        <v>172</v>
      </c>
      <c r="BC81" s="79"/>
      <c r="BD81" s="79"/>
      <c r="BE81" s="79"/>
      <c r="BF81" s="79"/>
      <c r="BG81" s="79"/>
      <c r="BH81" s="80" t="str">
        <f t="shared" si="44"/>
        <v>Distrital</v>
      </c>
      <c r="BI81" s="79" t="s">
        <v>172</v>
      </c>
      <c r="BJ81" s="79"/>
      <c r="BK81" s="79"/>
      <c r="BL81" s="79"/>
      <c r="BM81" s="79"/>
      <c r="BN81" s="79"/>
      <c r="BO81" s="79"/>
      <c r="BP81" s="79"/>
      <c r="BQ81" s="79"/>
      <c r="BR81" s="79"/>
      <c r="BS81" s="80" t="s">
        <v>288</v>
      </c>
      <c r="BT81" s="80" t="s">
        <v>174</v>
      </c>
      <c r="BU81" s="89" t="s">
        <v>781</v>
      </c>
      <c r="BV81" s="71"/>
      <c r="BW81" s="79" t="s">
        <v>153</v>
      </c>
      <c r="BX81" s="79" t="s">
        <v>176</v>
      </c>
      <c r="BY81" s="71"/>
      <c r="BZ81" s="79">
        <v>7</v>
      </c>
      <c r="CA81" s="79">
        <v>4</v>
      </c>
      <c r="CB81" s="79">
        <f t="shared" si="25"/>
        <v>11</v>
      </c>
      <c r="CC81" s="79" t="str">
        <f t="shared" si="45"/>
        <v>No Aplica</v>
      </c>
      <c r="CD81" s="79" t="s">
        <v>177</v>
      </c>
      <c r="CE81" s="79"/>
      <c r="CF81" s="79"/>
      <c r="CG81" s="83" t="s">
        <v>782</v>
      </c>
      <c r="CH81" s="41"/>
      <c r="CI81" s="79" t="s">
        <v>153</v>
      </c>
      <c r="CJ81" s="71"/>
      <c r="CK81" s="79">
        <f t="shared" si="38"/>
        <v>0</v>
      </c>
      <c r="CL81" s="79"/>
      <c r="CM81" s="79"/>
      <c r="CN81" s="79"/>
      <c r="CO81" s="79"/>
      <c r="CP81" s="79"/>
      <c r="CQ81" s="79"/>
      <c r="CR81" s="83" t="s">
        <v>179</v>
      </c>
      <c r="CS81" s="83" t="s">
        <v>179</v>
      </c>
      <c r="CT81" s="83" t="s">
        <v>179</v>
      </c>
      <c r="CU81" s="83" t="s">
        <v>179</v>
      </c>
      <c r="CV81" s="83" t="s">
        <v>179</v>
      </c>
      <c r="CW81" s="83" t="s">
        <v>179</v>
      </c>
      <c r="CX81" s="79" t="s">
        <v>153</v>
      </c>
      <c r="CY81" s="79">
        <f t="shared" si="39"/>
        <v>0</v>
      </c>
      <c r="CZ81" s="79">
        <v>0</v>
      </c>
      <c r="DA81" s="79">
        <f t="shared" si="40"/>
        <v>0</v>
      </c>
      <c r="DB81" s="84" t="str">
        <f t="shared" si="46"/>
        <v/>
      </c>
      <c r="DC81" s="41"/>
      <c r="DD81" s="79" t="s">
        <v>153</v>
      </c>
      <c r="DE81" s="71"/>
      <c r="DF81" s="85" t="s">
        <v>783</v>
      </c>
      <c r="DG81" s="79">
        <v>76</v>
      </c>
      <c r="DH81" s="86" t="str">
        <f t="shared" si="29"/>
        <v>Completo</v>
      </c>
      <c r="DI81" s="79" t="s">
        <v>181</v>
      </c>
      <c r="DJ81" s="79" t="s">
        <v>182</v>
      </c>
      <c r="DK81" s="79"/>
      <c r="DL81" s="79">
        <v>0</v>
      </c>
      <c r="DM81" s="79">
        <v>0</v>
      </c>
      <c r="DN81" s="79"/>
      <c r="DO81" s="79"/>
      <c r="DP81" s="79"/>
      <c r="DQ81" s="79"/>
      <c r="DR81" s="75" t="str">
        <f t="shared" si="47"/>
        <v>No aplica</v>
      </c>
      <c r="DS81" s="79"/>
      <c r="DT81" s="79"/>
      <c r="DU81" s="75" t="str">
        <f t="shared" si="48"/>
        <v>No aplica</v>
      </c>
      <c r="DV81" s="79" t="s">
        <v>182</v>
      </c>
      <c r="DW81" s="79"/>
      <c r="DX81" s="79"/>
      <c r="DY81" s="79"/>
      <c r="DZ81" s="79"/>
      <c r="EA81" s="79"/>
      <c r="EB81" s="79"/>
      <c r="EC81" s="79"/>
      <c r="ED81" s="79" t="s">
        <v>784</v>
      </c>
      <c r="EE81" s="79" t="str">
        <f t="shared" si="37"/>
        <v>Completo</v>
      </c>
      <c r="EF81" s="41"/>
      <c r="EG81" s="79" t="s">
        <v>153</v>
      </c>
      <c r="EH81" s="71"/>
      <c r="EI81" s="80"/>
      <c r="EJ81" s="71"/>
      <c r="EK81" s="79" t="s">
        <v>179</v>
      </c>
      <c r="EL81" s="76" t="str">
        <f t="shared" si="49"/>
        <v>No requiere</v>
      </c>
      <c r="EM81" s="76" t="str">
        <f t="shared" si="50"/>
        <v>No requiere</v>
      </c>
      <c r="EN81" s="76" t="str">
        <f t="shared" si="56"/>
        <v>No requiere</v>
      </c>
      <c r="EO81" s="71"/>
      <c r="EP81" s="73" t="str">
        <f t="shared" si="51"/>
        <v>No requiere</v>
      </c>
      <c r="EQ81" s="77" t="str">
        <f t="shared" si="52"/>
        <v>No requiere</v>
      </c>
      <c r="ER81" s="71"/>
      <c r="ES81" s="79" t="s">
        <v>179</v>
      </c>
      <c r="ET81" s="73" t="str">
        <f t="shared" si="53"/>
        <v>No requiere</v>
      </c>
      <c r="EU81" s="73" t="str">
        <f t="shared" si="57"/>
        <v>No requiere</v>
      </c>
      <c r="EV81" s="73" t="str">
        <f t="shared" si="54"/>
        <v>No requiere</v>
      </c>
      <c r="EW81" s="73" t="str">
        <f t="shared" si="55"/>
        <v>No requiere</v>
      </c>
      <c r="EX81" s="78"/>
      <c r="EY81" s="78"/>
    </row>
    <row r="82" spans="1:155" ht="46.5" customHeight="1">
      <c r="A82" s="79">
        <v>78</v>
      </c>
      <c r="B82" s="80" t="s">
        <v>785</v>
      </c>
      <c r="C82" s="81">
        <v>45358</v>
      </c>
      <c r="D82" s="82">
        <v>0.45833333333333331</v>
      </c>
      <c r="E82" s="79" t="s">
        <v>200</v>
      </c>
      <c r="F82" s="79" t="s">
        <v>153</v>
      </c>
      <c r="G82" s="79" t="s">
        <v>153</v>
      </c>
      <c r="H82" s="79" t="s">
        <v>152</v>
      </c>
      <c r="I82" s="79" t="s">
        <v>152</v>
      </c>
      <c r="J82" s="79" t="s">
        <v>211</v>
      </c>
      <c r="K82" s="79" t="s">
        <v>155</v>
      </c>
      <c r="L82" s="80" t="s">
        <v>786</v>
      </c>
      <c r="M82" s="80" t="s">
        <v>303</v>
      </c>
      <c r="N82" s="79" t="s">
        <v>422</v>
      </c>
      <c r="O82" s="80" t="str">
        <f t="shared" si="41"/>
        <v/>
      </c>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t="s">
        <v>230</v>
      </c>
      <c r="AP82" s="79" t="s">
        <v>242</v>
      </c>
      <c r="AQ82" s="80" t="s">
        <v>787</v>
      </c>
      <c r="AR82" s="83" t="s">
        <v>788</v>
      </c>
      <c r="AS82" s="80" t="s">
        <v>789</v>
      </c>
      <c r="AT82" s="80" t="str">
        <f t="shared" si="42"/>
        <v>Distrital</v>
      </c>
      <c r="AU82" s="79" t="s">
        <v>172</v>
      </c>
      <c r="AV82" s="79"/>
      <c r="AW82" s="79"/>
      <c r="AX82" s="79"/>
      <c r="AY82" s="79"/>
      <c r="AZ82" s="79"/>
      <c r="BA82" s="80" t="str">
        <f t="shared" si="43"/>
        <v>Distrital</v>
      </c>
      <c r="BB82" s="79" t="s">
        <v>172</v>
      </c>
      <c r="BC82" s="79"/>
      <c r="BD82" s="79"/>
      <c r="BE82" s="79"/>
      <c r="BF82" s="79"/>
      <c r="BG82" s="79"/>
      <c r="BH82" s="80" t="str">
        <f t="shared" si="44"/>
        <v>Distrital</v>
      </c>
      <c r="BI82" s="79" t="s">
        <v>172</v>
      </c>
      <c r="BJ82" s="79"/>
      <c r="BK82" s="79"/>
      <c r="BL82" s="79"/>
      <c r="BM82" s="79"/>
      <c r="BN82" s="79"/>
      <c r="BO82" s="79"/>
      <c r="BP82" s="79"/>
      <c r="BQ82" s="79"/>
      <c r="BR82" s="79"/>
      <c r="BS82" s="80" t="s">
        <v>288</v>
      </c>
      <c r="BT82" s="80" t="s">
        <v>174</v>
      </c>
      <c r="BU82" s="80" t="s">
        <v>790</v>
      </c>
      <c r="BV82" s="71"/>
      <c r="BW82" s="79" t="s">
        <v>152</v>
      </c>
      <c r="BX82" s="79" t="s">
        <v>179</v>
      </c>
      <c r="BY82" s="71"/>
      <c r="BZ82" s="79">
        <v>4</v>
      </c>
      <c r="CA82" s="79">
        <v>4</v>
      </c>
      <c r="CB82" s="79">
        <f t="shared" si="25"/>
        <v>8</v>
      </c>
      <c r="CC82" s="79" t="str">
        <f t="shared" si="45"/>
        <v>No Aplica</v>
      </c>
      <c r="CD82" s="79" t="s">
        <v>177</v>
      </c>
      <c r="CE82" s="79"/>
      <c r="CF82" s="79"/>
      <c r="CG82" s="83" t="s">
        <v>791</v>
      </c>
      <c r="CH82" s="41"/>
      <c r="CI82" s="79" t="s">
        <v>153</v>
      </c>
      <c r="CJ82" s="71"/>
      <c r="CK82" s="79">
        <f t="shared" si="38"/>
        <v>0</v>
      </c>
      <c r="CL82" s="79"/>
      <c r="CM82" s="79"/>
      <c r="CN82" s="79"/>
      <c r="CO82" s="79"/>
      <c r="CP82" s="79"/>
      <c r="CQ82" s="79"/>
      <c r="CR82" s="83" t="s">
        <v>179</v>
      </c>
      <c r="CS82" s="83" t="s">
        <v>179</v>
      </c>
      <c r="CT82" s="83" t="s">
        <v>179</v>
      </c>
      <c r="CU82" s="83" t="s">
        <v>179</v>
      </c>
      <c r="CV82" s="83" t="s">
        <v>179</v>
      </c>
      <c r="CW82" s="83" t="s">
        <v>179</v>
      </c>
      <c r="CX82" s="79" t="s">
        <v>153</v>
      </c>
      <c r="CY82" s="79">
        <f t="shared" si="39"/>
        <v>0</v>
      </c>
      <c r="CZ82" s="79">
        <v>0</v>
      </c>
      <c r="DA82" s="79">
        <f t="shared" si="40"/>
        <v>0</v>
      </c>
      <c r="DB82" s="84" t="str">
        <f t="shared" si="46"/>
        <v/>
      </c>
      <c r="DC82" s="41"/>
      <c r="DD82" s="79" t="s">
        <v>153</v>
      </c>
      <c r="DE82" s="71"/>
      <c r="DF82" s="85" t="s">
        <v>792</v>
      </c>
      <c r="DG82" s="79">
        <v>77</v>
      </c>
      <c r="DH82" s="86" t="str">
        <f t="shared" si="29"/>
        <v>Completo</v>
      </c>
      <c r="DI82" s="79" t="s">
        <v>181</v>
      </c>
      <c r="DJ82" s="79" t="s">
        <v>182</v>
      </c>
      <c r="DK82" s="79"/>
      <c r="DL82" s="79">
        <v>0</v>
      </c>
      <c r="DM82" s="79">
        <v>0</v>
      </c>
      <c r="DN82" s="79" t="s">
        <v>182</v>
      </c>
      <c r="DO82" s="79"/>
      <c r="DP82" s="79"/>
      <c r="DQ82" s="79"/>
      <c r="DR82" s="75" t="str">
        <f t="shared" si="47"/>
        <v>No aplica</v>
      </c>
      <c r="DS82" s="79"/>
      <c r="DT82" s="79"/>
      <c r="DU82" s="75" t="str">
        <f t="shared" si="48"/>
        <v>No aplica</v>
      </c>
      <c r="DV82" s="79" t="s">
        <v>182</v>
      </c>
      <c r="DW82" s="79"/>
      <c r="DX82" s="79"/>
      <c r="DY82" s="79"/>
      <c r="DZ82" s="79"/>
      <c r="EA82" s="79"/>
      <c r="EB82" s="79"/>
      <c r="EC82" s="79"/>
      <c r="ED82" s="79" t="s">
        <v>249</v>
      </c>
      <c r="EE82" s="79" t="str">
        <f t="shared" si="37"/>
        <v>Completo</v>
      </c>
      <c r="EF82" s="41"/>
      <c r="EG82" s="79" t="s">
        <v>153</v>
      </c>
      <c r="EH82" s="71"/>
      <c r="EI82" s="80"/>
      <c r="EJ82" s="71"/>
      <c r="EK82" s="79" t="s">
        <v>179</v>
      </c>
      <c r="EL82" s="76" t="str">
        <f t="shared" si="49"/>
        <v>No requiere</v>
      </c>
      <c r="EM82" s="76" t="str">
        <f t="shared" si="50"/>
        <v>No requiere</v>
      </c>
      <c r="EN82" s="76" t="str">
        <f t="shared" si="56"/>
        <v>No requiere</v>
      </c>
      <c r="EO82" s="71"/>
      <c r="EP82" s="73" t="str">
        <f t="shared" si="51"/>
        <v>No requiere</v>
      </c>
      <c r="EQ82" s="77" t="str">
        <f t="shared" si="52"/>
        <v>No requiere</v>
      </c>
      <c r="ER82" s="71"/>
      <c r="ES82" s="79" t="s">
        <v>179</v>
      </c>
      <c r="ET82" s="73" t="str">
        <f t="shared" si="53"/>
        <v>No requiere</v>
      </c>
      <c r="EU82" s="73" t="str">
        <f t="shared" si="57"/>
        <v>No requiere</v>
      </c>
      <c r="EV82" s="73" t="str">
        <f t="shared" si="54"/>
        <v>No requiere</v>
      </c>
      <c r="EW82" s="73" t="str">
        <f t="shared" si="55"/>
        <v>No requiere</v>
      </c>
      <c r="EX82" s="78"/>
      <c r="EY82" s="78"/>
    </row>
    <row r="83" spans="1:155" ht="46.5" customHeight="1">
      <c r="A83" s="79">
        <v>79</v>
      </c>
      <c r="B83" s="80" t="s">
        <v>793</v>
      </c>
      <c r="C83" s="81">
        <v>45358</v>
      </c>
      <c r="D83" s="82">
        <v>0.58333333333333337</v>
      </c>
      <c r="E83" s="79" t="s">
        <v>200</v>
      </c>
      <c r="F83" s="79" t="s">
        <v>153</v>
      </c>
      <c r="G83" s="79" t="s">
        <v>152</v>
      </c>
      <c r="H83" s="79" t="s">
        <v>152</v>
      </c>
      <c r="I83" s="79" t="s">
        <v>152</v>
      </c>
      <c r="J83" s="79" t="s">
        <v>504</v>
      </c>
      <c r="K83" s="79" t="s">
        <v>155</v>
      </c>
      <c r="L83" s="80" t="s">
        <v>794</v>
      </c>
      <c r="M83" s="80" t="s">
        <v>157</v>
      </c>
      <c r="N83" s="79" t="s">
        <v>546</v>
      </c>
      <c r="O83" s="80" t="str">
        <f t="shared" si="41"/>
        <v/>
      </c>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t="s">
        <v>169</v>
      </c>
      <c r="AP83" s="79" t="s">
        <v>507</v>
      </c>
      <c r="AQ83" s="80" t="s">
        <v>795</v>
      </c>
      <c r="AR83" s="80" t="s">
        <v>171</v>
      </c>
      <c r="AS83" s="80" t="s">
        <v>796</v>
      </c>
      <c r="AT83" s="80" t="str">
        <f t="shared" si="42"/>
        <v>San Cristóbal</v>
      </c>
      <c r="AU83" s="79" t="s">
        <v>570</v>
      </c>
      <c r="AV83" s="79"/>
      <c r="AW83" s="79"/>
      <c r="AX83" s="79"/>
      <c r="AY83" s="79"/>
      <c r="AZ83" s="79"/>
      <c r="BA83" s="80" t="str">
        <f t="shared" si="43"/>
        <v>Suroriente, Ruralidad</v>
      </c>
      <c r="BB83" s="79" t="s">
        <v>218</v>
      </c>
      <c r="BC83" s="79" t="s">
        <v>219</v>
      </c>
      <c r="BD83" s="79"/>
      <c r="BE83" s="79"/>
      <c r="BF83" s="79"/>
      <c r="BG83" s="79"/>
      <c r="BH83" s="80" t="str">
        <f t="shared" si="44"/>
        <v>San Cristobal, Cerros Orientales</v>
      </c>
      <c r="BI83" s="79" t="s">
        <v>571</v>
      </c>
      <c r="BJ83" s="79" t="s">
        <v>361</v>
      </c>
      <c r="BK83" s="79"/>
      <c r="BL83" s="79"/>
      <c r="BM83" s="79"/>
      <c r="BN83" s="79"/>
      <c r="BO83" s="79"/>
      <c r="BP83" s="79"/>
      <c r="BQ83" s="79"/>
      <c r="BR83" s="79"/>
      <c r="BS83" s="80" t="s">
        <v>288</v>
      </c>
      <c r="BT83" s="80" t="s">
        <v>174</v>
      </c>
      <c r="BU83" s="92" t="s">
        <v>797</v>
      </c>
      <c r="BV83" s="71"/>
      <c r="BW83" s="79" t="s">
        <v>152</v>
      </c>
      <c r="BX83" s="79" t="s">
        <v>179</v>
      </c>
      <c r="BY83" s="71"/>
      <c r="BZ83" s="79">
        <v>21</v>
      </c>
      <c r="CA83" s="79">
        <v>1</v>
      </c>
      <c r="CB83" s="79">
        <f t="shared" si="25"/>
        <v>22</v>
      </c>
      <c r="CC83" s="79" t="str">
        <f t="shared" si="45"/>
        <v>No Aplica</v>
      </c>
      <c r="CD83" s="79" t="s">
        <v>177</v>
      </c>
      <c r="CE83" s="79"/>
      <c r="CF83" s="79"/>
      <c r="CG83" s="83" t="s">
        <v>798</v>
      </c>
      <c r="CH83" s="41"/>
      <c r="CI83" s="79" t="s">
        <v>153</v>
      </c>
      <c r="CJ83" s="71"/>
      <c r="CK83" s="79">
        <f t="shared" si="38"/>
        <v>0</v>
      </c>
      <c r="CL83" s="79"/>
      <c r="CM83" s="79"/>
      <c r="CN83" s="79"/>
      <c r="CO83" s="79"/>
      <c r="CP83" s="79"/>
      <c r="CQ83" s="79"/>
      <c r="CR83" s="83" t="s">
        <v>179</v>
      </c>
      <c r="CS83" s="83" t="s">
        <v>179</v>
      </c>
      <c r="CT83" s="83" t="s">
        <v>179</v>
      </c>
      <c r="CU83" s="83" t="s">
        <v>179</v>
      </c>
      <c r="CV83" s="83" t="s">
        <v>179</v>
      </c>
      <c r="CW83" s="83" t="s">
        <v>179</v>
      </c>
      <c r="CX83" s="79" t="s">
        <v>153</v>
      </c>
      <c r="CY83" s="79">
        <f t="shared" si="39"/>
        <v>0</v>
      </c>
      <c r="CZ83" s="79">
        <v>0</v>
      </c>
      <c r="DA83" s="79">
        <f t="shared" si="40"/>
        <v>0</v>
      </c>
      <c r="DB83" s="84" t="str">
        <f t="shared" si="46"/>
        <v/>
      </c>
      <c r="DC83" s="41"/>
      <c r="DD83" s="79" t="s">
        <v>153</v>
      </c>
      <c r="DE83" s="71"/>
      <c r="DF83" s="85" t="s">
        <v>757</v>
      </c>
      <c r="DG83" s="79">
        <v>78</v>
      </c>
      <c r="DH83" s="86" t="str">
        <f t="shared" si="29"/>
        <v>Completo</v>
      </c>
      <c r="DI83" s="79" t="s">
        <v>181</v>
      </c>
      <c r="DJ83" s="79" t="s">
        <v>182</v>
      </c>
      <c r="DK83" s="79"/>
      <c r="DL83" s="79">
        <v>0</v>
      </c>
      <c r="DM83" s="79">
        <v>0</v>
      </c>
      <c r="DN83" s="79" t="s">
        <v>182</v>
      </c>
      <c r="DO83" s="79"/>
      <c r="DP83" s="79"/>
      <c r="DQ83" s="79"/>
      <c r="DR83" s="75" t="str">
        <f t="shared" si="47"/>
        <v>No aplica</v>
      </c>
      <c r="DS83" s="79"/>
      <c r="DT83" s="79"/>
      <c r="DU83" s="75" t="str">
        <f t="shared" si="48"/>
        <v>No aplica</v>
      </c>
      <c r="DV83" s="79" t="s">
        <v>182</v>
      </c>
      <c r="DW83" s="79" t="s">
        <v>182</v>
      </c>
      <c r="DX83" s="79"/>
      <c r="DY83" s="79"/>
      <c r="DZ83" s="79"/>
      <c r="EA83" s="79"/>
      <c r="EB83" s="79"/>
      <c r="EC83" s="79"/>
      <c r="ED83" s="79" t="s">
        <v>184</v>
      </c>
      <c r="EE83" s="79" t="str">
        <f t="shared" si="37"/>
        <v>Completo</v>
      </c>
      <c r="EF83" s="41"/>
      <c r="EG83" s="79" t="s">
        <v>153</v>
      </c>
      <c r="EH83" s="71"/>
      <c r="EI83" s="80"/>
      <c r="EJ83" s="71"/>
      <c r="EK83" s="79" t="s">
        <v>179</v>
      </c>
      <c r="EL83" s="76" t="str">
        <f t="shared" si="49"/>
        <v>No requiere</v>
      </c>
      <c r="EM83" s="76" t="str">
        <f t="shared" si="50"/>
        <v>No requiere</v>
      </c>
      <c r="EN83" s="76" t="str">
        <f t="shared" si="56"/>
        <v>No requiere</v>
      </c>
      <c r="EO83" s="71"/>
      <c r="EP83" s="73" t="str">
        <f t="shared" si="51"/>
        <v>No requiere</v>
      </c>
      <c r="EQ83" s="77" t="str">
        <f t="shared" si="52"/>
        <v>No requiere</v>
      </c>
      <c r="ER83" s="71"/>
      <c r="ES83" s="79" t="s">
        <v>179</v>
      </c>
      <c r="ET83" s="73" t="str">
        <f t="shared" si="53"/>
        <v>No requiere</v>
      </c>
      <c r="EU83" s="73" t="str">
        <f t="shared" si="57"/>
        <v>No requiere</v>
      </c>
      <c r="EV83" s="73" t="str">
        <f t="shared" si="54"/>
        <v>No requiere</v>
      </c>
      <c r="EW83" s="73" t="str">
        <f t="shared" si="55"/>
        <v>No requiere</v>
      </c>
      <c r="EX83" s="78"/>
      <c r="EY83" s="78"/>
    </row>
    <row r="84" spans="1:155" ht="46.5" customHeight="1">
      <c r="A84" s="79">
        <v>80</v>
      </c>
      <c r="B84" s="80" t="s">
        <v>799</v>
      </c>
      <c r="C84" s="81">
        <v>45358</v>
      </c>
      <c r="D84" s="82">
        <v>0.58333333333333337</v>
      </c>
      <c r="E84" s="79" t="s">
        <v>200</v>
      </c>
      <c r="F84" s="79" t="s">
        <v>153</v>
      </c>
      <c r="G84" s="79" t="s">
        <v>152</v>
      </c>
      <c r="H84" s="79" t="s">
        <v>152</v>
      </c>
      <c r="I84" s="79" t="s">
        <v>152</v>
      </c>
      <c r="J84" s="79" t="s">
        <v>504</v>
      </c>
      <c r="K84" s="79" t="s">
        <v>202</v>
      </c>
      <c r="L84" s="80" t="s">
        <v>800</v>
      </c>
      <c r="M84" s="80" t="s">
        <v>157</v>
      </c>
      <c r="N84" s="79" t="s">
        <v>801</v>
      </c>
      <c r="O84" s="80" t="str">
        <f t="shared" si="41"/>
        <v/>
      </c>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t="s">
        <v>169</v>
      </c>
      <c r="AP84" s="79" t="s">
        <v>507</v>
      </c>
      <c r="AQ84" s="80" t="s">
        <v>802</v>
      </c>
      <c r="AR84" s="83">
        <v>3004241263</v>
      </c>
      <c r="AS84" s="80" t="s">
        <v>803</v>
      </c>
      <c r="AT84" s="80" t="str">
        <f t="shared" si="42"/>
        <v>Usaquén</v>
      </c>
      <c r="AU84" s="79" t="s">
        <v>661</v>
      </c>
      <c r="AV84" s="79"/>
      <c r="AW84" s="79"/>
      <c r="AX84" s="79"/>
      <c r="AY84" s="79"/>
      <c r="AZ84" s="79"/>
      <c r="BA84" s="80" t="str">
        <f t="shared" si="43"/>
        <v>Norte, Ruralidad</v>
      </c>
      <c r="BB84" s="79" t="s">
        <v>662</v>
      </c>
      <c r="BC84" s="79" t="s">
        <v>219</v>
      </c>
      <c r="BD84" s="79"/>
      <c r="BE84" s="79"/>
      <c r="BF84" s="79"/>
      <c r="BG84" s="79"/>
      <c r="BH84" s="80" t="str">
        <f t="shared" si="44"/>
        <v>Usaquén, Toberín, Torca, Cerros Orientales</v>
      </c>
      <c r="BI84" s="79" t="s">
        <v>661</v>
      </c>
      <c r="BJ84" s="79" t="s">
        <v>804</v>
      </c>
      <c r="BK84" s="79" t="s">
        <v>805</v>
      </c>
      <c r="BL84" s="79" t="s">
        <v>361</v>
      </c>
      <c r="BM84" s="79"/>
      <c r="BN84" s="79"/>
      <c r="BO84" s="79"/>
      <c r="BP84" s="79"/>
      <c r="BQ84" s="79"/>
      <c r="BR84" s="79"/>
      <c r="BS84" s="80" t="s">
        <v>288</v>
      </c>
      <c r="BT84" s="80" t="s">
        <v>174</v>
      </c>
      <c r="BU84" s="92" t="s">
        <v>806</v>
      </c>
      <c r="BV84" s="71"/>
      <c r="BW84" s="79" t="s">
        <v>152</v>
      </c>
      <c r="BX84" s="79" t="s">
        <v>179</v>
      </c>
      <c r="BY84" s="71"/>
      <c r="BZ84" s="79">
        <v>15</v>
      </c>
      <c r="CA84" s="79">
        <v>1</v>
      </c>
      <c r="CB84" s="79">
        <f t="shared" si="25"/>
        <v>16</v>
      </c>
      <c r="CC84" s="79" t="str">
        <f t="shared" si="45"/>
        <v>No Aplica</v>
      </c>
      <c r="CD84" s="79" t="s">
        <v>177</v>
      </c>
      <c r="CE84" s="79"/>
      <c r="CF84" s="79"/>
      <c r="CG84" s="83" t="s">
        <v>807</v>
      </c>
      <c r="CH84" s="41"/>
      <c r="CI84" s="79" t="s">
        <v>153</v>
      </c>
      <c r="CJ84" s="71"/>
      <c r="CK84" s="79">
        <f t="shared" si="38"/>
        <v>0</v>
      </c>
      <c r="CL84" s="79"/>
      <c r="CM84" s="79"/>
      <c r="CN84" s="79"/>
      <c r="CO84" s="79"/>
      <c r="CP84" s="79"/>
      <c r="CQ84" s="79"/>
      <c r="CR84" s="83" t="s">
        <v>179</v>
      </c>
      <c r="CS84" s="83" t="s">
        <v>179</v>
      </c>
      <c r="CT84" s="83" t="s">
        <v>179</v>
      </c>
      <c r="CU84" s="83" t="s">
        <v>179</v>
      </c>
      <c r="CV84" s="83" t="s">
        <v>179</v>
      </c>
      <c r="CW84" s="83" t="s">
        <v>179</v>
      </c>
      <c r="CX84" s="79" t="s">
        <v>153</v>
      </c>
      <c r="CY84" s="79">
        <f t="shared" si="39"/>
        <v>0</v>
      </c>
      <c r="CZ84" s="79">
        <v>0</v>
      </c>
      <c r="DA84" s="79">
        <f t="shared" si="40"/>
        <v>0</v>
      </c>
      <c r="DB84" s="84" t="str">
        <f t="shared" si="46"/>
        <v/>
      </c>
      <c r="DC84" s="41"/>
      <c r="DD84" s="79" t="s">
        <v>153</v>
      </c>
      <c r="DE84" s="71"/>
      <c r="DF84" s="85" t="s">
        <v>757</v>
      </c>
      <c r="DG84" s="79">
        <v>79</v>
      </c>
      <c r="DH84" s="86" t="str">
        <f t="shared" si="29"/>
        <v>Completo</v>
      </c>
      <c r="DI84" s="79" t="s">
        <v>181</v>
      </c>
      <c r="DJ84" s="79" t="s">
        <v>182</v>
      </c>
      <c r="DK84" s="79"/>
      <c r="DL84" s="79">
        <v>0</v>
      </c>
      <c r="DM84" s="79">
        <v>0</v>
      </c>
      <c r="DN84" s="79" t="s">
        <v>182</v>
      </c>
      <c r="DO84" s="79"/>
      <c r="DP84" s="79"/>
      <c r="DQ84" s="79"/>
      <c r="DR84" s="75" t="str">
        <f t="shared" si="47"/>
        <v>No aplica</v>
      </c>
      <c r="DS84" s="79"/>
      <c r="DT84" s="79"/>
      <c r="DU84" s="75" t="str">
        <f t="shared" si="48"/>
        <v>No aplica</v>
      </c>
      <c r="DV84" s="79" t="s">
        <v>182</v>
      </c>
      <c r="DW84" s="79" t="s">
        <v>182</v>
      </c>
      <c r="DX84" s="79"/>
      <c r="DY84" s="79"/>
      <c r="DZ84" s="79"/>
      <c r="EA84" s="79"/>
      <c r="EB84" s="79"/>
      <c r="EC84" s="79"/>
      <c r="ED84" s="79" t="s">
        <v>249</v>
      </c>
      <c r="EE84" s="79" t="str">
        <f t="shared" si="37"/>
        <v>Completo</v>
      </c>
      <c r="EF84" s="41"/>
      <c r="EG84" s="79" t="s">
        <v>153</v>
      </c>
      <c r="EH84" s="71"/>
      <c r="EI84" s="80"/>
      <c r="EJ84" s="71"/>
      <c r="EK84" s="79" t="s">
        <v>179</v>
      </c>
      <c r="EL84" s="76" t="str">
        <f t="shared" si="49"/>
        <v>No requiere</v>
      </c>
      <c r="EM84" s="76" t="str">
        <f t="shared" si="50"/>
        <v>No requiere</v>
      </c>
      <c r="EN84" s="76" t="str">
        <f t="shared" si="56"/>
        <v>No requiere</v>
      </c>
      <c r="EO84" s="71"/>
      <c r="EP84" s="73" t="str">
        <f t="shared" si="51"/>
        <v>No requiere</v>
      </c>
      <c r="EQ84" s="77" t="str">
        <f t="shared" si="52"/>
        <v>No requiere</v>
      </c>
      <c r="ER84" s="71"/>
      <c r="ES84" s="79" t="s">
        <v>179</v>
      </c>
      <c r="ET84" s="73" t="str">
        <f t="shared" si="53"/>
        <v>No requiere</v>
      </c>
      <c r="EU84" s="73" t="str">
        <f t="shared" si="57"/>
        <v>No requiere</v>
      </c>
      <c r="EV84" s="73" t="str">
        <f t="shared" si="54"/>
        <v>No requiere</v>
      </c>
      <c r="EW84" s="73" t="str">
        <f t="shared" si="55"/>
        <v>No requiere</v>
      </c>
      <c r="EX84" s="78"/>
      <c r="EY84" s="78"/>
    </row>
    <row r="85" spans="1:155" ht="46.5" customHeight="1">
      <c r="A85" s="79">
        <v>81</v>
      </c>
      <c r="B85" s="80" t="s">
        <v>808</v>
      </c>
      <c r="C85" s="81">
        <v>45358</v>
      </c>
      <c r="D85" s="82">
        <v>0.60416666666666663</v>
      </c>
      <c r="E85" s="79" t="s">
        <v>151</v>
      </c>
      <c r="F85" s="79" t="s">
        <v>153</v>
      </c>
      <c r="G85" s="79" t="s">
        <v>152</v>
      </c>
      <c r="H85" s="79" t="s">
        <v>152</v>
      </c>
      <c r="I85" s="79" t="s">
        <v>152</v>
      </c>
      <c r="J85" s="79" t="s">
        <v>154</v>
      </c>
      <c r="K85" s="79" t="s">
        <v>155</v>
      </c>
      <c r="L85" s="80" t="s">
        <v>809</v>
      </c>
      <c r="M85" s="80" t="s">
        <v>229</v>
      </c>
      <c r="N85" s="79" t="s">
        <v>195</v>
      </c>
      <c r="O85" s="80" t="str">
        <f t="shared" si="41"/>
        <v/>
      </c>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t="s">
        <v>578</v>
      </c>
      <c r="AP85" s="79" t="s">
        <v>810</v>
      </c>
      <c r="AQ85" s="80" t="s">
        <v>811</v>
      </c>
      <c r="AR85" s="83">
        <v>3106975438</v>
      </c>
      <c r="AS85" s="80" t="s">
        <v>812</v>
      </c>
      <c r="AT85" s="80" t="str">
        <f t="shared" si="42"/>
        <v>Distrital</v>
      </c>
      <c r="AU85" s="79" t="s">
        <v>172</v>
      </c>
      <c r="AV85" s="79"/>
      <c r="AW85" s="79"/>
      <c r="AX85" s="79"/>
      <c r="AY85" s="79"/>
      <c r="AZ85" s="79"/>
      <c r="BA85" s="80" t="str">
        <f t="shared" si="43"/>
        <v>Distrital</v>
      </c>
      <c r="BB85" s="79" t="s">
        <v>172</v>
      </c>
      <c r="BC85" s="79"/>
      <c r="BD85" s="79"/>
      <c r="BE85" s="79"/>
      <c r="BF85" s="79"/>
      <c r="BG85" s="79"/>
      <c r="BH85" s="80" t="str">
        <f t="shared" si="44"/>
        <v>Distrital</v>
      </c>
      <c r="BI85" s="79" t="s">
        <v>172</v>
      </c>
      <c r="BJ85" s="79"/>
      <c r="BK85" s="79"/>
      <c r="BL85" s="79"/>
      <c r="BM85" s="79"/>
      <c r="BN85" s="79"/>
      <c r="BO85" s="79"/>
      <c r="BP85" s="79"/>
      <c r="BQ85" s="79"/>
      <c r="BR85" s="79"/>
      <c r="BS85" s="80" t="s">
        <v>288</v>
      </c>
      <c r="BT85" s="80" t="s">
        <v>174</v>
      </c>
      <c r="BU85" s="80" t="s">
        <v>813</v>
      </c>
      <c r="BV85" s="71"/>
      <c r="BW85" s="79" t="s">
        <v>153</v>
      </c>
      <c r="BX85" s="79" t="s">
        <v>607</v>
      </c>
      <c r="BY85" s="71"/>
      <c r="BZ85" s="79">
        <v>3</v>
      </c>
      <c r="CA85" s="79">
        <v>2</v>
      </c>
      <c r="CB85" s="79">
        <f t="shared" si="25"/>
        <v>5</v>
      </c>
      <c r="CC85" s="79" t="str">
        <f t="shared" si="45"/>
        <v>No Aplica</v>
      </c>
      <c r="CD85" s="79" t="s">
        <v>177</v>
      </c>
      <c r="CE85" s="79"/>
      <c r="CF85" s="79"/>
      <c r="CG85" s="83" t="s">
        <v>814</v>
      </c>
      <c r="CH85" s="41"/>
      <c r="CI85" s="79" t="s">
        <v>153</v>
      </c>
      <c r="CJ85" s="71"/>
      <c r="CK85" s="79">
        <f t="shared" si="38"/>
        <v>1</v>
      </c>
      <c r="CL85" s="93" t="s">
        <v>815</v>
      </c>
      <c r="CM85" s="79"/>
      <c r="CN85" s="79"/>
      <c r="CO85" s="79"/>
      <c r="CP85" s="79"/>
      <c r="CQ85" s="79"/>
      <c r="CR85" s="83" t="s">
        <v>390</v>
      </c>
      <c r="CS85" s="83" t="s">
        <v>179</v>
      </c>
      <c r="CT85" s="83" t="s">
        <v>179</v>
      </c>
      <c r="CU85" s="83" t="s">
        <v>179</v>
      </c>
      <c r="CV85" s="83" t="s">
        <v>179</v>
      </c>
      <c r="CW85" s="83" t="s">
        <v>179</v>
      </c>
      <c r="CX85" s="79" t="s">
        <v>153</v>
      </c>
      <c r="CY85" s="79">
        <f t="shared" si="39"/>
        <v>1</v>
      </c>
      <c r="CZ85" s="79">
        <v>1</v>
      </c>
      <c r="DA85" s="79">
        <f t="shared" si="40"/>
        <v>1</v>
      </c>
      <c r="DB85" s="84">
        <f t="shared" si="46"/>
        <v>1</v>
      </c>
      <c r="DC85" s="41"/>
      <c r="DD85" s="79" t="s">
        <v>153</v>
      </c>
      <c r="DE85" s="71"/>
      <c r="DF85" s="85" t="s">
        <v>816</v>
      </c>
      <c r="DG85" s="79">
        <v>80</v>
      </c>
      <c r="DH85" s="86" t="str">
        <f t="shared" si="29"/>
        <v>Completo</v>
      </c>
      <c r="DI85" s="79" t="s">
        <v>181</v>
      </c>
      <c r="DJ85" s="79" t="s">
        <v>182</v>
      </c>
      <c r="DK85" s="79"/>
      <c r="DL85" s="79">
        <v>0</v>
      </c>
      <c r="DM85" s="79">
        <v>0</v>
      </c>
      <c r="DN85" s="79" t="s">
        <v>182</v>
      </c>
      <c r="DO85" s="79"/>
      <c r="DP85" s="79"/>
      <c r="DQ85" s="79"/>
      <c r="DR85" s="75" t="str">
        <f t="shared" si="47"/>
        <v>No aplica</v>
      </c>
      <c r="DS85" s="79"/>
      <c r="DT85" s="79"/>
      <c r="DU85" s="75" t="str">
        <f t="shared" si="48"/>
        <v>No aplica</v>
      </c>
      <c r="DV85" s="79" t="s">
        <v>182</v>
      </c>
      <c r="DW85" s="79" t="s">
        <v>182</v>
      </c>
      <c r="DX85" s="79"/>
      <c r="DY85" s="79"/>
      <c r="DZ85" s="79"/>
      <c r="EA85" s="79"/>
      <c r="EB85" s="79"/>
      <c r="EC85" s="79"/>
      <c r="ED85" s="79" t="s">
        <v>184</v>
      </c>
      <c r="EE85" s="79" t="str">
        <f t="shared" si="37"/>
        <v>Completo</v>
      </c>
      <c r="EF85" s="41"/>
      <c r="EG85" s="79" t="s">
        <v>153</v>
      </c>
      <c r="EH85" s="71"/>
      <c r="EI85" s="80"/>
      <c r="EJ85" s="71"/>
      <c r="EK85" s="79" t="s">
        <v>179</v>
      </c>
      <c r="EL85" s="76" t="str">
        <f t="shared" si="49"/>
        <v>No requiere</v>
      </c>
      <c r="EM85" s="76" t="str">
        <f t="shared" si="50"/>
        <v>No requiere</v>
      </c>
      <c r="EN85" s="76" t="str">
        <f t="shared" si="56"/>
        <v>No requiere</v>
      </c>
      <c r="EO85" s="71"/>
      <c r="EP85" s="73" t="str">
        <f t="shared" si="51"/>
        <v>No requiere</v>
      </c>
      <c r="EQ85" s="77" t="str">
        <f t="shared" si="52"/>
        <v>No requiere</v>
      </c>
      <c r="ER85" s="71"/>
      <c r="ES85" s="79" t="s">
        <v>179</v>
      </c>
      <c r="ET85" s="73" t="str">
        <f t="shared" si="53"/>
        <v>No requiere</v>
      </c>
      <c r="EU85" s="73" t="str">
        <f t="shared" si="57"/>
        <v>No requiere</v>
      </c>
      <c r="EV85" s="73" t="str">
        <f t="shared" si="54"/>
        <v>No requiere</v>
      </c>
      <c r="EW85" s="73" t="str">
        <f t="shared" si="55"/>
        <v>No requiere</v>
      </c>
      <c r="EX85" s="78"/>
      <c r="EY85" s="78"/>
    </row>
    <row r="86" spans="1:155" ht="46.5" customHeight="1">
      <c r="A86" s="79">
        <v>82</v>
      </c>
      <c r="B86" s="80" t="s">
        <v>817</v>
      </c>
      <c r="C86" s="81">
        <v>45358</v>
      </c>
      <c r="D86" s="82">
        <v>0.64583333333333337</v>
      </c>
      <c r="E86" s="79" t="s">
        <v>151</v>
      </c>
      <c r="F86" s="79" t="s">
        <v>153</v>
      </c>
      <c r="G86" s="79" t="s">
        <v>153</v>
      </c>
      <c r="H86" s="79" t="s">
        <v>153</v>
      </c>
      <c r="I86" s="79" t="s">
        <v>152</v>
      </c>
      <c r="J86" s="79" t="s">
        <v>154</v>
      </c>
      <c r="K86" s="79" t="s">
        <v>155</v>
      </c>
      <c r="L86" s="80" t="s">
        <v>600</v>
      </c>
      <c r="M86" s="80" t="s">
        <v>303</v>
      </c>
      <c r="N86" s="79" t="s">
        <v>632</v>
      </c>
      <c r="O86" s="80" t="str">
        <f t="shared" si="41"/>
        <v>Sarah Lucia Triviño, Juan Pablo Serna, Michael Cruz Roa, Rosemberg Prisco Vasquez, James Fernando Núñez, Nixon Sandoval Mateus, Carlos Eduardo Escandón, Luz Maritza Acero, Luis Fernando Barreto , Laura Sofia Morales, Julio César Martínez, Yohan David Díaz, Manuel Fernando Vergara, Nicolas Esteban Hernández, Ana María Gualy</v>
      </c>
      <c r="P86" s="79" t="s">
        <v>499</v>
      </c>
      <c r="Q86" s="79" t="s">
        <v>818</v>
      </c>
      <c r="R86" s="79" t="s">
        <v>265</v>
      </c>
      <c r="S86" s="79" t="s">
        <v>162</v>
      </c>
      <c r="T86" s="79" t="s">
        <v>632</v>
      </c>
      <c r="U86" s="79" t="s">
        <v>644</v>
      </c>
      <c r="V86" s="79" t="s">
        <v>819</v>
      </c>
      <c r="W86" s="79" t="s">
        <v>167</v>
      </c>
      <c r="X86" s="79" t="s">
        <v>720</v>
      </c>
      <c r="Y86" s="79" t="s">
        <v>506</v>
      </c>
      <c r="Z86" s="79" t="s">
        <v>601</v>
      </c>
      <c r="AA86" s="79" t="s">
        <v>164</v>
      </c>
      <c r="AB86" s="79" t="s">
        <v>820</v>
      </c>
      <c r="AC86" s="79" t="s">
        <v>645</v>
      </c>
      <c r="AD86" s="79" t="s">
        <v>821</v>
      </c>
      <c r="AE86" s="79"/>
      <c r="AF86" s="79"/>
      <c r="AG86" s="79"/>
      <c r="AH86" s="79"/>
      <c r="AI86" s="79"/>
      <c r="AJ86" s="79"/>
      <c r="AK86" s="79"/>
      <c r="AL86" s="79"/>
      <c r="AM86" s="79"/>
      <c r="AN86" s="79"/>
      <c r="AO86" s="79" t="s">
        <v>304</v>
      </c>
      <c r="AP86" s="79"/>
      <c r="AQ86" s="80" t="s">
        <v>171</v>
      </c>
      <c r="AR86" s="80" t="s">
        <v>171</v>
      </c>
      <c r="AS86" s="80" t="s">
        <v>171</v>
      </c>
      <c r="AT86" s="80" t="str">
        <f t="shared" si="42"/>
        <v>Santa Fe, Los Mártires, La Candelaria, Chapinero</v>
      </c>
      <c r="AU86" s="79" t="s">
        <v>822</v>
      </c>
      <c r="AV86" s="79" t="s">
        <v>823</v>
      </c>
      <c r="AW86" s="79" t="s">
        <v>753</v>
      </c>
      <c r="AX86" s="79" t="s">
        <v>360</v>
      </c>
      <c r="AY86" s="79"/>
      <c r="AZ86" s="79"/>
      <c r="BA86" s="80" t="str">
        <f t="shared" si="43"/>
        <v>Centro Ampliado</v>
      </c>
      <c r="BB86" s="79" t="s">
        <v>636</v>
      </c>
      <c r="BC86" s="79"/>
      <c r="BD86" s="79"/>
      <c r="BE86" s="79"/>
      <c r="BF86" s="79"/>
      <c r="BG86" s="79"/>
      <c r="BH86" s="80" t="str">
        <f t="shared" si="44"/>
        <v>Centro Histórico</v>
      </c>
      <c r="BI86" s="79" t="s">
        <v>754</v>
      </c>
      <c r="BJ86" s="79"/>
      <c r="BK86" s="79"/>
      <c r="BL86" s="79"/>
      <c r="BM86" s="79"/>
      <c r="BN86" s="79"/>
      <c r="BO86" s="79"/>
      <c r="BP86" s="79"/>
      <c r="BQ86" s="79"/>
      <c r="BR86" s="79"/>
      <c r="BS86" s="80" t="s">
        <v>288</v>
      </c>
      <c r="BT86" s="80" t="s">
        <v>605</v>
      </c>
      <c r="BU86" s="80" t="s">
        <v>824</v>
      </c>
      <c r="BV86" s="71"/>
      <c r="BW86" s="79" t="s">
        <v>153</v>
      </c>
      <c r="BX86" s="79" t="s">
        <v>607</v>
      </c>
      <c r="BY86" s="71"/>
      <c r="BZ86" s="79">
        <v>55</v>
      </c>
      <c r="CA86" s="79">
        <v>25</v>
      </c>
      <c r="CB86" s="79">
        <f t="shared" si="25"/>
        <v>80</v>
      </c>
      <c r="CC86" s="79" t="str">
        <f t="shared" si="45"/>
        <v>Lenguaje de señas</v>
      </c>
      <c r="CD86" s="79" t="s">
        <v>349</v>
      </c>
      <c r="CE86" s="79"/>
      <c r="CF86" s="79"/>
      <c r="CG86" s="83" t="s">
        <v>664</v>
      </c>
      <c r="CH86" s="41"/>
      <c r="CI86" s="79" t="s">
        <v>153</v>
      </c>
      <c r="CJ86" s="71"/>
      <c r="CK86" s="79">
        <f t="shared" si="38"/>
        <v>1</v>
      </c>
      <c r="CL86" s="93" t="s">
        <v>389</v>
      </c>
      <c r="CM86" s="79"/>
      <c r="CN86" s="79"/>
      <c r="CO86" s="79"/>
      <c r="CP86" s="79"/>
      <c r="CQ86" s="79"/>
      <c r="CR86" s="83" t="s">
        <v>390</v>
      </c>
      <c r="CS86" s="83" t="s">
        <v>179</v>
      </c>
      <c r="CT86" s="83" t="s">
        <v>179</v>
      </c>
      <c r="CU86" s="83" t="s">
        <v>179</v>
      </c>
      <c r="CV86" s="83" t="s">
        <v>179</v>
      </c>
      <c r="CW86" s="83" t="s">
        <v>179</v>
      </c>
      <c r="CX86" s="79" t="s">
        <v>153</v>
      </c>
      <c r="CY86" s="79">
        <f t="shared" si="39"/>
        <v>1</v>
      </c>
      <c r="CZ86" s="79">
        <v>1</v>
      </c>
      <c r="DA86" s="79">
        <f t="shared" si="40"/>
        <v>1</v>
      </c>
      <c r="DB86" s="84">
        <f t="shared" si="46"/>
        <v>1</v>
      </c>
      <c r="DC86" s="41"/>
      <c r="DD86" s="79" t="s">
        <v>153</v>
      </c>
      <c r="DE86" s="71"/>
      <c r="DF86" s="85" t="s">
        <v>825</v>
      </c>
      <c r="DG86" s="79">
        <v>81</v>
      </c>
      <c r="DH86" s="86" t="str">
        <f t="shared" ref="DH86:DH149" si="58">IF(EE86="Por completar",C86+3,"Completo")</f>
        <v>Completo</v>
      </c>
      <c r="DI86" s="79" t="s">
        <v>181</v>
      </c>
      <c r="DJ86" s="79" t="s">
        <v>182</v>
      </c>
      <c r="DK86" s="79" t="s">
        <v>153</v>
      </c>
      <c r="DL86" s="79">
        <v>0</v>
      </c>
      <c r="DM86" s="79">
        <v>0</v>
      </c>
      <c r="DN86" s="79" t="s">
        <v>182</v>
      </c>
      <c r="DO86" s="79">
        <v>600</v>
      </c>
      <c r="DP86" s="79" t="s">
        <v>182</v>
      </c>
      <c r="DQ86" s="79">
        <v>21</v>
      </c>
      <c r="DR86" s="75">
        <f t="shared" si="47"/>
        <v>1.2727272727272727</v>
      </c>
      <c r="DS86" s="79" t="s">
        <v>182</v>
      </c>
      <c r="DT86" s="79">
        <v>23</v>
      </c>
      <c r="DU86" s="75">
        <f t="shared" si="48"/>
        <v>1.1948051948051948</v>
      </c>
      <c r="DV86" s="79" t="s">
        <v>182</v>
      </c>
      <c r="DW86" s="79" t="s">
        <v>182</v>
      </c>
      <c r="DX86" s="79">
        <v>4</v>
      </c>
      <c r="DY86" s="79">
        <v>0</v>
      </c>
      <c r="DZ86" s="79"/>
      <c r="EA86" s="79">
        <v>5364</v>
      </c>
      <c r="EB86" s="79" t="s">
        <v>182</v>
      </c>
      <c r="EC86" s="79" t="s">
        <v>826</v>
      </c>
      <c r="ED86" s="79" t="s">
        <v>249</v>
      </c>
      <c r="EE86" s="79" t="str">
        <f t="shared" si="37"/>
        <v>Completo</v>
      </c>
      <c r="EF86" s="41"/>
      <c r="EG86" s="79" t="s">
        <v>153</v>
      </c>
      <c r="EH86" s="71"/>
      <c r="EI86" s="90" t="s">
        <v>827</v>
      </c>
      <c r="EJ86" s="71"/>
      <c r="EK86" s="79" t="s">
        <v>393</v>
      </c>
      <c r="EL86" s="76" t="str">
        <f t="shared" si="49"/>
        <v>Sí</v>
      </c>
      <c r="EM86" s="76" t="str">
        <f t="shared" si="50"/>
        <v>No</v>
      </c>
      <c r="EN86" s="76" t="str">
        <f t="shared" si="56"/>
        <v>Sí</v>
      </c>
      <c r="EO86" s="71"/>
      <c r="EP86" s="73" t="str">
        <f t="shared" si="51"/>
        <v>No aplica</v>
      </c>
      <c r="EQ86" s="77">
        <f t="shared" si="52"/>
        <v>1.1948051948051948</v>
      </c>
      <c r="ER86" s="71"/>
      <c r="ES86" s="79" t="s">
        <v>393</v>
      </c>
      <c r="ET86" s="73">
        <f t="shared" si="53"/>
        <v>1</v>
      </c>
      <c r="EU86" s="73">
        <f t="shared" si="57"/>
        <v>1</v>
      </c>
      <c r="EV86" s="73">
        <f t="shared" si="54"/>
        <v>1</v>
      </c>
      <c r="EW86" s="73">
        <f t="shared" si="55"/>
        <v>0.11185682326621924</v>
      </c>
      <c r="EX86" s="78"/>
      <c r="EY86" s="78"/>
    </row>
    <row r="87" spans="1:155" ht="46.5" customHeight="1">
      <c r="A87" s="79" t="str">
        <v/>
      </c>
      <c r="B87" s="80" t="s">
        <v>828</v>
      </c>
      <c r="C87" s="81">
        <v>45358</v>
      </c>
      <c r="D87" s="82">
        <v>0.66666666666666663</v>
      </c>
      <c r="E87" s="79" t="s">
        <v>151</v>
      </c>
      <c r="F87" s="79" t="s">
        <v>152</v>
      </c>
      <c r="G87" s="79" t="s">
        <v>153</v>
      </c>
      <c r="H87" s="79" t="s">
        <v>152</v>
      </c>
      <c r="I87" s="79" t="s">
        <v>152</v>
      </c>
      <c r="J87" s="79" t="s">
        <v>154</v>
      </c>
      <c r="K87" s="79" t="s">
        <v>155</v>
      </c>
      <c r="L87" s="80" t="s">
        <v>829</v>
      </c>
      <c r="M87" s="80" t="s">
        <v>157</v>
      </c>
      <c r="N87" s="79" t="s">
        <v>163</v>
      </c>
      <c r="O87" s="80" t="str">
        <f t="shared" si="41"/>
        <v/>
      </c>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t="s">
        <v>169</v>
      </c>
      <c r="AP87" s="79" t="s">
        <v>170</v>
      </c>
      <c r="AQ87" s="80" t="s">
        <v>830</v>
      </c>
      <c r="AR87" s="83">
        <v>3204288455</v>
      </c>
      <c r="AS87" s="80" t="s">
        <v>831</v>
      </c>
      <c r="AT87" s="80" t="str">
        <f t="shared" si="42"/>
        <v>Distrital</v>
      </c>
      <c r="AU87" s="79" t="s">
        <v>172</v>
      </c>
      <c r="AV87" s="79"/>
      <c r="AW87" s="79"/>
      <c r="AX87" s="79"/>
      <c r="AY87" s="79"/>
      <c r="AZ87" s="79"/>
      <c r="BA87" s="80" t="str">
        <f t="shared" si="43"/>
        <v>Distrital</v>
      </c>
      <c r="BB87" s="79" t="s">
        <v>172</v>
      </c>
      <c r="BC87" s="79"/>
      <c r="BD87" s="79"/>
      <c r="BE87" s="79"/>
      <c r="BF87" s="79"/>
      <c r="BG87" s="79"/>
      <c r="BH87" s="80" t="str">
        <f t="shared" si="44"/>
        <v>Distrital</v>
      </c>
      <c r="BI87" s="79" t="s">
        <v>172</v>
      </c>
      <c r="BJ87" s="79"/>
      <c r="BK87" s="79"/>
      <c r="BL87" s="79"/>
      <c r="BM87" s="79"/>
      <c r="BN87" s="79"/>
      <c r="BO87" s="79"/>
      <c r="BP87" s="79"/>
      <c r="BQ87" s="79"/>
      <c r="BR87" s="79"/>
      <c r="BS87" s="80" t="s">
        <v>288</v>
      </c>
      <c r="BT87" s="80" t="s">
        <v>174</v>
      </c>
      <c r="BU87" s="80" t="s">
        <v>832</v>
      </c>
      <c r="BV87" s="71"/>
      <c r="BW87" s="79" t="s">
        <v>153</v>
      </c>
      <c r="BX87" s="79" t="s">
        <v>176</v>
      </c>
      <c r="BY87" s="71"/>
      <c r="BZ87" s="79">
        <v>8</v>
      </c>
      <c r="CA87" s="79">
        <v>3</v>
      </c>
      <c r="CB87" s="79">
        <f t="shared" si="25"/>
        <v>11</v>
      </c>
      <c r="CC87" s="79" t="str">
        <f t="shared" si="45"/>
        <v>No Aplica</v>
      </c>
      <c r="CD87" s="79" t="s">
        <v>177</v>
      </c>
      <c r="CE87" s="79"/>
      <c r="CF87" s="79"/>
      <c r="CG87" s="83" t="s">
        <v>833</v>
      </c>
      <c r="CH87" s="41"/>
      <c r="CI87" s="79" t="s">
        <v>153</v>
      </c>
      <c r="CJ87" s="71"/>
      <c r="CK87" s="79">
        <f t="shared" si="38"/>
        <v>0</v>
      </c>
      <c r="CL87" s="93"/>
      <c r="CM87" s="79"/>
      <c r="CN87" s="79"/>
      <c r="CO87" s="79"/>
      <c r="CP87" s="79"/>
      <c r="CQ87" s="79"/>
      <c r="CR87" s="83" t="s">
        <v>179</v>
      </c>
      <c r="CS87" s="83" t="s">
        <v>179</v>
      </c>
      <c r="CT87" s="83" t="s">
        <v>179</v>
      </c>
      <c r="CU87" s="83" t="s">
        <v>179</v>
      </c>
      <c r="CV87" s="83" t="s">
        <v>179</v>
      </c>
      <c r="CW87" s="83" t="s">
        <v>179</v>
      </c>
      <c r="CX87" s="79" t="s">
        <v>153</v>
      </c>
      <c r="CY87" s="79">
        <f t="shared" si="39"/>
        <v>0</v>
      </c>
      <c r="CZ87" s="79">
        <v>0</v>
      </c>
      <c r="DA87" s="79">
        <f t="shared" si="40"/>
        <v>0</v>
      </c>
      <c r="DB87" s="84" t="str">
        <f t="shared" si="46"/>
        <v/>
      </c>
      <c r="DC87" s="41"/>
      <c r="DD87" s="79" t="s">
        <v>153</v>
      </c>
      <c r="DE87" s="71"/>
      <c r="DF87" s="85" t="s">
        <v>834</v>
      </c>
      <c r="DG87" s="79">
        <v>82</v>
      </c>
      <c r="DH87" s="86" t="str">
        <f t="shared" si="58"/>
        <v>Completo</v>
      </c>
      <c r="DI87" s="79" t="s">
        <v>181</v>
      </c>
      <c r="DJ87" s="79" t="s">
        <v>182</v>
      </c>
      <c r="DK87" s="79"/>
      <c r="DL87" s="79">
        <v>0</v>
      </c>
      <c r="DM87" s="79">
        <v>0</v>
      </c>
      <c r="DN87" s="79" t="s">
        <v>182</v>
      </c>
      <c r="DO87" s="79"/>
      <c r="DP87" s="79"/>
      <c r="DQ87" s="79"/>
      <c r="DR87" s="75" t="str">
        <f t="shared" si="47"/>
        <v>No aplica</v>
      </c>
      <c r="DS87" s="79"/>
      <c r="DT87" s="79"/>
      <c r="DU87" s="75" t="str">
        <f t="shared" si="48"/>
        <v>No aplica</v>
      </c>
      <c r="DV87" s="79"/>
      <c r="DW87" s="79"/>
      <c r="DX87" s="79"/>
      <c r="DY87" s="79"/>
      <c r="DZ87" s="79"/>
      <c r="EA87" s="79"/>
      <c r="EB87" s="79" t="s">
        <v>182</v>
      </c>
      <c r="EC87" s="79" t="s">
        <v>835</v>
      </c>
      <c r="ED87" s="79" t="s">
        <v>836</v>
      </c>
      <c r="EE87" s="79" t="str">
        <f t="shared" si="37"/>
        <v>Completo</v>
      </c>
      <c r="EF87" s="41"/>
      <c r="EG87" s="79" t="s">
        <v>153</v>
      </c>
      <c r="EH87" s="71"/>
      <c r="EI87" s="80"/>
      <c r="EJ87" s="71"/>
      <c r="EK87" s="79" t="s">
        <v>179</v>
      </c>
      <c r="EL87" s="76" t="str">
        <f t="shared" si="49"/>
        <v>No requiere</v>
      </c>
      <c r="EM87" s="76" t="str">
        <f t="shared" si="50"/>
        <v>No requiere</v>
      </c>
      <c r="EN87" s="76" t="str">
        <f t="shared" si="56"/>
        <v>No requiere</v>
      </c>
      <c r="EO87" s="71"/>
      <c r="EP87" s="73" t="str">
        <f t="shared" si="51"/>
        <v>No requiere</v>
      </c>
      <c r="EQ87" s="77" t="str">
        <f t="shared" si="52"/>
        <v>No requiere</v>
      </c>
      <c r="ER87" s="71"/>
      <c r="ES87" s="79" t="s">
        <v>179</v>
      </c>
      <c r="ET87" s="73" t="str">
        <f t="shared" si="53"/>
        <v>No requiere</v>
      </c>
      <c r="EU87" s="73" t="str">
        <f t="shared" si="57"/>
        <v>No requiere</v>
      </c>
      <c r="EV87" s="73" t="str">
        <f t="shared" si="54"/>
        <v>No requiere</v>
      </c>
      <c r="EW87" s="73" t="str">
        <f t="shared" si="55"/>
        <v>No requiere</v>
      </c>
      <c r="EX87" s="78"/>
      <c r="EY87" s="78"/>
    </row>
    <row r="88" spans="1:155" ht="46.5" customHeight="1">
      <c r="A88" s="79">
        <v>84</v>
      </c>
      <c r="B88" s="80" t="s">
        <v>837</v>
      </c>
      <c r="C88" s="81">
        <v>45358</v>
      </c>
      <c r="D88" s="82">
        <v>0.70833333333333337</v>
      </c>
      <c r="E88" s="79" t="s">
        <v>200</v>
      </c>
      <c r="F88" s="79" t="s">
        <v>153</v>
      </c>
      <c r="G88" s="79" t="s">
        <v>152</v>
      </c>
      <c r="H88" s="79" t="s">
        <v>152</v>
      </c>
      <c r="I88" s="79" t="s">
        <v>152</v>
      </c>
      <c r="J88" s="79" t="s">
        <v>211</v>
      </c>
      <c r="K88" s="79" t="s">
        <v>202</v>
      </c>
      <c r="L88" s="80" t="s">
        <v>838</v>
      </c>
      <c r="M88" s="80" t="s">
        <v>624</v>
      </c>
      <c r="N88" s="79" t="s">
        <v>253</v>
      </c>
      <c r="O88" s="80" t="str">
        <f t="shared" si="41"/>
        <v/>
      </c>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t="s">
        <v>230</v>
      </c>
      <c r="AP88" s="79" t="s">
        <v>242</v>
      </c>
      <c r="AQ88" s="80" t="s">
        <v>625</v>
      </c>
      <c r="AR88" s="83">
        <v>3188799909</v>
      </c>
      <c r="AS88" s="80" t="s">
        <v>839</v>
      </c>
      <c r="AT88" s="80" t="str">
        <f t="shared" si="42"/>
        <v>Distrital</v>
      </c>
      <c r="AU88" s="79" t="s">
        <v>172</v>
      </c>
      <c r="AV88" s="79"/>
      <c r="AW88" s="79"/>
      <c r="AX88" s="79"/>
      <c r="AY88" s="79"/>
      <c r="AZ88" s="79"/>
      <c r="BA88" s="80" t="str">
        <f t="shared" si="43"/>
        <v>Distrital</v>
      </c>
      <c r="BB88" s="79" t="s">
        <v>172</v>
      </c>
      <c r="BC88" s="79"/>
      <c r="BD88" s="79"/>
      <c r="BE88" s="79"/>
      <c r="BF88" s="79"/>
      <c r="BG88" s="79"/>
      <c r="BH88" s="80" t="str">
        <f t="shared" si="44"/>
        <v>Distrital</v>
      </c>
      <c r="BI88" s="79" t="s">
        <v>172</v>
      </c>
      <c r="BJ88" s="79"/>
      <c r="BK88" s="79"/>
      <c r="BL88" s="79"/>
      <c r="BM88" s="79"/>
      <c r="BN88" s="79"/>
      <c r="BO88" s="79"/>
      <c r="BP88" s="79"/>
      <c r="BQ88" s="79"/>
      <c r="BR88" s="79"/>
      <c r="BS88" s="80" t="s">
        <v>288</v>
      </c>
      <c r="BT88" s="80" t="s">
        <v>174</v>
      </c>
      <c r="BU88" s="89" t="s">
        <v>840</v>
      </c>
      <c r="BV88" s="71"/>
      <c r="BW88" s="79" t="s">
        <v>152</v>
      </c>
      <c r="BX88" s="79" t="s">
        <v>179</v>
      </c>
      <c r="BY88" s="71"/>
      <c r="BZ88" s="79">
        <v>96</v>
      </c>
      <c r="CA88" s="79">
        <v>8</v>
      </c>
      <c r="CB88" s="79">
        <f t="shared" si="25"/>
        <v>104</v>
      </c>
      <c r="CC88" s="79" t="str">
        <f t="shared" si="45"/>
        <v>No Aplica</v>
      </c>
      <c r="CD88" s="79" t="s">
        <v>177</v>
      </c>
      <c r="CE88" s="79"/>
      <c r="CF88" s="79"/>
      <c r="CG88" s="83" t="s">
        <v>841</v>
      </c>
      <c r="CH88" s="41"/>
      <c r="CI88" s="79" t="s">
        <v>153</v>
      </c>
      <c r="CJ88" s="71"/>
      <c r="CK88" s="79">
        <f t="shared" si="38"/>
        <v>0</v>
      </c>
      <c r="CL88" s="79"/>
      <c r="CM88" s="79"/>
      <c r="CN88" s="79"/>
      <c r="CO88" s="79"/>
      <c r="CP88" s="79"/>
      <c r="CQ88" s="79"/>
      <c r="CR88" s="83" t="s">
        <v>179</v>
      </c>
      <c r="CS88" s="83" t="s">
        <v>179</v>
      </c>
      <c r="CT88" s="83" t="s">
        <v>179</v>
      </c>
      <c r="CU88" s="83" t="s">
        <v>179</v>
      </c>
      <c r="CV88" s="83" t="s">
        <v>179</v>
      </c>
      <c r="CW88" s="83" t="s">
        <v>179</v>
      </c>
      <c r="CX88" s="79" t="s">
        <v>153</v>
      </c>
      <c r="CY88" s="79">
        <f t="shared" si="39"/>
        <v>0</v>
      </c>
      <c r="CZ88" s="79">
        <v>0</v>
      </c>
      <c r="DA88" s="79">
        <f t="shared" si="40"/>
        <v>0</v>
      </c>
      <c r="DB88" s="84" t="str">
        <f t="shared" si="46"/>
        <v/>
      </c>
      <c r="DC88" s="41"/>
      <c r="DD88" s="79" t="s">
        <v>153</v>
      </c>
      <c r="DE88" s="71"/>
      <c r="DF88" s="85" t="s">
        <v>842</v>
      </c>
      <c r="DG88" s="79">
        <v>83</v>
      </c>
      <c r="DH88" s="86" t="str">
        <f t="shared" si="58"/>
        <v>Completo</v>
      </c>
      <c r="DI88" s="79" t="s">
        <v>181</v>
      </c>
      <c r="DJ88" s="79" t="s">
        <v>182</v>
      </c>
      <c r="DK88" s="79"/>
      <c r="DL88" s="79">
        <v>0</v>
      </c>
      <c r="DM88" s="79">
        <v>0</v>
      </c>
      <c r="DN88" s="79" t="s">
        <v>182</v>
      </c>
      <c r="DO88" s="79"/>
      <c r="DP88" s="79"/>
      <c r="DQ88" s="79"/>
      <c r="DR88" s="75" t="str">
        <f t="shared" si="47"/>
        <v>No aplica</v>
      </c>
      <c r="DS88" s="79"/>
      <c r="DT88" s="79"/>
      <c r="DU88" s="75" t="str">
        <f t="shared" si="48"/>
        <v>No aplica</v>
      </c>
      <c r="DV88" s="79" t="s">
        <v>182</v>
      </c>
      <c r="DW88" s="79" t="s">
        <v>182</v>
      </c>
      <c r="DX88" s="79"/>
      <c r="DY88" s="79"/>
      <c r="DZ88" s="79"/>
      <c r="EA88" s="79"/>
      <c r="EB88" s="79" t="s">
        <v>182</v>
      </c>
      <c r="EC88" s="79" t="s">
        <v>629</v>
      </c>
      <c r="ED88" s="79" t="s">
        <v>843</v>
      </c>
      <c r="EE88" s="79" t="str">
        <f t="shared" si="37"/>
        <v>Completo</v>
      </c>
      <c r="EF88" s="41"/>
      <c r="EG88" s="79" t="s">
        <v>152</v>
      </c>
      <c r="EH88" s="71"/>
      <c r="EI88" s="80"/>
      <c r="EJ88" s="71"/>
      <c r="EK88" s="79" t="s">
        <v>179</v>
      </c>
      <c r="EL88" s="76" t="str">
        <f t="shared" si="49"/>
        <v>No requiere</v>
      </c>
      <c r="EM88" s="76" t="str">
        <f t="shared" si="50"/>
        <v>No requiere</v>
      </c>
      <c r="EN88" s="76" t="str">
        <f t="shared" si="56"/>
        <v>No requiere</v>
      </c>
      <c r="EO88" s="71"/>
      <c r="EP88" s="73" t="str">
        <f t="shared" si="51"/>
        <v>No requiere</v>
      </c>
      <c r="EQ88" s="77" t="str">
        <f t="shared" si="52"/>
        <v>No requiere</v>
      </c>
      <c r="ER88" s="71"/>
      <c r="ES88" s="79" t="s">
        <v>179</v>
      </c>
      <c r="ET88" s="73" t="str">
        <f t="shared" si="53"/>
        <v>No requiere</v>
      </c>
      <c r="EU88" s="73" t="str">
        <f t="shared" si="57"/>
        <v>No requiere</v>
      </c>
      <c r="EV88" s="73" t="str">
        <f t="shared" si="54"/>
        <v>No requiere</v>
      </c>
      <c r="EW88" s="73" t="str">
        <f t="shared" si="55"/>
        <v>No requiere</v>
      </c>
      <c r="EX88" s="78"/>
      <c r="EY88" s="78"/>
    </row>
    <row r="89" spans="1:155" ht="46.5" customHeight="1">
      <c r="A89" s="79">
        <v>85</v>
      </c>
      <c r="B89" s="80" t="s">
        <v>844</v>
      </c>
      <c r="C89" s="81">
        <v>45359</v>
      </c>
      <c r="D89" s="82">
        <v>0.625</v>
      </c>
      <c r="E89" s="79" t="s">
        <v>151</v>
      </c>
      <c r="F89" s="79" t="s">
        <v>153</v>
      </c>
      <c r="G89" s="79" t="s">
        <v>153</v>
      </c>
      <c r="H89" s="79" t="s">
        <v>152</v>
      </c>
      <c r="I89" s="79" t="s">
        <v>152</v>
      </c>
      <c r="J89" s="79" t="s">
        <v>154</v>
      </c>
      <c r="K89" s="79" t="s">
        <v>202</v>
      </c>
      <c r="L89" s="80" t="s">
        <v>845</v>
      </c>
      <c r="M89" s="80" t="s">
        <v>303</v>
      </c>
      <c r="N89" s="79" t="s">
        <v>195</v>
      </c>
      <c r="O89" s="80" t="str">
        <f t="shared" si="41"/>
        <v/>
      </c>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t="s">
        <v>578</v>
      </c>
      <c r="AP89" s="79" t="s">
        <v>846</v>
      </c>
      <c r="AQ89" s="80" t="s">
        <v>171</v>
      </c>
      <c r="AR89" s="80" t="s">
        <v>171</v>
      </c>
      <c r="AS89" s="80" t="s">
        <v>847</v>
      </c>
      <c r="AT89" s="80" t="str">
        <f t="shared" si="42"/>
        <v>Distrital</v>
      </c>
      <c r="AU89" s="79" t="s">
        <v>172</v>
      </c>
      <c r="AV89" s="79"/>
      <c r="AW89" s="79"/>
      <c r="AX89" s="79"/>
      <c r="AY89" s="79"/>
      <c r="AZ89" s="79"/>
      <c r="BA89" s="80" t="str">
        <f t="shared" si="43"/>
        <v>Distrital</v>
      </c>
      <c r="BB89" s="79" t="s">
        <v>172</v>
      </c>
      <c r="BC89" s="79"/>
      <c r="BD89" s="79"/>
      <c r="BE89" s="79"/>
      <c r="BF89" s="79"/>
      <c r="BG89" s="79"/>
      <c r="BH89" s="80" t="str">
        <f t="shared" si="44"/>
        <v>Distrital</v>
      </c>
      <c r="BI89" s="79" t="s">
        <v>172</v>
      </c>
      <c r="BJ89" s="79"/>
      <c r="BK89" s="79"/>
      <c r="BL89" s="79"/>
      <c r="BM89" s="79"/>
      <c r="BN89" s="79"/>
      <c r="BO89" s="79"/>
      <c r="BP89" s="79"/>
      <c r="BQ89" s="79"/>
      <c r="BR89" s="79"/>
      <c r="BS89" s="80" t="s">
        <v>288</v>
      </c>
      <c r="BT89" s="80" t="s">
        <v>174</v>
      </c>
      <c r="BU89" s="89" t="s">
        <v>848</v>
      </c>
      <c r="BV89" s="71"/>
      <c r="BW89" s="79" t="s">
        <v>153</v>
      </c>
      <c r="BX89" s="79" t="s">
        <v>607</v>
      </c>
      <c r="BY89" s="71"/>
      <c r="BZ89" s="79">
        <v>1</v>
      </c>
      <c r="CA89" s="79">
        <v>2</v>
      </c>
      <c r="CB89" s="79">
        <f t="shared" si="25"/>
        <v>3</v>
      </c>
      <c r="CC89" s="79" t="str">
        <f t="shared" si="45"/>
        <v>No Aplica</v>
      </c>
      <c r="CD89" s="79" t="s">
        <v>177</v>
      </c>
      <c r="CE89" s="79"/>
      <c r="CF89" s="79"/>
      <c r="CG89" s="83" t="s">
        <v>849</v>
      </c>
      <c r="CH89" s="41"/>
      <c r="CI89" s="79" t="s">
        <v>153</v>
      </c>
      <c r="CJ89" s="71"/>
      <c r="CK89" s="79">
        <f t="shared" si="38"/>
        <v>1</v>
      </c>
      <c r="CL89" s="79" t="s">
        <v>850</v>
      </c>
      <c r="CM89" s="79"/>
      <c r="CN89" s="79"/>
      <c r="CO89" s="79"/>
      <c r="CP89" s="79"/>
      <c r="CQ89" s="79"/>
      <c r="CR89" s="83" t="s">
        <v>390</v>
      </c>
      <c r="CS89" s="83" t="s">
        <v>179</v>
      </c>
      <c r="CT89" s="83" t="s">
        <v>179</v>
      </c>
      <c r="CU89" s="83" t="s">
        <v>179</v>
      </c>
      <c r="CV89" s="83" t="s">
        <v>179</v>
      </c>
      <c r="CW89" s="83" t="s">
        <v>179</v>
      </c>
      <c r="CX89" s="79" t="s">
        <v>153</v>
      </c>
      <c r="CY89" s="79">
        <f t="shared" si="39"/>
        <v>1</v>
      </c>
      <c r="CZ89" s="79">
        <v>1</v>
      </c>
      <c r="DA89" s="79">
        <f t="shared" si="40"/>
        <v>1</v>
      </c>
      <c r="DB89" s="84">
        <f t="shared" si="46"/>
        <v>1</v>
      </c>
      <c r="DC89" s="41"/>
      <c r="DD89" s="79" t="s">
        <v>153</v>
      </c>
      <c r="DE89" s="71"/>
      <c r="DF89" s="85" t="s">
        <v>851</v>
      </c>
      <c r="DG89" s="79">
        <v>84</v>
      </c>
      <c r="DH89" s="86" t="str">
        <f t="shared" si="58"/>
        <v>Completo</v>
      </c>
      <c r="DI89" s="79" t="s">
        <v>181</v>
      </c>
      <c r="DJ89" s="79" t="s">
        <v>182</v>
      </c>
      <c r="DK89" s="79"/>
      <c r="DL89" s="79">
        <v>0</v>
      </c>
      <c r="DM89" s="79">
        <v>0</v>
      </c>
      <c r="DN89" s="79" t="s">
        <v>182</v>
      </c>
      <c r="DO89" s="79"/>
      <c r="DP89" s="79"/>
      <c r="DQ89" s="79"/>
      <c r="DR89" s="75" t="str">
        <f t="shared" si="47"/>
        <v>No aplica</v>
      </c>
      <c r="DS89" s="79"/>
      <c r="DT89" s="79"/>
      <c r="DU89" s="75" t="str">
        <f t="shared" si="48"/>
        <v>No aplica</v>
      </c>
      <c r="DV89" s="79" t="s">
        <v>182</v>
      </c>
      <c r="DW89" s="79" t="s">
        <v>182</v>
      </c>
      <c r="DX89" s="79"/>
      <c r="DY89" s="79"/>
      <c r="DZ89" s="79"/>
      <c r="EA89" s="79"/>
      <c r="EB89" s="79" t="s">
        <v>191</v>
      </c>
      <c r="EC89" s="79"/>
      <c r="ED89" s="79" t="s">
        <v>249</v>
      </c>
      <c r="EE89" s="79" t="str">
        <f t="shared" si="37"/>
        <v>Completo</v>
      </c>
      <c r="EF89" s="41"/>
      <c r="EG89" s="79" t="s">
        <v>153</v>
      </c>
      <c r="EH89" s="71"/>
      <c r="EI89" s="80"/>
      <c r="EJ89" s="71"/>
      <c r="EK89" s="79" t="s">
        <v>179</v>
      </c>
      <c r="EL89" s="76" t="str">
        <f t="shared" si="49"/>
        <v>No requiere</v>
      </c>
      <c r="EM89" s="76" t="str">
        <f t="shared" si="50"/>
        <v>No requiere</v>
      </c>
      <c r="EN89" s="76" t="str">
        <f t="shared" si="56"/>
        <v>No requiere</v>
      </c>
      <c r="EO89" s="71"/>
      <c r="EP89" s="73" t="str">
        <f t="shared" si="51"/>
        <v>No requiere</v>
      </c>
      <c r="EQ89" s="77" t="str">
        <f t="shared" si="52"/>
        <v>No requiere</v>
      </c>
      <c r="ER89" s="71"/>
      <c r="ES89" s="79" t="s">
        <v>179</v>
      </c>
      <c r="ET89" s="73" t="str">
        <f t="shared" si="53"/>
        <v>No requiere</v>
      </c>
      <c r="EU89" s="73" t="str">
        <f t="shared" si="57"/>
        <v>No requiere</v>
      </c>
      <c r="EV89" s="73" t="str">
        <f t="shared" si="54"/>
        <v>No requiere</v>
      </c>
      <c r="EW89" s="73" t="str">
        <f t="shared" si="55"/>
        <v>No requiere</v>
      </c>
      <c r="EX89" s="78"/>
      <c r="EY89" s="78"/>
    </row>
    <row r="90" spans="1:155" ht="46.5" customHeight="1">
      <c r="A90" s="79">
        <v>86</v>
      </c>
      <c r="B90" s="80" t="s">
        <v>852</v>
      </c>
      <c r="C90" s="81">
        <v>45360</v>
      </c>
      <c r="D90" s="82">
        <v>0.45833333333333331</v>
      </c>
      <c r="E90" s="79" t="s">
        <v>853</v>
      </c>
      <c r="F90" s="79" t="s">
        <v>153</v>
      </c>
      <c r="G90" s="79" t="s">
        <v>152</v>
      </c>
      <c r="H90" s="79" t="s">
        <v>152</v>
      </c>
      <c r="I90" s="79" t="s">
        <v>152</v>
      </c>
      <c r="J90" s="79" t="s">
        <v>154</v>
      </c>
      <c r="K90" s="79" t="s">
        <v>155</v>
      </c>
      <c r="L90" s="80" t="s">
        <v>854</v>
      </c>
      <c r="M90" s="80" t="s">
        <v>303</v>
      </c>
      <c r="N90" s="79" t="s">
        <v>524</v>
      </c>
      <c r="O90" s="80" t="str">
        <f t="shared" si="41"/>
        <v>Diana Carolina Aristizábal, Humberto Díaz Acosta, Juan Pablo Serna, Johanna Catherine Gamez, Nicolas Esteban Hernández, Laura Sofia Morales</v>
      </c>
      <c r="P90" s="79" t="s">
        <v>165</v>
      </c>
      <c r="Q90" s="79" t="s">
        <v>253</v>
      </c>
      <c r="R90" s="79" t="s">
        <v>818</v>
      </c>
      <c r="S90" s="79" t="s">
        <v>213</v>
      </c>
      <c r="T90" s="79" t="s">
        <v>645</v>
      </c>
      <c r="U90" s="79" t="s">
        <v>506</v>
      </c>
      <c r="V90" s="79"/>
      <c r="W90" s="79"/>
      <c r="X90" s="79"/>
      <c r="Y90" s="79"/>
      <c r="Z90" s="79"/>
      <c r="AA90" s="79"/>
      <c r="AB90" s="79"/>
      <c r="AC90" s="79"/>
      <c r="AD90" s="79"/>
      <c r="AE90" s="79"/>
      <c r="AF90" s="79"/>
      <c r="AG90" s="79"/>
      <c r="AH90" s="79"/>
      <c r="AI90" s="79"/>
      <c r="AJ90" s="79"/>
      <c r="AK90" s="79"/>
      <c r="AL90" s="79"/>
      <c r="AM90" s="79"/>
      <c r="AN90" s="79"/>
      <c r="AO90" s="79" t="s">
        <v>304</v>
      </c>
      <c r="AP90" s="79"/>
      <c r="AQ90" s="80" t="s">
        <v>855</v>
      </c>
      <c r="AR90" s="83">
        <v>3178255261</v>
      </c>
      <c r="AS90" s="80" t="s">
        <v>856</v>
      </c>
      <c r="AT90" s="80" t="str">
        <f t="shared" si="42"/>
        <v>Distrital</v>
      </c>
      <c r="AU90" s="79" t="s">
        <v>172</v>
      </c>
      <c r="AV90" s="79"/>
      <c r="AW90" s="79"/>
      <c r="AX90" s="79"/>
      <c r="AY90" s="79"/>
      <c r="AZ90" s="79"/>
      <c r="BA90" s="80" t="str">
        <f t="shared" si="43"/>
        <v>Distrital</v>
      </c>
      <c r="BB90" s="79" t="s">
        <v>172</v>
      </c>
      <c r="BC90" s="79"/>
      <c r="BD90" s="79"/>
      <c r="BE90" s="79"/>
      <c r="BF90" s="79"/>
      <c r="BG90" s="79"/>
      <c r="BH90" s="80" t="str">
        <f t="shared" si="44"/>
        <v>Distrital</v>
      </c>
      <c r="BI90" s="79" t="s">
        <v>172</v>
      </c>
      <c r="BJ90" s="79"/>
      <c r="BK90" s="79"/>
      <c r="BL90" s="79"/>
      <c r="BM90" s="79"/>
      <c r="BN90" s="79"/>
      <c r="BO90" s="79"/>
      <c r="BP90" s="79"/>
      <c r="BQ90" s="79"/>
      <c r="BR90" s="79"/>
      <c r="BS90" s="80" t="s">
        <v>288</v>
      </c>
      <c r="BT90" s="80" t="s">
        <v>376</v>
      </c>
      <c r="BU90" s="80" t="s">
        <v>857</v>
      </c>
      <c r="BV90" s="71"/>
      <c r="BW90" s="79" t="s">
        <v>153</v>
      </c>
      <c r="BX90" s="79" t="s">
        <v>607</v>
      </c>
      <c r="BY90" s="71"/>
      <c r="BZ90" s="79">
        <v>79</v>
      </c>
      <c r="CA90" s="79">
        <v>8</v>
      </c>
      <c r="CB90" s="79">
        <f t="shared" si="25"/>
        <v>87</v>
      </c>
      <c r="CC90" s="79" t="str">
        <f t="shared" si="45"/>
        <v>Lenguaje de señas, Horarios Acordes</v>
      </c>
      <c r="CD90" s="79" t="s">
        <v>349</v>
      </c>
      <c r="CE90" s="79" t="s">
        <v>351</v>
      </c>
      <c r="CF90" s="79"/>
      <c r="CG90" s="83" t="s">
        <v>858</v>
      </c>
      <c r="CH90" s="41"/>
      <c r="CI90" s="79" t="s">
        <v>153</v>
      </c>
      <c r="CJ90" s="71"/>
      <c r="CK90" s="79">
        <f t="shared" si="38"/>
        <v>0</v>
      </c>
      <c r="CL90" s="79"/>
      <c r="CM90" s="79"/>
      <c r="CN90" s="79"/>
      <c r="CO90" s="79"/>
      <c r="CP90" s="79"/>
      <c r="CQ90" s="79"/>
      <c r="CR90" s="83" t="s">
        <v>179</v>
      </c>
      <c r="CS90" s="83" t="s">
        <v>179</v>
      </c>
      <c r="CT90" s="83" t="s">
        <v>179</v>
      </c>
      <c r="CU90" s="83" t="s">
        <v>179</v>
      </c>
      <c r="CV90" s="83" t="s">
        <v>179</v>
      </c>
      <c r="CW90" s="83" t="s">
        <v>179</v>
      </c>
      <c r="CX90" s="79" t="s">
        <v>153</v>
      </c>
      <c r="CY90" s="79">
        <f t="shared" si="39"/>
        <v>0</v>
      </c>
      <c r="CZ90" s="79">
        <v>0</v>
      </c>
      <c r="DA90" s="79">
        <f t="shared" si="40"/>
        <v>0</v>
      </c>
      <c r="DB90" s="84" t="str">
        <f t="shared" si="46"/>
        <v/>
      </c>
      <c r="DC90" s="41"/>
      <c r="DD90" s="79" t="s">
        <v>153</v>
      </c>
      <c r="DE90" s="71"/>
      <c r="DF90" s="85" t="s">
        <v>859</v>
      </c>
      <c r="DG90" s="79">
        <v>85</v>
      </c>
      <c r="DH90" s="86" t="str">
        <f t="shared" si="58"/>
        <v>Completo</v>
      </c>
      <c r="DI90" s="79" t="s">
        <v>181</v>
      </c>
      <c r="DJ90" s="79" t="s">
        <v>182</v>
      </c>
      <c r="DK90" s="79"/>
      <c r="DL90" s="79">
        <v>0</v>
      </c>
      <c r="DM90" s="79">
        <v>0</v>
      </c>
      <c r="DN90" s="79" t="s">
        <v>182</v>
      </c>
      <c r="DO90" s="79"/>
      <c r="DP90" s="79"/>
      <c r="DQ90" s="79"/>
      <c r="DR90" s="75" t="str">
        <f t="shared" si="47"/>
        <v>No aplica</v>
      </c>
      <c r="DS90" s="79"/>
      <c r="DT90" s="79"/>
      <c r="DU90" s="75" t="str">
        <f t="shared" si="48"/>
        <v>No aplica</v>
      </c>
      <c r="DV90" s="79" t="s">
        <v>182</v>
      </c>
      <c r="DW90" s="79" t="s">
        <v>182</v>
      </c>
      <c r="DX90" s="79"/>
      <c r="DY90" s="79"/>
      <c r="DZ90" s="79"/>
      <c r="EA90" s="79"/>
      <c r="EB90" s="79"/>
      <c r="EC90" s="79"/>
      <c r="ED90" s="79" t="s">
        <v>184</v>
      </c>
      <c r="EE90" s="79" t="str">
        <f t="shared" si="37"/>
        <v>Completo</v>
      </c>
      <c r="EF90" s="41"/>
      <c r="EG90" s="79" t="s">
        <v>153</v>
      </c>
      <c r="EH90" s="71"/>
      <c r="EI90" s="80"/>
      <c r="EJ90" s="71"/>
      <c r="EK90" s="79" t="s">
        <v>179</v>
      </c>
      <c r="EL90" s="76" t="str">
        <f t="shared" si="49"/>
        <v>No requiere</v>
      </c>
      <c r="EM90" s="76" t="str">
        <f t="shared" si="50"/>
        <v>No requiere</v>
      </c>
      <c r="EN90" s="76" t="str">
        <f t="shared" si="56"/>
        <v>No requiere</v>
      </c>
      <c r="EO90" s="71"/>
      <c r="EP90" s="73" t="str">
        <f t="shared" si="51"/>
        <v>No requiere</v>
      </c>
      <c r="EQ90" s="77" t="str">
        <f t="shared" si="52"/>
        <v>No requiere</v>
      </c>
      <c r="ER90" s="71"/>
      <c r="ES90" s="79" t="s">
        <v>179</v>
      </c>
      <c r="ET90" s="73" t="str">
        <f t="shared" si="53"/>
        <v>No requiere</v>
      </c>
      <c r="EU90" s="73" t="str">
        <f t="shared" si="57"/>
        <v>No requiere</v>
      </c>
      <c r="EV90" s="73" t="str">
        <f t="shared" si="54"/>
        <v>No requiere</v>
      </c>
      <c r="EW90" s="73" t="str">
        <f t="shared" si="55"/>
        <v>No requiere</v>
      </c>
      <c r="EX90" s="78"/>
      <c r="EY90" s="78"/>
    </row>
    <row r="91" spans="1:155" ht="46.5" customHeight="1">
      <c r="A91" s="79">
        <v>87</v>
      </c>
      <c r="B91" s="80" t="s">
        <v>860</v>
      </c>
      <c r="C91" s="81">
        <v>45360</v>
      </c>
      <c r="D91" s="82">
        <v>0.375</v>
      </c>
      <c r="E91" s="79" t="s">
        <v>151</v>
      </c>
      <c r="F91" s="79" t="s">
        <v>153</v>
      </c>
      <c r="G91" s="79" t="s">
        <v>153</v>
      </c>
      <c r="H91" s="79" t="s">
        <v>153</v>
      </c>
      <c r="I91" s="79" t="s">
        <v>152</v>
      </c>
      <c r="J91" s="79" t="s">
        <v>154</v>
      </c>
      <c r="K91" s="79" t="s">
        <v>155</v>
      </c>
      <c r="L91" s="80" t="s">
        <v>600</v>
      </c>
      <c r="M91" s="80" t="s">
        <v>303</v>
      </c>
      <c r="N91" s="79" t="s">
        <v>525</v>
      </c>
      <c r="O91" s="80" t="str">
        <f t="shared" si="41"/>
        <v>Zuly Marcela Mesa, David Reinaldo Jojoa, Aida Vanessa Rocha, Mónica Lyzeth Cantor, Camila María Santana, Reinaldo Terrios Andrade, Yeiker Guerra Sarmiento, Ana María Gualy, Jimmy Alejandro Osorio, Julio César Martínez, Germán Ramón Jacome, William Jair Gil, Derly Adriana Castillo, Mario Herrera</v>
      </c>
      <c r="P91" s="79" t="s">
        <v>547</v>
      </c>
      <c r="Q91" s="79" t="s">
        <v>548</v>
      </c>
      <c r="R91" s="79" t="s">
        <v>801</v>
      </c>
      <c r="S91" s="79" t="s">
        <v>346</v>
      </c>
      <c r="T91" s="79" t="s">
        <v>861</v>
      </c>
      <c r="U91" s="79" t="s">
        <v>675</v>
      </c>
      <c r="V91" s="79" t="s">
        <v>163</v>
      </c>
      <c r="W91" s="79" t="s">
        <v>821</v>
      </c>
      <c r="X91" s="79" t="s">
        <v>549</v>
      </c>
      <c r="Y91" s="79" t="s">
        <v>601</v>
      </c>
      <c r="Z91" s="79" t="s">
        <v>525</v>
      </c>
      <c r="AA91" s="79" t="s">
        <v>862</v>
      </c>
      <c r="AB91" s="79" t="s">
        <v>526</v>
      </c>
      <c r="AC91" s="79" t="s">
        <v>631</v>
      </c>
      <c r="AD91" s="79"/>
      <c r="AE91" s="79"/>
      <c r="AF91" s="79"/>
      <c r="AG91" s="79"/>
      <c r="AH91" s="79"/>
      <c r="AI91" s="79"/>
      <c r="AJ91" s="79"/>
      <c r="AK91" s="79"/>
      <c r="AL91" s="79"/>
      <c r="AM91" s="79"/>
      <c r="AN91" s="79"/>
      <c r="AO91" s="79" t="s">
        <v>304</v>
      </c>
      <c r="AP91" s="79"/>
      <c r="AQ91" s="80" t="s">
        <v>863</v>
      </c>
      <c r="AR91" s="80">
        <v>3163368485</v>
      </c>
      <c r="AS91" s="80" t="s">
        <v>864</v>
      </c>
      <c r="AT91" s="80" t="str">
        <f t="shared" si="42"/>
        <v>Suba</v>
      </c>
      <c r="AU91" s="79" t="s">
        <v>602</v>
      </c>
      <c r="AV91" s="79"/>
      <c r="AW91" s="79"/>
      <c r="AX91" s="79"/>
      <c r="AY91" s="79"/>
      <c r="AZ91" s="79"/>
      <c r="BA91" s="80" t="str">
        <f t="shared" si="43"/>
        <v>Norte</v>
      </c>
      <c r="BB91" s="79" t="s">
        <v>662</v>
      </c>
      <c r="BC91" s="79"/>
      <c r="BD91" s="79"/>
      <c r="BE91" s="79"/>
      <c r="BF91" s="79"/>
      <c r="BG91" s="79"/>
      <c r="BH91" s="80" t="str">
        <f t="shared" si="44"/>
        <v>Niza</v>
      </c>
      <c r="BI91" s="79" t="s">
        <v>865</v>
      </c>
      <c r="BJ91" s="79"/>
      <c r="BK91" s="79"/>
      <c r="BL91" s="79"/>
      <c r="BM91" s="79"/>
      <c r="BN91" s="79"/>
      <c r="BO91" s="79"/>
      <c r="BP91" s="79"/>
      <c r="BQ91" s="79"/>
      <c r="BR91" s="79"/>
      <c r="BS91" s="80" t="s">
        <v>288</v>
      </c>
      <c r="BT91" s="80" t="s">
        <v>605</v>
      </c>
      <c r="BU91" s="80" t="s">
        <v>866</v>
      </c>
      <c r="BV91" s="71"/>
      <c r="BW91" s="79" t="s">
        <v>153</v>
      </c>
      <c r="BX91" s="79" t="s">
        <v>607</v>
      </c>
      <c r="BY91" s="71"/>
      <c r="BZ91" s="79">
        <v>57</v>
      </c>
      <c r="CA91" s="79">
        <v>14</v>
      </c>
      <c r="CB91" s="79">
        <f t="shared" si="25"/>
        <v>71</v>
      </c>
      <c r="CC91" s="79" t="str">
        <f t="shared" si="45"/>
        <v>Horarios Acordes</v>
      </c>
      <c r="CD91" s="79" t="s">
        <v>351</v>
      </c>
      <c r="CE91" s="79"/>
      <c r="CF91" s="79"/>
      <c r="CG91" s="83" t="s">
        <v>867</v>
      </c>
      <c r="CH91" s="41"/>
      <c r="CI91" s="79" t="s">
        <v>153</v>
      </c>
      <c r="CJ91" s="71"/>
      <c r="CK91" s="79">
        <f t="shared" si="38"/>
        <v>1</v>
      </c>
      <c r="CL91" s="93" t="s">
        <v>389</v>
      </c>
      <c r="CM91" s="79"/>
      <c r="CN91" s="79"/>
      <c r="CO91" s="79"/>
      <c r="CP91" s="79"/>
      <c r="CQ91" s="79"/>
      <c r="CR91" s="83" t="s">
        <v>390</v>
      </c>
      <c r="CS91" s="83" t="s">
        <v>179</v>
      </c>
      <c r="CT91" s="83" t="s">
        <v>179</v>
      </c>
      <c r="CU91" s="83" t="s">
        <v>179</v>
      </c>
      <c r="CV91" s="83" t="s">
        <v>179</v>
      </c>
      <c r="CW91" s="83" t="s">
        <v>179</v>
      </c>
      <c r="CX91" s="79" t="s">
        <v>153</v>
      </c>
      <c r="CY91" s="79">
        <f t="shared" si="39"/>
        <v>1</v>
      </c>
      <c r="CZ91" s="79">
        <v>1</v>
      </c>
      <c r="DA91" s="79">
        <f t="shared" si="40"/>
        <v>1</v>
      </c>
      <c r="DB91" s="84">
        <f t="shared" si="46"/>
        <v>1</v>
      </c>
      <c r="DC91" s="41"/>
      <c r="DD91" s="79" t="s">
        <v>153</v>
      </c>
      <c r="DE91" s="71"/>
      <c r="DF91" s="85" t="s">
        <v>868</v>
      </c>
      <c r="DG91" s="79">
        <v>86</v>
      </c>
      <c r="DH91" s="86" t="str">
        <f t="shared" si="58"/>
        <v>Completo</v>
      </c>
      <c r="DI91" s="79" t="s">
        <v>181</v>
      </c>
      <c r="DJ91" s="79" t="s">
        <v>182</v>
      </c>
      <c r="DK91" s="79" t="s">
        <v>153</v>
      </c>
      <c r="DL91" s="79">
        <v>0</v>
      </c>
      <c r="DM91" s="79">
        <v>0</v>
      </c>
      <c r="DN91" s="79" t="s">
        <v>182</v>
      </c>
      <c r="DO91" s="79">
        <v>6072</v>
      </c>
      <c r="DP91" s="79" t="s">
        <v>182</v>
      </c>
      <c r="DQ91" s="79">
        <v>10</v>
      </c>
      <c r="DR91" s="75">
        <f t="shared" si="47"/>
        <v>0.58479532163742698</v>
      </c>
      <c r="DS91" s="79" t="s">
        <v>182</v>
      </c>
      <c r="DT91" s="79">
        <v>64</v>
      </c>
      <c r="DU91" s="75">
        <f t="shared" si="48"/>
        <v>3.2080200501253135</v>
      </c>
      <c r="DV91" s="79" t="s">
        <v>182</v>
      </c>
      <c r="DW91" s="79" t="s">
        <v>182</v>
      </c>
      <c r="DX91" s="79">
        <v>4</v>
      </c>
      <c r="DY91" s="79">
        <v>1</v>
      </c>
      <c r="DZ91" s="79" t="s">
        <v>611</v>
      </c>
      <c r="EA91" s="79">
        <v>6072</v>
      </c>
      <c r="EB91" s="79" t="s">
        <v>182</v>
      </c>
      <c r="EC91" s="79" t="s">
        <v>735</v>
      </c>
      <c r="ED91" s="79" t="s">
        <v>184</v>
      </c>
      <c r="EE91" s="79" t="str">
        <f t="shared" si="37"/>
        <v>Completo</v>
      </c>
      <c r="EF91" s="41"/>
      <c r="EG91" s="79" t="s">
        <v>153</v>
      </c>
      <c r="EH91" s="71"/>
      <c r="EI91" s="89" t="s">
        <v>869</v>
      </c>
      <c r="EJ91" s="71"/>
      <c r="EK91" s="79" t="s">
        <v>393</v>
      </c>
      <c r="EL91" s="76" t="str">
        <f t="shared" si="49"/>
        <v>Sí</v>
      </c>
      <c r="EM91" s="76" t="str">
        <f t="shared" si="50"/>
        <v>Sí</v>
      </c>
      <c r="EN91" s="76" t="str">
        <f t="shared" si="56"/>
        <v>Sí</v>
      </c>
      <c r="EO91" s="71"/>
      <c r="EP91" s="73" t="str">
        <f t="shared" si="51"/>
        <v>No aplica</v>
      </c>
      <c r="EQ91" s="77">
        <f t="shared" si="52"/>
        <v>3.2080200501253135</v>
      </c>
      <c r="ER91" s="71"/>
      <c r="ES91" s="79" t="s">
        <v>393</v>
      </c>
      <c r="ET91" s="73">
        <f t="shared" si="53"/>
        <v>1</v>
      </c>
      <c r="EU91" s="73">
        <f t="shared" si="57"/>
        <v>1</v>
      </c>
      <c r="EV91" s="73">
        <f t="shared" si="54"/>
        <v>1</v>
      </c>
      <c r="EW91" s="73">
        <f t="shared" si="55"/>
        <v>1</v>
      </c>
      <c r="EX91" s="78"/>
      <c r="EY91" s="78"/>
    </row>
    <row r="92" spans="1:155" ht="46.5" customHeight="1">
      <c r="A92" s="79">
        <v>88</v>
      </c>
      <c r="B92" s="80" t="s">
        <v>870</v>
      </c>
      <c r="C92" s="81">
        <v>45360</v>
      </c>
      <c r="D92" s="82">
        <v>0.375</v>
      </c>
      <c r="E92" s="79" t="s">
        <v>151</v>
      </c>
      <c r="F92" s="79" t="s">
        <v>153</v>
      </c>
      <c r="G92" s="79" t="s">
        <v>153</v>
      </c>
      <c r="H92" s="79" t="s">
        <v>153</v>
      </c>
      <c r="I92" s="79" t="s">
        <v>152</v>
      </c>
      <c r="J92" s="79" t="s">
        <v>154</v>
      </c>
      <c r="K92" s="79" t="s">
        <v>155</v>
      </c>
      <c r="L92" s="80" t="s">
        <v>600</v>
      </c>
      <c r="M92" s="80" t="s">
        <v>303</v>
      </c>
      <c r="N92" s="79" t="s">
        <v>644</v>
      </c>
      <c r="O92" s="80" t="str">
        <f t="shared" si="41"/>
        <v>César Augusto Barrantes, Sarah Lucia Triviño, Diego Alejandro Camacho, Luis Fernando Barreto , Nixon Sandoval Mateus, Valentina González Pontón, Hernán Darío Meléndez, Nicolás Esteban Flórez, Yohan David Díaz, Norberto Muñoz Morera, Marisol Velasco Peña, Carlos Eduardo Escandón, Paula Andrea González, Rosemberg Prisco Vasquez</v>
      </c>
      <c r="P92" s="79" t="s">
        <v>729</v>
      </c>
      <c r="Q92" s="79" t="s">
        <v>499</v>
      </c>
      <c r="R92" s="79" t="s">
        <v>422</v>
      </c>
      <c r="S92" s="79" t="s">
        <v>720</v>
      </c>
      <c r="T92" s="79" t="s">
        <v>644</v>
      </c>
      <c r="U92" s="79" t="s">
        <v>329</v>
      </c>
      <c r="V92" s="79" t="s">
        <v>633</v>
      </c>
      <c r="W92" s="79" t="s">
        <v>472</v>
      </c>
      <c r="X92" s="79" t="s">
        <v>164</v>
      </c>
      <c r="Y92" s="79" t="s">
        <v>161</v>
      </c>
      <c r="Z92" s="79" t="s">
        <v>871</v>
      </c>
      <c r="AA92" s="79" t="s">
        <v>819</v>
      </c>
      <c r="AB92" s="79" t="s">
        <v>158</v>
      </c>
      <c r="AC92" s="79" t="s">
        <v>162</v>
      </c>
      <c r="AD92" s="79"/>
      <c r="AE92" s="79"/>
      <c r="AF92" s="79"/>
      <c r="AG92" s="79"/>
      <c r="AH92" s="79"/>
      <c r="AI92" s="79"/>
      <c r="AJ92" s="79"/>
      <c r="AK92" s="79"/>
      <c r="AL92" s="79"/>
      <c r="AM92" s="79"/>
      <c r="AN92" s="79"/>
      <c r="AO92" s="79" t="s">
        <v>304</v>
      </c>
      <c r="AP92" s="79"/>
      <c r="AQ92" s="80" t="s">
        <v>872</v>
      </c>
      <c r="AR92" s="83">
        <v>3102116664</v>
      </c>
      <c r="AS92" s="80" t="s">
        <v>873</v>
      </c>
      <c r="AT92" s="80" t="str">
        <f t="shared" si="42"/>
        <v>Engativá</v>
      </c>
      <c r="AU92" s="79" t="s">
        <v>234</v>
      </c>
      <c r="AV92" s="79"/>
      <c r="AW92" s="79"/>
      <c r="AX92" s="79"/>
      <c r="AY92" s="79"/>
      <c r="AZ92" s="79"/>
      <c r="BA92" s="80" t="str">
        <f t="shared" si="43"/>
        <v>Occidente</v>
      </c>
      <c r="BB92" s="79" t="s">
        <v>235</v>
      </c>
      <c r="BC92" s="79"/>
      <c r="BD92" s="79"/>
      <c r="BE92" s="79"/>
      <c r="BF92" s="79"/>
      <c r="BG92" s="79"/>
      <c r="BH92" s="80" t="str">
        <f t="shared" si="44"/>
        <v>Tabora</v>
      </c>
      <c r="BI92" s="79" t="s">
        <v>414</v>
      </c>
      <c r="BJ92" s="79"/>
      <c r="BK92" s="79"/>
      <c r="BL92" s="79"/>
      <c r="BM92" s="79"/>
      <c r="BN92" s="79"/>
      <c r="BO92" s="79"/>
      <c r="BP92" s="79"/>
      <c r="BQ92" s="79"/>
      <c r="BR92" s="79"/>
      <c r="BS92" s="80" t="s">
        <v>288</v>
      </c>
      <c r="BT92" s="80" t="s">
        <v>605</v>
      </c>
      <c r="BU92" s="80" t="s">
        <v>874</v>
      </c>
      <c r="BV92" s="71"/>
      <c r="BW92" s="79" t="s">
        <v>153</v>
      </c>
      <c r="BX92" s="79" t="s">
        <v>607</v>
      </c>
      <c r="BY92" s="71"/>
      <c r="BZ92" s="79">
        <v>84</v>
      </c>
      <c r="CA92" s="79">
        <v>17</v>
      </c>
      <c r="CB92" s="79">
        <f t="shared" si="25"/>
        <v>101</v>
      </c>
      <c r="CC92" s="79" t="str">
        <f t="shared" si="45"/>
        <v>Accesibilidad Universal</v>
      </c>
      <c r="CD92" s="79" t="s">
        <v>397</v>
      </c>
      <c r="CE92" s="79"/>
      <c r="CF92" s="79"/>
      <c r="CG92" s="83" t="s">
        <v>875</v>
      </c>
      <c r="CH92" s="41"/>
      <c r="CI92" s="79" t="s">
        <v>153</v>
      </c>
      <c r="CJ92" s="71"/>
      <c r="CK92" s="79">
        <f t="shared" si="38"/>
        <v>1</v>
      </c>
      <c r="CL92" s="93" t="s">
        <v>389</v>
      </c>
      <c r="CM92" s="79"/>
      <c r="CN92" s="79"/>
      <c r="CO92" s="79"/>
      <c r="CP92" s="79"/>
      <c r="CQ92" s="79"/>
      <c r="CR92" s="83" t="s">
        <v>390</v>
      </c>
      <c r="CS92" s="83" t="s">
        <v>179</v>
      </c>
      <c r="CT92" s="83" t="s">
        <v>179</v>
      </c>
      <c r="CU92" s="83" t="s">
        <v>179</v>
      </c>
      <c r="CV92" s="83" t="s">
        <v>179</v>
      </c>
      <c r="CW92" s="83" t="s">
        <v>179</v>
      </c>
      <c r="CX92" s="79" t="s">
        <v>153</v>
      </c>
      <c r="CY92" s="79">
        <f t="shared" si="39"/>
        <v>1</v>
      </c>
      <c r="CZ92" s="79">
        <v>1</v>
      </c>
      <c r="DA92" s="79">
        <f t="shared" si="40"/>
        <v>1</v>
      </c>
      <c r="DB92" s="84">
        <f t="shared" si="46"/>
        <v>1</v>
      </c>
      <c r="DC92" s="41"/>
      <c r="DD92" s="79" t="s">
        <v>153</v>
      </c>
      <c r="DE92" s="71"/>
      <c r="DF92" s="85" t="s">
        <v>876</v>
      </c>
      <c r="DG92" s="79">
        <v>87</v>
      </c>
      <c r="DH92" s="86" t="str">
        <f t="shared" si="58"/>
        <v>Completo</v>
      </c>
      <c r="DI92" s="79" t="s">
        <v>181</v>
      </c>
      <c r="DJ92" s="79" t="s">
        <v>182</v>
      </c>
      <c r="DK92" s="79" t="s">
        <v>153</v>
      </c>
      <c r="DL92" s="79">
        <v>0</v>
      </c>
      <c r="DM92" s="79">
        <v>0</v>
      </c>
      <c r="DN92" s="79" t="s">
        <v>182</v>
      </c>
      <c r="DO92" s="79">
        <v>4800</v>
      </c>
      <c r="DP92" s="79" t="s">
        <v>182</v>
      </c>
      <c r="DQ92" s="79">
        <v>29</v>
      </c>
      <c r="DR92" s="75">
        <f t="shared" si="47"/>
        <v>1.1507936507936509</v>
      </c>
      <c r="DS92" s="79" t="s">
        <v>182</v>
      </c>
      <c r="DT92" s="79">
        <v>119</v>
      </c>
      <c r="DU92" s="75">
        <f t="shared" si="48"/>
        <v>4.0476190476190474</v>
      </c>
      <c r="DV92" s="79" t="s">
        <v>182</v>
      </c>
      <c r="DW92" s="79" t="s">
        <v>182</v>
      </c>
      <c r="DX92" s="79">
        <v>4</v>
      </c>
      <c r="DY92" s="79">
        <v>1</v>
      </c>
      <c r="DZ92" s="79" t="s">
        <v>611</v>
      </c>
      <c r="EA92" s="79">
        <v>4832</v>
      </c>
      <c r="EB92" s="79" t="s">
        <v>182</v>
      </c>
      <c r="EC92" s="79" t="s">
        <v>877</v>
      </c>
      <c r="ED92" s="79" t="s">
        <v>184</v>
      </c>
      <c r="EE92" s="79" t="str">
        <f t="shared" si="37"/>
        <v>Completo</v>
      </c>
      <c r="EF92" s="41"/>
      <c r="EG92" s="79" t="s">
        <v>153</v>
      </c>
      <c r="EH92" s="71"/>
      <c r="EI92" s="89" t="s">
        <v>878</v>
      </c>
      <c r="EJ92" s="71"/>
      <c r="EK92" s="79" t="s">
        <v>409</v>
      </c>
      <c r="EL92" s="76" t="str">
        <f t="shared" si="49"/>
        <v>Sí</v>
      </c>
      <c r="EM92" s="76" t="str">
        <f t="shared" si="50"/>
        <v>Sí</v>
      </c>
      <c r="EN92" s="76" t="str">
        <f t="shared" si="56"/>
        <v>Sí</v>
      </c>
      <c r="EO92" s="71"/>
      <c r="EP92" s="73" t="str">
        <f t="shared" si="51"/>
        <v>No aplica</v>
      </c>
      <c r="EQ92" s="77">
        <f t="shared" si="52"/>
        <v>4.0476190476190474</v>
      </c>
      <c r="ER92" s="71"/>
      <c r="ES92" s="79" t="s">
        <v>393</v>
      </c>
      <c r="ET92" s="73">
        <f t="shared" si="53"/>
        <v>1</v>
      </c>
      <c r="EU92" s="73">
        <f t="shared" si="57"/>
        <v>1</v>
      </c>
      <c r="EV92" s="73">
        <f t="shared" si="54"/>
        <v>1</v>
      </c>
      <c r="EW92" s="73">
        <f t="shared" si="55"/>
        <v>0.99337748344370858</v>
      </c>
      <c r="EX92" s="78"/>
      <c r="EY92" s="78"/>
    </row>
    <row r="93" spans="1:155" ht="46.5" customHeight="1">
      <c r="A93" s="79">
        <v>89</v>
      </c>
      <c r="B93" s="80" t="s">
        <v>879</v>
      </c>
      <c r="C93" s="81">
        <v>45361</v>
      </c>
      <c r="D93" s="82">
        <v>0.29166666666666669</v>
      </c>
      <c r="E93" s="79" t="s">
        <v>151</v>
      </c>
      <c r="F93" s="79" t="s">
        <v>153</v>
      </c>
      <c r="G93" s="79" t="s">
        <v>153</v>
      </c>
      <c r="H93" s="79" t="s">
        <v>152</v>
      </c>
      <c r="I93" s="79" t="s">
        <v>152</v>
      </c>
      <c r="J93" s="79" t="s">
        <v>154</v>
      </c>
      <c r="K93" s="79" t="s">
        <v>155</v>
      </c>
      <c r="L93" s="80" t="s">
        <v>600</v>
      </c>
      <c r="M93" s="80" t="s">
        <v>327</v>
      </c>
      <c r="N93" s="79" t="s">
        <v>632</v>
      </c>
      <c r="O93" s="80" t="str">
        <f t="shared" si="41"/>
        <v/>
      </c>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t="s">
        <v>304</v>
      </c>
      <c r="AP93" s="79"/>
      <c r="AQ93" s="83" t="s">
        <v>171</v>
      </c>
      <c r="AR93" s="83" t="s">
        <v>171</v>
      </c>
      <c r="AS93" s="83" t="s">
        <v>171</v>
      </c>
      <c r="AT93" s="80" t="str">
        <f t="shared" si="42"/>
        <v>Chapinero</v>
      </c>
      <c r="AU93" s="79" t="s">
        <v>360</v>
      </c>
      <c r="AV93" s="79"/>
      <c r="AW93" s="79"/>
      <c r="AX93" s="79"/>
      <c r="AY93" s="79"/>
      <c r="AZ93" s="79"/>
      <c r="BA93" s="80" t="str">
        <f t="shared" si="43"/>
        <v>Centro Ampliado</v>
      </c>
      <c r="BB93" s="79" t="s">
        <v>636</v>
      </c>
      <c r="BC93" s="79"/>
      <c r="BD93" s="79"/>
      <c r="BE93" s="79"/>
      <c r="BF93" s="79"/>
      <c r="BG93" s="79"/>
      <c r="BH93" s="80" t="str">
        <f t="shared" si="44"/>
        <v>Chapinero</v>
      </c>
      <c r="BI93" s="79" t="s">
        <v>360</v>
      </c>
      <c r="BJ93" s="79"/>
      <c r="BK93" s="79"/>
      <c r="BL93" s="79"/>
      <c r="BM93" s="79"/>
      <c r="BN93" s="79"/>
      <c r="BO93" s="79"/>
      <c r="BP93" s="79"/>
      <c r="BQ93" s="79"/>
      <c r="BR93" s="79"/>
      <c r="BS93" s="80" t="s">
        <v>288</v>
      </c>
      <c r="BT93" s="80" t="s">
        <v>174</v>
      </c>
      <c r="BU93" s="80" t="s">
        <v>880</v>
      </c>
      <c r="BV93" s="71"/>
      <c r="BW93" s="79" t="s">
        <v>153</v>
      </c>
      <c r="BX93" s="79" t="s">
        <v>607</v>
      </c>
      <c r="BY93" s="71"/>
      <c r="BZ93" s="79">
        <v>65</v>
      </c>
      <c r="CA93" s="79">
        <v>8</v>
      </c>
      <c r="CB93" s="79">
        <f t="shared" si="25"/>
        <v>73</v>
      </c>
      <c r="CC93" s="79" t="str">
        <f t="shared" si="45"/>
        <v>No Aplica</v>
      </c>
      <c r="CD93" s="79" t="s">
        <v>177</v>
      </c>
      <c r="CE93" s="79"/>
      <c r="CF93" s="79"/>
      <c r="CG93" s="83" t="s">
        <v>875</v>
      </c>
      <c r="CH93" s="41"/>
      <c r="CI93" s="79" t="s">
        <v>153</v>
      </c>
      <c r="CJ93" s="71"/>
      <c r="CK93" s="79">
        <f t="shared" si="38"/>
        <v>0</v>
      </c>
      <c r="CL93" s="79"/>
      <c r="CM93" s="79"/>
      <c r="CN93" s="79"/>
      <c r="CO93" s="79"/>
      <c r="CP93" s="79"/>
      <c r="CQ93" s="79"/>
      <c r="CR93" s="83" t="s">
        <v>179</v>
      </c>
      <c r="CS93" s="83" t="s">
        <v>179</v>
      </c>
      <c r="CT93" s="83" t="s">
        <v>179</v>
      </c>
      <c r="CU93" s="83" t="s">
        <v>179</v>
      </c>
      <c r="CV93" s="83" t="s">
        <v>179</v>
      </c>
      <c r="CW93" s="83" t="s">
        <v>179</v>
      </c>
      <c r="CX93" s="79" t="s">
        <v>153</v>
      </c>
      <c r="CY93" s="79">
        <f t="shared" si="39"/>
        <v>0</v>
      </c>
      <c r="CZ93" s="79">
        <v>0</v>
      </c>
      <c r="DA93" s="79">
        <f t="shared" si="40"/>
        <v>0</v>
      </c>
      <c r="DB93" s="84" t="str">
        <f t="shared" si="46"/>
        <v/>
      </c>
      <c r="DC93" s="41"/>
      <c r="DD93" s="79" t="s">
        <v>153</v>
      </c>
      <c r="DE93" s="71"/>
      <c r="DF93" s="85" t="s">
        <v>881</v>
      </c>
      <c r="DG93" s="79">
        <v>88</v>
      </c>
      <c r="DH93" s="86" t="str">
        <f t="shared" si="58"/>
        <v>Completo</v>
      </c>
      <c r="DI93" s="79" t="s">
        <v>181</v>
      </c>
      <c r="DJ93" s="79" t="s">
        <v>182</v>
      </c>
      <c r="DK93" s="79"/>
      <c r="DL93" s="79">
        <v>0</v>
      </c>
      <c r="DM93" s="79">
        <v>0</v>
      </c>
      <c r="DN93" s="79" t="s">
        <v>191</v>
      </c>
      <c r="DO93" s="79"/>
      <c r="DP93" s="79"/>
      <c r="DQ93" s="79"/>
      <c r="DR93" s="75" t="str">
        <f t="shared" si="47"/>
        <v>No aplica</v>
      </c>
      <c r="DS93" s="79"/>
      <c r="DT93" s="79"/>
      <c r="DU93" s="75" t="str">
        <f t="shared" si="48"/>
        <v>No aplica</v>
      </c>
      <c r="DV93" s="79" t="s">
        <v>182</v>
      </c>
      <c r="DW93" s="79" t="s">
        <v>191</v>
      </c>
      <c r="DX93" s="79"/>
      <c r="DY93" s="79"/>
      <c r="DZ93" s="79"/>
      <c r="EA93" s="79"/>
      <c r="EB93" s="79"/>
      <c r="EC93" s="79"/>
      <c r="ED93" s="79" t="s">
        <v>882</v>
      </c>
      <c r="EE93" s="79" t="str">
        <f t="shared" si="37"/>
        <v>Completo</v>
      </c>
      <c r="EF93" s="41"/>
      <c r="EG93" s="79" t="s">
        <v>153</v>
      </c>
      <c r="EH93" s="71"/>
      <c r="EI93" s="80"/>
      <c r="EJ93" s="71"/>
      <c r="EK93" s="79" t="s">
        <v>179</v>
      </c>
      <c r="EL93" s="76" t="str">
        <f t="shared" si="49"/>
        <v>No requiere</v>
      </c>
      <c r="EM93" s="76" t="str">
        <f t="shared" si="50"/>
        <v>No requiere</v>
      </c>
      <c r="EN93" s="76" t="str">
        <f t="shared" si="56"/>
        <v>No requiere</v>
      </c>
      <c r="EO93" s="71"/>
      <c r="EP93" s="73" t="str">
        <f t="shared" si="51"/>
        <v>No requiere</v>
      </c>
      <c r="EQ93" s="77" t="str">
        <f t="shared" si="52"/>
        <v>No requiere</v>
      </c>
      <c r="ER93" s="71"/>
      <c r="ES93" s="79" t="s">
        <v>179</v>
      </c>
      <c r="ET93" s="73" t="str">
        <f t="shared" si="53"/>
        <v>No requiere</v>
      </c>
      <c r="EU93" s="73" t="str">
        <f t="shared" si="57"/>
        <v>No requiere</v>
      </c>
      <c r="EV93" s="73" t="str">
        <f t="shared" si="54"/>
        <v>No requiere</v>
      </c>
      <c r="EW93" s="73" t="str">
        <f t="shared" si="55"/>
        <v>No requiere</v>
      </c>
      <c r="EX93" s="78"/>
      <c r="EY93" s="78"/>
    </row>
    <row r="94" spans="1:155" ht="46.5" customHeight="1">
      <c r="A94" s="79" t="str">
        <v/>
      </c>
      <c r="B94" s="80" t="s">
        <v>883</v>
      </c>
      <c r="C94" s="81">
        <v>45362</v>
      </c>
      <c r="D94" s="82">
        <v>0.29166666666666669</v>
      </c>
      <c r="E94" s="79" t="s">
        <v>151</v>
      </c>
      <c r="F94" s="79" t="s">
        <v>152</v>
      </c>
      <c r="G94" s="79" t="s">
        <v>152</v>
      </c>
      <c r="H94" s="79" t="s">
        <v>152</v>
      </c>
      <c r="I94" s="79" t="s">
        <v>152</v>
      </c>
      <c r="J94" s="79" t="s">
        <v>154</v>
      </c>
      <c r="K94" s="79" t="s">
        <v>155</v>
      </c>
      <c r="L94" s="80" t="s">
        <v>884</v>
      </c>
      <c r="M94" s="80" t="s">
        <v>157</v>
      </c>
      <c r="N94" s="79" t="s">
        <v>164</v>
      </c>
      <c r="O94" s="80" t="str">
        <f t="shared" si="41"/>
        <v>Mariana Triana Ortiz, Julián Camilo Taylor, Juan Pablo Serna, Andres Castro Latorre, Laura Camila Bechara, Yeiker Guerra Sarmiento, Ana María Ulloa, James Fernando Núñez, Diego Nicolás Gutiérrez, Norberto Muñoz Morera, Nathalia Guzmán Martínez, Nicolás Esteban Flórez, Erika Lizeth Rueda, Camila María Santana, Ana María Gualy, Rosemberg Prisco Vasquez</v>
      </c>
      <c r="P94" s="79" t="s">
        <v>885</v>
      </c>
      <c r="Q94" s="79" t="s">
        <v>886</v>
      </c>
      <c r="R94" s="79" t="s">
        <v>818</v>
      </c>
      <c r="S94" s="79" t="s">
        <v>749</v>
      </c>
      <c r="T94" s="79" t="s">
        <v>887</v>
      </c>
      <c r="U94" s="79" t="s">
        <v>163</v>
      </c>
      <c r="V94" s="79" t="s">
        <v>522</v>
      </c>
      <c r="W94" s="79" t="s">
        <v>632</v>
      </c>
      <c r="X94" s="79" t="s">
        <v>888</v>
      </c>
      <c r="Y94" s="79" t="s">
        <v>161</v>
      </c>
      <c r="Z94" s="79" t="s">
        <v>166</v>
      </c>
      <c r="AA94" s="79" t="s">
        <v>472</v>
      </c>
      <c r="AB94" s="79" t="s">
        <v>556</v>
      </c>
      <c r="AC94" s="79" t="s">
        <v>861</v>
      </c>
      <c r="AD94" s="79" t="s">
        <v>821</v>
      </c>
      <c r="AE94" s="79" t="s">
        <v>162</v>
      </c>
      <c r="AF94" s="79"/>
      <c r="AG94" s="79"/>
      <c r="AH94" s="79"/>
      <c r="AI94" s="79"/>
      <c r="AJ94" s="79"/>
      <c r="AK94" s="79"/>
      <c r="AL94" s="79"/>
      <c r="AM94" s="79"/>
      <c r="AN94" s="79"/>
      <c r="AO94" s="79" t="s">
        <v>169</v>
      </c>
      <c r="AP94" s="79" t="s">
        <v>170</v>
      </c>
      <c r="AQ94" s="80" t="s">
        <v>171</v>
      </c>
      <c r="AR94" s="83" t="s">
        <v>171</v>
      </c>
      <c r="AS94" s="80" t="s">
        <v>171</v>
      </c>
      <c r="AT94" s="80" t="str">
        <f t="shared" si="42"/>
        <v>Distrital</v>
      </c>
      <c r="AU94" s="79" t="s">
        <v>172</v>
      </c>
      <c r="AV94" s="79"/>
      <c r="AW94" s="79"/>
      <c r="AX94" s="79"/>
      <c r="AY94" s="79"/>
      <c r="AZ94" s="79"/>
      <c r="BA94" s="80" t="str">
        <f t="shared" si="43"/>
        <v>Distrital</v>
      </c>
      <c r="BB94" s="79" t="s">
        <v>172</v>
      </c>
      <c r="BC94" s="79"/>
      <c r="BD94" s="79"/>
      <c r="BE94" s="79"/>
      <c r="BF94" s="79"/>
      <c r="BG94" s="79"/>
      <c r="BH94" s="80" t="str">
        <f t="shared" si="44"/>
        <v>Distrital</v>
      </c>
      <c r="BI94" s="79" t="s">
        <v>172</v>
      </c>
      <c r="BJ94" s="79"/>
      <c r="BK94" s="79"/>
      <c r="BL94" s="79"/>
      <c r="BM94" s="79"/>
      <c r="BN94" s="79"/>
      <c r="BO94" s="79"/>
      <c r="BP94" s="79"/>
      <c r="BQ94" s="79"/>
      <c r="BR94" s="79"/>
      <c r="BS94" s="80" t="s">
        <v>288</v>
      </c>
      <c r="BT94" s="80" t="s">
        <v>605</v>
      </c>
      <c r="BU94" s="80" t="s">
        <v>550</v>
      </c>
      <c r="BV94" s="71"/>
      <c r="BW94" s="79" t="s">
        <v>153</v>
      </c>
      <c r="BX94" s="79" t="s">
        <v>176</v>
      </c>
      <c r="BY94" s="71"/>
      <c r="BZ94" s="79">
        <v>0</v>
      </c>
      <c r="CA94" s="79">
        <v>372</v>
      </c>
      <c r="CB94" s="79">
        <f t="shared" si="25"/>
        <v>372</v>
      </c>
      <c r="CC94" s="79" t="str">
        <f t="shared" si="45"/>
        <v>Lenguaje de señas</v>
      </c>
      <c r="CD94" s="79" t="s">
        <v>349</v>
      </c>
      <c r="CE94" s="79"/>
      <c r="CF94" s="79"/>
      <c r="CG94" s="83" t="s">
        <v>889</v>
      </c>
      <c r="CH94" s="41"/>
      <c r="CI94" s="79" t="s">
        <v>153</v>
      </c>
      <c r="CJ94" s="71"/>
      <c r="CK94" s="79">
        <f t="shared" si="38"/>
        <v>0</v>
      </c>
      <c r="CL94" s="79"/>
      <c r="CM94" s="79"/>
      <c r="CN94" s="79"/>
      <c r="CO94" s="79"/>
      <c r="CP94" s="79"/>
      <c r="CQ94" s="79"/>
      <c r="CR94" s="83" t="s">
        <v>179</v>
      </c>
      <c r="CS94" s="83" t="s">
        <v>179</v>
      </c>
      <c r="CT94" s="83" t="s">
        <v>179</v>
      </c>
      <c r="CU94" s="83" t="s">
        <v>179</v>
      </c>
      <c r="CV94" s="83" t="s">
        <v>179</v>
      </c>
      <c r="CW94" s="83" t="s">
        <v>179</v>
      </c>
      <c r="CX94" s="79" t="s">
        <v>153</v>
      </c>
      <c r="CY94" s="79">
        <f t="shared" si="39"/>
        <v>0</v>
      </c>
      <c r="CZ94" s="79">
        <v>0</v>
      </c>
      <c r="DA94" s="79">
        <f t="shared" si="40"/>
        <v>0</v>
      </c>
      <c r="DB94" s="84" t="str">
        <f t="shared" si="46"/>
        <v/>
      </c>
      <c r="DC94" s="41"/>
      <c r="DD94" s="79" t="s">
        <v>153</v>
      </c>
      <c r="DE94" s="71"/>
      <c r="DF94" s="85" t="s">
        <v>890</v>
      </c>
      <c r="DG94" s="79">
        <v>89</v>
      </c>
      <c r="DH94" s="86" t="str">
        <f t="shared" si="58"/>
        <v>Completo</v>
      </c>
      <c r="DI94" s="79" t="s">
        <v>181</v>
      </c>
      <c r="DJ94" s="79" t="s">
        <v>182</v>
      </c>
      <c r="DK94" s="79"/>
      <c r="DL94" s="79">
        <v>0</v>
      </c>
      <c r="DM94" s="79">
        <v>0</v>
      </c>
      <c r="DN94" s="79"/>
      <c r="DO94" s="79"/>
      <c r="DP94" s="79"/>
      <c r="DQ94" s="79"/>
      <c r="DR94" s="75" t="str">
        <f t="shared" si="47"/>
        <v>No aplica</v>
      </c>
      <c r="DS94" s="79"/>
      <c r="DT94" s="79"/>
      <c r="DU94" s="75" t="str">
        <f t="shared" si="48"/>
        <v>No aplica</v>
      </c>
      <c r="DV94" s="79" t="s">
        <v>182</v>
      </c>
      <c r="DW94" s="79" t="s">
        <v>191</v>
      </c>
      <c r="DX94" s="79"/>
      <c r="DY94" s="79"/>
      <c r="DZ94" s="79"/>
      <c r="EA94" s="79"/>
      <c r="EB94" s="79" t="s">
        <v>182</v>
      </c>
      <c r="EC94" s="79" t="s">
        <v>891</v>
      </c>
      <c r="ED94" s="79" t="s">
        <v>249</v>
      </c>
      <c r="EE94" s="79" t="str">
        <f t="shared" si="37"/>
        <v>Completo</v>
      </c>
      <c r="EF94" s="41"/>
      <c r="EG94" s="79" t="s">
        <v>153</v>
      </c>
      <c r="EH94" s="71"/>
      <c r="EI94" s="80"/>
      <c r="EJ94" s="71"/>
      <c r="EK94" s="79" t="s">
        <v>179</v>
      </c>
      <c r="EL94" s="76" t="str">
        <f t="shared" si="49"/>
        <v>No requiere</v>
      </c>
      <c r="EM94" s="76" t="str">
        <f t="shared" si="50"/>
        <v>No requiere</v>
      </c>
      <c r="EN94" s="76" t="str">
        <f t="shared" si="56"/>
        <v>No requiere</v>
      </c>
      <c r="EO94" s="71"/>
      <c r="EP94" s="73" t="str">
        <f t="shared" si="51"/>
        <v>No requiere</v>
      </c>
      <c r="EQ94" s="77" t="str">
        <f t="shared" si="52"/>
        <v>No requiere</v>
      </c>
      <c r="ER94" s="71"/>
      <c r="ES94" s="79" t="s">
        <v>179</v>
      </c>
      <c r="ET94" s="73" t="str">
        <f t="shared" si="53"/>
        <v>No requiere</v>
      </c>
      <c r="EU94" s="73" t="str">
        <f t="shared" si="57"/>
        <v>No requiere</v>
      </c>
      <c r="EV94" s="73" t="str">
        <f t="shared" si="54"/>
        <v>No requiere</v>
      </c>
      <c r="EW94" s="73" t="str">
        <f t="shared" si="55"/>
        <v>No requiere</v>
      </c>
      <c r="EX94" s="78"/>
      <c r="EY94" s="78"/>
    </row>
    <row r="95" spans="1:155" ht="46.5" customHeight="1">
      <c r="A95" s="79" t="str">
        <v/>
      </c>
      <c r="B95" s="80" t="s">
        <v>892</v>
      </c>
      <c r="C95" s="81">
        <v>45362</v>
      </c>
      <c r="D95" s="82">
        <v>0.33333333333333331</v>
      </c>
      <c r="E95" s="79" t="s">
        <v>151</v>
      </c>
      <c r="F95" s="79" t="s">
        <v>152</v>
      </c>
      <c r="G95" s="79" t="s">
        <v>153</v>
      </c>
      <c r="H95" s="79" t="s">
        <v>152</v>
      </c>
      <c r="I95" s="79" t="s">
        <v>152</v>
      </c>
      <c r="J95" s="79" t="s">
        <v>154</v>
      </c>
      <c r="K95" s="79" t="s">
        <v>155</v>
      </c>
      <c r="L95" s="80" t="s">
        <v>893</v>
      </c>
      <c r="M95" s="80" t="s">
        <v>157</v>
      </c>
      <c r="N95" s="79" t="s">
        <v>265</v>
      </c>
      <c r="O95" s="80" t="str">
        <f t="shared" si="41"/>
        <v/>
      </c>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t="s">
        <v>169</v>
      </c>
      <c r="AP95" s="79" t="s">
        <v>170</v>
      </c>
      <c r="AQ95" s="80" t="s">
        <v>894</v>
      </c>
      <c r="AR95" s="83">
        <v>3118542974</v>
      </c>
      <c r="AS95" s="80" t="s">
        <v>895</v>
      </c>
      <c r="AT95" s="80" t="str">
        <f t="shared" si="42"/>
        <v>Distrital</v>
      </c>
      <c r="AU95" s="79" t="s">
        <v>172</v>
      </c>
      <c r="AV95" s="79"/>
      <c r="AW95" s="79"/>
      <c r="AX95" s="79"/>
      <c r="AY95" s="79"/>
      <c r="AZ95" s="79"/>
      <c r="BA95" s="80" t="str">
        <f t="shared" si="43"/>
        <v>Distrital</v>
      </c>
      <c r="BB95" s="79" t="s">
        <v>172</v>
      </c>
      <c r="BC95" s="79"/>
      <c r="BD95" s="79"/>
      <c r="BE95" s="79"/>
      <c r="BF95" s="79"/>
      <c r="BG95" s="79"/>
      <c r="BH95" s="80" t="str">
        <f t="shared" si="44"/>
        <v>Distrital</v>
      </c>
      <c r="BI95" s="79" t="s">
        <v>172</v>
      </c>
      <c r="BJ95" s="79"/>
      <c r="BK95" s="79"/>
      <c r="BL95" s="79"/>
      <c r="BM95" s="79"/>
      <c r="BN95" s="79"/>
      <c r="BO95" s="79"/>
      <c r="BP95" s="79"/>
      <c r="BQ95" s="79"/>
      <c r="BR95" s="79"/>
      <c r="BS95" s="80" t="s">
        <v>288</v>
      </c>
      <c r="BT95" s="80" t="s">
        <v>174</v>
      </c>
      <c r="BU95" s="80" t="s">
        <v>197</v>
      </c>
      <c r="BV95" s="71"/>
      <c r="BW95" s="79" t="s">
        <v>153</v>
      </c>
      <c r="BX95" s="79" t="s">
        <v>176</v>
      </c>
      <c r="BY95" s="71"/>
      <c r="BZ95" s="79">
        <v>3</v>
      </c>
      <c r="CA95" s="79">
        <v>2</v>
      </c>
      <c r="CB95" s="79">
        <f t="shared" si="25"/>
        <v>5</v>
      </c>
      <c r="CC95" s="79" t="str">
        <f t="shared" si="45"/>
        <v>No Aplica</v>
      </c>
      <c r="CD95" s="79" t="s">
        <v>177</v>
      </c>
      <c r="CE95" s="79"/>
      <c r="CF95" s="79"/>
      <c r="CG95" s="83" t="s">
        <v>896</v>
      </c>
      <c r="CH95" s="41"/>
      <c r="CI95" s="79" t="s">
        <v>153</v>
      </c>
      <c r="CJ95" s="71"/>
      <c r="CK95" s="79">
        <f t="shared" si="38"/>
        <v>0</v>
      </c>
      <c r="CL95" s="79"/>
      <c r="CM95" s="79"/>
      <c r="CN95" s="79"/>
      <c r="CO95" s="79"/>
      <c r="CP95" s="79"/>
      <c r="CQ95" s="79"/>
      <c r="CR95" s="83" t="s">
        <v>179</v>
      </c>
      <c r="CS95" s="83" t="s">
        <v>179</v>
      </c>
      <c r="CT95" s="83" t="s">
        <v>179</v>
      </c>
      <c r="CU95" s="83" t="s">
        <v>179</v>
      </c>
      <c r="CV95" s="83" t="s">
        <v>179</v>
      </c>
      <c r="CW95" s="83" t="s">
        <v>179</v>
      </c>
      <c r="CX95" s="79" t="s">
        <v>153</v>
      </c>
      <c r="CY95" s="79">
        <f t="shared" si="39"/>
        <v>0</v>
      </c>
      <c r="CZ95" s="79">
        <v>0</v>
      </c>
      <c r="DA95" s="79">
        <f t="shared" si="40"/>
        <v>0</v>
      </c>
      <c r="DB95" s="84" t="str">
        <f t="shared" si="46"/>
        <v/>
      </c>
      <c r="DC95" s="41"/>
      <c r="DD95" s="79" t="s">
        <v>153</v>
      </c>
      <c r="DE95" s="71"/>
      <c r="DF95" s="85" t="s">
        <v>897</v>
      </c>
      <c r="DG95" s="79">
        <v>90</v>
      </c>
      <c r="DH95" s="86" t="str">
        <f t="shared" si="58"/>
        <v>Completo</v>
      </c>
      <c r="DI95" s="79" t="s">
        <v>181</v>
      </c>
      <c r="DJ95" s="79" t="s">
        <v>182</v>
      </c>
      <c r="DK95" s="79"/>
      <c r="DL95" s="79">
        <v>0</v>
      </c>
      <c r="DM95" s="79">
        <v>0</v>
      </c>
      <c r="DN95" s="79" t="s">
        <v>182</v>
      </c>
      <c r="DO95" s="79"/>
      <c r="DP95" s="79"/>
      <c r="DQ95" s="79"/>
      <c r="DR95" s="75" t="str">
        <f t="shared" si="47"/>
        <v>No aplica</v>
      </c>
      <c r="DS95" s="79"/>
      <c r="DT95" s="79"/>
      <c r="DU95" s="75" t="str">
        <f t="shared" si="48"/>
        <v>No aplica</v>
      </c>
      <c r="DV95" s="79" t="s">
        <v>182</v>
      </c>
      <c r="DW95" s="79"/>
      <c r="DX95" s="79"/>
      <c r="DY95" s="79"/>
      <c r="DZ95" s="79"/>
      <c r="EA95" s="79"/>
      <c r="EB95" s="79"/>
      <c r="EC95" s="79"/>
      <c r="ED95" s="79" t="s">
        <v>898</v>
      </c>
      <c r="EE95" s="79" t="str">
        <f t="shared" si="37"/>
        <v>Completo</v>
      </c>
      <c r="EF95" s="41"/>
      <c r="EG95" s="79" t="s">
        <v>153</v>
      </c>
      <c r="EH95" s="71"/>
      <c r="EI95" s="80"/>
      <c r="EJ95" s="71"/>
      <c r="EK95" s="79" t="s">
        <v>179</v>
      </c>
      <c r="EL95" s="76" t="str">
        <f t="shared" si="49"/>
        <v>No requiere</v>
      </c>
      <c r="EM95" s="76" t="str">
        <f t="shared" si="50"/>
        <v>No requiere</v>
      </c>
      <c r="EN95" s="76" t="str">
        <f t="shared" si="56"/>
        <v>No requiere</v>
      </c>
      <c r="EO95" s="71"/>
      <c r="EP95" s="73" t="str">
        <f t="shared" si="51"/>
        <v>No requiere</v>
      </c>
      <c r="EQ95" s="77" t="str">
        <f t="shared" si="52"/>
        <v>No requiere</v>
      </c>
      <c r="ER95" s="71"/>
      <c r="ES95" s="79" t="s">
        <v>179</v>
      </c>
      <c r="ET95" s="73" t="str">
        <f t="shared" si="53"/>
        <v>No requiere</v>
      </c>
      <c r="EU95" s="73" t="str">
        <f t="shared" si="57"/>
        <v>No requiere</v>
      </c>
      <c r="EV95" s="73" t="str">
        <f t="shared" si="54"/>
        <v>No requiere</v>
      </c>
      <c r="EW95" s="73" t="str">
        <f t="shared" si="55"/>
        <v>No requiere</v>
      </c>
      <c r="EX95" s="78"/>
      <c r="EY95" s="78"/>
    </row>
    <row r="96" spans="1:155" ht="46.5" customHeight="1">
      <c r="A96" s="79" t="str">
        <v/>
      </c>
      <c r="B96" s="80" t="s">
        <v>899</v>
      </c>
      <c r="C96" s="81">
        <v>45362</v>
      </c>
      <c r="D96" s="82">
        <v>0.33333333333333331</v>
      </c>
      <c r="E96" s="79" t="s">
        <v>151</v>
      </c>
      <c r="F96" s="79" t="s">
        <v>152</v>
      </c>
      <c r="G96" s="79" t="s">
        <v>153</v>
      </c>
      <c r="H96" s="79" t="s">
        <v>152</v>
      </c>
      <c r="I96" s="79" t="s">
        <v>152</v>
      </c>
      <c r="J96" s="79" t="s">
        <v>154</v>
      </c>
      <c r="K96" s="79" t="s">
        <v>155</v>
      </c>
      <c r="L96" s="80" t="s">
        <v>900</v>
      </c>
      <c r="M96" s="80" t="s">
        <v>157</v>
      </c>
      <c r="N96" s="79" t="s">
        <v>163</v>
      </c>
      <c r="O96" s="80" t="str">
        <f t="shared" si="41"/>
        <v/>
      </c>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t="s">
        <v>169</v>
      </c>
      <c r="AP96" s="79" t="s">
        <v>170</v>
      </c>
      <c r="AQ96" s="80" t="s">
        <v>901</v>
      </c>
      <c r="AR96" s="83">
        <v>3159261429</v>
      </c>
      <c r="AS96" s="80" t="s">
        <v>902</v>
      </c>
      <c r="AT96" s="80" t="str">
        <f t="shared" si="42"/>
        <v>Distrital</v>
      </c>
      <c r="AU96" s="79" t="s">
        <v>172</v>
      </c>
      <c r="AV96" s="79"/>
      <c r="AW96" s="79"/>
      <c r="AX96" s="79"/>
      <c r="AY96" s="79"/>
      <c r="AZ96" s="79"/>
      <c r="BA96" s="80" t="str">
        <f t="shared" si="43"/>
        <v>Distrital</v>
      </c>
      <c r="BB96" s="79" t="s">
        <v>172</v>
      </c>
      <c r="BC96" s="79"/>
      <c r="BD96" s="79"/>
      <c r="BE96" s="79"/>
      <c r="BF96" s="79"/>
      <c r="BG96" s="79"/>
      <c r="BH96" s="80" t="str">
        <f t="shared" si="44"/>
        <v>Distrital</v>
      </c>
      <c r="BI96" s="79" t="s">
        <v>172</v>
      </c>
      <c r="BJ96" s="79"/>
      <c r="BK96" s="79"/>
      <c r="BL96" s="79"/>
      <c r="BM96" s="79"/>
      <c r="BN96" s="79"/>
      <c r="BO96" s="79"/>
      <c r="BP96" s="79"/>
      <c r="BQ96" s="79"/>
      <c r="BR96" s="79"/>
      <c r="BS96" s="80" t="s">
        <v>288</v>
      </c>
      <c r="BT96" s="80" t="s">
        <v>174</v>
      </c>
      <c r="BU96" s="80" t="s">
        <v>903</v>
      </c>
      <c r="BV96" s="71"/>
      <c r="BW96" s="79" t="s">
        <v>153</v>
      </c>
      <c r="BX96" s="79" t="s">
        <v>176</v>
      </c>
      <c r="BY96" s="71"/>
      <c r="BZ96" s="79">
        <v>10</v>
      </c>
      <c r="CA96" s="79">
        <v>6</v>
      </c>
      <c r="CB96" s="79">
        <f t="shared" si="25"/>
        <v>16</v>
      </c>
      <c r="CC96" s="79" t="str">
        <f t="shared" si="45"/>
        <v>No Aplica</v>
      </c>
      <c r="CD96" s="79" t="s">
        <v>177</v>
      </c>
      <c r="CE96" s="79"/>
      <c r="CF96" s="79"/>
      <c r="CG96" s="83" t="s">
        <v>904</v>
      </c>
      <c r="CH96" s="41"/>
      <c r="CI96" s="79" t="s">
        <v>153</v>
      </c>
      <c r="CJ96" s="71"/>
      <c r="CK96" s="79">
        <f t="shared" si="38"/>
        <v>0</v>
      </c>
      <c r="CL96" s="79"/>
      <c r="CM96" s="79"/>
      <c r="CN96" s="79"/>
      <c r="CO96" s="79"/>
      <c r="CP96" s="79"/>
      <c r="CQ96" s="79"/>
      <c r="CR96" s="83" t="s">
        <v>179</v>
      </c>
      <c r="CS96" s="83" t="s">
        <v>179</v>
      </c>
      <c r="CT96" s="83" t="s">
        <v>179</v>
      </c>
      <c r="CU96" s="83" t="s">
        <v>179</v>
      </c>
      <c r="CV96" s="83" t="s">
        <v>179</v>
      </c>
      <c r="CW96" s="83" t="s">
        <v>179</v>
      </c>
      <c r="CX96" s="79" t="s">
        <v>153</v>
      </c>
      <c r="CY96" s="79">
        <f t="shared" si="39"/>
        <v>0</v>
      </c>
      <c r="CZ96" s="79">
        <v>0</v>
      </c>
      <c r="DA96" s="79">
        <f t="shared" si="40"/>
        <v>0</v>
      </c>
      <c r="DB96" s="84" t="str">
        <f t="shared" si="46"/>
        <v/>
      </c>
      <c r="DC96" s="41"/>
      <c r="DD96" s="79" t="s">
        <v>153</v>
      </c>
      <c r="DE96" s="71"/>
      <c r="DF96" s="85" t="s">
        <v>905</v>
      </c>
      <c r="DG96" s="79">
        <v>91</v>
      </c>
      <c r="DH96" s="86" t="str">
        <f t="shared" si="58"/>
        <v>Completo</v>
      </c>
      <c r="DI96" s="79" t="s">
        <v>181</v>
      </c>
      <c r="DJ96" s="79" t="s">
        <v>182</v>
      </c>
      <c r="DK96" s="79"/>
      <c r="DL96" s="79">
        <v>0</v>
      </c>
      <c r="DM96" s="79">
        <v>0</v>
      </c>
      <c r="DN96" s="79"/>
      <c r="DO96" s="79"/>
      <c r="DP96" s="79"/>
      <c r="DQ96" s="79"/>
      <c r="DR96" s="75" t="str">
        <f t="shared" si="47"/>
        <v>No aplica</v>
      </c>
      <c r="DS96" s="79"/>
      <c r="DT96" s="79"/>
      <c r="DU96" s="75" t="str">
        <f t="shared" si="48"/>
        <v>No aplica</v>
      </c>
      <c r="DV96" s="79"/>
      <c r="DW96" s="79"/>
      <c r="DX96" s="79"/>
      <c r="DY96" s="79"/>
      <c r="DZ96" s="79"/>
      <c r="EA96" s="79"/>
      <c r="EB96" s="79"/>
      <c r="EC96" s="79"/>
      <c r="ED96" s="79" t="s">
        <v>906</v>
      </c>
      <c r="EE96" s="79" t="str">
        <f t="shared" si="37"/>
        <v>Completo</v>
      </c>
      <c r="EF96" s="41"/>
      <c r="EG96" s="79" t="s">
        <v>153</v>
      </c>
      <c r="EH96" s="71"/>
      <c r="EI96" s="80"/>
      <c r="EJ96" s="71"/>
      <c r="EK96" s="79" t="s">
        <v>179</v>
      </c>
      <c r="EL96" s="76" t="str">
        <f t="shared" si="49"/>
        <v>No requiere</v>
      </c>
      <c r="EM96" s="76" t="str">
        <f t="shared" si="50"/>
        <v>No requiere</v>
      </c>
      <c r="EN96" s="76" t="str">
        <f t="shared" si="56"/>
        <v>No requiere</v>
      </c>
      <c r="EO96" s="71"/>
      <c r="EP96" s="73" t="str">
        <f t="shared" si="51"/>
        <v>No requiere</v>
      </c>
      <c r="EQ96" s="77" t="str">
        <f t="shared" si="52"/>
        <v>No requiere</v>
      </c>
      <c r="ER96" s="71"/>
      <c r="ES96" s="79" t="s">
        <v>179</v>
      </c>
      <c r="ET96" s="73" t="str">
        <f t="shared" si="53"/>
        <v>No requiere</v>
      </c>
      <c r="EU96" s="73" t="str">
        <f t="shared" si="57"/>
        <v>No requiere</v>
      </c>
      <c r="EV96" s="73" t="str">
        <f t="shared" si="54"/>
        <v>No requiere</v>
      </c>
      <c r="EW96" s="73" t="str">
        <f t="shared" si="55"/>
        <v>No requiere</v>
      </c>
      <c r="EX96" s="78"/>
      <c r="EY96" s="78"/>
    </row>
    <row r="97" spans="1:155" ht="46.5" customHeight="1">
      <c r="A97" s="79">
        <v>93</v>
      </c>
      <c r="B97" s="80" t="s">
        <v>907</v>
      </c>
      <c r="C97" s="81">
        <v>45362</v>
      </c>
      <c r="D97" s="82">
        <v>0.375</v>
      </c>
      <c r="E97" s="79" t="s">
        <v>200</v>
      </c>
      <c r="F97" s="79" t="s">
        <v>153</v>
      </c>
      <c r="G97" s="79" t="s">
        <v>152</v>
      </c>
      <c r="H97" s="79" t="s">
        <v>152</v>
      </c>
      <c r="I97" s="79" t="s">
        <v>152</v>
      </c>
      <c r="J97" s="79" t="s">
        <v>504</v>
      </c>
      <c r="K97" s="79" t="s">
        <v>155</v>
      </c>
      <c r="L97" s="80" t="s">
        <v>908</v>
      </c>
      <c r="M97" s="80" t="s">
        <v>157</v>
      </c>
      <c r="N97" s="79" t="s">
        <v>720</v>
      </c>
      <c r="O97" s="80" t="str">
        <f t="shared" si="41"/>
        <v/>
      </c>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t="s">
        <v>169</v>
      </c>
      <c r="AP97" s="79" t="s">
        <v>507</v>
      </c>
      <c r="AQ97" s="80" t="s">
        <v>909</v>
      </c>
      <c r="AR97" s="80" t="s">
        <v>171</v>
      </c>
      <c r="AS97" s="80" t="s">
        <v>171</v>
      </c>
      <c r="AT97" s="80" t="str">
        <f t="shared" si="42"/>
        <v>Rafael Uribe Uribe</v>
      </c>
      <c r="AU97" s="79" t="s">
        <v>635</v>
      </c>
      <c r="AV97" s="79"/>
      <c r="AW97" s="79"/>
      <c r="AX97" s="79"/>
      <c r="AY97" s="79"/>
      <c r="AZ97" s="79"/>
      <c r="BA97" s="80" t="str">
        <f t="shared" si="43"/>
        <v>Centro Ampliado, Suroriente</v>
      </c>
      <c r="BB97" s="79" t="s">
        <v>636</v>
      </c>
      <c r="BC97" s="79" t="s">
        <v>218</v>
      </c>
      <c r="BD97" s="79"/>
      <c r="BE97" s="79"/>
      <c r="BF97" s="79"/>
      <c r="BG97" s="79"/>
      <c r="BH97" s="80" t="str">
        <f t="shared" si="44"/>
        <v>Rafael Uribe, Restrepo, San Cristobal</v>
      </c>
      <c r="BI97" s="79" t="s">
        <v>723</v>
      </c>
      <c r="BJ97" s="79" t="s">
        <v>637</v>
      </c>
      <c r="BK97" s="79" t="s">
        <v>571</v>
      </c>
      <c r="BL97" s="79"/>
      <c r="BM97" s="79"/>
      <c r="BN97" s="79"/>
      <c r="BO97" s="79"/>
      <c r="BP97" s="79"/>
      <c r="BQ97" s="79"/>
      <c r="BR97" s="79"/>
      <c r="BS97" s="80" t="s">
        <v>288</v>
      </c>
      <c r="BT97" s="80" t="s">
        <v>174</v>
      </c>
      <c r="BU97" s="92" t="s">
        <v>910</v>
      </c>
      <c r="BV97" s="71"/>
      <c r="BW97" s="79" t="s">
        <v>152</v>
      </c>
      <c r="BX97" s="79" t="s">
        <v>179</v>
      </c>
      <c r="BY97" s="71"/>
      <c r="BZ97" s="79">
        <v>4</v>
      </c>
      <c r="CA97" s="79">
        <v>1</v>
      </c>
      <c r="CB97" s="79">
        <f t="shared" si="25"/>
        <v>5</v>
      </c>
      <c r="CC97" s="79" t="str">
        <f t="shared" si="45"/>
        <v>No Aplica</v>
      </c>
      <c r="CD97" s="79" t="s">
        <v>177</v>
      </c>
      <c r="CE97" s="79"/>
      <c r="CF97" s="79"/>
      <c r="CG97" s="83" t="s">
        <v>911</v>
      </c>
      <c r="CH97" s="41"/>
      <c r="CI97" s="79" t="s">
        <v>153</v>
      </c>
      <c r="CJ97" s="71"/>
      <c r="CK97" s="79">
        <f t="shared" si="38"/>
        <v>0</v>
      </c>
      <c r="CL97" s="93"/>
      <c r="CM97" s="79"/>
      <c r="CN97" s="79"/>
      <c r="CO97" s="79"/>
      <c r="CP97" s="79"/>
      <c r="CQ97" s="79"/>
      <c r="CR97" s="83" t="s">
        <v>179</v>
      </c>
      <c r="CS97" s="83" t="s">
        <v>179</v>
      </c>
      <c r="CT97" s="83" t="s">
        <v>179</v>
      </c>
      <c r="CU97" s="83" t="s">
        <v>179</v>
      </c>
      <c r="CV97" s="83" t="s">
        <v>179</v>
      </c>
      <c r="CW97" s="83" t="s">
        <v>179</v>
      </c>
      <c r="CX97" s="79" t="s">
        <v>153</v>
      </c>
      <c r="CY97" s="79">
        <f t="shared" si="39"/>
        <v>0</v>
      </c>
      <c r="CZ97" s="79">
        <v>0</v>
      </c>
      <c r="DA97" s="79">
        <f t="shared" si="40"/>
        <v>0</v>
      </c>
      <c r="DB97" s="84" t="str">
        <f t="shared" si="46"/>
        <v/>
      </c>
      <c r="DC97" s="41"/>
      <c r="DD97" s="79" t="s">
        <v>153</v>
      </c>
      <c r="DE97" s="71"/>
      <c r="DF97" s="85" t="s">
        <v>912</v>
      </c>
      <c r="DG97" s="79">
        <v>92</v>
      </c>
      <c r="DH97" s="86" t="str">
        <f t="shared" si="58"/>
        <v>Completo</v>
      </c>
      <c r="DI97" s="79" t="s">
        <v>181</v>
      </c>
      <c r="DJ97" s="79" t="s">
        <v>182</v>
      </c>
      <c r="DK97" s="79"/>
      <c r="DL97" s="79">
        <v>0</v>
      </c>
      <c r="DM97" s="79">
        <v>0</v>
      </c>
      <c r="DN97" s="79" t="s">
        <v>182</v>
      </c>
      <c r="DO97" s="79"/>
      <c r="DP97" s="79"/>
      <c r="DQ97" s="79"/>
      <c r="DR97" s="75" t="str">
        <f t="shared" si="47"/>
        <v>No aplica</v>
      </c>
      <c r="DS97" s="79"/>
      <c r="DT97" s="79"/>
      <c r="DU97" s="75" t="str">
        <f t="shared" si="48"/>
        <v>No aplica</v>
      </c>
      <c r="DV97" s="79" t="s">
        <v>182</v>
      </c>
      <c r="DW97" s="79" t="s">
        <v>182</v>
      </c>
      <c r="DX97" s="79"/>
      <c r="DY97" s="79"/>
      <c r="DZ97" s="79"/>
      <c r="EA97" s="79"/>
      <c r="EB97" s="79" t="s">
        <v>191</v>
      </c>
      <c r="EC97" s="79"/>
      <c r="ED97" s="79" t="s">
        <v>184</v>
      </c>
      <c r="EE97" s="79" t="str">
        <f t="shared" si="37"/>
        <v>Completo</v>
      </c>
      <c r="EF97" s="41"/>
      <c r="EG97" s="79" t="s">
        <v>153</v>
      </c>
      <c r="EH97" s="71"/>
      <c r="EI97" s="80"/>
      <c r="EJ97" s="71"/>
      <c r="EK97" s="79" t="s">
        <v>179</v>
      </c>
      <c r="EL97" s="76" t="str">
        <f t="shared" si="49"/>
        <v>No requiere</v>
      </c>
      <c r="EM97" s="76" t="str">
        <f t="shared" si="50"/>
        <v>No requiere</v>
      </c>
      <c r="EN97" s="76" t="str">
        <f t="shared" si="56"/>
        <v>No requiere</v>
      </c>
      <c r="EO97" s="71"/>
      <c r="EP97" s="73" t="str">
        <f t="shared" si="51"/>
        <v>No requiere</v>
      </c>
      <c r="EQ97" s="77" t="str">
        <f t="shared" si="52"/>
        <v>No requiere</v>
      </c>
      <c r="ER97" s="71"/>
      <c r="ES97" s="79" t="s">
        <v>179</v>
      </c>
      <c r="ET97" s="73" t="str">
        <f t="shared" si="53"/>
        <v>No requiere</v>
      </c>
      <c r="EU97" s="73" t="str">
        <f t="shared" si="57"/>
        <v>No requiere</v>
      </c>
      <c r="EV97" s="73" t="str">
        <f t="shared" si="54"/>
        <v>No requiere</v>
      </c>
      <c r="EW97" s="73" t="str">
        <f t="shared" si="55"/>
        <v>No requiere</v>
      </c>
      <c r="EX97" s="78"/>
      <c r="EY97" s="78"/>
    </row>
    <row r="98" spans="1:155" ht="46.5" customHeight="1">
      <c r="A98" s="79" t="str">
        <v/>
      </c>
      <c r="B98" s="80" t="s">
        <v>913</v>
      </c>
      <c r="C98" s="81">
        <v>45362</v>
      </c>
      <c r="D98" s="82">
        <v>0.58333333333333337</v>
      </c>
      <c r="E98" s="79" t="s">
        <v>151</v>
      </c>
      <c r="F98" s="79" t="s">
        <v>152</v>
      </c>
      <c r="G98" s="79" t="s">
        <v>152</v>
      </c>
      <c r="H98" s="79" t="s">
        <v>152</v>
      </c>
      <c r="I98" s="79" t="s">
        <v>152</v>
      </c>
      <c r="J98" s="79" t="s">
        <v>154</v>
      </c>
      <c r="K98" s="79" t="s">
        <v>155</v>
      </c>
      <c r="L98" s="80" t="s">
        <v>914</v>
      </c>
      <c r="M98" s="80" t="s">
        <v>157</v>
      </c>
      <c r="N98" s="79" t="s">
        <v>195</v>
      </c>
      <c r="O98" s="80" t="str">
        <f t="shared" si="41"/>
        <v/>
      </c>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t="s">
        <v>169</v>
      </c>
      <c r="AP98" s="79" t="s">
        <v>204</v>
      </c>
      <c r="AQ98" s="80" t="s">
        <v>915</v>
      </c>
      <c r="AR98" s="83">
        <v>3132098911</v>
      </c>
      <c r="AS98" s="80" t="s">
        <v>171</v>
      </c>
      <c r="AT98" s="80" t="str">
        <f t="shared" si="42"/>
        <v>Distrital</v>
      </c>
      <c r="AU98" s="79" t="s">
        <v>172</v>
      </c>
      <c r="AV98" s="79"/>
      <c r="AW98" s="79"/>
      <c r="AX98" s="79"/>
      <c r="AY98" s="79"/>
      <c r="AZ98" s="79"/>
      <c r="BA98" s="80" t="str">
        <f t="shared" si="43"/>
        <v>Distrital</v>
      </c>
      <c r="BB98" s="79" t="s">
        <v>172</v>
      </c>
      <c r="BC98" s="79"/>
      <c r="BD98" s="79"/>
      <c r="BE98" s="79"/>
      <c r="BF98" s="79"/>
      <c r="BG98" s="79"/>
      <c r="BH98" s="80" t="str">
        <f t="shared" si="44"/>
        <v>Distrital</v>
      </c>
      <c r="BI98" s="79" t="s">
        <v>172</v>
      </c>
      <c r="BJ98" s="79"/>
      <c r="BK98" s="79"/>
      <c r="BL98" s="79"/>
      <c r="BM98" s="79"/>
      <c r="BN98" s="79"/>
      <c r="BO98" s="79"/>
      <c r="BP98" s="79"/>
      <c r="BQ98" s="79"/>
      <c r="BR98" s="79"/>
      <c r="BS98" s="80" t="s">
        <v>288</v>
      </c>
      <c r="BT98" s="80" t="s">
        <v>174</v>
      </c>
      <c r="BU98" s="80" t="s">
        <v>916</v>
      </c>
      <c r="BV98" s="71"/>
      <c r="BW98" s="79" t="s">
        <v>153</v>
      </c>
      <c r="BX98" s="79" t="s">
        <v>176</v>
      </c>
      <c r="BY98" s="71"/>
      <c r="BZ98" s="79">
        <v>2</v>
      </c>
      <c r="CA98" s="79">
        <v>2</v>
      </c>
      <c r="CB98" s="79">
        <f t="shared" si="25"/>
        <v>4</v>
      </c>
      <c r="CC98" s="79" t="str">
        <f t="shared" si="45"/>
        <v>No Aplica</v>
      </c>
      <c r="CD98" s="79" t="s">
        <v>177</v>
      </c>
      <c r="CE98" s="79"/>
      <c r="CF98" s="79"/>
      <c r="CG98" s="83" t="s">
        <v>917</v>
      </c>
      <c r="CH98" s="41"/>
      <c r="CI98" s="79" t="s">
        <v>153</v>
      </c>
      <c r="CJ98" s="71"/>
      <c r="CK98" s="79">
        <f t="shared" si="38"/>
        <v>2</v>
      </c>
      <c r="CL98" s="79" t="s">
        <v>918</v>
      </c>
      <c r="CM98" s="79" t="s">
        <v>919</v>
      </c>
      <c r="CN98" s="79"/>
      <c r="CO98" s="79"/>
      <c r="CP98" s="79"/>
      <c r="CQ98" s="79"/>
      <c r="CR98" s="83" t="s">
        <v>920</v>
      </c>
      <c r="CS98" s="83" t="s">
        <v>390</v>
      </c>
      <c r="CT98" s="83" t="s">
        <v>179</v>
      </c>
      <c r="CU98" s="83" t="s">
        <v>179</v>
      </c>
      <c r="CV98" s="83" t="s">
        <v>179</v>
      </c>
      <c r="CW98" s="83" t="s">
        <v>179</v>
      </c>
      <c r="CX98" s="79" t="s">
        <v>153</v>
      </c>
      <c r="CY98" s="79">
        <f t="shared" si="39"/>
        <v>2</v>
      </c>
      <c r="CZ98" s="79">
        <v>2</v>
      </c>
      <c r="DA98" s="79">
        <f t="shared" si="40"/>
        <v>1</v>
      </c>
      <c r="DB98" s="84">
        <f t="shared" si="46"/>
        <v>1</v>
      </c>
      <c r="DC98" s="41"/>
      <c r="DD98" s="79" t="s">
        <v>153</v>
      </c>
      <c r="DE98" s="71"/>
      <c r="DF98" s="85" t="s">
        <v>921</v>
      </c>
      <c r="DG98" s="79">
        <v>93</v>
      </c>
      <c r="DH98" s="86" t="str">
        <f t="shared" si="58"/>
        <v>Completo</v>
      </c>
      <c r="DI98" s="79" t="s">
        <v>181</v>
      </c>
      <c r="DJ98" s="79" t="s">
        <v>182</v>
      </c>
      <c r="DK98" s="79"/>
      <c r="DL98" s="79">
        <v>0</v>
      </c>
      <c r="DM98" s="79">
        <v>0</v>
      </c>
      <c r="DN98" s="79" t="s">
        <v>182</v>
      </c>
      <c r="DO98" s="79"/>
      <c r="DP98" s="79"/>
      <c r="DQ98" s="79"/>
      <c r="DR98" s="75" t="str">
        <f t="shared" si="47"/>
        <v>No aplica</v>
      </c>
      <c r="DS98" s="79"/>
      <c r="DT98" s="79"/>
      <c r="DU98" s="75" t="str">
        <f t="shared" si="48"/>
        <v>No aplica</v>
      </c>
      <c r="DV98" s="79" t="s">
        <v>182</v>
      </c>
      <c r="DW98" s="79" t="s">
        <v>182</v>
      </c>
      <c r="DX98" s="79"/>
      <c r="DY98" s="79"/>
      <c r="DZ98" s="79"/>
      <c r="EA98" s="79"/>
      <c r="EB98" s="79" t="s">
        <v>191</v>
      </c>
      <c r="EC98" s="79"/>
      <c r="ED98" s="79" t="s">
        <v>249</v>
      </c>
      <c r="EE98" s="79" t="str">
        <f t="shared" si="37"/>
        <v>Completo</v>
      </c>
      <c r="EF98" s="41"/>
      <c r="EG98" s="79" t="s">
        <v>153</v>
      </c>
      <c r="EH98" s="71"/>
      <c r="EI98" s="80"/>
      <c r="EJ98" s="71"/>
      <c r="EK98" s="79" t="s">
        <v>179</v>
      </c>
      <c r="EL98" s="76" t="str">
        <f t="shared" si="49"/>
        <v>No requiere</v>
      </c>
      <c r="EM98" s="76" t="str">
        <f t="shared" si="50"/>
        <v>No requiere</v>
      </c>
      <c r="EN98" s="76" t="str">
        <f t="shared" si="56"/>
        <v>No requiere</v>
      </c>
      <c r="EO98" s="71"/>
      <c r="EP98" s="73" t="str">
        <f t="shared" si="51"/>
        <v>No requiere</v>
      </c>
      <c r="EQ98" s="77" t="str">
        <f t="shared" si="52"/>
        <v>No requiere</v>
      </c>
      <c r="ER98" s="71"/>
      <c r="ES98" s="79" t="s">
        <v>179</v>
      </c>
      <c r="ET98" s="73" t="str">
        <f t="shared" si="53"/>
        <v>No requiere</v>
      </c>
      <c r="EU98" s="73" t="str">
        <f t="shared" si="57"/>
        <v>No requiere</v>
      </c>
      <c r="EV98" s="73" t="str">
        <f t="shared" si="54"/>
        <v>No requiere</v>
      </c>
      <c r="EW98" s="73" t="str">
        <f t="shared" si="55"/>
        <v>No requiere</v>
      </c>
      <c r="EX98" s="78"/>
      <c r="EY98" s="78"/>
    </row>
    <row r="99" spans="1:155" ht="46.5" customHeight="1">
      <c r="A99" s="79">
        <v>95</v>
      </c>
      <c r="B99" s="80" t="s">
        <v>922</v>
      </c>
      <c r="C99" s="81">
        <v>45362</v>
      </c>
      <c r="D99" s="82">
        <v>0.60416666666666663</v>
      </c>
      <c r="E99" s="79" t="s">
        <v>151</v>
      </c>
      <c r="F99" s="79" t="s">
        <v>153</v>
      </c>
      <c r="G99" s="79" t="s">
        <v>152</v>
      </c>
      <c r="H99" s="79" t="s">
        <v>152</v>
      </c>
      <c r="I99" s="79" t="s">
        <v>152</v>
      </c>
      <c r="J99" s="79" t="s">
        <v>154</v>
      </c>
      <c r="K99" s="79" t="s">
        <v>155</v>
      </c>
      <c r="L99" s="80" t="s">
        <v>923</v>
      </c>
      <c r="M99" s="80" t="s">
        <v>229</v>
      </c>
      <c r="N99" s="79" t="s">
        <v>924</v>
      </c>
      <c r="O99" s="80" t="str">
        <f t="shared" si="41"/>
        <v/>
      </c>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t="s">
        <v>230</v>
      </c>
      <c r="AP99" s="79" t="s">
        <v>925</v>
      </c>
      <c r="AQ99" s="80" t="s">
        <v>171</v>
      </c>
      <c r="AR99" s="80" t="s">
        <v>171</v>
      </c>
      <c r="AS99" s="80" t="s">
        <v>171</v>
      </c>
      <c r="AT99" s="80" t="str">
        <f t="shared" si="42"/>
        <v>Distrital</v>
      </c>
      <c r="AU99" s="79" t="s">
        <v>172</v>
      </c>
      <c r="AV99" s="79"/>
      <c r="AW99" s="79"/>
      <c r="AX99" s="79"/>
      <c r="AY99" s="79"/>
      <c r="AZ99" s="79"/>
      <c r="BA99" s="80" t="str">
        <f t="shared" si="43"/>
        <v>Distrital</v>
      </c>
      <c r="BB99" s="79" t="s">
        <v>172</v>
      </c>
      <c r="BC99" s="79"/>
      <c r="BD99" s="79"/>
      <c r="BE99" s="79"/>
      <c r="BF99" s="79"/>
      <c r="BG99" s="79"/>
      <c r="BH99" s="80" t="str">
        <f t="shared" si="44"/>
        <v>Distrital</v>
      </c>
      <c r="BI99" s="79" t="s">
        <v>172</v>
      </c>
      <c r="BJ99" s="79"/>
      <c r="BK99" s="79"/>
      <c r="BL99" s="79"/>
      <c r="BM99" s="79"/>
      <c r="BN99" s="79"/>
      <c r="BO99" s="79"/>
      <c r="BP99" s="79"/>
      <c r="BQ99" s="79"/>
      <c r="BR99" s="79"/>
      <c r="BS99" s="80" t="s">
        <v>288</v>
      </c>
      <c r="BT99" s="80" t="s">
        <v>174</v>
      </c>
      <c r="BU99" s="80" t="s">
        <v>926</v>
      </c>
      <c r="BV99" s="71"/>
      <c r="BW99" s="79" t="s">
        <v>153</v>
      </c>
      <c r="BX99" s="79" t="s">
        <v>607</v>
      </c>
      <c r="BY99" s="71"/>
      <c r="BZ99" s="79">
        <v>14</v>
      </c>
      <c r="CA99" s="79">
        <v>4</v>
      </c>
      <c r="CB99" s="79">
        <f t="shared" si="25"/>
        <v>18</v>
      </c>
      <c r="CC99" s="79" t="str">
        <f t="shared" si="45"/>
        <v>No Aplica</v>
      </c>
      <c r="CD99" s="79" t="s">
        <v>177</v>
      </c>
      <c r="CE99" s="79"/>
      <c r="CF99" s="79"/>
      <c r="CG99" s="83" t="s">
        <v>927</v>
      </c>
      <c r="CH99" s="41"/>
      <c r="CI99" s="79" t="s">
        <v>153</v>
      </c>
      <c r="CJ99" s="71"/>
      <c r="CK99" s="79">
        <f t="shared" si="38"/>
        <v>1</v>
      </c>
      <c r="CL99" s="79" t="s">
        <v>928</v>
      </c>
      <c r="CM99" s="79"/>
      <c r="CN99" s="79"/>
      <c r="CO99" s="79"/>
      <c r="CP99" s="79"/>
      <c r="CQ99" s="79"/>
      <c r="CR99" s="83" t="s">
        <v>390</v>
      </c>
      <c r="CS99" s="83" t="s">
        <v>179</v>
      </c>
      <c r="CT99" s="83" t="s">
        <v>179</v>
      </c>
      <c r="CU99" s="83" t="s">
        <v>179</v>
      </c>
      <c r="CV99" s="83" t="s">
        <v>179</v>
      </c>
      <c r="CW99" s="83" t="s">
        <v>179</v>
      </c>
      <c r="CX99" s="79" t="s">
        <v>153</v>
      </c>
      <c r="CY99" s="79">
        <f t="shared" si="39"/>
        <v>1</v>
      </c>
      <c r="CZ99" s="79">
        <v>1</v>
      </c>
      <c r="DA99" s="79">
        <f t="shared" si="40"/>
        <v>1</v>
      </c>
      <c r="DB99" s="84">
        <f t="shared" si="46"/>
        <v>1</v>
      </c>
      <c r="DC99" s="41"/>
      <c r="DD99" s="79" t="s">
        <v>153</v>
      </c>
      <c r="DE99" s="71"/>
      <c r="DF99" s="85" t="s">
        <v>929</v>
      </c>
      <c r="DG99" s="79">
        <v>94</v>
      </c>
      <c r="DH99" s="86" t="str">
        <f t="shared" si="58"/>
        <v>Completo</v>
      </c>
      <c r="DI99" s="79" t="s">
        <v>181</v>
      </c>
      <c r="DJ99" s="79" t="s">
        <v>182</v>
      </c>
      <c r="DK99" s="79"/>
      <c r="DL99" s="79">
        <v>0</v>
      </c>
      <c r="DM99" s="79">
        <v>0</v>
      </c>
      <c r="DN99" s="79" t="s">
        <v>182</v>
      </c>
      <c r="DO99" s="79"/>
      <c r="DP99" s="79"/>
      <c r="DQ99" s="79"/>
      <c r="DR99" s="75" t="str">
        <f t="shared" si="47"/>
        <v>No aplica</v>
      </c>
      <c r="DS99" s="79"/>
      <c r="DT99" s="79"/>
      <c r="DU99" s="75" t="str">
        <f t="shared" si="48"/>
        <v>No aplica</v>
      </c>
      <c r="DV99" s="79" t="s">
        <v>191</v>
      </c>
      <c r="DW99" s="79" t="s">
        <v>182</v>
      </c>
      <c r="DX99" s="79"/>
      <c r="DY99" s="79"/>
      <c r="DZ99" s="79"/>
      <c r="EA99" s="79"/>
      <c r="EB99" s="79" t="s">
        <v>182</v>
      </c>
      <c r="EC99" s="79" t="s">
        <v>769</v>
      </c>
      <c r="ED99" s="79" t="s">
        <v>930</v>
      </c>
      <c r="EE99" s="79" t="str">
        <f t="shared" si="37"/>
        <v>Completo</v>
      </c>
      <c r="EF99" s="41"/>
      <c r="EG99" s="79" t="s">
        <v>153</v>
      </c>
      <c r="EH99" s="71"/>
      <c r="EI99" s="80"/>
      <c r="EJ99" s="71"/>
      <c r="EK99" s="79" t="s">
        <v>179</v>
      </c>
      <c r="EL99" s="76" t="str">
        <f t="shared" si="49"/>
        <v>No requiere</v>
      </c>
      <c r="EM99" s="76" t="str">
        <f t="shared" si="50"/>
        <v>No requiere</v>
      </c>
      <c r="EN99" s="76" t="str">
        <f t="shared" si="56"/>
        <v>No requiere</v>
      </c>
      <c r="EO99" s="71"/>
      <c r="EP99" s="73" t="str">
        <f t="shared" si="51"/>
        <v>No requiere</v>
      </c>
      <c r="EQ99" s="77" t="str">
        <f t="shared" si="52"/>
        <v>No requiere</v>
      </c>
      <c r="ER99" s="71"/>
      <c r="ES99" s="79" t="s">
        <v>179</v>
      </c>
      <c r="ET99" s="73" t="str">
        <f t="shared" si="53"/>
        <v>No requiere</v>
      </c>
      <c r="EU99" s="73" t="str">
        <f t="shared" si="57"/>
        <v>No requiere</v>
      </c>
      <c r="EV99" s="73" t="str">
        <f t="shared" si="54"/>
        <v>No requiere</v>
      </c>
      <c r="EW99" s="73" t="str">
        <f t="shared" si="55"/>
        <v>No requiere</v>
      </c>
      <c r="EX99" s="78"/>
      <c r="EY99" s="78"/>
    </row>
    <row r="100" spans="1:155" ht="46.5" customHeight="1">
      <c r="A100" s="79" t="str">
        <v/>
      </c>
      <c r="B100" s="80" t="s">
        <v>931</v>
      </c>
      <c r="C100" s="81">
        <v>45362</v>
      </c>
      <c r="D100" s="82">
        <v>0.58333333333333337</v>
      </c>
      <c r="E100" s="79" t="s">
        <v>151</v>
      </c>
      <c r="F100" s="79" t="s">
        <v>152</v>
      </c>
      <c r="G100" s="79" t="s">
        <v>153</v>
      </c>
      <c r="H100" s="79" t="s">
        <v>152</v>
      </c>
      <c r="I100" s="79" t="s">
        <v>152</v>
      </c>
      <c r="J100" s="79" t="s">
        <v>154</v>
      </c>
      <c r="K100" s="79" t="s">
        <v>155</v>
      </c>
      <c r="L100" s="80" t="s">
        <v>932</v>
      </c>
      <c r="M100" s="80" t="s">
        <v>157</v>
      </c>
      <c r="N100" s="79" t="s">
        <v>265</v>
      </c>
      <c r="O100" s="80" t="str">
        <f t="shared" si="41"/>
        <v/>
      </c>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t="s">
        <v>169</v>
      </c>
      <c r="AP100" s="79"/>
      <c r="AQ100" s="80" t="s">
        <v>171</v>
      </c>
      <c r="AR100" s="80" t="s">
        <v>171</v>
      </c>
      <c r="AS100" s="80" t="s">
        <v>171</v>
      </c>
      <c r="AT100" s="80" t="str">
        <f t="shared" si="42"/>
        <v>Distrital</v>
      </c>
      <c r="AU100" s="79" t="s">
        <v>172</v>
      </c>
      <c r="AV100" s="79"/>
      <c r="AW100" s="79"/>
      <c r="AX100" s="79"/>
      <c r="AY100" s="79"/>
      <c r="AZ100" s="79"/>
      <c r="BA100" s="80" t="str">
        <f t="shared" si="43"/>
        <v>Distrital</v>
      </c>
      <c r="BB100" s="79" t="s">
        <v>172</v>
      </c>
      <c r="BC100" s="79"/>
      <c r="BD100" s="79"/>
      <c r="BE100" s="79"/>
      <c r="BF100" s="79"/>
      <c r="BG100" s="79"/>
      <c r="BH100" s="80" t="str">
        <f t="shared" si="44"/>
        <v>Distrital</v>
      </c>
      <c r="BI100" s="79" t="s">
        <v>172</v>
      </c>
      <c r="BJ100" s="79"/>
      <c r="BK100" s="79"/>
      <c r="BL100" s="79"/>
      <c r="BM100" s="79"/>
      <c r="BN100" s="79"/>
      <c r="BO100" s="79"/>
      <c r="BP100" s="79"/>
      <c r="BQ100" s="79"/>
      <c r="BR100" s="79"/>
      <c r="BS100" s="80" t="s">
        <v>288</v>
      </c>
      <c r="BT100" s="80" t="s">
        <v>174</v>
      </c>
      <c r="BU100" s="80" t="s">
        <v>933</v>
      </c>
      <c r="BV100" s="71"/>
      <c r="BW100" s="79" t="s">
        <v>153</v>
      </c>
      <c r="BX100" s="79" t="s">
        <v>176</v>
      </c>
      <c r="BY100" s="71"/>
      <c r="BZ100" s="79">
        <v>11</v>
      </c>
      <c r="CA100" s="79">
        <v>3</v>
      </c>
      <c r="CB100" s="79">
        <f t="shared" si="25"/>
        <v>14</v>
      </c>
      <c r="CC100" s="79" t="str">
        <f t="shared" si="45"/>
        <v>No Aplica</v>
      </c>
      <c r="CD100" s="79" t="s">
        <v>177</v>
      </c>
      <c r="CE100" s="79"/>
      <c r="CF100" s="79"/>
      <c r="CG100" s="83" t="s">
        <v>934</v>
      </c>
      <c r="CH100" s="41"/>
      <c r="CI100" s="79" t="s">
        <v>153</v>
      </c>
      <c r="CJ100" s="71"/>
      <c r="CK100" s="79">
        <f t="shared" si="38"/>
        <v>0</v>
      </c>
      <c r="CL100" s="79"/>
      <c r="CM100" s="79"/>
      <c r="CN100" s="79"/>
      <c r="CO100" s="79"/>
      <c r="CP100" s="79"/>
      <c r="CQ100" s="79"/>
      <c r="CR100" s="83" t="s">
        <v>179</v>
      </c>
      <c r="CS100" s="83" t="s">
        <v>179</v>
      </c>
      <c r="CT100" s="83" t="s">
        <v>179</v>
      </c>
      <c r="CU100" s="83" t="s">
        <v>179</v>
      </c>
      <c r="CV100" s="83" t="s">
        <v>179</v>
      </c>
      <c r="CW100" s="83" t="s">
        <v>179</v>
      </c>
      <c r="CX100" s="79" t="s">
        <v>153</v>
      </c>
      <c r="CY100" s="79">
        <f t="shared" si="39"/>
        <v>0</v>
      </c>
      <c r="CZ100" s="79">
        <v>0</v>
      </c>
      <c r="DA100" s="79">
        <f t="shared" si="40"/>
        <v>0</v>
      </c>
      <c r="DB100" s="84" t="str">
        <f t="shared" si="46"/>
        <v/>
      </c>
      <c r="DC100" s="41"/>
      <c r="DD100" s="79" t="s">
        <v>153</v>
      </c>
      <c r="DE100" s="71"/>
      <c r="DF100" s="85" t="s">
        <v>935</v>
      </c>
      <c r="DG100" s="79">
        <v>95</v>
      </c>
      <c r="DH100" s="86" t="str">
        <f t="shared" si="58"/>
        <v>Completo</v>
      </c>
      <c r="DI100" s="79" t="s">
        <v>181</v>
      </c>
      <c r="DJ100" s="79" t="s">
        <v>182</v>
      </c>
      <c r="DK100" s="79"/>
      <c r="DL100" s="79">
        <v>0</v>
      </c>
      <c r="DM100" s="79">
        <v>0</v>
      </c>
      <c r="DN100" s="79" t="s">
        <v>182</v>
      </c>
      <c r="DO100" s="79"/>
      <c r="DP100" s="79"/>
      <c r="DQ100" s="79"/>
      <c r="DR100" s="75" t="str">
        <f t="shared" si="47"/>
        <v>No aplica</v>
      </c>
      <c r="DS100" s="79"/>
      <c r="DT100" s="79"/>
      <c r="DU100" s="75" t="str">
        <f t="shared" si="48"/>
        <v>No aplica</v>
      </c>
      <c r="DV100" s="79" t="s">
        <v>182</v>
      </c>
      <c r="DW100" s="79"/>
      <c r="DX100" s="79"/>
      <c r="DY100" s="79"/>
      <c r="DZ100" s="79"/>
      <c r="EA100" s="79"/>
      <c r="EB100" s="79"/>
      <c r="EC100" s="79"/>
      <c r="ED100" s="79" t="s">
        <v>249</v>
      </c>
      <c r="EE100" s="79" t="str">
        <f t="shared" si="37"/>
        <v>Completo</v>
      </c>
      <c r="EF100" s="41"/>
      <c r="EG100" s="79" t="s">
        <v>153</v>
      </c>
      <c r="EH100" s="71"/>
      <c r="EI100" s="80"/>
      <c r="EJ100" s="71"/>
      <c r="EK100" s="79" t="s">
        <v>179</v>
      </c>
      <c r="EL100" s="76" t="str">
        <f t="shared" si="49"/>
        <v>No requiere</v>
      </c>
      <c r="EM100" s="76" t="str">
        <f t="shared" si="50"/>
        <v>No requiere</v>
      </c>
      <c r="EN100" s="76" t="str">
        <f t="shared" si="56"/>
        <v>No requiere</v>
      </c>
      <c r="EO100" s="71"/>
      <c r="EP100" s="73" t="str">
        <f t="shared" si="51"/>
        <v>No requiere</v>
      </c>
      <c r="EQ100" s="77" t="str">
        <f t="shared" si="52"/>
        <v>No requiere</v>
      </c>
      <c r="ER100" s="71"/>
      <c r="ES100" s="79" t="s">
        <v>179</v>
      </c>
      <c r="ET100" s="73" t="str">
        <f t="shared" si="53"/>
        <v>No requiere</v>
      </c>
      <c r="EU100" s="73" t="str">
        <f t="shared" si="57"/>
        <v>No requiere</v>
      </c>
      <c r="EV100" s="73" t="str">
        <f t="shared" si="54"/>
        <v>No requiere</v>
      </c>
      <c r="EW100" s="73" t="str">
        <f t="shared" si="55"/>
        <v>No requiere</v>
      </c>
      <c r="EX100" s="78"/>
      <c r="EY100" s="78"/>
    </row>
    <row r="101" spans="1:155" ht="46.5" customHeight="1">
      <c r="A101" s="79">
        <v>97</v>
      </c>
      <c r="B101" s="80" t="s">
        <v>936</v>
      </c>
      <c r="C101" s="81">
        <v>45362</v>
      </c>
      <c r="D101" s="82">
        <v>0.625</v>
      </c>
      <c r="E101" s="79" t="s">
        <v>151</v>
      </c>
      <c r="F101" s="79" t="s">
        <v>153</v>
      </c>
      <c r="G101" s="79" t="s">
        <v>153</v>
      </c>
      <c r="H101" s="79" t="s">
        <v>153</v>
      </c>
      <c r="I101" s="79" t="s">
        <v>152</v>
      </c>
      <c r="J101" s="79" t="s">
        <v>154</v>
      </c>
      <c r="K101" s="79" t="s">
        <v>155</v>
      </c>
      <c r="L101" s="80" t="s">
        <v>600</v>
      </c>
      <c r="M101" s="80" t="s">
        <v>303</v>
      </c>
      <c r="N101" s="79" t="s">
        <v>862</v>
      </c>
      <c r="O101" s="80" t="str">
        <f t="shared" si="41"/>
        <v>Sarah Lucia Triviño, César Augusto Barrantes, Diego Nicolás Gutiérrez, Camilo Andrés Vásquez, Luis Fernando Barreto , Maria Angélica Higuera, Claudia Fernanda Pineda, Ana María Gualy, Aida Vanessa Rocha, Manuel Fernando Vergara, Juan Pablo Serna, William Jair Gil, Melina Julieta Solano, Erika Lizeth Rueda</v>
      </c>
      <c r="P101" s="79" t="s">
        <v>499</v>
      </c>
      <c r="Q101" s="79" t="s">
        <v>729</v>
      </c>
      <c r="R101" s="79" t="s">
        <v>888</v>
      </c>
      <c r="S101" s="79" t="s">
        <v>373</v>
      </c>
      <c r="T101" s="79" t="s">
        <v>720</v>
      </c>
      <c r="U101" s="79" t="s">
        <v>328</v>
      </c>
      <c r="V101" s="79" t="s">
        <v>546</v>
      </c>
      <c r="W101" s="79" t="s">
        <v>821</v>
      </c>
      <c r="X101" s="79" t="s">
        <v>801</v>
      </c>
      <c r="Y101" s="79" t="s">
        <v>820</v>
      </c>
      <c r="Z101" s="79" t="s">
        <v>818</v>
      </c>
      <c r="AA101" s="79" t="s">
        <v>862</v>
      </c>
      <c r="AB101" s="79" t="s">
        <v>168</v>
      </c>
      <c r="AC101" s="79" t="s">
        <v>556</v>
      </c>
      <c r="AD101" s="79"/>
      <c r="AE101" s="79"/>
      <c r="AF101" s="79"/>
      <c r="AG101" s="79"/>
      <c r="AH101" s="79"/>
      <c r="AI101" s="79"/>
      <c r="AJ101" s="79"/>
      <c r="AK101" s="79"/>
      <c r="AL101" s="79"/>
      <c r="AM101" s="79"/>
      <c r="AN101" s="79"/>
      <c r="AO101" s="79" t="s">
        <v>304</v>
      </c>
      <c r="AP101" s="79"/>
      <c r="AQ101" s="80" t="s">
        <v>171</v>
      </c>
      <c r="AR101" s="80" t="s">
        <v>171</v>
      </c>
      <c r="AS101" s="80" t="s">
        <v>171</v>
      </c>
      <c r="AT101" s="80" t="str">
        <f t="shared" si="42"/>
        <v>Tunjuelito</v>
      </c>
      <c r="AU101" s="79" t="s">
        <v>937</v>
      </c>
      <c r="AV101" s="79"/>
      <c r="AW101" s="79"/>
      <c r="AX101" s="79"/>
      <c r="AY101" s="79"/>
      <c r="AZ101" s="79"/>
      <c r="BA101" s="80" t="str">
        <f t="shared" si="43"/>
        <v>Suroriente</v>
      </c>
      <c r="BB101" s="79" t="s">
        <v>218</v>
      </c>
      <c r="BC101" s="79"/>
      <c r="BD101" s="79"/>
      <c r="BE101" s="79"/>
      <c r="BF101" s="79"/>
      <c r="BG101" s="79"/>
      <c r="BH101" s="80" t="str">
        <f t="shared" si="44"/>
        <v>Tunjuelito</v>
      </c>
      <c r="BI101" s="79" t="s">
        <v>937</v>
      </c>
      <c r="BJ101" s="79"/>
      <c r="BK101" s="79"/>
      <c r="BL101" s="79"/>
      <c r="BM101" s="79"/>
      <c r="BN101" s="79"/>
      <c r="BO101" s="79"/>
      <c r="BP101" s="79"/>
      <c r="BQ101" s="79"/>
      <c r="BR101" s="79"/>
      <c r="BS101" s="80" t="s">
        <v>288</v>
      </c>
      <c r="BT101" s="80" t="s">
        <v>605</v>
      </c>
      <c r="BU101" s="80" t="s">
        <v>938</v>
      </c>
      <c r="BV101" s="71"/>
      <c r="BW101" s="79" t="s">
        <v>153</v>
      </c>
      <c r="BX101" s="79" t="s">
        <v>607</v>
      </c>
      <c r="BY101" s="71"/>
      <c r="BZ101" s="79">
        <v>80</v>
      </c>
      <c r="CA101" s="79">
        <v>13</v>
      </c>
      <c r="CB101" s="79">
        <f t="shared" si="25"/>
        <v>93</v>
      </c>
      <c r="CC101" s="79" t="str">
        <f t="shared" ref="CC101:CC132" si="59">_xlfn.TEXTJOIN(", ",TRUE,$CD101:$CF101)</f>
        <v>Lenguaje de señas, Accesibilidad Universal, Horarios Acordes</v>
      </c>
      <c r="CD101" s="79" t="s">
        <v>349</v>
      </c>
      <c r="CE101" s="79" t="s">
        <v>397</v>
      </c>
      <c r="CF101" s="79" t="s">
        <v>351</v>
      </c>
      <c r="CG101" s="83" t="s">
        <v>939</v>
      </c>
      <c r="CH101" s="41"/>
      <c r="CI101" s="79" t="s">
        <v>153</v>
      </c>
      <c r="CJ101" s="71"/>
      <c r="CK101" s="79">
        <f t="shared" si="38"/>
        <v>1</v>
      </c>
      <c r="CL101" s="93" t="s">
        <v>389</v>
      </c>
      <c r="CM101" s="79"/>
      <c r="CN101" s="79"/>
      <c r="CO101" s="79"/>
      <c r="CP101" s="79"/>
      <c r="CQ101" s="79"/>
      <c r="CR101" s="83" t="s">
        <v>390</v>
      </c>
      <c r="CS101" s="83" t="s">
        <v>179</v>
      </c>
      <c r="CT101" s="83" t="s">
        <v>179</v>
      </c>
      <c r="CU101" s="83" t="s">
        <v>179</v>
      </c>
      <c r="CV101" s="83" t="s">
        <v>179</v>
      </c>
      <c r="CW101" s="83" t="s">
        <v>179</v>
      </c>
      <c r="CX101" s="79" t="s">
        <v>153</v>
      </c>
      <c r="CY101" s="79">
        <f t="shared" si="39"/>
        <v>1</v>
      </c>
      <c r="CZ101" s="79">
        <v>1</v>
      </c>
      <c r="DA101" s="79">
        <f t="shared" si="40"/>
        <v>1</v>
      </c>
      <c r="DB101" s="84">
        <f t="shared" si="46"/>
        <v>1</v>
      </c>
      <c r="DC101" s="41"/>
      <c r="DD101" s="79" t="s">
        <v>153</v>
      </c>
      <c r="DE101" s="71"/>
      <c r="DF101" s="85" t="s">
        <v>940</v>
      </c>
      <c r="DG101" s="79">
        <v>96</v>
      </c>
      <c r="DH101" s="86" t="str">
        <f t="shared" si="58"/>
        <v>Completo</v>
      </c>
      <c r="DI101" s="79" t="s">
        <v>181</v>
      </c>
      <c r="DJ101" s="79" t="s">
        <v>182</v>
      </c>
      <c r="DK101" s="79" t="s">
        <v>153</v>
      </c>
      <c r="DL101" s="79">
        <v>0</v>
      </c>
      <c r="DM101" s="79">
        <v>0</v>
      </c>
      <c r="DN101" s="79" t="s">
        <v>182</v>
      </c>
      <c r="DO101" s="79">
        <v>1439</v>
      </c>
      <c r="DP101" s="79" t="s">
        <v>182</v>
      </c>
      <c r="DQ101" s="79">
        <v>27</v>
      </c>
      <c r="DR101" s="75">
        <f t="shared" si="47"/>
        <v>1.125</v>
      </c>
      <c r="DS101" s="79" t="s">
        <v>182</v>
      </c>
      <c r="DT101" s="79">
        <v>27</v>
      </c>
      <c r="DU101" s="75">
        <f t="shared" si="48"/>
        <v>0.9642857142857143</v>
      </c>
      <c r="DV101" s="79" t="s">
        <v>182</v>
      </c>
      <c r="DW101" s="79" t="s">
        <v>182</v>
      </c>
      <c r="DX101" s="79">
        <v>4</v>
      </c>
      <c r="DY101" s="79">
        <v>1</v>
      </c>
      <c r="DZ101" s="79" t="s">
        <v>941</v>
      </c>
      <c r="EA101" s="79">
        <v>1439</v>
      </c>
      <c r="EB101" s="79" t="s">
        <v>182</v>
      </c>
      <c r="EC101" s="79" t="s">
        <v>942</v>
      </c>
      <c r="ED101" s="79" t="s">
        <v>184</v>
      </c>
      <c r="EE101" s="79" t="str">
        <f t="shared" si="37"/>
        <v>Completo</v>
      </c>
      <c r="EF101" s="41"/>
      <c r="EG101" s="79" t="s">
        <v>153</v>
      </c>
      <c r="EH101" s="71"/>
      <c r="EI101" s="89" t="s">
        <v>943</v>
      </c>
      <c r="EJ101" s="71"/>
      <c r="EK101" s="79" t="s">
        <v>409</v>
      </c>
      <c r="EL101" s="76" t="str">
        <f t="shared" si="49"/>
        <v>Sí</v>
      </c>
      <c r="EM101" s="76" t="str">
        <f t="shared" si="50"/>
        <v>Sí</v>
      </c>
      <c r="EN101" s="76" t="str">
        <f t="shared" si="56"/>
        <v>Sí</v>
      </c>
      <c r="EO101" s="71"/>
      <c r="EP101" s="73" t="str">
        <f t="shared" si="51"/>
        <v>No aplica</v>
      </c>
      <c r="EQ101" s="77">
        <f t="shared" si="52"/>
        <v>0.9642857142857143</v>
      </c>
      <c r="ER101" s="71"/>
      <c r="ES101" s="79" t="s">
        <v>409</v>
      </c>
      <c r="ET101" s="73">
        <f t="shared" si="53"/>
        <v>1</v>
      </c>
      <c r="EU101" s="73">
        <f t="shared" si="57"/>
        <v>1</v>
      </c>
      <c r="EV101" s="73">
        <f t="shared" si="54"/>
        <v>1</v>
      </c>
      <c r="EW101" s="73">
        <f t="shared" si="55"/>
        <v>1</v>
      </c>
      <c r="EX101" s="78"/>
      <c r="EY101" s="78"/>
    </row>
    <row r="102" spans="1:155" ht="46.5" customHeight="1">
      <c r="A102" s="79">
        <v>98</v>
      </c>
      <c r="B102" s="80" t="s">
        <v>837</v>
      </c>
      <c r="C102" s="81">
        <v>45362</v>
      </c>
      <c r="D102" s="82">
        <v>0.70833333333333337</v>
      </c>
      <c r="E102" s="79" t="s">
        <v>200</v>
      </c>
      <c r="F102" s="79" t="s">
        <v>153</v>
      </c>
      <c r="G102" s="79" t="s">
        <v>152</v>
      </c>
      <c r="H102" s="79" t="s">
        <v>152</v>
      </c>
      <c r="I102" s="79" t="s">
        <v>152</v>
      </c>
      <c r="J102" s="79" t="s">
        <v>211</v>
      </c>
      <c r="K102" s="79" t="s">
        <v>202</v>
      </c>
      <c r="L102" s="80" t="s">
        <v>944</v>
      </c>
      <c r="M102" s="80" t="s">
        <v>624</v>
      </c>
      <c r="N102" s="79" t="s">
        <v>253</v>
      </c>
      <c r="O102" s="80" t="str">
        <f t="shared" si="41"/>
        <v/>
      </c>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t="s">
        <v>230</v>
      </c>
      <c r="AP102" s="79" t="s">
        <v>242</v>
      </c>
      <c r="AQ102" s="80" t="s">
        <v>625</v>
      </c>
      <c r="AR102" s="83">
        <v>3188799909</v>
      </c>
      <c r="AS102" s="80" t="s">
        <v>839</v>
      </c>
      <c r="AT102" s="80" t="str">
        <f t="shared" si="42"/>
        <v>Distrital</v>
      </c>
      <c r="AU102" s="79" t="s">
        <v>172</v>
      </c>
      <c r="AV102" s="79"/>
      <c r="AW102" s="79"/>
      <c r="AX102" s="79"/>
      <c r="AY102" s="79"/>
      <c r="AZ102" s="79"/>
      <c r="BA102" s="80" t="str">
        <f t="shared" si="43"/>
        <v>Distrital</v>
      </c>
      <c r="BB102" s="79" t="s">
        <v>172</v>
      </c>
      <c r="BC102" s="79"/>
      <c r="BD102" s="79"/>
      <c r="BE102" s="79"/>
      <c r="BF102" s="79"/>
      <c r="BG102" s="79"/>
      <c r="BH102" s="80" t="str">
        <f t="shared" si="44"/>
        <v>Distrital</v>
      </c>
      <c r="BI102" s="79" t="s">
        <v>172</v>
      </c>
      <c r="BJ102" s="79"/>
      <c r="BK102" s="79"/>
      <c r="BL102" s="79"/>
      <c r="BM102" s="79"/>
      <c r="BN102" s="79"/>
      <c r="BO102" s="79"/>
      <c r="BP102" s="79"/>
      <c r="BQ102" s="79"/>
      <c r="BR102" s="79"/>
      <c r="BS102" s="80" t="s">
        <v>288</v>
      </c>
      <c r="BT102" s="80" t="s">
        <v>174</v>
      </c>
      <c r="BU102" s="89" t="s">
        <v>945</v>
      </c>
      <c r="BV102" s="71"/>
      <c r="BW102" s="79" t="s">
        <v>152</v>
      </c>
      <c r="BX102" s="79" t="s">
        <v>179</v>
      </c>
      <c r="BY102" s="71"/>
      <c r="BZ102" s="79">
        <v>88</v>
      </c>
      <c r="CA102" s="79">
        <v>4</v>
      </c>
      <c r="CB102" s="79">
        <f t="shared" si="25"/>
        <v>92</v>
      </c>
      <c r="CC102" s="79" t="str">
        <f t="shared" si="59"/>
        <v>No Aplica</v>
      </c>
      <c r="CD102" s="79" t="s">
        <v>177</v>
      </c>
      <c r="CE102" s="79"/>
      <c r="CF102" s="79"/>
      <c r="CG102" s="83" t="s">
        <v>946</v>
      </c>
      <c r="CH102" s="41"/>
      <c r="CI102" s="79" t="s">
        <v>153</v>
      </c>
      <c r="CJ102" s="71"/>
      <c r="CK102" s="79">
        <f t="shared" si="38"/>
        <v>0</v>
      </c>
      <c r="CL102" s="79"/>
      <c r="CM102" s="79"/>
      <c r="CN102" s="79"/>
      <c r="CO102" s="79"/>
      <c r="CP102" s="79"/>
      <c r="CQ102" s="79"/>
      <c r="CR102" s="83" t="s">
        <v>179</v>
      </c>
      <c r="CS102" s="83" t="s">
        <v>179</v>
      </c>
      <c r="CT102" s="83" t="s">
        <v>179</v>
      </c>
      <c r="CU102" s="83" t="s">
        <v>179</v>
      </c>
      <c r="CV102" s="83" t="s">
        <v>179</v>
      </c>
      <c r="CW102" s="83" t="s">
        <v>179</v>
      </c>
      <c r="CX102" s="79" t="s">
        <v>153</v>
      </c>
      <c r="CY102" s="79">
        <f t="shared" si="39"/>
        <v>0</v>
      </c>
      <c r="CZ102" s="79">
        <v>0</v>
      </c>
      <c r="DA102" s="79">
        <f t="shared" si="40"/>
        <v>0</v>
      </c>
      <c r="DB102" s="84" t="str">
        <f t="shared" si="46"/>
        <v/>
      </c>
      <c r="DC102" s="41"/>
      <c r="DD102" s="79" t="s">
        <v>153</v>
      </c>
      <c r="DE102" s="71"/>
      <c r="DF102" s="85" t="s">
        <v>947</v>
      </c>
      <c r="DG102" s="79">
        <v>97</v>
      </c>
      <c r="DH102" s="86" t="str">
        <f t="shared" si="58"/>
        <v>Completo</v>
      </c>
      <c r="DI102" s="79" t="s">
        <v>181</v>
      </c>
      <c r="DJ102" s="79" t="s">
        <v>182</v>
      </c>
      <c r="DK102" s="79"/>
      <c r="DL102" s="79">
        <v>0</v>
      </c>
      <c r="DM102" s="79">
        <v>0</v>
      </c>
      <c r="DN102" s="79" t="s">
        <v>182</v>
      </c>
      <c r="DO102" s="79"/>
      <c r="DP102" s="79"/>
      <c r="DQ102" s="79"/>
      <c r="DR102" s="75" t="str">
        <f t="shared" si="47"/>
        <v>No aplica</v>
      </c>
      <c r="DS102" s="79"/>
      <c r="DT102" s="79"/>
      <c r="DU102" s="75" t="str">
        <f t="shared" si="48"/>
        <v>No aplica</v>
      </c>
      <c r="DV102" s="79" t="s">
        <v>182</v>
      </c>
      <c r="DW102" s="79" t="s">
        <v>182</v>
      </c>
      <c r="DX102" s="79"/>
      <c r="DY102" s="79"/>
      <c r="DZ102" s="79"/>
      <c r="EA102" s="79"/>
      <c r="EB102" s="79" t="s">
        <v>182</v>
      </c>
      <c r="EC102" s="79" t="s">
        <v>629</v>
      </c>
      <c r="ED102" s="79" t="s">
        <v>184</v>
      </c>
      <c r="EE102" s="79" t="str">
        <f t="shared" si="37"/>
        <v>Completo</v>
      </c>
      <c r="EF102" s="41"/>
      <c r="EG102" s="79" t="s">
        <v>153</v>
      </c>
      <c r="EH102" s="71"/>
      <c r="EI102" s="80"/>
      <c r="EJ102" s="71"/>
      <c r="EK102" s="79" t="s">
        <v>179</v>
      </c>
      <c r="EL102" s="76" t="str">
        <f t="shared" si="49"/>
        <v>No requiere</v>
      </c>
      <c r="EM102" s="76" t="str">
        <f t="shared" si="50"/>
        <v>No requiere</v>
      </c>
      <c r="EN102" s="76" t="str">
        <f t="shared" ref="EN102:EN132" si="60">IF(F102="NO","No requiere",IF(H102="No","No requiere",IF(CC102="","",IF(CD102&lt;&gt;"No aplica",IF(CD102&lt;&gt;"Ninguna",IF(COUNTIF(CD102:CF102,"*")&gt;=1,"Sí","No"),"No"),"No aplica"))))</f>
        <v>No requiere</v>
      </c>
      <c r="EO102" s="71"/>
      <c r="EP102" s="73" t="str">
        <f t="shared" si="51"/>
        <v>No requiere</v>
      </c>
      <c r="EQ102" s="77" t="str">
        <f t="shared" si="52"/>
        <v>No requiere</v>
      </c>
      <c r="ER102" s="71"/>
      <c r="ES102" s="79" t="s">
        <v>179</v>
      </c>
      <c r="ET102" s="73" t="str">
        <f t="shared" si="53"/>
        <v>No requiere</v>
      </c>
      <c r="EU102" s="73" t="str">
        <f t="shared" ref="EU102:EU132" si="61">IF(F102="NO","No requiere",IF(H102="No","No requiere",IF(B102="","",IF(CX102="SÍ",IF(CK102&gt;=1,CY102/CK102,"Sin compromisos"),"Por verificar"))))</f>
        <v>No requiere</v>
      </c>
      <c r="EV102" s="73" t="str">
        <f t="shared" si="54"/>
        <v>No requiere</v>
      </c>
      <c r="EW102" s="73" t="str">
        <f t="shared" si="55"/>
        <v>No requiere</v>
      </c>
      <c r="EX102" s="78"/>
      <c r="EY102" s="78"/>
    </row>
    <row r="103" spans="1:155" ht="46.5" customHeight="1">
      <c r="A103" s="79" t="str">
        <v/>
      </c>
      <c r="B103" s="80" t="s">
        <v>948</v>
      </c>
      <c r="C103" s="81">
        <v>45363</v>
      </c>
      <c r="D103" s="82">
        <v>0.33333333333333331</v>
      </c>
      <c r="E103" s="79" t="s">
        <v>151</v>
      </c>
      <c r="F103" s="79" t="s">
        <v>152</v>
      </c>
      <c r="G103" s="79" t="s">
        <v>153</v>
      </c>
      <c r="H103" s="79" t="s">
        <v>152</v>
      </c>
      <c r="I103" s="79" t="s">
        <v>152</v>
      </c>
      <c r="J103" s="79" t="s">
        <v>154</v>
      </c>
      <c r="K103" s="79" t="s">
        <v>202</v>
      </c>
      <c r="L103" s="80" t="s">
        <v>949</v>
      </c>
      <c r="M103" s="80" t="s">
        <v>157</v>
      </c>
      <c r="N103" s="79" t="s">
        <v>158</v>
      </c>
      <c r="O103" s="80" t="str">
        <f t="shared" si="41"/>
        <v>PENDIENTE</v>
      </c>
      <c r="P103" s="79" t="s">
        <v>196</v>
      </c>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t="s">
        <v>169</v>
      </c>
      <c r="AP103" s="79" t="s">
        <v>170</v>
      </c>
      <c r="AQ103" s="80" t="s">
        <v>950</v>
      </c>
      <c r="AR103" s="83" t="s">
        <v>951</v>
      </c>
      <c r="AS103" s="80" t="s">
        <v>952</v>
      </c>
      <c r="AT103" s="80" t="str">
        <f t="shared" si="42"/>
        <v>Distrital</v>
      </c>
      <c r="AU103" s="79" t="s">
        <v>172</v>
      </c>
      <c r="AV103" s="79"/>
      <c r="AW103" s="79"/>
      <c r="AX103" s="79"/>
      <c r="AY103" s="79"/>
      <c r="AZ103" s="79"/>
      <c r="BA103" s="80" t="str">
        <f t="shared" si="43"/>
        <v>Distrital</v>
      </c>
      <c r="BB103" s="79" t="s">
        <v>172</v>
      </c>
      <c r="BC103" s="79"/>
      <c r="BD103" s="79"/>
      <c r="BE103" s="79"/>
      <c r="BF103" s="79"/>
      <c r="BG103" s="79"/>
      <c r="BH103" s="80" t="str">
        <f t="shared" si="44"/>
        <v>Distrital</v>
      </c>
      <c r="BI103" s="79" t="s">
        <v>172</v>
      </c>
      <c r="BJ103" s="79"/>
      <c r="BK103" s="79"/>
      <c r="BL103" s="79"/>
      <c r="BM103" s="79"/>
      <c r="BN103" s="79"/>
      <c r="BO103" s="79"/>
      <c r="BP103" s="79"/>
      <c r="BQ103" s="79"/>
      <c r="BR103" s="79"/>
      <c r="BS103" s="80" t="s">
        <v>288</v>
      </c>
      <c r="BT103" s="80" t="s">
        <v>174</v>
      </c>
      <c r="BU103" s="89" t="s">
        <v>953</v>
      </c>
      <c r="BV103" s="71"/>
      <c r="BW103" s="79" t="s">
        <v>153</v>
      </c>
      <c r="BX103" s="79" t="s">
        <v>176</v>
      </c>
      <c r="BY103" s="71"/>
      <c r="BZ103" s="79">
        <v>8</v>
      </c>
      <c r="CA103" s="79">
        <v>2</v>
      </c>
      <c r="CB103" s="79">
        <f t="shared" si="25"/>
        <v>10</v>
      </c>
      <c r="CC103" s="79" t="str">
        <f t="shared" si="59"/>
        <v>No Aplica</v>
      </c>
      <c r="CD103" s="79" t="s">
        <v>177</v>
      </c>
      <c r="CE103" s="79"/>
      <c r="CF103" s="79"/>
      <c r="CG103" s="83" t="s">
        <v>954</v>
      </c>
      <c r="CH103" s="41"/>
      <c r="CI103" s="79" t="s">
        <v>153</v>
      </c>
      <c r="CJ103" s="71"/>
      <c r="CK103" s="79">
        <f t="shared" si="38"/>
        <v>0</v>
      </c>
      <c r="CL103" s="79"/>
      <c r="CM103" s="79"/>
      <c r="CN103" s="79"/>
      <c r="CO103" s="79"/>
      <c r="CP103" s="79"/>
      <c r="CQ103" s="79"/>
      <c r="CR103" s="83" t="s">
        <v>179</v>
      </c>
      <c r="CS103" s="83" t="s">
        <v>179</v>
      </c>
      <c r="CT103" s="83" t="s">
        <v>179</v>
      </c>
      <c r="CU103" s="83" t="s">
        <v>179</v>
      </c>
      <c r="CV103" s="83" t="s">
        <v>179</v>
      </c>
      <c r="CW103" s="83" t="s">
        <v>179</v>
      </c>
      <c r="CX103" s="79" t="s">
        <v>153</v>
      </c>
      <c r="CY103" s="79">
        <f t="shared" si="39"/>
        <v>0</v>
      </c>
      <c r="CZ103" s="79">
        <v>0</v>
      </c>
      <c r="DA103" s="79">
        <f t="shared" si="40"/>
        <v>0</v>
      </c>
      <c r="DB103" s="84" t="str">
        <f t="shared" si="46"/>
        <v/>
      </c>
      <c r="DC103" s="41"/>
      <c r="DD103" s="79" t="s">
        <v>153</v>
      </c>
      <c r="DE103" s="71"/>
      <c r="DF103" s="85" t="s">
        <v>955</v>
      </c>
      <c r="DG103" s="79">
        <v>98</v>
      </c>
      <c r="DH103" s="86" t="str">
        <f t="shared" si="58"/>
        <v>Completo</v>
      </c>
      <c r="DI103" s="79" t="s">
        <v>181</v>
      </c>
      <c r="DJ103" s="79" t="s">
        <v>182</v>
      </c>
      <c r="DK103" s="79"/>
      <c r="DL103" s="79">
        <v>0</v>
      </c>
      <c r="DM103" s="79">
        <v>0</v>
      </c>
      <c r="DN103" s="79" t="s">
        <v>182</v>
      </c>
      <c r="DO103" s="79"/>
      <c r="DP103" s="79"/>
      <c r="DQ103" s="79"/>
      <c r="DR103" s="75" t="str">
        <f t="shared" si="47"/>
        <v>No aplica</v>
      </c>
      <c r="DS103" s="79"/>
      <c r="DT103" s="79"/>
      <c r="DU103" s="75" t="str">
        <f t="shared" si="48"/>
        <v>No aplica</v>
      </c>
      <c r="DV103" s="79" t="s">
        <v>182</v>
      </c>
      <c r="DW103" s="79"/>
      <c r="DX103" s="79"/>
      <c r="DY103" s="79"/>
      <c r="DZ103" s="79"/>
      <c r="EA103" s="79"/>
      <c r="EB103" s="79"/>
      <c r="EC103" s="79"/>
      <c r="ED103" s="79" t="s">
        <v>956</v>
      </c>
      <c r="EE103" s="79" t="str">
        <f t="shared" si="37"/>
        <v>Completo</v>
      </c>
      <c r="EF103" s="41"/>
      <c r="EG103" s="79" t="s">
        <v>153</v>
      </c>
      <c r="EH103" s="71"/>
      <c r="EI103" s="80"/>
      <c r="EJ103" s="71"/>
      <c r="EK103" s="79" t="s">
        <v>179</v>
      </c>
      <c r="EL103" s="76" t="str">
        <f t="shared" si="49"/>
        <v>No requiere</v>
      </c>
      <c r="EM103" s="76" t="str">
        <f t="shared" si="50"/>
        <v>No requiere</v>
      </c>
      <c r="EN103" s="76" t="str">
        <f t="shared" si="60"/>
        <v>No requiere</v>
      </c>
      <c r="EO103" s="71"/>
      <c r="EP103" s="73" t="str">
        <f t="shared" si="51"/>
        <v>No requiere</v>
      </c>
      <c r="EQ103" s="77" t="str">
        <f t="shared" si="52"/>
        <v>No requiere</v>
      </c>
      <c r="ER103" s="71"/>
      <c r="ES103" s="79" t="s">
        <v>179</v>
      </c>
      <c r="ET103" s="73" t="str">
        <f t="shared" si="53"/>
        <v>No requiere</v>
      </c>
      <c r="EU103" s="73" t="str">
        <f t="shared" si="61"/>
        <v>No requiere</v>
      </c>
      <c r="EV103" s="73" t="str">
        <f t="shared" si="54"/>
        <v>No requiere</v>
      </c>
      <c r="EW103" s="73" t="str">
        <f t="shared" si="55"/>
        <v>No requiere</v>
      </c>
      <c r="EX103" s="78"/>
      <c r="EY103" s="78"/>
    </row>
    <row r="104" spans="1:155" ht="46.5" customHeight="1">
      <c r="A104" s="79">
        <v>100</v>
      </c>
      <c r="B104" s="80" t="s">
        <v>957</v>
      </c>
      <c r="C104" s="81">
        <v>45363</v>
      </c>
      <c r="D104" s="82">
        <v>0.35416666666666669</v>
      </c>
      <c r="E104" s="79" t="s">
        <v>200</v>
      </c>
      <c r="F104" s="79" t="s">
        <v>153</v>
      </c>
      <c r="G104" s="79" t="s">
        <v>152</v>
      </c>
      <c r="H104" s="79" t="s">
        <v>152</v>
      </c>
      <c r="I104" s="79" t="s">
        <v>152</v>
      </c>
      <c r="J104" s="79" t="s">
        <v>504</v>
      </c>
      <c r="K104" s="79" t="s">
        <v>155</v>
      </c>
      <c r="L104" s="80" t="s">
        <v>958</v>
      </c>
      <c r="M104" s="80" t="s">
        <v>157</v>
      </c>
      <c r="N104" s="79" t="s">
        <v>644</v>
      </c>
      <c r="O104" s="80" t="str">
        <f t="shared" si="41"/>
        <v/>
      </c>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t="s">
        <v>169</v>
      </c>
      <c r="AP104" s="79" t="s">
        <v>507</v>
      </c>
      <c r="AQ104" s="80" t="s">
        <v>959</v>
      </c>
      <c r="AR104" s="83">
        <v>3005698632</v>
      </c>
      <c r="AS104" s="80" t="s">
        <v>960</v>
      </c>
      <c r="AT104" s="80" t="str">
        <f t="shared" si="42"/>
        <v>Engativá</v>
      </c>
      <c r="AU104" s="79" t="s">
        <v>234</v>
      </c>
      <c r="AV104" s="79"/>
      <c r="AW104" s="79"/>
      <c r="AX104" s="79"/>
      <c r="AY104" s="79"/>
      <c r="AZ104" s="79"/>
      <c r="BA104" s="80" t="str">
        <f t="shared" si="43"/>
        <v>Occidente</v>
      </c>
      <c r="BB104" s="79" t="s">
        <v>235</v>
      </c>
      <c r="BC104" s="79"/>
      <c r="BD104" s="79"/>
      <c r="BE104" s="79"/>
      <c r="BF104" s="79"/>
      <c r="BG104" s="79"/>
      <c r="BH104" s="80" t="str">
        <f t="shared" si="44"/>
        <v>Engativá, Tabora, Salitre</v>
      </c>
      <c r="BI104" s="79" t="s">
        <v>234</v>
      </c>
      <c r="BJ104" s="79" t="s">
        <v>414</v>
      </c>
      <c r="BK104" s="79" t="s">
        <v>415</v>
      </c>
      <c r="BL104" s="79"/>
      <c r="BM104" s="79"/>
      <c r="BN104" s="79"/>
      <c r="BO104" s="79"/>
      <c r="BP104" s="79"/>
      <c r="BQ104" s="79"/>
      <c r="BR104" s="79"/>
      <c r="BS104" s="80" t="s">
        <v>288</v>
      </c>
      <c r="BT104" s="80" t="s">
        <v>174</v>
      </c>
      <c r="BU104" s="92" t="s">
        <v>961</v>
      </c>
      <c r="BV104" s="71"/>
      <c r="BW104" s="79" t="s">
        <v>152</v>
      </c>
      <c r="BX104" s="79" t="s">
        <v>179</v>
      </c>
      <c r="BY104" s="71"/>
      <c r="BZ104" s="79">
        <v>20</v>
      </c>
      <c r="CA104" s="79">
        <v>1</v>
      </c>
      <c r="CB104" s="79">
        <f t="shared" si="25"/>
        <v>21</v>
      </c>
      <c r="CC104" s="79" t="str">
        <f t="shared" si="59"/>
        <v>No Aplica</v>
      </c>
      <c r="CD104" s="79" t="s">
        <v>177</v>
      </c>
      <c r="CE104" s="79"/>
      <c r="CF104" s="79"/>
      <c r="CG104" s="83" t="s">
        <v>962</v>
      </c>
      <c r="CH104" s="41"/>
      <c r="CI104" s="79" t="s">
        <v>153</v>
      </c>
      <c r="CJ104" s="71"/>
      <c r="CK104" s="79">
        <f t="shared" si="38"/>
        <v>0</v>
      </c>
      <c r="CL104" s="79"/>
      <c r="CM104" s="79"/>
      <c r="CN104" s="79"/>
      <c r="CO104" s="79"/>
      <c r="CP104" s="79"/>
      <c r="CQ104" s="79"/>
      <c r="CR104" s="83"/>
      <c r="CS104" s="83" t="s">
        <v>179</v>
      </c>
      <c r="CT104" s="83" t="s">
        <v>179</v>
      </c>
      <c r="CU104" s="83" t="s">
        <v>179</v>
      </c>
      <c r="CV104" s="83" t="s">
        <v>179</v>
      </c>
      <c r="CW104" s="83" t="s">
        <v>179</v>
      </c>
      <c r="CX104" s="79" t="s">
        <v>153</v>
      </c>
      <c r="CY104" s="79">
        <f t="shared" si="39"/>
        <v>0</v>
      </c>
      <c r="CZ104" s="79">
        <v>0</v>
      </c>
      <c r="DA104" s="79">
        <f t="shared" si="40"/>
        <v>0</v>
      </c>
      <c r="DB104" s="84" t="str">
        <f t="shared" si="46"/>
        <v/>
      </c>
      <c r="DC104" s="41"/>
      <c r="DD104" s="79" t="s">
        <v>153</v>
      </c>
      <c r="DE104" s="71"/>
      <c r="DF104" s="85" t="s">
        <v>963</v>
      </c>
      <c r="DG104" s="79">
        <v>99</v>
      </c>
      <c r="DH104" s="86" t="str">
        <f t="shared" si="58"/>
        <v>Completo</v>
      </c>
      <c r="DI104" s="79" t="s">
        <v>181</v>
      </c>
      <c r="DJ104" s="79" t="s">
        <v>182</v>
      </c>
      <c r="DK104" s="79"/>
      <c r="DL104" s="79">
        <v>0</v>
      </c>
      <c r="DM104" s="79">
        <v>0</v>
      </c>
      <c r="DN104" s="79" t="s">
        <v>182</v>
      </c>
      <c r="DO104" s="79"/>
      <c r="DP104" s="79"/>
      <c r="DQ104" s="79"/>
      <c r="DR104" s="75" t="str">
        <f t="shared" si="47"/>
        <v>No aplica</v>
      </c>
      <c r="DS104" s="79"/>
      <c r="DT104" s="79"/>
      <c r="DU104" s="75" t="str">
        <f t="shared" si="48"/>
        <v>No aplica</v>
      </c>
      <c r="DV104" s="79" t="s">
        <v>182</v>
      </c>
      <c r="DW104" s="79" t="s">
        <v>182</v>
      </c>
      <c r="DX104" s="79"/>
      <c r="DY104" s="79"/>
      <c r="DZ104" s="79"/>
      <c r="EA104" s="79"/>
      <c r="EB104" s="79"/>
      <c r="EC104" s="79"/>
      <c r="ED104" s="79" t="s">
        <v>770</v>
      </c>
      <c r="EE104" s="79" t="str">
        <f t="shared" si="37"/>
        <v>Completo</v>
      </c>
      <c r="EF104" s="41"/>
      <c r="EG104" s="79" t="s">
        <v>152</v>
      </c>
      <c r="EH104" s="71"/>
      <c r="EI104" s="80"/>
      <c r="EJ104" s="71"/>
      <c r="EK104" s="79" t="s">
        <v>179</v>
      </c>
      <c r="EL104" s="76" t="str">
        <f t="shared" si="49"/>
        <v>No requiere</v>
      </c>
      <c r="EM104" s="76" t="str">
        <f t="shared" si="50"/>
        <v>No requiere</v>
      </c>
      <c r="EN104" s="76" t="str">
        <f t="shared" si="60"/>
        <v>No requiere</v>
      </c>
      <c r="EO104" s="71"/>
      <c r="EP104" s="73" t="str">
        <f t="shared" si="51"/>
        <v>No requiere</v>
      </c>
      <c r="EQ104" s="77" t="str">
        <f t="shared" si="52"/>
        <v>No requiere</v>
      </c>
      <c r="ER104" s="71"/>
      <c r="ES104" s="79" t="s">
        <v>179</v>
      </c>
      <c r="ET104" s="73" t="str">
        <f t="shared" si="53"/>
        <v>No requiere</v>
      </c>
      <c r="EU104" s="73" t="str">
        <f t="shared" si="61"/>
        <v>No requiere</v>
      </c>
      <c r="EV104" s="73" t="str">
        <f t="shared" si="54"/>
        <v>No requiere</v>
      </c>
      <c r="EW104" s="73" t="str">
        <f t="shared" si="55"/>
        <v>No requiere</v>
      </c>
      <c r="EX104" s="78"/>
      <c r="EY104" s="78"/>
    </row>
    <row r="105" spans="1:155" ht="46.5" customHeight="1">
      <c r="A105" s="79">
        <v>101</v>
      </c>
      <c r="B105" s="80" t="s">
        <v>964</v>
      </c>
      <c r="C105" s="81">
        <v>45363</v>
      </c>
      <c r="D105" s="82">
        <v>0.64583333333333337</v>
      </c>
      <c r="E105" s="79" t="s">
        <v>151</v>
      </c>
      <c r="F105" s="79" t="s">
        <v>153</v>
      </c>
      <c r="G105" s="79" t="s">
        <v>153</v>
      </c>
      <c r="H105" s="79" t="s">
        <v>153</v>
      </c>
      <c r="I105" s="79" t="s">
        <v>152</v>
      </c>
      <c r="J105" s="79" t="s">
        <v>154</v>
      </c>
      <c r="K105" s="79" t="s">
        <v>155</v>
      </c>
      <c r="L105" s="80" t="s">
        <v>600</v>
      </c>
      <c r="M105" s="80" t="s">
        <v>303</v>
      </c>
      <c r="N105" s="79" t="s">
        <v>965</v>
      </c>
      <c r="O105" s="80" t="str">
        <f t="shared" si="41"/>
        <v>Nicolás Enrique Moncaleano, Andres Castro Latorre, Julio César Martínez, Joan Sebastian García, Reinaldo Terrios Andrade, Melina Julieta Solano, William Jair Gil, Diana Carolina Aristizábal, Valentina González Pontón, César Augusto Barrantes, Mónica Lyzeth Cantor, Germán Ramón Jacome, Daniela Velasco Vega, Carlos Eduardo Escandón</v>
      </c>
      <c r="P105" s="79" t="s">
        <v>966</v>
      </c>
      <c r="Q105" s="79" t="s">
        <v>749</v>
      </c>
      <c r="R105" s="79" t="s">
        <v>601</v>
      </c>
      <c r="S105" s="79" t="s">
        <v>728</v>
      </c>
      <c r="T105" s="79" t="s">
        <v>675</v>
      </c>
      <c r="U105" s="79" t="s">
        <v>168</v>
      </c>
      <c r="V105" s="79" t="s">
        <v>862</v>
      </c>
      <c r="W105" s="79" t="s">
        <v>165</v>
      </c>
      <c r="X105" s="79" t="s">
        <v>329</v>
      </c>
      <c r="Y105" s="79" t="s">
        <v>729</v>
      </c>
      <c r="Z105" s="79" t="s">
        <v>346</v>
      </c>
      <c r="AA105" s="79" t="s">
        <v>525</v>
      </c>
      <c r="AB105" s="79" t="s">
        <v>660</v>
      </c>
      <c r="AC105" s="79" t="s">
        <v>819</v>
      </c>
      <c r="AD105" s="79"/>
      <c r="AE105" s="79"/>
      <c r="AF105" s="79"/>
      <c r="AG105" s="79"/>
      <c r="AH105" s="79"/>
      <c r="AI105" s="79"/>
      <c r="AJ105" s="79"/>
      <c r="AK105" s="79"/>
      <c r="AL105" s="79"/>
      <c r="AM105" s="79"/>
      <c r="AN105" s="79"/>
      <c r="AO105" s="79" t="s">
        <v>304</v>
      </c>
      <c r="AP105" s="79"/>
      <c r="AQ105" s="80" t="s">
        <v>171</v>
      </c>
      <c r="AR105" s="80" t="s">
        <v>171</v>
      </c>
      <c r="AS105" s="80" t="s">
        <v>171</v>
      </c>
      <c r="AT105" s="80" t="str">
        <f t="shared" si="42"/>
        <v>Kennedy</v>
      </c>
      <c r="AU105" s="79" t="s">
        <v>731</v>
      </c>
      <c r="AV105" s="79"/>
      <c r="AW105" s="79"/>
      <c r="AX105" s="79"/>
      <c r="AY105" s="79"/>
      <c r="AZ105" s="79"/>
      <c r="BA105" s="80" t="str">
        <f t="shared" si="43"/>
        <v>Suroccidente</v>
      </c>
      <c r="BB105" s="79" t="s">
        <v>732</v>
      </c>
      <c r="BC105" s="79"/>
      <c r="BD105" s="79"/>
      <c r="BE105" s="79"/>
      <c r="BF105" s="79"/>
      <c r="BG105" s="79"/>
      <c r="BH105" s="80" t="str">
        <f t="shared" si="44"/>
        <v>Patio Bonito</v>
      </c>
      <c r="BI105" s="79" t="s">
        <v>967</v>
      </c>
      <c r="BJ105" s="79"/>
      <c r="BK105" s="79"/>
      <c r="BL105" s="79"/>
      <c r="BM105" s="79"/>
      <c r="BN105" s="79"/>
      <c r="BO105" s="79"/>
      <c r="BP105" s="79"/>
      <c r="BQ105" s="79"/>
      <c r="BR105" s="79"/>
      <c r="BS105" s="80" t="s">
        <v>288</v>
      </c>
      <c r="BT105" s="80" t="s">
        <v>605</v>
      </c>
      <c r="BU105" s="80" t="s">
        <v>968</v>
      </c>
      <c r="BV105" s="71"/>
      <c r="BW105" s="79" t="s">
        <v>153</v>
      </c>
      <c r="BX105" s="79" t="s">
        <v>607</v>
      </c>
      <c r="BY105" s="71"/>
      <c r="BZ105" s="79">
        <v>57</v>
      </c>
      <c r="CA105" s="79">
        <v>19</v>
      </c>
      <c r="CB105" s="79">
        <f t="shared" si="25"/>
        <v>76</v>
      </c>
      <c r="CC105" s="79" t="str">
        <f t="shared" si="59"/>
        <v>Lenguaje de señas, Accesibilidad Universal, Horarios Acordes</v>
      </c>
      <c r="CD105" s="79" t="s">
        <v>349</v>
      </c>
      <c r="CE105" s="79" t="s">
        <v>397</v>
      </c>
      <c r="CF105" s="79" t="s">
        <v>351</v>
      </c>
      <c r="CG105" s="83" t="s">
        <v>969</v>
      </c>
      <c r="CH105" s="41"/>
      <c r="CI105" s="79" t="s">
        <v>153</v>
      </c>
      <c r="CJ105" s="71"/>
      <c r="CK105" s="79">
        <f t="shared" si="38"/>
        <v>1</v>
      </c>
      <c r="CL105" s="93" t="s">
        <v>389</v>
      </c>
      <c r="CM105" s="79"/>
      <c r="CN105" s="79"/>
      <c r="CO105" s="79"/>
      <c r="CP105" s="79"/>
      <c r="CQ105" s="79"/>
      <c r="CR105" s="83" t="s">
        <v>390</v>
      </c>
      <c r="CS105" s="83" t="s">
        <v>179</v>
      </c>
      <c r="CT105" s="83" t="s">
        <v>179</v>
      </c>
      <c r="CU105" s="83" t="s">
        <v>179</v>
      </c>
      <c r="CV105" s="83" t="s">
        <v>179</v>
      </c>
      <c r="CW105" s="83" t="s">
        <v>179</v>
      </c>
      <c r="CX105" s="79" t="s">
        <v>153</v>
      </c>
      <c r="CY105" s="79">
        <f t="shared" si="39"/>
        <v>1</v>
      </c>
      <c r="CZ105" s="79">
        <v>1</v>
      </c>
      <c r="DA105" s="79">
        <f t="shared" si="40"/>
        <v>1</v>
      </c>
      <c r="DB105" s="84">
        <f t="shared" si="46"/>
        <v>1</v>
      </c>
      <c r="DC105" s="41"/>
      <c r="DD105" s="79" t="s">
        <v>153</v>
      </c>
      <c r="DE105" s="71"/>
      <c r="DF105" s="85" t="s">
        <v>970</v>
      </c>
      <c r="DG105" s="79">
        <v>100</v>
      </c>
      <c r="DH105" s="86" t="str">
        <f t="shared" si="58"/>
        <v>Completo</v>
      </c>
      <c r="DI105" s="79" t="s">
        <v>181</v>
      </c>
      <c r="DJ105" s="79" t="s">
        <v>182</v>
      </c>
      <c r="DK105" s="79" t="s">
        <v>153</v>
      </c>
      <c r="DL105" s="79">
        <v>0</v>
      </c>
      <c r="DM105" s="79">
        <v>0</v>
      </c>
      <c r="DN105" s="79" t="s">
        <v>182</v>
      </c>
      <c r="DO105" s="79">
        <v>400</v>
      </c>
      <c r="DP105" s="79" t="s">
        <v>182</v>
      </c>
      <c r="DQ105" s="79">
        <v>20</v>
      </c>
      <c r="DR105" s="75">
        <f t="shared" si="47"/>
        <v>1.169590643274854</v>
      </c>
      <c r="DS105" s="79" t="s">
        <v>182</v>
      </c>
      <c r="DT105" s="79">
        <v>73</v>
      </c>
      <c r="DU105" s="75">
        <f t="shared" si="48"/>
        <v>3.6591478696741855</v>
      </c>
      <c r="DV105" s="79" t="s">
        <v>182</v>
      </c>
      <c r="DW105" s="79" t="s">
        <v>182</v>
      </c>
      <c r="DX105" s="79">
        <v>5</v>
      </c>
      <c r="DY105" s="79">
        <v>1</v>
      </c>
      <c r="DZ105" s="79" t="s">
        <v>611</v>
      </c>
      <c r="EA105" s="79">
        <v>5939</v>
      </c>
      <c r="EB105" s="79" t="s">
        <v>182</v>
      </c>
      <c r="EC105" s="79" t="s">
        <v>971</v>
      </c>
      <c r="ED105" s="79" t="s">
        <v>249</v>
      </c>
      <c r="EE105" s="79" t="str">
        <f t="shared" si="37"/>
        <v>Completo</v>
      </c>
      <c r="EF105" s="41"/>
      <c r="EG105" s="79" t="s">
        <v>153</v>
      </c>
      <c r="EH105" s="71"/>
      <c r="EI105" s="89" t="s">
        <v>972</v>
      </c>
      <c r="EJ105" s="71"/>
      <c r="EK105" s="79" t="s">
        <v>409</v>
      </c>
      <c r="EL105" s="76" t="str">
        <f t="shared" si="49"/>
        <v>Sí</v>
      </c>
      <c r="EM105" s="76" t="str">
        <f t="shared" si="50"/>
        <v>Sí</v>
      </c>
      <c r="EN105" s="76" t="str">
        <f t="shared" si="60"/>
        <v>Sí</v>
      </c>
      <c r="EO105" s="71"/>
      <c r="EP105" s="73" t="str">
        <f t="shared" si="51"/>
        <v>No aplica</v>
      </c>
      <c r="EQ105" s="77">
        <f t="shared" si="52"/>
        <v>3.6591478696741855</v>
      </c>
      <c r="ER105" s="71"/>
      <c r="ES105" s="79" t="s">
        <v>393</v>
      </c>
      <c r="ET105" s="73">
        <f t="shared" si="53"/>
        <v>1</v>
      </c>
      <c r="EU105" s="73">
        <f t="shared" si="61"/>
        <v>1</v>
      </c>
      <c r="EV105" s="73">
        <f t="shared" si="54"/>
        <v>1</v>
      </c>
      <c r="EW105" s="73">
        <f t="shared" si="55"/>
        <v>6.7351405960599423E-2</v>
      </c>
      <c r="EX105" s="78"/>
      <c r="EY105" s="78"/>
    </row>
    <row r="106" spans="1:155" ht="46.5" customHeight="1">
      <c r="A106" s="79">
        <v>102</v>
      </c>
      <c r="B106" s="80" t="s">
        <v>973</v>
      </c>
      <c r="C106" s="81">
        <v>45363</v>
      </c>
      <c r="D106" s="82">
        <v>0.66666666666666663</v>
      </c>
      <c r="E106" s="79" t="s">
        <v>151</v>
      </c>
      <c r="F106" s="79" t="s">
        <v>153</v>
      </c>
      <c r="G106" s="79" t="s">
        <v>152</v>
      </c>
      <c r="H106" s="79" t="s">
        <v>152</v>
      </c>
      <c r="I106" s="79" t="s">
        <v>152</v>
      </c>
      <c r="J106" s="79" t="s">
        <v>154</v>
      </c>
      <c r="K106" s="79" t="s">
        <v>202</v>
      </c>
      <c r="L106" s="80" t="s">
        <v>974</v>
      </c>
      <c r="M106" s="80" t="s">
        <v>229</v>
      </c>
      <c r="N106" s="79" t="s">
        <v>506</v>
      </c>
      <c r="O106" s="80" t="str">
        <f t="shared" si="41"/>
        <v>PENDIENTE</v>
      </c>
      <c r="P106" s="79" t="s">
        <v>196</v>
      </c>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t="s">
        <v>169</v>
      </c>
      <c r="AP106" s="79" t="s">
        <v>214</v>
      </c>
      <c r="AQ106" s="80" t="s">
        <v>975</v>
      </c>
      <c r="AR106" s="83" t="s">
        <v>976</v>
      </c>
      <c r="AS106" s="80" t="s">
        <v>977</v>
      </c>
      <c r="AT106" s="80" t="str">
        <f t="shared" si="42"/>
        <v>Sumapaz</v>
      </c>
      <c r="AU106" s="79" t="s">
        <v>510</v>
      </c>
      <c r="AV106" s="79"/>
      <c r="AW106" s="79"/>
      <c r="AX106" s="79"/>
      <c r="AY106" s="79"/>
      <c r="AZ106" s="79"/>
      <c r="BA106" s="80" t="str">
        <f t="shared" si="43"/>
        <v>Ruralidad</v>
      </c>
      <c r="BB106" s="79" t="s">
        <v>219</v>
      </c>
      <c r="BC106" s="79"/>
      <c r="BD106" s="79"/>
      <c r="BE106" s="79"/>
      <c r="BF106" s="79"/>
      <c r="BG106" s="79"/>
      <c r="BH106" s="80" t="str">
        <f t="shared" si="44"/>
        <v>Sumapaz</v>
      </c>
      <c r="BI106" s="79" t="s">
        <v>510</v>
      </c>
      <c r="BJ106" s="79"/>
      <c r="BK106" s="79"/>
      <c r="BL106" s="79"/>
      <c r="BM106" s="79"/>
      <c r="BN106" s="79"/>
      <c r="BO106" s="79"/>
      <c r="BP106" s="79"/>
      <c r="BQ106" s="79"/>
      <c r="BR106" s="79"/>
      <c r="BS106" s="80" t="s">
        <v>288</v>
      </c>
      <c r="BT106" s="80" t="s">
        <v>174</v>
      </c>
      <c r="BU106" s="80" t="s">
        <v>978</v>
      </c>
      <c r="BV106" s="71"/>
      <c r="BW106" s="79" t="s">
        <v>153</v>
      </c>
      <c r="BX106" s="79" t="s">
        <v>176</v>
      </c>
      <c r="BY106" s="71"/>
      <c r="BZ106" s="79">
        <v>7</v>
      </c>
      <c r="CA106" s="79">
        <v>2</v>
      </c>
      <c r="CB106" s="79">
        <f t="shared" si="25"/>
        <v>9</v>
      </c>
      <c r="CC106" s="79" t="str">
        <f t="shared" si="59"/>
        <v>No Aplica</v>
      </c>
      <c r="CD106" s="79" t="s">
        <v>177</v>
      </c>
      <c r="CE106" s="79"/>
      <c r="CF106" s="79"/>
      <c r="CG106" s="83" t="s">
        <v>979</v>
      </c>
      <c r="CH106" s="41"/>
      <c r="CI106" s="79" t="s">
        <v>153</v>
      </c>
      <c r="CJ106" s="71"/>
      <c r="CK106" s="79">
        <f t="shared" si="38"/>
        <v>2</v>
      </c>
      <c r="CL106" s="79" t="s">
        <v>980</v>
      </c>
      <c r="CM106" s="79" t="s">
        <v>981</v>
      </c>
      <c r="CN106" s="79"/>
      <c r="CO106" s="79"/>
      <c r="CP106" s="79"/>
      <c r="CQ106" s="79"/>
      <c r="CR106" s="83" t="s">
        <v>390</v>
      </c>
      <c r="CS106" s="83" t="s">
        <v>390</v>
      </c>
      <c r="CT106" s="83" t="s">
        <v>179</v>
      </c>
      <c r="CU106" s="83" t="s">
        <v>179</v>
      </c>
      <c r="CV106" s="83" t="s">
        <v>179</v>
      </c>
      <c r="CW106" s="83" t="s">
        <v>179</v>
      </c>
      <c r="CX106" s="79" t="s">
        <v>153</v>
      </c>
      <c r="CY106" s="79">
        <f t="shared" si="39"/>
        <v>2</v>
      </c>
      <c r="CZ106" s="79">
        <v>2</v>
      </c>
      <c r="DA106" s="79">
        <f t="shared" si="40"/>
        <v>2</v>
      </c>
      <c r="DB106" s="84">
        <f t="shared" si="46"/>
        <v>1</v>
      </c>
      <c r="DC106" s="41"/>
      <c r="DD106" s="79" t="s">
        <v>153</v>
      </c>
      <c r="DE106" s="71"/>
      <c r="DF106" s="85" t="s">
        <v>982</v>
      </c>
      <c r="DG106" s="79">
        <v>101</v>
      </c>
      <c r="DH106" s="86" t="str">
        <f t="shared" si="58"/>
        <v>Completo</v>
      </c>
      <c r="DI106" s="79" t="s">
        <v>181</v>
      </c>
      <c r="DJ106" s="79" t="s">
        <v>182</v>
      </c>
      <c r="DK106" s="79"/>
      <c r="DL106" s="79">
        <v>0</v>
      </c>
      <c r="DM106" s="79">
        <v>0</v>
      </c>
      <c r="DN106" s="79" t="s">
        <v>182</v>
      </c>
      <c r="DO106" s="79"/>
      <c r="DP106" s="79"/>
      <c r="DQ106" s="79"/>
      <c r="DR106" s="75" t="str">
        <f t="shared" si="47"/>
        <v>No aplica</v>
      </c>
      <c r="DS106" s="79"/>
      <c r="DT106" s="79"/>
      <c r="DU106" s="75" t="str">
        <f t="shared" si="48"/>
        <v>No aplica</v>
      </c>
      <c r="DV106" s="79" t="s">
        <v>182</v>
      </c>
      <c r="DW106" s="79" t="s">
        <v>182</v>
      </c>
      <c r="DX106" s="79"/>
      <c r="DY106" s="79"/>
      <c r="DZ106" s="79"/>
      <c r="EA106" s="79"/>
      <c r="EB106" s="79" t="s">
        <v>182</v>
      </c>
      <c r="EC106" s="79" t="s">
        <v>983</v>
      </c>
      <c r="ED106" s="79" t="s">
        <v>184</v>
      </c>
      <c r="EE106" s="79" t="str">
        <f t="shared" si="37"/>
        <v>Completo</v>
      </c>
      <c r="EF106" s="41"/>
      <c r="EG106" s="79" t="s">
        <v>153</v>
      </c>
      <c r="EH106" s="71"/>
      <c r="EI106" s="80"/>
      <c r="EJ106" s="71"/>
      <c r="EK106" s="79" t="s">
        <v>179</v>
      </c>
      <c r="EL106" s="76" t="str">
        <f t="shared" si="49"/>
        <v>No requiere</v>
      </c>
      <c r="EM106" s="76" t="str">
        <f t="shared" si="50"/>
        <v>No requiere</v>
      </c>
      <c r="EN106" s="76" t="str">
        <f t="shared" si="60"/>
        <v>No requiere</v>
      </c>
      <c r="EO106" s="71"/>
      <c r="EP106" s="73" t="str">
        <f t="shared" si="51"/>
        <v>No requiere</v>
      </c>
      <c r="EQ106" s="77" t="str">
        <f t="shared" si="52"/>
        <v>No requiere</v>
      </c>
      <c r="ER106" s="71"/>
      <c r="ES106" s="79" t="s">
        <v>179</v>
      </c>
      <c r="ET106" s="73" t="str">
        <f t="shared" si="53"/>
        <v>No requiere</v>
      </c>
      <c r="EU106" s="73" t="str">
        <f t="shared" si="61"/>
        <v>No requiere</v>
      </c>
      <c r="EV106" s="73" t="str">
        <f t="shared" si="54"/>
        <v>No requiere</v>
      </c>
      <c r="EW106" s="73" t="str">
        <f t="shared" si="55"/>
        <v>No requiere</v>
      </c>
      <c r="EX106" s="78"/>
      <c r="EY106" s="78"/>
    </row>
    <row r="107" spans="1:155" ht="46.5" customHeight="1">
      <c r="A107" s="79">
        <v>103</v>
      </c>
      <c r="B107" s="80" t="s">
        <v>837</v>
      </c>
      <c r="C107" s="81">
        <v>45363</v>
      </c>
      <c r="D107" s="82">
        <v>0.70833333333333337</v>
      </c>
      <c r="E107" s="79" t="s">
        <v>200</v>
      </c>
      <c r="F107" s="79" t="s">
        <v>153</v>
      </c>
      <c r="G107" s="79" t="s">
        <v>152</v>
      </c>
      <c r="H107" s="79" t="s">
        <v>152</v>
      </c>
      <c r="I107" s="79" t="s">
        <v>152</v>
      </c>
      <c r="J107" s="79" t="s">
        <v>211</v>
      </c>
      <c r="K107" s="79" t="s">
        <v>202</v>
      </c>
      <c r="L107" s="80" t="s">
        <v>984</v>
      </c>
      <c r="M107" s="80" t="s">
        <v>624</v>
      </c>
      <c r="N107" s="79" t="s">
        <v>253</v>
      </c>
      <c r="O107" s="80" t="str">
        <f t="shared" si="41"/>
        <v>Mateo López Narváez, PENDIENTE</v>
      </c>
      <c r="P107" s="79" t="s">
        <v>523</v>
      </c>
      <c r="Q107" s="79" t="s">
        <v>196</v>
      </c>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t="s">
        <v>230</v>
      </c>
      <c r="AP107" s="79" t="s">
        <v>242</v>
      </c>
      <c r="AQ107" s="80" t="s">
        <v>625</v>
      </c>
      <c r="AR107" s="83">
        <v>3188799909</v>
      </c>
      <c r="AS107" s="80" t="s">
        <v>839</v>
      </c>
      <c r="AT107" s="80" t="str">
        <f t="shared" si="42"/>
        <v>Distrital</v>
      </c>
      <c r="AU107" s="79" t="s">
        <v>172</v>
      </c>
      <c r="AV107" s="79"/>
      <c r="AW107" s="79"/>
      <c r="AX107" s="79"/>
      <c r="AY107" s="79"/>
      <c r="AZ107" s="79"/>
      <c r="BA107" s="80" t="str">
        <f t="shared" si="43"/>
        <v>Distrital</v>
      </c>
      <c r="BB107" s="79" t="s">
        <v>172</v>
      </c>
      <c r="BC107" s="79"/>
      <c r="BD107" s="79"/>
      <c r="BE107" s="79"/>
      <c r="BF107" s="79"/>
      <c r="BG107" s="79"/>
      <c r="BH107" s="80" t="str">
        <f t="shared" si="44"/>
        <v>Distrital</v>
      </c>
      <c r="BI107" s="79" t="s">
        <v>172</v>
      </c>
      <c r="BJ107" s="79"/>
      <c r="BK107" s="79"/>
      <c r="BL107" s="79"/>
      <c r="BM107" s="79"/>
      <c r="BN107" s="79"/>
      <c r="BO107" s="79"/>
      <c r="BP107" s="79"/>
      <c r="BQ107" s="79"/>
      <c r="BR107" s="79"/>
      <c r="BS107" s="80" t="s">
        <v>288</v>
      </c>
      <c r="BT107" s="80" t="s">
        <v>174</v>
      </c>
      <c r="BU107" s="89" t="s">
        <v>985</v>
      </c>
      <c r="BV107" s="71"/>
      <c r="BW107" s="79" t="s">
        <v>152</v>
      </c>
      <c r="BX107" s="79" t="s">
        <v>179</v>
      </c>
      <c r="BY107" s="71"/>
      <c r="BZ107" s="79">
        <v>86</v>
      </c>
      <c r="CA107" s="79">
        <v>1</v>
      </c>
      <c r="CB107" s="79">
        <f t="shared" si="25"/>
        <v>87</v>
      </c>
      <c r="CC107" s="79" t="str">
        <f t="shared" si="59"/>
        <v>No Aplica</v>
      </c>
      <c r="CD107" s="79" t="s">
        <v>177</v>
      </c>
      <c r="CE107" s="79"/>
      <c r="CF107" s="79"/>
      <c r="CG107" s="83" t="s">
        <v>986</v>
      </c>
      <c r="CH107" s="41"/>
      <c r="CI107" s="79" t="s">
        <v>153</v>
      </c>
      <c r="CJ107" s="71"/>
      <c r="CK107" s="79">
        <f t="shared" si="38"/>
        <v>0</v>
      </c>
      <c r="CL107" s="79"/>
      <c r="CM107" s="79"/>
      <c r="CN107" s="79"/>
      <c r="CO107" s="79"/>
      <c r="CP107" s="79"/>
      <c r="CQ107" s="79"/>
      <c r="CR107" s="83" t="s">
        <v>179</v>
      </c>
      <c r="CS107" s="83" t="s">
        <v>179</v>
      </c>
      <c r="CT107" s="83" t="s">
        <v>179</v>
      </c>
      <c r="CU107" s="83" t="s">
        <v>179</v>
      </c>
      <c r="CV107" s="83" t="s">
        <v>179</v>
      </c>
      <c r="CW107" s="83" t="s">
        <v>179</v>
      </c>
      <c r="CX107" s="79" t="s">
        <v>153</v>
      </c>
      <c r="CY107" s="79">
        <f t="shared" si="39"/>
        <v>0</v>
      </c>
      <c r="CZ107" s="79">
        <v>0</v>
      </c>
      <c r="DA107" s="79">
        <f t="shared" si="40"/>
        <v>0</v>
      </c>
      <c r="DB107" s="84" t="str">
        <f t="shared" si="46"/>
        <v/>
      </c>
      <c r="DC107" s="41"/>
      <c r="DD107" s="79" t="s">
        <v>153</v>
      </c>
      <c r="DE107" s="71"/>
      <c r="DF107" s="85" t="s">
        <v>987</v>
      </c>
      <c r="DG107" s="79">
        <v>102</v>
      </c>
      <c r="DH107" s="86" t="str">
        <f t="shared" si="58"/>
        <v>Completo</v>
      </c>
      <c r="DI107" s="79" t="s">
        <v>181</v>
      </c>
      <c r="DJ107" s="79" t="s">
        <v>182</v>
      </c>
      <c r="DK107" s="79"/>
      <c r="DL107" s="79">
        <v>0</v>
      </c>
      <c r="DM107" s="79">
        <v>0</v>
      </c>
      <c r="DN107" s="79" t="s">
        <v>182</v>
      </c>
      <c r="DO107" s="79"/>
      <c r="DP107" s="79"/>
      <c r="DQ107" s="79"/>
      <c r="DR107" s="75" t="str">
        <f t="shared" si="47"/>
        <v>No aplica</v>
      </c>
      <c r="DS107" s="79"/>
      <c r="DT107" s="79"/>
      <c r="DU107" s="75" t="str">
        <f t="shared" si="48"/>
        <v>No aplica</v>
      </c>
      <c r="DV107" s="79" t="s">
        <v>182</v>
      </c>
      <c r="DW107" s="79" t="s">
        <v>182</v>
      </c>
      <c r="DX107" s="79"/>
      <c r="DY107" s="79"/>
      <c r="DZ107" s="79"/>
      <c r="EA107" s="79"/>
      <c r="EB107" s="79" t="s">
        <v>182</v>
      </c>
      <c r="EC107" s="79" t="s">
        <v>629</v>
      </c>
      <c r="ED107" s="79" t="s">
        <v>184</v>
      </c>
      <c r="EE107" s="79" t="str">
        <f t="shared" si="37"/>
        <v>Completo</v>
      </c>
      <c r="EF107" s="41"/>
      <c r="EG107" s="79" t="s">
        <v>153</v>
      </c>
      <c r="EH107" s="71"/>
      <c r="EI107" s="80"/>
      <c r="EJ107" s="71"/>
      <c r="EK107" s="79" t="s">
        <v>179</v>
      </c>
      <c r="EL107" s="76" t="str">
        <f t="shared" si="49"/>
        <v>No requiere</v>
      </c>
      <c r="EM107" s="76" t="str">
        <f t="shared" si="50"/>
        <v>No requiere</v>
      </c>
      <c r="EN107" s="76" t="str">
        <f t="shared" si="60"/>
        <v>No requiere</v>
      </c>
      <c r="EO107" s="71"/>
      <c r="EP107" s="73" t="str">
        <f t="shared" si="51"/>
        <v>No requiere</v>
      </c>
      <c r="EQ107" s="77" t="str">
        <f t="shared" si="52"/>
        <v>No requiere</v>
      </c>
      <c r="ER107" s="71"/>
      <c r="ES107" s="79" t="s">
        <v>179</v>
      </c>
      <c r="ET107" s="73" t="str">
        <f t="shared" si="53"/>
        <v>No requiere</v>
      </c>
      <c r="EU107" s="73" t="str">
        <f t="shared" si="61"/>
        <v>No requiere</v>
      </c>
      <c r="EV107" s="73" t="str">
        <f t="shared" si="54"/>
        <v>No requiere</v>
      </c>
      <c r="EW107" s="73" t="str">
        <f t="shared" si="55"/>
        <v>No requiere</v>
      </c>
      <c r="EX107" s="78"/>
      <c r="EY107" s="78"/>
    </row>
    <row r="108" spans="1:155" ht="46.5" customHeight="1">
      <c r="A108" s="79">
        <v>104</v>
      </c>
      <c r="B108" s="80" t="s">
        <v>434</v>
      </c>
      <c r="C108" s="81">
        <v>45364</v>
      </c>
      <c r="D108" s="82">
        <v>0.33333333333333331</v>
      </c>
      <c r="E108" s="79" t="s">
        <v>151</v>
      </c>
      <c r="F108" s="79" t="s">
        <v>153</v>
      </c>
      <c r="G108" s="79" t="s">
        <v>153</v>
      </c>
      <c r="H108" s="79" t="s">
        <v>152</v>
      </c>
      <c r="I108" s="79" t="s">
        <v>152</v>
      </c>
      <c r="J108" s="79" t="s">
        <v>154</v>
      </c>
      <c r="K108" s="79" t="s">
        <v>202</v>
      </c>
      <c r="L108" s="80" t="s">
        <v>988</v>
      </c>
      <c r="M108" s="80" t="s">
        <v>303</v>
      </c>
      <c r="N108" s="79" t="s">
        <v>195</v>
      </c>
      <c r="O108" s="80" t="str">
        <f t="shared" si="41"/>
        <v>Yohan David Díaz, Valentina González Pontón</v>
      </c>
      <c r="P108" s="79" t="s">
        <v>164</v>
      </c>
      <c r="Q108" s="79" t="s">
        <v>329</v>
      </c>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t="s">
        <v>169</v>
      </c>
      <c r="AP108" s="79" t="s">
        <v>170</v>
      </c>
      <c r="AQ108" s="80" t="s">
        <v>171</v>
      </c>
      <c r="AR108" s="80" t="s">
        <v>171</v>
      </c>
      <c r="AS108" s="80" t="s">
        <v>171</v>
      </c>
      <c r="AT108" s="80" t="str">
        <f t="shared" si="42"/>
        <v>Distrital</v>
      </c>
      <c r="AU108" s="79" t="s">
        <v>172</v>
      </c>
      <c r="AV108" s="79"/>
      <c r="AW108" s="79"/>
      <c r="AX108" s="79"/>
      <c r="AY108" s="79"/>
      <c r="AZ108" s="79"/>
      <c r="BA108" s="80" t="str">
        <f t="shared" si="43"/>
        <v>Distrital</v>
      </c>
      <c r="BB108" s="79" t="s">
        <v>172</v>
      </c>
      <c r="BC108" s="79"/>
      <c r="BD108" s="79"/>
      <c r="BE108" s="79"/>
      <c r="BF108" s="79"/>
      <c r="BG108" s="79"/>
      <c r="BH108" s="80" t="str">
        <f t="shared" si="44"/>
        <v>Distrital</v>
      </c>
      <c r="BI108" s="79" t="s">
        <v>172</v>
      </c>
      <c r="BJ108" s="79"/>
      <c r="BK108" s="79"/>
      <c r="BL108" s="79"/>
      <c r="BM108" s="79"/>
      <c r="BN108" s="79"/>
      <c r="BO108" s="79"/>
      <c r="BP108" s="79"/>
      <c r="BQ108" s="79"/>
      <c r="BR108" s="79"/>
      <c r="BS108" s="80" t="s">
        <v>288</v>
      </c>
      <c r="BT108" s="80" t="s">
        <v>174</v>
      </c>
      <c r="BU108" s="89" t="s">
        <v>989</v>
      </c>
      <c r="BV108" s="71"/>
      <c r="BW108" s="79" t="s">
        <v>153</v>
      </c>
      <c r="BX108" s="79" t="s">
        <v>176</v>
      </c>
      <c r="BY108" s="71"/>
      <c r="BZ108" s="79">
        <v>11</v>
      </c>
      <c r="CA108" s="79">
        <v>15</v>
      </c>
      <c r="CB108" s="79">
        <f t="shared" si="25"/>
        <v>26</v>
      </c>
      <c r="CC108" s="79" t="str">
        <f t="shared" si="59"/>
        <v>No Aplica</v>
      </c>
      <c r="CD108" s="79" t="s">
        <v>177</v>
      </c>
      <c r="CE108" s="79"/>
      <c r="CF108" s="79"/>
      <c r="CG108" s="83" t="s">
        <v>990</v>
      </c>
      <c r="CH108" s="41"/>
      <c r="CI108" s="79" t="s">
        <v>153</v>
      </c>
      <c r="CJ108" s="71"/>
      <c r="CK108" s="79">
        <f t="shared" si="38"/>
        <v>0</v>
      </c>
      <c r="CL108" s="79"/>
      <c r="CM108" s="79"/>
      <c r="CN108" s="79"/>
      <c r="CO108" s="79"/>
      <c r="CP108" s="79"/>
      <c r="CQ108" s="79"/>
      <c r="CR108" s="83" t="s">
        <v>179</v>
      </c>
      <c r="CS108" s="83" t="s">
        <v>179</v>
      </c>
      <c r="CT108" s="83" t="s">
        <v>179</v>
      </c>
      <c r="CU108" s="83" t="s">
        <v>179</v>
      </c>
      <c r="CV108" s="83" t="s">
        <v>179</v>
      </c>
      <c r="CW108" s="83" t="s">
        <v>179</v>
      </c>
      <c r="CX108" s="79" t="s">
        <v>153</v>
      </c>
      <c r="CY108" s="79">
        <f t="shared" si="39"/>
        <v>0</v>
      </c>
      <c r="CZ108" s="79">
        <v>0</v>
      </c>
      <c r="DA108" s="79">
        <f t="shared" si="40"/>
        <v>0</v>
      </c>
      <c r="DB108" s="84" t="str">
        <f t="shared" si="46"/>
        <v/>
      </c>
      <c r="DC108" s="41"/>
      <c r="DD108" s="79" t="s">
        <v>153</v>
      </c>
      <c r="DE108" s="71"/>
      <c r="DF108" s="85" t="s">
        <v>991</v>
      </c>
      <c r="DG108" s="79">
        <v>103</v>
      </c>
      <c r="DH108" s="86" t="str">
        <f t="shared" si="58"/>
        <v>Completo</v>
      </c>
      <c r="DI108" s="79" t="s">
        <v>181</v>
      </c>
      <c r="DJ108" s="79" t="s">
        <v>182</v>
      </c>
      <c r="DK108" s="79"/>
      <c r="DL108" s="79">
        <v>0</v>
      </c>
      <c r="DM108" s="79">
        <v>0</v>
      </c>
      <c r="DN108" s="79" t="s">
        <v>182</v>
      </c>
      <c r="DO108" s="79"/>
      <c r="DP108" s="79"/>
      <c r="DQ108" s="79"/>
      <c r="DR108" s="75" t="str">
        <f t="shared" si="47"/>
        <v>No aplica</v>
      </c>
      <c r="DS108" s="79"/>
      <c r="DT108" s="79"/>
      <c r="DU108" s="75" t="str">
        <f t="shared" si="48"/>
        <v>No aplica</v>
      </c>
      <c r="DV108" s="79" t="s">
        <v>182</v>
      </c>
      <c r="DW108" s="79" t="s">
        <v>182</v>
      </c>
      <c r="DX108" s="79"/>
      <c r="DY108" s="79"/>
      <c r="DZ108" s="79"/>
      <c r="EA108" s="79"/>
      <c r="EB108" s="79" t="s">
        <v>182</v>
      </c>
      <c r="EC108" s="79" t="s">
        <v>992</v>
      </c>
      <c r="ED108" s="79" t="s">
        <v>249</v>
      </c>
      <c r="EE108" s="79" t="str">
        <f t="shared" si="37"/>
        <v>Completo</v>
      </c>
      <c r="EF108" s="41"/>
      <c r="EG108" s="79" t="s">
        <v>153</v>
      </c>
      <c r="EH108" s="71"/>
      <c r="EI108" s="80"/>
      <c r="EJ108" s="71"/>
      <c r="EK108" s="79" t="s">
        <v>179</v>
      </c>
      <c r="EL108" s="76" t="str">
        <f t="shared" si="49"/>
        <v>No requiere</v>
      </c>
      <c r="EM108" s="76" t="str">
        <f t="shared" si="50"/>
        <v>No requiere</v>
      </c>
      <c r="EN108" s="76" t="str">
        <f t="shared" si="60"/>
        <v>No requiere</v>
      </c>
      <c r="EO108" s="71"/>
      <c r="EP108" s="73" t="str">
        <f t="shared" si="51"/>
        <v>No requiere</v>
      </c>
      <c r="EQ108" s="77" t="str">
        <f t="shared" si="52"/>
        <v>No requiere</v>
      </c>
      <c r="ER108" s="71"/>
      <c r="ES108" s="79" t="s">
        <v>179</v>
      </c>
      <c r="ET108" s="73" t="str">
        <f t="shared" si="53"/>
        <v>No requiere</v>
      </c>
      <c r="EU108" s="73" t="str">
        <f t="shared" si="61"/>
        <v>No requiere</v>
      </c>
      <c r="EV108" s="73" t="str">
        <f t="shared" si="54"/>
        <v>No requiere</v>
      </c>
      <c r="EW108" s="73" t="str">
        <f t="shared" si="55"/>
        <v>No requiere</v>
      </c>
      <c r="EX108" s="78"/>
      <c r="EY108" s="78"/>
    </row>
    <row r="109" spans="1:155" ht="46.5" customHeight="1">
      <c r="A109" s="79">
        <v>105</v>
      </c>
      <c r="B109" s="80" t="s">
        <v>993</v>
      </c>
      <c r="C109" s="81">
        <v>45364</v>
      </c>
      <c r="D109" s="82">
        <v>0.33333333333333331</v>
      </c>
      <c r="E109" s="79" t="s">
        <v>200</v>
      </c>
      <c r="F109" s="79" t="s">
        <v>153</v>
      </c>
      <c r="G109" s="79" t="s">
        <v>152</v>
      </c>
      <c r="H109" s="79" t="s">
        <v>152</v>
      </c>
      <c r="I109" s="79" t="s">
        <v>152</v>
      </c>
      <c r="J109" s="79" t="s">
        <v>504</v>
      </c>
      <c r="K109" s="79" t="s">
        <v>155</v>
      </c>
      <c r="L109" s="80" t="s">
        <v>994</v>
      </c>
      <c r="M109" s="80" t="s">
        <v>157</v>
      </c>
      <c r="N109" s="79" t="s">
        <v>749</v>
      </c>
      <c r="O109" s="80" t="str">
        <f t="shared" si="41"/>
        <v/>
      </c>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t="s">
        <v>169</v>
      </c>
      <c r="AP109" s="79" t="s">
        <v>507</v>
      </c>
      <c r="AQ109" s="80" t="s">
        <v>995</v>
      </c>
      <c r="AR109" s="80" t="s">
        <v>996</v>
      </c>
      <c r="AS109" s="80" t="s">
        <v>171</v>
      </c>
      <c r="AT109" s="80" t="str">
        <f t="shared" si="42"/>
        <v>Antonio Nariño</v>
      </c>
      <c r="AU109" s="79" t="s">
        <v>634</v>
      </c>
      <c r="AV109" s="79"/>
      <c r="AW109" s="79"/>
      <c r="AX109" s="79"/>
      <c r="AY109" s="79"/>
      <c r="AZ109" s="79"/>
      <c r="BA109" s="80" t="str">
        <f t="shared" si="43"/>
        <v>Centro Ampliado</v>
      </c>
      <c r="BB109" s="79" t="s">
        <v>636</v>
      </c>
      <c r="BC109" s="79"/>
      <c r="BD109" s="79"/>
      <c r="BE109" s="79"/>
      <c r="BF109" s="79"/>
      <c r="BG109" s="79"/>
      <c r="BH109" s="80" t="str">
        <f t="shared" si="44"/>
        <v>Restrepo</v>
      </c>
      <c r="BI109" s="79" t="s">
        <v>637</v>
      </c>
      <c r="BJ109" s="79"/>
      <c r="BK109" s="79"/>
      <c r="BL109" s="79"/>
      <c r="BM109" s="79"/>
      <c r="BN109" s="79"/>
      <c r="BO109" s="79"/>
      <c r="BP109" s="79"/>
      <c r="BQ109" s="79"/>
      <c r="BR109" s="79"/>
      <c r="BS109" s="80" t="s">
        <v>288</v>
      </c>
      <c r="BT109" s="80" t="s">
        <v>174</v>
      </c>
      <c r="BU109" s="92" t="s">
        <v>997</v>
      </c>
      <c r="BV109" s="71"/>
      <c r="BW109" s="79" t="s">
        <v>152</v>
      </c>
      <c r="BX109" s="79" t="s">
        <v>179</v>
      </c>
      <c r="BY109" s="71"/>
      <c r="BZ109" s="79">
        <v>18</v>
      </c>
      <c r="CA109" s="79">
        <v>1</v>
      </c>
      <c r="CB109" s="79">
        <f t="shared" si="25"/>
        <v>19</v>
      </c>
      <c r="CC109" s="79" t="str">
        <f t="shared" si="59"/>
        <v>No Aplica</v>
      </c>
      <c r="CD109" s="79" t="s">
        <v>177</v>
      </c>
      <c r="CE109" s="79"/>
      <c r="CF109" s="79"/>
      <c r="CG109" s="83" t="s">
        <v>998</v>
      </c>
      <c r="CH109" s="41"/>
      <c r="CI109" s="79" t="s">
        <v>153</v>
      </c>
      <c r="CJ109" s="71"/>
      <c r="CK109" s="79">
        <f t="shared" si="38"/>
        <v>0</v>
      </c>
      <c r="CL109" s="79"/>
      <c r="CM109" s="79"/>
      <c r="CN109" s="79"/>
      <c r="CO109" s="79"/>
      <c r="CP109" s="79"/>
      <c r="CQ109" s="79"/>
      <c r="CR109" s="83" t="s">
        <v>179</v>
      </c>
      <c r="CS109" s="83" t="s">
        <v>179</v>
      </c>
      <c r="CT109" s="83" t="s">
        <v>179</v>
      </c>
      <c r="CU109" s="83" t="s">
        <v>179</v>
      </c>
      <c r="CV109" s="83" t="s">
        <v>179</v>
      </c>
      <c r="CW109" s="83" t="s">
        <v>179</v>
      </c>
      <c r="CX109" s="79" t="s">
        <v>153</v>
      </c>
      <c r="CY109" s="79">
        <f t="shared" si="39"/>
        <v>0</v>
      </c>
      <c r="CZ109" s="79">
        <v>0</v>
      </c>
      <c r="DA109" s="79">
        <f t="shared" si="40"/>
        <v>0</v>
      </c>
      <c r="DB109" s="84" t="str">
        <f t="shared" si="46"/>
        <v/>
      </c>
      <c r="DC109" s="41"/>
      <c r="DD109" s="79" t="s">
        <v>153</v>
      </c>
      <c r="DE109" s="71"/>
      <c r="DF109" s="85" t="s">
        <v>999</v>
      </c>
      <c r="DG109" s="79">
        <v>104</v>
      </c>
      <c r="DH109" s="86" t="str">
        <f t="shared" si="58"/>
        <v>Completo</v>
      </c>
      <c r="DI109" s="79" t="s">
        <v>181</v>
      </c>
      <c r="DJ109" s="79" t="s">
        <v>182</v>
      </c>
      <c r="DK109" s="79"/>
      <c r="DL109" s="79">
        <v>0</v>
      </c>
      <c r="DM109" s="79">
        <v>0</v>
      </c>
      <c r="DN109" s="79" t="s">
        <v>182</v>
      </c>
      <c r="DO109" s="79"/>
      <c r="DP109" s="79"/>
      <c r="DQ109" s="79"/>
      <c r="DR109" s="75" t="str">
        <f t="shared" si="47"/>
        <v>No aplica</v>
      </c>
      <c r="DS109" s="79"/>
      <c r="DT109" s="79"/>
      <c r="DU109" s="75" t="str">
        <f t="shared" si="48"/>
        <v>No aplica</v>
      </c>
      <c r="DV109" s="79" t="s">
        <v>182</v>
      </c>
      <c r="DW109" s="79" t="s">
        <v>182</v>
      </c>
      <c r="DX109" s="79"/>
      <c r="DY109" s="79"/>
      <c r="DZ109" s="79"/>
      <c r="EA109" s="79"/>
      <c r="EB109" s="79"/>
      <c r="EC109" s="79"/>
      <c r="ED109" s="79" t="s">
        <v>184</v>
      </c>
      <c r="EE109" s="79" t="str">
        <f t="shared" si="37"/>
        <v>Completo</v>
      </c>
      <c r="EF109" s="41"/>
      <c r="EG109" s="79" t="s">
        <v>153</v>
      </c>
      <c r="EH109" s="71"/>
      <c r="EI109" s="80"/>
      <c r="EJ109" s="71"/>
      <c r="EK109" s="79" t="s">
        <v>179</v>
      </c>
      <c r="EL109" s="76" t="str">
        <f t="shared" si="49"/>
        <v>No requiere</v>
      </c>
      <c r="EM109" s="76" t="str">
        <f t="shared" si="50"/>
        <v>No requiere</v>
      </c>
      <c r="EN109" s="76" t="str">
        <f t="shared" si="60"/>
        <v>No requiere</v>
      </c>
      <c r="EO109" s="71"/>
      <c r="EP109" s="73" t="str">
        <f t="shared" si="51"/>
        <v>No requiere</v>
      </c>
      <c r="EQ109" s="77" t="str">
        <f t="shared" si="52"/>
        <v>No requiere</v>
      </c>
      <c r="ER109" s="71"/>
      <c r="ES109" s="79" t="s">
        <v>179</v>
      </c>
      <c r="ET109" s="73" t="str">
        <f t="shared" si="53"/>
        <v>No requiere</v>
      </c>
      <c r="EU109" s="73" t="str">
        <f t="shared" si="61"/>
        <v>No requiere</v>
      </c>
      <c r="EV109" s="73" t="str">
        <f t="shared" si="54"/>
        <v>No requiere</v>
      </c>
      <c r="EW109" s="73" t="str">
        <f t="shared" si="55"/>
        <v>No requiere</v>
      </c>
      <c r="EX109" s="78"/>
      <c r="EY109" s="78"/>
    </row>
    <row r="110" spans="1:155" ht="46.5" customHeight="1">
      <c r="A110" s="79">
        <v>106</v>
      </c>
      <c r="B110" s="80" t="s">
        <v>1000</v>
      </c>
      <c r="C110" s="81">
        <v>45364</v>
      </c>
      <c r="D110" s="82">
        <v>0.375</v>
      </c>
      <c r="E110" s="79" t="s">
        <v>200</v>
      </c>
      <c r="F110" s="79" t="s">
        <v>153</v>
      </c>
      <c r="G110" s="79" t="s">
        <v>152</v>
      </c>
      <c r="H110" s="79" t="s">
        <v>152</v>
      </c>
      <c r="I110" s="79" t="s">
        <v>152</v>
      </c>
      <c r="J110" s="79" t="s">
        <v>504</v>
      </c>
      <c r="K110" s="79" t="s">
        <v>155</v>
      </c>
      <c r="L110" s="80" t="s">
        <v>1001</v>
      </c>
      <c r="M110" s="80" t="s">
        <v>157</v>
      </c>
      <c r="N110" s="79" t="s">
        <v>861</v>
      </c>
      <c r="O110" s="80" t="str">
        <f t="shared" si="41"/>
        <v/>
      </c>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t="s">
        <v>169</v>
      </c>
      <c r="AP110" s="79" t="s">
        <v>507</v>
      </c>
      <c r="AQ110" s="80" t="s">
        <v>1002</v>
      </c>
      <c r="AR110" s="83">
        <v>3163896199</v>
      </c>
      <c r="AS110" s="80" t="s">
        <v>1003</v>
      </c>
      <c r="AT110" s="80" t="str">
        <f t="shared" si="42"/>
        <v>Teusaquillo</v>
      </c>
      <c r="AU110" s="79" t="s">
        <v>1004</v>
      </c>
      <c r="AV110" s="79"/>
      <c r="AW110" s="79"/>
      <c r="AX110" s="79"/>
      <c r="AY110" s="79"/>
      <c r="AZ110" s="79"/>
      <c r="BA110" s="80" t="str">
        <f t="shared" si="43"/>
        <v>Centro Ampliado</v>
      </c>
      <c r="BB110" s="79" t="s">
        <v>636</v>
      </c>
      <c r="BC110" s="79"/>
      <c r="BD110" s="79"/>
      <c r="BE110" s="79"/>
      <c r="BF110" s="79"/>
      <c r="BG110" s="79"/>
      <c r="BH110" s="80" t="str">
        <f t="shared" si="44"/>
        <v>Teusaquillo</v>
      </c>
      <c r="BI110" s="79" t="s">
        <v>1004</v>
      </c>
      <c r="BJ110" s="79"/>
      <c r="BK110" s="79"/>
      <c r="BL110" s="79"/>
      <c r="BM110" s="79"/>
      <c r="BN110" s="79"/>
      <c r="BO110" s="79"/>
      <c r="BP110" s="79"/>
      <c r="BQ110" s="79"/>
      <c r="BR110" s="79"/>
      <c r="BS110" s="80" t="s">
        <v>288</v>
      </c>
      <c r="BT110" s="80" t="s">
        <v>174</v>
      </c>
      <c r="BU110" s="92" t="s">
        <v>1005</v>
      </c>
      <c r="BV110" s="71"/>
      <c r="BW110" s="79" t="s">
        <v>152</v>
      </c>
      <c r="BX110" s="79" t="s">
        <v>179</v>
      </c>
      <c r="BY110" s="71"/>
      <c r="BZ110" s="79">
        <v>24</v>
      </c>
      <c r="CA110" s="79">
        <v>1</v>
      </c>
      <c r="CB110" s="79">
        <f t="shared" si="25"/>
        <v>25</v>
      </c>
      <c r="CC110" s="79" t="str">
        <f t="shared" si="59"/>
        <v>No Aplica</v>
      </c>
      <c r="CD110" s="79" t="s">
        <v>177</v>
      </c>
      <c r="CE110" s="79"/>
      <c r="CF110" s="79"/>
      <c r="CG110" s="83" t="s">
        <v>1006</v>
      </c>
      <c r="CH110" s="41"/>
      <c r="CI110" s="79" t="s">
        <v>153</v>
      </c>
      <c r="CJ110" s="71"/>
      <c r="CK110" s="79">
        <f t="shared" si="38"/>
        <v>0</v>
      </c>
      <c r="CL110" s="79"/>
      <c r="CM110" s="79"/>
      <c r="CN110" s="79"/>
      <c r="CO110" s="79"/>
      <c r="CP110" s="79"/>
      <c r="CQ110" s="79"/>
      <c r="CR110" s="83" t="s">
        <v>179</v>
      </c>
      <c r="CS110" s="83" t="s">
        <v>179</v>
      </c>
      <c r="CT110" s="83" t="s">
        <v>179</v>
      </c>
      <c r="CU110" s="83" t="s">
        <v>179</v>
      </c>
      <c r="CV110" s="83" t="s">
        <v>179</v>
      </c>
      <c r="CW110" s="83" t="s">
        <v>179</v>
      </c>
      <c r="CX110" s="79" t="s">
        <v>153</v>
      </c>
      <c r="CY110" s="79">
        <f t="shared" si="39"/>
        <v>0</v>
      </c>
      <c r="CZ110" s="79">
        <v>0</v>
      </c>
      <c r="DA110" s="79">
        <f t="shared" si="40"/>
        <v>0</v>
      </c>
      <c r="DB110" s="84" t="str">
        <f t="shared" si="46"/>
        <v/>
      </c>
      <c r="DC110" s="41"/>
      <c r="DD110" s="79" t="s">
        <v>153</v>
      </c>
      <c r="DE110" s="71"/>
      <c r="DF110" s="85" t="s">
        <v>999</v>
      </c>
      <c r="DG110" s="79">
        <v>105</v>
      </c>
      <c r="DH110" s="86" t="str">
        <f t="shared" si="58"/>
        <v>Completo</v>
      </c>
      <c r="DI110" s="79" t="s">
        <v>181</v>
      </c>
      <c r="DJ110" s="79" t="s">
        <v>182</v>
      </c>
      <c r="DK110" s="79"/>
      <c r="DL110" s="79">
        <v>0</v>
      </c>
      <c r="DM110" s="79">
        <v>0</v>
      </c>
      <c r="DN110" s="79" t="s">
        <v>182</v>
      </c>
      <c r="DO110" s="79"/>
      <c r="DP110" s="79"/>
      <c r="DQ110" s="79"/>
      <c r="DR110" s="75" t="str">
        <f t="shared" si="47"/>
        <v>No aplica</v>
      </c>
      <c r="DS110" s="79"/>
      <c r="DT110" s="79"/>
      <c r="DU110" s="75" t="str">
        <f t="shared" si="48"/>
        <v>No aplica</v>
      </c>
      <c r="DV110" s="79" t="s">
        <v>182</v>
      </c>
      <c r="DW110" s="79" t="s">
        <v>182</v>
      </c>
      <c r="DX110" s="79"/>
      <c r="DY110" s="79"/>
      <c r="DZ110" s="79"/>
      <c r="EA110" s="79"/>
      <c r="EB110" s="79"/>
      <c r="EC110" s="79"/>
      <c r="ED110" s="79" t="s">
        <v>184</v>
      </c>
      <c r="EE110" s="79" t="str">
        <f t="shared" si="37"/>
        <v>Completo</v>
      </c>
      <c r="EF110" s="41"/>
      <c r="EG110" s="79" t="s">
        <v>153</v>
      </c>
      <c r="EH110" s="71"/>
      <c r="EI110" s="80"/>
      <c r="EJ110" s="71"/>
      <c r="EK110" s="79" t="s">
        <v>179</v>
      </c>
      <c r="EL110" s="76" t="str">
        <f t="shared" si="49"/>
        <v>No requiere</v>
      </c>
      <c r="EM110" s="76" t="str">
        <f t="shared" si="50"/>
        <v>No requiere</v>
      </c>
      <c r="EN110" s="76" t="str">
        <f t="shared" si="60"/>
        <v>No requiere</v>
      </c>
      <c r="EO110" s="71"/>
      <c r="EP110" s="73" t="str">
        <f t="shared" si="51"/>
        <v>No requiere</v>
      </c>
      <c r="EQ110" s="77" t="str">
        <f t="shared" si="52"/>
        <v>No requiere</v>
      </c>
      <c r="ER110" s="71"/>
      <c r="ES110" s="79" t="s">
        <v>179</v>
      </c>
      <c r="ET110" s="73" t="str">
        <f t="shared" si="53"/>
        <v>No requiere</v>
      </c>
      <c r="EU110" s="73" t="str">
        <f t="shared" si="61"/>
        <v>No requiere</v>
      </c>
      <c r="EV110" s="73" t="str">
        <f t="shared" si="54"/>
        <v>No requiere</v>
      </c>
      <c r="EW110" s="73" t="str">
        <f t="shared" si="55"/>
        <v>No requiere</v>
      </c>
      <c r="EX110" s="78"/>
      <c r="EY110" s="78"/>
    </row>
    <row r="111" spans="1:155" ht="46.5" customHeight="1">
      <c r="A111" s="79">
        <v>107</v>
      </c>
      <c r="B111" s="80" t="s">
        <v>1007</v>
      </c>
      <c r="C111" s="81">
        <v>45364</v>
      </c>
      <c r="D111" s="82">
        <v>0.375</v>
      </c>
      <c r="E111" s="79" t="s">
        <v>200</v>
      </c>
      <c r="F111" s="79" t="s">
        <v>153</v>
      </c>
      <c r="G111" s="79" t="s">
        <v>152</v>
      </c>
      <c r="H111" s="79" t="s">
        <v>152</v>
      </c>
      <c r="I111" s="79" t="s">
        <v>152</v>
      </c>
      <c r="J111" s="79" t="s">
        <v>504</v>
      </c>
      <c r="K111" s="79" t="s">
        <v>155</v>
      </c>
      <c r="L111" s="80" t="s">
        <v>1008</v>
      </c>
      <c r="M111" s="80" t="s">
        <v>157</v>
      </c>
      <c r="N111" s="79" t="s">
        <v>546</v>
      </c>
      <c r="O111" s="80" t="str">
        <f t="shared" si="41"/>
        <v/>
      </c>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t="s">
        <v>169</v>
      </c>
      <c r="AP111" s="79" t="s">
        <v>507</v>
      </c>
      <c r="AQ111" s="80" t="s">
        <v>909</v>
      </c>
      <c r="AR111" s="80" t="s">
        <v>171</v>
      </c>
      <c r="AS111" s="80" t="s">
        <v>171</v>
      </c>
      <c r="AT111" s="80" t="str">
        <f t="shared" si="42"/>
        <v>Usme</v>
      </c>
      <c r="AU111" s="79" t="s">
        <v>1009</v>
      </c>
      <c r="AV111" s="79"/>
      <c r="AW111" s="79"/>
      <c r="AX111" s="79"/>
      <c r="AY111" s="79"/>
      <c r="AZ111" s="79"/>
      <c r="BA111" s="80" t="str">
        <f t="shared" si="43"/>
        <v>Suroriente, Ruralidad</v>
      </c>
      <c r="BB111" s="79" t="s">
        <v>218</v>
      </c>
      <c r="BC111" s="79" t="s">
        <v>219</v>
      </c>
      <c r="BD111" s="79"/>
      <c r="BE111" s="79"/>
      <c r="BF111" s="79"/>
      <c r="BG111" s="79"/>
      <c r="BH111" s="80" t="str">
        <f t="shared" si="44"/>
        <v>Usme Entrenubes, Rafael Uribe, Cuenca del Tunjuelo, Cerros Orientales</v>
      </c>
      <c r="BI111" s="79" t="s">
        <v>1010</v>
      </c>
      <c r="BJ111" s="79" t="s">
        <v>723</v>
      </c>
      <c r="BK111" s="79" t="s">
        <v>222</v>
      </c>
      <c r="BL111" s="79" t="s">
        <v>361</v>
      </c>
      <c r="BM111" s="79"/>
      <c r="BN111" s="79"/>
      <c r="BO111" s="79"/>
      <c r="BP111" s="79"/>
      <c r="BQ111" s="79"/>
      <c r="BR111" s="79"/>
      <c r="BS111" s="80" t="s">
        <v>288</v>
      </c>
      <c r="BT111" s="80" t="s">
        <v>174</v>
      </c>
      <c r="BU111" s="92" t="s">
        <v>1011</v>
      </c>
      <c r="BV111" s="71"/>
      <c r="BW111" s="79" t="s">
        <v>152</v>
      </c>
      <c r="BX111" s="79" t="s">
        <v>179</v>
      </c>
      <c r="BY111" s="71"/>
      <c r="BZ111" s="79">
        <v>17</v>
      </c>
      <c r="CA111" s="79">
        <v>1</v>
      </c>
      <c r="CB111" s="79">
        <f t="shared" si="25"/>
        <v>18</v>
      </c>
      <c r="CC111" s="79" t="str">
        <f t="shared" si="59"/>
        <v>No Aplica</v>
      </c>
      <c r="CD111" s="79" t="s">
        <v>177</v>
      </c>
      <c r="CE111" s="79"/>
      <c r="CF111" s="79"/>
      <c r="CG111" s="83" t="s">
        <v>1012</v>
      </c>
      <c r="CH111" s="41"/>
      <c r="CI111" s="79" t="s">
        <v>153</v>
      </c>
      <c r="CJ111" s="71"/>
      <c r="CK111" s="79">
        <f t="shared" si="38"/>
        <v>0</v>
      </c>
      <c r="CL111" s="79"/>
      <c r="CM111" s="79"/>
      <c r="CN111" s="79"/>
      <c r="CO111" s="79"/>
      <c r="CP111" s="79"/>
      <c r="CQ111" s="79"/>
      <c r="CR111" s="83" t="s">
        <v>179</v>
      </c>
      <c r="CS111" s="83" t="s">
        <v>179</v>
      </c>
      <c r="CT111" s="83" t="s">
        <v>179</v>
      </c>
      <c r="CU111" s="83" t="s">
        <v>179</v>
      </c>
      <c r="CV111" s="83" t="s">
        <v>179</v>
      </c>
      <c r="CW111" s="83" t="s">
        <v>179</v>
      </c>
      <c r="CX111" s="79" t="s">
        <v>153</v>
      </c>
      <c r="CY111" s="79">
        <f t="shared" si="39"/>
        <v>0</v>
      </c>
      <c r="CZ111" s="79">
        <v>0</v>
      </c>
      <c r="DA111" s="79">
        <f t="shared" si="40"/>
        <v>0</v>
      </c>
      <c r="DB111" s="84" t="str">
        <f t="shared" si="46"/>
        <v/>
      </c>
      <c r="DC111" s="41"/>
      <c r="DD111" s="79" t="s">
        <v>153</v>
      </c>
      <c r="DE111" s="71"/>
      <c r="DF111" s="85" t="s">
        <v>999</v>
      </c>
      <c r="DG111" s="79">
        <v>106</v>
      </c>
      <c r="DH111" s="86" t="str">
        <f t="shared" si="58"/>
        <v>Completo</v>
      </c>
      <c r="DI111" s="79" t="s">
        <v>181</v>
      </c>
      <c r="DJ111" s="79" t="s">
        <v>182</v>
      </c>
      <c r="DK111" s="79"/>
      <c r="DL111" s="79">
        <v>0</v>
      </c>
      <c r="DM111" s="79">
        <v>0</v>
      </c>
      <c r="DN111" s="79" t="s">
        <v>182</v>
      </c>
      <c r="DO111" s="79"/>
      <c r="DP111" s="79"/>
      <c r="DQ111" s="79"/>
      <c r="DR111" s="75" t="str">
        <f t="shared" si="47"/>
        <v>No aplica</v>
      </c>
      <c r="DS111" s="79"/>
      <c r="DT111" s="79"/>
      <c r="DU111" s="75" t="str">
        <f t="shared" si="48"/>
        <v>No aplica</v>
      </c>
      <c r="DV111" s="79" t="s">
        <v>182</v>
      </c>
      <c r="DW111" s="79" t="s">
        <v>182</v>
      </c>
      <c r="DX111" s="79"/>
      <c r="DY111" s="79"/>
      <c r="DZ111" s="79"/>
      <c r="EA111" s="79"/>
      <c r="EB111" s="79"/>
      <c r="EC111" s="79"/>
      <c r="ED111" s="79" t="s">
        <v>184</v>
      </c>
      <c r="EE111" s="79" t="str">
        <f t="shared" si="37"/>
        <v>Completo</v>
      </c>
      <c r="EF111" s="41"/>
      <c r="EG111" s="79" t="s">
        <v>153</v>
      </c>
      <c r="EH111" s="71"/>
      <c r="EI111" s="80"/>
      <c r="EJ111" s="71"/>
      <c r="EK111" s="79" t="s">
        <v>179</v>
      </c>
      <c r="EL111" s="76" t="str">
        <f t="shared" si="49"/>
        <v>No requiere</v>
      </c>
      <c r="EM111" s="76" t="str">
        <f t="shared" si="50"/>
        <v>No requiere</v>
      </c>
      <c r="EN111" s="76" t="str">
        <f t="shared" si="60"/>
        <v>No requiere</v>
      </c>
      <c r="EO111" s="71"/>
      <c r="EP111" s="73" t="str">
        <f t="shared" si="51"/>
        <v>No requiere</v>
      </c>
      <c r="EQ111" s="77" t="str">
        <f t="shared" si="52"/>
        <v>No requiere</v>
      </c>
      <c r="ER111" s="71"/>
      <c r="ES111" s="79" t="s">
        <v>179</v>
      </c>
      <c r="ET111" s="73" t="str">
        <f t="shared" si="53"/>
        <v>No requiere</v>
      </c>
      <c r="EU111" s="73" t="str">
        <f t="shared" si="61"/>
        <v>No requiere</v>
      </c>
      <c r="EV111" s="73" t="str">
        <f t="shared" si="54"/>
        <v>No requiere</v>
      </c>
      <c r="EW111" s="73" t="str">
        <f t="shared" si="55"/>
        <v>No requiere</v>
      </c>
      <c r="EX111" s="78"/>
      <c r="EY111" s="78"/>
    </row>
    <row r="112" spans="1:155" ht="46.5" customHeight="1">
      <c r="A112" s="79">
        <v>108</v>
      </c>
      <c r="B112" s="80" t="s">
        <v>1013</v>
      </c>
      <c r="C112" s="81">
        <v>45364</v>
      </c>
      <c r="D112" s="82">
        <v>0.39583333333333331</v>
      </c>
      <c r="E112" s="79" t="s">
        <v>151</v>
      </c>
      <c r="F112" s="79" t="s">
        <v>153</v>
      </c>
      <c r="G112" s="79" t="s">
        <v>152</v>
      </c>
      <c r="H112" s="79" t="s">
        <v>152</v>
      </c>
      <c r="I112" s="79" t="s">
        <v>152</v>
      </c>
      <c r="J112" s="79" t="s">
        <v>154</v>
      </c>
      <c r="K112" s="79" t="s">
        <v>202</v>
      </c>
      <c r="L112" s="80" t="s">
        <v>577</v>
      </c>
      <c r="M112" s="80" t="s">
        <v>157</v>
      </c>
      <c r="N112" s="79" t="s">
        <v>373</v>
      </c>
      <c r="O112" s="80" t="str">
        <f t="shared" si="41"/>
        <v/>
      </c>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t="s">
        <v>169</v>
      </c>
      <c r="AP112" s="79" t="s">
        <v>170</v>
      </c>
      <c r="AQ112" s="83" t="s">
        <v>584</v>
      </c>
      <c r="AR112" s="83">
        <v>3143480013</v>
      </c>
      <c r="AS112" s="83" t="s">
        <v>585</v>
      </c>
      <c r="AT112" s="80" t="str">
        <f t="shared" si="42"/>
        <v>Distrital</v>
      </c>
      <c r="AU112" s="79" t="s">
        <v>172</v>
      </c>
      <c r="AV112" s="79"/>
      <c r="AW112" s="79"/>
      <c r="AX112" s="79"/>
      <c r="AY112" s="79"/>
      <c r="AZ112" s="79"/>
      <c r="BA112" s="80" t="str">
        <f t="shared" si="43"/>
        <v>Distrital</v>
      </c>
      <c r="BB112" s="79" t="s">
        <v>172</v>
      </c>
      <c r="BC112" s="79"/>
      <c r="BD112" s="79"/>
      <c r="BE112" s="79"/>
      <c r="BF112" s="79"/>
      <c r="BG112" s="79"/>
      <c r="BH112" s="80" t="str">
        <f t="shared" si="44"/>
        <v>Distrital</v>
      </c>
      <c r="BI112" s="79" t="s">
        <v>172</v>
      </c>
      <c r="BJ112" s="79"/>
      <c r="BK112" s="79"/>
      <c r="BL112" s="79"/>
      <c r="BM112" s="79"/>
      <c r="BN112" s="79"/>
      <c r="BO112" s="79"/>
      <c r="BP112" s="79"/>
      <c r="BQ112" s="79"/>
      <c r="BR112" s="79"/>
      <c r="BS112" s="80" t="s">
        <v>288</v>
      </c>
      <c r="BT112" s="80" t="s">
        <v>174</v>
      </c>
      <c r="BU112" s="89" t="s">
        <v>1014</v>
      </c>
      <c r="BV112" s="71"/>
      <c r="BW112" s="79" t="s">
        <v>153</v>
      </c>
      <c r="BX112" s="79" t="s">
        <v>176</v>
      </c>
      <c r="BY112" s="71"/>
      <c r="BZ112" s="79">
        <v>47</v>
      </c>
      <c r="CA112" s="79">
        <v>1</v>
      </c>
      <c r="CB112" s="79">
        <f t="shared" si="25"/>
        <v>48</v>
      </c>
      <c r="CC112" s="79" t="str">
        <f t="shared" si="59"/>
        <v>No Aplica</v>
      </c>
      <c r="CD112" s="79" t="s">
        <v>177</v>
      </c>
      <c r="CE112" s="79"/>
      <c r="CF112" s="79"/>
      <c r="CG112" s="83" t="s">
        <v>1015</v>
      </c>
      <c r="CH112" s="41"/>
      <c r="CI112" s="79" t="s">
        <v>153</v>
      </c>
      <c r="CJ112" s="71"/>
      <c r="CK112" s="79">
        <f t="shared" si="38"/>
        <v>0</v>
      </c>
      <c r="CL112" s="79"/>
      <c r="CM112" s="79"/>
      <c r="CN112" s="79"/>
      <c r="CO112" s="79"/>
      <c r="CP112" s="79"/>
      <c r="CQ112" s="79"/>
      <c r="CR112" s="83"/>
      <c r="CS112" s="83"/>
      <c r="CT112" s="83"/>
      <c r="CU112" s="83"/>
      <c r="CV112" s="83"/>
      <c r="CW112" s="83"/>
      <c r="CX112" s="79"/>
      <c r="CY112" s="79">
        <f t="shared" si="39"/>
        <v>0</v>
      </c>
      <c r="CZ112" s="79">
        <v>0</v>
      </c>
      <c r="DA112" s="79">
        <f t="shared" si="40"/>
        <v>0</v>
      </c>
      <c r="DB112" s="84" t="str">
        <f t="shared" si="46"/>
        <v/>
      </c>
      <c r="DC112" s="41"/>
      <c r="DD112" s="79" t="s">
        <v>153</v>
      </c>
      <c r="DE112" s="71"/>
      <c r="DF112" s="85" t="s">
        <v>1016</v>
      </c>
      <c r="DG112" s="79">
        <v>107</v>
      </c>
      <c r="DH112" s="86" t="str">
        <f t="shared" si="58"/>
        <v>Completo</v>
      </c>
      <c r="DI112" s="79" t="s">
        <v>181</v>
      </c>
      <c r="DJ112" s="79" t="s">
        <v>182</v>
      </c>
      <c r="DK112" s="79"/>
      <c r="DL112" s="79">
        <v>0</v>
      </c>
      <c r="DM112" s="79">
        <v>0</v>
      </c>
      <c r="DN112" s="79" t="s">
        <v>182</v>
      </c>
      <c r="DO112" s="79"/>
      <c r="DP112" s="79"/>
      <c r="DQ112" s="79"/>
      <c r="DR112" s="75" t="str">
        <f t="shared" si="47"/>
        <v>No aplica</v>
      </c>
      <c r="DS112" s="79"/>
      <c r="DT112" s="79"/>
      <c r="DU112" s="75" t="str">
        <f t="shared" si="48"/>
        <v>No aplica</v>
      </c>
      <c r="DV112" s="79" t="s">
        <v>182</v>
      </c>
      <c r="DW112" s="79" t="s">
        <v>191</v>
      </c>
      <c r="DX112" s="79"/>
      <c r="DY112" s="79"/>
      <c r="DZ112" s="79"/>
      <c r="EA112" s="79"/>
      <c r="EB112" s="79"/>
      <c r="EC112" s="79" t="s">
        <v>672</v>
      </c>
      <c r="ED112" s="79" t="s">
        <v>1017</v>
      </c>
      <c r="EE112" s="79" t="str">
        <f t="shared" si="37"/>
        <v>Completo</v>
      </c>
      <c r="EF112" s="41"/>
      <c r="EG112" s="79" t="s">
        <v>153</v>
      </c>
      <c r="EH112" s="71"/>
      <c r="EI112" s="80"/>
      <c r="EJ112" s="71"/>
      <c r="EK112" s="79" t="s">
        <v>179</v>
      </c>
      <c r="EL112" s="76" t="str">
        <f t="shared" si="49"/>
        <v>No requiere</v>
      </c>
      <c r="EM112" s="76" t="str">
        <f t="shared" si="50"/>
        <v>No requiere</v>
      </c>
      <c r="EN112" s="76" t="str">
        <f t="shared" si="60"/>
        <v>No requiere</v>
      </c>
      <c r="EO112" s="71"/>
      <c r="EP112" s="73" t="str">
        <f t="shared" si="51"/>
        <v>No requiere</v>
      </c>
      <c r="EQ112" s="77" t="str">
        <f t="shared" si="52"/>
        <v>No requiere</v>
      </c>
      <c r="ER112" s="71"/>
      <c r="ES112" s="79" t="s">
        <v>179</v>
      </c>
      <c r="ET112" s="73" t="str">
        <f t="shared" si="53"/>
        <v>No requiere</v>
      </c>
      <c r="EU112" s="73" t="str">
        <f t="shared" si="61"/>
        <v>No requiere</v>
      </c>
      <c r="EV112" s="73" t="str">
        <f t="shared" si="54"/>
        <v>No requiere</v>
      </c>
      <c r="EW112" s="73" t="str">
        <f t="shared" si="55"/>
        <v>No requiere</v>
      </c>
      <c r="EX112" s="78"/>
      <c r="EY112" s="78"/>
    </row>
    <row r="113" spans="1:155" ht="46.5" customHeight="1">
      <c r="A113" s="79">
        <v>109</v>
      </c>
      <c r="B113" s="80" t="s">
        <v>1018</v>
      </c>
      <c r="C113" s="81">
        <v>45364</v>
      </c>
      <c r="D113" s="82">
        <v>0.58333333333333337</v>
      </c>
      <c r="E113" s="79" t="s">
        <v>151</v>
      </c>
      <c r="F113" s="79" t="s">
        <v>153</v>
      </c>
      <c r="G113" s="79" t="s">
        <v>152</v>
      </c>
      <c r="H113" s="79" t="s">
        <v>152</v>
      </c>
      <c r="I113" s="79" t="s">
        <v>152</v>
      </c>
      <c r="J113" s="79" t="s">
        <v>154</v>
      </c>
      <c r="K113" s="79" t="s">
        <v>155</v>
      </c>
      <c r="L113" s="80" t="s">
        <v>1019</v>
      </c>
      <c r="M113" s="80" t="s">
        <v>157</v>
      </c>
      <c r="N113" s="79" t="s">
        <v>163</v>
      </c>
      <c r="O113" s="80" t="str">
        <f t="shared" si="41"/>
        <v>Laura Camila Bechara, Yohan David Díaz</v>
      </c>
      <c r="P113" s="79" t="s">
        <v>887</v>
      </c>
      <c r="Q113" s="79" t="s">
        <v>164</v>
      </c>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t="s">
        <v>304</v>
      </c>
      <c r="AP113" s="79"/>
      <c r="AQ113" s="80" t="s">
        <v>901</v>
      </c>
      <c r="AR113" s="83">
        <v>3159261429</v>
      </c>
      <c r="AS113" s="80" t="s">
        <v>902</v>
      </c>
      <c r="AT113" s="80" t="str">
        <f t="shared" si="42"/>
        <v>Distrital</v>
      </c>
      <c r="AU113" s="79" t="s">
        <v>172</v>
      </c>
      <c r="AV113" s="79"/>
      <c r="AW113" s="79"/>
      <c r="AX113" s="79"/>
      <c r="AY113" s="79"/>
      <c r="AZ113" s="79"/>
      <c r="BA113" s="80" t="str">
        <f t="shared" si="43"/>
        <v>Distrital</v>
      </c>
      <c r="BB113" s="79" t="s">
        <v>172</v>
      </c>
      <c r="BC113" s="79"/>
      <c r="BD113" s="79"/>
      <c r="BE113" s="79"/>
      <c r="BF113" s="79"/>
      <c r="BG113" s="79"/>
      <c r="BH113" s="80" t="str">
        <f t="shared" si="44"/>
        <v>Distrital</v>
      </c>
      <c r="BI113" s="79" t="s">
        <v>172</v>
      </c>
      <c r="BJ113" s="79"/>
      <c r="BK113" s="79"/>
      <c r="BL113" s="79"/>
      <c r="BM113" s="79"/>
      <c r="BN113" s="79"/>
      <c r="BO113" s="79"/>
      <c r="BP113" s="79"/>
      <c r="BQ113" s="79"/>
      <c r="BR113" s="79"/>
      <c r="BS113" s="80" t="s">
        <v>288</v>
      </c>
      <c r="BT113" s="80" t="s">
        <v>174</v>
      </c>
      <c r="BU113" s="80" t="s">
        <v>1020</v>
      </c>
      <c r="BV113" s="71"/>
      <c r="BW113" s="79" t="s">
        <v>153</v>
      </c>
      <c r="BX113" s="79" t="s">
        <v>176</v>
      </c>
      <c r="BY113" s="71"/>
      <c r="BZ113" s="79">
        <v>14</v>
      </c>
      <c r="CA113" s="79">
        <v>3</v>
      </c>
      <c r="CB113" s="79">
        <f t="shared" si="25"/>
        <v>17</v>
      </c>
      <c r="CC113" s="79" t="str">
        <f t="shared" si="59"/>
        <v>No Aplica</v>
      </c>
      <c r="CD113" s="79" t="s">
        <v>177</v>
      </c>
      <c r="CE113" s="79"/>
      <c r="CF113" s="79"/>
      <c r="CG113" s="83" t="s">
        <v>1021</v>
      </c>
      <c r="CH113" s="41"/>
      <c r="CI113" s="79" t="s">
        <v>153</v>
      </c>
      <c r="CJ113" s="71"/>
      <c r="CK113" s="79">
        <f t="shared" si="38"/>
        <v>0</v>
      </c>
      <c r="CL113" s="79"/>
      <c r="CM113" s="79"/>
      <c r="CN113" s="79"/>
      <c r="CO113" s="79"/>
      <c r="CP113" s="79"/>
      <c r="CQ113" s="79"/>
      <c r="CR113" s="83" t="s">
        <v>179</v>
      </c>
      <c r="CS113" s="83" t="s">
        <v>179</v>
      </c>
      <c r="CT113" s="83" t="s">
        <v>179</v>
      </c>
      <c r="CU113" s="83" t="s">
        <v>179</v>
      </c>
      <c r="CV113" s="83" t="s">
        <v>179</v>
      </c>
      <c r="CW113" s="83" t="s">
        <v>179</v>
      </c>
      <c r="CX113" s="79" t="s">
        <v>153</v>
      </c>
      <c r="CY113" s="79">
        <f t="shared" si="39"/>
        <v>0</v>
      </c>
      <c r="CZ113" s="79">
        <v>0</v>
      </c>
      <c r="DA113" s="79">
        <f t="shared" si="40"/>
        <v>0</v>
      </c>
      <c r="DB113" s="84" t="str">
        <f t="shared" si="46"/>
        <v/>
      </c>
      <c r="DC113" s="41"/>
      <c r="DD113" s="79" t="s">
        <v>153</v>
      </c>
      <c r="DE113" s="71"/>
      <c r="DF113" s="85" t="s">
        <v>1022</v>
      </c>
      <c r="DG113" s="79">
        <v>108</v>
      </c>
      <c r="DH113" s="86" t="str">
        <f t="shared" si="58"/>
        <v>Completo</v>
      </c>
      <c r="DI113" s="79" t="s">
        <v>181</v>
      </c>
      <c r="DJ113" s="79" t="s">
        <v>182</v>
      </c>
      <c r="DK113" s="79"/>
      <c r="DL113" s="79">
        <v>0</v>
      </c>
      <c r="DM113" s="79">
        <v>0</v>
      </c>
      <c r="DN113" s="79"/>
      <c r="DO113" s="79"/>
      <c r="DP113" s="79"/>
      <c r="DQ113" s="79"/>
      <c r="DR113" s="75" t="str">
        <f t="shared" si="47"/>
        <v>No aplica</v>
      </c>
      <c r="DS113" s="79"/>
      <c r="DT113" s="79"/>
      <c r="DU113" s="75" t="str">
        <f t="shared" si="48"/>
        <v>No aplica</v>
      </c>
      <c r="DV113" s="79" t="s">
        <v>182</v>
      </c>
      <c r="DW113" s="79"/>
      <c r="DX113" s="79"/>
      <c r="DY113" s="79"/>
      <c r="DZ113" s="79"/>
      <c r="EA113" s="79"/>
      <c r="EB113" s="79"/>
      <c r="EC113" s="79"/>
      <c r="ED113" s="79" t="s">
        <v>1023</v>
      </c>
      <c r="EE113" s="79" t="str">
        <f t="shared" si="37"/>
        <v>Completo</v>
      </c>
      <c r="EF113" s="41"/>
      <c r="EG113" s="79" t="s">
        <v>153</v>
      </c>
      <c r="EH113" s="71"/>
      <c r="EI113" s="80"/>
      <c r="EJ113" s="71"/>
      <c r="EK113" s="79" t="s">
        <v>179</v>
      </c>
      <c r="EL113" s="76" t="str">
        <f t="shared" si="49"/>
        <v>No requiere</v>
      </c>
      <c r="EM113" s="76" t="str">
        <f t="shared" si="50"/>
        <v>No requiere</v>
      </c>
      <c r="EN113" s="76" t="str">
        <f t="shared" si="60"/>
        <v>No requiere</v>
      </c>
      <c r="EO113" s="71"/>
      <c r="EP113" s="73" t="str">
        <f t="shared" si="51"/>
        <v>No requiere</v>
      </c>
      <c r="EQ113" s="77" t="str">
        <f t="shared" si="52"/>
        <v>No requiere</v>
      </c>
      <c r="ER113" s="71"/>
      <c r="ES113" s="79" t="s">
        <v>179</v>
      </c>
      <c r="ET113" s="73" t="str">
        <f t="shared" si="53"/>
        <v>No requiere</v>
      </c>
      <c r="EU113" s="73" t="str">
        <f t="shared" si="61"/>
        <v>No requiere</v>
      </c>
      <c r="EV113" s="73" t="str">
        <f t="shared" si="54"/>
        <v>No requiere</v>
      </c>
      <c r="EW113" s="73" t="str">
        <f t="shared" si="55"/>
        <v>No requiere</v>
      </c>
      <c r="EX113" s="78"/>
      <c r="EY113" s="78"/>
    </row>
    <row r="114" spans="1:155" ht="46.5" customHeight="1">
      <c r="A114" s="79" t="str">
        <v/>
      </c>
      <c r="B114" s="80" t="s">
        <v>1024</v>
      </c>
      <c r="C114" s="81">
        <v>45364</v>
      </c>
      <c r="D114" s="94">
        <v>0.625</v>
      </c>
      <c r="E114" s="79" t="s">
        <v>151</v>
      </c>
      <c r="F114" s="79" t="s">
        <v>152</v>
      </c>
      <c r="G114" s="79" t="s">
        <v>152</v>
      </c>
      <c r="H114" s="79" t="s">
        <v>152</v>
      </c>
      <c r="I114" s="79" t="s">
        <v>152</v>
      </c>
      <c r="J114" s="79" t="s">
        <v>251</v>
      </c>
      <c r="K114" s="79" t="s">
        <v>155</v>
      </c>
      <c r="L114" s="80" t="s">
        <v>1025</v>
      </c>
      <c r="M114" s="80" t="s">
        <v>157</v>
      </c>
      <c r="N114" s="79" t="s">
        <v>924</v>
      </c>
      <c r="O114" s="80" t="str">
        <f t="shared" si="41"/>
        <v/>
      </c>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t="s">
        <v>169</v>
      </c>
      <c r="AP114" s="79" t="s">
        <v>170</v>
      </c>
      <c r="AQ114" s="80" t="s">
        <v>171</v>
      </c>
      <c r="AR114" s="80" t="s">
        <v>171</v>
      </c>
      <c r="AS114" s="80" t="s">
        <v>171</v>
      </c>
      <c r="AT114" s="80" t="str">
        <f t="shared" si="42"/>
        <v>Distrital</v>
      </c>
      <c r="AU114" s="79" t="s">
        <v>172</v>
      </c>
      <c r="AV114" s="79"/>
      <c r="AW114" s="79"/>
      <c r="AX114" s="79"/>
      <c r="AY114" s="79"/>
      <c r="AZ114" s="79"/>
      <c r="BA114" s="80" t="str">
        <f t="shared" si="43"/>
        <v>Distrital</v>
      </c>
      <c r="BB114" s="79" t="s">
        <v>172</v>
      </c>
      <c r="BC114" s="79"/>
      <c r="BD114" s="79"/>
      <c r="BE114" s="79"/>
      <c r="BF114" s="79"/>
      <c r="BG114" s="79"/>
      <c r="BH114" s="80" t="str">
        <f t="shared" si="44"/>
        <v>Distrital</v>
      </c>
      <c r="BI114" s="79" t="s">
        <v>172</v>
      </c>
      <c r="BJ114" s="79"/>
      <c r="BK114" s="79"/>
      <c r="BL114" s="79"/>
      <c r="BM114" s="79"/>
      <c r="BN114" s="79"/>
      <c r="BO114" s="79"/>
      <c r="BP114" s="79"/>
      <c r="BQ114" s="79"/>
      <c r="BR114" s="79"/>
      <c r="BS114" s="80" t="s">
        <v>288</v>
      </c>
      <c r="BT114" s="80" t="s">
        <v>174</v>
      </c>
      <c r="BU114" s="80" t="s">
        <v>1026</v>
      </c>
      <c r="BV114" s="71"/>
      <c r="BW114" s="79" t="s">
        <v>152</v>
      </c>
      <c r="BX114" s="79" t="s">
        <v>179</v>
      </c>
      <c r="BY114" s="71"/>
      <c r="BZ114" s="79">
        <v>0</v>
      </c>
      <c r="CA114" s="79">
        <v>8</v>
      </c>
      <c r="CB114" s="79">
        <f t="shared" si="25"/>
        <v>8</v>
      </c>
      <c r="CC114" s="79" t="str">
        <f t="shared" si="59"/>
        <v>No Aplica</v>
      </c>
      <c r="CD114" s="79" t="s">
        <v>177</v>
      </c>
      <c r="CE114" s="79"/>
      <c r="CF114" s="79"/>
      <c r="CG114" s="83" t="s">
        <v>1027</v>
      </c>
      <c r="CH114" s="41"/>
      <c r="CI114" s="79" t="s">
        <v>153</v>
      </c>
      <c r="CJ114" s="71"/>
      <c r="CK114" s="79">
        <f t="shared" si="38"/>
        <v>0</v>
      </c>
      <c r="CL114" s="79"/>
      <c r="CM114" s="79"/>
      <c r="CN114" s="79"/>
      <c r="CO114" s="79"/>
      <c r="CP114" s="79"/>
      <c r="CQ114" s="79"/>
      <c r="CR114" s="83" t="s">
        <v>179</v>
      </c>
      <c r="CS114" s="83" t="s">
        <v>179</v>
      </c>
      <c r="CT114" s="83" t="s">
        <v>179</v>
      </c>
      <c r="CU114" s="83" t="s">
        <v>179</v>
      </c>
      <c r="CV114" s="83" t="s">
        <v>179</v>
      </c>
      <c r="CW114" s="83" t="s">
        <v>179</v>
      </c>
      <c r="CX114" s="79" t="s">
        <v>153</v>
      </c>
      <c r="CY114" s="79">
        <f t="shared" si="39"/>
        <v>0</v>
      </c>
      <c r="CZ114" s="79">
        <v>0</v>
      </c>
      <c r="DA114" s="79">
        <f t="shared" si="40"/>
        <v>0</v>
      </c>
      <c r="DB114" s="84" t="str">
        <f t="shared" si="46"/>
        <v/>
      </c>
      <c r="DC114" s="41"/>
      <c r="DD114" s="79" t="s">
        <v>153</v>
      </c>
      <c r="DE114" s="71"/>
      <c r="DF114" s="85" t="s">
        <v>1028</v>
      </c>
      <c r="DG114" s="79">
        <v>109</v>
      </c>
      <c r="DH114" s="86" t="str">
        <f t="shared" si="58"/>
        <v>Completo</v>
      </c>
      <c r="DI114" s="79" t="s">
        <v>181</v>
      </c>
      <c r="DJ114" s="79" t="s">
        <v>182</v>
      </c>
      <c r="DK114" s="79"/>
      <c r="DL114" s="79">
        <v>0</v>
      </c>
      <c r="DM114" s="79">
        <v>0</v>
      </c>
      <c r="DN114" s="79"/>
      <c r="DO114" s="79"/>
      <c r="DP114" s="79"/>
      <c r="DQ114" s="79"/>
      <c r="DR114" s="75" t="str">
        <f t="shared" si="47"/>
        <v>No aplica</v>
      </c>
      <c r="DS114" s="79"/>
      <c r="DT114" s="79"/>
      <c r="DU114" s="75" t="str">
        <f t="shared" si="48"/>
        <v>No aplica</v>
      </c>
      <c r="DV114" s="79" t="s">
        <v>182</v>
      </c>
      <c r="DW114" s="79" t="s">
        <v>182</v>
      </c>
      <c r="DX114" s="79"/>
      <c r="DY114" s="79"/>
      <c r="DZ114" s="79"/>
      <c r="EA114" s="79"/>
      <c r="EB114" s="79"/>
      <c r="EC114" s="79"/>
      <c r="ED114" s="79" t="s">
        <v>1029</v>
      </c>
      <c r="EE114" s="79" t="str">
        <f t="shared" si="37"/>
        <v>Completo</v>
      </c>
      <c r="EF114" s="41"/>
      <c r="EG114" s="79" t="s">
        <v>153</v>
      </c>
      <c r="EH114" s="71"/>
      <c r="EI114" s="80"/>
      <c r="EJ114" s="71"/>
      <c r="EK114" s="79" t="s">
        <v>179</v>
      </c>
      <c r="EL114" s="76" t="str">
        <f t="shared" si="49"/>
        <v>No requiere</v>
      </c>
      <c r="EM114" s="76" t="str">
        <f t="shared" si="50"/>
        <v>No requiere</v>
      </c>
      <c r="EN114" s="76" t="str">
        <f t="shared" si="60"/>
        <v>No requiere</v>
      </c>
      <c r="EO114" s="71"/>
      <c r="EP114" s="73" t="str">
        <f t="shared" si="51"/>
        <v>No requiere</v>
      </c>
      <c r="EQ114" s="77" t="str">
        <f t="shared" si="52"/>
        <v>No requiere</v>
      </c>
      <c r="ER114" s="71"/>
      <c r="ES114" s="79" t="s">
        <v>179</v>
      </c>
      <c r="ET114" s="73" t="str">
        <f t="shared" si="53"/>
        <v>No requiere</v>
      </c>
      <c r="EU114" s="73" t="str">
        <f t="shared" si="61"/>
        <v>No requiere</v>
      </c>
      <c r="EV114" s="73" t="str">
        <f t="shared" si="54"/>
        <v>No requiere</v>
      </c>
      <c r="EW114" s="73" t="str">
        <f t="shared" si="55"/>
        <v>No requiere</v>
      </c>
      <c r="EX114" s="78"/>
      <c r="EY114" s="78"/>
    </row>
    <row r="115" spans="1:155" ht="46.5" customHeight="1">
      <c r="A115" s="79">
        <v>111</v>
      </c>
      <c r="B115" s="80" t="s">
        <v>1030</v>
      </c>
      <c r="C115" s="81">
        <v>45364</v>
      </c>
      <c r="D115" s="82">
        <v>0.64583333333333337</v>
      </c>
      <c r="E115" s="79" t="s">
        <v>151</v>
      </c>
      <c r="F115" s="79" t="s">
        <v>153</v>
      </c>
      <c r="G115" s="79" t="s">
        <v>153</v>
      </c>
      <c r="H115" s="79" t="s">
        <v>153</v>
      </c>
      <c r="I115" s="79" t="s">
        <v>152</v>
      </c>
      <c r="J115" s="79" t="s">
        <v>154</v>
      </c>
      <c r="K115" s="79" t="s">
        <v>155</v>
      </c>
      <c r="L115" s="80" t="s">
        <v>600</v>
      </c>
      <c r="M115" s="80" t="s">
        <v>303</v>
      </c>
      <c r="N115" s="79" t="s">
        <v>632</v>
      </c>
      <c r="O115" s="80" t="str">
        <f t="shared" si="41"/>
        <v>Sebastian Potes Buitrago, César Augusto Barrantes, Mateo López Narváez, Diego Alejandro Camacho, Juan Pablo Serna, Ana María Ulloa, Andres Castro Latorre, Zuly Marcela Mesa, James Fernando Núñez, Aida Vanessa Rocha, Valentina González Pontón, Camila María Santana, Derly Adriana Castillo, Manuel Fernando Vergara</v>
      </c>
      <c r="P115" s="79" t="s">
        <v>545</v>
      </c>
      <c r="Q115" s="79" t="s">
        <v>729</v>
      </c>
      <c r="R115" s="79" t="s">
        <v>523</v>
      </c>
      <c r="S115" s="79" t="s">
        <v>422</v>
      </c>
      <c r="T115" s="79" t="s">
        <v>818</v>
      </c>
      <c r="U115" s="79" t="s">
        <v>522</v>
      </c>
      <c r="V115" s="79" t="s">
        <v>749</v>
      </c>
      <c r="W115" s="79" t="s">
        <v>547</v>
      </c>
      <c r="X115" s="79" t="s">
        <v>632</v>
      </c>
      <c r="Y115" s="79" t="s">
        <v>801</v>
      </c>
      <c r="Z115" s="79" t="s">
        <v>329</v>
      </c>
      <c r="AA115" s="79" t="s">
        <v>861</v>
      </c>
      <c r="AB115" s="79" t="s">
        <v>526</v>
      </c>
      <c r="AC115" s="79" t="s">
        <v>820</v>
      </c>
      <c r="AD115" s="79"/>
      <c r="AE115" s="79"/>
      <c r="AF115" s="79"/>
      <c r="AG115" s="79"/>
      <c r="AH115" s="79"/>
      <c r="AI115" s="79"/>
      <c r="AJ115" s="79"/>
      <c r="AK115" s="79"/>
      <c r="AL115" s="79"/>
      <c r="AM115" s="79"/>
      <c r="AN115" s="79"/>
      <c r="AO115" s="79" t="s">
        <v>304</v>
      </c>
      <c r="AP115" s="79"/>
      <c r="AQ115" s="80" t="s">
        <v>171</v>
      </c>
      <c r="AR115" s="80" t="s">
        <v>171</v>
      </c>
      <c r="AS115" s="80" t="s">
        <v>171</v>
      </c>
      <c r="AT115" s="80" t="str">
        <f t="shared" si="42"/>
        <v>Barrios Unidos</v>
      </c>
      <c r="AU115" s="79" t="s">
        <v>1031</v>
      </c>
      <c r="AV115" s="79"/>
      <c r="AW115" s="79"/>
      <c r="AX115" s="79"/>
      <c r="AY115" s="79"/>
      <c r="AZ115" s="79"/>
      <c r="BA115" s="80" t="str">
        <f t="shared" si="43"/>
        <v>Centro Ampliado</v>
      </c>
      <c r="BB115" s="79" t="s">
        <v>636</v>
      </c>
      <c r="BC115" s="79"/>
      <c r="BD115" s="79"/>
      <c r="BE115" s="79"/>
      <c r="BF115" s="79"/>
      <c r="BG115" s="79"/>
      <c r="BH115" s="80" t="str">
        <f t="shared" si="44"/>
        <v>Barrios Unidos</v>
      </c>
      <c r="BI115" s="79" t="s">
        <v>1031</v>
      </c>
      <c r="BJ115" s="79"/>
      <c r="BK115" s="79"/>
      <c r="BL115" s="79"/>
      <c r="BM115" s="79"/>
      <c r="BN115" s="79"/>
      <c r="BO115" s="79"/>
      <c r="BP115" s="79"/>
      <c r="BQ115" s="79"/>
      <c r="BR115" s="79"/>
      <c r="BS115" s="80" t="s">
        <v>288</v>
      </c>
      <c r="BT115" s="80" t="s">
        <v>605</v>
      </c>
      <c r="BU115" s="80" t="s">
        <v>1032</v>
      </c>
      <c r="BV115" s="71"/>
      <c r="BW115" s="79" t="s">
        <v>153</v>
      </c>
      <c r="BX115" s="79" t="s">
        <v>607</v>
      </c>
      <c r="BY115" s="71"/>
      <c r="BZ115" s="79">
        <v>69</v>
      </c>
      <c r="CA115" s="79">
        <v>17</v>
      </c>
      <c r="CB115" s="79">
        <f t="shared" si="25"/>
        <v>86</v>
      </c>
      <c r="CC115" s="79" t="str">
        <f t="shared" si="59"/>
        <v>Lenguaje de señas</v>
      </c>
      <c r="CD115" s="79" t="s">
        <v>349</v>
      </c>
      <c r="CE115" s="79"/>
      <c r="CF115" s="79"/>
      <c r="CG115" s="83" t="s">
        <v>1033</v>
      </c>
      <c r="CH115" s="41"/>
      <c r="CI115" s="79" t="s">
        <v>153</v>
      </c>
      <c r="CJ115" s="71"/>
      <c r="CK115" s="79">
        <f t="shared" si="38"/>
        <v>1</v>
      </c>
      <c r="CL115" s="93" t="s">
        <v>389</v>
      </c>
      <c r="CM115" s="79"/>
      <c r="CN115" s="79"/>
      <c r="CO115" s="79"/>
      <c r="CP115" s="79"/>
      <c r="CQ115" s="79"/>
      <c r="CR115" s="83" t="s">
        <v>390</v>
      </c>
      <c r="CS115" s="83" t="s">
        <v>179</v>
      </c>
      <c r="CT115" s="83" t="s">
        <v>179</v>
      </c>
      <c r="CU115" s="83" t="s">
        <v>179</v>
      </c>
      <c r="CV115" s="83" t="s">
        <v>179</v>
      </c>
      <c r="CW115" s="83" t="s">
        <v>179</v>
      </c>
      <c r="CX115" s="79" t="s">
        <v>153</v>
      </c>
      <c r="CY115" s="79">
        <f t="shared" si="39"/>
        <v>1</v>
      </c>
      <c r="CZ115" s="79">
        <v>1</v>
      </c>
      <c r="DA115" s="79">
        <f t="shared" si="40"/>
        <v>1</v>
      </c>
      <c r="DB115" s="84">
        <f t="shared" si="46"/>
        <v>1</v>
      </c>
      <c r="DC115" s="41"/>
      <c r="DD115" s="79" t="s">
        <v>153</v>
      </c>
      <c r="DE115" s="71"/>
      <c r="DF115" s="85" t="s">
        <v>1034</v>
      </c>
      <c r="DG115" s="79">
        <v>110</v>
      </c>
      <c r="DH115" s="86" t="str">
        <f t="shared" si="58"/>
        <v>Completo</v>
      </c>
      <c r="DI115" s="79" t="s">
        <v>181</v>
      </c>
      <c r="DJ115" s="79" t="s">
        <v>182</v>
      </c>
      <c r="DK115" s="79" t="s">
        <v>153</v>
      </c>
      <c r="DL115" s="79">
        <v>0</v>
      </c>
      <c r="DM115" s="79">
        <v>0</v>
      </c>
      <c r="DN115" s="79" t="s">
        <v>182</v>
      </c>
      <c r="DO115" s="79">
        <v>200</v>
      </c>
      <c r="DP115" s="79" t="s">
        <v>182</v>
      </c>
      <c r="DQ115" s="79">
        <v>21</v>
      </c>
      <c r="DR115" s="75">
        <f t="shared" si="47"/>
        <v>1.0144927536231885</v>
      </c>
      <c r="DS115" s="79" t="s">
        <v>182</v>
      </c>
      <c r="DT115" s="79">
        <v>66</v>
      </c>
      <c r="DU115" s="75">
        <f t="shared" si="48"/>
        <v>2.7329192546583854</v>
      </c>
      <c r="DV115" s="79" t="s">
        <v>182</v>
      </c>
      <c r="DW115" s="79" t="s">
        <v>182</v>
      </c>
      <c r="DX115" s="79">
        <v>5</v>
      </c>
      <c r="DY115" s="79">
        <v>1</v>
      </c>
      <c r="DZ115" s="79" t="s">
        <v>1035</v>
      </c>
      <c r="EA115" s="79">
        <v>2688</v>
      </c>
      <c r="EB115" s="79" t="s">
        <v>182</v>
      </c>
      <c r="EC115" s="79" t="s">
        <v>1036</v>
      </c>
      <c r="ED115" s="79" t="s">
        <v>1037</v>
      </c>
      <c r="EE115" s="79" t="str">
        <f t="shared" si="37"/>
        <v>Completo</v>
      </c>
      <c r="EF115" s="41"/>
      <c r="EG115" s="79" t="s">
        <v>153</v>
      </c>
      <c r="EH115" s="71"/>
      <c r="EI115" s="89" t="s">
        <v>1038</v>
      </c>
      <c r="EJ115" s="71"/>
      <c r="EK115" s="79" t="s">
        <v>393</v>
      </c>
      <c r="EL115" s="76" t="str">
        <f t="shared" si="49"/>
        <v>Sí</v>
      </c>
      <c r="EM115" s="76" t="str">
        <f t="shared" si="50"/>
        <v>Sí</v>
      </c>
      <c r="EN115" s="76" t="str">
        <f t="shared" si="60"/>
        <v>Sí</v>
      </c>
      <c r="EO115" s="71"/>
      <c r="EP115" s="73" t="str">
        <f t="shared" si="51"/>
        <v>No aplica</v>
      </c>
      <c r="EQ115" s="77">
        <f t="shared" si="52"/>
        <v>2.7329192546583854</v>
      </c>
      <c r="ER115" s="71"/>
      <c r="ES115" s="79" t="s">
        <v>393</v>
      </c>
      <c r="ET115" s="73">
        <f t="shared" si="53"/>
        <v>1</v>
      </c>
      <c r="EU115" s="73">
        <f t="shared" si="61"/>
        <v>1</v>
      </c>
      <c r="EV115" s="73">
        <f t="shared" si="54"/>
        <v>1</v>
      </c>
      <c r="EW115" s="73">
        <f t="shared" si="55"/>
        <v>7.4404761904761904E-2</v>
      </c>
      <c r="EX115" s="78"/>
      <c r="EY115" s="78"/>
    </row>
    <row r="116" spans="1:155" ht="46.5" customHeight="1">
      <c r="A116" s="161">
        <v>112</v>
      </c>
      <c r="B116" s="80" t="s">
        <v>1039</v>
      </c>
      <c r="C116" s="81">
        <v>45364</v>
      </c>
      <c r="D116" s="82">
        <v>0.70833333333333337</v>
      </c>
      <c r="E116" s="79" t="s">
        <v>200</v>
      </c>
      <c r="F116" s="79" t="s">
        <v>153</v>
      </c>
      <c r="G116" s="79" t="s">
        <v>152</v>
      </c>
      <c r="H116" s="79" t="s">
        <v>152</v>
      </c>
      <c r="I116" s="79" t="s">
        <v>152</v>
      </c>
      <c r="J116" s="79" t="s">
        <v>211</v>
      </c>
      <c r="K116" s="79" t="s">
        <v>202</v>
      </c>
      <c r="L116" s="80" t="s">
        <v>1040</v>
      </c>
      <c r="M116" s="80" t="s">
        <v>624</v>
      </c>
      <c r="N116" s="79" t="s">
        <v>522</v>
      </c>
      <c r="O116" s="80" t="str">
        <f t="shared" si="41"/>
        <v/>
      </c>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80"/>
      <c r="AM116" s="180"/>
      <c r="AN116" s="180"/>
      <c r="AO116" s="79" t="s">
        <v>230</v>
      </c>
      <c r="AP116" s="79" t="s">
        <v>242</v>
      </c>
      <c r="AQ116" s="80" t="s">
        <v>1041</v>
      </c>
      <c r="AR116" s="83">
        <v>3013090210</v>
      </c>
      <c r="AS116" s="80" t="s">
        <v>1042</v>
      </c>
      <c r="AT116" s="80" t="str">
        <f t="shared" si="42"/>
        <v>Distrital</v>
      </c>
      <c r="AU116" s="79" t="s">
        <v>172</v>
      </c>
      <c r="AV116" s="79"/>
      <c r="AW116" s="79"/>
      <c r="AX116" s="79"/>
      <c r="AY116" s="79"/>
      <c r="AZ116" s="79"/>
      <c r="BA116" s="80" t="str">
        <f t="shared" si="43"/>
        <v>Distrital</v>
      </c>
      <c r="BB116" s="79" t="s">
        <v>172</v>
      </c>
      <c r="BC116" s="180"/>
      <c r="BD116" s="180"/>
      <c r="BE116" s="180"/>
      <c r="BF116" s="180"/>
      <c r="BG116" s="180"/>
      <c r="BH116" s="80" t="str">
        <f t="shared" si="44"/>
        <v>Distrital</v>
      </c>
      <c r="BI116" s="79" t="s">
        <v>172</v>
      </c>
      <c r="BJ116" s="95"/>
      <c r="BK116" s="95"/>
      <c r="BL116" s="95"/>
      <c r="BM116" s="95"/>
      <c r="BN116" s="95"/>
      <c r="BO116" s="95"/>
      <c r="BP116" s="95"/>
      <c r="BQ116" s="95"/>
      <c r="BR116" s="95"/>
      <c r="BS116" s="80" t="s">
        <v>288</v>
      </c>
      <c r="BT116" s="80" t="s">
        <v>174</v>
      </c>
      <c r="BU116" s="89" t="s">
        <v>1043</v>
      </c>
      <c r="BV116" s="181"/>
      <c r="BW116" s="79" t="s">
        <v>153</v>
      </c>
      <c r="BX116" s="79" t="s">
        <v>176</v>
      </c>
      <c r="BY116" s="181"/>
      <c r="BZ116" s="79">
        <v>17</v>
      </c>
      <c r="CA116" s="79">
        <v>1</v>
      </c>
      <c r="CB116" s="79">
        <f t="shared" si="25"/>
        <v>18</v>
      </c>
      <c r="CC116" s="79" t="str">
        <f t="shared" si="59"/>
        <v>No Aplica</v>
      </c>
      <c r="CD116" s="79" t="s">
        <v>177</v>
      </c>
      <c r="CE116" s="180"/>
      <c r="CF116" s="180"/>
      <c r="CG116" s="83" t="s">
        <v>1044</v>
      </c>
      <c r="CH116" s="181"/>
      <c r="CI116" s="95" t="s">
        <v>153</v>
      </c>
      <c r="CJ116" s="181"/>
      <c r="CK116" s="79">
        <f t="shared" si="38"/>
        <v>0</v>
      </c>
      <c r="CL116" s="180"/>
      <c r="CM116" s="180"/>
      <c r="CN116" s="180"/>
      <c r="CO116" s="180"/>
      <c r="CP116" s="180"/>
      <c r="CQ116" s="180"/>
      <c r="CR116" s="83" t="s">
        <v>179</v>
      </c>
      <c r="CS116" s="83" t="s">
        <v>179</v>
      </c>
      <c r="CT116" s="83" t="s">
        <v>179</v>
      </c>
      <c r="CU116" s="83" t="s">
        <v>179</v>
      </c>
      <c r="CV116" s="83" t="s">
        <v>179</v>
      </c>
      <c r="CW116" s="83" t="s">
        <v>179</v>
      </c>
      <c r="CX116" s="79" t="s">
        <v>153</v>
      </c>
      <c r="CY116" s="79">
        <f t="shared" si="39"/>
        <v>0</v>
      </c>
      <c r="CZ116" s="79">
        <v>0</v>
      </c>
      <c r="DA116" s="79">
        <f t="shared" si="40"/>
        <v>0</v>
      </c>
      <c r="DB116" s="84" t="str">
        <f t="shared" si="46"/>
        <v/>
      </c>
      <c r="DC116" s="181"/>
      <c r="DD116" s="79" t="s">
        <v>153</v>
      </c>
      <c r="DE116" s="181"/>
      <c r="DF116" s="85" t="s">
        <v>1045</v>
      </c>
      <c r="DG116" s="79">
        <v>111</v>
      </c>
      <c r="DH116" s="86">
        <f t="shared" si="58"/>
        <v>45367</v>
      </c>
      <c r="DI116" s="79" t="s">
        <v>181</v>
      </c>
      <c r="DJ116" s="79" t="s">
        <v>182</v>
      </c>
      <c r="DK116" s="79"/>
      <c r="DL116" s="95">
        <v>0</v>
      </c>
      <c r="DM116" s="95">
        <v>0</v>
      </c>
      <c r="DN116" s="79" t="s">
        <v>182</v>
      </c>
      <c r="DO116" s="180"/>
      <c r="DP116" s="180"/>
      <c r="DQ116" s="180"/>
      <c r="DR116" s="75" t="str">
        <f t="shared" si="47"/>
        <v>No aplica</v>
      </c>
      <c r="DS116" s="180"/>
      <c r="DT116" s="180"/>
      <c r="DU116" s="75" t="str">
        <f t="shared" si="48"/>
        <v>No aplica</v>
      </c>
      <c r="DV116" s="79" t="s">
        <v>182</v>
      </c>
      <c r="DW116" s="79" t="s">
        <v>182</v>
      </c>
      <c r="DX116" s="180"/>
      <c r="DY116" s="180"/>
      <c r="DZ116" s="180"/>
      <c r="EA116" s="180"/>
      <c r="EB116" s="79" t="s">
        <v>182</v>
      </c>
      <c r="EC116" s="79" t="s">
        <v>1046</v>
      </c>
      <c r="ED116" s="79" t="s">
        <v>184</v>
      </c>
      <c r="EE116" s="95" t="s">
        <v>621</v>
      </c>
      <c r="EF116" s="181"/>
      <c r="EG116" s="95" t="s">
        <v>153</v>
      </c>
      <c r="EH116" s="181"/>
      <c r="EI116" s="180"/>
      <c r="EJ116" s="181"/>
      <c r="EK116" s="79" t="s">
        <v>179</v>
      </c>
      <c r="EL116" s="76" t="str">
        <f t="shared" si="49"/>
        <v>No requiere</v>
      </c>
      <c r="EM116" s="76" t="str">
        <f t="shared" si="50"/>
        <v>No requiere</v>
      </c>
      <c r="EN116" s="76" t="str">
        <f t="shared" si="60"/>
        <v>No requiere</v>
      </c>
      <c r="EO116" s="71"/>
      <c r="EP116" s="73" t="str">
        <f t="shared" si="51"/>
        <v>No requiere</v>
      </c>
      <c r="EQ116" s="77" t="str">
        <f t="shared" si="52"/>
        <v>No requiere</v>
      </c>
      <c r="ER116" s="181"/>
      <c r="ES116" s="79" t="s">
        <v>179</v>
      </c>
      <c r="ET116" s="73" t="str">
        <f t="shared" si="53"/>
        <v>No requiere</v>
      </c>
      <c r="EU116" s="73" t="str">
        <f t="shared" si="61"/>
        <v>No requiere</v>
      </c>
      <c r="EV116" s="73" t="str">
        <f t="shared" si="54"/>
        <v>No requiere</v>
      </c>
      <c r="EW116" s="73" t="str">
        <f t="shared" si="55"/>
        <v>No requiere</v>
      </c>
      <c r="EX116" s="182"/>
      <c r="EY116" s="183"/>
    </row>
    <row r="117" spans="1:155" ht="46.5" customHeight="1">
      <c r="A117" s="79">
        <v>113</v>
      </c>
      <c r="B117" s="80" t="s">
        <v>1047</v>
      </c>
      <c r="C117" s="81">
        <v>45365</v>
      </c>
      <c r="D117" s="82">
        <v>0.29166666666666669</v>
      </c>
      <c r="E117" s="79" t="s">
        <v>200</v>
      </c>
      <c r="F117" s="79" t="s">
        <v>153</v>
      </c>
      <c r="G117" s="79" t="s">
        <v>152</v>
      </c>
      <c r="H117" s="79" t="s">
        <v>152</v>
      </c>
      <c r="I117" s="79" t="s">
        <v>152</v>
      </c>
      <c r="J117" s="79" t="s">
        <v>504</v>
      </c>
      <c r="K117" s="79" t="s">
        <v>202</v>
      </c>
      <c r="L117" s="80" t="s">
        <v>794</v>
      </c>
      <c r="M117" s="80" t="s">
        <v>157</v>
      </c>
      <c r="N117" s="79" t="s">
        <v>546</v>
      </c>
      <c r="O117" s="80" t="str">
        <f t="shared" si="41"/>
        <v/>
      </c>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t="s">
        <v>169</v>
      </c>
      <c r="AP117" s="79" t="s">
        <v>507</v>
      </c>
      <c r="AQ117" s="80" t="s">
        <v>1048</v>
      </c>
      <c r="AR117" s="83" t="s">
        <v>171</v>
      </c>
      <c r="AS117" s="80" t="s">
        <v>171</v>
      </c>
      <c r="AT117" s="80" t="str">
        <f t="shared" si="42"/>
        <v>San Cristóbal</v>
      </c>
      <c r="AU117" s="79" t="s">
        <v>570</v>
      </c>
      <c r="AV117" s="79"/>
      <c r="AW117" s="79"/>
      <c r="AX117" s="79"/>
      <c r="AY117" s="79"/>
      <c r="AZ117" s="79"/>
      <c r="BA117" s="80" t="str">
        <f t="shared" si="43"/>
        <v>Suroriente, Ruralidad</v>
      </c>
      <c r="BB117" s="79" t="s">
        <v>218</v>
      </c>
      <c r="BC117" s="79" t="s">
        <v>219</v>
      </c>
      <c r="BD117" s="79"/>
      <c r="BE117" s="79"/>
      <c r="BF117" s="79"/>
      <c r="BG117" s="79"/>
      <c r="BH117" s="80" t="str">
        <f t="shared" si="44"/>
        <v>San Cristobal, Cerros Orientales</v>
      </c>
      <c r="BI117" s="79" t="s">
        <v>571</v>
      </c>
      <c r="BJ117" s="79" t="s">
        <v>361</v>
      </c>
      <c r="BK117" s="79"/>
      <c r="BL117" s="79"/>
      <c r="BM117" s="79"/>
      <c r="BN117" s="79"/>
      <c r="BO117" s="79"/>
      <c r="BP117" s="79"/>
      <c r="BQ117" s="79"/>
      <c r="BR117" s="79"/>
      <c r="BS117" s="80" t="s">
        <v>288</v>
      </c>
      <c r="BT117" s="80" t="s">
        <v>174</v>
      </c>
      <c r="BU117" s="92" t="s">
        <v>1049</v>
      </c>
      <c r="BV117" s="71"/>
      <c r="BW117" s="79" t="s">
        <v>152</v>
      </c>
      <c r="BX117" s="79" t="s">
        <v>179</v>
      </c>
      <c r="BY117" s="71"/>
      <c r="BZ117" s="79">
        <v>14</v>
      </c>
      <c r="CA117" s="79">
        <v>1</v>
      </c>
      <c r="CB117" s="79">
        <f t="shared" si="25"/>
        <v>15</v>
      </c>
      <c r="CC117" s="79" t="str">
        <f t="shared" si="59"/>
        <v>No Aplica</v>
      </c>
      <c r="CD117" s="79" t="s">
        <v>177</v>
      </c>
      <c r="CE117" s="79"/>
      <c r="CF117" s="79"/>
      <c r="CG117" s="83" t="s">
        <v>1050</v>
      </c>
      <c r="CH117" s="41"/>
      <c r="CI117" s="79" t="s">
        <v>153</v>
      </c>
      <c r="CJ117" s="71"/>
      <c r="CK117" s="79">
        <f t="shared" si="38"/>
        <v>0</v>
      </c>
      <c r="CL117" s="79"/>
      <c r="CM117" s="79"/>
      <c r="CN117" s="79"/>
      <c r="CO117" s="79"/>
      <c r="CP117" s="79"/>
      <c r="CQ117" s="79"/>
      <c r="CR117" s="83" t="s">
        <v>179</v>
      </c>
      <c r="CS117" s="83" t="s">
        <v>179</v>
      </c>
      <c r="CT117" s="83" t="s">
        <v>179</v>
      </c>
      <c r="CU117" s="83" t="s">
        <v>179</v>
      </c>
      <c r="CV117" s="83" t="s">
        <v>179</v>
      </c>
      <c r="CW117" s="83" t="s">
        <v>179</v>
      </c>
      <c r="CX117" s="79" t="s">
        <v>153</v>
      </c>
      <c r="CY117" s="79">
        <f t="shared" si="39"/>
        <v>0</v>
      </c>
      <c r="CZ117" s="79">
        <v>0</v>
      </c>
      <c r="DA117" s="79">
        <f t="shared" si="40"/>
        <v>0</v>
      </c>
      <c r="DB117" s="84" t="str">
        <f t="shared" si="46"/>
        <v/>
      </c>
      <c r="DC117" s="41"/>
      <c r="DD117" s="79" t="s">
        <v>153</v>
      </c>
      <c r="DE117" s="71"/>
      <c r="DF117" s="85" t="s">
        <v>1051</v>
      </c>
      <c r="DG117" s="79">
        <v>112</v>
      </c>
      <c r="DH117" s="86" t="str">
        <f t="shared" si="58"/>
        <v>Completo</v>
      </c>
      <c r="DI117" s="79" t="s">
        <v>181</v>
      </c>
      <c r="DJ117" s="79" t="s">
        <v>182</v>
      </c>
      <c r="DK117" s="79"/>
      <c r="DL117" s="79">
        <v>0</v>
      </c>
      <c r="DM117" s="79">
        <v>0</v>
      </c>
      <c r="DN117" s="79" t="s">
        <v>182</v>
      </c>
      <c r="DO117" s="79"/>
      <c r="DP117" s="79"/>
      <c r="DQ117" s="79"/>
      <c r="DR117" s="75" t="str">
        <f t="shared" si="47"/>
        <v>No aplica</v>
      </c>
      <c r="DS117" s="79"/>
      <c r="DT117" s="79"/>
      <c r="DU117" s="75" t="str">
        <f t="shared" si="48"/>
        <v>No aplica</v>
      </c>
      <c r="DV117" s="79" t="s">
        <v>182</v>
      </c>
      <c r="DW117" s="79" t="s">
        <v>182</v>
      </c>
      <c r="DX117" s="79"/>
      <c r="DY117" s="79"/>
      <c r="DZ117" s="79"/>
      <c r="EA117" s="79"/>
      <c r="EB117" s="79"/>
      <c r="EC117" s="79"/>
      <c r="ED117" s="79" t="s">
        <v>249</v>
      </c>
      <c r="EE117" s="79" t="str">
        <f t="shared" ref="EE117:EE160" si="62">IF(DI117="Subsanado","Completo","Por Completar")</f>
        <v>Completo</v>
      </c>
      <c r="EF117" s="41"/>
      <c r="EG117" s="79" t="s">
        <v>153</v>
      </c>
      <c r="EH117" s="71"/>
      <c r="EI117" s="80"/>
      <c r="EJ117" s="71"/>
      <c r="EK117" s="79" t="s">
        <v>179</v>
      </c>
      <c r="EL117" s="76" t="str">
        <f t="shared" si="49"/>
        <v>No requiere</v>
      </c>
      <c r="EM117" s="76" t="str">
        <f t="shared" si="50"/>
        <v>No requiere</v>
      </c>
      <c r="EN117" s="76" t="str">
        <f t="shared" si="60"/>
        <v>No requiere</v>
      </c>
      <c r="EO117" s="71"/>
      <c r="EP117" s="73" t="str">
        <f t="shared" si="51"/>
        <v>No requiere</v>
      </c>
      <c r="EQ117" s="77" t="str">
        <f t="shared" si="52"/>
        <v>No requiere</v>
      </c>
      <c r="ER117" s="71"/>
      <c r="ES117" s="79" t="s">
        <v>179</v>
      </c>
      <c r="ET117" s="73" t="str">
        <f t="shared" si="53"/>
        <v>No requiere</v>
      </c>
      <c r="EU117" s="73" t="str">
        <f t="shared" si="61"/>
        <v>No requiere</v>
      </c>
      <c r="EV117" s="73" t="str">
        <f t="shared" si="54"/>
        <v>No requiere</v>
      </c>
      <c r="EW117" s="73" t="str">
        <f t="shared" si="55"/>
        <v>No requiere</v>
      </c>
      <c r="EX117" s="78"/>
      <c r="EY117" s="78"/>
    </row>
    <row r="118" spans="1:155" ht="46.5" customHeight="1">
      <c r="A118" s="79">
        <v>114</v>
      </c>
      <c r="B118" s="80" t="s">
        <v>1052</v>
      </c>
      <c r="C118" s="81">
        <v>45365</v>
      </c>
      <c r="D118" s="82">
        <v>0.375</v>
      </c>
      <c r="E118" s="79" t="s">
        <v>200</v>
      </c>
      <c r="F118" s="79" t="s">
        <v>153</v>
      </c>
      <c r="G118" s="79" t="s">
        <v>152</v>
      </c>
      <c r="H118" s="79" t="s">
        <v>152</v>
      </c>
      <c r="I118" s="79" t="s">
        <v>152</v>
      </c>
      <c r="J118" s="79" t="s">
        <v>504</v>
      </c>
      <c r="K118" s="79" t="s">
        <v>155</v>
      </c>
      <c r="L118" s="80" t="s">
        <v>1053</v>
      </c>
      <c r="M118" s="80" t="s">
        <v>157</v>
      </c>
      <c r="N118" s="79" t="s">
        <v>675</v>
      </c>
      <c r="O118" s="80" t="str">
        <f t="shared" si="41"/>
        <v/>
      </c>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t="s">
        <v>169</v>
      </c>
      <c r="AP118" s="79" t="s">
        <v>507</v>
      </c>
      <c r="AQ118" s="80" t="s">
        <v>1054</v>
      </c>
      <c r="AR118" s="83" t="s">
        <v>1055</v>
      </c>
      <c r="AS118" s="80" t="s">
        <v>1056</v>
      </c>
      <c r="AT118" s="80" t="str">
        <f t="shared" si="42"/>
        <v>Bosa</v>
      </c>
      <c r="AU118" s="79" t="s">
        <v>730</v>
      </c>
      <c r="AV118" s="79"/>
      <c r="AW118" s="79"/>
      <c r="AX118" s="79"/>
      <c r="AY118" s="79"/>
      <c r="AZ118" s="79"/>
      <c r="BA118" s="80" t="str">
        <f t="shared" si="43"/>
        <v>Suroccidente</v>
      </c>
      <c r="BB118" s="79" t="s">
        <v>732</v>
      </c>
      <c r="BC118" s="79"/>
      <c r="BD118" s="79"/>
      <c r="BE118" s="79"/>
      <c r="BF118" s="79"/>
      <c r="BG118" s="79"/>
      <c r="BH118" s="80" t="str">
        <f t="shared" si="44"/>
        <v>Bosa, Edén, Porvenir</v>
      </c>
      <c r="BI118" s="79" t="s">
        <v>730</v>
      </c>
      <c r="BJ118" s="79" t="s">
        <v>1057</v>
      </c>
      <c r="BK118" s="79" t="s">
        <v>1058</v>
      </c>
      <c r="BL118" s="79"/>
      <c r="BM118" s="79"/>
      <c r="BN118" s="79"/>
      <c r="BO118" s="79"/>
      <c r="BP118" s="79"/>
      <c r="BQ118" s="79"/>
      <c r="BR118" s="79"/>
      <c r="BS118" s="80" t="s">
        <v>288</v>
      </c>
      <c r="BT118" s="80" t="s">
        <v>174</v>
      </c>
      <c r="BU118" s="92" t="s">
        <v>1059</v>
      </c>
      <c r="BV118" s="71"/>
      <c r="BW118" s="79" t="s">
        <v>152</v>
      </c>
      <c r="BX118" s="79" t="s">
        <v>179</v>
      </c>
      <c r="BY118" s="71"/>
      <c r="BZ118" s="79">
        <v>22</v>
      </c>
      <c r="CA118" s="79">
        <v>1</v>
      </c>
      <c r="CB118" s="79">
        <f t="shared" si="25"/>
        <v>23</v>
      </c>
      <c r="CC118" s="79" t="str">
        <f t="shared" si="59"/>
        <v>No Aplica</v>
      </c>
      <c r="CD118" s="79" t="s">
        <v>177</v>
      </c>
      <c r="CE118" s="79"/>
      <c r="CF118" s="79"/>
      <c r="CG118" s="83" t="s">
        <v>1060</v>
      </c>
      <c r="CH118" s="41"/>
      <c r="CI118" s="79" t="s">
        <v>153</v>
      </c>
      <c r="CJ118" s="71"/>
      <c r="CK118" s="79">
        <f t="shared" si="38"/>
        <v>0</v>
      </c>
      <c r="CL118" s="79"/>
      <c r="CM118" s="79"/>
      <c r="CN118" s="79"/>
      <c r="CO118" s="79"/>
      <c r="CP118" s="79"/>
      <c r="CQ118" s="79"/>
      <c r="CR118" s="83" t="s">
        <v>179</v>
      </c>
      <c r="CS118" s="83" t="s">
        <v>179</v>
      </c>
      <c r="CT118" s="83" t="s">
        <v>179</v>
      </c>
      <c r="CU118" s="83" t="s">
        <v>179</v>
      </c>
      <c r="CV118" s="83" t="s">
        <v>179</v>
      </c>
      <c r="CW118" s="83" t="s">
        <v>179</v>
      </c>
      <c r="CX118" s="79" t="s">
        <v>153</v>
      </c>
      <c r="CY118" s="79">
        <f t="shared" si="39"/>
        <v>0</v>
      </c>
      <c r="CZ118" s="79">
        <v>0</v>
      </c>
      <c r="DA118" s="79">
        <f t="shared" si="40"/>
        <v>0</v>
      </c>
      <c r="DB118" s="84" t="str">
        <f t="shared" si="46"/>
        <v/>
      </c>
      <c r="DC118" s="41"/>
      <c r="DD118" s="79" t="s">
        <v>153</v>
      </c>
      <c r="DE118" s="71"/>
      <c r="DF118" s="85" t="s">
        <v>1061</v>
      </c>
      <c r="DG118" s="79">
        <v>113</v>
      </c>
      <c r="DH118" s="86" t="str">
        <f t="shared" si="58"/>
        <v>Completo</v>
      </c>
      <c r="DI118" s="79" t="s">
        <v>181</v>
      </c>
      <c r="DJ118" s="79" t="s">
        <v>182</v>
      </c>
      <c r="DK118" s="79"/>
      <c r="DL118" s="79">
        <v>0</v>
      </c>
      <c r="DM118" s="79">
        <v>0</v>
      </c>
      <c r="DN118" s="79" t="s">
        <v>182</v>
      </c>
      <c r="DO118" s="79"/>
      <c r="DP118" s="79"/>
      <c r="DQ118" s="79"/>
      <c r="DR118" s="75" t="str">
        <f t="shared" si="47"/>
        <v>No aplica</v>
      </c>
      <c r="DS118" s="79"/>
      <c r="DT118" s="79"/>
      <c r="DU118" s="75" t="str">
        <f t="shared" si="48"/>
        <v>No aplica</v>
      </c>
      <c r="DV118" s="79" t="s">
        <v>182</v>
      </c>
      <c r="DW118" s="79" t="s">
        <v>182</v>
      </c>
      <c r="DX118" s="79"/>
      <c r="DY118" s="79"/>
      <c r="DZ118" s="79"/>
      <c r="EA118" s="79"/>
      <c r="EB118" s="79"/>
      <c r="EC118" s="79"/>
      <c r="ED118" s="79" t="s">
        <v>249</v>
      </c>
      <c r="EE118" s="79" t="str">
        <f t="shared" si="62"/>
        <v>Completo</v>
      </c>
      <c r="EF118" s="41"/>
      <c r="EG118" s="79" t="s">
        <v>153</v>
      </c>
      <c r="EH118" s="71"/>
      <c r="EI118" s="80"/>
      <c r="EJ118" s="71"/>
      <c r="EK118" s="79" t="s">
        <v>179</v>
      </c>
      <c r="EL118" s="76" t="str">
        <f t="shared" si="49"/>
        <v>No requiere</v>
      </c>
      <c r="EM118" s="76" t="str">
        <f t="shared" si="50"/>
        <v>No requiere</v>
      </c>
      <c r="EN118" s="76" t="str">
        <f t="shared" si="60"/>
        <v>No requiere</v>
      </c>
      <c r="EO118" s="71"/>
      <c r="EP118" s="73" t="str">
        <f t="shared" si="51"/>
        <v>No requiere</v>
      </c>
      <c r="EQ118" s="77" t="str">
        <f t="shared" si="52"/>
        <v>No requiere</v>
      </c>
      <c r="ER118" s="71"/>
      <c r="ES118" s="79" t="s">
        <v>179</v>
      </c>
      <c r="ET118" s="73" t="str">
        <f t="shared" si="53"/>
        <v>No requiere</v>
      </c>
      <c r="EU118" s="73" t="str">
        <f t="shared" si="61"/>
        <v>No requiere</v>
      </c>
      <c r="EV118" s="73" t="str">
        <f t="shared" si="54"/>
        <v>No requiere</v>
      </c>
      <c r="EW118" s="73" t="str">
        <f t="shared" si="55"/>
        <v>No requiere</v>
      </c>
      <c r="EX118" s="78"/>
      <c r="EY118" s="78"/>
    </row>
    <row r="119" spans="1:155" ht="46.5" customHeight="1">
      <c r="A119" s="79">
        <v>115</v>
      </c>
      <c r="B119" s="80" t="s">
        <v>503</v>
      </c>
      <c r="C119" s="81">
        <v>45365</v>
      </c>
      <c r="D119" s="82">
        <v>0.375</v>
      </c>
      <c r="E119" s="79" t="s">
        <v>200</v>
      </c>
      <c r="F119" s="79" t="s">
        <v>153</v>
      </c>
      <c r="G119" s="79" t="s">
        <v>152</v>
      </c>
      <c r="H119" s="79" t="s">
        <v>152</v>
      </c>
      <c r="I119" s="79" t="s">
        <v>152</v>
      </c>
      <c r="J119" s="79" t="s">
        <v>504</v>
      </c>
      <c r="K119" s="79" t="s">
        <v>202</v>
      </c>
      <c r="L119" s="80" t="s">
        <v>505</v>
      </c>
      <c r="M119" s="80" t="s">
        <v>157</v>
      </c>
      <c r="N119" s="79" t="s">
        <v>506</v>
      </c>
      <c r="O119" s="80" t="str">
        <f t="shared" si="41"/>
        <v/>
      </c>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t="s">
        <v>169</v>
      </c>
      <c r="AP119" s="79" t="s">
        <v>507</v>
      </c>
      <c r="AQ119" s="80" t="s">
        <v>508</v>
      </c>
      <c r="AR119" s="83">
        <v>3232073505</v>
      </c>
      <c r="AS119" s="80" t="s">
        <v>171</v>
      </c>
      <c r="AT119" s="80" t="str">
        <f t="shared" si="42"/>
        <v>Sumapaz</v>
      </c>
      <c r="AU119" s="79" t="s">
        <v>510</v>
      </c>
      <c r="AV119" s="79"/>
      <c r="AW119" s="79"/>
      <c r="AX119" s="79"/>
      <c r="AY119" s="79"/>
      <c r="AZ119" s="79"/>
      <c r="BA119" s="80" t="str">
        <f t="shared" si="43"/>
        <v>Ruralidad</v>
      </c>
      <c r="BB119" s="79" t="s">
        <v>219</v>
      </c>
      <c r="BC119" s="79"/>
      <c r="BD119" s="79"/>
      <c r="BE119" s="79"/>
      <c r="BF119" s="79"/>
      <c r="BG119" s="79"/>
      <c r="BH119" s="80" t="str">
        <f t="shared" si="44"/>
        <v>Sumapaz</v>
      </c>
      <c r="BI119" s="79" t="s">
        <v>510</v>
      </c>
      <c r="BJ119" s="79"/>
      <c r="BK119" s="79"/>
      <c r="BL119" s="79"/>
      <c r="BM119" s="79"/>
      <c r="BN119" s="79"/>
      <c r="BO119" s="79"/>
      <c r="BP119" s="79"/>
      <c r="BQ119" s="79"/>
      <c r="BR119" s="79"/>
      <c r="BS119" s="80" t="s">
        <v>288</v>
      </c>
      <c r="BT119" s="80" t="s">
        <v>174</v>
      </c>
      <c r="BU119" s="92" t="s">
        <v>1062</v>
      </c>
      <c r="BV119" s="71"/>
      <c r="BW119" s="79" t="s">
        <v>152</v>
      </c>
      <c r="BX119" s="79" t="s">
        <v>179</v>
      </c>
      <c r="BY119" s="71"/>
      <c r="BZ119" s="79">
        <v>21</v>
      </c>
      <c r="CA119" s="79">
        <v>1</v>
      </c>
      <c r="CB119" s="79">
        <f t="shared" si="25"/>
        <v>22</v>
      </c>
      <c r="CC119" s="79" t="str">
        <f t="shared" si="59"/>
        <v>No Aplica</v>
      </c>
      <c r="CD119" s="79" t="s">
        <v>177</v>
      </c>
      <c r="CE119" s="79"/>
      <c r="CF119" s="79"/>
      <c r="CG119" s="83" t="s">
        <v>1063</v>
      </c>
      <c r="CH119" s="41"/>
      <c r="CI119" s="79" t="s">
        <v>153</v>
      </c>
      <c r="CJ119" s="71"/>
      <c r="CK119" s="79">
        <f t="shared" si="38"/>
        <v>0</v>
      </c>
      <c r="CL119" s="79"/>
      <c r="CM119" s="79"/>
      <c r="CN119" s="79"/>
      <c r="CO119" s="79"/>
      <c r="CP119" s="79"/>
      <c r="CQ119" s="79"/>
      <c r="CR119" s="83" t="s">
        <v>179</v>
      </c>
      <c r="CS119" s="83" t="s">
        <v>179</v>
      </c>
      <c r="CT119" s="83" t="s">
        <v>179</v>
      </c>
      <c r="CU119" s="83" t="s">
        <v>179</v>
      </c>
      <c r="CV119" s="83" t="s">
        <v>179</v>
      </c>
      <c r="CW119" s="83" t="s">
        <v>179</v>
      </c>
      <c r="CX119" s="79" t="s">
        <v>153</v>
      </c>
      <c r="CY119" s="79">
        <f t="shared" si="39"/>
        <v>0</v>
      </c>
      <c r="CZ119" s="79">
        <v>0</v>
      </c>
      <c r="DA119" s="79">
        <f t="shared" si="40"/>
        <v>0</v>
      </c>
      <c r="DB119" s="84" t="str">
        <f t="shared" si="46"/>
        <v/>
      </c>
      <c r="DC119" s="41"/>
      <c r="DD119" s="79" t="s">
        <v>153</v>
      </c>
      <c r="DE119" s="71"/>
      <c r="DF119" s="85" t="s">
        <v>1061</v>
      </c>
      <c r="DG119" s="79">
        <v>114</v>
      </c>
      <c r="DH119" s="86" t="str">
        <f t="shared" si="58"/>
        <v>Completo</v>
      </c>
      <c r="DI119" s="79" t="s">
        <v>181</v>
      </c>
      <c r="DJ119" s="79" t="s">
        <v>182</v>
      </c>
      <c r="DK119" s="79"/>
      <c r="DL119" s="79">
        <v>0</v>
      </c>
      <c r="DM119" s="79">
        <v>0</v>
      </c>
      <c r="DN119" s="79"/>
      <c r="DO119" s="79"/>
      <c r="DP119" s="79"/>
      <c r="DQ119" s="79"/>
      <c r="DR119" s="75" t="str">
        <f t="shared" si="47"/>
        <v>No aplica</v>
      </c>
      <c r="DS119" s="79"/>
      <c r="DT119" s="79"/>
      <c r="DU119" s="75" t="str">
        <f t="shared" si="48"/>
        <v>No aplica</v>
      </c>
      <c r="DV119" s="79" t="s">
        <v>182</v>
      </c>
      <c r="DW119" s="79" t="s">
        <v>182</v>
      </c>
      <c r="DX119" s="79"/>
      <c r="DY119" s="79"/>
      <c r="DZ119" s="79"/>
      <c r="EA119" s="79"/>
      <c r="EB119" s="79"/>
      <c r="EC119" s="79"/>
      <c r="ED119" s="79" t="s">
        <v>249</v>
      </c>
      <c r="EE119" s="79" t="str">
        <f t="shared" si="62"/>
        <v>Completo</v>
      </c>
      <c r="EF119" s="41"/>
      <c r="EG119" s="79" t="s">
        <v>153</v>
      </c>
      <c r="EH119" s="71"/>
      <c r="EI119" s="80"/>
      <c r="EJ119" s="71"/>
      <c r="EK119" s="79" t="s">
        <v>179</v>
      </c>
      <c r="EL119" s="76" t="str">
        <f t="shared" si="49"/>
        <v>No requiere</v>
      </c>
      <c r="EM119" s="76" t="str">
        <f t="shared" si="50"/>
        <v>No requiere</v>
      </c>
      <c r="EN119" s="76" t="str">
        <f t="shared" si="60"/>
        <v>No requiere</v>
      </c>
      <c r="EO119" s="71"/>
      <c r="EP119" s="73" t="str">
        <f t="shared" si="51"/>
        <v>No requiere</v>
      </c>
      <c r="EQ119" s="77" t="str">
        <f t="shared" si="52"/>
        <v>No requiere</v>
      </c>
      <c r="ER119" s="71"/>
      <c r="ES119" s="79" t="s">
        <v>179</v>
      </c>
      <c r="ET119" s="73" t="str">
        <f t="shared" si="53"/>
        <v>No requiere</v>
      </c>
      <c r="EU119" s="73" t="str">
        <f t="shared" si="61"/>
        <v>No requiere</v>
      </c>
      <c r="EV119" s="73" t="str">
        <f t="shared" si="54"/>
        <v>No requiere</v>
      </c>
      <c r="EW119" s="73" t="str">
        <f t="shared" si="55"/>
        <v>No requiere</v>
      </c>
      <c r="EX119" s="78"/>
      <c r="EY119" s="78"/>
    </row>
    <row r="120" spans="1:155" ht="46.5" customHeight="1">
      <c r="A120" s="79">
        <v>116</v>
      </c>
      <c r="B120" s="80" t="s">
        <v>1064</v>
      </c>
      <c r="C120" s="81">
        <v>45365</v>
      </c>
      <c r="D120" s="82">
        <v>0.375</v>
      </c>
      <c r="E120" s="79" t="s">
        <v>151</v>
      </c>
      <c r="F120" s="79" t="s">
        <v>153</v>
      </c>
      <c r="G120" s="79" t="s">
        <v>152</v>
      </c>
      <c r="H120" s="79" t="s">
        <v>152</v>
      </c>
      <c r="I120" s="79" t="s">
        <v>152</v>
      </c>
      <c r="J120" s="79" t="s">
        <v>154</v>
      </c>
      <c r="K120" s="79" t="s">
        <v>155</v>
      </c>
      <c r="L120" s="80" t="s">
        <v>1065</v>
      </c>
      <c r="M120" s="80" t="s">
        <v>327</v>
      </c>
      <c r="N120" s="79" t="s">
        <v>1066</v>
      </c>
      <c r="O120" s="80" t="str">
        <f t="shared" si="41"/>
        <v>César Augusto Barrantes, Maria Alejandra Castañeda, Mateo López Narváez, Nicolás Enrique Moncaleano, Valentina González Pontón, Yohan David Díaz</v>
      </c>
      <c r="P120" s="79" t="s">
        <v>729</v>
      </c>
      <c r="Q120" s="79" t="s">
        <v>494</v>
      </c>
      <c r="R120" s="79" t="s">
        <v>523</v>
      </c>
      <c r="S120" s="79" t="s">
        <v>966</v>
      </c>
      <c r="T120" s="79" t="s">
        <v>329</v>
      </c>
      <c r="U120" s="79" t="s">
        <v>164</v>
      </c>
      <c r="V120" s="79"/>
      <c r="W120" s="79"/>
      <c r="X120" s="79"/>
      <c r="Y120" s="79"/>
      <c r="Z120" s="79"/>
      <c r="AA120" s="79"/>
      <c r="AB120" s="79"/>
      <c r="AC120" s="79"/>
      <c r="AD120" s="79"/>
      <c r="AE120" s="79"/>
      <c r="AF120" s="79"/>
      <c r="AG120" s="79"/>
      <c r="AH120" s="79"/>
      <c r="AI120" s="79"/>
      <c r="AJ120" s="79"/>
      <c r="AK120" s="79"/>
      <c r="AL120" s="79"/>
      <c r="AM120" s="79"/>
      <c r="AN120" s="79"/>
      <c r="AO120" s="79" t="s">
        <v>304</v>
      </c>
      <c r="AP120" s="79"/>
      <c r="AQ120" s="80" t="s">
        <v>1067</v>
      </c>
      <c r="AR120" s="83">
        <v>3103581233</v>
      </c>
      <c r="AS120" s="80" t="s">
        <v>1068</v>
      </c>
      <c r="AT120" s="80" t="str">
        <f t="shared" si="42"/>
        <v>Teusaquillo</v>
      </c>
      <c r="AU120" s="79" t="s">
        <v>1004</v>
      </c>
      <c r="AV120" s="79"/>
      <c r="AW120" s="79"/>
      <c r="AX120" s="79"/>
      <c r="AY120" s="79"/>
      <c r="AZ120" s="79"/>
      <c r="BA120" s="80" t="str">
        <f t="shared" si="43"/>
        <v>Distrital</v>
      </c>
      <c r="BB120" s="79" t="s">
        <v>172</v>
      </c>
      <c r="BC120" s="79"/>
      <c r="BD120" s="79"/>
      <c r="BE120" s="79"/>
      <c r="BF120" s="79"/>
      <c r="BG120" s="79"/>
      <c r="BH120" s="80" t="str">
        <f t="shared" si="44"/>
        <v>Distrital</v>
      </c>
      <c r="BI120" s="79" t="s">
        <v>172</v>
      </c>
      <c r="BJ120" s="79"/>
      <c r="BK120" s="79"/>
      <c r="BL120" s="79"/>
      <c r="BM120" s="79"/>
      <c r="BN120" s="79"/>
      <c r="BO120" s="79"/>
      <c r="BP120" s="79"/>
      <c r="BQ120" s="79"/>
      <c r="BR120" s="79"/>
      <c r="BS120" s="80" t="s">
        <v>288</v>
      </c>
      <c r="BT120" s="80" t="s">
        <v>174</v>
      </c>
      <c r="BU120" s="80" t="s">
        <v>1069</v>
      </c>
      <c r="BV120" s="71"/>
      <c r="BW120" s="79" t="s">
        <v>153</v>
      </c>
      <c r="BX120" s="79" t="s">
        <v>607</v>
      </c>
      <c r="BY120" s="71"/>
      <c r="BZ120" s="79">
        <v>65</v>
      </c>
      <c r="CA120" s="79">
        <v>4</v>
      </c>
      <c r="CB120" s="79">
        <f t="shared" si="25"/>
        <v>69</v>
      </c>
      <c r="CC120" s="79" t="str">
        <f t="shared" si="59"/>
        <v>No Aplica</v>
      </c>
      <c r="CD120" s="79" t="s">
        <v>177</v>
      </c>
      <c r="CE120" s="79"/>
      <c r="CF120" s="79"/>
      <c r="CG120" s="83" t="s">
        <v>1070</v>
      </c>
      <c r="CH120" s="41"/>
      <c r="CI120" s="79" t="s">
        <v>153</v>
      </c>
      <c r="CJ120" s="71"/>
      <c r="CK120" s="79">
        <f t="shared" si="38"/>
        <v>0</v>
      </c>
      <c r="CL120" s="79"/>
      <c r="CM120" s="79"/>
      <c r="CN120" s="79"/>
      <c r="CO120" s="79"/>
      <c r="CP120" s="79"/>
      <c r="CQ120" s="79"/>
      <c r="CR120" s="83" t="s">
        <v>179</v>
      </c>
      <c r="CS120" s="83" t="s">
        <v>179</v>
      </c>
      <c r="CT120" s="83" t="s">
        <v>179</v>
      </c>
      <c r="CU120" s="83" t="s">
        <v>179</v>
      </c>
      <c r="CV120" s="83" t="s">
        <v>179</v>
      </c>
      <c r="CW120" s="83" t="s">
        <v>179</v>
      </c>
      <c r="CX120" s="79" t="s">
        <v>153</v>
      </c>
      <c r="CY120" s="79">
        <f t="shared" si="39"/>
        <v>0</v>
      </c>
      <c r="CZ120" s="79">
        <v>0</v>
      </c>
      <c r="DA120" s="79">
        <f t="shared" si="40"/>
        <v>0</v>
      </c>
      <c r="DB120" s="84" t="str">
        <f t="shared" si="46"/>
        <v/>
      </c>
      <c r="DC120" s="41"/>
      <c r="DD120" s="79" t="s">
        <v>153</v>
      </c>
      <c r="DE120" s="71"/>
      <c r="DF120" s="85" t="s">
        <v>1071</v>
      </c>
      <c r="DG120" s="79">
        <v>115</v>
      </c>
      <c r="DH120" s="86" t="str">
        <f t="shared" si="58"/>
        <v>Completo</v>
      </c>
      <c r="DI120" s="79" t="s">
        <v>181</v>
      </c>
      <c r="DJ120" s="79" t="s">
        <v>182</v>
      </c>
      <c r="DK120" s="79"/>
      <c r="DL120" s="79">
        <v>0</v>
      </c>
      <c r="DM120" s="79">
        <v>0</v>
      </c>
      <c r="DN120" s="79" t="s">
        <v>182</v>
      </c>
      <c r="DO120" s="79"/>
      <c r="DP120" s="79"/>
      <c r="DQ120" s="79"/>
      <c r="DR120" s="75" t="str">
        <f t="shared" si="47"/>
        <v>No aplica</v>
      </c>
      <c r="DS120" s="79"/>
      <c r="DT120" s="79"/>
      <c r="DU120" s="75" t="str">
        <f t="shared" si="48"/>
        <v>No aplica</v>
      </c>
      <c r="DV120" s="79" t="s">
        <v>182</v>
      </c>
      <c r="DW120" s="79" t="s">
        <v>182</v>
      </c>
      <c r="DX120" s="79"/>
      <c r="DY120" s="79"/>
      <c r="DZ120" s="79"/>
      <c r="EA120" s="79"/>
      <c r="EB120" s="79"/>
      <c r="EC120" s="79"/>
      <c r="ED120" s="79"/>
      <c r="EE120" s="79" t="str">
        <f t="shared" si="62"/>
        <v>Completo</v>
      </c>
      <c r="EF120" s="41"/>
      <c r="EG120" s="79" t="s">
        <v>153</v>
      </c>
      <c r="EH120" s="71"/>
      <c r="EI120" s="80"/>
      <c r="EJ120" s="71"/>
      <c r="EK120" s="79" t="s">
        <v>179</v>
      </c>
      <c r="EL120" s="76" t="str">
        <f t="shared" si="49"/>
        <v>No requiere</v>
      </c>
      <c r="EM120" s="76" t="str">
        <f t="shared" si="50"/>
        <v>No requiere</v>
      </c>
      <c r="EN120" s="76" t="str">
        <f t="shared" si="60"/>
        <v>No requiere</v>
      </c>
      <c r="EO120" s="71"/>
      <c r="EP120" s="73" t="str">
        <f t="shared" si="51"/>
        <v>No requiere</v>
      </c>
      <c r="EQ120" s="77" t="str">
        <f t="shared" si="52"/>
        <v>No requiere</v>
      </c>
      <c r="ER120" s="71"/>
      <c r="ES120" s="79" t="s">
        <v>179</v>
      </c>
      <c r="ET120" s="73" t="str">
        <f t="shared" si="53"/>
        <v>No requiere</v>
      </c>
      <c r="EU120" s="73" t="str">
        <f t="shared" si="61"/>
        <v>No requiere</v>
      </c>
      <c r="EV120" s="73" t="str">
        <f t="shared" si="54"/>
        <v>No requiere</v>
      </c>
      <c r="EW120" s="73" t="str">
        <f t="shared" si="55"/>
        <v>No requiere</v>
      </c>
      <c r="EX120" s="78"/>
      <c r="EY120" s="78"/>
    </row>
    <row r="121" spans="1:155" ht="46.5" customHeight="1">
      <c r="A121" s="79" t="str">
        <v/>
      </c>
      <c r="B121" s="80" t="s">
        <v>1072</v>
      </c>
      <c r="C121" s="81">
        <v>45365</v>
      </c>
      <c r="D121" s="82">
        <v>0.375</v>
      </c>
      <c r="E121" s="79" t="s">
        <v>151</v>
      </c>
      <c r="F121" s="79" t="s">
        <v>152</v>
      </c>
      <c r="G121" s="79" t="s">
        <v>153</v>
      </c>
      <c r="H121" s="79" t="s">
        <v>152</v>
      </c>
      <c r="I121" s="79" t="s">
        <v>152</v>
      </c>
      <c r="J121" s="79" t="s">
        <v>154</v>
      </c>
      <c r="K121" s="79" t="s">
        <v>155</v>
      </c>
      <c r="L121" s="80" t="s">
        <v>1073</v>
      </c>
      <c r="M121" s="80" t="s">
        <v>157</v>
      </c>
      <c r="N121" s="79" t="s">
        <v>265</v>
      </c>
      <c r="O121" s="80" t="str">
        <f t="shared" si="41"/>
        <v>Diego Alejandro Camacho</v>
      </c>
      <c r="P121" s="79" t="s">
        <v>422</v>
      </c>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t="s">
        <v>169</v>
      </c>
      <c r="AP121" s="79" t="s">
        <v>170</v>
      </c>
      <c r="AQ121" s="80" t="s">
        <v>171</v>
      </c>
      <c r="AR121" s="80" t="s">
        <v>171</v>
      </c>
      <c r="AS121" s="80" t="s">
        <v>171</v>
      </c>
      <c r="AT121" s="80" t="str">
        <f t="shared" si="42"/>
        <v>Distrital</v>
      </c>
      <c r="AU121" s="79" t="s">
        <v>172</v>
      </c>
      <c r="AV121" s="79"/>
      <c r="AW121" s="79"/>
      <c r="AX121" s="79"/>
      <c r="AY121" s="79"/>
      <c r="AZ121" s="79"/>
      <c r="BA121" s="80" t="str">
        <f t="shared" si="43"/>
        <v>Distrital</v>
      </c>
      <c r="BB121" s="79" t="s">
        <v>172</v>
      </c>
      <c r="BC121" s="79"/>
      <c r="BD121" s="79"/>
      <c r="BE121" s="79"/>
      <c r="BF121" s="79"/>
      <c r="BG121" s="79"/>
      <c r="BH121" s="80" t="str">
        <f t="shared" si="44"/>
        <v>Distrital</v>
      </c>
      <c r="BI121" s="79" t="s">
        <v>172</v>
      </c>
      <c r="BJ121" s="79"/>
      <c r="BK121" s="79"/>
      <c r="BL121" s="79"/>
      <c r="BM121" s="79"/>
      <c r="BN121" s="79"/>
      <c r="BO121" s="79"/>
      <c r="BP121" s="79"/>
      <c r="BQ121" s="79"/>
      <c r="BR121" s="79"/>
      <c r="BS121" s="80" t="s">
        <v>288</v>
      </c>
      <c r="BT121" s="80" t="s">
        <v>174</v>
      </c>
      <c r="BU121" s="80" t="s">
        <v>1074</v>
      </c>
      <c r="BV121" s="71"/>
      <c r="BW121" s="79" t="s">
        <v>153</v>
      </c>
      <c r="BX121" s="79" t="s">
        <v>176</v>
      </c>
      <c r="BY121" s="71"/>
      <c r="BZ121" s="79">
        <v>0</v>
      </c>
      <c r="CA121" s="79">
        <v>30</v>
      </c>
      <c r="CB121" s="79">
        <f t="shared" si="25"/>
        <v>30</v>
      </c>
      <c r="CC121" s="79" t="str">
        <f t="shared" si="59"/>
        <v>No Aplica</v>
      </c>
      <c r="CD121" s="79" t="s">
        <v>177</v>
      </c>
      <c r="CE121" s="79"/>
      <c r="CF121" s="79"/>
      <c r="CG121" s="83" t="s">
        <v>1075</v>
      </c>
      <c r="CH121" s="41"/>
      <c r="CI121" s="79" t="s">
        <v>153</v>
      </c>
      <c r="CJ121" s="71"/>
      <c r="CK121" s="79">
        <f t="shared" si="38"/>
        <v>0</v>
      </c>
      <c r="CL121" s="79"/>
      <c r="CM121" s="79"/>
      <c r="CN121" s="79"/>
      <c r="CO121" s="79"/>
      <c r="CP121" s="79"/>
      <c r="CQ121" s="79"/>
      <c r="CR121" s="83" t="s">
        <v>179</v>
      </c>
      <c r="CS121" s="83" t="s">
        <v>179</v>
      </c>
      <c r="CT121" s="83" t="s">
        <v>179</v>
      </c>
      <c r="CU121" s="83" t="s">
        <v>179</v>
      </c>
      <c r="CV121" s="83" t="s">
        <v>179</v>
      </c>
      <c r="CW121" s="83" t="s">
        <v>179</v>
      </c>
      <c r="CX121" s="79" t="s">
        <v>153</v>
      </c>
      <c r="CY121" s="79">
        <f t="shared" si="39"/>
        <v>0</v>
      </c>
      <c r="CZ121" s="79">
        <v>0</v>
      </c>
      <c r="DA121" s="79">
        <f t="shared" si="40"/>
        <v>0</v>
      </c>
      <c r="DB121" s="84" t="str">
        <f t="shared" si="46"/>
        <v/>
      </c>
      <c r="DC121" s="41"/>
      <c r="DD121" s="79" t="s">
        <v>153</v>
      </c>
      <c r="DE121" s="71"/>
      <c r="DF121" s="85" t="s">
        <v>1076</v>
      </c>
      <c r="DG121" s="79">
        <v>116</v>
      </c>
      <c r="DH121" s="86" t="str">
        <f t="shared" si="58"/>
        <v>Completo</v>
      </c>
      <c r="DI121" s="79" t="s">
        <v>181</v>
      </c>
      <c r="DJ121" s="79" t="s">
        <v>182</v>
      </c>
      <c r="DK121" s="79"/>
      <c r="DL121" s="79">
        <v>0</v>
      </c>
      <c r="DM121" s="79">
        <v>0</v>
      </c>
      <c r="DN121" s="79" t="s">
        <v>182</v>
      </c>
      <c r="DO121" s="79"/>
      <c r="DP121" s="79"/>
      <c r="DQ121" s="79"/>
      <c r="DR121" s="75" t="str">
        <f t="shared" si="47"/>
        <v>No aplica</v>
      </c>
      <c r="DS121" s="79"/>
      <c r="DT121" s="79"/>
      <c r="DU121" s="75" t="str">
        <f t="shared" si="48"/>
        <v>No aplica</v>
      </c>
      <c r="DV121" s="79" t="s">
        <v>182</v>
      </c>
      <c r="DW121" s="79" t="s">
        <v>182</v>
      </c>
      <c r="DX121" s="79"/>
      <c r="DY121" s="79"/>
      <c r="DZ121" s="79"/>
      <c r="EA121" s="79"/>
      <c r="EB121" s="79"/>
      <c r="EC121" s="79"/>
      <c r="ED121" s="79" t="s">
        <v>249</v>
      </c>
      <c r="EE121" s="79" t="str">
        <f t="shared" si="62"/>
        <v>Completo</v>
      </c>
      <c r="EF121" s="41"/>
      <c r="EG121" s="79" t="s">
        <v>153</v>
      </c>
      <c r="EH121" s="71"/>
      <c r="EI121" s="80"/>
      <c r="EJ121" s="71"/>
      <c r="EK121" s="79" t="s">
        <v>179</v>
      </c>
      <c r="EL121" s="76" t="str">
        <f t="shared" si="49"/>
        <v>No requiere</v>
      </c>
      <c r="EM121" s="76" t="str">
        <f t="shared" si="50"/>
        <v>No requiere</v>
      </c>
      <c r="EN121" s="76" t="str">
        <f t="shared" si="60"/>
        <v>No requiere</v>
      </c>
      <c r="EO121" s="71"/>
      <c r="EP121" s="73" t="str">
        <f t="shared" si="51"/>
        <v>No requiere</v>
      </c>
      <c r="EQ121" s="77" t="str">
        <f t="shared" si="52"/>
        <v>No requiere</v>
      </c>
      <c r="ER121" s="71"/>
      <c r="ES121" s="79" t="s">
        <v>179</v>
      </c>
      <c r="ET121" s="73" t="str">
        <f t="shared" si="53"/>
        <v>No requiere</v>
      </c>
      <c r="EU121" s="73" t="str">
        <f t="shared" si="61"/>
        <v>No requiere</v>
      </c>
      <c r="EV121" s="73" t="str">
        <f t="shared" si="54"/>
        <v>No requiere</v>
      </c>
      <c r="EW121" s="73" t="str">
        <f t="shared" si="55"/>
        <v>No requiere</v>
      </c>
      <c r="EX121" s="78"/>
      <c r="EY121" s="78"/>
    </row>
    <row r="122" spans="1:155" ht="46.5" customHeight="1">
      <c r="A122" s="79">
        <v>118</v>
      </c>
      <c r="B122" s="80" t="s">
        <v>1077</v>
      </c>
      <c r="C122" s="81">
        <v>45365</v>
      </c>
      <c r="D122" s="82">
        <v>0.375</v>
      </c>
      <c r="E122" s="79" t="s">
        <v>151</v>
      </c>
      <c r="F122" s="79" t="s">
        <v>153</v>
      </c>
      <c r="G122" s="79" t="s">
        <v>152</v>
      </c>
      <c r="H122" s="79" t="s">
        <v>152</v>
      </c>
      <c r="I122" s="79" t="s">
        <v>152</v>
      </c>
      <c r="J122" s="79" t="s">
        <v>154</v>
      </c>
      <c r="K122" s="79" t="s">
        <v>155</v>
      </c>
      <c r="L122" s="80" t="s">
        <v>1078</v>
      </c>
      <c r="M122" s="80" t="s">
        <v>157</v>
      </c>
      <c r="N122" s="79" t="s">
        <v>163</v>
      </c>
      <c r="O122" s="80" t="str">
        <f t="shared" si="41"/>
        <v>Laura Camila Bechara</v>
      </c>
      <c r="P122" s="79" t="s">
        <v>887</v>
      </c>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t="s">
        <v>304</v>
      </c>
      <c r="AP122" s="79"/>
      <c r="AQ122" s="80" t="s">
        <v>901</v>
      </c>
      <c r="AR122" s="83">
        <v>3159261429</v>
      </c>
      <c r="AS122" s="80" t="s">
        <v>902</v>
      </c>
      <c r="AT122" s="80" t="str">
        <f t="shared" si="42"/>
        <v>Distrital</v>
      </c>
      <c r="AU122" s="79" t="s">
        <v>172</v>
      </c>
      <c r="AV122" s="79"/>
      <c r="AW122" s="79"/>
      <c r="AX122" s="79"/>
      <c r="AY122" s="79"/>
      <c r="AZ122" s="79"/>
      <c r="BA122" s="80" t="str">
        <f t="shared" si="43"/>
        <v>Distrital</v>
      </c>
      <c r="BB122" s="79" t="s">
        <v>172</v>
      </c>
      <c r="BC122" s="79"/>
      <c r="BD122" s="79"/>
      <c r="BE122" s="79"/>
      <c r="BF122" s="79"/>
      <c r="BG122" s="79"/>
      <c r="BH122" s="80" t="str">
        <f t="shared" si="44"/>
        <v>Distrital</v>
      </c>
      <c r="BI122" s="79" t="s">
        <v>172</v>
      </c>
      <c r="BJ122" s="79"/>
      <c r="BK122" s="79"/>
      <c r="BL122" s="79"/>
      <c r="BM122" s="79"/>
      <c r="BN122" s="79"/>
      <c r="BO122" s="79"/>
      <c r="BP122" s="79"/>
      <c r="BQ122" s="79"/>
      <c r="BR122" s="79"/>
      <c r="BS122" s="80" t="s">
        <v>288</v>
      </c>
      <c r="BT122" s="80" t="s">
        <v>174</v>
      </c>
      <c r="BU122" s="80" t="s">
        <v>1079</v>
      </c>
      <c r="BV122" s="71"/>
      <c r="BW122" s="79" t="s">
        <v>153</v>
      </c>
      <c r="BX122" s="79" t="s">
        <v>176</v>
      </c>
      <c r="BY122" s="71"/>
      <c r="BZ122" s="79">
        <v>8</v>
      </c>
      <c r="CA122" s="79">
        <v>4</v>
      </c>
      <c r="CB122" s="79">
        <f t="shared" si="25"/>
        <v>12</v>
      </c>
      <c r="CC122" s="79" t="str">
        <f t="shared" si="59"/>
        <v>No Aplica</v>
      </c>
      <c r="CD122" s="79" t="s">
        <v>177</v>
      </c>
      <c r="CE122" s="79"/>
      <c r="CF122" s="79"/>
      <c r="CG122" s="83" t="s">
        <v>1080</v>
      </c>
      <c r="CH122" s="41"/>
      <c r="CI122" s="79" t="s">
        <v>153</v>
      </c>
      <c r="CJ122" s="71"/>
      <c r="CK122" s="79">
        <f t="shared" si="38"/>
        <v>0</v>
      </c>
      <c r="CL122" s="79"/>
      <c r="CM122" s="79"/>
      <c r="CN122" s="79"/>
      <c r="CO122" s="79"/>
      <c r="CP122" s="79"/>
      <c r="CQ122" s="79"/>
      <c r="CR122" s="83" t="s">
        <v>179</v>
      </c>
      <c r="CS122" s="83" t="s">
        <v>179</v>
      </c>
      <c r="CT122" s="83" t="s">
        <v>179</v>
      </c>
      <c r="CU122" s="83" t="s">
        <v>179</v>
      </c>
      <c r="CV122" s="83" t="s">
        <v>179</v>
      </c>
      <c r="CW122" s="83" t="s">
        <v>179</v>
      </c>
      <c r="CX122" s="79" t="s">
        <v>153</v>
      </c>
      <c r="CY122" s="79">
        <f t="shared" si="39"/>
        <v>0</v>
      </c>
      <c r="CZ122" s="79">
        <v>0</v>
      </c>
      <c r="DA122" s="79">
        <f t="shared" si="40"/>
        <v>0</v>
      </c>
      <c r="DB122" s="84" t="str">
        <f t="shared" si="46"/>
        <v/>
      </c>
      <c r="DC122" s="41"/>
      <c r="DD122" s="79" t="s">
        <v>153</v>
      </c>
      <c r="DE122" s="71"/>
      <c r="DF122" s="85" t="s">
        <v>1081</v>
      </c>
      <c r="DG122" s="79">
        <v>117</v>
      </c>
      <c r="DH122" s="86" t="str">
        <f t="shared" si="58"/>
        <v>Completo</v>
      </c>
      <c r="DI122" s="79" t="s">
        <v>181</v>
      </c>
      <c r="DJ122" s="79" t="s">
        <v>182</v>
      </c>
      <c r="DK122" s="79"/>
      <c r="DL122" s="79">
        <v>0</v>
      </c>
      <c r="DM122" s="79">
        <v>0</v>
      </c>
      <c r="DN122" s="79" t="s">
        <v>182</v>
      </c>
      <c r="DO122" s="79"/>
      <c r="DP122" s="79"/>
      <c r="DQ122" s="79"/>
      <c r="DR122" s="75" t="str">
        <f t="shared" si="47"/>
        <v>No aplica</v>
      </c>
      <c r="DS122" s="79"/>
      <c r="DT122" s="79"/>
      <c r="DU122" s="75" t="str">
        <f t="shared" si="48"/>
        <v>No aplica</v>
      </c>
      <c r="DV122" s="79" t="s">
        <v>182</v>
      </c>
      <c r="DW122" s="79"/>
      <c r="DX122" s="79"/>
      <c r="DY122" s="79"/>
      <c r="DZ122" s="79"/>
      <c r="EA122" s="79"/>
      <c r="EB122" s="79" t="s">
        <v>182</v>
      </c>
      <c r="EC122" s="79"/>
      <c r="ED122" s="79" t="s">
        <v>184</v>
      </c>
      <c r="EE122" s="79" t="str">
        <f t="shared" si="62"/>
        <v>Completo</v>
      </c>
      <c r="EF122" s="41"/>
      <c r="EG122" s="79" t="s">
        <v>153</v>
      </c>
      <c r="EH122" s="71"/>
      <c r="EI122" s="80"/>
      <c r="EJ122" s="71"/>
      <c r="EK122" s="79" t="s">
        <v>179</v>
      </c>
      <c r="EL122" s="76" t="str">
        <f t="shared" si="49"/>
        <v>No requiere</v>
      </c>
      <c r="EM122" s="76" t="str">
        <f t="shared" si="50"/>
        <v>No requiere</v>
      </c>
      <c r="EN122" s="76" t="str">
        <f t="shared" si="60"/>
        <v>No requiere</v>
      </c>
      <c r="EO122" s="71"/>
      <c r="EP122" s="73" t="str">
        <f t="shared" si="51"/>
        <v>No requiere</v>
      </c>
      <c r="EQ122" s="77" t="str">
        <f t="shared" si="52"/>
        <v>No requiere</v>
      </c>
      <c r="ER122" s="71"/>
      <c r="ES122" s="79" t="s">
        <v>179</v>
      </c>
      <c r="ET122" s="73" t="str">
        <f t="shared" si="53"/>
        <v>No requiere</v>
      </c>
      <c r="EU122" s="73" t="str">
        <f t="shared" si="61"/>
        <v>No requiere</v>
      </c>
      <c r="EV122" s="73" t="str">
        <f t="shared" si="54"/>
        <v>No requiere</v>
      </c>
      <c r="EW122" s="73" t="str">
        <f t="shared" si="55"/>
        <v>No requiere</v>
      </c>
      <c r="EX122" s="78"/>
      <c r="EY122" s="78"/>
    </row>
    <row r="123" spans="1:155" ht="46.5" customHeight="1">
      <c r="A123" s="79" t="str">
        <v/>
      </c>
      <c r="B123" s="80" t="s">
        <v>1082</v>
      </c>
      <c r="C123" s="81">
        <v>45365</v>
      </c>
      <c r="D123" s="82">
        <v>0.41666666666666669</v>
      </c>
      <c r="E123" s="79" t="s">
        <v>151</v>
      </c>
      <c r="F123" s="79" t="s">
        <v>152</v>
      </c>
      <c r="G123" s="79" t="s">
        <v>152</v>
      </c>
      <c r="H123" s="79" t="s">
        <v>152</v>
      </c>
      <c r="I123" s="79" t="s">
        <v>152</v>
      </c>
      <c r="J123" s="79" t="s">
        <v>154</v>
      </c>
      <c r="K123" s="79" t="s">
        <v>155</v>
      </c>
      <c r="L123" s="80" t="s">
        <v>1083</v>
      </c>
      <c r="M123" s="80" t="s">
        <v>157</v>
      </c>
      <c r="N123" s="79" t="s">
        <v>346</v>
      </c>
      <c r="O123" s="80" t="str">
        <f t="shared" si="41"/>
        <v xml:space="preserve">Luis Fernando Barreto </v>
      </c>
      <c r="P123" s="79" t="s">
        <v>720</v>
      </c>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t="s">
        <v>169</v>
      </c>
      <c r="AP123" s="79" t="s">
        <v>507</v>
      </c>
      <c r="AQ123" s="80" t="s">
        <v>171</v>
      </c>
      <c r="AR123" s="80" t="s">
        <v>171</v>
      </c>
      <c r="AS123" s="80" t="s">
        <v>171</v>
      </c>
      <c r="AT123" s="80" t="str">
        <f t="shared" si="42"/>
        <v>Distrital</v>
      </c>
      <c r="AU123" s="79" t="s">
        <v>172</v>
      </c>
      <c r="AV123" s="79"/>
      <c r="AW123" s="79"/>
      <c r="AX123" s="79"/>
      <c r="AY123" s="79"/>
      <c r="AZ123" s="79"/>
      <c r="BA123" s="80" t="str">
        <f t="shared" si="43"/>
        <v>Distrital</v>
      </c>
      <c r="BB123" s="79" t="s">
        <v>172</v>
      </c>
      <c r="BC123" s="79"/>
      <c r="BD123" s="79"/>
      <c r="BE123" s="79"/>
      <c r="BF123" s="79"/>
      <c r="BG123" s="79"/>
      <c r="BH123" s="80" t="str">
        <f t="shared" si="44"/>
        <v>Distrital</v>
      </c>
      <c r="BI123" s="79" t="s">
        <v>172</v>
      </c>
      <c r="BJ123" s="79"/>
      <c r="BK123" s="79"/>
      <c r="BL123" s="79"/>
      <c r="BM123" s="79"/>
      <c r="BN123" s="79"/>
      <c r="BO123" s="79"/>
      <c r="BP123" s="79"/>
      <c r="BQ123" s="79"/>
      <c r="BR123" s="79"/>
      <c r="BS123" s="80" t="s">
        <v>288</v>
      </c>
      <c r="BT123" s="80" t="s">
        <v>174</v>
      </c>
      <c r="BU123" s="80" t="s">
        <v>616</v>
      </c>
      <c r="BV123" s="71"/>
      <c r="BW123" s="79" t="s">
        <v>153</v>
      </c>
      <c r="BX123" s="79" t="s">
        <v>176</v>
      </c>
      <c r="BY123" s="71"/>
      <c r="BZ123" s="79">
        <v>43</v>
      </c>
      <c r="CA123" s="79">
        <v>2</v>
      </c>
      <c r="CB123" s="79">
        <f t="shared" si="25"/>
        <v>45</v>
      </c>
      <c r="CC123" s="79" t="str">
        <f t="shared" si="59"/>
        <v>No Aplica</v>
      </c>
      <c r="CD123" s="79" t="s">
        <v>177</v>
      </c>
      <c r="CE123" s="79"/>
      <c r="CF123" s="79"/>
      <c r="CG123" s="83" t="s">
        <v>1084</v>
      </c>
      <c r="CH123" s="41"/>
      <c r="CI123" s="79" t="s">
        <v>153</v>
      </c>
      <c r="CJ123" s="71"/>
      <c r="CK123" s="79">
        <f t="shared" si="38"/>
        <v>0</v>
      </c>
      <c r="CL123" s="79"/>
      <c r="CM123" s="79"/>
      <c r="CN123" s="79"/>
      <c r="CO123" s="79"/>
      <c r="CP123" s="79"/>
      <c r="CQ123" s="79"/>
      <c r="CR123" s="83" t="s">
        <v>179</v>
      </c>
      <c r="CS123" s="83" t="s">
        <v>179</v>
      </c>
      <c r="CT123" s="83" t="s">
        <v>179</v>
      </c>
      <c r="CU123" s="83" t="s">
        <v>179</v>
      </c>
      <c r="CV123" s="83" t="s">
        <v>179</v>
      </c>
      <c r="CW123" s="83" t="s">
        <v>179</v>
      </c>
      <c r="CX123" s="79" t="s">
        <v>153</v>
      </c>
      <c r="CY123" s="79">
        <f t="shared" si="39"/>
        <v>0</v>
      </c>
      <c r="CZ123" s="79">
        <v>0</v>
      </c>
      <c r="DA123" s="79">
        <f t="shared" si="40"/>
        <v>0</v>
      </c>
      <c r="DB123" s="84" t="str">
        <f t="shared" si="46"/>
        <v/>
      </c>
      <c r="DC123" s="41"/>
      <c r="DD123" s="79" t="s">
        <v>153</v>
      </c>
      <c r="DE123" s="71"/>
      <c r="DF123" s="85" t="s">
        <v>1085</v>
      </c>
      <c r="DG123" s="79">
        <v>118</v>
      </c>
      <c r="DH123" s="86" t="str">
        <f t="shared" si="58"/>
        <v>Completo</v>
      </c>
      <c r="DI123" s="79" t="s">
        <v>181</v>
      </c>
      <c r="DJ123" s="79" t="s">
        <v>182</v>
      </c>
      <c r="DK123" s="79"/>
      <c r="DL123" s="79">
        <v>0</v>
      </c>
      <c r="DM123" s="79">
        <v>0</v>
      </c>
      <c r="DN123" s="79" t="s">
        <v>182</v>
      </c>
      <c r="DO123" s="79"/>
      <c r="DP123" s="79"/>
      <c r="DQ123" s="79"/>
      <c r="DR123" s="75" t="str">
        <f t="shared" si="47"/>
        <v>No aplica</v>
      </c>
      <c r="DS123" s="79"/>
      <c r="DT123" s="79"/>
      <c r="DU123" s="75" t="str">
        <f t="shared" si="48"/>
        <v>No aplica</v>
      </c>
      <c r="DV123" s="79" t="s">
        <v>182</v>
      </c>
      <c r="DW123" s="79" t="s">
        <v>191</v>
      </c>
      <c r="DX123" s="79"/>
      <c r="DY123" s="79"/>
      <c r="DZ123" s="79"/>
      <c r="EA123" s="79"/>
      <c r="EB123" s="79" t="s">
        <v>191</v>
      </c>
      <c r="EC123" s="79"/>
      <c r="ED123" s="79" t="s">
        <v>249</v>
      </c>
      <c r="EE123" s="79" t="str">
        <f t="shared" si="62"/>
        <v>Completo</v>
      </c>
      <c r="EF123" s="41"/>
      <c r="EG123" s="79" t="s">
        <v>153</v>
      </c>
      <c r="EH123" s="71"/>
      <c r="EI123" s="80"/>
      <c r="EJ123" s="71"/>
      <c r="EK123" s="79" t="s">
        <v>179</v>
      </c>
      <c r="EL123" s="76" t="str">
        <f t="shared" si="49"/>
        <v>No requiere</v>
      </c>
      <c r="EM123" s="76" t="str">
        <f t="shared" si="50"/>
        <v>No requiere</v>
      </c>
      <c r="EN123" s="76" t="str">
        <f t="shared" si="60"/>
        <v>No requiere</v>
      </c>
      <c r="EO123" s="71"/>
      <c r="EP123" s="73" t="str">
        <f t="shared" si="51"/>
        <v>No requiere</v>
      </c>
      <c r="EQ123" s="77" t="str">
        <f t="shared" si="52"/>
        <v>No requiere</v>
      </c>
      <c r="ER123" s="71"/>
      <c r="ES123" s="79" t="s">
        <v>179</v>
      </c>
      <c r="ET123" s="73" t="str">
        <f t="shared" si="53"/>
        <v>No requiere</v>
      </c>
      <c r="EU123" s="73" t="str">
        <f t="shared" si="61"/>
        <v>No requiere</v>
      </c>
      <c r="EV123" s="73" t="str">
        <f t="shared" si="54"/>
        <v>No requiere</v>
      </c>
      <c r="EW123" s="73" t="str">
        <f t="shared" si="55"/>
        <v>No requiere</v>
      </c>
      <c r="EX123" s="78"/>
      <c r="EY123" s="78"/>
    </row>
    <row r="124" spans="1:155" ht="46.5" customHeight="1">
      <c r="A124" s="79">
        <v>120</v>
      </c>
      <c r="B124" s="80" t="s">
        <v>1086</v>
      </c>
      <c r="C124" s="81">
        <v>45365</v>
      </c>
      <c r="D124" s="82">
        <v>0.66666666666666663</v>
      </c>
      <c r="E124" s="79" t="s">
        <v>151</v>
      </c>
      <c r="F124" s="79" t="s">
        <v>153</v>
      </c>
      <c r="G124" s="79" t="s">
        <v>152</v>
      </c>
      <c r="H124" s="79" t="s">
        <v>152</v>
      </c>
      <c r="I124" s="79" t="s">
        <v>152</v>
      </c>
      <c r="J124" s="79" t="s">
        <v>154</v>
      </c>
      <c r="K124" s="79" t="s">
        <v>202</v>
      </c>
      <c r="L124" s="80" t="s">
        <v>1087</v>
      </c>
      <c r="M124" s="80" t="s">
        <v>157</v>
      </c>
      <c r="N124" s="79" t="s">
        <v>163</v>
      </c>
      <c r="O124" s="80" t="str">
        <f t="shared" si="41"/>
        <v>Laura Camila Bechara, Luz Maritza Acero</v>
      </c>
      <c r="P124" s="79" t="s">
        <v>887</v>
      </c>
      <c r="Q124" s="79" t="s">
        <v>167</v>
      </c>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t="s">
        <v>304</v>
      </c>
      <c r="AP124" s="79"/>
      <c r="AQ124" s="80" t="s">
        <v>901</v>
      </c>
      <c r="AR124" s="83">
        <v>3159261429</v>
      </c>
      <c r="AS124" s="80" t="s">
        <v>902</v>
      </c>
      <c r="AT124" s="80" t="str">
        <f t="shared" si="42"/>
        <v>Distrital</v>
      </c>
      <c r="AU124" s="79" t="s">
        <v>172</v>
      </c>
      <c r="AV124" s="79"/>
      <c r="AW124" s="79"/>
      <c r="AX124" s="79"/>
      <c r="AY124" s="79"/>
      <c r="AZ124" s="79"/>
      <c r="BA124" s="80" t="str">
        <f t="shared" si="43"/>
        <v>Distrital</v>
      </c>
      <c r="BB124" s="79" t="s">
        <v>172</v>
      </c>
      <c r="BC124" s="79"/>
      <c r="BD124" s="79"/>
      <c r="BE124" s="79"/>
      <c r="BF124" s="79"/>
      <c r="BG124" s="79"/>
      <c r="BH124" s="80" t="str">
        <f t="shared" si="44"/>
        <v>Distrital</v>
      </c>
      <c r="BI124" s="79" t="s">
        <v>172</v>
      </c>
      <c r="BJ124" s="79"/>
      <c r="BK124" s="79"/>
      <c r="BL124" s="79"/>
      <c r="BM124" s="79"/>
      <c r="BN124" s="79"/>
      <c r="BO124" s="79"/>
      <c r="BP124" s="79"/>
      <c r="BQ124" s="79"/>
      <c r="BR124" s="79"/>
      <c r="BS124" s="80" t="s">
        <v>288</v>
      </c>
      <c r="BT124" s="80" t="s">
        <v>174</v>
      </c>
      <c r="BU124" s="80" t="s">
        <v>978</v>
      </c>
      <c r="BV124" s="71"/>
      <c r="BW124" s="79" t="s">
        <v>153</v>
      </c>
      <c r="BX124" s="79" t="s">
        <v>176</v>
      </c>
      <c r="BY124" s="71"/>
      <c r="BZ124" s="79">
        <v>18</v>
      </c>
      <c r="CA124" s="79">
        <v>2</v>
      </c>
      <c r="CB124" s="79">
        <f t="shared" si="25"/>
        <v>20</v>
      </c>
      <c r="CC124" s="79" t="str">
        <f t="shared" si="59"/>
        <v>No Aplica</v>
      </c>
      <c r="CD124" s="79" t="s">
        <v>177</v>
      </c>
      <c r="CE124" s="79"/>
      <c r="CF124" s="79"/>
      <c r="CG124" s="83" t="s">
        <v>1088</v>
      </c>
      <c r="CH124" s="41"/>
      <c r="CI124" s="79" t="s">
        <v>153</v>
      </c>
      <c r="CJ124" s="71"/>
      <c r="CK124" s="79">
        <f t="shared" si="38"/>
        <v>0</v>
      </c>
      <c r="CL124" s="79"/>
      <c r="CM124" s="79"/>
      <c r="CN124" s="79"/>
      <c r="CO124" s="79"/>
      <c r="CP124" s="79"/>
      <c r="CQ124" s="79"/>
      <c r="CR124" s="83" t="s">
        <v>179</v>
      </c>
      <c r="CS124" s="83" t="s">
        <v>179</v>
      </c>
      <c r="CT124" s="83" t="s">
        <v>179</v>
      </c>
      <c r="CU124" s="83" t="s">
        <v>179</v>
      </c>
      <c r="CV124" s="83" t="s">
        <v>179</v>
      </c>
      <c r="CW124" s="83" t="s">
        <v>179</v>
      </c>
      <c r="CX124" s="79" t="s">
        <v>153</v>
      </c>
      <c r="CY124" s="79">
        <f t="shared" si="39"/>
        <v>0</v>
      </c>
      <c r="CZ124" s="79">
        <v>0</v>
      </c>
      <c r="DA124" s="79">
        <f t="shared" si="40"/>
        <v>0</v>
      </c>
      <c r="DB124" s="84" t="str">
        <f t="shared" si="46"/>
        <v/>
      </c>
      <c r="DC124" s="41"/>
      <c r="DD124" s="79" t="s">
        <v>153</v>
      </c>
      <c r="DE124" s="71"/>
      <c r="DF124" s="85" t="s">
        <v>1089</v>
      </c>
      <c r="DG124" s="79">
        <v>119</v>
      </c>
      <c r="DH124" s="86" t="str">
        <f t="shared" si="58"/>
        <v>Completo</v>
      </c>
      <c r="DI124" s="79" t="s">
        <v>181</v>
      </c>
      <c r="DJ124" s="79" t="s">
        <v>182</v>
      </c>
      <c r="DK124" s="79"/>
      <c r="DL124" s="79">
        <v>0</v>
      </c>
      <c r="DM124" s="79">
        <v>0</v>
      </c>
      <c r="DN124" s="79" t="s">
        <v>182</v>
      </c>
      <c r="DO124" s="79"/>
      <c r="DP124" s="79"/>
      <c r="DQ124" s="79"/>
      <c r="DR124" s="75" t="str">
        <f t="shared" si="47"/>
        <v>No aplica</v>
      </c>
      <c r="DS124" s="79"/>
      <c r="DT124" s="79"/>
      <c r="DU124" s="75" t="str">
        <f t="shared" si="48"/>
        <v>No aplica</v>
      </c>
      <c r="DV124" s="79" t="s">
        <v>182</v>
      </c>
      <c r="DW124" s="79" t="s">
        <v>191</v>
      </c>
      <c r="DX124" s="79"/>
      <c r="DY124" s="79"/>
      <c r="DZ124" s="79"/>
      <c r="EA124" s="79"/>
      <c r="EB124" s="79" t="s">
        <v>182</v>
      </c>
      <c r="EC124" s="79" t="s">
        <v>1090</v>
      </c>
      <c r="ED124" s="79" t="s">
        <v>1091</v>
      </c>
      <c r="EE124" s="79" t="str">
        <f t="shared" si="62"/>
        <v>Completo</v>
      </c>
      <c r="EF124" s="41"/>
      <c r="EG124" s="79" t="s">
        <v>153</v>
      </c>
      <c r="EH124" s="71"/>
      <c r="EI124" s="80"/>
      <c r="EJ124" s="71"/>
      <c r="EK124" s="79" t="s">
        <v>179</v>
      </c>
      <c r="EL124" s="76" t="str">
        <f t="shared" si="49"/>
        <v>No requiere</v>
      </c>
      <c r="EM124" s="76" t="str">
        <f t="shared" si="50"/>
        <v>No requiere</v>
      </c>
      <c r="EN124" s="76" t="str">
        <f t="shared" si="60"/>
        <v>No requiere</v>
      </c>
      <c r="EO124" s="71"/>
      <c r="EP124" s="73" t="str">
        <f t="shared" si="51"/>
        <v>No requiere</v>
      </c>
      <c r="EQ124" s="77" t="str">
        <f t="shared" si="52"/>
        <v>No requiere</v>
      </c>
      <c r="ER124" s="71"/>
      <c r="ES124" s="79" t="s">
        <v>179</v>
      </c>
      <c r="ET124" s="73" t="str">
        <f t="shared" si="53"/>
        <v>No requiere</v>
      </c>
      <c r="EU124" s="73" t="str">
        <f t="shared" si="61"/>
        <v>No requiere</v>
      </c>
      <c r="EV124" s="73" t="str">
        <f t="shared" si="54"/>
        <v>No requiere</v>
      </c>
      <c r="EW124" s="73" t="str">
        <f t="shared" si="55"/>
        <v>No requiere</v>
      </c>
      <c r="EX124" s="78"/>
      <c r="EY124" s="78"/>
    </row>
    <row r="125" spans="1:155" ht="46.5" customHeight="1">
      <c r="A125" s="79">
        <v>121</v>
      </c>
      <c r="B125" s="80" t="s">
        <v>1092</v>
      </c>
      <c r="C125" s="81">
        <v>45365</v>
      </c>
      <c r="D125" s="82">
        <v>0.66666666666666663</v>
      </c>
      <c r="E125" s="79" t="s">
        <v>151</v>
      </c>
      <c r="F125" s="79" t="s">
        <v>153</v>
      </c>
      <c r="G125" s="79" t="s">
        <v>153</v>
      </c>
      <c r="H125" s="79" t="s">
        <v>153</v>
      </c>
      <c r="I125" s="79" t="s">
        <v>152</v>
      </c>
      <c r="J125" s="79" t="s">
        <v>154</v>
      </c>
      <c r="K125" s="79" t="s">
        <v>155</v>
      </c>
      <c r="L125" s="80" t="s">
        <v>600</v>
      </c>
      <c r="M125" s="80" t="s">
        <v>303</v>
      </c>
      <c r="N125" s="79" t="s">
        <v>644</v>
      </c>
      <c r="O125" s="80" t="str">
        <f t="shared" si="41"/>
        <v>Sebastian Potes Buitrago, Ana María Ulloa, David Reinaldo Jojoa, Erika Lizeth Rueda, Norberto Muñoz Morera, Andres Castro Latorre, Paula Andrea González, Manuel Fernando Vergara, Germán Ramón Jacome, Nixon Sandoval Mateus, Camilo Andrés Vásquez, Paola Andrea González, Melina Julieta Solano, Juan Pablo Serna</v>
      </c>
      <c r="P125" s="79" t="s">
        <v>545</v>
      </c>
      <c r="Q125" s="79" t="s">
        <v>522</v>
      </c>
      <c r="R125" s="79" t="s">
        <v>548</v>
      </c>
      <c r="S125" s="79" t="s">
        <v>556</v>
      </c>
      <c r="T125" s="79" t="s">
        <v>161</v>
      </c>
      <c r="U125" s="79" t="s">
        <v>749</v>
      </c>
      <c r="V125" s="79" t="s">
        <v>158</v>
      </c>
      <c r="W125" s="79" t="s">
        <v>820</v>
      </c>
      <c r="X125" s="79" t="s">
        <v>525</v>
      </c>
      <c r="Y125" s="79" t="s">
        <v>644</v>
      </c>
      <c r="Z125" s="79" t="s">
        <v>373</v>
      </c>
      <c r="AA125" s="79" t="s">
        <v>924</v>
      </c>
      <c r="AB125" s="79" t="s">
        <v>168</v>
      </c>
      <c r="AC125" s="79" t="s">
        <v>818</v>
      </c>
      <c r="AD125" s="79"/>
      <c r="AE125" s="79"/>
      <c r="AF125" s="79"/>
      <c r="AG125" s="79"/>
      <c r="AH125" s="79"/>
      <c r="AI125" s="79"/>
      <c r="AJ125" s="79"/>
      <c r="AK125" s="79"/>
      <c r="AL125" s="79"/>
      <c r="AM125" s="79"/>
      <c r="AN125" s="79"/>
      <c r="AO125" s="79" t="s">
        <v>304</v>
      </c>
      <c r="AP125" s="79"/>
      <c r="AQ125" s="80" t="s">
        <v>1093</v>
      </c>
      <c r="AR125" s="80" t="s">
        <v>171</v>
      </c>
      <c r="AS125" s="80" t="s">
        <v>171</v>
      </c>
      <c r="AT125" s="80" t="str">
        <f t="shared" si="42"/>
        <v>Engativá</v>
      </c>
      <c r="AU125" s="79" t="s">
        <v>234</v>
      </c>
      <c r="AV125" s="79"/>
      <c r="AW125" s="79"/>
      <c r="AX125" s="79"/>
      <c r="AY125" s="79"/>
      <c r="AZ125" s="79"/>
      <c r="BA125" s="80" t="str">
        <f t="shared" si="43"/>
        <v>Occidente</v>
      </c>
      <c r="BB125" s="79" t="s">
        <v>235</v>
      </c>
      <c r="BC125" s="79"/>
      <c r="BD125" s="79"/>
      <c r="BE125" s="79"/>
      <c r="BF125" s="79"/>
      <c r="BG125" s="79"/>
      <c r="BH125" s="80" t="str">
        <f t="shared" si="44"/>
        <v>Engativá</v>
      </c>
      <c r="BI125" s="79" t="s">
        <v>234</v>
      </c>
      <c r="BJ125" s="79"/>
      <c r="BK125" s="79"/>
      <c r="BL125" s="79"/>
      <c r="BM125" s="79"/>
      <c r="BN125" s="79"/>
      <c r="BO125" s="79"/>
      <c r="BP125" s="79"/>
      <c r="BQ125" s="79"/>
      <c r="BR125" s="79"/>
      <c r="BS125" s="80" t="s">
        <v>288</v>
      </c>
      <c r="BT125" s="80" t="s">
        <v>605</v>
      </c>
      <c r="BU125" s="80" t="s">
        <v>1094</v>
      </c>
      <c r="BV125" s="71"/>
      <c r="BW125" s="79" t="s">
        <v>153</v>
      </c>
      <c r="BX125" s="79" t="s">
        <v>607</v>
      </c>
      <c r="BY125" s="71"/>
      <c r="BZ125" s="79">
        <v>50</v>
      </c>
      <c r="CA125" s="79">
        <v>15</v>
      </c>
      <c r="CB125" s="79">
        <f t="shared" si="25"/>
        <v>65</v>
      </c>
      <c r="CC125" s="79" t="str">
        <f t="shared" si="59"/>
        <v>Accesibilidad Universal</v>
      </c>
      <c r="CD125" s="79" t="s">
        <v>397</v>
      </c>
      <c r="CE125" s="79"/>
      <c r="CF125" s="79"/>
      <c r="CG125" s="83" t="s">
        <v>154</v>
      </c>
      <c r="CH125" s="41"/>
      <c r="CI125" s="79" t="s">
        <v>153</v>
      </c>
      <c r="CJ125" s="71"/>
      <c r="CK125" s="79">
        <f t="shared" si="38"/>
        <v>1</v>
      </c>
      <c r="CL125" s="79" t="s">
        <v>1095</v>
      </c>
      <c r="CM125" s="79"/>
      <c r="CN125" s="79"/>
      <c r="CO125" s="79"/>
      <c r="CP125" s="79"/>
      <c r="CQ125" s="79"/>
      <c r="CR125" s="83" t="s">
        <v>390</v>
      </c>
      <c r="CS125" s="83" t="s">
        <v>179</v>
      </c>
      <c r="CT125" s="83" t="s">
        <v>179</v>
      </c>
      <c r="CU125" s="83" t="s">
        <v>179</v>
      </c>
      <c r="CV125" s="83" t="s">
        <v>179</v>
      </c>
      <c r="CW125" s="83" t="s">
        <v>179</v>
      </c>
      <c r="CX125" s="79" t="s">
        <v>153</v>
      </c>
      <c r="CY125" s="79">
        <f t="shared" si="39"/>
        <v>1</v>
      </c>
      <c r="CZ125" s="79">
        <v>1</v>
      </c>
      <c r="DA125" s="79">
        <f t="shared" si="40"/>
        <v>1</v>
      </c>
      <c r="DB125" s="84">
        <f t="shared" si="46"/>
        <v>1</v>
      </c>
      <c r="DC125" s="41"/>
      <c r="DD125" s="79" t="s">
        <v>153</v>
      </c>
      <c r="DE125" s="71"/>
      <c r="DF125" s="85" t="s">
        <v>1096</v>
      </c>
      <c r="DG125" s="79">
        <v>120</v>
      </c>
      <c r="DH125" s="86" t="str">
        <f t="shared" si="58"/>
        <v>Completo</v>
      </c>
      <c r="DI125" s="79" t="s">
        <v>181</v>
      </c>
      <c r="DJ125" s="79" t="s">
        <v>182</v>
      </c>
      <c r="DK125" s="79" t="s">
        <v>153</v>
      </c>
      <c r="DL125" s="79">
        <v>0</v>
      </c>
      <c r="DM125" s="79">
        <v>0</v>
      </c>
      <c r="DN125" s="79" t="s">
        <v>182</v>
      </c>
      <c r="DO125" s="79">
        <v>4800</v>
      </c>
      <c r="DP125" s="79" t="s">
        <v>182</v>
      </c>
      <c r="DQ125" s="79">
        <v>15</v>
      </c>
      <c r="DR125" s="75">
        <f t="shared" si="47"/>
        <v>1</v>
      </c>
      <c r="DS125" s="79" t="s">
        <v>182</v>
      </c>
      <c r="DT125" s="79">
        <v>26</v>
      </c>
      <c r="DU125" s="75">
        <f t="shared" si="48"/>
        <v>1.4857142857142858</v>
      </c>
      <c r="DV125" s="79" t="s">
        <v>182</v>
      </c>
      <c r="DW125" s="79" t="s">
        <v>182</v>
      </c>
      <c r="DX125" s="79">
        <v>4</v>
      </c>
      <c r="DY125" s="79">
        <v>1</v>
      </c>
      <c r="DZ125" s="79" t="s">
        <v>1097</v>
      </c>
      <c r="EA125" s="79">
        <v>4871</v>
      </c>
      <c r="EB125" s="79" t="s">
        <v>182</v>
      </c>
      <c r="EC125" s="79" t="s">
        <v>1098</v>
      </c>
      <c r="ED125" s="79" t="s">
        <v>249</v>
      </c>
      <c r="EE125" s="79" t="str">
        <f t="shared" si="62"/>
        <v>Completo</v>
      </c>
      <c r="EF125" s="41"/>
      <c r="EG125" s="79" t="s">
        <v>153</v>
      </c>
      <c r="EH125" s="71"/>
      <c r="EI125" s="89" t="s">
        <v>1099</v>
      </c>
      <c r="EJ125" s="71"/>
      <c r="EK125" s="79" t="s">
        <v>409</v>
      </c>
      <c r="EL125" s="76" t="str">
        <f t="shared" si="49"/>
        <v>Sí</v>
      </c>
      <c r="EM125" s="76" t="str">
        <f t="shared" si="50"/>
        <v>Sí</v>
      </c>
      <c r="EN125" s="76" t="str">
        <f t="shared" si="60"/>
        <v>Sí</v>
      </c>
      <c r="EO125" s="71"/>
      <c r="EP125" s="73" t="str">
        <f t="shared" si="51"/>
        <v>No aplica</v>
      </c>
      <c r="EQ125" s="77">
        <f t="shared" si="52"/>
        <v>1.4857142857142858</v>
      </c>
      <c r="ER125" s="71"/>
      <c r="ES125" s="79" t="s">
        <v>409</v>
      </c>
      <c r="ET125" s="73">
        <f t="shared" si="53"/>
        <v>1</v>
      </c>
      <c r="EU125" s="73">
        <f t="shared" si="61"/>
        <v>1</v>
      </c>
      <c r="EV125" s="73">
        <f t="shared" si="54"/>
        <v>1</v>
      </c>
      <c r="EW125" s="73">
        <f t="shared" si="55"/>
        <v>0.98542393758981728</v>
      </c>
      <c r="EX125" s="78"/>
      <c r="EY125" s="78"/>
    </row>
    <row r="126" spans="1:155" ht="46.5" customHeight="1">
      <c r="A126" s="79">
        <v>122</v>
      </c>
      <c r="B126" s="80" t="s">
        <v>1100</v>
      </c>
      <c r="C126" s="81">
        <v>45365</v>
      </c>
      <c r="D126" s="82">
        <v>0.75</v>
      </c>
      <c r="E126" s="79" t="s">
        <v>200</v>
      </c>
      <c r="F126" s="79" t="s">
        <v>153</v>
      </c>
      <c r="G126" s="79" t="s">
        <v>152</v>
      </c>
      <c r="H126" s="79" t="s">
        <v>152</v>
      </c>
      <c r="I126" s="79" t="s">
        <v>152</v>
      </c>
      <c r="J126" s="79" t="s">
        <v>211</v>
      </c>
      <c r="K126" s="79" t="s">
        <v>202</v>
      </c>
      <c r="L126" s="80" t="s">
        <v>1101</v>
      </c>
      <c r="M126" s="80" t="s">
        <v>624</v>
      </c>
      <c r="N126" s="79" t="s">
        <v>524</v>
      </c>
      <c r="O126" s="80" t="str">
        <f t="shared" si="41"/>
        <v/>
      </c>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t="s">
        <v>230</v>
      </c>
      <c r="AP126" s="79" t="s">
        <v>242</v>
      </c>
      <c r="AQ126" s="80" t="s">
        <v>1102</v>
      </c>
      <c r="AR126" s="83">
        <v>3178255261</v>
      </c>
      <c r="AS126" s="80" t="s">
        <v>1103</v>
      </c>
      <c r="AT126" s="80" t="str">
        <f t="shared" si="42"/>
        <v>Distrital</v>
      </c>
      <c r="AU126" s="79" t="s">
        <v>172</v>
      </c>
      <c r="AV126" s="79"/>
      <c r="AW126" s="79"/>
      <c r="AX126" s="79"/>
      <c r="AY126" s="79"/>
      <c r="AZ126" s="79"/>
      <c r="BA126" s="80" t="str">
        <f t="shared" si="43"/>
        <v>Distrital</v>
      </c>
      <c r="BB126" s="79" t="s">
        <v>172</v>
      </c>
      <c r="BC126" s="79"/>
      <c r="BD126" s="79"/>
      <c r="BE126" s="79"/>
      <c r="BF126" s="79"/>
      <c r="BG126" s="79"/>
      <c r="BH126" s="80" t="str">
        <f t="shared" si="44"/>
        <v>Distrital</v>
      </c>
      <c r="BI126" s="79" t="s">
        <v>172</v>
      </c>
      <c r="BJ126" s="79"/>
      <c r="BK126" s="79"/>
      <c r="BL126" s="79"/>
      <c r="BM126" s="79"/>
      <c r="BN126" s="79"/>
      <c r="BO126" s="79"/>
      <c r="BP126" s="79"/>
      <c r="BQ126" s="79"/>
      <c r="BR126" s="79"/>
      <c r="BS126" s="80" t="s">
        <v>288</v>
      </c>
      <c r="BT126" s="80" t="s">
        <v>174</v>
      </c>
      <c r="BU126" s="89" t="s">
        <v>1104</v>
      </c>
      <c r="BV126" s="71"/>
      <c r="BW126" s="79" t="s">
        <v>152</v>
      </c>
      <c r="BX126" s="79" t="s">
        <v>179</v>
      </c>
      <c r="BY126" s="71"/>
      <c r="BZ126" s="79">
        <v>14</v>
      </c>
      <c r="CA126" s="79">
        <v>1</v>
      </c>
      <c r="CB126" s="79">
        <f t="shared" si="25"/>
        <v>15</v>
      </c>
      <c r="CC126" s="79" t="str">
        <f t="shared" si="59"/>
        <v>No Aplica</v>
      </c>
      <c r="CD126" s="79" t="s">
        <v>177</v>
      </c>
      <c r="CE126" s="79"/>
      <c r="CF126" s="79"/>
      <c r="CG126" s="83" t="s">
        <v>1105</v>
      </c>
      <c r="CH126" s="41"/>
      <c r="CI126" s="79" t="s">
        <v>153</v>
      </c>
      <c r="CJ126" s="71"/>
      <c r="CK126" s="79">
        <f t="shared" si="38"/>
        <v>0</v>
      </c>
      <c r="CL126" s="79"/>
      <c r="CM126" s="79"/>
      <c r="CN126" s="79"/>
      <c r="CO126" s="79"/>
      <c r="CP126" s="79"/>
      <c r="CQ126" s="79"/>
      <c r="CR126" s="83" t="s">
        <v>179</v>
      </c>
      <c r="CS126" s="83" t="s">
        <v>179</v>
      </c>
      <c r="CT126" s="83" t="s">
        <v>179</v>
      </c>
      <c r="CU126" s="83" t="s">
        <v>179</v>
      </c>
      <c r="CV126" s="83" t="s">
        <v>179</v>
      </c>
      <c r="CW126" s="83" t="s">
        <v>179</v>
      </c>
      <c r="CX126" s="79" t="s">
        <v>153</v>
      </c>
      <c r="CY126" s="79">
        <f t="shared" si="39"/>
        <v>0</v>
      </c>
      <c r="CZ126" s="79">
        <v>0</v>
      </c>
      <c r="DA126" s="79">
        <f t="shared" si="40"/>
        <v>0</v>
      </c>
      <c r="DB126" s="84" t="str">
        <f t="shared" si="46"/>
        <v/>
      </c>
      <c r="DC126" s="41"/>
      <c r="DD126" s="79" t="s">
        <v>153</v>
      </c>
      <c r="DE126" s="71"/>
      <c r="DF126" s="85" t="s">
        <v>1106</v>
      </c>
      <c r="DG126" s="79">
        <v>121</v>
      </c>
      <c r="DH126" s="86" t="str">
        <f t="shared" si="58"/>
        <v>Completo</v>
      </c>
      <c r="DI126" s="79" t="s">
        <v>181</v>
      </c>
      <c r="DJ126" s="79" t="s">
        <v>182</v>
      </c>
      <c r="DK126" s="79"/>
      <c r="DL126" s="79">
        <v>0</v>
      </c>
      <c r="DM126" s="79">
        <v>0</v>
      </c>
      <c r="DN126" s="79" t="s">
        <v>182</v>
      </c>
      <c r="DO126" s="79"/>
      <c r="DP126" s="79"/>
      <c r="DQ126" s="79"/>
      <c r="DR126" s="75" t="str">
        <f t="shared" si="47"/>
        <v>No aplica</v>
      </c>
      <c r="DS126" s="79"/>
      <c r="DT126" s="79"/>
      <c r="DU126" s="75" t="str">
        <f t="shared" si="48"/>
        <v>No aplica</v>
      </c>
      <c r="DV126" s="79" t="s">
        <v>182</v>
      </c>
      <c r="DW126" s="79" t="s">
        <v>182</v>
      </c>
      <c r="DX126" s="79"/>
      <c r="DY126" s="79"/>
      <c r="DZ126" s="79"/>
      <c r="EA126" s="79"/>
      <c r="EB126" s="79" t="s">
        <v>182</v>
      </c>
      <c r="EC126" s="79" t="s">
        <v>1107</v>
      </c>
      <c r="ED126" s="79" t="s">
        <v>249</v>
      </c>
      <c r="EE126" s="79" t="str">
        <f t="shared" si="62"/>
        <v>Completo</v>
      </c>
      <c r="EF126" s="41"/>
      <c r="EG126" s="79" t="s">
        <v>153</v>
      </c>
      <c r="EH126" s="71"/>
      <c r="EI126" s="80"/>
      <c r="EJ126" s="71"/>
      <c r="EK126" s="79" t="s">
        <v>179</v>
      </c>
      <c r="EL126" s="76" t="str">
        <f t="shared" si="49"/>
        <v>No requiere</v>
      </c>
      <c r="EM126" s="76" t="str">
        <f t="shared" si="50"/>
        <v>No requiere</v>
      </c>
      <c r="EN126" s="76" t="str">
        <f t="shared" si="60"/>
        <v>No requiere</v>
      </c>
      <c r="EO126" s="71"/>
      <c r="EP126" s="73" t="str">
        <f t="shared" si="51"/>
        <v>No requiere</v>
      </c>
      <c r="EQ126" s="77" t="str">
        <f t="shared" si="52"/>
        <v>No requiere</v>
      </c>
      <c r="ER126" s="71"/>
      <c r="ES126" s="79" t="s">
        <v>179</v>
      </c>
      <c r="ET126" s="73" t="str">
        <f t="shared" si="53"/>
        <v>No requiere</v>
      </c>
      <c r="EU126" s="73" t="str">
        <f t="shared" si="61"/>
        <v>No requiere</v>
      </c>
      <c r="EV126" s="73" t="str">
        <f t="shared" si="54"/>
        <v>No requiere</v>
      </c>
      <c r="EW126" s="73" t="str">
        <f t="shared" si="55"/>
        <v>No requiere</v>
      </c>
      <c r="EX126" s="78"/>
      <c r="EY126" s="78"/>
    </row>
    <row r="127" spans="1:155" ht="46.5" customHeight="1">
      <c r="A127" s="79">
        <v>123</v>
      </c>
      <c r="B127" s="80" t="s">
        <v>1108</v>
      </c>
      <c r="C127" s="81">
        <v>45366</v>
      </c>
      <c r="D127" s="82">
        <v>0.39583333333333331</v>
      </c>
      <c r="E127" s="79" t="s">
        <v>151</v>
      </c>
      <c r="F127" s="79" t="s">
        <v>153</v>
      </c>
      <c r="G127" s="79" t="s">
        <v>152</v>
      </c>
      <c r="H127" s="79" t="s">
        <v>152</v>
      </c>
      <c r="I127" s="79" t="s">
        <v>152</v>
      </c>
      <c r="J127" s="79" t="s">
        <v>154</v>
      </c>
      <c r="K127" s="79" t="s">
        <v>202</v>
      </c>
      <c r="L127" s="80" t="s">
        <v>577</v>
      </c>
      <c r="M127" s="80" t="s">
        <v>157</v>
      </c>
      <c r="N127" s="79" t="s">
        <v>373</v>
      </c>
      <c r="O127" s="80" t="str">
        <f t="shared" si="41"/>
        <v/>
      </c>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t="s">
        <v>169</v>
      </c>
      <c r="AP127" s="79" t="s">
        <v>170</v>
      </c>
      <c r="AQ127" s="83" t="s">
        <v>584</v>
      </c>
      <c r="AR127" s="83">
        <v>3143480013</v>
      </c>
      <c r="AS127" s="83" t="s">
        <v>585</v>
      </c>
      <c r="AT127" s="80" t="str">
        <f t="shared" si="42"/>
        <v>Distrital</v>
      </c>
      <c r="AU127" s="79" t="s">
        <v>172</v>
      </c>
      <c r="AV127" s="79"/>
      <c r="AW127" s="79"/>
      <c r="AX127" s="79"/>
      <c r="AY127" s="79"/>
      <c r="AZ127" s="79"/>
      <c r="BA127" s="80" t="str">
        <f t="shared" si="43"/>
        <v>Distrital</v>
      </c>
      <c r="BB127" s="79" t="s">
        <v>172</v>
      </c>
      <c r="BC127" s="79"/>
      <c r="BD127" s="79"/>
      <c r="BE127" s="79"/>
      <c r="BF127" s="79"/>
      <c r="BG127" s="79"/>
      <c r="BH127" s="80" t="str">
        <f t="shared" si="44"/>
        <v>Distrital</v>
      </c>
      <c r="BI127" s="79" t="s">
        <v>172</v>
      </c>
      <c r="BJ127" s="79"/>
      <c r="BK127" s="79"/>
      <c r="BL127" s="79"/>
      <c r="BM127" s="79"/>
      <c r="BN127" s="79"/>
      <c r="BO127" s="79"/>
      <c r="BP127" s="79"/>
      <c r="BQ127" s="79"/>
      <c r="BR127" s="79"/>
      <c r="BS127" s="80" t="s">
        <v>288</v>
      </c>
      <c r="BT127" s="80" t="s">
        <v>174</v>
      </c>
      <c r="BU127" s="89" t="s">
        <v>1109</v>
      </c>
      <c r="BV127" s="71"/>
      <c r="BW127" s="79" t="s">
        <v>153</v>
      </c>
      <c r="BX127" s="79" t="s">
        <v>176</v>
      </c>
      <c r="BY127" s="71"/>
      <c r="BZ127" s="79">
        <v>34</v>
      </c>
      <c r="CA127" s="79">
        <v>1</v>
      </c>
      <c r="CB127" s="79">
        <f t="shared" si="25"/>
        <v>35</v>
      </c>
      <c r="CC127" s="79" t="str">
        <f t="shared" si="59"/>
        <v>No Aplica</v>
      </c>
      <c r="CD127" s="79" t="s">
        <v>177</v>
      </c>
      <c r="CE127" s="79"/>
      <c r="CF127" s="79"/>
      <c r="CG127" s="83" t="s">
        <v>1110</v>
      </c>
      <c r="CH127" s="41"/>
      <c r="CI127" s="79" t="s">
        <v>153</v>
      </c>
      <c r="CJ127" s="71"/>
      <c r="CK127" s="79">
        <f t="shared" si="38"/>
        <v>0</v>
      </c>
      <c r="CL127" s="79"/>
      <c r="CM127" s="79"/>
      <c r="CN127" s="79"/>
      <c r="CO127" s="79"/>
      <c r="CP127" s="79"/>
      <c r="CQ127" s="79"/>
      <c r="CR127" s="83"/>
      <c r="CS127" s="83"/>
      <c r="CT127" s="83"/>
      <c r="CU127" s="83"/>
      <c r="CV127" s="83"/>
      <c r="CW127" s="83"/>
      <c r="CX127" s="79"/>
      <c r="CY127" s="79">
        <f t="shared" si="39"/>
        <v>0</v>
      </c>
      <c r="CZ127" s="79">
        <v>0</v>
      </c>
      <c r="DA127" s="79">
        <f t="shared" si="40"/>
        <v>0</v>
      </c>
      <c r="DB127" s="84" t="str">
        <f t="shared" si="46"/>
        <v/>
      </c>
      <c r="DC127" s="41"/>
      <c r="DD127" s="79" t="s">
        <v>153</v>
      </c>
      <c r="DE127" s="71"/>
      <c r="DF127" s="85" t="s">
        <v>1111</v>
      </c>
      <c r="DG127" s="79">
        <v>122</v>
      </c>
      <c r="DH127" s="86" t="str">
        <f t="shared" si="58"/>
        <v>Completo</v>
      </c>
      <c r="DI127" s="79" t="s">
        <v>181</v>
      </c>
      <c r="DJ127" s="79" t="s">
        <v>182</v>
      </c>
      <c r="DK127" s="79"/>
      <c r="DL127" s="79">
        <v>0</v>
      </c>
      <c r="DM127" s="79">
        <v>0</v>
      </c>
      <c r="DN127" s="79" t="s">
        <v>182</v>
      </c>
      <c r="DO127" s="79"/>
      <c r="DP127" s="79"/>
      <c r="DQ127" s="79"/>
      <c r="DR127" s="75" t="str">
        <f t="shared" si="47"/>
        <v>No aplica</v>
      </c>
      <c r="DS127" s="79"/>
      <c r="DT127" s="79"/>
      <c r="DU127" s="75" t="str">
        <f t="shared" si="48"/>
        <v>No aplica</v>
      </c>
      <c r="DV127" s="79" t="s">
        <v>182</v>
      </c>
      <c r="DW127" s="79" t="s">
        <v>191</v>
      </c>
      <c r="DX127" s="79"/>
      <c r="DY127" s="79"/>
      <c r="DZ127" s="79"/>
      <c r="EA127" s="79"/>
      <c r="EB127" s="79" t="s">
        <v>182</v>
      </c>
      <c r="EC127" s="79" t="s">
        <v>672</v>
      </c>
      <c r="ED127" s="79" t="s">
        <v>1017</v>
      </c>
      <c r="EE127" s="79" t="str">
        <f t="shared" si="62"/>
        <v>Completo</v>
      </c>
      <c r="EF127" s="41"/>
      <c r="EG127" s="79" t="s">
        <v>153</v>
      </c>
      <c r="EH127" s="71"/>
      <c r="EI127" s="80"/>
      <c r="EJ127" s="71"/>
      <c r="EK127" s="79" t="s">
        <v>179</v>
      </c>
      <c r="EL127" s="76" t="str">
        <f t="shared" si="49"/>
        <v>No requiere</v>
      </c>
      <c r="EM127" s="76" t="str">
        <f t="shared" si="50"/>
        <v>No requiere</v>
      </c>
      <c r="EN127" s="76" t="str">
        <f t="shared" si="60"/>
        <v>No requiere</v>
      </c>
      <c r="EO127" s="71"/>
      <c r="EP127" s="73" t="str">
        <f t="shared" si="51"/>
        <v>No requiere</v>
      </c>
      <c r="EQ127" s="77" t="str">
        <f t="shared" si="52"/>
        <v>No requiere</v>
      </c>
      <c r="ER127" s="71"/>
      <c r="ES127" s="79" t="s">
        <v>179</v>
      </c>
      <c r="ET127" s="73" t="str">
        <f t="shared" si="53"/>
        <v>No requiere</v>
      </c>
      <c r="EU127" s="73" t="str">
        <f t="shared" si="61"/>
        <v>No requiere</v>
      </c>
      <c r="EV127" s="73" t="str">
        <f t="shared" si="54"/>
        <v>No requiere</v>
      </c>
      <c r="EW127" s="73" t="str">
        <f t="shared" si="55"/>
        <v>No requiere</v>
      </c>
      <c r="EX127" s="78"/>
      <c r="EY127" s="78"/>
    </row>
    <row r="128" spans="1:155" ht="46.5" customHeight="1">
      <c r="A128" s="79">
        <v>124</v>
      </c>
      <c r="B128" s="80" t="s">
        <v>1112</v>
      </c>
      <c r="C128" s="81">
        <v>45366</v>
      </c>
      <c r="D128" s="82">
        <v>0.375</v>
      </c>
      <c r="E128" s="79" t="s">
        <v>200</v>
      </c>
      <c r="F128" s="79" t="s">
        <v>153</v>
      </c>
      <c r="G128" s="79" t="s">
        <v>152</v>
      </c>
      <c r="H128" s="79" t="s">
        <v>152</v>
      </c>
      <c r="I128" s="79" t="s">
        <v>152</v>
      </c>
      <c r="J128" s="79" t="s">
        <v>1113</v>
      </c>
      <c r="K128" s="79" t="s">
        <v>155</v>
      </c>
      <c r="L128" s="80" t="s">
        <v>1114</v>
      </c>
      <c r="M128" s="80" t="s">
        <v>157</v>
      </c>
      <c r="N128" s="79" t="s">
        <v>195</v>
      </c>
      <c r="O128" s="80" t="str">
        <f t="shared" si="41"/>
        <v/>
      </c>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t="s">
        <v>169</v>
      </c>
      <c r="AP128" s="79" t="s">
        <v>170</v>
      </c>
      <c r="AQ128" s="80" t="s">
        <v>171</v>
      </c>
      <c r="AR128" s="80" t="s">
        <v>171</v>
      </c>
      <c r="AS128" s="80" t="s">
        <v>1115</v>
      </c>
      <c r="AT128" s="80" t="str">
        <f t="shared" si="42"/>
        <v>Distrital</v>
      </c>
      <c r="AU128" s="79" t="s">
        <v>172</v>
      </c>
      <c r="AV128" s="79"/>
      <c r="AW128" s="79"/>
      <c r="AX128" s="79"/>
      <c r="AY128" s="79"/>
      <c r="AZ128" s="79"/>
      <c r="BA128" s="80" t="str">
        <f t="shared" si="43"/>
        <v>Distrital</v>
      </c>
      <c r="BB128" s="79" t="s">
        <v>172</v>
      </c>
      <c r="BC128" s="79"/>
      <c r="BD128" s="79"/>
      <c r="BE128" s="79"/>
      <c r="BF128" s="79"/>
      <c r="BG128" s="79"/>
      <c r="BH128" s="80" t="str">
        <f t="shared" si="44"/>
        <v>Distrital</v>
      </c>
      <c r="BI128" s="79" t="s">
        <v>172</v>
      </c>
      <c r="BJ128" s="79"/>
      <c r="BK128" s="79"/>
      <c r="BL128" s="79"/>
      <c r="BM128" s="79"/>
      <c r="BN128" s="79"/>
      <c r="BO128" s="79"/>
      <c r="BP128" s="79"/>
      <c r="BQ128" s="79"/>
      <c r="BR128" s="79"/>
      <c r="BS128" s="80" t="s">
        <v>288</v>
      </c>
      <c r="BT128" s="80" t="s">
        <v>174</v>
      </c>
      <c r="BU128" s="80" t="s">
        <v>322</v>
      </c>
      <c r="BV128" s="71"/>
      <c r="BW128" s="79" t="s">
        <v>153</v>
      </c>
      <c r="BX128" s="79" t="s">
        <v>176</v>
      </c>
      <c r="BY128" s="71"/>
      <c r="BZ128" s="79">
        <v>50</v>
      </c>
      <c r="CA128" s="79">
        <v>1</v>
      </c>
      <c r="CB128" s="79">
        <f t="shared" si="25"/>
        <v>51</v>
      </c>
      <c r="CC128" s="79" t="str">
        <f t="shared" si="59"/>
        <v>No Aplica</v>
      </c>
      <c r="CD128" s="79" t="s">
        <v>177</v>
      </c>
      <c r="CE128" s="79"/>
      <c r="CF128" s="79"/>
      <c r="CG128" s="83" t="s">
        <v>1116</v>
      </c>
      <c r="CH128" s="41"/>
      <c r="CI128" s="79" t="s">
        <v>153</v>
      </c>
      <c r="CJ128" s="71"/>
      <c r="CK128" s="79">
        <f t="shared" si="38"/>
        <v>0</v>
      </c>
      <c r="CL128" s="79"/>
      <c r="CM128" s="79"/>
      <c r="CN128" s="79"/>
      <c r="CO128" s="79"/>
      <c r="CP128" s="79"/>
      <c r="CQ128" s="79"/>
      <c r="CR128" s="83" t="s">
        <v>179</v>
      </c>
      <c r="CS128" s="83" t="s">
        <v>179</v>
      </c>
      <c r="CT128" s="83" t="s">
        <v>179</v>
      </c>
      <c r="CU128" s="83" t="s">
        <v>179</v>
      </c>
      <c r="CV128" s="83" t="s">
        <v>179</v>
      </c>
      <c r="CW128" s="83" t="s">
        <v>179</v>
      </c>
      <c r="CX128" s="79" t="s">
        <v>153</v>
      </c>
      <c r="CY128" s="79">
        <f t="shared" si="39"/>
        <v>0</v>
      </c>
      <c r="CZ128" s="79">
        <v>0</v>
      </c>
      <c r="DA128" s="79">
        <f t="shared" si="40"/>
        <v>0</v>
      </c>
      <c r="DB128" s="84" t="str">
        <f t="shared" si="46"/>
        <v/>
      </c>
      <c r="DC128" s="41"/>
      <c r="DD128" s="79" t="s">
        <v>153</v>
      </c>
      <c r="DE128" s="71"/>
      <c r="DF128" s="85" t="s">
        <v>1117</v>
      </c>
      <c r="DG128" s="79">
        <v>123</v>
      </c>
      <c r="DH128" s="86" t="str">
        <f t="shared" si="58"/>
        <v>Completo</v>
      </c>
      <c r="DI128" s="79" t="s">
        <v>181</v>
      </c>
      <c r="DJ128" s="79" t="s">
        <v>182</v>
      </c>
      <c r="DK128" s="79"/>
      <c r="DL128" s="79">
        <v>0</v>
      </c>
      <c r="DM128" s="79">
        <v>0</v>
      </c>
      <c r="DN128" s="79"/>
      <c r="DO128" s="79"/>
      <c r="DP128" s="79"/>
      <c r="DQ128" s="79"/>
      <c r="DR128" s="75" t="str">
        <f t="shared" si="47"/>
        <v>No aplica</v>
      </c>
      <c r="DS128" s="79"/>
      <c r="DT128" s="79"/>
      <c r="DU128" s="75" t="str">
        <f t="shared" si="48"/>
        <v>No aplica</v>
      </c>
      <c r="DV128" s="79" t="s">
        <v>182</v>
      </c>
      <c r="DW128" s="79" t="s">
        <v>182</v>
      </c>
      <c r="DX128" s="79"/>
      <c r="DY128" s="79"/>
      <c r="DZ128" s="79"/>
      <c r="EA128" s="79"/>
      <c r="EB128" s="79"/>
      <c r="EC128" s="79"/>
      <c r="ED128" s="79" t="s">
        <v>184</v>
      </c>
      <c r="EE128" s="79" t="str">
        <f t="shared" si="62"/>
        <v>Completo</v>
      </c>
      <c r="EF128" s="41"/>
      <c r="EG128" s="79" t="s">
        <v>153</v>
      </c>
      <c r="EH128" s="71"/>
      <c r="EI128" s="80"/>
      <c r="EJ128" s="71"/>
      <c r="EK128" s="79" t="s">
        <v>179</v>
      </c>
      <c r="EL128" s="76" t="str">
        <f t="shared" si="49"/>
        <v>No requiere</v>
      </c>
      <c r="EM128" s="76" t="str">
        <f t="shared" si="50"/>
        <v>No requiere</v>
      </c>
      <c r="EN128" s="76" t="str">
        <f t="shared" si="60"/>
        <v>No requiere</v>
      </c>
      <c r="EO128" s="71"/>
      <c r="EP128" s="73" t="str">
        <f t="shared" si="51"/>
        <v>No requiere</v>
      </c>
      <c r="EQ128" s="77" t="str">
        <f t="shared" si="52"/>
        <v>No requiere</v>
      </c>
      <c r="ER128" s="71"/>
      <c r="ES128" s="79" t="s">
        <v>179</v>
      </c>
      <c r="ET128" s="73" t="str">
        <f t="shared" si="53"/>
        <v>No requiere</v>
      </c>
      <c r="EU128" s="73" t="str">
        <f t="shared" si="61"/>
        <v>No requiere</v>
      </c>
      <c r="EV128" s="73" t="str">
        <f t="shared" si="54"/>
        <v>No requiere</v>
      </c>
      <c r="EW128" s="73" t="str">
        <f t="shared" si="55"/>
        <v>No requiere</v>
      </c>
      <c r="EX128" s="78"/>
      <c r="EY128" s="78"/>
    </row>
    <row r="129" spans="1:155" ht="46.5" customHeight="1">
      <c r="A129" s="79">
        <v>125</v>
      </c>
      <c r="B129" s="80" t="s">
        <v>1118</v>
      </c>
      <c r="C129" s="81">
        <v>45366</v>
      </c>
      <c r="D129" s="82">
        <v>0.6875</v>
      </c>
      <c r="E129" s="79" t="s">
        <v>151</v>
      </c>
      <c r="F129" s="79" t="s">
        <v>153</v>
      </c>
      <c r="G129" s="79" t="s">
        <v>152</v>
      </c>
      <c r="H129" s="79" t="s">
        <v>152</v>
      </c>
      <c r="I129" s="79" t="s">
        <v>152</v>
      </c>
      <c r="J129" s="79" t="s">
        <v>154</v>
      </c>
      <c r="K129" s="79" t="s">
        <v>202</v>
      </c>
      <c r="L129" s="80" t="s">
        <v>1119</v>
      </c>
      <c r="M129" s="80" t="s">
        <v>157</v>
      </c>
      <c r="N129" s="79" t="s">
        <v>887</v>
      </c>
      <c r="O129" s="80" t="str">
        <f t="shared" si="41"/>
        <v>Laura Camila Bechara, Luz Maritza Acero</v>
      </c>
      <c r="P129" s="79" t="s">
        <v>887</v>
      </c>
      <c r="Q129" s="79" t="s">
        <v>167</v>
      </c>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t="s">
        <v>304</v>
      </c>
      <c r="AP129" s="79"/>
      <c r="AQ129" s="80" t="s">
        <v>901</v>
      </c>
      <c r="AR129" s="83">
        <v>3159261429</v>
      </c>
      <c r="AS129" s="80" t="s">
        <v>902</v>
      </c>
      <c r="AT129" s="80" t="str">
        <f t="shared" si="42"/>
        <v>Distrital</v>
      </c>
      <c r="AU129" s="79" t="s">
        <v>172</v>
      </c>
      <c r="AV129" s="79"/>
      <c r="AW129" s="79"/>
      <c r="AX129" s="79"/>
      <c r="AY129" s="79"/>
      <c r="AZ129" s="79"/>
      <c r="BA129" s="80" t="str">
        <f t="shared" si="43"/>
        <v>Distrital</v>
      </c>
      <c r="BB129" s="79" t="s">
        <v>172</v>
      </c>
      <c r="BC129" s="79"/>
      <c r="BD129" s="79"/>
      <c r="BE129" s="79"/>
      <c r="BF129" s="79"/>
      <c r="BG129" s="79"/>
      <c r="BH129" s="80" t="str">
        <f t="shared" si="44"/>
        <v>Distrital</v>
      </c>
      <c r="BI129" s="79" t="s">
        <v>172</v>
      </c>
      <c r="BJ129" s="79"/>
      <c r="BK129" s="79"/>
      <c r="BL129" s="79"/>
      <c r="BM129" s="79"/>
      <c r="BN129" s="79"/>
      <c r="BO129" s="79"/>
      <c r="BP129" s="79"/>
      <c r="BQ129" s="79"/>
      <c r="BR129" s="79"/>
      <c r="BS129" s="80" t="s">
        <v>288</v>
      </c>
      <c r="BT129" s="80" t="s">
        <v>174</v>
      </c>
      <c r="BU129" s="80" t="s">
        <v>1120</v>
      </c>
      <c r="BV129" s="71"/>
      <c r="BW129" s="79" t="s">
        <v>153</v>
      </c>
      <c r="BX129" s="79" t="s">
        <v>176</v>
      </c>
      <c r="BY129" s="71"/>
      <c r="BZ129" s="79">
        <v>14</v>
      </c>
      <c r="CA129" s="79">
        <v>4</v>
      </c>
      <c r="CB129" s="79">
        <f t="shared" si="25"/>
        <v>18</v>
      </c>
      <c r="CC129" s="79" t="str">
        <f t="shared" si="59"/>
        <v>No Aplica</v>
      </c>
      <c r="CD129" s="79" t="s">
        <v>177</v>
      </c>
      <c r="CE129" s="79"/>
      <c r="CF129" s="79"/>
      <c r="CG129" s="83" t="s">
        <v>1121</v>
      </c>
      <c r="CH129" s="41"/>
      <c r="CI129" s="79" t="s">
        <v>153</v>
      </c>
      <c r="CJ129" s="71"/>
      <c r="CK129" s="79">
        <f t="shared" si="38"/>
        <v>0</v>
      </c>
      <c r="CL129" s="79"/>
      <c r="CM129" s="79"/>
      <c r="CN129" s="79"/>
      <c r="CO129" s="79"/>
      <c r="CP129" s="79"/>
      <c r="CQ129" s="79"/>
      <c r="CR129" s="83" t="s">
        <v>179</v>
      </c>
      <c r="CS129" s="83" t="s">
        <v>179</v>
      </c>
      <c r="CT129" s="83" t="s">
        <v>179</v>
      </c>
      <c r="CU129" s="83" t="s">
        <v>179</v>
      </c>
      <c r="CV129" s="83" t="s">
        <v>179</v>
      </c>
      <c r="CW129" s="83" t="s">
        <v>179</v>
      </c>
      <c r="CX129" s="79" t="s">
        <v>153</v>
      </c>
      <c r="CY129" s="79">
        <f t="shared" si="39"/>
        <v>0</v>
      </c>
      <c r="CZ129" s="79">
        <v>0</v>
      </c>
      <c r="DA129" s="79">
        <f t="shared" si="40"/>
        <v>0</v>
      </c>
      <c r="DB129" s="84" t="str">
        <f t="shared" si="46"/>
        <v/>
      </c>
      <c r="DC129" s="41"/>
      <c r="DD129" s="79" t="s">
        <v>153</v>
      </c>
      <c r="DE129" s="71"/>
      <c r="DF129" s="85" t="s">
        <v>1122</v>
      </c>
      <c r="DG129" s="79">
        <v>124</v>
      </c>
      <c r="DH129" s="86" t="str">
        <f t="shared" si="58"/>
        <v>Completo</v>
      </c>
      <c r="DI129" s="79" t="s">
        <v>181</v>
      </c>
      <c r="DJ129" s="79" t="s">
        <v>182</v>
      </c>
      <c r="DK129" s="79"/>
      <c r="DL129" s="79">
        <v>0</v>
      </c>
      <c r="DM129" s="79">
        <v>0</v>
      </c>
      <c r="DN129" s="79" t="s">
        <v>191</v>
      </c>
      <c r="DO129" s="79"/>
      <c r="DP129" s="79"/>
      <c r="DQ129" s="79"/>
      <c r="DR129" s="75" t="str">
        <f t="shared" si="47"/>
        <v>No aplica</v>
      </c>
      <c r="DS129" s="79"/>
      <c r="DT129" s="79"/>
      <c r="DU129" s="75" t="str">
        <f t="shared" si="48"/>
        <v>No aplica</v>
      </c>
      <c r="DV129" s="79" t="s">
        <v>182</v>
      </c>
      <c r="DW129" s="79" t="s">
        <v>191</v>
      </c>
      <c r="DX129" s="79"/>
      <c r="DY129" s="79"/>
      <c r="DZ129" s="79"/>
      <c r="EA129" s="79"/>
      <c r="EB129" s="79" t="s">
        <v>182</v>
      </c>
      <c r="EC129" s="79" t="s">
        <v>769</v>
      </c>
      <c r="ED129" s="79" t="s">
        <v>1123</v>
      </c>
      <c r="EE129" s="79" t="str">
        <f t="shared" si="62"/>
        <v>Completo</v>
      </c>
      <c r="EF129" s="41"/>
      <c r="EG129" s="79" t="s">
        <v>153</v>
      </c>
      <c r="EH129" s="71"/>
      <c r="EI129" s="80"/>
      <c r="EJ129" s="71"/>
      <c r="EK129" s="79" t="s">
        <v>179</v>
      </c>
      <c r="EL129" s="76" t="str">
        <f t="shared" si="49"/>
        <v>No requiere</v>
      </c>
      <c r="EM129" s="76" t="str">
        <f t="shared" si="50"/>
        <v>No requiere</v>
      </c>
      <c r="EN129" s="76" t="str">
        <f t="shared" si="60"/>
        <v>No requiere</v>
      </c>
      <c r="EO129" s="71"/>
      <c r="EP129" s="73" t="str">
        <f t="shared" si="51"/>
        <v>No requiere</v>
      </c>
      <c r="EQ129" s="77" t="str">
        <f t="shared" si="52"/>
        <v>No requiere</v>
      </c>
      <c r="ER129" s="71"/>
      <c r="ES129" s="79" t="s">
        <v>179</v>
      </c>
      <c r="ET129" s="73" t="str">
        <f t="shared" si="53"/>
        <v>No requiere</v>
      </c>
      <c r="EU129" s="73" t="str">
        <f t="shared" si="61"/>
        <v>No requiere</v>
      </c>
      <c r="EV129" s="73" t="str">
        <f t="shared" si="54"/>
        <v>No requiere</v>
      </c>
      <c r="EW129" s="73" t="str">
        <f t="shared" si="55"/>
        <v>No requiere</v>
      </c>
      <c r="EX129" s="78"/>
      <c r="EY129" s="78"/>
    </row>
    <row r="130" spans="1:155" ht="46.5" customHeight="1">
      <c r="A130" s="79">
        <v>126</v>
      </c>
      <c r="B130" s="80" t="s">
        <v>1124</v>
      </c>
      <c r="C130" s="81">
        <v>45366</v>
      </c>
      <c r="D130" s="82">
        <v>0.375</v>
      </c>
      <c r="E130" s="79" t="s">
        <v>151</v>
      </c>
      <c r="F130" s="79" t="s">
        <v>153</v>
      </c>
      <c r="G130" s="79" t="s">
        <v>152</v>
      </c>
      <c r="H130" s="79" t="s">
        <v>152</v>
      </c>
      <c r="I130" s="79" t="s">
        <v>152</v>
      </c>
      <c r="J130" s="79" t="s">
        <v>154</v>
      </c>
      <c r="K130" s="79" t="s">
        <v>155</v>
      </c>
      <c r="L130" s="80" t="s">
        <v>1065</v>
      </c>
      <c r="M130" s="80" t="s">
        <v>327</v>
      </c>
      <c r="N130" s="79" t="s">
        <v>1066</v>
      </c>
      <c r="O130" s="80" t="str">
        <f t="shared" si="41"/>
        <v>César Augusto Barrantes, Maria Alejandra Castañeda, Mateo López Narváez, Nicolás Enrique Moncaleano, Valentina González Pontón, Yohan David Díaz</v>
      </c>
      <c r="P130" s="79" t="s">
        <v>729</v>
      </c>
      <c r="Q130" s="79" t="s">
        <v>494</v>
      </c>
      <c r="R130" s="79" t="s">
        <v>523</v>
      </c>
      <c r="S130" s="79" t="s">
        <v>966</v>
      </c>
      <c r="T130" s="79" t="s">
        <v>329</v>
      </c>
      <c r="U130" s="79" t="s">
        <v>164</v>
      </c>
      <c r="V130" s="79"/>
      <c r="W130" s="79"/>
      <c r="X130" s="79"/>
      <c r="Y130" s="79"/>
      <c r="Z130" s="79"/>
      <c r="AA130" s="79"/>
      <c r="AB130" s="79"/>
      <c r="AC130" s="79"/>
      <c r="AD130" s="79"/>
      <c r="AE130" s="79"/>
      <c r="AF130" s="79"/>
      <c r="AG130" s="79"/>
      <c r="AH130" s="79"/>
      <c r="AI130" s="79"/>
      <c r="AJ130" s="79"/>
      <c r="AK130" s="79"/>
      <c r="AL130" s="79"/>
      <c r="AM130" s="79"/>
      <c r="AN130" s="79"/>
      <c r="AO130" s="79" t="s">
        <v>304</v>
      </c>
      <c r="AP130" s="79"/>
      <c r="AQ130" s="80" t="s">
        <v>1067</v>
      </c>
      <c r="AR130" s="83">
        <v>3103581233</v>
      </c>
      <c r="AS130" s="80" t="s">
        <v>1068</v>
      </c>
      <c r="AT130" s="80" t="str">
        <f t="shared" si="42"/>
        <v>Teusaquillo</v>
      </c>
      <c r="AU130" s="79" t="s">
        <v>1004</v>
      </c>
      <c r="AV130" s="79"/>
      <c r="AW130" s="79"/>
      <c r="AX130" s="79"/>
      <c r="AY130" s="79"/>
      <c r="AZ130" s="79"/>
      <c r="BA130" s="80" t="str">
        <f t="shared" si="43"/>
        <v>Distrital</v>
      </c>
      <c r="BB130" s="79" t="s">
        <v>172</v>
      </c>
      <c r="BC130" s="79"/>
      <c r="BD130" s="79"/>
      <c r="BE130" s="79"/>
      <c r="BF130" s="79"/>
      <c r="BG130" s="79"/>
      <c r="BH130" s="80" t="str">
        <f t="shared" si="44"/>
        <v>Distrital</v>
      </c>
      <c r="BI130" s="79" t="s">
        <v>172</v>
      </c>
      <c r="BJ130" s="79"/>
      <c r="BK130" s="79"/>
      <c r="BL130" s="79"/>
      <c r="BM130" s="79"/>
      <c r="BN130" s="79"/>
      <c r="BO130" s="79"/>
      <c r="BP130" s="79"/>
      <c r="BQ130" s="79"/>
      <c r="BR130" s="79"/>
      <c r="BS130" s="80" t="s">
        <v>288</v>
      </c>
      <c r="BT130" s="80" t="s">
        <v>174</v>
      </c>
      <c r="BU130" s="80" t="s">
        <v>1069</v>
      </c>
      <c r="BV130" s="71"/>
      <c r="BW130" s="79" t="s">
        <v>153</v>
      </c>
      <c r="BX130" s="79" t="s">
        <v>607</v>
      </c>
      <c r="BY130" s="71"/>
      <c r="BZ130" s="79">
        <v>50</v>
      </c>
      <c r="CA130" s="79">
        <v>3</v>
      </c>
      <c r="CB130" s="79">
        <f t="shared" si="25"/>
        <v>53</v>
      </c>
      <c r="CC130" s="79" t="str">
        <f t="shared" si="59"/>
        <v>No Aplica</v>
      </c>
      <c r="CD130" s="79" t="s">
        <v>177</v>
      </c>
      <c r="CE130" s="79"/>
      <c r="CF130" s="79"/>
      <c r="CG130" s="83" t="s">
        <v>1125</v>
      </c>
      <c r="CH130" s="41"/>
      <c r="CI130" s="79" t="s">
        <v>153</v>
      </c>
      <c r="CJ130" s="71"/>
      <c r="CK130" s="79">
        <f t="shared" si="38"/>
        <v>0</v>
      </c>
      <c r="CL130" s="79"/>
      <c r="CM130" s="79"/>
      <c r="CN130" s="79"/>
      <c r="CO130" s="79"/>
      <c r="CP130" s="79"/>
      <c r="CQ130" s="79"/>
      <c r="CR130" s="83" t="s">
        <v>179</v>
      </c>
      <c r="CS130" s="83" t="s">
        <v>179</v>
      </c>
      <c r="CT130" s="83" t="s">
        <v>179</v>
      </c>
      <c r="CU130" s="83" t="s">
        <v>179</v>
      </c>
      <c r="CV130" s="83" t="s">
        <v>179</v>
      </c>
      <c r="CW130" s="83" t="s">
        <v>179</v>
      </c>
      <c r="CX130" s="79" t="s">
        <v>153</v>
      </c>
      <c r="CY130" s="79">
        <f t="shared" si="39"/>
        <v>0</v>
      </c>
      <c r="CZ130" s="79">
        <v>0</v>
      </c>
      <c r="DA130" s="79">
        <f t="shared" si="40"/>
        <v>0</v>
      </c>
      <c r="DB130" s="84" t="str">
        <f t="shared" si="46"/>
        <v/>
      </c>
      <c r="DC130" s="41"/>
      <c r="DD130" s="79" t="s">
        <v>153</v>
      </c>
      <c r="DE130" s="71"/>
      <c r="DF130" s="85" t="s">
        <v>1126</v>
      </c>
      <c r="DG130" s="79">
        <v>125</v>
      </c>
      <c r="DH130" s="86" t="str">
        <f t="shared" si="58"/>
        <v>Completo</v>
      </c>
      <c r="DI130" s="79" t="s">
        <v>181</v>
      </c>
      <c r="DJ130" s="79" t="s">
        <v>182</v>
      </c>
      <c r="DK130" s="79"/>
      <c r="DL130" s="79">
        <v>0</v>
      </c>
      <c r="DM130" s="79">
        <v>0</v>
      </c>
      <c r="DN130" s="79" t="s">
        <v>182</v>
      </c>
      <c r="DO130" s="79"/>
      <c r="DP130" s="79"/>
      <c r="DQ130" s="79"/>
      <c r="DR130" s="75" t="str">
        <f t="shared" si="47"/>
        <v>No aplica</v>
      </c>
      <c r="DS130" s="79"/>
      <c r="DT130" s="79"/>
      <c r="DU130" s="75" t="str">
        <f t="shared" si="48"/>
        <v>No aplica</v>
      </c>
      <c r="DV130" s="79" t="s">
        <v>182</v>
      </c>
      <c r="DW130" s="79" t="s">
        <v>182</v>
      </c>
      <c r="DX130" s="79"/>
      <c r="DY130" s="79"/>
      <c r="DZ130" s="79"/>
      <c r="EA130" s="79"/>
      <c r="EB130" s="79"/>
      <c r="EC130" s="79"/>
      <c r="ED130" s="79" t="s">
        <v>249</v>
      </c>
      <c r="EE130" s="79" t="str">
        <f t="shared" si="62"/>
        <v>Completo</v>
      </c>
      <c r="EF130" s="41"/>
      <c r="EG130" s="79" t="s">
        <v>153</v>
      </c>
      <c r="EH130" s="71"/>
      <c r="EI130" s="80"/>
      <c r="EJ130" s="71"/>
      <c r="EK130" s="79" t="s">
        <v>179</v>
      </c>
      <c r="EL130" s="76" t="str">
        <f t="shared" si="49"/>
        <v>No requiere</v>
      </c>
      <c r="EM130" s="76" t="str">
        <f t="shared" si="50"/>
        <v>No requiere</v>
      </c>
      <c r="EN130" s="76" t="str">
        <f t="shared" si="60"/>
        <v>No requiere</v>
      </c>
      <c r="EO130" s="71"/>
      <c r="EP130" s="73" t="str">
        <f t="shared" si="51"/>
        <v>No requiere</v>
      </c>
      <c r="EQ130" s="77" t="str">
        <f t="shared" si="52"/>
        <v>No requiere</v>
      </c>
      <c r="ER130" s="71"/>
      <c r="ES130" s="79" t="s">
        <v>179</v>
      </c>
      <c r="ET130" s="73" t="str">
        <f t="shared" si="53"/>
        <v>No requiere</v>
      </c>
      <c r="EU130" s="73" t="str">
        <f t="shared" si="61"/>
        <v>No requiere</v>
      </c>
      <c r="EV130" s="73" t="str">
        <f t="shared" si="54"/>
        <v>No requiere</v>
      </c>
      <c r="EW130" s="73" t="str">
        <f t="shared" si="55"/>
        <v>No requiere</v>
      </c>
      <c r="EX130" s="78"/>
      <c r="EY130" s="78"/>
    </row>
    <row r="131" spans="1:155" ht="46.5" customHeight="1">
      <c r="A131" s="79">
        <v>127</v>
      </c>
      <c r="B131" s="80" t="s">
        <v>1127</v>
      </c>
      <c r="C131" s="81">
        <v>45366</v>
      </c>
      <c r="D131" s="82">
        <v>0.70833333333333337</v>
      </c>
      <c r="E131" s="79" t="s">
        <v>151</v>
      </c>
      <c r="F131" s="79" t="s">
        <v>153</v>
      </c>
      <c r="G131" s="79" t="s">
        <v>152</v>
      </c>
      <c r="H131" s="79" t="s">
        <v>152</v>
      </c>
      <c r="I131" s="79" t="s">
        <v>152</v>
      </c>
      <c r="J131" s="79" t="s">
        <v>154</v>
      </c>
      <c r="K131" s="79" t="s">
        <v>155</v>
      </c>
      <c r="L131" s="80" t="s">
        <v>1128</v>
      </c>
      <c r="M131" s="80" t="s">
        <v>157</v>
      </c>
      <c r="N131" s="79" t="s">
        <v>163</v>
      </c>
      <c r="O131" s="80" t="str">
        <f t="shared" si="41"/>
        <v>Manuel Fernando Vergara</v>
      </c>
      <c r="P131" s="79" t="s">
        <v>820</v>
      </c>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t="s">
        <v>304</v>
      </c>
      <c r="AP131" s="79"/>
      <c r="AQ131" s="80" t="s">
        <v>901</v>
      </c>
      <c r="AR131" s="83">
        <v>3159261429</v>
      </c>
      <c r="AS131" s="80" t="s">
        <v>902</v>
      </c>
      <c r="AT131" s="80" t="str">
        <f t="shared" si="42"/>
        <v>Distrital</v>
      </c>
      <c r="AU131" s="79" t="s">
        <v>172</v>
      </c>
      <c r="AV131" s="79"/>
      <c r="AW131" s="79"/>
      <c r="AX131" s="79"/>
      <c r="AY131" s="79"/>
      <c r="AZ131" s="79"/>
      <c r="BA131" s="80" t="str">
        <f t="shared" si="43"/>
        <v>Distrital</v>
      </c>
      <c r="BB131" s="79" t="s">
        <v>172</v>
      </c>
      <c r="BC131" s="79"/>
      <c r="BD131" s="79"/>
      <c r="BE131" s="79"/>
      <c r="BF131" s="79"/>
      <c r="BG131" s="79"/>
      <c r="BH131" s="80" t="str">
        <f t="shared" si="44"/>
        <v>Distrital</v>
      </c>
      <c r="BI131" s="79" t="s">
        <v>172</v>
      </c>
      <c r="BJ131" s="79"/>
      <c r="BK131" s="79"/>
      <c r="BL131" s="79"/>
      <c r="BM131" s="79"/>
      <c r="BN131" s="79"/>
      <c r="BO131" s="79"/>
      <c r="BP131" s="79"/>
      <c r="BQ131" s="79"/>
      <c r="BR131" s="79"/>
      <c r="BS131" s="80" t="s">
        <v>288</v>
      </c>
      <c r="BT131" s="80" t="s">
        <v>174</v>
      </c>
      <c r="BU131" s="80" t="s">
        <v>978</v>
      </c>
      <c r="BV131" s="71"/>
      <c r="BW131" s="79" t="s">
        <v>153</v>
      </c>
      <c r="BX131" s="79" t="s">
        <v>176</v>
      </c>
      <c r="BY131" s="71"/>
      <c r="BZ131" s="79">
        <v>24</v>
      </c>
      <c r="CA131" s="79">
        <v>2</v>
      </c>
      <c r="CB131" s="79">
        <f t="shared" si="25"/>
        <v>26</v>
      </c>
      <c r="CC131" s="79" t="str">
        <f t="shared" si="59"/>
        <v>No Aplica</v>
      </c>
      <c r="CD131" s="79" t="s">
        <v>177</v>
      </c>
      <c r="CE131" s="79"/>
      <c r="CF131" s="79"/>
      <c r="CG131" s="83" t="s">
        <v>1129</v>
      </c>
      <c r="CH131" s="41"/>
      <c r="CI131" s="79" t="s">
        <v>153</v>
      </c>
      <c r="CJ131" s="71"/>
      <c r="CK131" s="79">
        <f t="shared" si="38"/>
        <v>0</v>
      </c>
      <c r="CL131" s="79"/>
      <c r="CM131" s="79"/>
      <c r="CN131" s="79"/>
      <c r="CO131" s="79"/>
      <c r="CP131" s="79"/>
      <c r="CQ131" s="79"/>
      <c r="CR131" s="83" t="s">
        <v>179</v>
      </c>
      <c r="CS131" s="83" t="s">
        <v>179</v>
      </c>
      <c r="CT131" s="83" t="s">
        <v>179</v>
      </c>
      <c r="CU131" s="83" t="s">
        <v>179</v>
      </c>
      <c r="CV131" s="83" t="s">
        <v>179</v>
      </c>
      <c r="CW131" s="83" t="s">
        <v>179</v>
      </c>
      <c r="CX131" s="79" t="s">
        <v>153</v>
      </c>
      <c r="CY131" s="79">
        <f t="shared" si="39"/>
        <v>0</v>
      </c>
      <c r="CZ131" s="79">
        <v>0</v>
      </c>
      <c r="DA131" s="79">
        <f t="shared" si="40"/>
        <v>0</v>
      </c>
      <c r="DB131" s="84" t="str">
        <f t="shared" si="46"/>
        <v/>
      </c>
      <c r="DC131" s="41"/>
      <c r="DD131" s="79" t="s">
        <v>153</v>
      </c>
      <c r="DE131" s="71"/>
      <c r="DF131" s="85" t="s">
        <v>1130</v>
      </c>
      <c r="DG131" s="79">
        <v>126</v>
      </c>
      <c r="DH131" s="86" t="str">
        <f t="shared" si="58"/>
        <v>Completo</v>
      </c>
      <c r="DI131" s="79" t="s">
        <v>181</v>
      </c>
      <c r="DJ131" s="79" t="s">
        <v>182</v>
      </c>
      <c r="DK131" s="79"/>
      <c r="DL131" s="79">
        <v>0</v>
      </c>
      <c r="DM131" s="79">
        <v>0</v>
      </c>
      <c r="DN131" s="79" t="s">
        <v>182</v>
      </c>
      <c r="DO131" s="79"/>
      <c r="DP131" s="79"/>
      <c r="DQ131" s="79"/>
      <c r="DR131" s="75" t="str">
        <f t="shared" si="47"/>
        <v>No aplica</v>
      </c>
      <c r="DS131" s="79"/>
      <c r="DT131" s="79"/>
      <c r="DU131" s="75" t="str">
        <f t="shared" si="48"/>
        <v>No aplica</v>
      </c>
      <c r="DV131" s="79" t="s">
        <v>182</v>
      </c>
      <c r="DW131" s="79" t="s">
        <v>191</v>
      </c>
      <c r="DX131" s="79"/>
      <c r="DY131" s="79"/>
      <c r="DZ131" s="79"/>
      <c r="EA131" s="79"/>
      <c r="EB131" s="79" t="s">
        <v>182</v>
      </c>
      <c r="EC131" s="79" t="s">
        <v>1090</v>
      </c>
      <c r="ED131" s="79" t="s">
        <v>1091</v>
      </c>
      <c r="EE131" s="79" t="str">
        <f t="shared" si="62"/>
        <v>Completo</v>
      </c>
      <c r="EF131" s="41"/>
      <c r="EG131" s="79" t="s">
        <v>153</v>
      </c>
      <c r="EH131" s="71"/>
      <c r="EI131" s="80"/>
      <c r="EJ131" s="71"/>
      <c r="EK131" s="79" t="s">
        <v>179</v>
      </c>
      <c r="EL131" s="76" t="str">
        <f t="shared" si="49"/>
        <v>No requiere</v>
      </c>
      <c r="EM131" s="76" t="str">
        <f t="shared" si="50"/>
        <v>No requiere</v>
      </c>
      <c r="EN131" s="76" t="str">
        <f t="shared" si="60"/>
        <v>No requiere</v>
      </c>
      <c r="EO131" s="71"/>
      <c r="EP131" s="73" t="str">
        <f t="shared" si="51"/>
        <v>No requiere</v>
      </c>
      <c r="EQ131" s="77" t="str">
        <f t="shared" si="52"/>
        <v>No requiere</v>
      </c>
      <c r="ER131" s="71"/>
      <c r="ES131" s="79" t="s">
        <v>179</v>
      </c>
      <c r="ET131" s="73" t="str">
        <f t="shared" si="53"/>
        <v>No requiere</v>
      </c>
      <c r="EU131" s="73" t="str">
        <f t="shared" si="61"/>
        <v>No requiere</v>
      </c>
      <c r="EV131" s="73" t="str">
        <f t="shared" si="54"/>
        <v>No requiere</v>
      </c>
      <c r="EW131" s="73" t="str">
        <f t="shared" si="55"/>
        <v>No requiere</v>
      </c>
      <c r="EX131" s="78"/>
      <c r="EY131" s="78"/>
    </row>
    <row r="132" spans="1:155" ht="46.5" customHeight="1">
      <c r="A132" s="79">
        <v>128</v>
      </c>
      <c r="B132" s="80" t="s">
        <v>1131</v>
      </c>
      <c r="C132" s="81">
        <v>45366</v>
      </c>
      <c r="D132" s="82">
        <v>0.70833333333333337</v>
      </c>
      <c r="E132" s="79" t="s">
        <v>200</v>
      </c>
      <c r="F132" s="79" t="s">
        <v>153</v>
      </c>
      <c r="G132" s="79" t="s">
        <v>152</v>
      </c>
      <c r="H132" s="79" t="s">
        <v>152</v>
      </c>
      <c r="I132" s="79" t="s">
        <v>152</v>
      </c>
      <c r="J132" s="79" t="s">
        <v>211</v>
      </c>
      <c r="K132" s="79" t="s">
        <v>202</v>
      </c>
      <c r="L132" s="80" t="s">
        <v>1132</v>
      </c>
      <c r="M132" s="80" t="s">
        <v>624</v>
      </c>
      <c r="N132" s="79" t="s">
        <v>253</v>
      </c>
      <c r="O132" s="80" t="str">
        <f t="shared" si="41"/>
        <v>PENDIENTE, PENDIENTE</v>
      </c>
      <c r="P132" s="79" t="s">
        <v>196</v>
      </c>
      <c r="Q132" s="79" t="s">
        <v>196</v>
      </c>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t="s">
        <v>230</v>
      </c>
      <c r="AP132" s="79" t="s">
        <v>242</v>
      </c>
      <c r="AQ132" s="80" t="s">
        <v>625</v>
      </c>
      <c r="AR132" s="83">
        <v>3188799909</v>
      </c>
      <c r="AS132" s="80" t="s">
        <v>839</v>
      </c>
      <c r="AT132" s="80" t="str">
        <f t="shared" si="42"/>
        <v>Distrital</v>
      </c>
      <c r="AU132" s="79" t="s">
        <v>172</v>
      </c>
      <c r="AV132" s="79"/>
      <c r="AW132" s="79"/>
      <c r="AX132" s="79"/>
      <c r="AY132" s="79"/>
      <c r="AZ132" s="79"/>
      <c r="BA132" s="80" t="str">
        <f t="shared" si="43"/>
        <v>Distrital</v>
      </c>
      <c r="BB132" s="79" t="s">
        <v>172</v>
      </c>
      <c r="BC132" s="79"/>
      <c r="BD132" s="79"/>
      <c r="BE132" s="79"/>
      <c r="BF132" s="79"/>
      <c r="BG132" s="79"/>
      <c r="BH132" s="80" t="str">
        <f t="shared" si="44"/>
        <v>Distrital</v>
      </c>
      <c r="BI132" s="79" t="s">
        <v>172</v>
      </c>
      <c r="BJ132" s="79"/>
      <c r="BK132" s="79"/>
      <c r="BL132" s="79"/>
      <c r="BM132" s="79"/>
      <c r="BN132" s="79"/>
      <c r="BO132" s="79"/>
      <c r="BP132" s="79"/>
      <c r="BQ132" s="79"/>
      <c r="BR132" s="79"/>
      <c r="BS132" s="80" t="s">
        <v>288</v>
      </c>
      <c r="BT132" s="80" t="s">
        <v>174</v>
      </c>
      <c r="BU132" s="89" t="s">
        <v>1133</v>
      </c>
      <c r="BV132" s="71"/>
      <c r="BW132" s="79" t="s">
        <v>152</v>
      </c>
      <c r="BX132" s="79" t="s">
        <v>179</v>
      </c>
      <c r="BY132" s="71"/>
      <c r="BZ132" s="79">
        <v>62</v>
      </c>
      <c r="CA132" s="79">
        <v>1</v>
      </c>
      <c r="CB132" s="79">
        <f t="shared" si="25"/>
        <v>63</v>
      </c>
      <c r="CC132" s="79" t="str">
        <f t="shared" si="59"/>
        <v>No Aplica</v>
      </c>
      <c r="CD132" s="79" t="s">
        <v>177</v>
      </c>
      <c r="CE132" s="79"/>
      <c r="CF132" s="79"/>
      <c r="CG132" s="83" t="s">
        <v>1134</v>
      </c>
      <c r="CH132" s="41"/>
      <c r="CI132" s="79" t="s">
        <v>153</v>
      </c>
      <c r="CJ132" s="71"/>
      <c r="CK132" s="79">
        <f t="shared" si="38"/>
        <v>0</v>
      </c>
      <c r="CL132" s="79"/>
      <c r="CM132" s="79"/>
      <c r="CN132" s="79"/>
      <c r="CO132" s="79"/>
      <c r="CP132" s="79"/>
      <c r="CQ132" s="79"/>
      <c r="CR132" s="83" t="s">
        <v>179</v>
      </c>
      <c r="CS132" s="83" t="s">
        <v>179</v>
      </c>
      <c r="CT132" s="83" t="s">
        <v>179</v>
      </c>
      <c r="CU132" s="83" t="s">
        <v>179</v>
      </c>
      <c r="CV132" s="83" t="s">
        <v>179</v>
      </c>
      <c r="CW132" s="83" t="s">
        <v>179</v>
      </c>
      <c r="CX132" s="79" t="s">
        <v>153</v>
      </c>
      <c r="CY132" s="79">
        <f t="shared" si="39"/>
        <v>0</v>
      </c>
      <c r="CZ132" s="79">
        <v>0</v>
      </c>
      <c r="DA132" s="79">
        <f t="shared" si="40"/>
        <v>0</v>
      </c>
      <c r="DB132" s="84" t="str">
        <f t="shared" si="46"/>
        <v/>
      </c>
      <c r="DC132" s="41"/>
      <c r="DD132" s="79" t="s">
        <v>153</v>
      </c>
      <c r="DE132" s="71"/>
      <c r="DF132" s="85" t="s">
        <v>1135</v>
      </c>
      <c r="DG132" s="79">
        <v>127</v>
      </c>
      <c r="DH132" s="86" t="str">
        <f t="shared" si="58"/>
        <v>Completo</v>
      </c>
      <c r="DI132" s="79" t="s">
        <v>181</v>
      </c>
      <c r="DJ132" s="79" t="s">
        <v>182</v>
      </c>
      <c r="DK132" s="79"/>
      <c r="DL132" s="79">
        <v>0</v>
      </c>
      <c r="DM132" s="79">
        <v>0</v>
      </c>
      <c r="DN132" s="79" t="s">
        <v>182</v>
      </c>
      <c r="DO132" s="79"/>
      <c r="DP132" s="79"/>
      <c r="DQ132" s="79"/>
      <c r="DR132" s="75" t="str">
        <f t="shared" si="47"/>
        <v>No aplica</v>
      </c>
      <c r="DS132" s="79"/>
      <c r="DT132" s="79"/>
      <c r="DU132" s="75" t="str">
        <f t="shared" si="48"/>
        <v>No aplica</v>
      </c>
      <c r="DV132" s="79" t="s">
        <v>182</v>
      </c>
      <c r="DW132" s="79" t="s">
        <v>182</v>
      </c>
      <c r="DX132" s="79"/>
      <c r="DY132" s="79"/>
      <c r="DZ132" s="79"/>
      <c r="EA132" s="79"/>
      <c r="EB132" s="79" t="s">
        <v>182</v>
      </c>
      <c r="EC132" s="79" t="s">
        <v>1136</v>
      </c>
      <c r="ED132" s="79" t="s">
        <v>184</v>
      </c>
      <c r="EE132" s="79" t="str">
        <f t="shared" si="62"/>
        <v>Completo</v>
      </c>
      <c r="EF132" s="41"/>
      <c r="EG132" s="79" t="s">
        <v>153</v>
      </c>
      <c r="EH132" s="71"/>
      <c r="EI132" s="80"/>
      <c r="EJ132" s="71"/>
      <c r="EK132" s="79" t="s">
        <v>179</v>
      </c>
      <c r="EL132" s="76" t="str">
        <f t="shared" si="49"/>
        <v>No requiere</v>
      </c>
      <c r="EM132" s="76" t="str">
        <f t="shared" si="50"/>
        <v>No requiere</v>
      </c>
      <c r="EN132" s="76" t="str">
        <f t="shared" si="60"/>
        <v>No requiere</v>
      </c>
      <c r="EO132" s="71"/>
      <c r="EP132" s="73" t="str">
        <f t="shared" si="51"/>
        <v>No requiere</v>
      </c>
      <c r="EQ132" s="77" t="str">
        <f t="shared" si="52"/>
        <v>No requiere</v>
      </c>
      <c r="ER132" s="71"/>
      <c r="ES132" s="79" t="s">
        <v>179</v>
      </c>
      <c r="ET132" s="73" t="str">
        <f t="shared" si="53"/>
        <v>No requiere</v>
      </c>
      <c r="EU132" s="73" t="str">
        <f t="shared" si="61"/>
        <v>No requiere</v>
      </c>
      <c r="EV132" s="73" t="str">
        <f t="shared" si="54"/>
        <v>No requiere</v>
      </c>
      <c r="EW132" s="73" t="str">
        <f t="shared" si="55"/>
        <v>No requiere</v>
      </c>
      <c r="EX132" s="78"/>
      <c r="EY132" s="78"/>
    </row>
    <row r="133" spans="1:155" ht="46.5" customHeight="1">
      <c r="A133" s="79">
        <v>129</v>
      </c>
      <c r="B133" s="80" t="s">
        <v>1137</v>
      </c>
      <c r="C133" s="81">
        <v>45367</v>
      </c>
      <c r="D133" s="82">
        <v>0.35416666666666669</v>
      </c>
      <c r="E133" s="79" t="s">
        <v>853</v>
      </c>
      <c r="F133" s="79" t="s">
        <v>153</v>
      </c>
      <c r="G133" s="79" t="s">
        <v>152</v>
      </c>
      <c r="H133" s="79" t="s">
        <v>152</v>
      </c>
      <c r="I133" s="79" t="s">
        <v>152</v>
      </c>
      <c r="J133" s="79" t="s">
        <v>154</v>
      </c>
      <c r="K133" s="79" t="s">
        <v>155</v>
      </c>
      <c r="L133" s="80" t="s">
        <v>1138</v>
      </c>
      <c r="M133" s="80" t="s">
        <v>241</v>
      </c>
      <c r="N133" s="79" t="s">
        <v>801</v>
      </c>
      <c r="O133" s="80" t="str">
        <f t="shared" ref="O133:O196" si="63">_xlfn.TEXTJOIN(", ",TRUE,P133:AN133)</f>
        <v/>
      </c>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t="s">
        <v>230</v>
      </c>
      <c r="AP133" s="79" t="s">
        <v>925</v>
      </c>
      <c r="AQ133" s="80" t="s">
        <v>1139</v>
      </c>
      <c r="AR133" s="83">
        <v>3112391335</v>
      </c>
      <c r="AS133" s="80" t="s">
        <v>1140</v>
      </c>
      <c r="AT133" s="80" t="str">
        <f t="shared" ref="AT133:AT196" si="64">_xlfn.TEXTJOIN(", ",TRUE,$AU133:$AY133)</f>
        <v>Distrital</v>
      </c>
      <c r="AU133" s="79" t="s">
        <v>172</v>
      </c>
      <c r="AV133" s="79"/>
      <c r="AW133" s="79"/>
      <c r="AX133" s="79"/>
      <c r="AY133" s="79"/>
      <c r="AZ133" s="79"/>
      <c r="BA133" s="80" t="str">
        <f t="shared" ref="BA133:BA196" si="65">_xlfn.TEXTJOIN(", ",TRUE,$BB133:$BG133)</f>
        <v>Distrital</v>
      </c>
      <c r="BB133" s="79" t="s">
        <v>172</v>
      </c>
      <c r="BC133" s="79"/>
      <c r="BD133" s="79"/>
      <c r="BE133" s="79"/>
      <c r="BF133" s="79"/>
      <c r="BG133" s="79"/>
      <c r="BH133" s="80" t="str">
        <f t="shared" ref="BH133:BH196" si="66">_xlfn.TEXTJOIN(", ",TRUE,$BI133:$BR133)</f>
        <v>Distrital</v>
      </c>
      <c r="BI133" s="79" t="s">
        <v>172</v>
      </c>
      <c r="BJ133" s="79"/>
      <c r="BK133" s="79"/>
      <c r="BL133" s="79"/>
      <c r="BM133" s="79"/>
      <c r="BN133" s="79"/>
      <c r="BO133" s="79"/>
      <c r="BP133" s="79"/>
      <c r="BQ133" s="79"/>
      <c r="BR133" s="79"/>
      <c r="BS133" s="80" t="s">
        <v>288</v>
      </c>
      <c r="BT133" s="80" t="s">
        <v>376</v>
      </c>
      <c r="BU133" s="80" t="s">
        <v>1141</v>
      </c>
      <c r="BV133" s="71"/>
      <c r="BW133" s="79" t="s">
        <v>153</v>
      </c>
      <c r="BX133" s="79" t="s">
        <v>607</v>
      </c>
      <c r="BY133" s="71"/>
      <c r="BZ133" s="79">
        <v>25</v>
      </c>
      <c r="CA133" s="79">
        <v>13</v>
      </c>
      <c r="CB133" s="79">
        <f t="shared" ref="CB133" si="67">BZ133+CA133</f>
        <v>38</v>
      </c>
      <c r="CC133" s="79" t="str">
        <f t="shared" ref="CC133" si="68">_xlfn.TEXTJOIN(", ",TRUE,$CD133:$CF133)</f>
        <v>Lenguaje de señas</v>
      </c>
      <c r="CD133" s="79" t="s">
        <v>349</v>
      </c>
      <c r="CE133" s="79"/>
      <c r="CF133" s="79"/>
      <c r="CG133" s="83" t="s">
        <v>1142</v>
      </c>
      <c r="CH133" s="41"/>
      <c r="CI133" s="79" t="s">
        <v>153</v>
      </c>
      <c r="CJ133" s="71"/>
      <c r="CK133" s="79">
        <f t="shared" si="38"/>
        <v>0</v>
      </c>
      <c r="CL133" s="79"/>
      <c r="CM133" s="79"/>
      <c r="CN133" s="79"/>
      <c r="CO133" s="79"/>
      <c r="CP133" s="79"/>
      <c r="CQ133" s="79"/>
      <c r="CR133" s="83" t="s">
        <v>179</v>
      </c>
      <c r="CS133" s="83" t="s">
        <v>179</v>
      </c>
      <c r="CT133" s="83" t="s">
        <v>179</v>
      </c>
      <c r="CU133" s="83" t="s">
        <v>179</v>
      </c>
      <c r="CV133" s="83" t="s">
        <v>179</v>
      </c>
      <c r="CW133" s="83" t="s">
        <v>179</v>
      </c>
      <c r="CX133" s="79" t="s">
        <v>153</v>
      </c>
      <c r="CY133" s="79">
        <f t="shared" si="39"/>
        <v>0</v>
      </c>
      <c r="CZ133" s="79">
        <v>0</v>
      </c>
      <c r="DA133" s="79">
        <f t="shared" ref="DA133" si="69">COUNTIF(CR133:CW133,"Realizado y Devuelto a la Ciudadanía")</f>
        <v>0</v>
      </c>
      <c r="DB133" s="84" t="str">
        <f t="shared" si="46"/>
        <v/>
      </c>
      <c r="DC133" s="41"/>
      <c r="DD133" s="79" t="s">
        <v>153</v>
      </c>
      <c r="DE133" s="71"/>
      <c r="DF133" s="85" t="s">
        <v>1143</v>
      </c>
      <c r="DG133" s="79"/>
      <c r="DH133" s="86" t="str">
        <f t="shared" si="58"/>
        <v>Completo</v>
      </c>
      <c r="DI133" s="79" t="s">
        <v>181</v>
      </c>
      <c r="DJ133" s="79" t="s">
        <v>182</v>
      </c>
      <c r="DK133" s="79"/>
      <c r="DL133" s="79">
        <v>0</v>
      </c>
      <c r="DM133" s="79">
        <v>0</v>
      </c>
      <c r="DN133" s="79" t="s">
        <v>182</v>
      </c>
      <c r="DO133" s="79"/>
      <c r="DP133" s="79"/>
      <c r="DQ133" s="79"/>
      <c r="DR133" s="75" t="str">
        <f t="shared" ref="DR133:DR196" si="70">IF(H133="SÍ", (DQ133/(BZ133*0.3)), "No aplica")</f>
        <v>No aplica</v>
      </c>
      <c r="DS133" s="79"/>
      <c r="DT133" s="79"/>
      <c r="DU133" s="75" t="str">
        <f t="shared" ref="DU133:DU196" si="71">IF(H133="SÍ", (DT133/(BZ133*0.35)), "No aplica")</f>
        <v>No aplica</v>
      </c>
      <c r="DV133" s="79" t="s">
        <v>182</v>
      </c>
      <c r="DW133" s="79" t="s">
        <v>182</v>
      </c>
      <c r="DX133" s="79"/>
      <c r="DY133" s="79"/>
      <c r="DZ133" s="79" t="s">
        <v>1144</v>
      </c>
      <c r="EA133" s="79"/>
      <c r="EB133" s="79"/>
      <c r="EC133" s="79"/>
      <c r="ED133" s="79" t="s">
        <v>1145</v>
      </c>
      <c r="EE133" s="79" t="str">
        <f t="shared" si="62"/>
        <v>Completo</v>
      </c>
      <c r="EF133" s="41"/>
      <c r="EG133" s="79" t="s">
        <v>153</v>
      </c>
      <c r="EH133" s="71"/>
      <c r="EI133" s="80"/>
      <c r="EJ133" s="71"/>
      <c r="EK133" s="79"/>
      <c r="EL133" s="87" t="str">
        <f t="shared" ref="EL133:EL196" si="72">IF(F133="NO","No requiere",IF(H133="No","No requiere",IF(DW133="","",IF(DW133&lt;&gt;"No aplica",IF(DX133&lt;&gt;"No aplica",IF(DX133&gt;=2,"Sí","No"),"No aplica"),"No aplica"))))</f>
        <v>No requiere</v>
      </c>
      <c r="EM133" s="87" t="str">
        <f t="shared" ref="EM133:EM196" si="73">IF(F133="NO","No requiere",IF(H133="No","No requiere",IF(DW133="","",IF(DW133&lt;&gt;"No aplica",IF(DY133&lt;&gt;"No aplica",IF(DY133&gt;=1,"Sí","No"),"No aplica"),"No aplica"))))</f>
        <v>No requiere</v>
      </c>
      <c r="EN133" s="87" t="str">
        <f t="shared" ref="EN133" si="74">IF(F133="NO","No requiere",IF(H133="No","No requiere",IF(CC133="","",IF(CD133&lt;&gt;"No aplica",IF(CD133&lt;&gt;"Ninguna",IF(COUNTIF(CD133:CF133,"*")&gt;=1,"Sí","No"),"No"),"No aplica"))))</f>
        <v>No requiere</v>
      </c>
      <c r="EO133" s="71"/>
      <c r="EP133" s="84" t="str">
        <f t="shared" ref="EP133:EP196" si="75">IF(F133="NO","No requiere",IF(H133="No","No requiere",IF(DL133="","",IF(DL133&gt;=1,DM133/DL133,"No aplica"))))</f>
        <v>No requiere</v>
      </c>
      <c r="EQ133" s="88" t="str">
        <f t="shared" ref="EQ133:EQ196" si="76">IFERROR(IF(F133="NO","No requiere",IF(H133="No","No requiere",DU133)),"")</f>
        <v>No requiere</v>
      </c>
      <c r="ER133" s="71"/>
      <c r="ES133" s="79"/>
      <c r="ET133" s="84" t="str">
        <f t="shared" ref="ET133:ET196" si="77">IF(F133="NO","No requiere",IF(H133="No","No requiere",IFERROR(COUNTIF(DJ133:DW133,"Completo")/SUM(COUNTIF(DJ133:DW133,"Completo"),COUNTIF(DJ133:DW133,"Incompleto"),COUNTIF(DJ133:DW133,"No subido"),COUNTIF(DJ133:DW133,"No existente"),COUNTIF(DJ133:DW133,"Pendiente")),"")))</f>
        <v>No requiere</v>
      </c>
      <c r="EU133" s="84" t="str">
        <f t="shared" ref="EU133" si="78">IF(F133="NO","No requiere",IF(H133="No","No requiere",IF(B133="","",IF(CX133="SÍ",IF(CK133&gt;=1,CY133/CK133,"Sin compromisos"),"Por verificar"))))</f>
        <v>No requiere</v>
      </c>
      <c r="EV133" s="84" t="str">
        <f t="shared" ref="EV133:EV196" si="79">IF(EU133="Por verificar","Por verificar",IF(F133="NO","No requiere",IF(H133="No","No requiere",IFERROR(IF(EU133="","",IF(CK133&gt;=1,DA133/CZ133,"No aplica")),"No aplica"))))</f>
        <v>No requiere</v>
      </c>
      <c r="EW133" s="84" t="str">
        <f t="shared" ref="EW133:EW196" si="80">IF(F133="NO","No requiere",IF(H133="No","No requiere",IFERROR(IF(BZ133="","",IF(EA133&lt;&gt;"No aplica",IF(EA133&gt;=1,DO133/EA133,"0%"),"No aplica")),"")))</f>
        <v>No requiere</v>
      </c>
      <c r="EX133" s="78"/>
      <c r="EY133" s="78"/>
    </row>
    <row r="134" spans="1:155" ht="46.5" customHeight="1">
      <c r="A134" s="79">
        <v>130</v>
      </c>
      <c r="B134" s="80" t="s">
        <v>1146</v>
      </c>
      <c r="C134" s="81">
        <v>45367</v>
      </c>
      <c r="D134" s="82">
        <v>0.375</v>
      </c>
      <c r="E134" s="79" t="s">
        <v>151</v>
      </c>
      <c r="F134" s="79" t="s">
        <v>153</v>
      </c>
      <c r="G134" s="79" t="s">
        <v>153</v>
      </c>
      <c r="H134" s="79" t="s">
        <v>153</v>
      </c>
      <c r="I134" s="79" t="s">
        <v>152</v>
      </c>
      <c r="J134" s="79" t="s">
        <v>154</v>
      </c>
      <c r="K134" s="79" t="s">
        <v>155</v>
      </c>
      <c r="L134" s="80" t="s">
        <v>600</v>
      </c>
      <c r="M134" s="80" t="s">
        <v>303</v>
      </c>
      <c r="N134" s="79" t="s">
        <v>660</v>
      </c>
      <c r="O134" s="80" t="str">
        <f t="shared" si="63"/>
        <v>César Augusto Barrantes, Joan Sebastian García, Michael Cruz Roa, Nicolás Esteban Flórez, Nestor Jecfrid Sánchez, Marisol Velasco Peña, Reinaldo Terrios Andrade, David Reinaldo Jojoa, Paola Andrea González, Erika Lizeth Rueda, Daniela Velasco Vega, Diana Marcela Fernández, Yohan David Díaz, Luz Maritza Acero</v>
      </c>
      <c r="P134" s="79" t="s">
        <v>729</v>
      </c>
      <c r="Q134" s="79" t="s">
        <v>728</v>
      </c>
      <c r="R134" s="79" t="s">
        <v>265</v>
      </c>
      <c r="S134" s="79" t="s">
        <v>472</v>
      </c>
      <c r="T134" s="79" t="s">
        <v>965</v>
      </c>
      <c r="U134" s="79" t="s">
        <v>871</v>
      </c>
      <c r="V134" s="79" t="s">
        <v>675</v>
      </c>
      <c r="W134" s="79" t="s">
        <v>548</v>
      </c>
      <c r="X134" s="79" t="s">
        <v>924</v>
      </c>
      <c r="Y134" s="79" t="s">
        <v>556</v>
      </c>
      <c r="Z134" s="79" t="s">
        <v>660</v>
      </c>
      <c r="AA134" s="79" t="s">
        <v>473</v>
      </c>
      <c r="AB134" s="79" t="s">
        <v>164</v>
      </c>
      <c r="AC134" s="79" t="s">
        <v>167</v>
      </c>
      <c r="AD134" s="79"/>
      <c r="AE134" s="79"/>
      <c r="AF134" s="79"/>
      <c r="AG134" s="79"/>
      <c r="AH134" s="79"/>
      <c r="AI134" s="79"/>
      <c r="AJ134" s="79"/>
      <c r="AK134" s="79"/>
      <c r="AL134" s="79"/>
      <c r="AM134" s="79"/>
      <c r="AN134" s="79"/>
      <c r="AO134" s="79" t="s">
        <v>304</v>
      </c>
      <c r="AP134" s="79"/>
      <c r="AQ134" s="80" t="s">
        <v>171</v>
      </c>
      <c r="AR134" s="80" t="s">
        <v>171</v>
      </c>
      <c r="AS134" s="80" t="s">
        <v>171</v>
      </c>
      <c r="AT134" s="80" t="str">
        <f t="shared" si="64"/>
        <v>Kennedy</v>
      </c>
      <c r="AU134" s="79" t="s">
        <v>731</v>
      </c>
      <c r="AV134" s="79"/>
      <c r="AW134" s="79"/>
      <c r="AX134" s="79"/>
      <c r="AY134" s="79"/>
      <c r="AZ134" s="79"/>
      <c r="BA134" s="80" t="str">
        <f t="shared" si="65"/>
        <v>Suroccidente</v>
      </c>
      <c r="BB134" s="79" t="s">
        <v>732</v>
      </c>
      <c r="BC134" s="79"/>
      <c r="BD134" s="79"/>
      <c r="BE134" s="79"/>
      <c r="BF134" s="79"/>
      <c r="BG134" s="79"/>
      <c r="BH134" s="80" t="str">
        <f t="shared" si="66"/>
        <v>Kennedy</v>
      </c>
      <c r="BI134" s="79" t="s">
        <v>731</v>
      </c>
      <c r="BJ134" s="79"/>
      <c r="BK134" s="79"/>
      <c r="BL134" s="79"/>
      <c r="BM134" s="79"/>
      <c r="BN134" s="79"/>
      <c r="BO134" s="79"/>
      <c r="BP134" s="79"/>
      <c r="BQ134" s="79"/>
      <c r="BR134" s="79"/>
      <c r="BS134" s="80" t="s">
        <v>288</v>
      </c>
      <c r="BT134" s="80" t="s">
        <v>605</v>
      </c>
      <c r="BU134" s="80" t="s">
        <v>1147</v>
      </c>
      <c r="BV134" s="71"/>
      <c r="BW134" s="79" t="s">
        <v>153</v>
      </c>
      <c r="BX134" s="79" t="s">
        <v>607</v>
      </c>
      <c r="BY134" s="71"/>
      <c r="BZ134" s="79">
        <v>61</v>
      </c>
      <c r="CA134" s="79">
        <v>18</v>
      </c>
      <c r="CB134" s="79">
        <f t="shared" si="25"/>
        <v>79</v>
      </c>
      <c r="CC134" s="79" t="str">
        <f t="shared" ref="CC134:CC153" si="81">_xlfn.TEXTJOIN(", ",TRUE,$CD134:$CF134)</f>
        <v>Ninguna</v>
      </c>
      <c r="CD134" s="79" t="s">
        <v>174</v>
      </c>
      <c r="CE134" s="79"/>
      <c r="CF134" s="79"/>
      <c r="CG134" s="83" t="s">
        <v>1148</v>
      </c>
      <c r="CH134" s="41"/>
      <c r="CI134" s="79" t="s">
        <v>153</v>
      </c>
      <c r="CJ134" s="71"/>
      <c r="CK134" s="79">
        <f t="shared" si="38"/>
        <v>1</v>
      </c>
      <c r="CL134" s="79" t="s">
        <v>1095</v>
      </c>
      <c r="CM134" s="79"/>
      <c r="CN134" s="79"/>
      <c r="CO134" s="79"/>
      <c r="CP134" s="79"/>
      <c r="CQ134" s="79"/>
      <c r="CR134" s="83" t="s">
        <v>390</v>
      </c>
      <c r="CS134" s="83" t="s">
        <v>179</v>
      </c>
      <c r="CT134" s="83" t="s">
        <v>179</v>
      </c>
      <c r="CU134" s="83" t="s">
        <v>179</v>
      </c>
      <c r="CV134" s="83" t="s">
        <v>179</v>
      </c>
      <c r="CW134" s="83" t="s">
        <v>179</v>
      </c>
      <c r="CX134" s="79" t="s">
        <v>153</v>
      </c>
      <c r="CY134" s="79">
        <f t="shared" si="39"/>
        <v>1</v>
      </c>
      <c r="CZ134" s="79">
        <v>1</v>
      </c>
      <c r="DA134" s="79">
        <v>0</v>
      </c>
      <c r="DB134" s="84">
        <f t="shared" si="46"/>
        <v>1</v>
      </c>
      <c r="DC134" s="41"/>
      <c r="DD134" s="79" t="s">
        <v>153</v>
      </c>
      <c r="DE134" s="71"/>
      <c r="DF134" s="85" t="s">
        <v>1149</v>
      </c>
      <c r="DG134" s="79">
        <v>128</v>
      </c>
      <c r="DH134" s="86" t="str">
        <f t="shared" si="58"/>
        <v>Completo</v>
      </c>
      <c r="DI134" s="79" t="s">
        <v>181</v>
      </c>
      <c r="DJ134" s="79" t="s">
        <v>182</v>
      </c>
      <c r="DK134" s="79" t="s">
        <v>153</v>
      </c>
      <c r="DL134" s="79">
        <v>0</v>
      </c>
      <c r="DM134" s="79">
        <v>0</v>
      </c>
      <c r="DN134" s="79" t="s">
        <v>182</v>
      </c>
      <c r="DO134" s="79">
        <v>6000</v>
      </c>
      <c r="DP134" s="79" t="s">
        <v>182</v>
      </c>
      <c r="DQ134" s="79">
        <v>25</v>
      </c>
      <c r="DR134" s="75">
        <f t="shared" si="70"/>
        <v>1.3661202185792349</v>
      </c>
      <c r="DS134" s="79" t="s">
        <v>182</v>
      </c>
      <c r="DT134" s="79">
        <v>80</v>
      </c>
      <c r="DU134" s="75">
        <f t="shared" si="71"/>
        <v>3.7470725995316161</v>
      </c>
      <c r="DV134" s="79" t="s">
        <v>182</v>
      </c>
      <c r="DW134" s="79" t="s">
        <v>182</v>
      </c>
      <c r="DX134" s="79">
        <v>5</v>
      </c>
      <c r="DY134" s="79">
        <v>1</v>
      </c>
      <c r="DZ134" s="79" t="s">
        <v>1150</v>
      </c>
      <c r="EA134" s="79">
        <v>6049</v>
      </c>
      <c r="EB134" s="79" t="s">
        <v>182</v>
      </c>
      <c r="EC134" s="79" t="s">
        <v>1151</v>
      </c>
      <c r="ED134" s="79" t="s">
        <v>184</v>
      </c>
      <c r="EE134" s="79" t="str">
        <f t="shared" si="62"/>
        <v>Completo</v>
      </c>
      <c r="EF134" s="41"/>
      <c r="EG134" s="79" t="s">
        <v>153</v>
      </c>
      <c r="EH134" s="71"/>
      <c r="EI134" s="89" t="s">
        <v>1152</v>
      </c>
      <c r="EJ134" s="71"/>
      <c r="EK134" s="79" t="s">
        <v>409</v>
      </c>
      <c r="EL134" s="76" t="str">
        <f t="shared" si="72"/>
        <v>Sí</v>
      </c>
      <c r="EM134" s="76" t="str">
        <f t="shared" si="73"/>
        <v>Sí</v>
      </c>
      <c r="EN134" s="76" t="str">
        <f t="shared" ref="EN134:EN153" si="82">IF(F134="NO","No requiere",IF(H134="No","No requiere",IF(CC134="","",IF(CD134&lt;&gt;"No aplica",IF(CD134&lt;&gt;"Ninguna",IF(COUNTIF(CD134:CF134,"*")&gt;=1,"Sí","No"),"No"),"No aplica"))))</f>
        <v>No</v>
      </c>
      <c r="EO134" s="71"/>
      <c r="EP134" s="73" t="str">
        <f t="shared" si="75"/>
        <v>No aplica</v>
      </c>
      <c r="EQ134" s="77">
        <f t="shared" si="76"/>
        <v>3.7470725995316161</v>
      </c>
      <c r="ER134" s="71"/>
      <c r="ES134" s="79" t="s">
        <v>409</v>
      </c>
      <c r="ET134" s="73">
        <f t="shared" si="77"/>
        <v>1</v>
      </c>
      <c r="EU134" s="73">
        <f t="shared" ref="EU134:EU153" si="83">IF(F134="NO","No requiere",IF(H134="No","No requiere",IF(B134="","",IF(CX134="SÍ",IF(CK134&gt;=1,CY134/CK134,"Sin compromisos"),"Por verificar"))))</f>
        <v>1</v>
      </c>
      <c r="EV134" s="73">
        <f t="shared" si="79"/>
        <v>0</v>
      </c>
      <c r="EW134" s="73">
        <f t="shared" si="80"/>
        <v>0.99189948751859813</v>
      </c>
      <c r="EX134" s="78"/>
      <c r="EY134" s="78"/>
    </row>
    <row r="135" spans="1:155" ht="46.5" customHeight="1">
      <c r="A135" s="79">
        <v>131</v>
      </c>
      <c r="B135" s="80" t="s">
        <v>1153</v>
      </c>
      <c r="C135" s="81">
        <v>45367</v>
      </c>
      <c r="D135" s="82">
        <v>0.41666666666666669</v>
      </c>
      <c r="E135" s="79" t="s">
        <v>151</v>
      </c>
      <c r="F135" s="79" t="s">
        <v>153</v>
      </c>
      <c r="G135" s="79" t="s">
        <v>153</v>
      </c>
      <c r="H135" s="79" t="s">
        <v>153</v>
      </c>
      <c r="I135" s="79" t="s">
        <v>152</v>
      </c>
      <c r="J135" s="79" t="s">
        <v>154</v>
      </c>
      <c r="K135" s="79" t="s">
        <v>155</v>
      </c>
      <c r="L135" s="80" t="s">
        <v>600</v>
      </c>
      <c r="M135" s="80" t="s">
        <v>303</v>
      </c>
      <c r="N135" s="79" t="s">
        <v>328</v>
      </c>
      <c r="O135" s="80" t="str">
        <f t="shared" si="63"/>
        <v xml:space="preserve">Claudia Fernanda Pineda, Nicolás Enrique Moncaleano, William Jair Gil, Nicolas Esteban Hernández, Diego Alejandro Camacho, Luis Fernando Barreto </v>
      </c>
      <c r="P135" s="79" t="s">
        <v>546</v>
      </c>
      <c r="Q135" s="79" t="s">
        <v>966</v>
      </c>
      <c r="R135" s="79" t="s">
        <v>862</v>
      </c>
      <c r="S135" s="79" t="s">
        <v>645</v>
      </c>
      <c r="T135" s="79" t="s">
        <v>422</v>
      </c>
      <c r="U135" s="79" t="s">
        <v>720</v>
      </c>
      <c r="V135" s="79"/>
      <c r="W135" s="79"/>
      <c r="X135" s="79"/>
      <c r="Y135" s="79"/>
      <c r="Z135" s="79"/>
      <c r="AA135" s="79"/>
      <c r="AB135" s="79"/>
      <c r="AC135" s="79"/>
      <c r="AD135" s="79"/>
      <c r="AE135" s="79"/>
      <c r="AF135" s="79"/>
      <c r="AG135" s="79"/>
      <c r="AH135" s="79"/>
      <c r="AI135" s="79"/>
      <c r="AJ135" s="79"/>
      <c r="AK135" s="79"/>
      <c r="AL135" s="79"/>
      <c r="AM135" s="79"/>
      <c r="AN135" s="79"/>
      <c r="AO135" s="79" t="s">
        <v>304</v>
      </c>
      <c r="AP135" s="79"/>
      <c r="AQ135" s="80" t="s">
        <v>171</v>
      </c>
      <c r="AR135" s="80" t="s">
        <v>171</v>
      </c>
      <c r="AS135" s="80" t="s">
        <v>171</v>
      </c>
      <c r="AT135" s="80" t="str">
        <f t="shared" si="64"/>
        <v>Chapinero, Santa Fe</v>
      </c>
      <c r="AU135" s="79" t="s">
        <v>360</v>
      </c>
      <c r="AV135" s="79" t="s">
        <v>822</v>
      </c>
      <c r="AW135" s="79"/>
      <c r="AX135" s="79"/>
      <c r="AY135" s="79"/>
      <c r="AZ135" s="79"/>
      <c r="BA135" s="80" t="str">
        <f t="shared" si="65"/>
        <v>Ruralidad</v>
      </c>
      <c r="BB135" s="79" t="s">
        <v>219</v>
      </c>
      <c r="BC135" s="79"/>
      <c r="BD135" s="79"/>
      <c r="BE135" s="79"/>
      <c r="BF135" s="79"/>
      <c r="BG135" s="79"/>
      <c r="BH135" s="80" t="str">
        <f t="shared" si="66"/>
        <v>Cerros Orientales</v>
      </c>
      <c r="BI135" s="79" t="s">
        <v>361</v>
      </c>
      <c r="BJ135" s="79"/>
      <c r="BK135" s="79"/>
      <c r="BL135" s="79"/>
      <c r="BM135" s="79"/>
      <c r="BN135" s="79"/>
      <c r="BO135" s="79"/>
      <c r="BP135" s="79"/>
      <c r="BQ135" s="79"/>
      <c r="BR135" s="79"/>
      <c r="BS135" s="80" t="s">
        <v>288</v>
      </c>
      <c r="BT135" s="80" t="s">
        <v>605</v>
      </c>
      <c r="BU135" s="80" t="s">
        <v>1154</v>
      </c>
      <c r="BV135" s="71"/>
      <c r="BW135" s="79" t="s">
        <v>153</v>
      </c>
      <c r="BX135" s="79" t="s">
        <v>607</v>
      </c>
      <c r="BY135" s="71"/>
      <c r="BZ135" s="79">
        <v>64</v>
      </c>
      <c r="CA135" s="79">
        <v>11</v>
      </c>
      <c r="CB135" s="79">
        <f t="shared" si="25"/>
        <v>75</v>
      </c>
      <c r="CC135" s="79" t="str">
        <f t="shared" si="81"/>
        <v>Ninguna</v>
      </c>
      <c r="CD135" s="79" t="s">
        <v>174</v>
      </c>
      <c r="CE135" s="79"/>
      <c r="CF135" s="79"/>
      <c r="CG135" s="83" t="s">
        <v>1155</v>
      </c>
      <c r="CH135" s="41"/>
      <c r="CI135" s="79" t="s">
        <v>153</v>
      </c>
      <c r="CJ135" s="71"/>
      <c r="CK135" s="79">
        <f t="shared" si="38"/>
        <v>1</v>
      </c>
      <c r="CL135" s="79" t="s">
        <v>1095</v>
      </c>
      <c r="CM135" s="79"/>
      <c r="CN135" s="79"/>
      <c r="CO135" s="79"/>
      <c r="CP135" s="79"/>
      <c r="CQ135" s="79"/>
      <c r="CR135" s="83" t="s">
        <v>390</v>
      </c>
      <c r="CS135" s="83" t="s">
        <v>179</v>
      </c>
      <c r="CT135" s="83" t="s">
        <v>179</v>
      </c>
      <c r="CU135" s="83" t="s">
        <v>179</v>
      </c>
      <c r="CV135" s="83" t="s">
        <v>179</v>
      </c>
      <c r="CW135" s="83" t="s">
        <v>179</v>
      </c>
      <c r="CX135" s="79" t="s">
        <v>153</v>
      </c>
      <c r="CY135" s="79">
        <f t="shared" si="39"/>
        <v>1</v>
      </c>
      <c r="CZ135" s="79">
        <v>1</v>
      </c>
      <c r="DA135" s="79">
        <v>0</v>
      </c>
      <c r="DB135" s="84">
        <f t="shared" si="46"/>
        <v>1</v>
      </c>
      <c r="DC135" s="41"/>
      <c r="DD135" s="79" t="s">
        <v>153</v>
      </c>
      <c r="DE135" s="71"/>
      <c r="DF135" s="85" t="s">
        <v>1156</v>
      </c>
      <c r="DG135" s="79">
        <v>129</v>
      </c>
      <c r="DH135" s="86" t="str">
        <f t="shared" si="58"/>
        <v>Completo</v>
      </c>
      <c r="DI135" s="79" t="s">
        <v>181</v>
      </c>
      <c r="DJ135" s="79" t="s">
        <v>182</v>
      </c>
      <c r="DK135" s="79" t="s">
        <v>153</v>
      </c>
      <c r="DL135" s="79">
        <v>0</v>
      </c>
      <c r="DM135" s="79">
        <v>0</v>
      </c>
      <c r="DN135" s="79" t="s">
        <v>182</v>
      </c>
      <c r="DO135" s="79">
        <v>1600</v>
      </c>
      <c r="DP135" s="79" t="s">
        <v>182</v>
      </c>
      <c r="DQ135" s="79">
        <v>27</v>
      </c>
      <c r="DR135" s="75">
        <f t="shared" si="70"/>
        <v>1.40625</v>
      </c>
      <c r="DS135" s="79" t="s">
        <v>182</v>
      </c>
      <c r="DT135" s="79">
        <v>30</v>
      </c>
      <c r="DU135" s="75">
        <f t="shared" si="71"/>
        <v>1.3392857142857144</v>
      </c>
      <c r="DV135" s="79" t="s">
        <v>182</v>
      </c>
      <c r="DW135" s="79" t="s">
        <v>182</v>
      </c>
      <c r="DX135" s="79">
        <v>4</v>
      </c>
      <c r="DY135" s="79">
        <v>1</v>
      </c>
      <c r="DZ135" s="79" t="s">
        <v>1157</v>
      </c>
      <c r="EA135" s="79">
        <v>10322</v>
      </c>
      <c r="EB135" s="79" t="s">
        <v>182</v>
      </c>
      <c r="EC135" s="79" t="s">
        <v>1158</v>
      </c>
      <c r="ED135" s="79" t="s">
        <v>249</v>
      </c>
      <c r="EE135" s="79" t="str">
        <f t="shared" si="62"/>
        <v>Completo</v>
      </c>
      <c r="EF135" s="41"/>
      <c r="EG135" s="79" t="s">
        <v>153</v>
      </c>
      <c r="EH135" s="71"/>
      <c r="EI135" s="200" t="s">
        <v>1159</v>
      </c>
      <c r="EJ135" s="71"/>
      <c r="EK135" s="79" t="s">
        <v>393</v>
      </c>
      <c r="EL135" s="76" t="str">
        <f t="shared" si="72"/>
        <v>Sí</v>
      </c>
      <c r="EM135" s="76" t="str">
        <f t="shared" si="73"/>
        <v>Sí</v>
      </c>
      <c r="EN135" s="76" t="str">
        <f t="shared" si="82"/>
        <v>No</v>
      </c>
      <c r="EO135" s="71"/>
      <c r="EP135" s="73" t="str">
        <f t="shared" si="75"/>
        <v>No aplica</v>
      </c>
      <c r="EQ135" s="77">
        <f t="shared" si="76"/>
        <v>1.3392857142857144</v>
      </c>
      <c r="ER135" s="71"/>
      <c r="ES135" s="79" t="s">
        <v>393</v>
      </c>
      <c r="ET135" s="73">
        <f t="shared" si="77"/>
        <v>1</v>
      </c>
      <c r="EU135" s="73">
        <f t="shared" si="83"/>
        <v>1</v>
      </c>
      <c r="EV135" s="73">
        <f t="shared" si="79"/>
        <v>0</v>
      </c>
      <c r="EW135" s="73">
        <f t="shared" si="80"/>
        <v>0.15500871924045728</v>
      </c>
      <c r="EX135" s="78"/>
      <c r="EY135" s="78"/>
    </row>
    <row r="136" spans="1:155" ht="46.5" customHeight="1">
      <c r="A136" s="79">
        <v>132</v>
      </c>
      <c r="B136" s="80" t="s">
        <v>1160</v>
      </c>
      <c r="C136" s="81">
        <v>45367</v>
      </c>
      <c r="D136" s="82">
        <v>0.60416666666666663</v>
      </c>
      <c r="E136" s="79" t="s">
        <v>151</v>
      </c>
      <c r="F136" s="79" t="s">
        <v>153</v>
      </c>
      <c r="G136" s="79" t="s">
        <v>153</v>
      </c>
      <c r="H136" s="79" t="s">
        <v>153</v>
      </c>
      <c r="I136" s="79" t="s">
        <v>152</v>
      </c>
      <c r="J136" s="79" t="s">
        <v>154</v>
      </c>
      <c r="K136" s="79" t="s">
        <v>155</v>
      </c>
      <c r="L136" s="80" t="s">
        <v>600</v>
      </c>
      <c r="M136" s="80" t="s">
        <v>303</v>
      </c>
      <c r="N136" s="79" t="s">
        <v>328</v>
      </c>
      <c r="O136" s="80" t="str">
        <f t="shared" si="63"/>
        <v xml:space="preserve">Claudia Fernanda Pineda, Nicolás Enrique Moncaleano, William Jair Gil, Nicolas Esteban Hernández, Diego Alejandro Camacho, Luis Fernando Barreto </v>
      </c>
      <c r="P136" s="79" t="s">
        <v>546</v>
      </c>
      <c r="Q136" s="79" t="s">
        <v>966</v>
      </c>
      <c r="R136" s="79" t="s">
        <v>862</v>
      </c>
      <c r="S136" s="79" t="s">
        <v>645</v>
      </c>
      <c r="T136" s="79" t="s">
        <v>422</v>
      </c>
      <c r="U136" s="79" t="s">
        <v>720</v>
      </c>
      <c r="V136" s="79"/>
      <c r="W136" s="79"/>
      <c r="X136" s="79"/>
      <c r="Y136" s="79"/>
      <c r="Z136" s="79"/>
      <c r="AA136" s="79"/>
      <c r="AB136" s="79"/>
      <c r="AC136" s="79"/>
      <c r="AD136" s="79"/>
      <c r="AE136" s="79"/>
      <c r="AF136" s="79"/>
      <c r="AG136" s="79"/>
      <c r="AH136" s="79"/>
      <c r="AI136" s="79"/>
      <c r="AJ136" s="79"/>
      <c r="AK136" s="79"/>
      <c r="AL136" s="79"/>
      <c r="AM136" s="79"/>
      <c r="AN136" s="79"/>
      <c r="AO136" s="79" t="s">
        <v>304</v>
      </c>
      <c r="AP136" s="79"/>
      <c r="AQ136" s="80" t="s">
        <v>171</v>
      </c>
      <c r="AR136" s="80" t="s">
        <v>171</v>
      </c>
      <c r="AS136" s="80" t="s">
        <v>171</v>
      </c>
      <c r="AT136" s="80" t="str">
        <f t="shared" si="64"/>
        <v>Chapinero, Santa Fe</v>
      </c>
      <c r="AU136" s="79" t="s">
        <v>360</v>
      </c>
      <c r="AV136" s="79" t="s">
        <v>822</v>
      </c>
      <c r="AW136" s="79"/>
      <c r="AX136" s="79"/>
      <c r="AY136" s="79"/>
      <c r="AZ136" s="79"/>
      <c r="BA136" s="80" t="str">
        <f t="shared" si="65"/>
        <v>Ruralidad</v>
      </c>
      <c r="BB136" s="79" t="s">
        <v>219</v>
      </c>
      <c r="BC136" s="79"/>
      <c r="BD136" s="79"/>
      <c r="BE136" s="79"/>
      <c r="BF136" s="79"/>
      <c r="BG136" s="79"/>
      <c r="BH136" s="80" t="str">
        <f t="shared" si="66"/>
        <v>Cerros Orientales</v>
      </c>
      <c r="BI136" s="79" t="s">
        <v>361</v>
      </c>
      <c r="BJ136" s="79"/>
      <c r="BK136" s="79"/>
      <c r="BL136" s="79"/>
      <c r="BM136" s="79"/>
      <c r="BN136" s="79"/>
      <c r="BO136" s="79"/>
      <c r="BP136" s="79"/>
      <c r="BQ136" s="79"/>
      <c r="BR136" s="79"/>
      <c r="BS136" s="80" t="s">
        <v>288</v>
      </c>
      <c r="BT136" s="80" t="s">
        <v>605</v>
      </c>
      <c r="BU136" s="80" t="s">
        <v>1161</v>
      </c>
      <c r="BV136" s="71"/>
      <c r="BW136" s="79" t="s">
        <v>153</v>
      </c>
      <c r="BX136" s="79" t="s">
        <v>607</v>
      </c>
      <c r="BY136" s="71"/>
      <c r="BZ136" s="79">
        <v>23</v>
      </c>
      <c r="CA136" s="79">
        <v>7</v>
      </c>
      <c r="CB136" s="79">
        <f t="shared" si="25"/>
        <v>30</v>
      </c>
      <c r="CC136" s="79" t="str">
        <f t="shared" si="81"/>
        <v>Ninguna</v>
      </c>
      <c r="CD136" s="79" t="s">
        <v>174</v>
      </c>
      <c r="CE136" s="79"/>
      <c r="CF136" s="79"/>
      <c r="CG136" s="83" t="s">
        <v>1155</v>
      </c>
      <c r="CH136" s="41"/>
      <c r="CI136" s="79" t="s">
        <v>153</v>
      </c>
      <c r="CJ136" s="71"/>
      <c r="CK136" s="79">
        <f t="shared" si="38"/>
        <v>1</v>
      </c>
      <c r="CL136" s="79" t="s">
        <v>1095</v>
      </c>
      <c r="CM136" s="79"/>
      <c r="CN136" s="79"/>
      <c r="CO136" s="79"/>
      <c r="CP136" s="79"/>
      <c r="CQ136" s="79"/>
      <c r="CR136" s="83" t="s">
        <v>390</v>
      </c>
      <c r="CS136" s="83" t="s">
        <v>179</v>
      </c>
      <c r="CT136" s="83" t="s">
        <v>179</v>
      </c>
      <c r="CU136" s="83" t="s">
        <v>179</v>
      </c>
      <c r="CV136" s="83" t="s">
        <v>179</v>
      </c>
      <c r="CW136" s="83" t="s">
        <v>179</v>
      </c>
      <c r="CX136" s="79" t="s">
        <v>153</v>
      </c>
      <c r="CY136" s="79">
        <f t="shared" si="39"/>
        <v>1</v>
      </c>
      <c r="CZ136" s="79">
        <v>1</v>
      </c>
      <c r="DA136" s="79">
        <v>0</v>
      </c>
      <c r="DB136" s="84">
        <f t="shared" si="46"/>
        <v>1</v>
      </c>
      <c r="DC136" s="41"/>
      <c r="DD136" s="79" t="s">
        <v>153</v>
      </c>
      <c r="DE136" s="71"/>
      <c r="DF136" s="85" t="s">
        <v>1162</v>
      </c>
      <c r="DG136" s="79">
        <v>130</v>
      </c>
      <c r="DH136" s="86" t="str">
        <f t="shared" si="58"/>
        <v>Completo</v>
      </c>
      <c r="DI136" s="79" t="s">
        <v>181</v>
      </c>
      <c r="DJ136" s="79" t="s">
        <v>182</v>
      </c>
      <c r="DK136" s="79" t="s">
        <v>153</v>
      </c>
      <c r="DL136" s="79">
        <v>0</v>
      </c>
      <c r="DM136" s="79">
        <v>0</v>
      </c>
      <c r="DN136" s="79" t="s">
        <v>182</v>
      </c>
      <c r="DO136" s="79">
        <v>950</v>
      </c>
      <c r="DP136" s="79" t="s">
        <v>182</v>
      </c>
      <c r="DQ136" s="79">
        <v>8</v>
      </c>
      <c r="DR136" s="75">
        <f t="shared" si="70"/>
        <v>1.1594202898550725</v>
      </c>
      <c r="DS136" s="79" t="s">
        <v>182</v>
      </c>
      <c r="DT136" s="79">
        <v>30</v>
      </c>
      <c r="DU136" s="75">
        <f t="shared" si="71"/>
        <v>3.7267080745341619</v>
      </c>
      <c r="DV136" s="79" t="s">
        <v>182</v>
      </c>
      <c r="DW136" s="79" t="s">
        <v>182</v>
      </c>
      <c r="DX136" s="79">
        <v>4</v>
      </c>
      <c r="DY136" s="79">
        <v>1</v>
      </c>
      <c r="DZ136" s="79" t="s">
        <v>1157</v>
      </c>
      <c r="EA136" s="79">
        <v>10322</v>
      </c>
      <c r="EB136" s="79" t="s">
        <v>182</v>
      </c>
      <c r="EC136" s="79" t="s">
        <v>1158</v>
      </c>
      <c r="ED136" s="79" t="s">
        <v>249</v>
      </c>
      <c r="EE136" s="79" t="str">
        <f t="shared" si="62"/>
        <v>Completo</v>
      </c>
      <c r="EF136" s="41"/>
      <c r="EG136" s="79" t="s">
        <v>153</v>
      </c>
      <c r="EH136" s="71"/>
      <c r="EI136" s="201" t="s">
        <v>1163</v>
      </c>
      <c r="EJ136" s="71"/>
      <c r="EK136" s="79" t="s">
        <v>393</v>
      </c>
      <c r="EL136" s="76" t="str">
        <f t="shared" si="72"/>
        <v>Sí</v>
      </c>
      <c r="EM136" s="76" t="str">
        <f t="shared" si="73"/>
        <v>Sí</v>
      </c>
      <c r="EN136" s="76" t="str">
        <f t="shared" si="82"/>
        <v>No</v>
      </c>
      <c r="EO136" s="71"/>
      <c r="EP136" s="73" t="str">
        <f t="shared" si="75"/>
        <v>No aplica</v>
      </c>
      <c r="EQ136" s="77">
        <f t="shared" si="76"/>
        <v>3.7267080745341619</v>
      </c>
      <c r="ER136" s="71"/>
      <c r="ES136" s="79" t="s">
        <v>393</v>
      </c>
      <c r="ET136" s="73">
        <f t="shared" si="77"/>
        <v>1</v>
      </c>
      <c r="EU136" s="73">
        <f t="shared" si="83"/>
        <v>1</v>
      </c>
      <c r="EV136" s="73">
        <f t="shared" si="79"/>
        <v>0</v>
      </c>
      <c r="EW136" s="73">
        <f t="shared" si="80"/>
        <v>9.2036427049021513E-2</v>
      </c>
      <c r="EX136" s="78"/>
      <c r="EY136" s="78"/>
    </row>
    <row r="137" spans="1:155" ht="46.5" customHeight="1">
      <c r="A137" s="79">
        <v>133</v>
      </c>
      <c r="B137" s="80" t="s">
        <v>1164</v>
      </c>
      <c r="C137" s="81">
        <v>45367</v>
      </c>
      <c r="D137" s="82">
        <v>0.54166666666666663</v>
      </c>
      <c r="E137" s="79" t="s">
        <v>151</v>
      </c>
      <c r="F137" s="79" t="s">
        <v>153</v>
      </c>
      <c r="G137" s="79" t="s">
        <v>153</v>
      </c>
      <c r="H137" s="79" t="s">
        <v>152</v>
      </c>
      <c r="I137" s="79" t="s">
        <v>152</v>
      </c>
      <c r="J137" s="79" t="s">
        <v>154</v>
      </c>
      <c r="K137" s="79" t="s">
        <v>155</v>
      </c>
      <c r="L137" s="80" t="s">
        <v>600</v>
      </c>
      <c r="M137" s="80" t="s">
        <v>327</v>
      </c>
      <c r="N137" s="79" t="s">
        <v>861</v>
      </c>
      <c r="O137" s="80" t="str">
        <f t="shared" si="63"/>
        <v>PENDIENTE, PENDIENTE, PENDIENTE</v>
      </c>
      <c r="P137" s="79" t="s">
        <v>196</v>
      </c>
      <c r="Q137" s="79" t="s">
        <v>196</v>
      </c>
      <c r="R137" s="79" t="s">
        <v>196</v>
      </c>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t="s">
        <v>304</v>
      </c>
      <c r="AP137" s="79"/>
      <c r="AQ137" s="80" t="s">
        <v>171</v>
      </c>
      <c r="AR137" s="80" t="s">
        <v>171</v>
      </c>
      <c r="AS137" s="80" t="s">
        <v>171</v>
      </c>
      <c r="AT137" s="80" t="str">
        <f t="shared" si="64"/>
        <v>Usaquén</v>
      </c>
      <c r="AU137" s="79" t="s">
        <v>661</v>
      </c>
      <c r="AV137" s="79"/>
      <c r="AW137" s="79"/>
      <c r="AX137" s="79"/>
      <c r="AY137" s="79"/>
      <c r="AZ137" s="79"/>
      <c r="BA137" s="80" t="str">
        <f t="shared" si="65"/>
        <v>Distrital</v>
      </c>
      <c r="BB137" s="79" t="s">
        <v>172</v>
      </c>
      <c r="BC137" s="79"/>
      <c r="BD137" s="79"/>
      <c r="BE137" s="79"/>
      <c r="BF137" s="79"/>
      <c r="BG137" s="79"/>
      <c r="BH137" s="80" t="str">
        <f t="shared" si="66"/>
        <v>Distrital</v>
      </c>
      <c r="BI137" s="79" t="s">
        <v>172</v>
      </c>
      <c r="BJ137" s="79"/>
      <c r="BK137" s="79"/>
      <c r="BL137" s="79"/>
      <c r="BM137" s="79"/>
      <c r="BN137" s="79"/>
      <c r="BO137" s="79"/>
      <c r="BP137" s="79"/>
      <c r="BQ137" s="79"/>
      <c r="BR137" s="79"/>
      <c r="BS137" s="80" t="s">
        <v>288</v>
      </c>
      <c r="BT137" s="80" t="s">
        <v>174</v>
      </c>
      <c r="BU137" s="80" t="s">
        <v>1165</v>
      </c>
      <c r="BV137" s="71"/>
      <c r="BW137" s="79" t="s">
        <v>153</v>
      </c>
      <c r="BX137" s="79" t="s">
        <v>607</v>
      </c>
      <c r="BY137" s="71"/>
      <c r="BZ137" s="79">
        <v>55</v>
      </c>
      <c r="CA137" s="79">
        <v>5</v>
      </c>
      <c r="CB137" s="79">
        <f t="shared" si="25"/>
        <v>60</v>
      </c>
      <c r="CC137" s="79" t="str">
        <f t="shared" si="81"/>
        <v>No Aplica</v>
      </c>
      <c r="CD137" s="79" t="s">
        <v>177</v>
      </c>
      <c r="CE137" s="79"/>
      <c r="CF137" s="79"/>
      <c r="CG137" s="83" t="s">
        <v>1166</v>
      </c>
      <c r="CH137" s="41"/>
      <c r="CI137" s="79" t="s">
        <v>153</v>
      </c>
      <c r="CJ137" s="71"/>
      <c r="CK137" s="79">
        <f t="shared" si="38"/>
        <v>0</v>
      </c>
      <c r="CL137" s="79"/>
      <c r="CM137" s="79"/>
      <c r="CN137" s="79"/>
      <c r="CO137" s="79"/>
      <c r="CP137" s="79"/>
      <c r="CQ137" s="79"/>
      <c r="CR137" s="83" t="s">
        <v>179</v>
      </c>
      <c r="CS137" s="83" t="s">
        <v>179</v>
      </c>
      <c r="CT137" s="83" t="s">
        <v>179</v>
      </c>
      <c r="CU137" s="83" t="s">
        <v>179</v>
      </c>
      <c r="CV137" s="83" t="s">
        <v>179</v>
      </c>
      <c r="CW137" s="83" t="s">
        <v>179</v>
      </c>
      <c r="CX137" s="79" t="s">
        <v>153</v>
      </c>
      <c r="CY137" s="79">
        <f t="shared" si="39"/>
        <v>0</v>
      </c>
      <c r="CZ137" s="79">
        <v>0</v>
      </c>
      <c r="DA137" s="79">
        <f t="shared" ref="DA137:DA209" si="84">COUNTIF(CR137:CW137,"Realizado y Devuelto a la Ciudadanía")</f>
        <v>0</v>
      </c>
      <c r="DB137" s="84" t="str">
        <f t="shared" si="46"/>
        <v/>
      </c>
      <c r="DC137" s="41"/>
      <c r="DD137" s="79" t="s">
        <v>153</v>
      </c>
      <c r="DE137" s="71"/>
      <c r="DF137" s="85" t="s">
        <v>1167</v>
      </c>
      <c r="DG137" s="79">
        <v>131</v>
      </c>
      <c r="DH137" s="86" t="str">
        <f t="shared" si="58"/>
        <v>Completo</v>
      </c>
      <c r="DI137" s="79" t="s">
        <v>181</v>
      </c>
      <c r="DJ137" s="79" t="s">
        <v>182</v>
      </c>
      <c r="DK137" s="79"/>
      <c r="DL137" s="79">
        <v>0</v>
      </c>
      <c r="DM137" s="79">
        <v>0</v>
      </c>
      <c r="DN137" s="79" t="s">
        <v>182</v>
      </c>
      <c r="DO137" s="79"/>
      <c r="DP137" s="79"/>
      <c r="DQ137" s="79"/>
      <c r="DR137" s="75" t="str">
        <f t="shared" si="70"/>
        <v>No aplica</v>
      </c>
      <c r="DS137" s="79"/>
      <c r="DT137" s="79"/>
      <c r="DU137" s="75" t="str">
        <f t="shared" si="71"/>
        <v>No aplica</v>
      </c>
      <c r="DV137" s="79" t="s">
        <v>182</v>
      </c>
      <c r="DW137" s="79" t="s">
        <v>191</v>
      </c>
      <c r="DX137" s="79"/>
      <c r="DY137" s="79"/>
      <c r="DZ137" s="79"/>
      <c r="EA137" s="79"/>
      <c r="EB137" s="79"/>
      <c r="EC137" s="79"/>
      <c r="ED137" s="79" t="s">
        <v>249</v>
      </c>
      <c r="EE137" s="79" t="str">
        <f t="shared" si="62"/>
        <v>Completo</v>
      </c>
      <c r="EF137" s="41"/>
      <c r="EG137" s="79" t="s">
        <v>153</v>
      </c>
      <c r="EH137" s="71"/>
      <c r="EI137" s="80"/>
      <c r="EJ137" s="71"/>
      <c r="EK137" s="79" t="s">
        <v>179</v>
      </c>
      <c r="EL137" s="76" t="str">
        <f t="shared" si="72"/>
        <v>No requiere</v>
      </c>
      <c r="EM137" s="76" t="str">
        <f t="shared" si="73"/>
        <v>No requiere</v>
      </c>
      <c r="EN137" s="76" t="str">
        <f t="shared" si="82"/>
        <v>No requiere</v>
      </c>
      <c r="EO137" s="71"/>
      <c r="EP137" s="73" t="str">
        <f t="shared" si="75"/>
        <v>No requiere</v>
      </c>
      <c r="EQ137" s="77" t="str">
        <f t="shared" si="76"/>
        <v>No requiere</v>
      </c>
      <c r="ER137" s="71"/>
      <c r="ES137" s="79" t="s">
        <v>179</v>
      </c>
      <c r="ET137" s="73" t="str">
        <f t="shared" si="77"/>
        <v>No requiere</v>
      </c>
      <c r="EU137" s="73" t="str">
        <f t="shared" si="83"/>
        <v>No requiere</v>
      </c>
      <c r="EV137" s="73" t="str">
        <f t="shared" si="79"/>
        <v>No requiere</v>
      </c>
      <c r="EW137" s="73" t="str">
        <f t="shared" si="80"/>
        <v>No requiere</v>
      </c>
      <c r="EX137" s="78"/>
      <c r="EY137" s="78"/>
    </row>
    <row r="138" spans="1:155" ht="46.5" customHeight="1">
      <c r="A138" s="79">
        <v>134</v>
      </c>
      <c r="B138" s="80" t="s">
        <v>1168</v>
      </c>
      <c r="C138" s="81">
        <v>45368</v>
      </c>
      <c r="D138" s="82">
        <v>0.33333333333333331</v>
      </c>
      <c r="E138" s="79" t="s">
        <v>151</v>
      </c>
      <c r="F138" s="79" t="s">
        <v>153</v>
      </c>
      <c r="G138" s="79" t="s">
        <v>153</v>
      </c>
      <c r="H138" s="79" t="s">
        <v>152</v>
      </c>
      <c r="I138" s="79" t="s">
        <v>152</v>
      </c>
      <c r="J138" s="79" t="s">
        <v>154</v>
      </c>
      <c r="K138" s="79" t="s">
        <v>155</v>
      </c>
      <c r="L138" s="80" t="s">
        <v>600</v>
      </c>
      <c r="M138" s="80" t="s">
        <v>327</v>
      </c>
      <c r="N138" s="79" t="s">
        <v>749</v>
      </c>
      <c r="O138" s="80" t="str">
        <f t="shared" si="63"/>
        <v>Aida Vanessa Rocha, Manuel Fernando Vergara, Carlos Eduardo Escandón, Camilo Andrés Vásquez, Sarah Lucia Triviño, Ana María Ulloa, Julio César Martínez, Zuly Marcela Mesa, Derly Adriana Castillo, Diana Carolina Aristizábal, María del Pilar Barreto, Diego Nicolás Gutiérrez, Renata Rengifo Moyano, Mateo López Narváez, Mario Herrera, Jimmy Alejandro Osorio, Sebastian Potes Buitrago, Nixon Sandoval Mateus, José Ignacio Albarracín, Melina Julieta Solano</v>
      </c>
      <c r="P138" s="79" t="s">
        <v>801</v>
      </c>
      <c r="Q138" s="79" t="s">
        <v>820</v>
      </c>
      <c r="R138" s="79" t="s">
        <v>819</v>
      </c>
      <c r="S138" s="79" t="s">
        <v>373</v>
      </c>
      <c r="T138" s="79" t="s">
        <v>499</v>
      </c>
      <c r="U138" s="79" t="s">
        <v>522</v>
      </c>
      <c r="V138" s="79" t="s">
        <v>601</v>
      </c>
      <c r="W138" s="79" t="s">
        <v>547</v>
      </c>
      <c r="X138" s="79" t="s">
        <v>526</v>
      </c>
      <c r="Y138" s="79" t="s">
        <v>165</v>
      </c>
      <c r="Z138" s="79" t="s">
        <v>195</v>
      </c>
      <c r="AA138" s="79" t="s">
        <v>888</v>
      </c>
      <c r="AB138" s="79" t="s">
        <v>1066</v>
      </c>
      <c r="AC138" s="79" t="s">
        <v>523</v>
      </c>
      <c r="AD138" s="79" t="s">
        <v>631</v>
      </c>
      <c r="AE138" s="79" t="s">
        <v>549</v>
      </c>
      <c r="AF138" s="79" t="s">
        <v>545</v>
      </c>
      <c r="AG138" s="79" t="s">
        <v>644</v>
      </c>
      <c r="AH138" s="79" t="s">
        <v>524</v>
      </c>
      <c r="AI138" s="79" t="s">
        <v>168</v>
      </c>
      <c r="AJ138" s="79"/>
      <c r="AK138" s="79"/>
      <c r="AL138" s="79"/>
      <c r="AM138" s="79"/>
      <c r="AN138" s="79"/>
      <c r="AO138" s="79" t="s">
        <v>304</v>
      </c>
      <c r="AP138" s="79"/>
      <c r="AQ138" s="83" t="s">
        <v>171</v>
      </c>
      <c r="AR138" s="83" t="s">
        <v>171</v>
      </c>
      <c r="AS138" s="83" t="s">
        <v>171</v>
      </c>
      <c r="AT138" s="80" t="str">
        <f t="shared" si="64"/>
        <v>Teusaquillo</v>
      </c>
      <c r="AU138" s="79" t="s">
        <v>1004</v>
      </c>
      <c r="AV138" s="79"/>
      <c r="AW138" s="79"/>
      <c r="AX138" s="79"/>
      <c r="AY138" s="79"/>
      <c r="AZ138" s="79"/>
      <c r="BA138" s="80" t="str">
        <f t="shared" si="65"/>
        <v>Centro Ampliado</v>
      </c>
      <c r="BB138" s="79" t="s">
        <v>636</v>
      </c>
      <c r="BC138" s="79"/>
      <c r="BD138" s="79"/>
      <c r="BE138" s="79"/>
      <c r="BF138" s="79"/>
      <c r="BG138" s="79"/>
      <c r="BH138" s="80" t="str">
        <f t="shared" si="66"/>
        <v>Teusaquillo</v>
      </c>
      <c r="BI138" s="79" t="s">
        <v>1004</v>
      </c>
      <c r="BJ138" s="79"/>
      <c r="BK138" s="79"/>
      <c r="BL138" s="79"/>
      <c r="BM138" s="79"/>
      <c r="BN138" s="79"/>
      <c r="BO138" s="79"/>
      <c r="BP138" s="79"/>
      <c r="BQ138" s="79"/>
      <c r="BR138" s="79"/>
      <c r="BS138" s="80" t="s">
        <v>288</v>
      </c>
      <c r="BT138" s="80" t="s">
        <v>174</v>
      </c>
      <c r="BU138" s="80" t="s">
        <v>1169</v>
      </c>
      <c r="BV138" s="71"/>
      <c r="BW138" s="79" t="s">
        <v>153</v>
      </c>
      <c r="BX138" s="79" t="s">
        <v>607</v>
      </c>
      <c r="BY138" s="71"/>
      <c r="BZ138" s="79">
        <v>219</v>
      </c>
      <c r="CA138" s="79">
        <v>18</v>
      </c>
      <c r="CB138" s="79">
        <f t="shared" si="25"/>
        <v>237</v>
      </c>
      <c r="CC138" s="79" t="str">
        <f t="shared" si="81"/>
        <v>No Aplica</v>
      </c>
      <c r="CD138" s="79" t="s">
        <v>177</v>
      </c>
      <c r="CE138" s="79"/>
      <c r="CF138" s="79"/>
      <c r="CG138" s="83" t="s">
        <v>1170</v>
      </c>
      <c r="CH138" s="41"/>
      <c r="CI138" s="79" t="s">
        <v>153</v>
      </c>
      <c r="CJ138" s="71"/>
      <c r="CK138" s="79">
        <f t="shared" si="38"/>
        <v>0</v>
      </c>
      <c r="CL138" s="79"/>
      <c r="CM138" s="79"/>
      <c r="CN138" s="79"/>
      <c r="CO138" s="79"/>
      <c r="CP138" s="79"/>
      <c r="CQ138" s="79"/>
      <c r="CR138" s="83" t="s">
        <v>179</v>
      </c>
      <c r="CS138" s="83" t="s">
        <v>179</v>
      </c>
      <c r="CT138" s="83" t="s">
        <v>179</v>
      </c>
      <c r="CU138" s="83" t="s">
        <v>179</v>
      </c>
      <c r="CV138" s="83" t="s">
        <v>179</v>
      </c>
      <c r="CW138" s="83" t="s">
        <v>179</v>
      </c>
      <c r="CX138" s="79" t="s">
        <v>153</v>
      </c>
      <c r="CY138" s="79">
        <f t="shared" si="39"/>
        <v>0</v>
      </c>
      <c r="CZ138" s="79">
        <v>0</v>
      </c>
      <c r="DA138" s="79">
        <f t="shared" si="84"/>
        <v>0</v>
      </c>
      <c r="DB138" s="84" t="str">
        <f t="shared" si="46"/>
        <v/>
      </c>
      <c r="DC138" s="41"/>
      <c r="DD138" s="79" t="s">
        <v>153</v>
      </c>
      <c r="DE138" s="71"/>
      <c r="DF138" s="85" t="s">
        <v>1171</v>
      </c>
      <c r="DG138" s="79">
        <v>132</v>
      </c>
      <c r="DH138" s="86" t="str">
        <f t="shared" si="58"/>
        <v>Completo</v>
      </c>
      <c r="DI138" s="79" t="s">
        <v>181</v>
      </c>
      <c r="DJ138" s="79" t="s">
        <v>182</v>
      </c>
      <c r="DK138" s="79"/>
      <c r="DL138" s="79">
        <v>0</v>
      </c>
      <c r="DM138" s="79">
        <v>0</v>
      </c>
      <c r="DN138" s="79" t="s">
        <v>182</v>
      </c>
      <c r="DO138" s="79"/>
      <c r="DP138" s="79"/>
      <c r="DQ138" s="79"/>
      <c r="DR138" s="75" t="str">
        <f t="shared" si="70"/>
        <v>No aplica</v>
      </c>
      <c r="DS138" s="79"/>
      <c r="DT138" s="79"/>
      <c r="DU138" s="75" t="str">
        <f t="shared" si="71"/>
        <v>No aplica</v>
      </c>
      <c r="DV138" s="79" t="s">
        <v>182</v>
      </c>
      <c r="DW138" s="79" t="s">
        <v>182</v>
      </c>
      <c r="DX138" s="79"/>
      <c r="DY138" s="79"/>
      <c r="DZ138" s="79"/>
      <c r="EA138" s="79"/>
      <c r="EB138" s="79"/>
      <c r="EC138" s="79"/>
      <c r="ED138" s="79" t="s">
        <v>184</v>
      </c>
      <c r="EE138" s="79" t="str">
        <f t="shared" si="62"/>
        <v>Completo</v>
      </c>
      <c r="EF138" s="41"/>
      <c r="EG138" s="79" t="s">
        <v>153</v>
      </c>
      <c r="EH138" s="71"/>
      <c r="EI138" s="80"/>
      <c r="EJ138" s="71"/>
      <c r="EK138" s="79" t="s">
        <v>179</v>
      </c>
      <c r="EL138" s="76" t="str">
        <f t="shared" si="72"/>
        <v>No requiere</v>
      </c>
      <c r="EM138" s="76" t="str">
        <f t="shared" si="73"/>
        <v>No requiere</v>
      </c>
      <c r="EN138" s="76" t="str">
        <f t="shared" si="82"/>
        <v>No requiere</v>
      </c>
      <c r="EO138" s="71"/>
      <c r="EP138" s="73" t="str">
        <f t="shared" si="75"/>
        <v>No requiere</v>
      </c>
      <c r="EQ138" s="77" t="str">
        <f t="shared" si="76"/>
        <v>No requiere</v>
      </c>
      <c r="ER138" s="71"/>
      <c r="ES138" s="79" t="s">
        <v>179</v>
      </c>
      <c r="ET138" s="73" t="str">
        <f t="shared" si="77"/>
        <v>No requiere</v>
      </c>
      <c r="EU138" s="73" t="str">
        <f t="shared" si="83"/>
        <v>No requiere</v>
      </c>
      <c r="EV138" s="73" t="str">
        <f t="shared" si="79"/>
        <v>No requiere</v>
      </c>
      <c r="EW138" s="73" t="str">
        <f t="shared" si="80"/>
        <v>No requiere</v>
      </c>
      <c r="EX138" s="78"/>
      <c r="EY138" s="78"/>
    </row>
    <row r="139" spans="1:155" ht="46.5" customHeight="1">
      <c r="A139" s="79">
        <v>135</v>
      </c>
      <c r="B139" s="80" t="s">
        <v>1172</v>
      </c>
      <c r="C139" s="81">
        <v>45368</v>
      </c>
      <c r="D139" s="82">
        <v>0.41666666666666669</v>
      </c>
      <c r="E139" s="79" t="s">
        <v>151</v>
      </c>
      <c r="F139" s="79" t="s">
        <v>153</v>
      </c>
      <c r="G139" s="79" t="s">
        <v>153</v>
      </c>
      <c r="H139" s="79" t="s">
        <v>152</v>
      </c>
      <c r="I139" s="79" t="s">
        <v>152</v>
      </c>
      <c r="J139" s="79" t="s">
        <v>154</v>
      </c>
      <c r="K139" s="79" t="s">
        <v>155</v>
      </c>
      <c r="L139" s="80" t="s">
        <v>600</v>
      </c>
      <c r="M139" s="80" t="s">
        <v>327</v>
      </c>
      <c r="N139" s="79" t="s">
        <v>506</v>
      </c>
      <c r="O139" s="80" t="str">
        <f t="shared" si="63"/>
        <v>Maria Angélica Higuera, PENDIENTE</v>
      </c>
      <c r="P139" s="79" t="s">
        <v>328</v>
      </c>
      <c r="Q139" s="79" t="s">
        <v>196</v>
      </c>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t="s">
        <v>304</v>
      </c>
      <c r="AP139" s="79"/>
      <c r="AQ139" s="80" t="s">
        <v>171</v>
      </c>
      <c r="AR139" s="80" t="s">
        <v>171</v>
      </c>
      <c r="AS139" s="80" t="s">
        <v>171</v>
      </c>
      <c r="AT139" s="80" t="str">
        <f t="shared" si="64"/>
        <v>Sumapaz</v>
      </c>
      <c r="AU139" s="79" t="s">
        <v>510</v>
      </c>
      <c r="AV139" s="79"/>
      <c r="AW139" s="79"/>
      <c r="AX139" s="79"/>
      <c r="AY139" s="79"/>
      <c r="AZ139" s="79"/>
      <c r="BA139" s="80" t="str">
        <f t="shared" si="65"/>
        <v>Ruralidad</v>
      </c>
      <c r="BB139" s="79" t="s">
        <v>219</v>
      </c>
      <c r="BC139" s="79"/>
      <c r="BD139" s="79"/>
      <c r="BE139" s="79"/>
      <c r="BF139" s="79"/>
      <c r="BG139" s="79"/>
      <c r="BH139" s="80" t="str">
        <f t="shared" si="66"/>
        <v>Sumapaz</v>
      </c>
      <c r="BI139" s="79" t="s">
        <v>510</v>
      </c>
      <c r="BJ139" s="79"/>
      <c r="BK139" s="79"/>
      <c r="BL139" s="79"/>
      <c r="BM139" s="79"/>
      <c r="BN139" s="79"/>
      <c r="BO139" s="79"/>
      <c r="BP139" s="79"/>
      <c r="BQ139" s="79"/>
      <c r="BR139" s="79"/>
      <c r="BS139" s="80" t="s">
        <v>288</v>
      </c>
      <c r="BT139" s="80" t="s">
        <v>174</v>
      </c>
      <c r="BU139" s="80" t="s">
        <v>1173</v>
      </c>
      <c r="BV139" s="71"/>
      <c r="BW139" s="79" t="s">
        <v>153</v>
      </c>
      <c r="BX139" s="79" t="s">
        <v>607</v>
      </c>
      <c r="BY139" s="71"/>
      <c r="BZ139" s="79">
        <v>21</v>
      </c>
      <c r="CA139" s="79">
        <v>3</v>
      </c>
      <c r="CB139" s="79">
        <f t="shared" si="25"/>
        <v>24</v>
      </c>
      <c r="CC139" s="79" t="str">
        <f t="shared" si="81"/>
        <v>No Aplica</v>
      </c>
      <c r="CD139" s="79" t="s">
        <v>177</v>
      </c>
      <c r="CE139" s="79"/>
      <c r="CF139" s="79"/>
      <c r="CG139" s="83" t="s">
        <v>1174</v>
      </c>
      <c r="CH139" s="41"/>
      <c r="CI139" s="79" t="s">
        <v>153</v>
      </c>
      <c r="CJ139" s="71"/>
      <c r="CK139" s="79">
        <f t="shared" si="38"/>
        <v>0</v>
      </c>
      <c r="CL139" s="79"/>
      <c r="CM139" s="79"/>
      <c r="CN139" s="79"/>
      <c r="CO139" s="79"/>
      <c r="CP139" s="79"/>
      <c r="CQ139" s="79"/>
      <c r="CR139" s="83" t="s">
        <v>179</v>
      </c>
      <c r="CS139" s="83" t="s">
        <v>179</v>
      </c>
      <c r="CT139" s="83" t="s">
        <v>179</v>
      </c>
      <c r="CU139" s="83" t="s">
        <v>179</v>
      </c>
      <c r="CV139" s="83" t="s">
        <v>179</v>
      </c>
      <c r="CW139" s="83" t="s">
        <v>179</v>
      </c>
      <c r="CX139" s="79" t="s">
        <v>153</v>
      </c>
      <c r="CY139" s="79">
        <f t="shared" si="39"/>
        <v>0</v>
      </c>
      <c r="CZ139" s="79">
        <v>0</v>
      </c>
      <c r="DA139" s="79">
        <f t="shared" si="84"/>
        <v>0</v>
      </c>
      <c r="DB139" s="84" t="str">
        <f t="shared" si="46"/>
        <v/>
      </c>
      <c r="DC139" s="41"/>
      <c r="DD139" s="79" t="s">
        <v>153</v>
      </c>
      <c r="DE139" s="71"/>
      <c r="DF139" s="85" t="s">
        <v>1175</v>
      </c>
      <c r="DG139" s="79">
        <v>133</v>
      </c>
      <c r="DH139" s="86" t="str">
        <f t="shared" si="58"/>
        <v>Completo</v>
      </c>
      <c r="DI139" s="79" t="s">
        <v>181</v>
      </c>
      <c r="DJ139" s="79" t="s">
        <v>182</v>
      </c>
      <c r="DK139" s="79"/>
      <c r="DL139" s="79">
        <v>0</v>
      </c>
      <c r="DM139" s="79">
        <v>0</v>
      </c>
      <c r="DN139" s="79" t="s">
        <v>191</v>
      </c>
      <c r="DO139" s="79"/>
      <c r="DP139" s="79"/>
      <c r="DQ139" s="79"/>
      <c r="DR139" s="75" t="str">
        <f t="shared" si="70"/>
        <v>No aplica</v>
      </c>
      <c r="DS139" s="79"/>
      <c r="DT139" s="79"/>
      <c r="DU139" s="75" t="str">
        <f t="shared" si="71"/>
        <v>No aplica</v>
      </c>
      <c r="DV139" s="79" t="s">
        <v>182</v>
      </c>
      <c r="DW139" s="79" t="s">
        <v>182</v>
      </c>
      <c r="DX139" s="79"/>
      <c r="DY139" s="79"/>
      <c r="DZ139" s="79"/>
      <c r="EA139" s="79"/>
      <c r="EB139" s="79" t="s">
        <v>182</v>
      </c>
      <c r="EC139" s="79" t="s">
        <v>1176</v>
      </c>
      <c r="ED139" s="79" t="s">
        <v>184</v>
      </c>
      <c r="EE139" s="79" t="str">
        <f t="shared" si="62"/>
        <v>Completo</v>
      </c>
      <c r="EF139" s="41"/>
      <c r="EG139" s="79" t="s">
        <v>153</v>
      </c>
      <c r="EH139" s="71"/>
      <c r="EI139" s="80"/>
      <c r="EJ139" s="71"/>
      <c r="EK139" s="79" t="s">
        <v>179</v>
      </c>
      <c r="EL139" s="76" t="str">
        <f t="shared" si="72"/>
        <v>No requiere</v>
      </c>
      <c r="EM139" s="76" t="str">
        <f t="shared" si="73"/>
        <v>No requiere</v>
      </c>
      <c r="EN139" s="76" t="str">
        <f t="shared" si="82"/>
        <v>No requiere</v>
      </c>
      <c r="EO139" s="71"/>
      <c r="EP139" s="73" t="str">
        <f t="shared" si="75"/>
        <v>No requiere</v>
      </c>
      <c r="EQ139" s="77" t="str">
        <f t="shared" si="76"/>
        <v>No requiere</v>
      </c>
      <c r="ER139" s="71"/>
      <c r="ES139" s="79" t="s">
        <v>179</v>
      </c>
      <c r="ET139" s="73" t="str">
        <f t="shared" si="77"/>
        <v>No requiere</v>
      </c>
      <c r="EU139" s="73" t="str">
        <f t="shared" si="83"/>
        <v>No requiere</v>
      </c>
      <c r="EV139" s="73" t="str">
        <f t="shared" si="79"/>
        <v>No requiere</v>
      </c>
      <c r="EW139" s="73" t="str">
        <f t="shared" si="80"/>
        <v>No requiere</v>
      </c>
      <c r="EX139" s="78"/>
      <c r="EY139" s="78"/>
    </row>
    <row r="140" spans="1:155" ht="46.5" customHeight="1">
      <c r="A140" s="79">
        <v>136</v>
      </c>
      <c r="B140" s="80" t="s">
        <v>1177</v>
      </c>
      <c r="C140" s="81">
        <v>45368</v>
      </c>
      <c r="D140" s="82">
        <v>0.45833333333333331</v>
      </c>
      <c r="E140" s="79" t="s">
        <v>151</v>
      </c>
      <c r="F140" s="79" t="s">
        <v>153</v>
      </c>
      <c r="G140" s="79" t="s">
        <v>153</v>
      </c>
      <c r="H140" s="79" t="s">
        <v>152</v>
      </c>
      <c r="I140" s="79" t="s">
        <v>152</v>
      </c>
      <c r="J140" s="79" t="s">
        <v>154</v>
      </c>
      <c r="K140" s="79" t="s">
        <v>155</v>
      </c>
      <c r="L140" s="80" t="s">
        <v>600</v>
      </c>
      <c r="M140" s="80" t="s">
        <v>327</v>
      </c>
      <c r="N140" s="79" t="s">
        <v>525</v>
      </c>
      <c r="O140" s="80" t="str">
        <f t="shared" si="63"/>
        <v>PENDIENTE, PENDIENTE, PENDIENTE</v>
      </c>
      <c r="P140" s="79" t="s">
        <v>196</v>
      </c>
      <c r="Q140" s="79" t="s">
        <v>196</v>
      </c>
      <c r="R140" s="79" t="s">
        <v>196</v>
      </c>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t="s">
        <v>304</v>
      </c>
      <c r="AP140" s="79"/>
      <c r="AQ140" s="80" t="s">
        <v>171</v>
      </c>
      <c r="AR140" s="80" t="s">
        <v>171</v>
      </c>
      <c r="AS140" s="80" t="s">
        <v>171</v>
      </c>
      <c r="AT140" s="80" t="str">
        <f t="shared" si="64"/>
        <v>Usaquén</v>
      </c>
      <c r="AU140" s="79" t="s">
        <v>661</v>
      </c>
      <c r="AV140" s="79"/>
      <c r="AW140" s="79"/>
      <c r="AX140" s="79"/>
      <c r="AY140" s="79"/>
      <c r="AZ140" s="79"/>
      <c r="BA140" s="80" t="str">
        <f t="shared" si="65"/>
        <v>Distrital</v>
      </c>
      <c r="BB140" s="79" t="s">
        <v>172</v>
      </c>
      <c r="BC140" s="79"/>
      <c r="BD140" s="79"/>
      <c r="BE140" s="79"/>
      <c r="BF140" s="79"/>
      <c r="BG140" s="79"/>
      <c r="BH140" s="80" t="str">
        <f t="shared" si="66"/>
        <v>Distrital</v>
      </c>
      <c r="BI140" s="79" t="s">
        <v>172</v>
      </c>
      <c r="BJ140" s="79"/>
      <c r="BK140" s="79"/>
      <c r="BL140" s="79"/>
      <c r="BM140" s="79"/>
      <c r="BN140" s="79"/>
      <c r="BO140" s="79"/>
      <c r="BP140" s="79"/>
      <c r="BQ140" s="79"/>
      <c r="BR140" s="79"/>
      <c r="BS140" s="80" t="s">
        <v>288</v>
      </c>
      <c r="BT140" s="80" t="s">
        <v>174</v>
      </c>
      <c r="BU140" s="80" t="s">
        <v>1165</v>
      </c>
      <c r="BV140" s="71"/>
      <c r="BW140" s="79" t="s">
        <v>153</v>
      </c>
      <c r="BX140" s="79" t="s">
        <v>607</v>
      </c>
      <c r="BY140" s="71"/>
      <c r="BZ140" s="79">
        <v>44</v>
      </c>
      <c r="CA140" s="79">
        <v>5</v>
      </c>
      <c r="CB140" s="79">
        <f t="shared" si="25"/>
        <v>49</v>
      </c>
      <c r="CC140" s="79" t="str">
        <f t="shared" si="81"/>
        <v>No Aplica</v>
      </c>
      <c r="CD140" s="79" t="s">
        <v>177</v>
      </c>
      <c r="CE140" s="79"/>
      <c r="CF140" s="79"/>
      <c r="CG140" s="83" t="s">
        <v>1178</v>
      </c>
      <c r="CH140" s="41"/>
      <c r="CI140" s="79" t="s">
        <v>153</v>
      </c>
      <c r="CJ140" s="71"/>
      <c r="CK140" s="79">
        <f t="shared" si="38"/>
        <v>0</v>
      </c>
      <c r="CL140" s="79"/>
      <c r="CM140" s="79"/>
      <c r="CN140" s="79"/>
      <c r="CO140" s="79"/>
      <c r="CP140" s="79"/>
      <c r="CQ140" s="79"/>
      <c r="CR140" s="83" t="s">
        <v>179</v>
      </c>
      <c r="CS140" s="83" t="s">
        <v>179</v>
      </c>
      <c r="CT140" s="83" t="s">
        <v>179</v>
      </c>
      <c r="CU140" s="83" t="s">
        <v>179</v>
      </c>
      <c r="CV140" s="83" t="s">
        <v>179</v>
      </c>
      <c r="CW140" s="83" t="s">
        <v>179</v>
      </c>
      <c r="CX140" s="79" t="s">
        <v>153</v>
      </c>
      <c r="CY140" s="79">
        <f t="shared" si="39"/>
        <v>0</v>
      </c>
      <c r="CZ140" s="79">
        <v>0</v>
      </c>
      <c r="DA140" s="79">
        <f t="shared" si="84"/>
        <v>0</v>
      </c>
      <c r="DB140" s="84" t="str">
        <f t="shared" si="46"/>
        <v/>
      </c>
      <c r="DC140" s="41"/>
      <c r="DD140" s="79" t="s">
        <v>153</v>
      </c>
      <c r="DE140" s="71"/>
      <c r="DF140" s="85" t="s">
        <v>1179</v>
      </c>
      <c r="DG140" s="79">
        <v>134</v>
      </c>
      <c r="DH140" s="86" t="str">
        <f t="shared" si="58"/>
        <v>Completo</v>
      </c>
      <c r="DI140" s="79" t="s">
        <v>181</v>
      </c>
      <c r="DJ140" s="79" t="s">
        <v>182</v>
      </c>
      <c r="DK140" s="79"/>
      <c r="DL140" s="79">
        <v>0</v>
      </c>
      <c r="DM140" s="79">
        <v>0</v>
      </c>
      <c r="DN140" s="79" t="s">
        <v>182</v>
      </c>
      <c r="DO140" s="79"/>
      <c r="DP140" s="79"/>
      <c r="DQ140" s="79"/>
      <c r="DR140" s="75" t="str">
        <f t="shared" si="70"/>
        <v>No aplica</v>
      </c>
      <c r="DS140" s="79"/>
      <c r="DT140" s="79"/>
      <c r="DU140" s="75" t="str">
        <f t="shared" si="71"/>
        <v>No aplica</v>
      </c>
      <c r="DV140" s="79" t="s">
        <v>182</v>
      </c>
      <c r="DW140" s="79" t="s">
        <v>191</v>
      </c>
      <c r="DX140" s="79"/>
      <c r="DY140" s="79"/>
      <c r="DZ140" s="79"/>
      <c r="EA140" s="79"/>
      <c r="EB140" s="79"/>
      <c r="EC140" s="79"/>
      <c r="ED140" s="79" t="s">
        <v>1180</v>
      </c>
      <c r="EE140" s="79" t="str">
        <f t="shared" si="62"/>
        <v>Completo</v>
      </c>
      <c r="EF140" s="41"/>
      <c r="EG140" s="79" t="s">
        <v>153</v>
      </c>
      <c r="EH140" s="71"/>
      <c r="EI140" s="80"/>
      <c r="EJ140" s="71"/>
      <c r="EK140" s="79" t="s">
        <v>179</v>
      </c>
      <c r="EL140" s="76" t="str">
        <f t="shared" si="72"/>
        <v>No requiere</v>
      </c>
      <c r="EM140" s="76" t="str">
        <f t="shared" si="73"/>
        <v>No requiere</v>
      </c>
      <c r="EN140" s="76" t="str">
        <f t="shared" si="82"/>
        <v>No requiere</v>
      </c>
      <c r="EO140" s="71"/>
      <c r="EP140" s="73" t="str">
        <f t="shared" si="75"/>
        <v>No requiere</v>
      </c>
      <c r="EQ140" s="77" t="str">
        <f t="shared" si="76"/>
        <v>No requiere</v>
      </c>
      <c r="ER140" s="71"/>
      <c r="ES140" s="79" t="s">
        <v>179</v>
      </c>
      <c r="ET140" s="73" t="str">
        <f t="shared" si="77"/>
        <v>No requiere</v>
      </c>
      <c r="EU140" s="73" t="str">
        <f t="shared" si="83"/>
        <v>No requiere</v>
      </c>
      <c r="EV140" s="73" t="str">
        <f t="shared" si="79"/>
        <v>No requiere</v>
      </c>
      <c r="EW140" s="73" t="str">
        <f t="shared" si="80"/>
        <v>No requiere</v>
      </c>
      <c r="EX140" s="78"/>
      <c r="EY140" s="78"/>
    </row>
    <row r="141" spans="1:155" ht="46.5" customHeight="1">
      <c r="A141" s="79" t="str">
        <v/>
      </c>
      <c r="B141" s="80" t="s">
        <v>1181</v>
      </c>
      <c r="C141" s="81">
        <v>45369</v>
      </c>
      <c r="D141" s="82">
        <v>0.33333333333333331</v>
      </c>
      <c r="E141" s="79" t="s">
        <v>151</v>
      </c>
      <c r="F141" s="79" t="s">
        <v>152</v>
      </c>
      <c r="G141" s="79" t="s">
        <v>153</v>
      </c>
      <c r="H141" s="79" t="s">
        <v>152</v>
      </c>
      <c r="I141" s="79" t="s">
        <v>152</v>
      </c>
      <c r="J141" s="79" t="s">
        <v>154</v>
      </c>
      <c r="K141" s="79" t="s">
        <v>155</v>
      </c>
      <c r="L141" s="80" t="s">
        <v>1182</v>
      </c>
      <c r="M141" s="80" t="s">
        <v>157</v>
      </c>
      <c r="N141" s="79" t="s">
        <v>720</v>
      </c>
      <c r="O141" s="80" t="str">
        <f t="shared" si="63"/>
        <v>Joan Sebastian García</v>
      </c>
      <c r="P141" s="79" t="s">
        <v>728</v>
      </c>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t="s">
        <v>169</v>
      </c>
      <c r="AP141" s="79" t="s">
        <v>204</v>
      </c>
      <c r="AQ141" s="80" t="s">
        <v>1183</v>
      </c>
      <c r="AR141" s="83" t="s">
        <v>1184</v>
      </c>
      <c r="AS141" s="80" t="s">
        <v>1185</v>
      </c>
      <c r="AT141" s="80" t="str">
        <f t="shared" si="64"/>
        <v>Distrital</v>
      </c>
      <c r="AU141" s="79" t="s">
        <v>172</v>
      </c>
      <c r="AV141" s="79"/>
      <c r="AW141" s="79"/>
      <c r="AX141" s="79"/>
      <c r="AY141" s="79"/>
      <c r="AZ141" s="79"/>
      <c r="BA141" s="80" t="str">
        <f t="shared" si="65"/>
        <v>Distrital</v>
      </c>
      <c r="BB141" s="79" t="s">
        <v>172</v>
      </c>
      <c r="BC141" s="79"/>
      <c r="BD141" s="79"/>
      <c r="BE141" s="79"/>
      <c r="BF141" s="79"/>
      <c r="BG141" s="79"/>
      <c r="BH141" s="80" t="str">
        <f t="shared" si="66"/>
        <v>Distrital</v>
      </c>
      <c r="BI141" s="79" t="s">
        <v>172</v>
      </c>
      <c r="BJ141" s="79"/>
      <c r="BK141" s="79"/>
      <c r="BL141" s="79"/>
      <c r="BM141" s="79"/>
      <c r="BN141" s="79"/>
      <c r="BO141" s="79"/>
      <c r="BP141" s="79"/>
      <c r="BQ141" s="79"/>
      <c r="BR141" s="79"/>
      <c r="BS141" s="80" t="s">
        <v>288</v>
      </c>
      <c r="BT141" s="80" t="s">
        <v>174</v>
      </c>
      <c r="BU141" s="80" t="s">
        <v>1186</v>
      </c>
      <c r="BV141" s="71"/>
      <c r="BW141" s="79" t="s">
        <v>153</v>
      </c>
      <c r="BX141" s="79" t="s">
        <v>176</v>
      </c>
      <c r="BY141" s="71"/>
      <c r="BZ141" s="79">
        <v>20</v>
      </c>
      <c r="CA141" s="79">
        <v>3</v>
      </c>
      <c r="CB141" s="79">
        <f t="shared" si="25"/>
        <v>23</v>
      </c>
      <c r="CC141" s="79" t="str">
        <f t="shared" si="81"/>
        <v>No Aplica</v>
      </c>
      <c r="CD141" s="79" t="s">
        <v>177</v>
      </c>
      <c r="CE141" s="79"/>
      <c r="CF141" s="79"/>
      <c r="CG141" s="83" t="s">
        <v>1187</v>
      </c>
      <c r="CH141" s="41"/>
      <c r="CI141" s="79" t="s">
        <v>153</v>
      </c>
      <c r="CJ141" s="71"/>
      <c r="CK141" s="79">
        <f t="shared" si="38"/>
        <v>0</v>
      </c>
      <c r="CL141" s="79"/>
      <c r="CM141" s="79"/>
      <c r="CN141" s="79"/>
      <c r="CO141" s="79"/>
      <c r="CP141" s="79"/>
      <c r="CQ141" s="79"/>
      <c r="CR141" s="83" t="s">
        <v>179</v>
      </c>
      <c r="CS141" s="83" t="s">
        <v>179</v>
      </c>
      <c r="CT141" s="83" t="s">
        <v>179</v>
      </c>
      <c r="CU141" s="83" t="s">
        <v>179</v>
      </c>
      <c r="CV141" s="83" t="s">
        <v>179</v>
      </c>
      <c r="CW141" s="83" t="s">
        <v>179</v>
      </c>
      <c r="CX141" s="79" t="s">
        <v>153</v>
      </c>
      <c r="CY141" s="79">
        <f t="shared" si="39"/>
        <v>0</v>
      </c>
      <c r="CZ141" s="79">
        <v>0</v>
      </c>
      <c r="DA141" s="79">
        <f t="shared" si="84"/>
        <v>0</v>
      </c>
      <c r="DB141" s="84" t="str">
        <f t="shared" si="46"/>
        <v/>
      </c>
      <c r="DC141" s="41"/>
      <c r="DD141" s="79" t="s">
        <v>153</v>
      </c>
      <c r="DE141" s="71"/>
      <c r="DF141" s="85" t="s">
        <v>1188</v>
      </c>
      <c r="DG141" s="79">
        <v>135</v>
      </c>
      <c r="DH141" s="86" t="str">
        <f t="shared" si="58"/>
        <v>Completo</v>
      </c>
      <c r="DI141" s="79" t="s">
        <v>181</v>
      </c>
      <c r="DJ141" s="79" t="s">
        <v>182</v>
      </c>
      <c r="DK141" s="79"/>
      <c r="DL141" s="79">
        <v>0</v>
      </c>
      <c r="DM141" s="79">
        <v>0</v>
      </c>
      <c r="DN141" s="79" t="s">
        <v>191</v>
      </c>
      <c r="DO141" s="79"/>
      <c r="DP141" s="79"/>
      <c r="DQ141" s="79"/>
      <c r="DR141" s="75" t="str">
        <f t="shared" si="70"/>
        <v>No aplica</v>
      </c>
      <c r="DS141" s="79"/>
      <c r="DT141" s="79"/>
      <c r="DU141" s="75" t="str">
        <f t="shared" si="71"/>
        <v>No aplica</v>
      </c>
      <c r="DV141" s="79" t="s">
        <v>182</v>
      </c>
      <c r="DW141" s="79" t="s">
        <v>191</v>
      </c>
      <c r="DX141" s="79"/>
      <c r="DY141" s="79"/>
      <c r="DZ141" s="79"/>
      <c r="EA141" s="79"/>
      <c r="EB141" s="79" t="s">
        <v>191</v>
      </c>
      <c r="EC141" s="79"/>
      <c r="ED141" s="79" t="s">
        <v>1189</v>
      </c>
      <c r="EE141" s="79" t="str">
        <f t="shared" si="62"/>
        <v>Completo</v>
      </c>
      <c r="EF141" s="41"/>
      <c r="EG141" s="79" t="s">
        <v>153</v>
      </c>
      <c r="EH141" s="71"/>
      <c r="EI141" s="80"/>
      <c r="EJ141" s="71"/>
      <c r="EK141" s="79" t="s">
        <v>179</v>
      </c>
      <c r="EL141" s="76" t="str">
        <f t="shared" si="72"/>
        <v>No requiere</v>
      </c>
      <c r="EM141" s="76" t="str">
        <f t="shared" si="73"/>
        <v>No requiere</v>
      </c>
      <c r="EN141" s="76" t="str">
        <f t="shared" si="82"/>
        <v>No requiere</v>
      </c>
      <c r="EO141" s="71"/>
      <c r="EP141" s="73" t="str">
        <f t="shared" si="75"/>
        <v>No requiere</v>
      </c>
      <c r="EQ141" s="77" t="str">
        <f t="shared" si="76"/>
        <v>No requiere</v>
      </c>
      <c r="ER141" s="71"/>
      <c r="ES141" s="79" t="s">
        <v>179</v>
      </c>
      <c r="ET141" s="73" t="str">
        <f t="shared" si="77"/>
        <v>No requiere</v>
      </c>
      <c r="EU141" s="73" t="str">
        <f t="shared" si="83"/>
        <v>No requiere</v>
      </c>
      <c r="EV141" s="73" t="str">
        <f t="shared" si="79"/>
        <v>No requiere</v>
      </c>
      <c r="EW141" s="73" t="str">
        <f t="shared" si="80"/>
        <v>No requiere</v>
      </c>
      <c r="EX141" s="78"/>
      <c r="EY141" s="78"/>
    </row>
    <row r="142" spans="1:155" ht="46.5" customHeight="1">
      <c r="A142" s="79">
        <v>138</v>
      </c>
      <c r="B142" s="80" t="s">
        <v>1190</v>
      </c>
      <c r="C142" s="81">
        <v>45369</v>
      </c>
      <c r="D142" s="82">
        <v>0.4375</v>
      </c>
      <c r="E142" s="79" t="s">
        <v>151</v>
      </c>
      <c r="F142" s="79" t="s">
        <v>153</v>
      </c>
      <c r="G142" s="79" t="s">
        <v>153</v>
      </c>
      <c r="H142" s="79" t="s">
        <v>152</v>
      </c>
      <c r="I142" s="79" t="s">
        <v>152</v>
      </c>
      <c r="J142" s="79" t="s">
        <v>154</v>
      </c>
      <c r="K142" s="79" t="s">
        <v>155</v>
      </c>
      <c r="L142" s="80" t="s">
        <v>1191</v>
      </c>
      <c r="M142" s="80" t="s">
        <v>157</v>
      </c>
      <c r="N142" s="79" t="s">
        <v>887</v>
      </c>
      <c r="O142" s="80" t="str">
        <f t="shared" si="63"/>
        <v>Yeiker Guerra Sarmiento</v>
      </c>
      <c r="P142" s="79" t="s">
        <v>163</v>
      </c>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t="s">
        <v>169</v>
      </c>
      <c r="AP142" s="79" t="s">
        <v>170</v>
      </c>
      <c r="AQ142" s="80" t="s">
        <v>1192</v>
      </c>
      <c r="AR142" s="83">
        <v>3143909467</v>
      </c>
      <c r="AS142" s="80" t="s">
        <v>1193</v>
      </c>
      <c r="AT142" s="80" t="str">
        <f t="shared" si="64"/>
        <v>Distrital</v>
      </c>
      <c r="AU142" s="79" t="s">
        <v>172</v>
      </c>
      <c r="AV142" s="79"/>
      <c r="AW142" s="79"/>
      <c r="AX142" s="79"/>
      <c r="AY142" s="79"/>
      <c r="AZ142" s="79"/>
      <c r="BA142" s="80" t="str">
        <f t="shared" si="65"/>
        <v>Distrital</v>
      </c>
      <c r="BB142" s="79" t="s">
        <v>172</v>
      </c>
      <c r="BC142" s="79"/>
      <c r="BD142" s="79"/>
      <c r="BE142" s="79"/>
      <c r="BF142" s="79"/>
      <c r="BG142" s="79"/>
      <c r="BH142" s="80" t="str">
        <f t="shared" si="66"/>
        <v>Distrital</v>
      </c>
      <c r="BI142" s="79" t="s">
        <v>172</v>
      </c>
      <c r="BJ142" s="79"/>
      <c r="BK142" s="79"/>
      <c r="BL142" s="79"/>
      <c r="BM142" s="79"/>
      <c r="BN142" s="79"/>
      <c r="BO142" s="79"/>
      <c r="BP142" s="79"/>
      <c r="BQ142" s="79"/>
      <c r="BR142" s="79"/>
      <c r="BS142" s="80" t="s">
        <v>288</v>
      </c>
      <c r="BT142" s="80" t="s">
        <v>174</v>
      </c>
      <c r="BU142" s="80" t="s">
        <v>1194</v>
      </c>
      <c r="BV142" s="71"/>
      <c r="BW142" s="79" t="s">
        <v>153</v>
      </c>
      <c r="BX142" s="79" t="s">
        <v>176</v>
      </c>
      <c r="BY142" s="71"/>
      <c r="BZ142" s="79">
        <v>5</v>
      </c>
      <c r="CA142" s="79">
        <v>2</v>
      </c>
      <c r="CB142" s="79">
        <f t="shared" si="25"/>
        <v>7</v>
      </c>
      <c r="CC142" s="79" t="str">
        <f t="shared" si="81"/>
        <v>No Aplica</v>
      </c>
      <c r="CD142" s="79" t="s">
        <v>177</v>
      </c>
      <c r="CE142" s="79"/>
      <c r="CF142" s="79"/>
      <c r="CG142" s="83" t="s">
        <v>1195</v>
      </c>
      <c r="CH142" s="41"/>
      <c r="CI142" s="79" t="s">
        <v>153</v>
      </c>
      <c r="CJ142" s="71"/>
      <c r="CK142" s="79">
        <f t="shared" si="38"/>
        <v>0</v>
      </c>
      <c r="CL142" s="79"/>
      <c r="CM142" s="79"/>
      <c r="CN142" s="79"/>
      <c r="CO142" s="79"/>
      <c r="CP142" s="79"/>
      <c r="CQ142" s="79"/>
      <c r="CR142" s="83" t="s">
        <v>179</v>
      </c>
      <c r="CS142" s="83" t="s">
        <v>179</v>
      </c>
      <c r="CT142" s="83" t="s">
        <v>179</v>
      </c>
      <c r="CU142" s="83" t="s">
        <v>179</v>
      </c>
      <c r="CV142" s="83" t="s">
        <v>179</v>
      </c>
      <c r="CW142" s="83" t="s">
        <v>179</v>
      </c>
      <c r="CX142" s="79" t="s">
        <v>153</v>
      </c>
      <c r="CY142" s="79">
        <f t="shared" si="39"/>
        <v>0</v>
      </c>
      <c r="CZ142" s="79">
        <v>0</v>
      </c>
      <c r="DA142" s="79">
        <f t="shared" si="84"/>
        <v>0</v>
      </c>
      <c r="DB142" s="84" t="str">
        <f t="shared" si="46"/>
        <v/>
      </c>
      <c r="DC142" s="41"/>
      <c r="DD142" s="79" t="s">
        <v>153</v>
      </c>
      <c r="DE142" s="71"/>
      <c r="DF142" s="85" t="s">
        <v>1196</v>
      </c>
      <c r="DG142" s="79">
        <v>136</v>
      </c>
      <c r="DH142" s="86" t="str">
        <f t="shared" si="58"/>
        <v>Completo</v>
      </c>
      <c r="DI142" s="79" t="s">
        <v>181</v>
      </c>
      <c r="DJ142" s="79" t="s">
        <v>182</v>
      </c>
      <c r="DK142" s="79"/>
      <c r="DL142" s="79"/>
      <c r="DM142" s="79"/>
      <c r="DN142" s="79" t="s">
        <v>182</v>
      </c>
      <c r="DO142" s="79"/>
      <c r="DP142" s="79"/>
      <c r="DQ142" s="79"/>
      <c r="DR142" s="75" t="str">
        <f t="shared" si="70"/>
        <v>No aplica</v>
      </c>
      <c r="DS142" s="79"/>
      <c r="DT142" s="79"/>
      <c r="DU142" s="75" t="str">
        <f t="shared" si="71"/>
        <v>No aplica</v>
      </c>
      <c r="DV142" s="79" t="s">
        <v>191</v>
      </c>
      <c r="DW142" s="79" t="s">
        <v>191</v>
      </c>
      <c r="DX142" s="79"/>
      <c r="DY142" s="79"/>
      <c r="DZ142" s="79"/>
      <c r="EA142" s="79"/>
      <c r="EB142" s="79"/>
      <c r="EC142" s="79"/>
      <c r="ED142" s="79" t="s">
        <v>1197</v>
      </c>
      <c r="EE142" s="79" t="str">
        <f t="shared" si="62"/>
        <v>Completo</v>
      </c>
      <c r="EF142" s="41"/>
      <c r="EG142" s="79" t="s">
        <v>153</v>
      </c>
      <c r="EH142" s="71"/>
      <c r="EI142" s="80"/>
      <c r="EJ142" s="71"/>
      <c r="EK142" s="79" t="s">
        <v>179</v>
      </c>
      <c r="EL142" s="76" t="str">
        <f t="shared" si="72"/>
        <v>No requiere</v>
      </c>
      <c r="EM142" s="76" t="str">
        <f t="shared" si="73"/>
        <v>No requiere</v>
      </c>
      <c r="EN142" s="76" t="str">
        <f t="shared" si="82"/>
        <v>No requiere</v>
      </c>
      <c r="EO142" s="71"/>
      <c r="EP142" s="73" t="str">
        <f t="shared" si="75"/>
        <v>No requiere</v>
      </c>
      <c r="EQ142" s="77" t="str">
        <f t="shared" si="76"/>
        <v>No requiere</v>
      </c>
      <c r="ER142" s="71"/>
      <c r="ES142" s="79" t="s">
        <v>179</v>
      </c>
      <c r="ET142" s="73" t="str">
        <f t="shared" si="77"/>
        <v>No requiere</v>
      </c>
      <c r="EU142" s="73" t="str">
        <f t="shared" si="83"/>
        <v>No requiere</v>
      </c>
      <c r="EV142" s="73" t="str">
        <f t="shared" si="79"/>
        <v>No requiere</v>
      </c>
      <c r="EW142" s="73" t="str">
        <f t="shared" si="80"/>
        <v>No requiere</v>
      </c>
      <c r="EX142" s="78"/>
      <c r="EY142" s="78"/>
    </row>
    <row r="143" spans="1:155" ht="46.5" customHeight="1">
      <c r="A143" s="79" t="str">
        <v/>
      </c>
      <c r="B143" s="80" t="s">
        <v>1198</v>
      </c>
      <c r="C143" s="81">
        <v>45369</v>
      </c>
      <c r="D143" s="82">
        <v>0.45833333333333331</v>
      </c>
      <c r="E143" s="79" t="s">
        <v>151</v>
      </c>
      <c r="F143" s="79" t="s">
        <v>152</v>
      </c>
      <c r="G143" s="79" t="s">
        <v>153</v>
      </c>
      <c r="H143" s="79" t="s">
        <v>152</v>
      </c>
      <c r="I143" s="79" t="s">
        <v>152</v>
      </c>
      <c r="J143" s="79" t="s">
        <v>251</v>
      </c>
      <c r="K143" s="79" t="s">
        <v>155</v>
      </c>
      <c r="L143" s="80" t="s">
        <v>1199</v>
      </c>
      <c r="M143" s="80" t="s">
        <v>157</v>
      </c>
      <c r="N143" s="79" t="s">
        <v>924</v>
      </c>
      <c r="O143" s="80" t="str">
        <f t="shared" si="63"/>
        <v/>
      </c>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t="s">
        <v>169</v>
      </c>
      <c r="AP143" s="79" t="s">
        <v>170</v>
      </c>
      <c r="AQ143" s="80" t="s">
        <v>171</v>
      </c>
      <c r="AR143" s="83" t="s">
        <v>171</v>
      </c>
      <c r="AS143" s="80" t="s">
        <v>171</v>
      </c>
      <c r="AT143" s="80" t="str">
        <f t="shared" si="64"/>
        <v>Distrital</v>
      </c>
      <c r="AU143" s="79" t="s">
        <v>172</v>
      </c>
      <c r="AV143" s="79"/>
      <c r="AW143" s="79"/>
      <c r="AX143" s="79"/>
      <c r="AY143" s="79"/>
      <c r="AZ143" s="79"/>
      <c r="BA143" s="80" t="str">
        <f t="shared" si="65"/>
        <v>Distrital</v>
      </c>
      <c r="BB143" s="79" t="s">
        <v>172</v>
      </c>
      <c r="BC143" s="79"/>
      <c r="BD143" s="79"/>
      <c r="BE143" s="79"/>
      <c r="BF143" s="79"/>
      <c r="BG143" s="79"/>
      <c r="BH143" s="80" t="str">
        <f t="shared" si="66"/>
        <v>Distrital</v>
      </c>
      <c r="BI143" s="79" t="s">
        <v>172</v>
      </c>
      <c r="BJ143" s="79"/>
      <c r="BK143" s="79"/>
      <c r="BL143" s="79"/>
      <c r="BM143" s="79"/>
      <c r="BN143" s="79"/>
      <c r="BO143" s="79"/>
      <c r="BP143" s="79"/>
      <c r="BQ143" s="79"/>
      <c r="BR143" s="79"/>
      <c r="BS143" s="80" t="s">
        <v>288</v>
      </c>
      <c r="BT143" s="80" t="s">
        <v>174</v>
      </c>
      <c r="BU143" s="89" t="s">
        <v>1200</v>
      </c>
      <c r="BV143" s="71"/>
      <c r="BW143" s="79" t="s">
        <v>152</v>
      </c>
      <c r="BX143" s="79" t="s">
        <v>179</v>
      </c>
      <c r="BY143" s="71"/>
      <c r="BZ143" s="79">
        <v>1</v>
      </c>
      <c r="CA143" s="79">
        <v>1</v>
      </c>
      <c r="CB143" s="79">
        <f t="shared" si="25"/>
        <v>2</v>
      </c>
      <c r="CC143" s="79" t="str">
        <f t="shared" si="81"/>
        <v>No Aplica</v>
      </c>
      <c r="CD143" s="79" t="s">
        <v>177</v>
      </c>
      <c r="CE143" s="79"/>
      <c r="CF143" s="79"/>
      <c r="CG143" s="83" t="s">
        <v>1201</v>
      </c>
      <c r="CH143" s="41"/>
      <c r="CI143" s="79" t="s">
        <v>153</v>
      </c>
      <c r="CJ143" s="71"/>
      <c r="CK143" s="79">
        <f t="shared" si="38"/>
        <v>0</v>
      </c>
      <c r="CL143" s="79"/>
      <c r="CM143" s="79"/>
      <c r="CN143" s="79"/>
      <c r="CO143" s="79"/>
      <c r="CP143" s="79"/>
      <c r="CQ143" s="79"/>
      <c r="CR143" s="83" t="s">
        <v>179</v>
      </c>
      <c r="CS143" s="83" t="s">
        <v>179</v>
      </c>
      <c r="CT143" s="83" t="s">
        <v>179</v>
      </c>
      <c r="CU143" s="83" t="s">
        <v>179</v>
      </c>
      <c r="CV143" s="83" t="s">
        <v>179</v>
      </c>
      <c r="CW143" s="83" t="s">
        <v>179</v>
      </c>
      <c r="CX143" s="79" t="s">
        <v>153</v>
      </c>
      <c r="CY143" s="79">
        <f t="shared" si="39"/>
        <v>0</v>
      </c>
      <c r="CZ143" s="79">
        <v>0</v>
      </c>
      <c r="DA143" s="79">
        <f t="shared" si="84"/>
        <v>0</v>
      </c>
      <c r="DB143" s="84" t="str">
        <f t="shared" si="46"/>
        <v/>
      </c>
      <c r="DC143" s="41"/>
      <c r="DD143" s="79" t="s">
        <v>153</v>
      </c>
      <c r="DE143" s="71"/>
      <c r="DF143" s="85" t="s">
        <v>1202</v>
      </c>
      <c r="DG143" s="79">
        <v>137</v>
      </c>
      <c r="DH143" s="86" t="str">
        <f t="shared" si="58"/>
        <v>Completo</v>
      </c>
      <c r="DI143" s="79" t="s">
        <v>181</v>
      </c>
      <c r="DJ143" s="79" t="s">
        <v>182</v>
      </c>
      <c r="DK143" s="79"/>
      <c r="DL143" s="79">
        <v>0</v>
      </c>
      <c r="DM143" s="79">
        <v>0</v>
      </c>
      <c r="DN143" s="79" t="s">
        <v>191</v>
      </c>
      <c r="DO143" s="79"/>
      <c r="DP143" s="79"/>
      <c r="DQ143" s="79"/>
      <c r="DR143" s="75" t="str">
        <f t="shared" si="70"/>
        <v>No aplica</v>
      </c>
      <c r="DS143" s="79"/>
      <c r="DT143" s="79"/>
      <c r="DU143" s="75" t="str">
        <f t="shared" si="71"/>
        <v>No aplica</v>
      </c>
      <c r="DV143" s="79" t="s">
        <v>182</v>
      </c>
      <c r="DW143" s="79" t="s">
        <v>182</v>
      </c>
      <c r="DX143" s="79"/>
      <c r="DY143" s="79"/>
      <c r="DZ143" s="79"/>
      <c r="EA143" s="79"/>
      <c r="EB143" s="79"/>
      <c r="EC143" s="79"/>
      <c r="ED143" s="79" t="s">
        <v>1203</v>
      </c>
      <c r="EE143" s="79" t="str">
        <f t="shared" si="62"/>
        <v>Completo</v>
      </c>
      <c r="EF143" s="41"/>
      <c r="EG143" s="79" t="s">
        <v>153</v>
      </c>
      <c r="EH143" s="71"/>
      <c r="EI143" s="80"/>
      <c r="EJ143" s="71"/>
      <c r="EK143" s="79" t="s">
        <v>179</v>
      </c>
      <c r="EL143" s="76" t="str">
        <f t="shared" si="72"/>
        <v>No requiere</v>
      </c>
      <c r="EM143" s="76" t="str">
        <f t="shared" si="73"/>
        <v>No requiere</v>
      </c>
      <c r="EN143" s="76" t="str">
        <f t="shared" si="82"/>
        <v>No requiere</v>
      </c>
      <c r="EO143" s="71"/>
      <c r="EP143" s="73" t="str">
        <f t="shared" si="75"/>
        <v>No requiere</v>
      </c>
      <c r="EQ143" s="77" t="str">
        <f t="shared" si="76"/>
        <v>No requiere</v>
      </c>
      <c r="ER143" s="71"/>
      <c r="ES143" s="79" t="s">
        <v>179</v>
      </c>
      <c r="ET143" s="73" t="str">
        <f t="shared" si="77"/>
        <v>No requiere</v>
      </c>
      <c r="EU143" s="73" t="str">
        <f t="shared" si="83"/>
        <v>No requiere</v>
      </c>
      <c r="EV143" s="73" t="str">
        <f t="shared" si="79"/>
        <v>No requiere</v>
      </c>
      <c r="EW143" s="73" t="str">
        <f t="shared" si="80"/>
        <v>No requiere</v>
      </c>
      <c r="EX143" s="78"/>
      <c r="EY143" s="78"/>
    </row>
    <row r="144" spans="1:155" ht="46.5" customHeight="1">
      <c r="A144" s="79" t="str">
        <v/>
      </c>
      <c r="B144" s="80" t="s">
        <v>1204</v>
      </c>
      <c r="C144" s="81">
        <v>45369</v>
      </c>
      <c r="D144" s="94">
        <v>0.58333333333333337</v>
      </c>
      <c r="E144" s="79" t="s">
        <v>151</v>
      </c>
      <c r="F144" s="79" t="s">
        <v>152</v>
      </c>
      <c r="G144" s="79" t="s">
        <v>152</v>
      </c>
      <c r="H144" s="79" t="s">
        <v>152</v>
      </c>
      <c r="I144" s="79" t="s">
        <v>152</v>
      </c>
      <c r="J144" s="79" t="s">
        <v>251</v>
      </c>
      <c r="K144" s="79" t="s">
        <v>155</v>
      </c>
      <c r="L144" s="80" t="s">
        <v>1205</v>
      </c>
      <c r="M144" s="80" t="s">
        <v>157</v>
      </c>
      <c r="N144" s="79" t="s">
        <v>924</v>
      </c>
      <c r="O144" s="80" t="str">
        <f t="shared" si="63"/>
        <v/>
      </c>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t="s">
        <v>169</v>
      </c>
      <c r="AP144" s="79" t="s">
        <v>170</v>
      </c>
      <c r="AQ144" s="80" t="s">
        <v>1206</v>
      </c>
      <c r="AR144" s="80">
        <v>3014462599</v>
      </c>
      <c r="AS144" s="80" t="s">
        <v>1207</v>
      </c>
      <c r="AT144" s="80" t="str">
        <f t="shared" si="64"/>
        <v>Distrital</v>
      </c>
      <c r="AU144" s="79" t="s">
        <v>172</v>
      </c>
      <c r="AV144" s="79"/>
      <c r="AW144" s="79"/>
      <c r="AX144" s="79"/>
      <c r="AY144" s="79"/>
      <c r="AZ144" s="79"/>
      <c r="BA144" s="80" t="str">
        <f t="shared" si="65"/>
        <v>Distrital</v>
      </c>
      <c r="BB144" s="79" t="s">
        <v>172</v>
      </c>
      <c r="BC144" s="79"/>
      <c r="BD144" s="79"/>
      <c r="BE144" s="79"/>
      <c r="BF144" s="79"/>
      <c r="BG144" s="79"/>
      <c r="BH144" s="80" t="str">
        <f t="shared" si="66"/>
        <v>Distrital</v>
      </c>
      <c r="BI144" s="79" t="s">
        <v>172</v>
      </c>
      <c r="BJ144" s="79"/>
      <c r="BK144" s="79"/>
      <c r="BL144" s="79"/>
      <c r="BM144" s="79"/>
      <c r="BN144" s="79"/>
      <c r="BO144" s="79"/>
      <c r="BP144" s="79"/>
      <c r="BQ144" s="79"/>
      <c r="BR144" s="79"/>
      <c r="BS144" s="80" t="s">
        <v>288</v>
      </c>
      <c r="BT144" s="80" t="s">
        <v>174</v>
      </c>
      <c r="BU144" s="80" t="s">
        <v>1026</v>
      </c>
      <c r="BV144" s="71"/>
      <c r="BW144" s="79" t="s">
        <v>152</v>
      </c>
      <c r="BX144" s="79" t="s">
        <v>179</v>
      </c>
      <c r="BY144" s="71"/>
      <c r="BZ144" s="79">
        <v>5</v>
      </c>
      <c r="CA144" s="79">
        <v>3</v>
      </c>
      <c r="CB144" s="79">
        <f t="shared" si="25"/>
        <v>8</v>
      </c>
      <c r="CC144" s="79" t="str">
        <f t="shared" si="81"/>
        <v>No Aplica</v>
      </c>
      <c r="CD144" s="79" t="s">
        <v>177</v>
      </c>
      <c r="CE144" s="79"/>
      <c r="CF144" s="79"/>
      <c r="CG144" s="83" t="s">
        <v>1208</v>
      </c>
      <c r="CH144" s="41"/>
      <c r="CI144" s="79" t="s">
        <v>153</v>
      </c>
      <c r="CJ144" s="71"/>
      <c r="CK144" s="79">
        <f t="shared" si="38"/>
        <v>0</v>
      </c>
      <c r="CL144" s="79"/>
      <c r="CM144" s="79"/>
      <c r="CN144" s="79"/>
      <c r="CO144" s="79"/>
      <c r="CP144" s="79"/>
      <c r="CQ144" s="79"/>
      <c r="CR144" s="83" t="s">
        <v>179</v>
      </c>
      <c r="CS144" s="83" t="s">
        <v>179</v>
      </c>
      <c r="CT144" s="83" t="s">
        <v>179</v>
      </c>
      <c r="CU144" s="83" t="s">
        <v>179</v>
      </c>
      <c r="CV144" s="83" t="s">
        <v>179</v>
      </c>
      <c r="CW144" s="83" t="s">
        <v>179</v>
      </c>
      <c r="CX144" s="79" t="s">
        <v>153</v>
      </c>
      <c r="CY144" s="79">
        <f t="shared" si="39"/>
        <v>0</v>
      </c>
      <c r="CZ144" s="79">
        <v>0</v>
      </c>
      <c r="DA144" s="79">
        <f t="shared" si="84"/>
        <v>0</v>
      </c>
      <c r="DB144" s="84" t="str">
        <f t="shared" si="46"/>
        <v/>
      </c>
      <c r="DC144" s="41"/>
      <c r="DD144" s="79" t="s">
        <v>153</v>
      </c>
      <c r="DE144" s="71"/>
      <c r="DF144" s="85" t="s">
        <v>1209</v>
      </c>
      <c r="DG144" s="79">
        <v>138</v>
      </c>
      <c r="DH144" s="86" t="str">
        <f t="shared" si="58"/>
        <v>Completo</v>
      </c>
      <c r="DI144" s="79" t="s">
        <v>181</v>
      </c>
      <c r="DJ144" s="79" t="s">
        <v>182</v>
      </c>
      <c r="DK144" s="79"/>
      <c r="DL144" s="79">
        <v>0</v>
      </c>
      <c r="DM144" s="79">
        <v>0</v>
      </c>
      <c r="DN144" s="79" t="s">
        <v>182</v>
      </c>
      <c r="DO144" s="79"/>
      <c r="DP144" s="79"/>
      <c r="DQ144" s="79"/>
      <c r="DR144" s="75" t="str">
        <f t="shared" si="70"/>
        <v>No aplica</v>
      </c>
      <c r="DS144" s="79"/>
      <c r="DT144" s="79"/>
      <c r="DU144" s="75" t="str">
        <f t="shared" si="71"/>
        <v>No aplica</v>
      </c>
      <c r="DV144" s="79" t="s">
        <v>182</v>
      </c>
      <c r="DW144" s="79" t="s">
        <v>182</v>
      </c>
      <c r="DX144" s="79"/>
      <c r="DY144" s="79"/>
      <c r="DZ144" s="79"/>
      <c r="EA144" s="79"/>
      <c r="EB144" s="79"/>
      <c r="EC144" s="79"/>
      <c r="ED144" s="79" t="s">
        <v>1210</v>
      </c>
      <c r="EE144" s="79" t="str">
        <f t="shared" si="62"/>
        <v>Completo</v>
      </c>
      <c r="EF144" s="41"/>
      <c r="EG144" s="79" t="s">
        <v>153</v>
      </c>
      <c r="EH144" s="71"/>
      <c r="EI144" s="80"/>
      <c r="EJ144" s="71"/>
      <c r="EK144" s="79" t="s">
        <v>179</v>
      </c>
      <c r="EL144" s="76" t="str">
        <f t="shared" si="72"/>
        <v>No requiere</v>
      </c>
      <c r="EM144" s="76" t="str">
        <f t="shared" si="73"/>
        <v>No requiere</v>
      </c>
      <c r="EN144" s="76" t="str">
        <f t="shared" si="82"/>
        <v>No requiere</v>
      </c>
      <c r="EO144" s="71"/>
      <c r="EP144" s="73" t="str">
        <f t="shared" si="75"/>
        <v>No requiere</v>
      </c>
      <c r="EQ144" s="77" t="str">
        <f t="shared" si="76"/>
        <v>No requiere</v>
      </c>
      <c r="ER144" s="71"/>
      <c r="ES144" s="79" t="s">
        <v>179</v>
      </c>
      <c r="ET144" s="73" t="str">
        <f t="shared" si="77"/>
        <v>No requiere</v>
      </c>
      <c r="EU144" s="73" t="str">
        <f t="shared" si="83"/>
        <v>No requiere</v>
      </c>
      <c r="EV144" s="73" t="str">
        <f t="shared" si="79"/>
        <v>No requiere</v>
      </c>
      <c r="EW144" s="73" t="str">
        <f t="shared" si="80"/>
        <v>No requiere</v>
      </c>
      <c r="EX144" s="78"/>
      <c r="EY144" s="78"/>
    </row>
    <row r="145" spans="1:155" ht="46.5" customHeight="1">
      <c r="A145" s="79">
        <v>141</v>
      </c>
      <c r="B145" s="80" t="s">
        <v>1211</v>
      </c>
      <c r="C145" s="81">
        <v>45369</v>
      </c>
      <c r="D145" s="82">
        <v>0.64583333333333337</v>
      </c>
      <c r="E145" s="79" t="s">
        <v>151</v>
      </c>
      <c r="F145" s="79" t="s">
        <v>153</v>
      </c>
      <c r="G145" s="79" t="s">
        <v>153</v>
      </c>
      <c r="H145" s="79" t="s">
        <v>153</v>
      </c>
      <c r="I145" s="79" t="s">
        <v>152</v>
      </c>
      <c r="J145" s="79" t="s">
        <v>154</v>
      </c>
      <c r="K145" s="79" t="s">
        <v>155</v>
      </c>
      <c r="L145" s="80" t="s">
        <v>600</v>
      </c>
      <c r="M145" s="80" t="s">
        <v>303</v>
      </c>
      <c r="N145" s="79" t="s">
        <v>632</v>
      </c>
      <c r="O145" s="80" t="str">
        <f t="shared" si="63"/>
        <v>César Augusto Barrantes, Joan Sebastian García, Diana Marcela Fernández, James Fernando Núñez, Aida Vanessa Rocha, Andres Castro Latorre, Reinaldo Terrios Andrade, Carlos Eduardo Escandón, Germán Ramón Jacome, Ana María Gualy, Manuel Fernando Vergara, Camila María Santana, Nixon Sandoval Mateus, Juan Pablo Serna</v>
      </c>
      <c r="P145" s="79" t="s">
        <v>729</v>
      </c>
      <c r="Q145" s="79" t="s">
        <v>728</v>
      </c>
      <c r="R145" s="79" t="s">
        <v>473</v>
      </c>
      <c r="S145" s="79" t="s">
        <v>632</v>
      </c>
      <c r="T145" s="79" t="s">
        <v>801</v>
      </c>
      <c r="U145" s="79" t="s">
        <v>749</v>
      </c>
      <c r="V145" s="79" t="s">
        <v>675</v>
      </c>
      <c r="W145" s="79" t="s">
        <v>819</v>
      </c>
      <c r="X145" s="79" t="s">
        <v>525</v>
      </c>
      <c r="Y145" s="79" t="s">
        <v>821</v>
      </c>
      <c r="Z145" s="79" t="s">
        <v>820</v>
      </c>
      <c r="AA145" s="79" t="s">
        <v>861</v>
      </c>
      <c r="AB145" s="79" t="s">
        <v>644</v>
      </c>
      <c r="AC145" s="79" t="s">
        <v>818</v>
      </c>
      <c r="AD145" s="93"/>
      <c r="AE145" s="79"/>
      <c r="AF145" s="79"/>
      <c r="AG145" s="79"/>
      <c r="AH145" s="79"/>
      <c r="AI145" s="79"/>
      <c r="AJ145" s="79"/>
      <c r="AK145" s="79"/>
      <c r="AL145" s="79"/>
      <c r="AM145" s="79"/>
      <c r="AN145" s="79"/>
      <c r="AO145" s="79" t="s">
        <v>304</v>
      </c>
      <c r="AP145" s="79"/>
      <c r="AQ145" s="80" t="s">
        <v>171</v>
      </c>
      <c r="AR145" s="80" t="s">
        <v>171</v>
      </c>
      <c r="AS145" s="80" t="s">
        <v>171</v>
      </c>
      <c r="AT145" s="80" t="str">
        <f t="shared" si="64"/>
        <v>Chapinero</v>
      </c>
      <c r="AU145" s="79" t="s">
        <v>360</v>
      </c>
      <c r="AV145" s="79"/>
      <c r="AW145" s="79"/>
      <c r="AX145" s="79"/>
      <c r="AY145" s="79"/>
      <c r="AZ145" s="79"/>
      <c r="BA145" s="80" t="str">
        <f t="shared" si="65"/>
        <v>Centro Ampliado</v>
      </c>
      <c r="BB145" s="79" t="s">
        <v>636</v>
      </c>
      <c r="BC145" s="79"/>
      <c r="BD145" s="79"/>
      <c r="BE145" s="79"/>
      <c r="BF145" s="79"/>
      <c r="BG145" s="79"/>
      <c r="BH145" s="80" t="str">
        <f t="shared" si="66"/>
        <v>Chapinero</v>
      </c>
      <c r="BI145" s="79" t="s">
        <v>360</v>
      </c>
      <c r="BJ145" s="79"/>
      <c r="BK145" s="79"/>
      <c r="BL145" s="79"/>
      <c r="BM145" s="79"/>
      <c r="BN145" s="79"/>
      <c r="BO145" s="79"/>
      <c r="BP145" s="79"/>
      <c r="BQ145" s="79"/>
      <c r="BR145" s="79"/>
      <c r="BS145" s="80" t="s">
        <v>288</v>
      </c>
      <c r="BT145" s="80" t="s">
        <v>605</v>
      </c>
      <c r="BU145" s="80" t="s">
        <v>1212</v>
      </c>
      <c r="BV145" s="71"/>
      <c r="BW145" s="79" t="s">
        <v>153</v>
      </c>
      <c r="BX145" s="79" t="s">
        <v>607</v>
      </c>
      <c r="BY145" s="71"/>
      <c r="BZ145" s="79">
        <v>66</v>
      </c>
      <c r="CA145" s="79">
        <v>17</v>
      </c>
      <c r="CB145" s="79">
        <f t="shared" si="25"/>
        <v>83</v>
      </c>
      <c r="CC145" s="79" t="str">
        <f t="shared" si="81"/>
        <v>Horarios Acordes</v>
      </c>
      <c r="CD145" s="79" t="s">
        <v>351</v>
      </c>
      <c r="CE145" s="79"/>
      <c r="CF145" s="79"/>
      <c r="CG145" s="83" t="s">
        <v>1213</v>
      </c>
      <c r="CH145" s="41"/>
      <c r="CI145" s="79" t="s">
        <v>153</v>
      </c>
      <c r="CJ145" s="71"/>
      <c r="CK145" s="79">
        <f t="shared" si="38"/>
        <v>1</v>
      </c>
      <c r="CL145" s="79" t="s">
        <v>1214</v>
      </c>
      <c r="CM145" s="79"/>
      <c r="CN145" s="79"/>
      <c r="CO145" s="79"/>
      <c r="CP145" s="79"/>
      <c r="CQ145" s="79"/>
      <c r="CR145" s="83" t="s">
        <v>390</v>
      </c>
      <c r="CS145" s="83" t="s">
        <v>179</v>
      </c>
      <c r="CT145" s="83" t="s">
        <v>179</v>
      </c>
      <c r="CU145" s="83" t="s">
        <v>179</v>
      </c>
      <c r="CV145" s="83" t="s">
        <v>179</v>
      </c>
      <c r="CW145" s="83" t="s">
        <v>179</v>
      </c>
      <c r="CX145" s="79" t="s">
        <v>153</v>
      </c>
      <c r="CY145" s="79">
        <f t="shared" si="39"/>
        <v>1</v>
      </c>
      <c r="CZ145" s="79">
        <v>1</v>
      </c>
      <c r="DA145" s="79">
        <f t="shared" si="84"/>
        <v>1</v>
      </c>
      <c r="DB145" s="84">
        <f t="shared" si="46"/>
        <v>1</v>
      </c>
      <c r="DC145" s="41"/>
      <c r="DD145" s="79" t="s">
        <v>153</v>
      </c>
      <c r="DE145" s="71"/>
      <c r="DF145" s="85" t="s">
        <v>1215</v>
      </c>
      <c r="DG145" s="79">
        <v>139</v>
      </c>
      <c r="DH145" s="86" t="str">
        <f t="shared" si="58"/>
        <v>Completo</v>
      </c>
      <c r="DI145" s="79" t="s">
        <v>181</v>
      </c>
      <c r="DJ145" s="79" t="s">
        <v>182</v>
      </c>
      <c r="DK145" s="79" t="s">
        <v>153</v>
      </c>
      <c r="DL145" s="79">
        <v>0</v>
      </c>
      <c r="DM145" s="79">
        <v>0</v>
      </c>
      <c r="DN145" s="79" t="s">
        <v>182</v>
      </c>
      <c r="DO145" s="79">
        <v>1000</v>
      </c>
      <c r="DP145" s="79" t="s">
        <v>182</v>
      </c>
      <c r="DQ145" s="79">
        <v>31</v>
      </c>
      <c r="DR145" s="75">
        <f t="shared" si="70"/>
        <v>1.5656565656565655</v>
      </c>
      <c r="DS145" s="79" t="s">
        <v>182</v>
      </c>
      <c r="DT145" s="79">
        <v>52</v>
      </c>
      <c r="DU145" s="75">
        <f t="shared" si="71"/>
        <v>2.2510822510822512</v>
      </c>
      <c r="DV145" s="79" t="s">
        <v>182</v>
      </c>
      <c r="DW145" s="79" t="s">
        <v>182</v>
      </c>
      <c r="DX145" s="79">
        <v>4</v>
      </c>
      <c r="DY145" s="79">
        <v>1</v>
      </c>
      <c r="DZ145" s="79" t="s">
        <v>1216</v>
      </c>
      <c r="EA145" s="79">
        <v>2439</v>
      </c>
      <c r="EB145" s="79" t="s">
        <v>182</v>
      </c>
      <c r="EC145" s="79" t="s">
        <v>1216</v>
      </c>
      <c r="ED145" s="79" t="s">
        <v>184</v>
      </c>
      <c r="EE145" s="79" t="str">
        <f t="shared" si="62"/>
        <v>Completo</v>
      </c>
      <c r="EF145" s="41"/>
      <c r="EG145" s="79" t="s">
        <v>153</v>
      </c>
      <c r="EH145" s="71"/>
      <c r="EI145" s="89" t="s">
        <v>1217</v>
      </c>
      <c r="EJ145" s="71"/>
      <c r="EK145" s="79" t="s">
        <v>409</v>
      </c>
      <c r="EL145" s="76" t="str">
        <f t="shared" si="72"/>
        <v>Sí</v>
      </c>
      <c r="EM145" s="76" t="str">
        <f t="shared" si="73"/>
        <v>Sí</v>
      </c>
      <c r="EN145" s="76" t="str">
        <f t="shared" si="82"/>
        <v>Sí</v>
      </c>
      <c r="EO145" s="71"/>
      <c r="EP145" s="73" t="str">
        <f t="shared" si="75"/>
        <v>No aplica</v>
      </c>
      <c r="EQ145" s="77">
        <f t="shared" si="76"/>
        <v>2.2510822510822512</v>
      </c>
      <c r="ER145" s="71"/>
      <c r="ES145" s="79" t="s">
        <v>393</v>
      </c>
      <c r="ET145" s="73">
        <f t="shared" si="77"/>
        <v>1</v>
      </c>
      <c r="EU145" s="73">
        <f t="shared" si="83"/>
        <v>1</v>
      </c>
      <c r="EV145" s="73">
        <f t="shared" si="79"/>
        <v>1</v>
      </c>
      <c r="EW145" s="73">
        <f t="shared" si="80"/>
        <v>0.41000410004100041</v>
      </c>
      <c r="EX145" s="78"/>
      <c r="EY145" s="78"/>
    </row>
    <row r="146" spans="1:155" ht="46.5" customHeight="1">
      <c r="A146" s="79">
        <v>142</v>
      </c>
      <c r="B146" s="80" t="s">
        <v>1218</v>
      </c>
      <c r="C146" s="81">
        <v>45369</v>
      </c>
      <c r="D146" s="82">
        <v>0.70833333333333337</v>
      </c>
      <c r="E146" s="79" t="s">
        <v>200</v>
      </c>
      <c r="F146" s="79" t="s">
        <v>153</v>
      </c>
      <c r="G146" s="79" t="s">
        <v>152</v>
      </c>
      <c r="H146" s="79" t="s">
        <v>152</v>
      </c>
      <c r="I146" s="79" t="s">
        <v>152</v>
      </c>
      <c r="J146" s="79" t="s">
        <v>211</v>
      </c>
      <c r="K146" s="79" t="s">
        <v>202</v>
      </c>
      <c r="L146" s="80" t="s">
        <v>1219</v>
      </c>
      <c r="M146" s="80" t="s">
        <v>624</v>
      </c>
      <c r="N146" s="79" t="s">
        <v>253</v>
      </c>
      <c r="O146" s="80" t="str">
        <f t="shared" si="63"/>
        <v>PENDIENTE, PENDIENTE</v>
      </c>
      <c r="P146" s="79" t="s">
        <v>196</v>
      </c>
      <c r="Q146" s="79" t="s">
        <v>196</v>
      </c>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t="s">
        <v>230</v>
      </c>
      <c r="AP146" s="79" t="s">
        <v>242</v>
      </c>
      <c r="AQ146" s="80" t="s">
        <v>625</v>
      </c>
      <c r="AR146" s="83">
        <v>3188799909</v>
      </c>
      <c r="AS146" s="80" t="s">
        <v>171</v>
      </c>
      <c r="AT146" s="80" t="str">
        <f t="shared" si="64"/>
        <v>Distrital</v>
      </c>
      <c r="AU146" s="79" t="s">
        <v>172</v>
      </c>
      <c r="AV146" s="79"/>
      <c r="AW146" s="79"/>
      <c r="AX146" s="79"/>
      <c r="AY146" s="79"/>
      <c r="AZ146" s="79"/>
      <c r="BA146" s="80" t="str">
        <f t="shared" si="65"/>
        <v>Distrital</v>
      </c>
      <c r="BB146" s="79" t="s">
        <v>172</v>
      </c>
      <c r="BC146" s="79"/>
      <c r="BD146" s="79"/>
      <c r="BE146" s="79"/>
      <c r="BF146" s="79"/>
      <c r="BG146" s="79"/>
      <c r="BH146" s="80" t="str">
        <f t="shared" si="66"/>
        <v>Distrital</v>
      </c>
      <c r="BI146" s="79" t="s">
        <v>172</v>
      </c>
      <c r="BJ146" s="79"/>
      <c r="BK146" s="79"/>
      <c r="BL146" s="79"/>
      <c r="BM146" s="79"/>
      <c r="BN146" s="79"/>
      <c r="BO146" s="79"/>
      <c r="BP146" s="79"/>
      <c r="BQ146" s="79"/>
      <c r="BR146" s="79"/>
      <c r="BS146" s="80" t="s">
        <v>288</v>
      </c>
      <c r="BT146" s="80" t="s">
        <v>174</v>
      </c>
      <c r="BU146" s="89" t="s">
        <v>1220</v>
      </c>
      <c r="BV146" s="71"/>
      <c r="BW146" s="79" t="s">
        <v>152</v>
      </c>
      <c r="BX146" s="79" t="s">
        <v>179</v>
      </c>
      <c r="BY146" s="71"/>
      <c r="BZ146" s="79">
        <v>86</v>
      </c>
      <c r="CA146" s="79">
        <v>5</v>
      </c>
      <c r="CB146" s="79">
        <f t="shared" si="25"/>
        <v>91</v>
      </c>
      <c r="CC146" s="79" t="str">
        <f t="shared" si="81"/>
        <v>No Aplica</v>
      </c>
      <c r="CD146" s="79" t="s">
        <v>177</v>
      </c>
      <c r="CE146" s="79"/>
      <c r="CF146" s="79"/>
      <c r="CG146" s="83" t="s">
        <v>1221</v>
      </c>
      <c r="CH146" s="41"/>
      <c r="CI146" s="79" t="s">
        <v>153</v>
      </c>
      <c r="CJ146" s="71"/>
      <c r="CK146" s="79">
        <f t="shared" si="38"/>
        <v>0</v>
      </c>
      <c r="CL146" s="79"/>
      <c r="CM146" s="79"/>
      <c r="CN146" s="79"/>
      <c r="CO146" s="79"/>
      <c r="CP146" s="79"/>
      <c r="CQ146" s="79"/>
      <c r="CR146" s="83" t="s">
        <v>179</v>
      </c>
      <c r="CS146" s="83" t="s">
        <v>179</v>
      </c>
      <c r="CT146" s="83" t="s">
        <v>179</v>
      </c>
      <c r="CU146" s="83" t="s">
        <v>179</v>
      </c>
      <c r="CV146" s="83" t="s">
        <v>179</v>
      </c>
      <c r="CW146" s="83" t="s">
        <v>179</v>
      </c>
      <c r="CX146" s="79" t="s">
        <v>153</v>
      </c>
      <c r="CY146" s="79">
        <f t="shared" si="39"/>
        <v>0</v>
      </c>
      <c r="CZ146" s="79">
        <v>0</v>
      </c>
      <c r="DA146" s="79">
        <f t="shared" si="84"/>
        <v>0</v>
      </c>
      <c r="DB146" s="84" t="str">
        <f t="shared" si="46"/>
        <v/>
      </c>
      <c r="DC146" s="41"/>
      <c r="DD146" s="79" t="s">
        <v>153</v>
      </c>
      <c r="DE146" s="71"/>
      <c r="DF146" s="85" t="s">
        <v>1222</v>
      </c>
      <c r="DG146" s="79">
        <v>140</v>
      </c>
      <c r="DH146" s="86" t="str">
        <f t="shared" si="58"/>
        <v>Completo</v>
      </c>
      <c r="DI146" s="79" t="s">
        <v>181</v>
      </c>
      <c r="DJ146" s="79" t="s">
        <v>182</v>
      </c>
      <c r="DK146" s="79"/>
      <c r="DL146" s="79">
        <v>0</v>
      </c>
      <c r="DM146" s="79">
        <v>0</v>
      </c>
      <c r="DN146" s="79" t="s">
        <v>182</v>
      </c>
      <c r="DO146" s="79"/>
      <c r="DP146" s="79"/>
      <c r="DQ146" s="79"/>
      <c r="DR146" s="75" t="str">
        <f t="shared" si="70"/>
        <v>No aplica</v>
      </c>
      <c r="DS146" s="79"/>
      <c r="DT146" s="79"/>
      <c r="DU146" s="75" t="str">
        <f t="shared" si="71"/>
        <v>No aplica</v>
      </c>
      <c r="DV146" s="79" t="s">
        <v>182</v>
      </c>
      <c r="DW146" s="79" t="s">
        <v>182</v>
      </c>
      <c r="DX146" s="79"/>
      <c r="DY146" s="79"/>
      <c r="DZ146" s="79"/>
      <c r="EA146" s="79"/>
      <c r="EB146" s="79" t="s">
        <v>182</v>
      </c>
      <c r="EC146" s="79" t="s">
        <v>1223</v>
      </c>
      <c r="ED146" s="79" t="s">
        <v>184</v>
      </c>
      <c r="EE146" s="79" t="str">
        <f t="shared" si="62"/>
        <v>Completo</v>
      </c>
      <c r="EF146" s="41"/>
      <c r="EG146" s="79" t="s">
        <v>153</v>
      </c>
      <c r="EH146" s="71"/>
      <c r="EI146" s="80"/>
      <c r="EJ146" s="71"/>
      <c r="EK146" s="79" t="s">
        <v>179</v>
      </c>
      <c r="EL146" s="76" t="str">
        <f t="shared" si="72"/>
        <v>No requiere</v>
      </c>
      <c r="EM146" s="76" t="str">
        <f t="shared" si="73"/>
        <v>No requiere</v>
      </c>
      <c r="EN146" s="76" t="str">
        <f t="shared" si="82"/>
        <v>No requiere</v>
      </c>
      <c r="EO146" s="71"/>
      <c r="EP146" s="73" t="str">
        <f t="shared" si="75"/>
        <v>No requiere</v>
      </c>
      <c r="EQ146" s="77" t="str">
        <f t="shared" si="76"/>
        <v>No requiere</v>
      </c>
      <c r="ER146" s="71"/>
      <c r="ES146" s="79" t="s">
        <v>179</v>
      </c>
      <c r="ET146" s="73" t="str">
        <f t="shared" si="77"/>
        <v>No requiere</v>
      </c>
      <c r="EU146" s="73" t="str">
        <f t="shared" si="83"/>
        <v>No requiere</v>
      </c>
      <c r="EV146" s="73" t="str">
        <f t="shared" si="79"/>
        <v>No requiere</v>
      </c>
      <c r="EW146" s="73" t="str">
        <f t="shared" si="80"/>
        <v>No requiere</v>
      </c>
      <c r="EX146" s="78"/>
      <c r="EY146" s="78"/>
    </row>
    <row r="147" spans="1:155" ht="46.5" customHeight="1">
      <c r="A147" s="79">
        <v>143</v>
      </c>
      <c r="B147" s="80" t="s">
        <v>1224</v>
      </c>
      <c r="C147" s="81">
        <v>45370</v>
      </c>
      <c r="D147" s="82">
        <v>0.375</v>
      </c>
      <c r="E147" s="79" t="s">
        <v>151</v>
      </c>
      <c r="F147" s="79" t="s">
        <v>153</v>
      </c>
      <c r="G147" s="79" t="s">
        <v>153</v>
      </c>
      <c r="H147" s="79" t="s">
        <v>152</v>
      </c>
      <c r="I147" s="79" t="s">
        <v>152</v>
      </c>
      <c r="J147" s="79" t="s">
        <v>154</v>
      </c>
      <c r="K147" s="79" t="s">
        <v>155</v>
      </c>
      <c r="L147" s="80" t="s">
        <v>1225</v>
      </c>
      <c r="M147" s="80" t="s">
        <v>303</v>
      </c>
      <c r="N147" s="79" t="s">
        <v>167</v>
      </c>
      <c r="O147" s="80" t="str">
        <f t="shared" si="63"/>
        <v/>
      </c>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t="s">
        <v>1226</v>
      </c>
      <c r="AP147" s="79"/>
      <c r="AQ147" s="80" t="s">
        <v>171</v>
      </c>
      <c r="AR147" s="80" t="s">
        <v>171</v>
      </c>
      <c r="AS147" s="80" t="s">
        <v>171</v>
      </c>
      <c r="AT147" s="80" t="str">
        <f t="shared" si="64"/>
        <v>Distrital</v>
      </c>
      <c r="AU147" s="79" t="s">
        <v>172</v>
      </c>
      <c r="AV147" s="79"/>
      <c r="AW147" s="79"/>
      <c r="AX147" s="79"/>
      <c r="AY147" s="79"/>
      <c r="AZ147" s="79"/>
      <c r="BA147" s="80" t="str">
        <f t="shared" si="65"/>
        <v>Distrital</v>
      </c>
      <c r="BB147" s="79" t="s">
        <v>172</v>
      </c>
      <c r="BC147" s="79"/>
      <c r="BD147" s="79"/>
      <c r="BE147" s="79"/>
      <c r="BF147" s="79"/>
      <c r="BG147" s="79"/>
      <c r="BH147" s="80" t="str">
        <f t="shared" si="66"/>
        <v>Distrital</v>
      </c>
      <c r="BI147" s="79" t="s">
        <v>172</v>
      </c>
      <c r="BJ147" s="79"/>
      <c r="BK147" s="79"/>
      <c r="BL147" s="79"/>
      <c r="BM147" s="79"/>
      <c r="BN147" s="79"/>
      <c r="BO147" s="79"/>
      <c r="BP147" s="79"/>
      <c r="BQ147" s="79"/>
      <c r="BR147" s="79"/>
      <c r="BS147" s="80" t="s">
        <v>288</v>
      </c>
      <c r="BT147" s="80" t="s">
        <v>174</v>
      </c>
      <c r="BU147" s="80" t="s">
        <v>1227</v>
      </c>
      <c r="BV147" s="71"/>
      <c r="BW147" s="79" t="s">
        <v>153</v>
      </c>
      <c r="BX147" s="79" t="s">
        <v>607</v>
      </c>
      <c r="BY147" s="71"/>
      <c r="BZ147" s="79">
        <v>29</v>
      </c>
      <c r="CA147" s="79">
        <v>1</v>
      </c>
      <c r="CB147" s="79">
        <f t="shared" si="25"/>
        <v>30</v>
      </c>
      <c r="CC147" s="79" t="str">
        <f t="shared" si="81"/>
        <v>Contenidos adaptados</v>
      </c>
      <c r="CD147" s="79" t="s">
        <v>350</v>
      </c>
      <c r="CE147" s="79"/>
      <c r="CF147" s="79"/>
      <c r="CG147" s="83" t="s">
        <v>1228</v>
      </c>
      <c r="CH147" s="41"/>
      <c r="CI147" s="79" t="s">
        <v>153</v>
      </c>
      <c r="CJ147" s="71"/>
      <c r="CK147" s="79">
        <f t="shared" si="38"/>
        <v>0</v>
      </c>
      <c r="CL147" s="79"/>
      <c r="CM147" s="79"/>
      <c r="CN147" s="79"/>
      <c r="CO147" s="79"/>
      <c r="CP147" s="79"/>
      <c r="CQ147" s="79"/>
      <c r="CR147" s="83" t="s">
        <v>179</v>
      </c>
      <c r="CS147" s="83" t="s">
        <v>179</v>
      </c>
      <c r="CT147" s="83" t="s">
        <v>179</v>
      </c>
      <c r="CU147" s="83" t="s">
        <v>179</v>
      </c>
      <c r="CV147" s="83" t="s">
        <v>179</v>
      </c>
      <c r="CW147" s="83" t="s">
        <v>179</v>
      </c>
      <c r="CX147" s="79" t="s">
        <v>153</v>
      </c>
      <c r="CY147" s="79">
        <f t="shared" si="39"/>
        <v>0</v>
      </c>
      <c r="CZ147" s="79">
        <v>0</v>
      </c>
      <c r="DA147" s="79">
        <f t="shared" si="84"/>
        <v>0</v>
      </c>
      <c r="DB147" s="84" t="str">
        <f t="shared" si="46"/>
        <v/>
      </c>
      <c r="DC147" s="41"/>
      <c r="DD147" s="79" t="s">
        <v>153</v>
      </c>
      <c r="DE147" s="71"/>
      <c r="DF147" s="85" t="s">
        <v>1229</v>
      </c>
      <c r="DG147" s="79">
        <v>141</v>
      </c>
      <c r="DH147" s="86" t="str">
        <f t="shared" si="58"/>
        <v>Completo</v>
      </c>
      <c r="DI147" s="79" t="s">
        <v>181</v>
      </c>
      <c r="DJ147" s="79" t="s">
        <v>182</v>
      </c>
      <c r="DK147" s="79"/>
      <c r="DL147" s="79">
        <v>0</v>
      </c>
      <c r="DM147" s="79">
        <v>0</v>
      </c>
      <c r="DN147" s="79" t="s">
        <v>182</v>
      </c>
      <c r="DO147" s="79" t="s">
        <v>179</v>
      </c>
      <c r="DP147" s="79"/>
      <c r="DQ147" s="79"/>
      <c r="DR147" s="75" t="str">
        <f t="shared" si="70"/>
        <v>No aplica</v>
      </c>
      <c r="DS147" s="79"/>
      <c r="DT147" s="79"/>
      <c r="DU147" s="75" t="str">
        <f t="shared" si="71"/>
        <v>No aplica</v>
      </c>
      <c r="DV147" s="79" t="s">
        <v>182</v>
      </c>
      <c r="DW147" s="79" t="s">
        <v>191</v>
      </c>
      <c r="DX147" s="79"/>
      <c r="DY147" s="79"/>
      <c r="DZ147" s="79"/>
      <c r="EA147" s="79" t="s">
        <v>179</v>
      </c>
      <c r="EB147" s="79" t="s">
        <v>182</v>
      </c>
      <c r="EC147" s="79" t="s">
        <v>1230</v>
      </c>
      <c r="ED147" s="79" t="s">
        <v>184</v>
      </c>
      <c r="EE147" s="79" t="str">
        <f t="shared" si="62"/>
        <v>Completo</v>
      </c>
      <c r="EF147" s="41"/>
      <c r="EG147" s="79" t="s">
        <v>153</v>
      </c>
      <c r="EH147" s="71"/>
      <c r="EI147" s="80"/>
      <c r="EJ147" s="71"/>
      <c r="EK147" s="79" t="s">
        <v>179</v>
      </c>
      <c r="EL147" s="76" t="str">
        <f t="shared" si="72"/>
        <v>No requiere</v>
      </c>
      <c r="EM147" s="76" t="str">
        <f t="shared" si="73"/>
        <v>No requiere</v>
      </c>
      <c r="EN147" s="76" t="str">
        <f t="shared" si="82"/>
        <v>No requiere</v>
      </c>
      <c r="EO147" s="71"/>
      <c r="EP147" s="73" t="str">
        <f t="shared" si="75"/>
        <v>No requiere</v>
      </c>
      <c r="EQ147" s="77" t="str">
        <f t="shared" si="76"/>
        <v>No requiere</v>
      </c>
      <c r="ER147" s="71"/>
      <c r="ES147" s="79" t="s">
        <v>179</v>
      </c>
      <c r="ET147" s="73" t="str">
        <f t="shared" si="77"/>
        <v>No requiere</v>
      </c>
      <c r="EU147" s="73" t="str">
        <f t="shared" si="83"/>
        <v>No requiere</v>
      </c>
      <c r="EV147" s="73" t="str">
        <f t="shared" si="79"/>
        <v>No requiere</v>
      </c>
      <c r="EW147" s="73" t="str">
        <f t="shared" si="80"/>
        <v>No requiere</v>
      </c>
      <c r="EX147" s="78"/>
      <c r="EY147" s="78"/>
    </row>
    <row r="148" spans="1:155" ht="46.5" customHeight="1">
      <c r="A148" s="79">
        <v>144</v>
      </c>
      <c r="B148" s="80" t="s">
        <v>1231</v>
      </c>
      <c r="C148" s="81">
        <v>45370</v>
      </c>
      <c r="D148" s="82">
        <v>0.375</v>
      </c>
      <c r="E148" s="79" t="s">
        <v>200</v>
      </c>
      <c r="F148" s="79" t="s">
        <v>153</v>
      </c>
      <c r="G148" s="79" t="s">
        <v>152</v>
      </c>
      <c r="H148" s="79" t="s">
        <v>152</v>
      </c>
      <c r="I148" s="79" t="s">
        <v>152</v>
      </c>
      <c r="J148" s="79" t="s">
        <v>504</v>
      </c>
      <c r="K148" s="79" t="s">
        <v>155</v>
      </c>
      <c r="L148" s="80" t="s">
        <v>1232</v>
      </c>
      <c r="M148" s="80" t="s">
        <v>157</v>
      </c>
      <c r="N148" s="79" t="s">
        <v>818</v>
      </c>
      <c r="O148" s="80" t="str">
        <f t="shared" si="63"/>
        <v/>
      </c>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t="s">
        <v>169</v>
      </c>
      <c r="AP148" s="79" t="s">
        <v>507</v>
      </c>
      <c r="AQ148" s="80" t="s">
        <v>1233</v>
      </c>
      <c r="AR148" s="83" t="s">
        <v>1234</v>
      </c>
      <c r="AS148" s="80" t="s">
        <v>171</v>
      </c>
      <c r="AT148" s="80" t="str">
        <f t="shared" si="64"/>
        <v>Puente Aranda</v>
      </c>
      <c r="AU148" s="79" t="s">
        <v>1235</v>
      </c>
      <c r="AV148" s="79"/>
      <c r="AW148" s="79"/>
      <c r="AX148" s="79"/>
      <c r="AY148" s="79"/>
      <c r="AZ148" s="79"/>
      <c r="BA148" s="80" t="str">
        <f t="shared" si="65"/>
        <v>Centro Ampliado</v>
      </c>
      <c r="BB148" s="79" t="s">
        <v>636</v>
      </c>
      <c r="BC148" s="79"/>
      <c r="BD148" s="79"/>
      <c r="BE148" s="79"/>
      <c r="BF148" s="79"/>
      <c r="BG148" s="79"/>
      <c r="BH148" s="80" t="str">
        <f t="shared" si="66"/>
        <v>Puente Aranda</v>
      </c>
      <c r="BI148" s="79" t="s">
        <v>1235</v>
      </c>
      <c r="BJ148" s="79"/>
      <c r="BK148" s="79"/>
      <c r="BL148" s="79"/>
      <c r="BM148" s="79"/>
      <c r="BN148" s="79"/>
      <c r="BO148" s="79"/>
      <c r="BP148" s="79"/>
      <c r="BQ148" s="79"/>
      <c r="BR148" s="79"/>
      <c r="BS148" s="80" t="s">
        <v>288</v>
      </c>
      <c r="BT148" s="80" t="s">
        <v>174</v>
      </c>
      <c r="BU148" s="92" t="s">
        <v>1236</v>
      </c>
      <c r="BV148" s="71"/>
      <c r="BW148" s="79" t="s">
        <v>152</v>
      </c>
      <c r="BX148" s="79" t="s">
        <v>179</v>
      </c>
      <c r="BY148" s="71"/>
      <c r="BZ148" s="79">
        <v>20</v>
      </c>
      <c r="CA148" s="79">
        <v>1</v>
      </c>
      <c r="CB148" s="79">
        <f t="shared" si="25"/>
        <v>21</v>
      </c>
      <c r="CC148" s="79" t="str">
        <f t="shared" si="81"/>
        <v>No Aplica</v>
      </c>
      <c r="CD148" s="79" t="s">
        <v>177</v>
      </c>
      <c r="CE148" s="79"/>
      <c r="CF148" s="79"/>
      <c r="CG148" s="83" t="s">
        <v>1237</v>
      </c>
      <c r="CH148" s="41"/>
      <c r="CI148" s="79" t="s">
        <v>153</v>
      </c>
      <c r="CJ148" s="71"/>
      <c r="CK148" s="79">
        <f t="shared" si="38"/>
        <v>0</v>
      </c>
      <c r="CL148" s="79"/>
      <c r="CM148" s="79"/>
      <c r="CN148" s="79"/>
      <c r="CO148" s="79"/>
      <c r="CP148" s="79"/>
      <c r="CQ148" s="79"/>
      <c r="CR148" s="83" t="s">
        <v>179</v>
      </c>
      <c r="CS148" s="83" t="s">
        <v>179</v>
      </c>
      <c r="CT148" s="83" t="s">
        <v>179</v>
      </c>
      <c r="CU148" s="83" t="s">
        <v>179</v>
      </c>
      <c r="CV148" s="83" t="s">
        <v>179</v>
      </c>
      <c r="CW148" s="83" t="s">
        <v>179</v>
      </c>
      <c r="CX148" s="79" t="s">
        <v>153</v>
      </c>
      <c r="CY148" s="79">
        <f t="shared" si="39"/>
        <v>0</v>
      </c>
      <c r="CZ148" s="79">
        <v>0</v>
      </c>
      <c r="DA148" s="79">
        <f t="shared" si="84"/>
        <v>0</v>
      </c>
      <c r="DB148" s="84" t="str">
        <f t="shared" si="46"/>
        <v/>
      </c>
      <c r="DC148" s="41"/>
      <c r="DD148" s="79" t="s">
        <v>153</v>
      </c>
      <c r="DE148" s="71"/>
      <c r="DF148" s="85" t="s">
        <v>1238</v>
      </c>
      <c r="DG148" s="79">
        <v>142</v>
      </c>
      <c r="DH148" s="86" t="str">
        <f t="shared" si="58"/>
        <v>Completo</v>
      </c>
      <c r="DI148" s="79" t="s">
        <v>181</v>
      </c>
      <c r="DJ148" s="79" t="s">
        <v>182</v>
      </c>
      <c r="DK148" s="79"/>
      <c r="DL148" s="79">
        <v>0</v>
      </c>
      <c r="DM148" s="79">
        <v>0</v>
      </c>
      <c r="DN148" s="79" t="s">
        <v>182</v>
      </c>
      <c r="DO148" s="79"/>
      <c r="DP148" s="79"/>
      <c r="DQ148" s="79"/>
      <c r="DR148" s="75" t="str">
        <f t="shared" si="70"/>
        <v>No aplica</v>
      </c>
      <c r="DS148" s="79"/>
      <c r="DT148" s="79"/>
      <c r="DU148" s="75" t="str">
        <f t="shared" si="71"/>
        <v>No aplica</v>
      </c>
      <c r="DV148" s="79" t="s">
        <v>182</v>
      </c>
      <c r="DW148" s="79" t="s">
        <v>182</v>
      </c>
      <c r="DX148" s="79"/>
      <c r="DY148" s="79"/>
      <c r="DZ148" s="79"/>
      <c r="EA148" s="79"/>
      <c r="EB148" s="79"/>
      <c r="EC148" s="79"/>
      <c r="ED148" s="79" t="s">
        <v>249</v>
      </c>
      <c r="EE148" s="79" t="str">
        <f t="shared" si="62"/>
        <v>Completo</v>
      </c>
      <c r="EF148" s="41"/>
      <c r="EG148" s="79" t="s">
        <v>153</v>
      </c>
      <c r="EH148" s="71"/>
      <c r="EI148" s="80"/>
      <c r="EJ148" s="71"/>
      <c r="EK148" s="79" t="s">
        <v>179</v>
      </c>
      <c r="EL148" s="76" t="str">
        <f t="shared" si="72"/>
        <v>No requiere</v>
      </c>
      <c r="EM148" s="76" t="str">
        <f t="shared" si="73"/>
        <v>No requiere</v>
      </c>
      <c r="EN148" s="76" t="str">
        <f t="shared" si="82"/>
        <v>No requiere</v>
      </c>
      <c r="EO148" s="71"/>
      <c r="EP148" s="73" t="str">
        <f t="shared" si="75"/>
        <v>No requiere</v>
      </c>
      <c r="EQ148" s="77" t="str">
        <f t="shared" si="76"/>
        <v>No requiere</v>
      </c>
      <c r="ER148" s="71"/>
      <c r="ES148" s="79" t="s">
        <v>179</v>
      </c>
      <c r="ET148" s="73" t="str">
        <f t="shared" si="77"/>
        <v>No requiere</v>
      </c>
      <c r="EU148" s="73" t="str">
        <f t="shared" si="83"/>
        <v>No requiere</v>
      </c>
      <c r="EV148" s="73" t="str">
        <f t="shared" si="79"/>
        <v>No requiere</v>
      </c>
      <c r="EW148" s="73" t="str">
        <f t="shared" si="80"/>
        <v>No requiere</v>
      </c>
      <c r="EX148" s="78"/>
      <c r="EY148" s="78"/>
    </row>
    <row r="149" spans="1:155" ht="46.5" customHeight="1">
      <c r="A149" s="79">
        <v>145</v>
      </c>
      <c r="B149" s="80" t="s">
        <v>1239</v>
      </c>
      <c r="C149" s="81">
        <v>45370</v>
      </c>
      <c r="D149" s="82">
        <v>0.375</v>
      </c>
      <c r="E149" s="79" t="s">
        <v>151</v>
      </c>
      <c r="F149" s="79" t="s">
        <v>153</v>
      </c>
      <c r="G149" s="79" t="s">
        <v>153</v>
      </c>
      <c r="H149" s="79" t="s">
        <v>152</v>
      </c>
      <c r="I149" s="79" t="s">
        <v>152</v>
      </c>
      <c r="J149" s="79" t="s">
        <v>154</v>
      </c>
      <c r="K149" s="79" t="s">
        <v>202</v>
      </c>
      <c r="L149" s="80" t="s">
        <v>1240</v>
      </c>
      <c r="M149" s="80" t="s">
        <v>303</v>
      </c>
      <c r="N149" s="79" t="s">
        <v>163</v>
      </c>
      <c r="O149" s="80" t="str">
        <f t="shared" si="63"/>
        <v>Luz Maritza Acero, Laura Camila Bechara, Yeiker Guerra Sarmiento, Andres Castro Latorre, Paola Andrea González</v>
      </c>
      <c r="P149" s="79" t="s">
        <v>167</v>
      </c>
      <c r="Q149" s="79" t="s">
        <v>887</v>
      </c>
      <c r="R149" s="79" t="s">
        <v>163</v>
      </c>
      <c r="S149" s="79" t="s">
        <v>749</v>
      </c>
      <c r="T149" s="79" t="s">
        <v>924</v>
      </c>
      <c r="U149" s="79"/>
      <c r="V149" s="79"/>
      <c r="W149" s="79"/>
      <c r="X149" s="79"/>
      <c r="Y149" s="79"/>
      <c r="Z149" s="79"/>
      <c r="AA149" s="79"/>
      <c r="AB149" s="79"/>
      <c r="AC149" s="79"/>
      <c r="AD149" s="79"/>
      <c r="AE149" s="79"/>
      <c r="AF149" s="79"/>
      <c r="AG149" s="79"/>
      <c r="AH149" s="79"/>
      <c r="AI149" s="79"/>
      <c r="AJ149" s="79"/>
      <c r="AK149" s="79"/>
      <c r="AL149" s="79"/>
      <c r="AM149" s="79"/>
      <c r="AN149" s="79"/>
      <c r="AO149" s="79" t="s">
        <v>230</v>
      </c>
      <c r="AP149" s="79" t="s">
        <v>347</v>
      </c>
      <c r="AQ149" s="80" t="s">
        <v>1192</v>
      </c>
      <c r="AR149" s="83">
        <v>3143909467</v>
      </c>
      <c r="AS149" s="80" t="s">
        <v>1241</v>
      </c>
      <c r="AT149" s="80" t="str">
        <f t="shared" si="64"/>
        <v>Distrital</v>
      </c>
      <c r="AU149" s="79" t="s">
        <v>172</v>
      </c>
      <c r="AV149" s="79"/>
      <c r="AW149" s="79"/>
      <c r="AX149" s="79"/>
      <c r="AY149" s="79"/>
      <c r="AZ149" s="79"/>
      <c r="BA149" s="80" t="str">
        <f t="shared" si="65"/>
        <v>Distrital</v>
      </c>
      <c r="BB149" s="79" t="s">
        <v>172</v>
      </c>
      <c r="BC149" s="79"/>
      <c r="BD149" s="79"/>
      <c r="BE149" s="79"/>
      <c r="BF149" s="79"/>
      <c r="BG149" s="79"/>
      <c r="BH149" s="80" t="str">
        <f t="shared" si="66"/>
        <v>Distrital</v>
      </c>
      <c r="BI149" s="79" t="s">
        <v>172</v>
      </c>
      <c r="BJ149" s="79"/>
      <c r="BK149" s="79"/>
      <c r="BL149" s="79"/>
      <c r="BM149" s="79"/>
      <c r="BN149" s="79"/>
      <c r="BO149" s="79"/>
      <c r="BP149" s="79"/>
      <c r="BQ149" s="79"/>
      <c r="BR149" s="79"/>
      <c r="BS149" s="80" t="s">
        <v>288</v>
      </c>
      <c r="BT149" s="80" t="s">
        <v>1242</v>
      </c>
      <c r="BU149" s="80" t="s">
        <v>1243</v>
      </c>
      <c r="BV149" s="71"/>
      <c r="BW149" s="79" t="s">
        <v>153</v>
      </c>
      <c r="BX149" s="79" t="s">
        <v>607</v>
      </c>
      <c r="BY149" s="71"/>
      <c r="BZ149" s="79">
        <v>52</v>
      </c>
      <c r="CA149" s="79">
        <v>5</v>
      </c>
      <c r="CB149" s="79">
        <f t="shared" si="25"/>
        <v>57</v>
      </c>
      <c r="CC149" s="79" t="str">
        <f t="shared" si="81"/>
        <v>Ninguna</v>
      </c>
      <c r="CD149" s="79" t="s">
        <v>174</v>
      </c>
      <c r="CE149" s="79"/>
      <c r="CF149" s="79"/>
      <c r="CG149" s="83" t="s">
        <v>1244</v>
      </c>
      <c r="CH149" s="41"/>
      <c r="CI149" s="79" t="s">
        <v>153</v>
      </c>
      <c r="CJ149" s="71"/>
      <c r="CK149" s="79">
        <f t="shared" si="38"/>
        <v>0</v>
      </c>
      <c r="CL149" s="79"/>
      <c r="CM149" s="79"/>
      <c r="CN149" s="79"/>
      <c r="CO149" s="79"/>
      <c r="CP149" s="79"/>
      <c r="CQ149" s="79"/>
      <c r="CR149" s="83"/>
      <c r="CS149" s="83"/>
      <c r="CT149" s="83"/>
      <c r="CU149" s="83"/>
      <c r="CV149" s="83"/>
      <c r="CW149" s="83"/>
      <c r="CX149" s="79"/>
      <c r="CY149" s="79">
        <f t="shared" si="39"/>
        <v>0</v>
      </c>
      <c r="CZ149" s="79">
        <v>0</v>
      </c>
      <c r="DA149" s="79">
        <f t="shared" si="84"/>
        <v>0</v>
      </c>
      <c r="DB149" s="84" t="str">
        <f t="shared" si="46"/>
        <v/>
      </c>
      <c r="DC149" s="41"/>
      <c r="DD149" s="79"/>
      <c r="DE149" s="71"/>
      <c r="DF149" s="85" t="s">
        <v>1245</v>
      </c>
      <c r="DG149" s="79">
        <v>143</v>
      </c>
      <c r="DH149" s="86">
        <f t="shared" si="58"/>
        <v>45373</v>
      </c>
      <c r="DI149" s="79" t="s">
        <v>1246</v>
      </c>
      <c r="DJ149" s="79" t="s">
        <v>182</v>
      </c>
      <c r="DK149" s="79"/>
      <c r="DL149" s="79">
        <v>0</v>
      </c>
      <c r="DM149" s="79">
        <v>0</v>
      </c>
      <c r="DN149" s="79" t="s">
        <v>182</v>
      </c>
      <c r="DO149" s="79" t="s">
        <v>179</v>
      </c>
      <c r="DP149" s="79"/>
      <c r="DQ149" s="79"/>
      <c r="DR149" s="75" t="str">
        <f t="shared" si="70"/>
        <v>No aplica</v>
      </c>
      <c r="DS149" s="79"/>
      <c r="DT149" s="79"/>
      <c r="DU149" s="75" t="str">
        <f t="shared" si="71"/>
        <v>No aplica</v>
      </c>
      <c r="DV149" s="79" t="s">
        <v>182</v>
      </c>
      <c r="DW149" s="79" t="s">
        <v>182</v>
      </c>
      <c r="DX149" s="79"/>
      <c r="DY149" s="79"/>
      <c r="DZ149" s="79" t="s">
        <v>179</v>
      </c>
      <c r="EA149" s="79" t="s">
        <v>179</v>
      </c>
      <c r="EB149" s="79"/>
      <c r="EC149" s="79"/>
      <c r="ED149" s="79" t="s">
        <v>1247</v>
      </c>
      <c r="EE149" s="79" t="str">
        <f t="shared" si="62"/>
        <v>Por Completar</v>
      </c>
      <c r="EF149" s="41"/>
      <c r="EG149" s="79" t="s">
        <v>152</v>
      </c>
      <c r="EH149" s="71"/>
      <c r="EI149" s="80"/>
      <c r="EJ149" s="71"/>
      <c r="EK149" s="79" t="s">
        <v>179</v>
      </c>
      <c r="EL149" s="76" t="str">
        <f t="shared" si="72"/>
        <v>No requiere</v>
      </c>
      <c r="EM149" s="76" t="str">
        <f t="shared" si="73"/>
        <v>No requiere</v>
      </c>
      <c r="EN149" s="76" t="str">
        <f t="shared" si="82"/>
        <v>No requiere</v>
      </c>
      <c r="EO149" s="71"/>
      <c r="EP149" s="73" t="str">
        <f t="shared" si="75"/>
        <v>No requiere</v>
      </c>
      <c r="EQ149" s="77" t="str">
        <f t="shared" si="76"/>
        <v>No requiere</v>
      </c>
      <c r="ER149" s="71"/>
      <c r="ES149" s="79" t="s">
        <v>179</v>
      </c>
      <c r="ET149" s="73" t="str">
        <f t="shared" si="77"/>
        <v>No requiere</v>
      </c>
      <c r="EU149" s="73" t="str">
        <f t="shared" si="83"/>
        <v>No requiere</v>
      </c>
      <c r="EV149" s="73" t="str">
        <f t="shared" si="79"/>
        <v>No requiere</v>
      </c>
      <c r="EW149" s="73" t="str">
        <f t="shared" si="80"/>
        <v>No requiere</v>
      </c>
      <c r="EX149" s="78"/>
      <c r="EY149" s="78"/>
    </row>
    <row r="150" spans="1:155" ht="46.5" customHeight="1">
      <c r="A150" s="79">
        <v>146</v>
      </c>
      <c r="B150" s="80" t="s">
        <v>1248</v>
      </c>
      <c r="C150" s="81">
        <v>45370</v>
      </c>
      <c r="D150" s="82">
        <v>0.375</v>
      </c>
      <c r="E150" s="79" t="s">
        <v>853</v>
      </c>
      <c r="F150" s="79" t="s">
        <v>153</v>
      </c>
      <c r="G150" s="79" t="s">
        <v>152</v>
      </c>
      <c r="H150" s="79" t="s">
        <v>152</v>
      </c>
      <c r="I150" s="79" t="s">
        <v>153</v>
      </c>
      <c r="J150" s="79" t="s">
        <v>1249</v>
      </c>
      <c r="K150" s="79" t="s">
        <v>202</v>
      </c>
      <c r="L150" s="80" t="s">
        <v>1250</v>
      </c>
      <c r="M150" s="80" t="s">
        <v>229</v>
      </c>
      <c r="N150" s="79" t="s">
        <v>749</v>
      </c>
      <c r="O150" s="80" t="str">
        <f t="shared" si="63"/>
        <v/>
      </c>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t="s">
        <v>169</v>
      </c>
      <c r="AP150" s="79" t="s">
        <v>170</v>
      </c>
      <c r="AQ150" s="80" t="s">
        <v>1251</v>
      </c>
      <c r="AR150" s="83" t="s">
        <v>1252</v>
      </c>
      <c r="AS150" s="80" t="s">
        <v>1253</v>
      </c>
      <c r="AT150" s="80" t="str">
        <f t="shared" si="64"/>
        <v>Distrital</v>
      </c>
      <c r="AU150" s="79" t="s">
        <v>172</v>
      </c>
      <c r="AV150" s="79"/>
      <c r="AW150" s="79"/>
      <c r="AX150" s="79"/>
      <c r="AY150" s="79"/>
      <c r="AZ150" s="79"/>
      <c r="BA150" s="80" t="str">
        <f t="shared" si="65"/>
        <v>Distrital</v>
      </c>
      <c r="BB150" s="79" t="s">
        <v>172</v>
      </c>
      <c r="BC150" s="79"/>
      <c r="BD150" s="79"/>
      <c r="BE150" s="79"/>
      <c r="BF150" s="79"/>
      <c r="BG150" s="79"/>
      <c r="BH150" s="80" t="str">
        <f t="shared" si="66"/>
        <v>Distrital</v>
      </c>
      <c r="BI150" s="79" t="s">
        <v>172</v>
      </c>
      <c r="BJ150" s="79"/>
      <c r="BK150" s="79"/>
      <c r="BL150" s="79"/>
      <c r="BM150" s="79"/>
      <c r="BN150" s="79"/>
      <c r="BO150" s="79"/>
      <c r="BP150" s="79"/>
      <c r="BQ150" s="79"/>
      <c r="BR150" s="79"/>
      <c r="BS150" s="80" t="s">
        <v>288</v>
      </c>
      <c r="BT150" s="80" t="s">
        <v>1254</v>
      </c>
      <c r="BU150" s="89" t="s">
        <v>1255</v>
      </c>
      <c r="BV150" s="71"/>
      <c r="BW150" s="79" t="s">
        <v>152</v>
      </c>
      <c r="BX150" s="79" t="s">
        <v>179</v>
      </c>
      <c r="BY150" s="71"/>
      <c r="BZ150" s="79">
        <v>16</v>
      </c>
      <c r="CA150" s="79">
        <v>2</v>
      </c>
      <c r="CB150" s="79">
        <f t="shared" si="25"/>
        <v>18</v>
      </c>
      <c r="CC150" s="79" t="str">
        <f t="shared" si="81"/>
        <v>No Aplica</v>
      </c>
      <c r="CD150" s="79" t="s">
        <v>177</v>
      </c>
      <c r="CE150" s="79"/>
      <c r="CF150" s="79"/>
      <c r="CG150" s="83" t="s">
        <v>1256</v>
      </c>
      <c r="CH150" s="41"/>
      <c r="CI150" s="79" t="s">
        <v>153</v>
      </c>
      <c r="CJ150" s="71"/>
      <c r="CK150" s="79">
        <f t="shared" si="38"/>
        <v>0</v>
      </c>
      <c r="CL150" s="79"/>
      <c r="CM150" s="79"/>
      <c r="CN150" s="79"/>
      <c r="CO150" s="79"/>
      <c r="CP150" s="79"/>
      <c r="CQ150" s="79"/>
      <c r="CR150" s="83" t="s">
        <v>179</v>
      </c>
      <c r="CS150" s="83" t="s">
        <v>179</v>
      </c>
      <c r="CT150" s="83" t="s">
        <v>179</v>
      </c>
      <c r="CU150" s="83" t="s">
        <v>179</v>
      </c>
      <c r="CV150" s="83" t="s">
        <v>179</v>
      </c>
      <c r="CW150" s="83" t="s">
        <v>179</v>
      </c>
      <c r="CX150" s="79" t="s">
        <v>153</v>
      </c>
      <c r="CY150" s="79">
        <f t="shared" si="39"/>
        <v>0</v>
      </c>
      <c r="CZ150" s="79">
        <v>0</v>
      </c>
      <c r="DA150" s="79">
        <f t="shared" si="84"/>
        <v>0</v>
      </c>
      <c r="DB150" s="84" t="str">
        <f t="shared" si="46"/>
        <v/>
      </c>
      <c r="DC150" s="41"/>
      <c r="DD150" s="79" t="s">
        <v>153</v>
      </c>
      <c r="DE150" s="71"/>
      <c r="DF150" s="85" t="s">
        <v>1257</v>
      </c>
      <c r="DG150" s="79">
        <v>144</v>
      </c>
      <c r="DH150" s="86" t="str">
        <f t="shared" ref="DH150:DH213" si="85">IF(EE150="Por completar",C150+3,"Completo")</f>
        <v>Completo</v>
      </c>
      <c r="DI150" s="79" t="s">
        <v>181</v>
      </c>
      <c r="DJ150" s="79" t="s">
        <v>182</v>
      </c>
      <c r="DK150" s="79"/>
      <c r="DL150" s="79">
        <v>0</v>
      </c>
      <c r="DM150" s="79">
        <v>0</v>
      </c>
      <c r="DN150" s="79"/>
      <c r="DO150" s="79"/>
      <c r="DP150" s="79"/>
      <c r="DQ150" s="79"/>
      <c r="DR150" s="75" t="str">
        <f t="shared" si="70"/>
        <v>No aplica</v>
      </c>
      <c r="DS150" s="79"/>
      <c r="DT150" s="79"/>
      <c r="DU150" s="75" t="str">
        <f t="shared" si="71"/>
        <v>No aplica</v>
      </c>
      <c r="DV150" s="79" t="s">
        <v>182</v>
      </c>
      <c r="DW150" s="79" t="s">
        <v>182</v>
      </c>
      <c r="DX150" s="79"/>
      <c r="DY150" s="79"/>
      <c r="DZ150" s="79"/>
      <c r="EA150" s="79"/>
      <c r="EB150" s="79"/>
      <c r="EC150" s="79"/>
      <c r="ED150" s="79" t="s">
        <v>249</v>
      </c>
      <c r="EE150" s="79" t="str">
        <f t="shared" si="62"/>
        <v>Completo</v>
      </c>
      <c r="EF150" s="41"/>
      <c r="EG150" s="79" t="s">
        <v>153</v>
      </c>
      <c r="EH150" s="71"/>
      <c r="EI150" s="80"/>
      <c r="EJ150" s="71"/>
      <c r="EK150" s="79" t="s">
        <v>179</v>
      </c>
      <c r="EL150" s="76" t="str">
        <f t="shared" si="72"/>
        <v>No requiere</v>
      </c>
      <c r="EM150" s="76" t="str">
        <f t="shared" si="73"/>
        <v>No requiere</v>
      </c>
      <c r="EN150" s="76" t="str">
        <f t="shared" si="82"/>
        <v>No requiere</v>
      </c>
      <c r="EO150" s="71"/>
      <c r="EP150" s="73" t="str">
        <f t="shared" si="75"/>
        <v>No requiere</v>
      </c>
      <c r="EQ150" s="77" t="str">
        <f t="shared" si="76"/>
        <v>No requiere</v>
      </c>
      <c r="ER150" s="71"/>
      <c r="ES150" s="79" t="s">
        <v>179</v>
      </c>
      <c r="ET150" s="73" t="str">
        <f t="shared" si="77"/>
        <v>No requiere</v>
      </c>
      <c r="EU150" s="73" t="str">
        <f t="shared" si="83"/>
        <v>No requiere</v>
      </c>
      <c r="EV150" s="73" t="str">
        <f t="shared" si="79"/>
        <v>No requiere</v>
      </c>
      <c r="EW150" s="73" t="str">
        <f t="shared" si="80"/>
        <v>No requiere</v>
      </c>
      <c r="EX150" s="78"/>
      <c r="EY150" s="78"/>
    </row>
    <row r="151" spans="1:155" ht="46.5" customHeight="1">
      <c r="A151" s="79">
        <v>147</v>
      </c>
      <c r="B151" s="80" t="s">
        <v>1258</v>
      </c>
      <c r="C151" s="81">
        <v>45370</v>
      </c>
      <c r="D151" s="82">
        <v>0.47916666666666669</v>
      </c>
      <c r="E151" s="79" t="s">
        <v>151</v>
      </c>
      <c r="F151" s="79" t="s">
        <v>153</v>
      </c>
      <c r="G151" s="79" t="s">
        <v>152</v>
      </c>
      <c r="H151" s="79" t="s">
        <v>152</v>
      </c>
      <c r="I151" s="79" t="s">
        <v>152</v>
      </c>
      <c r="J151" s="79" t="s">
        <v>154</v>
      </c>
      <c r="K151" s="79" t="s">
        <v>202</v>
      </c>
      <c r="L151" s="80" t="s">
        <v>1259</v>
      </c>
      <c r="M151" s="80" t="s">
        <v>303</v>
      </c>
      <c r="N151" s="79" t="s">
        <v>820</v>
      </c>
      <c r="O151" s="80" t="str">
        <f t="shared" si="63"/>
        <v>PENDIENTE</v>
      </c>
      <c r="P151" s="79" t="s">
        <v>196</v>
      </c>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t="s">
        <v>578</v>
      </c>
      <c r="AP151" s="79"/>
      <c r="AQ151" s="80" t="s">
        <v>1260</v>
      </c>
      <c r="AR151" s="80" t="s">
        <v>171</v>
      </c>
      <c r="AS151" s="89" t="s">
        <v>1261</v>
      </c>
      <c r="AT151" s="80" t="str">
        <f t="shared" si="64"/>
        <v>Distrital</v>
      </c>
      <c r="AU151" s="79" t="s">
        <v>172</v>
      </c>
      <c r="AV151" s="79"/>
      <c r="AW151" s="79"/>
      <c r="AX151" s="79"/>
      <c r="AY151" s="79"/>
      <c r="AZ151" s="79"/>
      <c r="BA151" s="80" t="str">
        <f t="shared" si="65"/>
        <v>Distrital</v>
      </c>
      <c r="BB151" s="79" t="s">
        <v>172</v>
      </c>
      <c r="BC151" s="79"/>
      <c r="BD151" s="79"/>
      <c r="BE151" s="79"/>
      <c r="BF151" s="79"/>
      <c r="BG151" s="79"/>
      <c r="BH151" s="80" t="str">
        <f t="shared" si="66"/>
        <v>Distrital</v>
      </c>
      <c r="BI151" s="79" t="s">
        <v>172</v>
      </c>
      <c r="BJ151" s="79"/>
      <c r="BK151" s="79"/>
      <c r="BL151" s="79"/>
      <c r="BM151" s="79"/>
      <c r="BN151" s="79"/>
      <c r="BO151" s="79"/>
      <c r="BP151" s="79"/>
      <c r="BQ151" s="79"/>
      <c r="BR151" s="79"/>
      <c r="BS151" s="80" t="s">
        <v>288</v>
      </c>
      <c r="BT151" s="80" t="s">
        <v>174</v>
      </c>
      <c r="BU151" s="89" t="s">
        <v>1262</v>
      </c>
      <c r="BV151" s="71"/>
      <c r="BW151" s="79" t="s">
        <v>153</v>
      </c>
      <c r="BX151" s="79" t="s">
        <v>176</v>
      </c>
      <c r="BY151" s="71"/>
      <c r="BZ151" s="79">
        <v>2</v>
      </c>
      <c r="CA151" s="79">
        <v>4</v>
      </c>
      <c r="CB151" s="79">
        <f t="shared" si="25"/>
        <v>6</v>
      </c>
      <c r="CC151" s="79" t="str">
        <f t="shared" si="81"/>
        <v>No Aplica</v>
      </c>
      <c r="CD151" s="79" t="s">
        <v>177</v>
      </c>
      <c r="CE151" s="79"/>
      <c r="CF151" s="79"/>
      <c r="CG151" s="83" t="s">
        <v>1263</v>
      </c>
      <c r="CH151" s="41"/>
      <c r="CI151" s="79" t="s">
        <v>153</v>
      </c>
      <c r="CJ151" s="71"/>
      <c r="CK151" s="79">
        <f t="shared" si="38"/>
        <v>0</v>
      </c>
      <c r="CL151" s="79"/>
      <c r="CM151" s="79"/>
      <c r="CN151" s="79"/>
      <c r="CO151" s="79"/>
      <c r="CP151" s="79"/>
      <c r="CQ151" s="79"/>
      <c r="CR151" s="83" t="s">
        <v>179</v>
      </c>
      <c r="CS151" s="83" t="s">
        <v>179</v>
      </c>
      <c r="CT151" s="83" t="s">
        <v>179</v>
      </c>
      <c r="CU151" s="83" t="s">
        <v>179</v>
      </c>
      <c r="CV151" s="83" t="s">
        <v>179</v>
      </c>
      <c r="CW151" s="83" t="s">
        <v>179</v>
      </c>
      <c r="CX151" s="79" t="s">
        <v>153</v>
      </c>
      <c r="CY151" s="79">
        <f t="shared" si="39"/>
        <v>0</v>
      </c>
      <c r="CZ151" s="79">
        <v>0</v>
      </c>
      <c r="DA151" s="79">
        <f t="shared" si="84"/>
        <v>0</v>
      </c>
      <c r="DB151" s="84" t="str">
        <f t="shared" si="46"/>
        <v/>
      </c>
      <c r="DC151" s="41"/>
      <c r="DD151" s="79" t="s">
        <v>153</v>
      </c>
      <c r="DE151" s="71"/>
      <c r="DF151" s="85" t="s">
        <v>1264</v>
      </c>
      <c r="DG151" s="79">
        <v>145</v>
      </c>
      <c r="DH151" s="86" t="str">
        <f t="shared" si="85"/>
        <v>Completo</v>
      </c>
      <c r="DI151" s="79" t="s">
        <v>181</v>
      </c>
      <c r="DJ151" s="79" t="s">
        <v>182</v>
      </c>
      <c r="DK151" s="79"/>
      <c r="DL151" s="79">
        <v>0</v>
      </c>
      <c r="DM151" s="79">
        <v>0</v>
      </c>
      <c r="DN151" s="79" t="s">
        <v>182</v>
      </c>
      <c r="DO151" s="79"/>
      <c r="DP151" s="79"/>
      <c r="DQ151" s="79"/>
      <c r="DR151" s="75" t="str">
        <f t="shared" si="70"/>
        <v>No aplica</v>
      </c>
      <c r="DS151" s="79"/>
      <c r="DT151" s="79"/>
      <c r="DU151" s="75" t="str">
        <f t="shared" si="71"/>
        <v>No aplica</v>
      </c>
      <c r="DV151" s="79" t="s">
        <v>182</v>
      </c>
      <c r="DW151" s="79" t="s">
        <v>182</v>
      </c>
      <c r="DX151" s="79"/>
      <c r="DY151" s="79"/>
      <c r="DZ151" s="79"/>
      <c r="EA151" s="79"/>
      <c r="EB151" s="79"/>
      <c r="EC151" s="79"/>
      <c r="ED151" s="79" t="s">
        <v>249</v>
      </c>
      <c r="EE151" s="79" t="str">
        <f t="shared" si="62"/>
        <v>Completo</v>
      </c>
      <c r="EF151" s="41"/>
      <c r="EG151" s="79" t="s">
        <v>153</v>
      </c>
      <c r="EH151" s="71"/>
      <c r="EI151" s="80"/>
      <c r="EJ151" s="71"/>
      <c r="EK151" s="79" t="s">
        <v>179</v>
      </c>
      <c r="EL151" s="76" t="str">
        <f t="shared" si="72"/>
        <v>No requiere</v>
      </c>
      <c r="EM151" s="76" t="str">
        <f t="shared" si="73"/>
        <v>No requiere</v>
      </c>
      <c r="EN151" s="76" t="str">
        <f t="shared" si="82"/>
        <v>No requiere</v>
      </c>
      <c r="EO151" s="71"/>
      <c r="EP151" s="73" t="str">
        <f t="shared" si="75"/>
        <v>No requiere</v>
      </c>
      <c r="EQ151" s="77" t="str">
        <f t="shared" si="76"/>
        <v>No requiere</v>
      </c>
      <c r="ER151" s="71"/>
      <c r="ES151" s="79" t="s">
        <v>179</v>
      </c>
      <c r="ET151" s="73" t="str">
        <f t="shared" si="77"/>
        <v>No requiere</v>
      </c>
      <c r="EU151" s="73" t="str">
        <f t="shared" si="83"/>
        <v>No requiere</v>
      </c>
      <c r="EV151" s="73" t="str">
        <f t="shared" si="79"/>
        <v>No requiere</v>
      </c>
      <c r="EW151" s="73" t="str">
        <f t="shared" si="80"/>
        <v>No requiere</v>
      </c>
      <c r="EX151" s="78"/>
      <c r="EY151" s="78"/>
    </row>
    <row r="152" spans="1:155" ht="46.5" customHeight="1">
      <c r="A152" s="79">
        <v>148</v>
      </c>
      <c r="B152" s="80" t="s">
        <v>1265</v>
      </c>
      <c r="C152" s="81">
        <v>45370</v>
      </c>
      <c r="D152" s="82">
        <v>0.5625</v>
      </c>
      <c r="E152" s="79" t="s">
        <v>151</v>
      </c>
      <c r="F152" s="79" t="s">
        <v>153</v>
      </c>
      <c r="G152" s="79" t="s">
        <v>153</v>
      </c>
      <c r="H152" s="79" t="s">
        <v>153</v>
      </c>
      <c r="I152" s="79" t="s">
        <v>152</v>
      </c>
      <c r="J152" s="79" t="s">
        <v>154</v>
      </c>
      <c r="K152" s="79" t="s">
        <v>155</v>
      </c>
      <c r="L152" s="80" t="s">
        <v>600</v>
      </c>
      <c r="M152" s="80" t="s">
        <v>303</v>
      </c>
      <c r="N152" s="79" t="s">
        <v>506</v>
      </c>
      <c r="O152" s="80" t="str">
        <f t="shared" si="63"/>
        <v>Maria Angélica Higuera, Nicolas Esteban Hernández, Rosemberg Prisco Vasquez, William Jair Gil, Diego Alejandro Camacho</v>
      </c>
      <c r="P152" s="79" t="s">
        <v>328</v>
      </c>
      <c r="Q152" s="79" t="s">
        <v>645</v>
      </c>
      <c r="R152" s="79" t="s">
        <v>162</v>
      </c>
      <c r="S152" s="79" t="s">
        <v>862</v>
      </c>
      <c r="T152" s="79" t="s">
        <v>422</v>
      </c>
      <c r="U152" s="79"/>
      <c r="V152" s="79"/>
      <c r="W152" s="79"/>
      <c r="X152" s="79"/>
      <c r="Y152" s="79"/>
      <c r="Z152" s="79"/>
      <c r="AA152" s="79"/>
      <c r="AB152" s="79"/>
      <c r="AC152" s="79"/>
      <c r="AD152" s="79"/>
      <c r="AE152" s="79"/>
      <c r="AF152" s="79"/>
      <c r="AG152" s="79"/>
      <c r="AH152" s="79"/>
      <c r="AI152" s="79"/>
      <c r="AJ152" s="79"/>
      <c r="AK152" s="79"/>
      <c r="AL152" s="79"/>
      <c r="AM152" s="79"/>
      <c r="AN152" s="79"/>
      <c r="AO152" s="79" t="s">
        <v>304</v>
      </c>
      <c r="AP152" s="79"/>
      <c r="AQ152" s="80" t="s">
        <v>1266</v>
      </c>
      <c r="AR152" s="80">
        <v>3125695208</v>
      </c>
      <c r="AS152" s="80" t="s">
        <v>171</v>
      </c>
      <c r="AT152" s="80" t="str">
        <f t="shared" si="64"/>
        <v>Sumapaz</v>
      </c>
      <c r="AU152" s="79" t="s">
        <v>510</v>
      </c>
      <c r="AV152" s="79"/>
      <c r="AW152" s="79"/>
      <c r="AX152" s="79"/>
      <c r="AY152" s="79"/>
      <c r="AZ152" s="79"/>
      <c r="BA152" s="80" t="str">
        <f t="shared" si="65"/>
        <v>Ruralidad</v>
      </c>
      <c r="BB152" s="79" t="s">
        <v>219</v>
      </c>
      <c r="BC152" s="79"/>
      <c r="BD152" s="79"/>
      <c r="BE152" s="79"/>
      <c r="BF152" s="79"/>
      <c r="BG152" s="79"/>
      <c r="BH152" s="80" t="str">
        <f t="shared" si="66"/>
        <v>Sumapaz</v>
      </c>
      <c r="BI152" s="79" t="s">
        <v>510</v>
      </c>
      <c r="BJ152" s="79"/>
      <c r="BK152" s="79"/>
      <c r="BL152" s="79"/>
      <c r="BM152" s="79"/>
      <c r="BN152" s="79"/>
      <c r="BO152" s="79"/>
      <c r="BP152" s="79"/>
      <c r="BQ152" s="79"/>
      <c r="BR152" s="79"/>
      <c r="BS152" s="80" t="s">
        <v>288</v>
      </c>
      <c r="BT152" s="80" t="s">
        <v>605</v>
      </c>
      <c r="BU152" s="80" t="s">
        <v>1267</v>
      </c>
      <c r="BV152" s="71"/>
      <c r="BW152" s="79" t="s">
        <v>153</v>
      </c>
      <c r="BX152" s="79" t="s">
        <v>607</v>
      </c>
      <c r="BY152" s="71"/>
      <c r="BZ152" s="79">
        <v>59</v>
      </c>
      <c r="CA152" s="79">
        <v>11</v>
      </c>
      <c r="CB152" s="79">
        <f t="shared" si="25"/>
        <v>70</v>
      </c>
      <c r="CC152" s="79" t="str">
        <f t="shared" si="81"/>
        <v>Contenidos adaptados</v>
      </c>
      <c r="CD152" s="79" t="s">
        <v>350</v>
      </c>
      <c r="CE152" s="79"/>
      <c r="CF152" s="79"/>
      <c r="CG152" s="83" t="s">
        <v>1268</v>
      </c>
      <c r="CH152" s="41"/>
      <c r="CI152" s="79" t="s">
        <v>153</v>
      </c>
      <c r="CJ152" s="71"/>
      <c r="CK152" s="79">
        <f t="shared" si="38"/>
        <v>1</v>
      </c>
      <c r="CL152" s="79" t="s">
        <v>1214</v>
      </c>
      <c r="CM152" s="79"/>
      <c r="CN152" s="79"/>
      <c r="CO152" s="79"/>
      <c r="CP152" s="79"/>
      <c r="CQ152" s="79"/>
      <c r="CR152" s="83" t="s">
        <v>390</v>
      </c>
      <c r="CS152" s="83" t="s">
        <v>179</v>
      </c>
      <c r="CT152" s="83" t="s">
        <v>179</v>
      </c>
      <c r="CU152" s="83" t="s">
        <v>179</v>
      </c>
      <c r="CV152" s="83" t="s">
        <v>179</v>
      </c>
      <c r="CW152" s="83" t="s">
        <v>179</v>
      </c>
      <c r="CX152" s="79" t="s">
        <v>153</v>
      </c>
      <c r="CY152" s="79">
        <f t="shared" si="39"/>
        <v>1</v>
      </c>
      <c r="CZ152" s="79">
        <v>1</v>
      </c>
      <c r="DA152" s="79">
        <f t="shared" si="84"/>
        <v>1</v>
      </c>
      <c r="DB152" s="84">
        <f t="shared" si="46"/>
        <v>1</v>
      </c>
      <c r="DC152" s="41"/>
      <c r="DD152" s="79" t="s">
        <v>153</v>
      </c>
      <c r="DE152" s="71"/>
      <c r="DF152" s="85" t="s">
        <v>1269</v>
      </c>
      <c r="DG152" s="79">
        <v>146</v>
      </c>
      <c r="DH152" s="86" t="str">
        <f t="shared" si="85"/>
        <v>Completo</v>
      </c>
      <c r="DI152" s="79" t="s">
        <v>181</v>
      </c>
      <c r="DJ152" s="79" t="s">
        <v>182</v>
      </c>
      <c r="DK152" s="79" t="s">
        <v>153</v>
      </c>
      <c r="DL152" s="79">
        <v>0</v>
      </c>
      <c r="DM152" s="79">
        <v>0</v>
      </c>
      <c r="DN152" s="79" t="s">
        <v>182</v>
      </c>
      <c r="DO152" s="79">
        <v>133</v>
      </c>
      <c r="DP152" s="79" t="s">
        <v>182</v>
      </c>
      <c r="DQ152" s="79">
        <v>19</v>
      </c>
      <c r="DR152" s="75">
        <f t="shared" si="70"/>
        <v>1.0734463276836159</v>
      </c>
      <c r="DS152" s="79" t="s">
        <v>182</v>
      </c>
      <c r="DT152" s="79">
        <v>17</v>
      </c>
      <c r="DU152" s="75">
        <f t="shared" si="71"/>
        <v>0.82324455205811142</v>
      </c>
      <c r="DV152" s="79" t="s">
        <v>182</v>
      </c>
      <c r="DW152" s="79" t="s">
        <v>182</v>
      </c>
      <c r="DX152" s="79">
        <v>6</v>
      </c>
      <c r="DY152" s="79">
        <v>2</v>
      </c>
      <c r="DZ152" s="79" t="s">
        <v>1270</v>
      </c>
      <c r="EA152" s="79">
        <v>790</v>
      </c>
      <c r="EB152" s="79" t="s">
        <v>182</v>
      </c>
      <c r="EC152" s="79" t="s">
        <v>640</v>
      </c>
      <c r="ED152" s="79" t="s">
        <v>184</v>
      </c>
      <c r="EE152" s="79" t="str">
        <f t="shared" si="62"/>
        <v>Completo</v>
      </c>
      <c r="EF152" s="41"/>
      <c r="EG152" s="79" t="s">
        <v>153</v>
      </c>
      <c r="EH152" s="71"/>
      <c r="EI152" s="202" t="s">
        <v>1271</v>
      </c>
      <c r="EJ152" s="71"/>
      <c r="EK152" s="79" t="s">
        <v>393</v>
      </c>
      <c r="EL152" s="76" t="str">
        <f t="shared" si="72"/>
        <v>Sí</v>
      </c>
      <c r="EM152" s="76" t="str">
        <f t="shared" si="73"/>
        <v>Sí</v>
      </c>
      <c r="EN152" s="76" t="str">
        <f t="shared" si="82"/>
        <v>Sí</v>
      </c>
      <c r="EO152" s="71"/>
      <c r="EP152" s="73" t="str">
        <f t="shared" si="75"/>
        <v>No aplica</v>
      </c>
      <c r="EQ152" s="77">
        <f t="shared" si="76"/>
        <v>0.82324455205811142</v>
      </c>
      <c r="ER152" s="71"/>
      <c r="ES152" s="79" t="s">
        <v>393</v>
      </c>
      <c r="ET152" s="73">
        <f t="shared" si="77"/>
        <v>1</v>
      </c>
      <c r="EU152" s="73">
        <f t="shared" si="83"/>
        <v>1</v>
      </c>
      <c r="EV152" s="73">
        <f t="shared" si="79"/>
        <v>1</v>
      </c>
      <c r="EW152" s="73">
        <f t="shared" si="80"/>
        <v>0.16835443037974684</v>
      </c>
      <c r="EX152" s="78"/>
      <c r="EY152" s="78"/>
    </row>
    <row r="153" spans="1:155" ht="46.5" customHeight="1">
      <c r="A153" s="79">
        <v>149</v>
      </c>
      <c r="B153" s="80" t="s">
        <v>1272</v>
      </c>
      <c r="C153" s="81">
        <v>45370</v>
      </c>
      <c r="D153" s="82">
        <v>0.60416666666666663</v>
      </c>
      <c r="E153" s="79" t="s">
        <v>151</v>
      </c>
      <c r="F153" s="79" t="s">
        <v>153</v>
      </c>
      <c r="G153" s="79" t="s">
        <v>153</v>
      </c>
      <c r="H153" s="79" t="s">
        <v>153</v>
      </c>
      <c r="I153" s="79" t="s">
        <v>152</v>
      </c>
      <c r="J153" s="79" t="s">
        <v>154</v>
      </c>
      <c r="K153" s="79" t="s">
        <v>155</v>
      </c>
      <c r="L153" s="80" t="s">
        <v>600</v>
      </c>
      <c r="M153" s="80" t="s">
        <v>303</v>
      </c>
      <c r="N153" s="79" t="s">
        <v>166</v>
      </c>
      <c r="O153" s="80" t="str">
        <f t="shared" si="63"/>
        <v>Erika Lizeth Rueda, Renata Rengifo Moyano, Julio César Martínez, Melina Julieta Solano, Juan Pablo Serna, Nixon Sandoval Mateus, Norberto Muñoz Morera, Daniela Velasco Vega, Paula Andrea González, Claudia Fernanda Pineda, Luis Fernando Barreto , Nestor Jecfrid Sánchez, Nathalia Guzmán Martínez, Nicolás Enrique Moncaleano</v>
      </c>
      <c r="P153" s="79" t="s">
        <v>556</v>
      </c>
      <c r="Q153" s="79" t="s">
        <v>1066</v>
      </c>
      <c r="R153" s="79" t="s">
        <v>601</v>
      </c>
      <c r="S153" s="79" t="s">
        <v>168</v>
      </c>
      <c r="T153" s="79" t="s">
        <v>818</v>
      </c>
      <c r="U153" s="79" t="s">
        <v>644</v>
      </c>
      <c r="V153" s="79" t="s">
        <v>161</v>
      </c>
      <c r="W153" s="79" t="s">
        <v>660</v>
      </c>
      <c r="X153" s="79" t="s">
        <v>158</v>
      </c>
      <c r="Y153" s="79" t="s">
        <v>546</v>
      </c>
      <c r="Z153" s="79" t="s">
        <v>720</v>
      </c>
      <c r="AA153" s="79" t="s">
        <v>965</v>
      </c>
      <c r="AB153" s="79" t="s">
        <v>166</v>
      </c>
      <c r="AC153" s="79" t="s">
        <v>966</v>
      </c>
      <c r="AD153" s="79"/>
      <c r="AE153" s="79"/>
      <c r="AF153" s="79"/>
      <c r="AG153" s="79"/>
      <c r="AH153" s="79"/>
      <c r="AI153" s="79"/>
      <c r="AJ153" s="79"/>
      <c r="AK153" s="79"/>
      <c r="AL153" s="79"/>
      <c r="AM153" s="79"/>
      <c r="AN153" s="79"/>
      <c r="AO153" s="79" t="s">
        <v>304</v>
      </c>
      <c r="AP153" s="79"/>
      <c r="AQ153" s="80" t="s">
        <v>171</v>
      </c>
      <c r="AR153" s="80" t="s">
        <v>171</v>
      </c>
      <c r="AS153" s="80" t="s">
        <v>171</v>
      </c>
      <c r="AT153" s="80" t="str">
        <f t="shared" si="64"/>
        <v>Fontibón, Engativá</v>
      </c>
      <c r="AU153" s="79" t="s">
        <v>646</v>
      </c>
      <c r="AV153" s="79" t="s">
        <v>234</v>
      </c>
      <c r="AW153" s="79"/>
      <c r="AX153" s="79"/>
      <c r="AY153" s="79"/>
      <c r="AZ153" s="79"/>
      <c r="BA153" s="80" t="str">
        <f t="shared" si="65"/>
        <v>Occidente</v>
      </c>
      <c r="BB153" s="79" t="s">
        <v>235</v>
      </c>
      <c r="BC153" s="79"/>
      <c r="BD153" s="79"/>
      <c r="BE153" s="79"/>
      <c r="BF153" s="79"/>
      <c r="BG153" s="79"/>
      <c r="BH153" s="80" t="str">
        <f t="shared" si="66"/>
        <v>Salitre</v>
      </c>
      <c r="BI153" s="79" t="s">
        <v>415</v>
      </c>
      <c r="BJ153" s="79"/>
      <c r="BK153" s="79"/>
      <c r="BL153" s="79"/>
      <c r="BM153" s="79"/>
      <c r="BN153" s="79"/>
      <c r="BO153" s="79"/>
      <c r="BP153" s="79"/>
      <c r="BQ153" s="79"/>
      <c r="BR153" s="79"/>
      <c r="BS153" s="80" t="s">
        <v>288</v>
      </c>
      <c r="BT153" s="80" t="s">
        <v>605</v>
      </c>
      <c r="BU153" s="80" t="s">
        <v>1273</v>
      </c>
      <c r="BV153" s="71"/>
      <c r="BW153" s="79" t="s">
        <v>153</v>
      </c>
      <c r="BX153" s="79" t="s">
        <v>607</v>
      </c>
      <c r="BY153" s="71"/>
      <c r="BZ153" s="79">
        <v>53</v>
      </c>
      <c r="CA153" s="79">
        <v>18</v>
      </c>
      <c r="CB153" s="79">
        <f t="shared" si="25"/>
        <v>71</v>
      </c>
      <c r="CC153" s="79" t="str">
        <f t="shared" si="81"/>
        <v>Ninguna</v>
      </c>
      <c r="CD153" s="79" t="s">
        <v>174</v>
      </c>
      <c r="CE153" s="79"/>
      <c r="CF153" s="79"/>
      <c r="CG153" s="83" t="s">
        <v>1274</v>
      </c>
      <c r="CH153" s="41"/>
      <c r="CI153" s="79" t="s">
        <v>153</v>
      </c>
      <c r="CJ153" s="71"/>
      <c r="CK153" s="79">
        <f t="shared" si="38"/>
        <v>1</v>
      </c>
      <c r="CL153" s="79" t="s">
        <v>1214</v>
      </c>
      <c r="CM153" s="79"/>
      <c r="CN153" s="79"/>
      <c r="CO153" s="79"/>
      <c r="CP153" s="79"/>
      <c r="CQ153" s="79"/>
      <c r="CR153" s="83" t="s">
        <v>390</v>
      </c>
      <c r="CS153" s="83" t="s">
        <v>179</v>
      </c>
      <c r="CT153" s="83" t="s">
        <v>179</v>
      </c>
      <c r="CU153" s="83" t="s">
        <v>179</v>
      </c>
      <c r="CV153" s="83" t="s">
        <v>179</v>
      </c>
      <c r="CW153" s="83" t="s">
        <v>179</v>
      </c>
      <c r="CX153" s="79" t="s">
        <v>153</v>
      </c>
      <c r="CY153" s="79">
        <f t="shared" si="39"/>
        <v>1</v>
      </c>
      <c r="CZ153" s="79">
        <v>1</v>
      </c>
      <c r="DA153" s="79">
        <f t="shared" si="84"/>
        <v>1</v>
      </c>
      <c r="DB153" s="84">
        <f t="shared" si="46"/>
        <v>1</v>
      </c>
      <c r="DC153" s="41"/>
      <c r="DD153" s="79" t="s">
        <v>153</v>
      </c>
      <c r="DE153" s="71"/>
      <c r="DF153" s="85" t="s">
        <v>1275</v>
      </c>
      <c r="DG153" s="79">
        <v>147</v>
      </c>
      <c r="DH153" s="86" t="str">
        <f t="shared" si="85"/>
        <v>Completo</v>
      </c>
      <c r="DI153" s="79" t="s">
        <v>181</v>
      </c>
      <c r="DJ153" s="79" t="s">
        <v>182</v>
      </c>
      <c r="DK153" s="79" t="s">
        <v>153</v>
      </c>
      <c r="DL153" s="79">
        <v>0</v>
      </c>
      <c r="DM153" s="79">
        <v>0</v>
      </c>
      <c r="DN153" s="79" t="s">
        <v>182</v>
      </c>
      <c r="DO153" s="79">
        <v>7034</v>
      </c>
      <c r="DP153" s="79" t="s">
        <v>182</v>
      </c>
      <c r="DQ153" s="79">
        <v>20</v>
      </c>
      <c r="DR153" s="75">
        <f t="shared" si="70"/>
        <v>1.257861635220126</v>
      </c>
      <c r="DS153" s="79" t="s">
        <v>182</v>
      </c>
      <c r="DT153" s="79">
        <v>91</v>
      </c>
      <c r="DU153" s="75">
        <f t="shared" si="71"/>
        <v>4.9056603773584913</v>
      </c>
      <c r="DV153" s="79" t="s">
        <v>182</v>
      </c>
      <c r="DW153" s="79" t="s">
        <v>182</v>
      </c>
      <c r="DX153" s="79">
        <v>5</v>
      </c>
      <c r="DY153" s="79">
        <v>1</v>
      </c>
      <c r="DZ153" s="79" t="s">
        <v>1276</v>
      </c>
      <c r="EA153" s="79">
        <v>7343</v>
      </c>
      <c r="EB153" s="79" t="s">
        <v>182</v>
      </c>
      <c r="EC153" s="79" t="s">
        <v>1277</v>
      </c>
      <c r="ED153" s="79" t="s">
        <v>249</v>
      </c>
      <c r="EE153" s="79" t="str">
        <f t="shared" si="62"/>
        <v>Completo</v>
      </c>
      <c r="EF153" s="41"/>
      <c r="EG153" s="79" t="s">
        <v>153</v>
      </c>
      <c r="EH153" s="71"/>
      <c r="EI153" s="89" t="s">
        <v>1278</v>
      </c>
      <c r="EJ153" s="71"/>
      <c r="EK153" s="79" t="s">
        <v>393</v>
      </c>
      <c r="EL153" s="76" t="str">
        <f t="shared" si="72"/>
        <v>Sí</v>
      </c>
      <c r="EM153" s="76" t="str">
        <f t="shared" si="73"/>
        <v>Sí</v>
      </c>
      <c r="EN153" s="76" t="str">
        <f t="shared" si="82"/>
        <v>No</v>
      </c>
      <c r="EO153" s="71"/>
      <c r="EP153" s="73" t="str">
        <f t="shared" si="75"/>
        <v>No aplica</v>
      </c>
      <c r="EQ153" s="77">
        <f t="shared" si="76"/>
        <v>4.9056603773584913</v>
      </c>
      <c r="ER153" s="71"/>
      <c r="ES153" s="79" t="s">
        <v>409</v>
      </c>
      <c r="ET153" s="73">
        <f t="shared" si="77"/>
        <v>1</v>
      </c>
      <c r="EU153" s="73">
        <f t="shared" si="83"/>
        <v>1</v>
      </c>
      <c r="EV153" s="73">
        <f t="shared" si="79"/>
        <v>1</v>
      </c>
      <c r="EW153" s="73">
        <f t="shared" si="80"/>
        <v>0.95791910663216673</v>
      </c>
      <c r="EX153" s="78"/>
      <c r="EY153" s="78"/>
    </row>
    <row r="154" spans="1:155" ht="46.5" customHeight="1">
      <c r="A154" s="79">
        <v>150</v>
      </c>
      <c r="B154" s="80" t="s">
        <v>1279</v>
      </c>
      <c r="C154" s="81">
        <v>45370</v>
      </c>
      <c r="D154" s="82">
        <v>0.6875</v>
      </c>
      <c r="E154" s="79" t="s">
        <v>853</v>
      </c>
      <c r="F154" s="79" t="s">
        <v>153</v>
      </c>
      <c r="G154" s="79" t="s">
        <v>152</v>
      </c>
      <c r="H154" s="79" t="s">
        <v>152</v>
      </c>
      <c r="I154" s="79" t="s">
        <v>152</v>
      </c>
      <c r="J154" s="79" t="s">
        <v>154</v>
      </c>
      <c r="K154" s="79" t="s">
        <v>155</v>
      </c>
      <c r="L154" s="80" t="s">
        <v>1280</v>
      </c>
      <c r="M154" s="80" t="s">
        <v>157</v>
      </c>
      <c r="N154" s="79" t="s">
        <v>1066</v>
      </c>
      <c r="O154" s="80" t="str">
        <f t="shared" si="63"/>
        <v/>
      </c>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t="s">
        <v>304</v>
      </c>
      <c r="AP154" s="79"/>
      <c r="AQ154" s="80" t="s">
        <v>1281</v>
      </c>
      <c r="AR154" s="83" t="s">
        <v>1282</v>
      </c>
      <c r="AS154" s="80" t="s">
        <v>1283</v>
      </c>
      <c r="AT154" s="80" t="str">
        <f t="shared" si="64"/>
        <v>Santa Fe</v>
      </c>
      <c r="AU154" s="79" t="s">
        <v>822</v>
      </c>
      <c r="AV154" s="79"/>
      <c r="AW154" s="79"/>
      <c r="AX154" s="79"/>
      <c r="AY154" s="79"/>
      <c r="AZ154" s="79"/>
      <c r="BA154" s="80" t="str">
        <f t="shared" si="65"/>
        <v>Centro Ampliado, Ruralidad</v>
      </c>
      <c r="BB154" s="79" t="s">
        <v>636</v>
      </c>
      <c r="BC154" s="79" t="s">
        <v>219</v>
      </c>
      <c r="BD154" s="79"/>
      <c r="BE154" s="79"/>
      <c r="BF154" s="79"/>
      <c r="BG154" s="79"/>
      <c r="BH154" s="80" t="str">
        <f t="shared" si="66"/>
        <v>Cerros Orientales, Centro Histórico</v>
      </c>
      <c r="BI154" s="79" t="s">
        <v>361</v>
      </c>
      <c r="BJ154" s="79" t="s">
        <v>754</v>
      </c>
      <c r="BK154" s="79"/>
      <c r="BL154" s="79"/>
      <c r="BM154" s="79"/>
      <c r="BN154" s="79"/>
      <c r="BO154" s="79"/>
      <c r="BP154" s="79"/>
      <c r="BQ154" s="79"/>
      <c r="BR154" s="79"/>
      <c r="BS154" s="80" t="s">
        <v>288</v>
      </c>
      <c r="BT154" s="80" t="s">
        <v>174</v>
      </c>
      <c r="BU154" s="80" t="s">
        <v>1284</v>
      </c>
      <c r="BV154" s="71"/>
      <c r="BW154" s="79" t="s">
        <v>152</v>
      </c>
      <c r="BX154" s="79" t="s">
        <v>179</v>
      </c>
      <c r="BY154" s="71"/>
      <c r="BZ154" s="79">
        <v>21</v>
      </c>
      <c r="CA154" s="79">
        <v>15</v>
      </c>
      <c r="CB154" s="79">
        <f t="shared" ref="CB154" si="86">BZ154+CA154</f>
        <v>36</v>
      </c>
      <c r="CC154" s="79" t="str">
        <f t="shared" ref="CC154" si="87">_xlfn.TEXTJOIN(", ",TRUE,$CD154:$CF154)</f>
        <v>Ninguna</v>
      </c>
      <c r="CD154" s="79" t="s">
        <v>174</v>
      </c>
      <c r="CE154" s="79"/>
      <c r="CF154" s="79"/>
      <c r="CG154" s="83" t="s">
        <v>1285</v>
      </c>
      <c r="CH154" s="41"/>
      <c r="CI154" s="79"/>
      <c r="CJ154" s="71"/>
      <c r="CK154" s="79">
        <f t="shared" ref="CK154" si="88">COUNTIF(CL154:CQ154,"*")</f>
        <v>0</v>
      </c>
      <c r="CL154" s="79"/>
      <c r="CM154" s="79"/>
      <c r="CN154" s="79"/>
      <c r="CO154" s="79"/>
      <c r="CP154" s="79"/>
      <c r="CQ154" s="79"/>
      <c r="CR154" s="83" t="s">
        <v>179</v>
      </c>
      <c r="CS154" s="83" t="s">
        <v>179</v>
      </c>
      <c r="CT154" s="83" t="s">
        <v>179</v>
      </c>
      <c r="CU154" s="83" t="s">
        <v>179</v>
      </c>
      <c r="CV154" s="83" t="s">
        <v>179</v>
      </c>
      <c r="CW154" s="83" t="s">
        <v>179</v>
      </c>
      <c r="CX154" s="79" t="s">
        <v>153</v>
      </c>
      <c r="CY154" s="79">
        <f t="shared" si="39"/>
        <v>0</v>
      </c>
      <c r="CZ154" s="79">
        <v>0</v>
      </c>
      <c r="DA154" s="79">
        <f t="shared" si="84"/>
        <v>0</v>
      </c>
      <c r="DB154" s="84" t="str">
        <f t="shared" si="46"/>
        <v/>
      </c>
      <c r="DC154" s="41"/>
      <c r="DD154" s="79" t="s">
        <v>153</v>
      </c>
      <c r="DE154" s="71"/>
      <c r="DF154" s="127" t="s">
        <v>1286</v>
      </c>
      <c r="DG154" s="79" t="s">
        <v>1287</v>
      </c>
      <c r="DH154" s="86" t="str">
        <f t="shared" si="85"/>
        <v>Completo</v>
      </c>
      <c r="DI154" s="79" t="s">
        <v>181</v>
      </c>
      <c r="DJ154" s="79" t="s">
        <v>182</v>
      </c>
      <c r="DK154" s="79"/>
      <c r="DL154" s="79">
        <v>0</v>
      </c>
      <c r="DM154" s="79">
        <v>0</v>
      </c>
      <c r="DN154" s="79" t="s">
        <v>182</v>
      </c>
      <c r="DO154" s="79"/>
      <c r="DP154" s="79"/>
      <c r="DQ154" s="79"/>
      <c r="DR154" s="75" t="str">
        <f t="shared" si="70"/>
        <v>No aplica</v>
      </c>
      <c r="DS154" s="79"/>
      <c r="DT154" s="79"/>
      <c r="DU154" s="75" t="str">
        <f t="shared" si="71"/>
        <v>No aplica</v>
      </c>
      <c r="DV154" s="79" t="s">
        <v>182</v>
      </c>
      <c r="DW154" s="79" t="s">
        <v>182</v>
      </c>
      <c r="DX154" s="79"/>
      <c r="DY154" s="79"/>
      <c r="DZ154" s="79"/>
      <c r="EA154" s="79"/>
      <c r="EB154" s="79"/>
      <c r="EC154" s="79"/>
      <c r="ED154" s="79" t="s">
        <v>1288</v>
      </c>
      <c r="EE154" s="79" t="str">
        <f t="shared" si="62"/>
        <v>Completo</v>
      </c>
      <c r="EF154" s="41"/>
      <c r="EG154" s="79" t="s">
        <v>153</v>
      </c>
      <c r="EH154" s="71"/>
      <c r="EI154" s="80" t="s">
        <v>1289</v>
      </c>
      <c r="EJ154" s="71"/>
      <c r="EK154" s="79"/>
      <c r="EL154" s="87" t="str">
        <f t="shared" si="72"/>
        <v>No requiere</v>
      </c>
      <c r="EM154" s="87" t="str">
        <f t="shared" si="73"/>
        <v>No requiere</v>
      </c>
      <c r="EN154" s="87" t="str">
        <f t="shared" ref="EN154" si="89">IF(F154="NO","No requiere",IF(H154="No","No requiere",IF(CC154="","",IF(CD154&lt;&gt;"No aplica",IF(CD154&lt;&gt;"Ninguna",IF(COUNTIF(CD154:CF154,"*")&gt;=1,"Sí","No"),"No"),"No aplica"))))</f>
        <v>No requiere</v>
      </c>
      <c r="EO154" s="71"/>
      <c r="EP154" s="84" t="str">
        <f t="shared" si="75"/>
        <v>No requiere</v>
      </c>
      <c r="EQ154" s="88" t="str">
        <f t="shared" si="76"/>
        <v>No requiere</v>
      </c>
      <c r="ER154" s="71"/>
      <c r="ES154" s="79"/>
      <c r="ET154" s="84" t="str">
        <f t="shared" si="77"/>
        <v>No requiere</v>
      </c>
      <c r="EU154" s="84" t="str">
        <f t="shared" ref="EU154" si="90">IF(F154="NO","No requiere",IF(H154="No","No requiere",IF(B154="","",IF(CX154="SÍ",IF(CK154&gt;=1,CY154/CK154,"Sin compromisos"),"Por verificar"))))</f>
        <v>No requiere</v>
      </c>
      <c r="EV154" s="84" t="str">
        <f t="shared" si="79"/>
        <v>No requiere</v>
      </c>
      <c r="EW154" s="84" t="str">
        <f t="shared" si="80"/>
        <v>No requiere</v>
      </c>
      <c r="EX154" s="78"/>
      <c r="EY154" s="78"/>
    </row>
    <row r="155" spans="1:155" ht="46.5" customHeight="1">
      <c r="A155" s="79">
        <v>151</v>
      </c>
      <c r="B155" s="80" t="s">
        <v>1290</v>
      </c>
      <c r="C155" s="81">
        <v>45370</v>
      </c>
      <c r="D155" s="82">
        <v>0.70833333333333337</v>
      </c>
      <c r="E155" s="79" t="s">
        <v>200</v>
      </c>
      <c r="F155" s="79" t="s">
        <v>153</v>
      </c>
      <c r="G155" s="79" t="s">
        <v>152</v>
      </c>
      <c r="H155" s="79" t="s">
        <v>152</v>
      </c>
      <c r="I155" s="79" t="s">
        <v>152</v>
      </c>
      <c r="J155" s="79" t="s">
        <v>211</v>
      </c>
      <c r="K155" s="79" t="s">
        <v>202</v>
      </c>
      <c r="L155" s="80" t="s">
        <v>1291</v>
      </c>
      <c r="M155" s="80" t="s">
        <v>229</v>
      </c>
      <c r="N155" s="79" t="s">
        <v>888</v>
      </c>
      <c r="O155" s="80" t="str">
        <f t="shared" si="63"/>
        <v>PENDIENTE</v>
      </c>
      <c r="P155" s="79" t="s">
        <v>196</v>
      </c>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t="s">
        <v>230</v>
      </c>
      <c r="AP155" s="79" t="s">
        <v>242</v>
      </c>
      <c r="AQ155" s="80" t="s">
        <v>1102</v>
      </c>
      <c r="AR155" s="83">
        <v>3178255261</v>
      </c>
      <c r="AS155" s="80" t="s">
        <v>1103</v>
      </c>
      <c r="AT155" s="80" t="str">
        <f t="shared" si="64"/>
        <v>Distrital</v>
      </c>
      <c r="AU155" s="79" t="s">
        <v>172</v>
      </c>
      <c r="AV155" s="79"/>
      <c r="AW155" s="79"/>
      <c r="AX155" s="79"/>
      <c r="AY155" s="79"/>
      <c r="AZ155" s="79"/>
      <c r="BA155" s="80" t="str">
        <f t="shared" si="65"/>
        <v>Distrital</v>
      </c>
      <c r="BB155" s="79" t="s">
        <v>172</v>
      </c>
      <c r="BC155" s="79"/>
      <c r="BD155" s="79"/>
      <c r="BE155" s="79"/>
      <c r="BF155" s="79"/>
      <c r="BG155" s="79"/>
      <c r="BH155" s="80" t="str">
        <f t="shared" si="66"/>
        <v>Distrital</v>
      </c>
      <c r="BI155" s="79" t="s">
        <v>172</v>
      </c>
      <c r="BJ155" s="79"/>
      <c r="BK155" s="79"/>
      <c r="BL155" s="79"/>
      <c r="BM155" s="79"/>
      <c r="BN155" s="79"/>
      <c r="BO155" s="79"/>
      <c r="BP155" s="79"/>
      <c r="BQ155" s="79"/>
      <c r="BR155" s="79"/>
      <c r="BS155" s="80" t="s">
        <v>288</v>
      </c>
      <c r="BT155" s="80" t="s">
        <v>174</v>
      </c>
      <c r="BU155" s="89" t="s">
        <v>1292</v>
      </c>
      <c r="BV155" s="71"/>
      <c r="BW155" s="79" t="s">
        <v>152</v>
      </c>
      <c r="BX155" s="79" t="s">
        <v>179</v>
      </c>
      <c r="BY155" s="71"/>
      <c r="BZ155" s="79">
        <v>48</v>
      </c>
      <c r="CA155" s="79">
        <v>1</v>
      </c>
      <c r="CB155" s="79">
        <f t="shared" si="25"/>
        <v>49</v>
      </c>
      <c r="CC155" s="79" t="str">
        <f t="shared" ref="CC155:CC167" si="91">_xlfn.TEXTJOIN(", ",TRUE,$CD155:$CF155)</f>
        <v>No Aplica</v>
      </c>
      <c r="CD155" s="79" t="s">
        <v>177</v>
      </c>
      <c r="CE155" s="79"/>
      <c r="CF155" s="79"/>
      <c r="CG155" s="83" t="s">
        <v>1293</v>
      </c>
      <c r="CH155" s="41"/>
      <c r="CI155" s="79" t="s">
        <v>153</v>
      </c>
      <c r="CJ155" s="71"/>
      <c r="CK155" s="79">
        <f t="shared" si="38"/>
        <v>0</v>
      </c>
      <c r="CL155" s="79"/>
      <c r="CM155" s="79"/>
      <c r="CN155" s="79"/>
      <c r="CO155" s="79"/>
      <c r="CP155" s="79"/>
      <c r="CQ155" s="79"/>
      <c r="CR155" s="83" t="s">
        <v>179</v>
      </c>
      <c r="CS155" s="83" t="s">
        <v>179</v>
      </c>
      <c r="CT155" s="83" t="s">
        <v>179</v>
      </c>
      <c r="CU155" s="83" t="s">
        <v>179</v>
      </c>
      <c r="CV155" s="83" t="s">
        <v>179</v>
      </c>
      <c r="CW155" s="83" t="s">
        <v>179</v>
      </c>
      <c r="CX155" s="79" t="s">
        <v>153</v>
      </c>
      <c r="CY155" s="79">
        <f t="shared" si="39"/>
        <v>0</v>
      </c>
      <c r="CZ155" s="79">
        <v>0</v>
      </c>
      <c r="DA155" s="79">
        <f t="shared" si="84"/>
        <v>0</v>
      </c>
      <c r="DB155" s="84" t="str">
        <f t="shared" si="46"/>
        <v/>
      </c>
      <c r="DC155" s="41"/>
      <c r="DD155" s="79" t="s">
        <v>153</v>
      </c>
      <c r="DE155" s="71"/>
      <c r="DF155" s="127" t="s">
        <v>1294</v>
      </c>
      <c r="DG155" s="79">
        <v>148</v>
      </c>
      <c r="DH155" s="86" t="str">
        <f t="shared" si="85"/>
        <v>Completo</v>
      </c>
      <c r="DI155" s="79" t="s">
        <v>181</v>
      </c>
      <c r="DJ155" s="79" t="s">
        <v>182</v>
      </c>
      <c r="DK155" s="79"/>
      <c r="DL155" s="79">
        <v>0</v>
      </c>
      <c r="DM155" s="79">
        <v>0</v>
      </c>
      <c r="DN155" s="79" t="s">
        <v>182</v>
      </c>
      <c r="DO155" s="79"/>
      <c r="DP155" s="79"/>
      <c r="DQ155" s="79"/>
      <c r="DR155" s="75" t="str">
        <f t="shared" si="70"/>
        <v>No aplica</v>
      </c>
      <c r="DS155" s="79"/>
      <c r="DT155" s="79"/>
      <c r="DU155" s="75" t="str">
        <f t="shared" si="71"/>
        <v>No aplica</v>
      </c>
      <c r="DV155" s="79" t="s">
        <v>182</v>
      </c>
      <c r="DW155" s="79" t="s">
        <v>182</v>
      </c>
      <c r="DX155" s="79"/>
      <c r="DY155" s="79"/>
      <c r="DZ155" s="79"/>
      <c r="EA155" s="79"/>
      <c r="EB155" s="79" t="s">
        <v>182</v>
      </c>
      <c r="EC155" s="79" t="s">
        <v>1295</v>
      </c>
      <c r="ED155" s="79" t="s">
        <v>184</v>
      </c>
      <c r="EE155" s="79" t="str">
        <f t="shared" si="62"/>
        <v>Completo</v>
      </c>
      <c r="EF155" s="41"/>
      <c r="EG155" s="79" t="s">
        <v>153</v>
      </c>
      <c r="EH155" s="71"/>
      <c r="EI155" s="80"/>
      <c r="EJ155" s="71"/>
      <c r="EK155" s="79" t="s">
        <v>179</v>
      </c>
      <c r="EL155" s="76" t="str">
        <f t="shared" si="72"/>
        <v>No requiere</v>
      </c>
      <c r="EM155" s="76" t="str">
        <f t="shared" si="73"/>
        <v>No requiere</v>
      </c>
      <c r="EN155" s="76" t="str">
        <f t="shared" ref="EN155:EN167" si="92">IF(F155="NO","No requiere",IF(H155="No","No requiere",IF(CC155="","",IF(CD155&lt;&gt;"No aplica",IF(CD155&lt;&gt;"Ninguna",IF(COUNTIF(CD155:CF155,"*")&gt;=1,"Sí","No"),"No"),"No aplica"))))</f>
        <v>No requiere</v>
      </c>
      <c r="EO155" s="71"/>
      <c r="EP155" s="73" t="str">
        <f t="shared" si="75"/>
        <v>No requiere</v>
      </c>
      <c r="EQ155" s="77" t="str">
        <f t="shared" si="76"/>
        <v>No requiere</v>
      </c>
      <c r="ER155" s="71"/>
      <c r="ES155" s="79" t="s">
        <v>179</v>
      </c>
      <c r="ET155" s="73" t="str">
        <f t="shared" si="77"/>
        <v>No requiere</v>
      </c>
      <c r="EU155" s="73" t="str">
        <f t="shared" ref="EU155:EU167" si="93">IF(F155="NO","No requiere",IF(H155="No","No requiere",IF(B155="","",IF(CX155="SÍ",IF(CK155&gt;=1,CY155/CK155,"Sin compromisos"),"Por verificar"))))</f>
        <v>No requiere</v>
      </c>
      <c r="EV155" s="73" t="str">
        <f t="shared" si="79"/>
        <v>No requiere</v>
      </c>
      <c r="EW155" s="73" t="str">
        <f t="shared" si="80"/>
        <v>No requiere</v>
      </c>
      <c r="EX155" s="78"/>
      <c r="EY155" s="78"/>
    </row>
    <row r="156" spans="1:155" ht="46.5" customHeight="1">
      <c r="A156" s="79">
        <v>152</v>
      </c>
      <c r="B156" s="80" t="s">
        <v>434</v>
      </c>
      <c r="C156" s="81">
        <v>45371</v>
      </c>
      <c r="D156" s="82">
        <v>0.33333333333333331</v>
      </c>
      <c r="E156" s="79" t="s">
        <v>151</v>
      </c>
      <c r="F156" s="79" t="s">
        <v>153</v>
      </c>
      <c r="G156" s="79" t="s">
        <v>153</v>
      </c>
      <c r="H156" s="79" t="s">
        <v>152</v>
      </c>
      <c r="I156" s="79" t="s">
        <v>152</v>
      </c>
      <c r="J156" s="79" t="s">
        <v>154</v>
      </c>
      <c r="K156" s="79" t="s">
        <v>202</v>
      </c>
      <c r="L156" s="80" t="s">
        <v>988</v>
      </c>
      <c r="M156" s="80" t="s">
        <v>303</v>
      </c>
      <c r="N156" s="79" t="s">
        <v>195</v>
      </c>
      <c r="O156" s="80" t="str">
        <f t="shared" si="63"/>
        <v>Valentina González Pontón, Yohan David Díaz</v>
      </c>
      <c r="P156" s="79" t="s">
        <v>329</v>
      </c>
      <c r="Q156" s="79" t="s">
        <v>164</v>
      </c>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t="s">
        <v>169</v>
      </c>
      <c r="AP156" s="79" t="s">
        <v>170</v>
      </c>
      <c r="AQ156" s="80" t="s">
        <v>171</v>
      </c>
      <c r="AR156" s="80" t="s">
        <v>171</v>
      </c>
      <c r="AS156" s="80" t="s">
        <v>171</v>
      </c>
      <c r="AT156" s="80" t="str">
        <f t="shared" si="64"/>
        <v>Distrital</v>
      </c>
      <c r="AU156" s="79" t="s">
        <v>172</v>
      </c>
      <c r="AV156" s="79"/>
      <c r="AW156" s="79"/>
      <c r="AX156" s="79"/>
      <c r="AY156" s="79"/>
      <c r="AZ156" s="79"/>
      <c r="BA156" s="80" t="str">
        <f t="shared" si="65"/>
        <v>Distrital</v>
      </c>
      <c r="BB156" s="79" t="s">
        <v>172</v>
      </c>
      <c r="BC156" s="79"/>
      <c r="BD156" s="79"/>
      <c r="BE156" s="79"/>
      <c r="BF156" s="79"/>
      <c r="BG156" s="79"/>
      <c r="BH156" s="80" t="str">
        <f t="shared" si="66"/>
        <v>Distrital</v>
      </c>
      <c r="BI156" s="79" t="s">
        <v>172</v>
      </c>
      <c r="BJ156" s="79"/>
      <c r="BK156" s="79"/>
      <c r="BL156" s="79"/>
      <c r="BM156" s="79"/>
      <c r="BN156" s="79"/>
      <c r="BO156" s="79"/>
      <c r="BP156" s="79"/>
      <c r="BQ156" s="79"/>
      <c r="BR156" s="79"/>
      <c r="BS156" s="80" t="s">
        <v>288</v>
      </c>
      <c r="BT156" s="80" t="s">
        <v>174</v>
      </c>
      <c r="BU156" s="89" t="s">
        <v>1296</v>
      </c>
      <c r="BV156" s="71"/>
      <c r="BW156" s="79" t="s">
        <v>153</v>
      </c>
      <c r="BX156" s="79" t="s">
        <v>176</v>
      </c>
      <c r="BY156" s="71"/>
      <c r="BZ156" s="79">
        <v>15</v>
      </c>
      <c r="CA156" s="79">
        <v>14</v>
      </c>
      <c r="CB156" s="79">
        <f t="shared" si="25"/>
        <v>29</v>
      </c>
      <c r="CC156" s="79" t="str">
        <f t="shared" si="91"/>
        <v>No Aplica</v>
      </c>
      <c r="CD156" s="79" t="s">
        <v>177</v>
      </c>
      <c r="CE156" s="79"/>
      <c r="CF156" s="79"/>
      <c r="CG156" s="83" t="s">
        <v>1297</v>
      </c>
      <c r="CH156" s="41"/>
      <c r="CI156" s="79" t="s">
        <v>153</v>
      </c>
      <c r="CJ156" s="71"/>
      <c r="CK156" s="79">
        <f t="shared" si="38"/>
        <v>0</v>
      </c>
      <c r="CL156" s="79"/>
      <c r="CM156" s="79"/>
      <c r="CN156" s="79"/>
      <c r="CO156" s="79"/>
      <c r="CP156" s="79"/>
      <c r="CQ156" s="79"/>
      <c r="CR156" s="83" t="s">
        <v>179</v>
      </c>
      <c r="CS156" s="83" t="s">
        <v>179</v>
      </c>
      <c r="CT156" s="83" t="s">
        <v>179</v>
      </c>
      <c r="CU156" s="83" t="s">
        <v>179</v>
      </c>
      <c r="CV156" s="83" t="s">
        <v>179</v>
      </c>
      <c r="CW156" s="83" t="s">
        <v>179</v>
      </c>
      <c r="CX156" s="79" t="s">
        <v>153</v>
      </c>
      <c r="CY156" s="79">
        <f t="shared" si="39"/>
        <v>0</v>
      </c>
      <c r="CZ156" s="79">
        <v>0</v>
      </c>
      <c r="DA156" s="79">
        <f t="shared" si="84"/>
        <v>0</v>
      </c>
      <c r="DB156" s="84" t="str">
        <f t="shared" si="46"/>
        <v/>
      </c>
      <c r="DC156" s="41"/>
      <c r="DD156" s="79" t="s">
        <v>153</v>
      </c>
      <c r="DE156" s="71"/>
      <c r="DF156" s="127" t="s">
        <v>1298</v>
      </c>
      <c r="DG156" s="79">
        <v>149</v>
      </c>
      <c r="DH156" s="86" t="str">
        <f t="shared" si="85"/>
        <v>Completo</v>
      </c>
      <c r="DI156" s="79" t="s">
        <v>181</v>
      </c>
      <c r="DJ156" s="79" t="s">
        <v>182</v>
      </c>
      <c r="DK156" s="79"/>
      <c r="DL156" s="79">
        <v>0</v>
      </c>
      <c r="DM156" s="79">
        <v>0</v>
      </c>
      <c r="DN156" s="79" t="s">
        <v>182</v>
      </c>
      <c r="DO156" s="79"/>
      <c r="DP156" s="79"/>
      <c r="DQ156" s="79"/>
      <c r="DR156" s="75" t="str">
        <f t="shared" si="70"/>
        <v>No aplica</v>
      </c>
      <c r="DS156" s="79"/>
      <c r="DT156" s="79"/>
      <c r="DU156" s="75" t="str">
        <f t="shared" si="71"/>
        <v>No aplica</v>
      </c>
      <c r="DV156" s="79" t="s">
        <v>182</v>
      </c>
      <c r="DW156" s="79" t="s">
        <v>182</v>
      </c>
      <c r="DX156" s="79"/>
      <c r="DY156" s="79"/>
      <c r="DZ156" s="79"/>
      <c r="EA156" s="79"/>
      <c r="EB156" s="79" t="s">
        <v>182</v>
      </c>
      <c r="EC156" s="79" t="s">
        <v>992</v>
      </c>
      <c r="ED156" s="79" t="s">
        <v>249</v>
      </c>
      <c r="EE156" s="79" t="str">
        <f t="shared" si="62"/>
        <v>Completo</v>
      </c>
      <c r="EF156" s="41"/>
      <c r="EG156" s="79" t="s">
        <v>153</v>
      </c>
      <c r="EH156" s="71"/>
      <c r="EI156" s="80"/>
      <c r="EJ156" s="71"/>
      <c r="EK156" s="79" t="s">
        <v>179</v>
      </c>
      <c r="EL156" s="76" t="str">
        <f t="shared" si="72"/>
        <v>No requiere</v>
      </c>
      <c r="EM156" s="76" t="str">
        <f t="shared" si="73"/>
        <v>No requiere</v>
      </c>
      <c r="EN156" s="76" t="str">
        <f t="shared" si="92"/>
        <v>No requiere</v>
      </c>
      <c r="EO156" s="71"/>
      <c r="EP156" s="73" t="str">
        <f t="shared" si="75"/>
        <v>No requiere</v>
      </c>
      <c r="EQ156" s="77" t="str">
        <f t="shared" si="76"/>
        <v>No requiere</v>
      </c>
      <c r="ER156" s="71"/>
      <c r="ES156" s="79" t="s">
        <v>179</v>
      </c>
      <c r="ET156" s="73" t="str">
        <f t="shared" si="77"/>
        <v>No requiere</v>
      </c>
      <c r="EU156" s="73" t="str">
        <f t="shared" si="93"/>
        <v>No requiere</v>
      </c>
      <c r="EV156" s="73" t="str">
        <f t="shared" si="79"/>
        <v>No requiere</v>
      </c>
      <c r="EW156" s="73" t="str">
        <f t="shared" si="80"/>
        <v>No requiere</v>
      </c>
      <c r="EX156" s="78"/>
      <c r="EY156" s="78"/>
    </row>
    <row r="157" spans="1:155" ht="46.5" customHeight="1">
      <c r="A157" s="79">
        <v>153</v>
      </c>
      <c r="B157" s="80" t="s">
        <v>1299</v>
      </c>
      <c r="C157" s="81">
        <v>45371</v>
      </c>
      <c r="D157" s="82">
        <v>0.375</v>
      </c>
      <c r="E157" s="79" t="s">
        <v>151</v>
      </c>
      <c r="F157" s="79" t="s">
        <v>153</v>
      </c>
      <c r="G157" s="79" t="s">
        <v>153</v>
      </c>
      <c r="H157" s="79" t="s">
        <v>152</v>
      </c>
      <c r="I157" s="79" t="s">
        <v>152</v>
      </c>
      <c r="J157" s="79" t="s">
        <v>154</v>
      </c>
      <c r="K157" s="79" t="s">
        <v>155</v>
      </c>
      <c r="L157" s="80" t="s">
        <v>1225</v>
      </c>
      <c r="M157" s="80" t="s">
        <v>303</v>
      </c>
      <c r="N157" s="79" t="s">
        <v>167</v>
      </c>
      <c r="O157" s="80" t="str">
        <f t="shared" si="63"/>
        <v/>
      </c>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t="s">
        <v>1226</v>
      </c>
      <c r="AP157" s="79"/>
      <c r="AQ157" s="80" t="s">
        <v>171</v>
      </c>
      <c r="AR157" s="80" t="s">
        <v>171</v>
      </c>
      <c r="AS157" s="80" t="s">
        <v>171</v>
      </c>
      <c r="AT157" s="80" t="str">
        <f t="shared" si="64"/>
        <v>Distrital</v>
      </c>
      <c r="AU157" s="79" t="s">
        <v>172</v>
      </c>
      <c r="AV157" s="79"/>
      <c r="AW157" s="79"/>
      <c r="AX157" s="79"/>
      <c r="AY157" s="79"/>
      <c r="AZ157" s="79"/>
      <c r="BA157" s="80" t="str">
        <f t="shared" si="65"/>
        <v>Distrital</v>
      </c>
      <c r="BB157" s="79" t="s">
        <v>172</v>
      </c>
      <c r="BC157" s="79"/>
      <c r="BD157" s="79"/>
      <c r="BE157" s="79"/>
      <c r="BF157" s="79"/>
      <c r="BG157" s="79"/>
      <c r="BH157" s="80" t="str">
        <f t="shared" si="66"/>
        <v>Distrital</v>
      </c>
      <c r="BI157" s="79" t="s">
        <v>172</v>
      </c>
      <c r="BJ157" s="79"/>
      <c r="BK157" s="79"/>
      <c r="BL157" s="79"/>
      <c r="BM157" s="79"/>
      <c r="BN157" s="79"/>
      <c r="BO157" s="79"/>
      <c r="BP157" s="79"/>
      <c r="BQ157" s="79"/>
      <c r="BR157" s="79"/>
      <c r="BS157" s="80" t="s">
        <v>288</v>
      </c>
      <c r="BT157" s="80" t="s">
        <v>174</v>
      </c>
      <c r="BU157" s="80" t="s">
        <v>1300</v>
      </c>
      <c r="BV157" s="71"/>
      <c r="BW157" s="79" t="s">
        <v>153</v>
      </c>
      <c r="BX157" s="79" t="s">
        <v>607</v>
      </c>
      <c r="BY157" s="71"/>
      <c r="BZ157" s="79">
        <v>49</v>
      </c>
      <c r="CA157" s="79">
        <v>1</v>
      </c>
      <c r="CB157" s="79">
        <f t="shared" si="25"/>
        <v>50</v>
      </c>
      <c r="CC157" s="79" t="str">
        <f t="shared" si="91"/>
        <v>Contenidos adaptados</v>
      </c>
      <c r="CD157" s="79" t="s">
        <v>350</v>
      </c>
      <c r="CE157" s="79"/>
      <c r="CF157" s="79"/>
      <c r="CG157" s="83" t="s">
        <v>1228</v>
      </c>
      <c r="CH157" s="41"/>
      <c r="CI157" s="79" t="s">
        <v>153</v>
      </c>
      <c r="CJ157" s="71"/>
      <c r="CK157" s="79">
        <f t="shared" si="38"/>
        <v>0</v>
      </c>
      <c r="CL157" s="79"/>
      <c r="CM157" s="79"/>
      <c r="CN157" s="79"/>
      <c r="CO157" s="79"/>
      <c r="CP157" s="79"/>
      <c r="CQ157" s="79"/>
      <c r="CR157" s="83" t="s">
        <v>179</v>
      </c>
      <c r="CS157" s="83" t="s">
        <v>179</v>
      </c>
      <c r="CT157" s="83" t="s">
        <v>179</v>
      </c>
      <c r="CU157" s="83" t="s">
        <v>179</v>
      </c>
      <c r="CV157" s="83" t="s">
        <v>179</v>
      </c>
      <c r="CW157" s="83" t="s">
        <v>179</v>
      </c>
      <c r="CX157" s="79" t="s">
        <v>153</v>
      </c>
      <c r="CY157" s="79">
        <f t="shared" si="39"/>
        <v>0</v>
      </c>
      <c r="CZ157" s="79">
        <v>0</v>
      </c>
      <c r="DA157" s="79">
        <f t="shared" si="84"/>
        <v>0</v>
      </c>
      <c r="DB157" s="84" t="str">
        <f t="shared" si="46"/>
        <v/>
      </c>
      <c r="DC157" s="41"/>
      <c r="DD157" s="79" t="s">
        <v>153</v>
      </c>
      <c r="DE157" s="71"/>
      <c r="DF157" s="127" t="s">
        <v>1301</v>
      </c>
      <c r="DG157" s="79">
        <v>150</v>
      </c>
      <c r="DH157" s="86" t="str">
        <f t="shared" si="85"/>
        <v>Completo</v>
      </c>
      <c r="DI157" s="79" t="s">
        <v>181</v>
      </c>
      <c r="DJ157" s="79" t="s">
        <v>182</v>
      </c>
      <c r="DK157" s="79"/>
      <c r="DL157" s="79">
        <v>0</v>
      </c>
      <c r="DM157" s="79">
        <v>0</v>
      </c>
      <c r="DN157" s="79" t="s">
        <v>182</v>
      </c>
      <c r="DO157" s="79"/>
      <c r="DP157" s="79"/>
      <c r="DQ157" s="79"/>
      <c r="DR157" s="75" t="str">
        <f t="shared" si="70"/>
        <v>No aplica</v>
      </c>
      <c r="DS157" s="79"/>
      <c r="DT157" s="79"/>
      <c r="DU157" s="75" t="str">
        <f t="shared" si="71"/>
        <v>No aplica</v>
      </c>
      <c r="DV157" s="79" t="s">
        <v>182</v>
      </c>
      <c r="DW157" s="79" t="s">
        <v>191</v>
      </c>
      <c r="DX157" s="79"/>
      <c r="DY157" s="79"/>
      <c r="DZ157" s="79"/>
      <c r="EA157" s="79" t="s">
        <v>179</v>
      </c>
      <c r="EB157" s="79" t="s">
        <v>182</v>
      </c>
      <c r="EC157" s="79" t="s">
        <v>1302</v>
      </c>
      <c r="ED157" s="79" t="s">
        <v>249</v>
      </c>
      <c r="EE157" s="79" t="str">
        <f t="shared" si="62"/>
        <v>Completo</v>
      </c>
      <c r="EF157" s="41"/>
      <c r="EG157" s="79" t="s">
        <v>153</v>
      </c>
      <c r="EH157" s="71"/>
      <c r="EI157" s="80"/>
      <c r="EJ157" s="71"/>
      <c r="EK157" s="79" t="s">
        <v>179</v>
      </c>
      <c r="EL157" s="76" t="str">
        <f t="shared" si="72"/>
        <v>No requiere</v>
      </c>
      <c r="EM157" s="76" t="str">
        <f t="shared" si="73"/>
        <v>No requiere</v>
      </c>
      <c r="EN157" s="76" t="str">
        <f t="shared" si="92"/>
        <v>No requiere</v>
      </c>
      <c r="EO157" s="71"/>
      <c r="EP157" s="73" t="str">
        <f t="shared" si="75"/>
        <v>No requiere</v>
      </c>
      <c r="EQ157" s="77" t="str">
        <f t="shared" si="76"/>
        <v>No requiere</v>
      </c>
      <c r="ER157" s="71"/>
      <c r="ES157" s="79" t="s">
        <v>179</v>
      </c>
      <c r="ET157" s="73" t="str">
        <f t="shared" si="77"/>
        <v>No requiere</v>
      </c>
      <c r="EU157" s="73" t="str">
        <f t="shared" si="93"/>
        <v>No requiere</v>
      </c>
      <c r="EV157" s="73" t="str">
        <f t="shared" si="79"/>
        <v>No requiere</v>
      </c>
      <c r="EW157" s="73" t="str">
        <f t="shared" si="80"/>
        <v>No requiere</v>
      </c>
      <c r="EX157" s="78"/>
      <c r="EY157" s="78"/>
    </row>
    <row r="158" spans="1:155" ht="46.5" customHeight="1">
      <c r="A158" s="79">
        <v>154</v>
      </c>
      <c r="B158" s="80" t="s">
        <v>514</v>
      </c>
      <c r="C158" s="81">
        <v>45371</v>
      </c>
      <c r="D158" s="82">
        <v>0.58333333333333337</v>
      </c>
      <c r="E158" s="79" t="s">
        <v>200</v>
      </c>
      <c r="F158" s="79" t="s">
        <v>153</v>
      </c>
      <c r="G158" s="79" t="s">
        <v>152</v>
      </c>
      <c r="H158" s="79" t="s">
        <v>152</v>
      </c>
      <c r="I158" s="79" t="s">
        <v>152</v>
      </c>
      <c r="J158" s="79" t="s">
        <v>504</v>
      </c>
      <c r="K158" s="79" t="s">
        <v>202</v>
      </c>
      <c r="L158" s="80" t="s">
        <v>1303</v>
      </c>
      <c r="M158" s="80" t="s">
        <v>157</v>
      </c>
      <c r="N158" s="79" t="s">
        <v>1066</v>
      </c>
      <c r="O158" s="80" t="str">
        <f t="shared" si="63"/>
        <v/>
      </c>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t="s">
        <v>169</v>
      </c>
      <c r="AP158" s="79" t="s">
        <v>507</v>
      </c>
      <c r="AQ158" s="80" t="s">
        <v>1304</v>
      </c>
      <c r="AR158" s="83" t="s">
        <v>1305</v>
      </c>
      <c r="AS158" s="80" t="s">
        <v>517</v>
      </c>
      <c r="AT158" s="80" t="str">
        <f t="shared" si="64"/>
        <v>Ciudad Bolívar</v>
      </c>
      <c r="AU158" s="79" t="s">
        <v>217</v>
      </c>
      <c r="AV158" s="79"/>
      <c r="AW158" s="79"/>
      <c r="AX158" s="79"/>
      <c r="AY158" s="79"/>
      <c r="AZ158" s="79"/>
      <c r="BA158" s="80" t="str">
        <f t="shared" si="65"/>
        <v>Suroriente, Ruralidad</v>
      </c>
      <c r="BB158" s="79" t="s">
        <v>218</v>
      </c>
      <c r="BC158" s="79" t="s">
        <v>219</v>
      </c>
      <c r="BD158" s="79"/>
      <c r="BE158" s="79"/>
      <c r="BF158" s="79"/>
      <c r="BG158" s="79"/>
      <c r="BH158" s="80" t="str">
        <f t="shared" si="66"/>
        <v>Lucero, Arborizadora, Cuenca del Tunjuelo</v>
      </c>
      <c r="BI158" s="79" t="s">
        <v>221</v>
      </c>
      <c r="BJ158" s="79" t="s">
        <v>220</v>
      </c>
      <c r="BK158" s="79" t="s">
        <v>222</v>
      </c>
      <c r="BL158" s="79"/>
      <c r="BM158" s="79"/>
      <c r="BN158" s="79"/>
      <c r="BO158" s="79"/>
      <c r="BP158" s="79"/>
      <c r="BQ158" s="79"/>
      <c r="BR158" s="79"/>
      <c r="BS158" s="80" t="s">
        <v>288</v>
      </c>
      <c r="BT158" s="80" t="s">
        <v>174</v>
      </c>
      <c r="BU158" s="92" t="s">
        <v>1306</v>
      </c>
      <c r="BV158" s="71"/>
      <c r="BW158" s="79" t="s">
        <v>152</v>
      </c>
      <c r="BX158" s="79" t="s">
        <v>179</v>
      </c>
      <c r="BY158" s="71"/>
      <c r="BZ158" s="79">
        <v>12</v>
      </c>
      <c r="CA158" s="79">
        <v>1</v>
      </c>
      <c r="CB158" s="79">
        <f t="shared" si="25"/>
        <v>13</v>
      </c>
      <c r="CC158" s="79" t="str">
        <f t="shared" si="91"/>
        <v>No Aplica</v>
      </c>
      <c r="CD158" s="79" t="s">
        <v>177</v>
      </c>
      <c r="CE158" s="79"/>
      <c r="CF158" s="79"/>
      <c r="CG158" s="83" t="s">
        <v>1307</v>
      </c>
      <c r="CH158" s="41"/>
      <c r="CI158" s="79" t="s">
        <v>153</v>
      </c>
      <c r="CJ158" s="71"/>
      <c r="CK158" s="79">
        <f t="shared" si="38"/>
        <v>0</v>
      </c>
      <c r="CL158" s="79"/>
      <c r="CM158" s="79"/>
      <c r="CN158" s="79"/>
      <c r="CO158" s="79"/>
      <c r="CP158" s="79"/>
      <c r="CQ158" s="79"/>
      <c r="CR158" s="83" t="s">
        <v>179</v>
      </c>
      <c r="CS158" s="83" t="s">
        <v>179</v>
      </c>
      <c r="CT158" s="83" t="s">
        <v>179</v>
      </c>
      <c r="CU158" s="83" t="s">
        <v>179</v>
      </c>
      <c r="CV158" s="83" t="s">
        <v>179</v>
      </c>
      <c r="CW158" s="83" t="s">
        <v>179</v>
      </c>
      <c r="CX158" s="79" t="s">
        <v>153</v>
      </c>
      <c r="CY158" s="79">
        <f t="shared" si="39"/>
        <v>0</v>
      </c>
      <c r="CZ158" s="79">
        <v>0</v>
      </c>
      <c r="DA158" s="79">
        <f t="shared" si="84"/>
        <v>0</v>
      </c>
      <c r="DB158" s="84" t="str">
        <f t="shared" si="46"/>
        <v/>
      </c>
      <c r="DC158" s="41"/>
      <c r="DD158" s="79" t="s">
        <v>153</v>
      </c>
      <c r="DE158" s="71"/>
      <c r="DF158" s="127" t="s">
        <v>1308</v>
      </c>
      <c r="DG158" s="79">
        <v>151</v>
      </c>
      <c r="DH158" s="86" t="str">
        <f t="shared" si="85"/>
        <v>Completo</v>
      </c>
      <c r="DI158" s="79" t="s">
        <v>181</v>
      </c>
      <c r="DJ158" s="79" t="s">
        <v>182</v>
      </c>
      <c r="DK158" s="79"/>
      <c r="DL158" s="79">
        <v>0</v>
      </c>
      <c r="DM158" s="79">
        <v>0</v>
      </c>
      <c r="DN158" s="79" t="s">
        <v>182</v>
      </c>
      <c r="DO158" s="79"/>
      <c r="DP158" s="79"/>
      <c r="DQ158" s="79"/>
      <c r="DR158" s="75" t="str">
        <f t="shared" si="70"/>
        <v>No aplica</v>
      </c>
      <c r="DS158" s="79"/>
      <c r="DT158" s="79"/>
      <c r="DU158" s="75" t="str">
        <f t="shared" si="71"/>
        <v>No aplica</v>
      </c>
      <c r="DV158" s="79" t="s">
        <v>182</v>
      </c>
      <c r="DW158" s="79" t="s">
        <v>182</v>
      </c>
      <c r="DX158" s="79"/>
      <c r="DY158" s="79"/>
      <c r="DZ158" s="79"/>
      <c r="EA158" s="79"/>
      <c r="EB158" s="79" t="s">
        <v>182</v>
      </c>
      <c r="EC158" s="79" t="s">
        <v>1309</v>
      </c>
      <c r="ED158" s="79" t="s">
        <v>184</v>
      </c>
      <c r="EE158" s="79" t="str">
        <f t="shared" si="62"/>
        <v>Completo</v>
      </c>
      <c r="EF158" s="41"/>
      <c r="EG158" s="79" t="s">
        <v>153</v>
      </c>
      <c r="EH158" s="71"/>
      <c r="EI158" s="80"/>
      <c r="EJ158" s="71"/>
      <c r="EK158" s="79" t="s">
        <v>179</v>
      </c>
      <c r="EL158" s="76" t="str">
        <f t="shared" si="72"/>
        <v>No requiere</v>
      </c>
      <c r="EM158" s="76" t="str">
        <f t="shared" si="73"/>
        <v>No requiere</v>
      </c>
      <c r="EN158" s="76" t="str">
        <f t="shared" si="92"/>
        <v>No requiere</v>
      </c>
      <c r="EO158" s="71"/>
      <c r="EP158" s="73" t="str">
        <f t="shared" si="75"/>
        <v>No requiere</v>
      </c>
      <c r="EQ158" s="77" t="str">
        <f t="shared" si="76"/>
        <v>No requiere</v>
      </c>
      <c r="ER158" s="71"/>
      <c r="ES158" s="79" t="s">
        <v>179</v>
      </c>
      <c r="ET158" s="73" t="str">
        <f t="shared" si="77"/>
        <v>No requiere</v>
      </c>
      <c r="EU158" s="73" t="str">
        <f t="shared" si="93"/>
        <v>No requiere</v>
      </c>
      <c r="EV158" s="73" t="str">
        <f t="shared" si="79"/>
        <v>No requiere</v>
      </c>
      <c r="EW158" s="73" t="str">
        <f t="shared" si="80"/>
        <v>No requiere</v>
      </c>
      <c r="EX158" s="78"/>
      <c r="EY158" s="78"/>
    </row>
    <row r="159" spans="1:155" ht="46.5" customHeight="1">
      <c r="A159" s="79">
        <v>155</v>
      </c>
      <c r="B159" s="80" t="s">
        <v>1310</v>
      </c>
      <c r="C159" s="81">
        <v>45371</v>
      </c>
      <c r="D159" s="82">
        <v>0.625</v>
      </c>
      <c r="E159" s="79" t="s">
        <v>151</v>
      </c>
      <c r="F159" s="79" t="s">
        <v>153</v>
      </c>
      <c r="G159" s="79" t="s">
        <v>153</v>
      </c>
      <c r="H159" s="79" t="s">
        <v>153</v>
      </c>
      <c r="I159" s="79" t="s">
        <v>152</v>
      </c>
      <c r="J159" s="79" t="s">
        <v>154</v>
      </c>
      <c r="K159" s="79" t="s">
        <v>155</v>
      </c>
      <c r="L159" s="80" t="s">
        <v>600</v>
      </c>
      <c r="M159" s="80" t="s">
        <v>303</v>
      </c>
      <c r="N159" s="79" t="s">
        <v>801</v>
      </c>
      <c r="O159" s="80" t="str">
        <f t="shared" si="63"/>
        <v>César Augusto Barrantes, Joan Sebastian García, Mónica Lyzeth Cantor, Aida Vanessa Rocha, Manuel Fernando Vergara, Andres Castro Latorre, Valentina González Pontón, Carlos Eduardo Escandón, Germán Ramón Jacome, Nathalia Guzmán Martínez, Nicolas Esteban Hernández, Reinaldo Terrios Andrade, Yohan David Díaz, Norberto Muñoz Morera</v>
      </c>
      <c r="P159" s="79" t="s">
        <v>729</v>
      </c>
      <c r="Q159" s="79" t="s">
        <v>728</v>
      </c>
      <c r="R159" s="79" t="s">
        <v>346</v>
      </c>
      <c r="S159" s="79" t="s">
        <v>801</v>
      </c>
      <c r="T159" s="79" t="s">
        <v>820</v>
      </c>
      <c r="U159" s="79" t="s">
        <v>749</v>
      </c>
      <c r="V159" s="79" t="s">
        <v>329</v>
      </c>
      <c r="W159" s="79" t="s">
        <v>819</v>
      </c>
      <c r="X159" s="79" t="s">
        <v>525</v>
      </c>
      <c r="Y159" s="79" t="s">
        <v>166</v>
      </c>
      <c r="Z159" s="79" t="s">
        <v>645</v>
      </c>
      <c r="AA159" s="79" t="s">
        <v>675</v>
      </c>
      <c r="AB159" s="79" t="s">
        <v>164</v>
      </c>
      <c r="AC159" s="79" t="s">
        <v>161</v>
      </c>
      <c r="AD159" s="79"/>
      <c r="AE159" s="79"/>
      <c r="AF159" s="79"/>
      <c r="AG159" s="79"/>
      <c r="AH159" s="79"/>
      <c r="AI159" s="79"/>
      <c r="AJ159" s="79"/>
      <c r="AK159" s="79"/>
      <c r="AL159" s="79"/>
      <c r="AM159" s="79"/>
      <c r="AN159" s="79"/>
      <c r="AO159" s="79" t="s">
        <v>304</v>
      </c>
      <c r="AP159" s="79"/>
      <c r="AQ159" s="80" t="s">
        <v>1311</v>
      </c>
      <c r="AR159" s="80">
        <v>3158150513</v>
      </c>
      <c r="AS159" s="80" t="s">
        <v>1312</v>
      </c>
      <c r="AT159" s="80" t="str">
        <f t="shared" si="64"/>
        <v>Suba</v>
      </c>
      <c r="AU159" s="79" t="s">
        <v>602</v>
      </c>
      <c r="AV159" s="79"/>
      <c r="AW159" s="79"/>
      <c r="AX159" s="79"/>
      <c r="AY159" s="79"/>
      <c r="AZ159" s="79"/>
      <c r="BA159" s="80" t="str">
        <f t="shared" si="65"/>
        <v>Norte</v>
      </c>
      <c r="BB159" s="79" t="s">
        <v>662</v>
      </c>
      <c r="BC159" s="79"/>
      <c r="BD159" s="79"/>
      <c r="BE159" s="79"/>
      <c r="BF159" s="79"/>
      <c r="BG159" s="79"/>
      <c r="BH159" s="80" t="str">
        <f t="shared" si="66"/>
        <v>Britalia</v>
      </c>
      <c r="BI159" s="79" t="s">
        <v>1313</v>
      </c>
      <c r="BJ159" s="79"/>
      <c r="BK159" s="79"/>
      <c r="BL159" s="79"/>
      <c r="BM159" s="79"/>
      <c r="BN159" s="79"/>
      <c r="BO159" s="79"/>
      <c r="BP159" s="79"/>
      <c r="BQ159" s="79"/>
      <c r="BR159" s="79"/>
      <c r="BS159" s="80" t="s">
        <v>288</v>
      </c>
      <c r="BT159" s="80" t="s">
        <v>605</v>
      </c>
      <c r="BU159" s="80" t="s">
        <v>1314</v>
      </c>
      <c r="BV159" s="71"/>
      <c r="BW159" s="79" t="s">
        <v>153</v>
      </c>
      <c r="BX159" s="79" t="s">
        <v>607</v>
      </c>
      <c r="BY159" s="71"/>
      <c r="BZ159" s="79">
        <v>52</v>
      </c>
      <c r="CA159" s="79">
        <v>18</v>
      </c>
      <c r="CB159" s="79">
        <f t="shared" si="25"/>
        <v>70</v>
      </c>
      <c r="CC159" s="79" t="str">
        <f t="shared" si="91"/>
        <v>Ninguna</v>
      </c>
      <c r="CD159" s="79" t="s">
        <v>174</v>
      </c>
      <c r="CE159" s="79"/>
      <c r="CF159" s="79"/>
      <c r="CG159" s="83" t="s">
        <v>1315</v>
      </c>
      <c r="CH159" s="41"/>
      <c r="CI159" s="79" t="s">
        <v>153</v>
      </c>
      <c r="CJ159" s="71"/>
      <c r="CK159" s="79">
        <f t="shared" si="38"/>
        <v>1</v>
      </c>
      <c r="CL159" s="79" t="s">
        <v>1316</v>
      </c>
      <c r="CM159" s="79"/>
      <c r="CN159" s="79"/>
      <c r="CO159" s="79"/>
      <c r="CP159" s="79"/>
      <c r="CQ159" s="79"/>
      <c r="CR159" s="83" t="s">
        <v>390</v>
      </c>
      <c r="CS159" s="83" t="s">
        <v>179</v>
      </c>
      <c r="CT159" s="83" t="s">
        <v>179</v>
      </c>
      <c r="CU159" s="83" t="s">
        <v>179</v>
      </c>
      <c r="CV159" s="83" t="s">
        <v>179</v>
      </c>
      <c r="CW159" s="83" t="s">
        <v>179</v>
      </c>
      <c r="CX159" s="79" t="s">
        <v>153</v>
      </c>
      <c r="CY159" s="79">
        <f t="shared" si="39"/>
        <v>1</v>
      </c>
      <c r="CZ159" s="79">
        <v>1</v>
      </c>
      <c r="DA159" s="79">
        <f t="shared" si="84"/>
        <v>1</v>
      </c>
      <c r="DB159" s="84">
        <f t="shared" si="46"/>
        <v>1</v>
      </c>
      <c r="DC159" s="41"/>
      <c r="DD159" s="79" t="s">
        <v>153</v>
      </c>
      <c r="DE159" s="71"/>
      <c r="DF159" s="127" t="s">
        <v>1317</v>
      </c>
      <c r="DG159" s="79">
        <v>152</v>
      </c>
      <c r="DH159" s="86" t="str">
        <f t="shared" si="85"/>
        <v>Completo</v>
      </c>
      <c r="DI159" s="79" t="s">
        <v>181</v>
      </c>
      <c r="DJ159" s="79" t="s">
        <v>182</v>
      </c>
      <c r="DK159" s="79" t="s">
        <v>153</v>
      </c>
      <c r="DL159" s="79">
        <v>0</v>
      </c>
      <c r="DM159" s="79">
        <v>0</v>
      </c>
      <c r="DN159" s="79" t="s">
        <v>182</v>
      </c>
      <c r="DO159" s="79">
        <v>242</v>
      </c>
      <c r="DP159" s="79" t="s">
        <v>182</v>
      </c>
      <c r="DQ159" s="79">
        <v>16</v>
      </c>
      <c r="DR159" s="75">
        <f t="shared" si="70"/>
        <v>1.0256410256410258</v>
      </c>
      <c r="DS159" s="79" t="s">
        <v>182</v>
      </c>
      <c r="DT159" s="79">
        <v>15</v>
      </c>
      <c r="DU159" s="75">
        <f t="shared" si="71"/>
        <v>0.82417582417582425</v>
      </c>
      <c r="DV159" s="79" t="s">
        <v>182</v>
      </c>
      <c r="DW159" s="79" t="s">
        <v>182</v>
      </c>
      <c r="DX159" s="79">
        <v>4</v>
      </c>
      <c r="DY159" s="79">
        <v>1</v>
      </c>
      <c r="DZ159" s="79" t="s">
        <v>1318</v>
      </c>
      <c r="EA159" s="79">
        <v>6156</v>
      </c>
      <c r="EB159" s="79" t="s">
        <v>182</v>
      </c>
      <c r="EC159" s="79" t="s">
        <v>735</v>
      </c>
      <c r="ED159" s="79" t="s">
        <v>249</v>
      </c>
      <c r="EE159" s="79" t="str">
        <f t="shared" si="62"/>
        <v>Completo</v>
      </c>
      <c r="EF159" s="41"/>
      <c r="EG159" s="79" t="s">
        <v>153</v>
      </c>
      <c r="EH159" s="71"/>
      <c r="EI159" s="89" t="s">
        <v>1319</v>
      </c>
      <c r="EJ159" s="71"/>
      <c r="EK159" s="79" t="s">
        <v>393</v>
      </c>
      <c r="EL159" s="76" t="str">
        <f t="shared" si="72"/>
        <v>Sí</v>
      </c>
      <c r="EM159" s="76" t="str">
        <f t="shared" si="73"/>
        <v>Sí</v>
      </c>
      <c r="EN159" s="76" t="str">
        <f t="shared" si="92"/>
        <v>No</v>
      </c>
      <c r="EO159" s="71"/>
      <c r="EP159" s="73" t="str">
        <f t="shared" si="75"/>
        <v>No aplica</v>
      </c>
      <c r="EQ159" s="77">
        <f t="shared" si="76"/>
        <v>0.82417582417582425</v>
      </c>
      <c r="ER159" s="71"/>
      <c r="ES159" s="79" t="s">
        <v>393</v>
      </c>
      <c r="ET159" s="73">
        <f t="shared" si="77"/>
        <v>1</v>
      </c>
      <c r="EU159" s="73">
        <f t="shared" si="93"/>
        <v>1</v>
      </c>
      <c r="EV159" s="73">
        <f t="shared" si="79"/>
        <v>1</v>
      </c>
      <c r="EW159" s="73">
        <f t="shared" si="80"/>
        <v>3.9311241065627028E-2</v>
      </c>
      <c r="EX159" s="78"/>
      <c r="EY159" s="78"/>
    </row>
    <row r="160" spans="1:155" ht="46.5" customHeight="1">
      <c r="A160" s="79">
        <v>156</v>
      </c>
      <c r="B160" s="80" t="s">
        <v>1320</v>
      </c>
      <c r="C160" s="81">
        <v>45371</v>
      </c>
      <c r="D160" s="82">
        <v>0.625</v>
      </c>
      <c r="E160" s="79" t="s">
        <v>200</v>
      </c>
      <c r="F160" s="79" t="s">
        <v>153</v>
      </c>
      <c r="G160" s="79" t="s">
        <v>152</v>
      </c>
      <c r="H160" s="79" t="s">
        <v>152</v>
      </c>
      <c r="I160" s="79" t="s">
        <v>152</v>
      </c>
      <c r="J160" s="79" t="s">
        <v>211</v>
      </c>
      <c r="K160" s="79" t="s">
        <v>202</v>
      </c>
      <c r="L160" s="80" t="s">
        <v>1321</v>
      </c>
      <c r="M160" s="80" t="s">
        <v>624</v>
      </c>
      <c r="N160" s="79" t="s">
        <v>888</v>
      </c>
      <c r="O160" s="80" t="str">
        <f t="shared" si="63"/>
        <v/>
      </c>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t="s">
        <v>230</v>
      </c>
      <c r="AP160" s="79" t="s">
        <v>242</v>
      </c>
      <c r="AQ160" s="80" t="s">
        <v>1322</v>
      </c>
      <c r="AR160" s="83" t="s">
        <v>1323</v>
      </c>
      <c r="AS160" s="80" t="s">
        <v>1324</v>
      </c>
      <c r="AT160" s="80" t="str">
        <f t="shared" si="64"/>
        <v>Distrital</v>
      </c>
      <c r="AU160" s="79" t="s">
        <v>172</v>
      </c>
      <c r="AV160" s="79"/>
      <c r="AW160" s="79"/>
      <c r="AX160" s="79"/>
      <c r="AY160" s="79"/>
      <c r="AZ160" s="79"/>
      <c r="BA160" s="80" t="str">
        <f t="shared" si="65"/>
        <v>Distrital</v>
      </c>
      <c r="BB160" s="79" t="s">
        <v>172</v>
      </c>
      <c r="BC160" s="79"/>
      <c r="BD160" s="79"/>
      <c r="BE160" s="79"/>
      <c r="BF160" s="79"/>
      <c r="BG160" s="79"/>
      <c r="BH160" s="80" t="str">
        <f t="shared" si="66"/>
        <v>Distrital</v>
      </c>
      <c r="BI160" s="79" t="s">
        <v>172</v>
      </c>
      <c r="BJ160" s="79"/>
      <c r="BK160" s="79"/>
      <c r="BL160" s="79"/>
      <c r="BM160" s="79"/>
      <c r="BN160" s="79"/>
      <c r="BO160" s="79"/>
      <c r="BP160" s="79"/>
      <c r="BQ160" s="79"/>
      <c r="BR160" s="79"/>
      <c r="BS160" s="80" t="s">
        <v>288</v>
      </c>
      <c r="BT160" s="80" t="s">
        <v>174</v>
      </c>
      <c r="BU160" s="89" t="s">
        <v>1325</v>
      </c>
      <c r="BV160" s="71"/>
      <c r="BW160" s="79" t="s">
        <v>152</v>
      </c>
      <c r="BX160" s="79" t="s">
        <v>179</v>
      </c>
      <c r="BY160" s="71"/>
      <c r="BZ160" s="79">
        <v>8</v>
      </c>
      <c r="CA160" s="79">
        <v>1</v>
      </c>
      <c r="CB160" s="79">
        <f t="shared" si="25"/>
        <v>9</v>
      </c>
      <c r="CC160" s="79" t="str">
        <f t="shared" si="91"/>
        <v>No Aplica</v>
      </c>
      <c r="CD160" s="79" t="s">
        <v>177</v>
      </c>
      <c r="CE160" s="79"/>
      <c r="CF160" s="79"/>
      <c r="CG160" s="83" t="s">
        <v>1326</v>
      </c>
      <c r="CH160" s="41"/>
      <c r="CI160" s="79" t="s">
        <v>153</v>
      </c>
      <c r="CJ160" s="71"/>
      <c r="CK160" s="79">
        <f t="shared" si="38"/>
        <v>0</v>
      </c>
      <c r="CL160" s="79"/>
      <c r="CM160" s="79"/>
      <c r="CN160" s="79"/>
      <c r="CO160" s="79"/>
      <c r="CP160" s="79"/>
      <c r="CQ160" s="79"/>
      <c r="CR160" s="83" t="s">
        <v>179</v>
      </c>
      <c r="CS160" s="83" t="s">
        <v>179</v>
      </c>
      <c r="CT160" s="83" t="s">
        <v>179</v>
      </c>
      <c r="CU160" s="83" t="s">
        <v>179</v>
      </c>
      <c r="CV160" s="83" t="s">
        <v>179</v>
      </c>
      <c r="CW160" s="83" t="s">
        <v>179</v>
      </c>
      <c r="CX160" s="79" t="s">
        <v>153</v>
      </c>
      <c r="CY160" s="79">
        <f t="shared" si="39"/>
        <v>0</v>
      </c>
      <c r="CZ160" s="79">
        <v>0</v>
      </c>
      <c r="DA160" s="79">
        <f t="shared" si="84"/>
        <v>0</v>
      </c>
      <c r="DB160" s="84" t="str">
        <f t="shared" si="46"/>
        <v/>
      </c>
      <c r="DC160" s="41"/>
      <c r="DD160" s="79" t="s">
        <v>153</v>
      </c>
      <c r="DE160" s="71"/>
      <c r="DF160" s="127" t="s">
        <v>1327</v>
      </c>
      <c r="DG160" s="79">
        <v>153</v>
      </c>
      <c r="DH160" s="86" t="str">
        <f t="shared" si="85"/>
        <v>Completo</v>
      </c>
      <c r="DI160" s="79" t="s">
        <v>181</v>
      </c>
      <c r="DJ160" s="79" t="s">
        <v>182</v>
      </c>
      <c r="DK160" s="79"/>
      <c r="DL160" s="79"/>
      <c r="DM160" s="79"/>
      <c r="DN160" s="79" t="s">
        <v>182</v>
      </c>
      <c r="DO160" s="79"/>
      <c r="DP160" s="79"/>
      <c r="DQ160" s="79"/>
      <c r="DR160" s="75" t="str">
        <f t="shared" si="70"/>
        <v>No aplica</v>
      </c>
      <c r="DS160" s="79"/>
      <c r="DT160" s="79"/>
      <c r="DU160" s="75" t="str">
        <f t="shared" si="71"/>
        <v>No aplica</v>
      </c>
      <c r="DV160" s="79" t="s">
        <v>182</v>
      </c>
      <c r="DW160" s="79" t="s">
        <v>182</v>
      </c>
      <c r="DX160" s="79"/>
      <c r="DY160" s="79"/>
      <c r="DZ160" s="79"/>
      <c r="EA160" s="79"/>
      <c r="EB160" s="79" t="s">
        <v>182</v>
      </c>
      <c r="EC160" s="79" t="s">
        <v>1295</v>
      </c>
      <c r="ED160" s="79" t="s">
        <v>184</v>
      </c>
      <c r="EE160" s="79" t="str">
        <f t="shared" si="62"/>
        <v>Completo</v>
      </c>
      <c r="EF160" s="41"/>
      <c r="EG160" s="79" t="s">
        <v>153</v>
      </c>
      <c r="EH160" s="71"/>
      <c r="EI160" s="80"/>
      <c r="EJ160" s="71"/>
      <c r="EK160" s="79" t="s">
        <v>179</v>
      </c>
      <c r="EL160" s="76" t="str">
        <f t="shared" si="72"/>
        <v>No requiere</v>
      </c>
      <c r="EM160" s="76" t="str">
        <f t="shared" si="73"/>
        <v>No requiere</v>
      </c>
      <c r="EN160" s="76" t="str">
        <f t="shared" si="92"/>
        <v>No requiere</v>
      </c>
      <c r="EO160" s="71"/>
      <c r="EP160" s="73" t="str">
        <f t="shared" si="75"/>
        <v>No requiere</v>
      </c>
      <c r="EQ160" s="77" t="str">
        <f t="shared" si="76"/>
        <v>No requiere</v>
      </c>
      <c r="ER160" s="71"/>
      <c r="ES160" s="79" t="s">
        <v>179</v>
      </c>
      <c r="ET160" s="73" t="str">
        <f t="shared" si="77"/>
        <v>No requiere</v>
      </c>
      <c r="EU160" s="73" t="str">
        <f t="shared" si="93"/>
        <v>No requiere</v>
      </c>
      <c r="EV160" s="73" t="str">
        <f t="shared" si="79"/>
        <v>No requiere</v>
      </c>
      <c r="EW160" s="73" t="str">
        <f t="shared" si="80"/>
        <v>No requiere</v>
      </c>
      <c r="EX160" s="78"/>
      <c r="EY160" s="78"/>
    </row>
    <row r="161" spans="1:155" ht="46.5" customHeight="1">
      <c r="A161" s="79">
        <v>157</v>
      </c>
      <c r="B161" s="80" t="s">
        <v>1039</v>
      </c>
      <c r="C161" s="81">
        <v>45371</v>
      </c>
      <c r="D161" s="82">
        <v>0.70833333333333337</v>
      </c>
      <c r="E161" s="79" t="s">
        <v>200</v>
      </c>
      <c r="F161" s="79" t="s">
        <v>153</v>
      </c>
      <c r="G161" s="79" t="s">
        <v>152</v>
      </c>
      <c r="H161" s="79" t="s">
        <v>152</v>
      </c>
      <c r="I161" s="79" t="s">
        <v>152</v>
      </c>
      <c r="J161" s="79" t="s">
        <v>211</v>
      </c>
      <c r="K161" s="79" t="s">
        <v>202</v>
      </c>
      <c r="L161" s="80" t="s">
        <v>1328</v>
      </c>
      <c r="M161" s="80" t="s">
        <v>624</v>
      </c>
      <c r="N161" s="79" t="s">
        <v>522</v>
      </c>
      <c r="O161" s="80" t="str">
        <f t="shared" si="63"/>
        <v/>
      </c>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t="s">
        <v>230</v>
      </c>
      <c r="AP161" s="79" t="s">
        <v>242</v>
      </c>
      <c r="AQ161" s="80" t="s">
        <v>1041</v>
      </c>
      <c r="AR161" s="83">
        <v>3013090210</v>
      </c>
      <c r="AS161" s="80" t="s">
        <v>1042</v>
      </c>
      <c r="AT161" s="80" t="str">
        <f t="shared" si="64"/>
        <v>Distrital</v>
      </c>
      <c r="AU161" s="79" t="s">
        <v>172</v>
      </c>
      <c r="AV161" s="79"/>
      <c r="AW161" s="79"/>
      <c r="AX161" s="79"/>
      <c r="AY161" s="79"/>
      <c r="AZ161" s="79"/>
      <c r="BA161" s="80" t="str">
        <f t="shared" si="65"/>
        <v>Distrital</v>
      </c>
      <c r="BB161" s="79" t="s">
        <v>172</v>
      </c>
      <c r="BC161" s="79"/>
      <c r="BD161" s="79"/>
      <c r="BE161" s="79"/>
      <c r="BF161" s="79"/>
      <c r="BG161" s="79"/>
      <c r="BH161" s="80" t="str">
        <f t="shared" si="66"/>
        <v>Distrital</v>
      </c>
      <c r="BI161" s="79" t="s">
        <v>172</v>
      </c>
      <c r="BJ161" s="79"/>
      <c r="BK161" s="79"/>
      <c r="BL161" s="79"/>
      <c r="BM161" s="79"/>
      <c r="BN161" s="79"/>
      <c r="BO161" s="79"/>
      <c r="BP161" s="79"/>
      <c r="BQ161" s="79"/>
      <c r="BR161" s="79"/>
      <c r="BS161" s="80" t="s">
        <v>288</v>
      </c>
      <c r="BT161" s="80" t="s">
        <v>174</v>
      </c>
      <c r="BU161" s="89" t="s">
        <v>1329</v>
      </c>
      <c r="BV161" s="71"/>
      <c r="BW161" s="79" t="s">
        <v>153</v>
      </c>
      <c r="BX161" s="79" t="s">
        <v>176</v>
      </c>
      <c r="BY161" s="71"/>
      <c r="BZ161" s="79">
        <v>13</v>
      </c>
      <c r="CA161" s="79">
        <v>1</v>
      </c>
      <c r="CB161" s="79">
        <f t="shared" si="25"/>
        <v>14</v>
      </c>
      <c r="CC161" s="79" t="str">
        <f t="shared" si="91"/>
        <v>No Aplica</v>
      </c>
      <c r="CD161" s="79" t="s">
        <v>177</v>
      </c>
      <c r="CE161" s="79"/>
      <c r="CF161" s="79"/>
      <c r="CG161" s="83" t="s">
        <v>1330</v>
      </c>
      <c r="CH161" s="41"/>
      <c r="CI161" s="79" t="s">
        <v>153</v>
      </c>
      <c r="CJ161" s="71"/>
      <c r="CK161" s="79">
        <f t="shared" si="38"/>
        <v>0</v>
      </c>
      <c r="CL161" s="79"/>
      <c r="CM161" s="79"/>
      <c r="CN161" s="79"/>
      <c r="CO161" s="79"/>
      <c r="CP161" s="79"/>
      <c r="CQ161" s="79"/>
      <c r="CR161" s="83" t="s">
        <v>179</v>
      </c>
      <c r="CS161" s="83" t="s">
        <v>179</v>
      </c>
      <c r="CT161" s="83" t="s">
        <v>179</v>
      </c>
      <c r="CU161" s="83" t="s">
        <v>179</v>
      </c>
      <c r="CV161" s="83" t="s">
        <v>179</v>
      </c>
      <c r="CW161" s="83" t="s">
        <v>179</v>
      </c>
      <c r="CX161" s="79" t="s">
        <v>153</v>
      </c>
      <c r="CY161" s="79">
        <f t="shared" si="39"/>
        <v>0</v>
      </c>
      <c r="CZ161" s="79">
        <v>0</v>
      </c>
      <c r="DA161" s="79">
        <f t="shared" si="84"/>
        <v>0</v>
      </c>
      <c r="DB161" s="84" t="str">
        <f t="shared" si="46"/>
        <v/>
      </c>
      <c r="DC161" s="41"/>
      <c r="DD161" s="79" t="s">
        <v>153</v>
      </c>
      <c r="DE161" s="71"/>
      <c r="DF161" s="127" t="s">
        <v>1331</v>
      </c>
      <c r="DG161" s="79">
        <v>154</v>
      </c>
      <c r="DH161" s="86">
        <f t="shared" si="85"/>
        <v>45374</v>
      </c>
      <c r="DI161" s="79" t="s">
        <v>181</v>
      </c>
      <c r="DJ161" s="79" t="s">
        <v>182</v>
      </c>
      <c r="DK161" s="79"/>
      <c r="DL161" s="79">
        <v>0</v>
      </c>
      <c r="DM161" s="79">
        <v>0</v>
      </c>
      <c r="DN161" s="79" t="s">
        <v>182</v>
      </c>
      <c r="DO161" s="79"/>
      <c r="DP161" s="79"/>
      <c r="DQ161" s="79"/>
      <c r="DR161" s="75" t="str">
        <f t="shared" si="70"/>
        <v>No aplica</v>
      </c>
      <c r="DS161" s="79"/>
      <c r="DT161" s="79"/>
      <c r="DU161" s="75" t="str">
        <f t="shared" si="71"/>
        <v>No aplica</v>
      </c>
      <c r="DV161" s="79" t="s">
        <v>182</v>
      </c>
      <c r="DW161" s="79" t="s">
        <v>182</v>
      </c>
      <c r="DX161" s="79"/>
      <c r="DY161" s="79"/>
      <c r="DZ161" s="79"/>
      <c r="EA161" s="79"/>
      <c r="EB161" s="79" t="s">
        <v>182</v>
      </c>
      <c r="EC161" s="79" t="s">
        <v>1046</v>
      </c>
      <c r="ED161" s="79" t="s">
        <v>184</v>
      </c>
      <c r="EE161" s="79" t="s">
        <v>621</v>
      </c>
      <c r="EF161" s="41"/>
      <c r="EG161" s="79" t="s">
        <v>153</v>
      </c>
      <c r="EH161" s="71"/>
      <c r="EI161" s="80"/>
      <c r="EJ161" s="71"/>
      <c r="EK161" s="79" t="s">
        <v>179</v>
      </c>
      <c r="EL161" s="76" t="str">
        <f t="shared" si="72"/>
        <v>No requiere</v>
      </c>
      <c r="EM161" s="76" t="str">
        <f t="shared" si="73"/>
        <v>No requiere</v>
      </c>
      <c r="EN161" s="76" t="str">
        <f t="shared" si="92"/>
        <v>No requiere</v>
      </c>
      <c r="EO161" s="71"/>
      <c r="EP161" s="73" t="str">
        <f t="shared" si="75"/>
        <v>No requiere</v>
      </c>
      <c r="EQ161" s="77" t="str">
        <f t="shared" si="76"/>
        <v>No requiere</v>
      </c>
      <c r="ER161" s="71"/>
      <c r="ES161" s="79" t="s">
        <v>179</v>
      </c>
      <c r="ET161" s="73" t="str">
        <f t="shared" si="77"/>
        <v>No requiere</v>
      </c>
      <c r="EU161" s="73" t="str">
        <f t="shared" si="93"/>
        <v>No requiere</v>
      </c>
      <c r="EV161" s="73" t="str">
        <f t="shared" si="79"/>
        <v>No requiere</v>
      </c>
      <c r="EW161" s="73" t="str">
        <f t="shared" si="80"/>
        <v>No requiere</v>
      </c>
      <c r="EX161" s="78"/>
      <c r="EY161" s="78"/>
    </row>
    <row r="162" spans="1:155" ht="46.5" customHeight="1">
      <c r="A162" s="79">
        <v>158</v>
      </c>
      <c r="B162" s="80" t="s">
        <v>1332</v>
      </c>
      <c r="C162" s="81">
        <v>45371</v>
      </c>
      <c r="D162" s="82">
        <v>0.75</v>
      </c>
      <c r="E162" s="79" t="s">
        <v>200</v>
      </c>
      <c r="F162" s="79" t="s">
        <v>153</v>
      </c>
      <c r="G162" s="79" t="s">
        <v>152</v>
      </c>
      <c r="H162" s="79" t="s">
        <v>152</v>
      </c>
      <c r="I162" s="79" t="s">
        <v>152</v>
      </c>
      <c r="J162" s="79" t="s">
        <v>211</v>
      </c>
      <c r="K162" s="79" t="s">
        <v>202</v>
      </c>
      <c r="L162" s="80" t="s">
        <v>1333</v>
      </c>
      <c r="M162" s="80" t="s">
        <v>624</v>
      </c>
      <c r="N162" s="79" t="s">
        <v>523</v>
      </c>
      <c r="O162" s="80" t="str">
        <f t="shared" si="63"/>
        <v/>
      </c>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t="s">
        <v>230</v>
      </c>
      <c r="AP162" s="79" t="s">
        <v>242</v>
      </c>
      <c r="AQ162" s="80" t="s">
        <v>1334</v>
      </c>
      <c r="AR162" s="83">
        <v>3244150125</v>
      </c>
      <c r="AS162" s="80" t="s">
        <v>1335</v>
      </c>
      <c r="AT162" s="80" t="str">
        <f t="shared" si="64"/>
        <v>Distrital</v>
      </c>
      <c r="AU162" s="79" t="s">
        <v>172</v>
      </c>
      <c r="AV162" s="79"/>
      <c r="AW162" s="79"/>
      <c r="AX162" s="79"/>
      <c r="AY162" s="79"/>
      <c r="AZ162" s="79"/>
      <c r="BA162" s="80" t="str">
        <f t="shared" si="65"/>
        <v>Distrital</v>
      </c>
      <c r="BB162" s="79" t="s">
        <v>172</v>
      </c>
      <c r="BC162" s="79"/>
      <c r="BD162" s="79"/>
      <c r="BE162" s="79"/>
      <c r="BF162" s="79"/>
      <c r="BG162" s="79"/>
      <c r="BH162" s="80" t="str">
        <f t="shared" si="66"/>
        <v>Distrital</v>
      </c>
      <c r="BI162" s="79" t="s">
        <v>172</v>
      </c>
      <c r="BJ162" s="79"/>
      <c r="BK162" s="79"/>
      <c r="BL162" s="79"/>
      <c r="BM162" s="79"/>
      <c r="BN162" s="79"/>
      <c r="BO162" s="79"/>
      <c r="BP162" s="79"/>
      <c r="BQ162" s="79"/>
      <c r="BR162" s="79"/>
      <c r="BS162" s="80" t="s">
        <v>288</v>
      </c>
      <c r="BT162" s="80" t="s">
        <v>174</v>
      </c>
      <c r="BU162" s="89" t="s">
        <v>1336</v>
      </c>
      <c r="BV162" s="71"/>
      <c r="BW162" s="79" t="s">
        <v>152</v>
      </c>
      <c r="BX162" s="79" t="s">
        <v>179</v>
      </c>
      <c r="BY162" s="71"/>
      <c r="BZ162" s="79">
        <v>22</v>
      </c>
      <c r="CA162" s="79">
        <v>1</v>
      </c>
      <c r="CB162" s="79">
        <f t="shared" si="25"/>
        <v>23</v>
      </c>
      <c r="CC162" s="79" t="str">
        <f t="shared" si="91"/>
        <v>Lenguaje de señas</v>
      </c>
      <c r="CD162" s="79" t="s">
        <v>349</v>
      </c>
      <c r="CE162" s="79"/>
      <c r="CF162" s="79"/>
      <c r="CG162" s="83" t="s">
        <v>1337</v>
      </c>
      <c r="CH162" s="41"/>
      <c r="CI162" s="79" t="s">
        <v>153</v>
      </c>
      <c r="CJ162" s="71"/>
      <c r="CK162" s="79">
        <f t="shared" si="38"/>
        <v>0</v>
      </c>
      <c r="CL162" s="79"/>
      <c r="CM162" s="79"/>
      <c r="CN162" s="79"/>
      <c r="CO162" s="79"/>
      <c r="CP162" s="79"/>
      <c r="CQ162" s="79"/>
      <c r="CR162" s="83" t="s">
        <v>179</v>
      </c>
      <c r="CS162" s="83" t="s">
        <v>179</v>
      </c>
      <c r="CT162" s="83" t="s">
        <v>179</v>
      </c>
      <c r="CU162" s="83" t="s">
        <v>179</v>
      </c>
      <c r="CV162" s="83" t="s">
        <v>179</v>
      </c>
      <c r="CW162" s="83" t="s">
        <v>179</v>
      </c>
      <c r="CX162" s="79" t="s">
        <v>153</v>
      </c>
      <c r="CY162" s="79">
        <f t="shared" si="39"/>
        <v>0</v>
      </c>
      <c r="CZ162" s="79">
        <v>0</v>
      </c>
      <c r="DA162" s="79">
        <f t="shared" si="84"/>
        <v>0</v>
      </c>
      <c r="DB162" s="84" t="str">
        <f t="shared" si="46"/>
        <v/>
      </c>
      <c r="DC162" s="41"/>
      <c r="DD162" s="79" t="s">
        <v>153</v>
      </c>
      <c r="DE162" s="71"/>
      <c r="DF162" s="85" t="s">
        <v>1338</v>
      </c>
      <c r="DG162" s="79">
        <v>155</v>
      </c>
      <c r="DH162" s="86" t="str">
        <f t="shared" si="85"/>
        <v>Completo</v>
      </c>
      <c r="DI162" s="79" t="s">
        <v>181</v>
      </c>
      <c r="DJ162" s="79" t="s">
        <v>182</v>
      </c>
      <c r="DK162" s="79"/>
      <c r="DL162" s="79">
        <v>0</v>
      </c>
      <c r="DM162" s="79">
        <v>0</v>
      </c>
      <c r="DN162" s="79" t="s">
        <v>182</v>
      </c>
      <c r="DO162" s="79"/>
      <c r="DP162" s="79"/>
      <c r="DQ162" s="79"/>
      <c r="DR162" s="75" t="str">
        <f t="shared" si="70"/>
        <v>No aplica</v>
      </c>
      <c r="DS162" s="79"/>
      <c r="DT162" s="79"/>
      <c r="DU162" s="75" t="str">
        <f t="shared" si="71"/>
        <v>No aplica</v>
      </c>
      <c r="DV162" s="79" t="s">
        <v>182</v>
      </c>
      <c r="DW162" s="79" t="s">
        <v>182</v>
      </c>
      <c r="DX162" s="79"/>
      <c r="DY162" s="79"/>
      <c r="DZ162" s="79"/>
      <c r="EA162" s="79"/>
      <c r="EB162" s="79" t="s">
        <v>182</v>
      </c>
      <c r="EC162" s="79" t="s">
        <v>1339</v>
      </c>
      <c r="ED162" s="79" t="s">
        <v>184</v>
      </c>
      <c r="EE162" s="79" t="str">
        <f t="shared" ref="EE162:EE183" si="94">IF(DI162="Subsanado","Completo","Por Completar")</f>
        <v>Completo</v>
      </c>
      <c r="EF162" s="41"/>
      <c r="EG162" s="79" t="s">
        <v>153</v>
      </c>
      <c r="EH162" s="71"/>
      <c r="EI162" s="80"/>
      <c r="EJ162" s="71"/>
      <c r="EK162" s="79" t="s">
        <v>179</v>
      </c>
      <c r="EL162" s="76" t="str">
        <f t="shared" si="72"/>
        <v>No requiere</v>
      </c>
      <c r="EM162" s="76" t="str">
        <f t="shared" si="73"/>
        <v>No requiere</v>
      </c>
      <c r="EN162" s="76" t="str">
        <f t="shared" si="92"/>
        <v>No requiere</v>
      </c>
      <c r="EO162" s="71"/>
      <c r="EP162" s="73" t="str">
        <f t="shared" si="75"/>
        <v>No requiere</v>
      </c>
      <c r="EQ162" s="77" t="str">
        <f t="shared" si="76"/>
        <v>No requiere</v>
      </c>
      <c r="ER162" s="71"/>
      <c r="ES162" s="79" t="s">
        <v>179</v>
      </c>
      <c r="ET162" s="73" t="str">
        <f t="shared" si="77"/>
        <v>No requiere</v>
      </c>
      <c r="EU162" s="73" t="str">
        <f t="shared" si="93"/>
        <v>No requiere</v>
      </c>
      <c r="EV162" s="73" t="str">
        <f t="shared" si="79"/>
        <v>No requiere</v>
      </c>
      <c r="EW162" s="73" t="str">
        <f t="shared" si="80"/>
        <v>No requiere</v>
      </c>
      <c r="EX162" s="78"/>
      <c r="EY162" s="78"/>
    </row>
    <row r="163" spans="1:155" ht="46.5" customHeight="1">
      <c r="A163" s="79">
        <v>159</v>
      </c>
      <c r="B163" s="80" t="s">
        <v>1340</v>
      </c>
      <c r="C163" s="81">
        <v>45371</v>
      </c>
      <c r="D163" s="82">
        <v>0.75</v>
      </c>
      <c r="E163" s="79" t="s">
        <v>200</v>
      </c>
      <c r="F163" s="79" t="s">
        <v>153</v>
      </c>
      <c r="G163" s="79" t="s">
        <v>152</v>
      </c>
      <c r="H163" s="79" t="s">
        <v>152</v>
      </c>
      <c r="I163" s="79" t="s">
        <v>152</v>
      </c>
      <c r="J163" s="79" t="s">
        <v>211</v>
      </c>
      <c r="K163" s="79" t="s">
        <v>202</v>
      </c>
      <c r="L163" s="80" t="s">
        <v>1341</v>
      </c>
      <c r="M163" s="80" t="s">
        <v>624</v>
      </c>
      <c r="N163" s="79" t="s">
        <v>524</v>
      </c>
      <c r="O163" s="80" t="str">
        <f t="shared" si="63"/>
        <v/>
      </c>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t="s">
        <v>230</v>
      </c>
      <c r="AP163" s="79" t="s">
        <v>242</v>
      </c>
      <c r="AQ163" s="80" t="s">
        <v>1102</v>
      </c>
      <c r="AR163" s="83">
        <v>3178255261</v>
      </c>
      <c r="AS163" s="80" t="s">
        <v>1103</v>
      </c>
      <c r="AT163" s="80" t="str">
        <f t="shared" si="64"/>
        <v>Distrital</v>
      </c>
      <c r="AU163" s="79" t="s">
        <v>172</v>
      </c>
      <c r="AV163" s="79"/>
      <c r="AW163" s="79"/>
      <c r="AX163" s="79"/>
      <c r="AY163" s="79"/>
      <c r="AZ163" s="79"/>
      <c r="BA163" s="80" t="str">
        <f t="shared" si="65"/>
        <v>Distrital</v>
      </c>
      <c r="BB163" s="79" t="s">
        <v>172</v>
      </c>
      <c r="BC163" s="79"/>
      <c r="BD163" s="79"/>
      <c r="BE163" s="79"/>
      <c r="BF163" s="79"/>
      <c r="BG163" s="79"/>
      <c r="BH163" s="80" t="str">
        <f t="shared" si="66"/>
        <v>Distrital</v>
      </c>
      <c r="BI163" s="79" t="s">
        <v>172</v>
      </c>
      <c r="BJ163" s="79"/>
      <c r="BK163" s="79"/>
      <c r="BL163" s="79"/>
      <c r="BM163" s="79"/>
      <c r="BN163" s="79"/>
      <c r="BO163" s="79"/>
      <c r="BP163" s="79"/>
      <c r="BQ163" s="79"/>
      <c r="BR163" s="79"/>
      <c r="BS163" s="80" t="s">
        <v>288</v>
      </c>
      <c r="BT163" s="80" t="s">
        <v>174</v>
      </c>
      <c r="BU163" s="89" t="s">
        <v>1342</v>
      </c>
      <c r="BV163" s="71"/>
      <c r="BW163" s="79" t="s">
        <v>152</v>
      </c>
      <c r="BX163" s="79" t="s">
        <v>179</v>
      </c>
      <c r="BY163" s="71"/>
      <c r="BZ163" s="79">
        <v>10</v>
      </c>
      <c r="CA163" s="79">
        <v>1</v>
      </c>
      <c r="CB163" s="79">
        <f t="shared" si="25"/>
        <v>11</v>
      </c>
      <c r="CC163" s="79" t="str">
        <f t="shared" si="91"/>
        <v>No Aplica</v>
      </c>
      <c r="CD163" s="79" t="s">
        <v>177</v>
      </c>
      <c r="CE163" s="79"/>
      <c r="CF163" s="79"/>
      <c r="CG163" s="83" t="s">
        <v>1343</v>
      </c>
      <c r="CH163" s="41"/>
      <c r="CI163" s="79" t="s">
        <v>153</v>
      </c>
      <c r="CJ163" s="71"/>
      <c r="CK163" s="79">
        <f t="shared" si="38"/>
        <v>0</v>
      </c>
      <c r="CL163" s="79"/>
      <c r="CM163" s="79"/>
      <c r="CN163" s="79"/>
      <c r="CO163" s="79"/>
      <c r="CP163" s="79"/>
      <c r="CQ163" s="79"/>
      <c r="CR163" s="83" t="s">
        <v>179</v>
      </c>
      <c r="CS163" s="83" t="s">
        <v>179</v>
      </c>
      <c r="CT163" s="83" t="s">
        <v>179</v>
      </c>
      <c r="CU163" s="83" t="s">
        <v>179</v>
      </c>
      <c r="CV163" s="83" t="s">
        <v>179</v>
      </c>
      <c r="CW163" s="83" t="s">
        <v>179</v>
      </c>
      <c r="CX163" s="79" t="s">
        <v>153</v>
      </c>
      <c r="CY163" s="79">
        <f t="shared" si="39"/>
        <v>0</v>
      </c>
      <c r="CZ163" s="79">
        <v>0</v>
      </c>
      <c r="DA163" s="79">
        <f t="shared" si="84"/>
        <v>0</v>
      </c>
      <c r="DB163" s="84" t="str">
        <f t="shared" si="46"/>
        <v/>
      </c>
      <c r="DC163" s="41"/>
      <c r="DD163" s="79" t="s">
        <v>153</v>
      </c>
      <c r="DE163" s="71"/>
      <c r="DF163" s="85" t="s">
        <v>1344</v>
      </c>
      <c r="DG163" s="79">
        <v>156</v>
      </c>
      <c r="DH163" s="86" t="str">
        <f t="shared" si="85"/>
        <v>Completo</v>
      </c>
      <c r="DI163" s="79" t="s">
        <v>181</v>
      </c>
      <c r="DJ163" s="79" t="s">
        <v>182</v>
      </c>
      <c r="DK163" s="79"/>
      <c r="DL163" s="79"/>
      <c r="DM163" s="79"/>
      <c r="DN163" s="79" t="s">
        <v>182</v>
      </c>
      <c r="DO163" s="79"/>
      <c r="DP163" s="79"/>
      <c r="DQ163" s="79"/>
      <c r="DR163" s="75" t="str">
        <f t="shared" si="70"/>
        <v>No aplica</v>
      </c>
      <c r="DS163" s="79"/>
      <c r="DT163" s="79"/>
      <c r="DU163" s="75" t="str">
        <f t="shared" si="71"/>
        <v>No aplica</v>
      </c>
      <c r="DV163" s="79" t="s">
        <v>182</v>
      </c>
      <c r="DW163" s="79" t="s">
        <v>182</v>
      </c>
      <c r="DX163" s="79"/>
      <c r="DY163" s="79"/>
      <c r="DZ163" s="79"/>
      <c r="EA163" s="79"/>
      <c r="EB163" s="79" t="s">
        <v>182</v>
      </c>
      <c r="EC163" s="79" t="s">
        <v>1345</v>
      </c>
      <c r="ED163" s="79" t="s">
        <v>184</v>
      </c>
      <c r="EE163" s="79" t="str">
        <f t="shared" si="94"/>
        <v>Completo</v>
      </c>
      <c r="EF163" s="41"/>
      <c r="EG163" s="79" t="s">
        <v>153</v>
      </c>
      <c r="EH163" s="71"/>
      <c r="EI163" s="80"/>
      <c r="EJ163" s="71"/>
      <c r="EK163" s="79" t="s">
        <v>179</v>
      </c>
      <c r="EL163" s="76" t="str">
        <f t="shared" si="72"/>
        <v>No requiere</v>
      </c>
      <c r="EM163" s="76" t="str">
        <f t="shared" si="73"/>
        <v>No requiere</v>
      </c>
      <c r="EN163" s="76" t="str">
        <f t="shared" si="92"/>
        <v>No requiere</v>
      </c>
      <c r="EO163" s="71"/>
      <c r="EP163" s="73" t="str">
        <f t="shared" si="75"/>
        <v>No requiere</v>
      </c>
      <c r="EQ163" s="77" t="str">
        <f t="shared" si="76"/>
        <v>No requiere</v>
      </c>
      <c r="ER163" s="71"/>
      <c r="ES163" s="79" t="s">
        <v>179</v>
      </c>
      <c r="ET163" s="73" t="str">
        <f t="shared" si="77"/>
        <v>No requiere</v>
      </c>
      <c r="EU163" s="73" t="str">
        <f t="shared" si="93"/>
        <v>No requiere</v>
      </c>
      <c r="EV163" s="73" t="str">
        <f t="shared" si="79"/>
        <v>No requiere</v>
      </c>
      <c r="EW163" s="73" t="str">
        <f t="shared" si="80"/>
        <v>No requiere</v>
      </c>
      <c r="EX163" s="78"/>
      <c r="EY163" s="78"/>
    </row>
    <row r="164" spans="1:155" ht="46.5" customHeight="1">
      <c r="A164" s="79">
        <v>160</v>
      </c>
      <c r="B164" s="80" t="s">
        <v>1346</v>
      </c>
      <c r="C164" s="81">
        <v>45372</v>
      </c>
      <c r="D164" s="82">
        <v>0.33333333333333331</v>
      </c>
      <c r="E164" s="79" t="s">
        <v>151</v>
      </c>
      <c r="F164" s="79" t="s">
        <v>153</v>
      </c>
      <c r="G164" s="79" t="s">
        <v>152</v>
      </c>
      <c r="H164" s="79" t="s">
        <v>152</v>
      </c>
      <c r="I164" s="79" t="s">
        <v>152</v>
      </c>
      <c r="J164" s="79" t="s">
        <v>154</v>
      </c>
      <c r="K164" s="79" t="s">
        <v>155</v>
      </c>
      <c r="L164" s="80" t="s">
        <v>1347</v>
      </c>
      <c r="M164" s="80" t="s">
        <v>157</v>
      </c>
      <c r="N164" s="79" t="s">
        <v>195</v>
      </c>
      <c r="O164" s="80" t="str">
        <f t="shared" si="63"/>
        <v/>
      </c>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t="s">
        <v>169</v>
      </c>
      <c r="AP164" s="79" t="s">
        <v>170</v>
      </c>
      <c r="AQ164" s="80" t="s">
        <v>171</v>
      </c>
      <c r="AR164" s="83" t="s">
        <v>171</v>
      </c>
      <c r="AS164" s="80" t="s">
        <v>171</v>
      </c>
      <c r="AT164" s="80" t="str">
        <f t="shared" si="64"/>
        <v>Distrital</v>
      </c>
      <c r="AU164" s="79" t="s">
        <v>172</v>
      </c>
      <c r="AV164" s="79"/>
      <c r="AW164" s="79"/>
      <c r="AX164" s="79"/>
      <c r="AY164" s="79"/>
      <c r="AZ164" s="79"/>
      <c r="BA164" s="80" t="str">
        <f t="shared" si="65"/>
        <v>Distrital</v>
      </c>
      <c r="BB164" s="79" t="s">
        <v>172</v>
      </c>
      <c r="BC164" s="79"/>
      <c r="BD164" s="79"/>
      <c r="BE164" s="79"/>
      <c r="BF164" s="79"/>
      <c r="BG164" s="79"/>
      <c r="BH164" s="80" t="str">
        <f t="shared" si="66"/>
        <v>Distrital</v>
      </c>
      <c r="BI164" s="79" t="s">
        <v>172</v>
      </c>
      <c r="BJ164" s="79"/>
      <c r="BK164" s="79"/>
      <c r="BL164" s="79"/>
      <c r="BM164" s="79"/>
      <c r="BN164" s="79"/>
      <c r="BO164" s="79"/>
      <c r="BP164" s="79"/>
      <c r="BQ164" s="79"/>
      <c r="BR164" s="79"/>
      <c r="BS164" s="80" t="s">
        <v>288</v>
      </c>
      <c r="BT164" s="80" t="s">
        <v>174</v>
      </c>
      <c r="BU164" s="80" t="s">
        <v>1348</v>
      </c>
      <c r="BV164" s="71"/>
      <c r="BW164" s="79" t="s">
        <v>153</v>
      </c>
      <c r="BX164" s="79" t="s">
        <v>176</v>
      </c>
      <c r="BY164" s="71"/>
      <c r="BZ164" s="79">
        <v>22</v>
      </c>
      <c r="CA164" s="79">
        <v>4</v>
      </c>
      <c r="CB164" s="79">
        <f t="shared" si="25"/>
        <v>26</v>
      </c>
      <c r="CC164" s="79" t="str">
        <f t="shared" si="91"/>
        <v>No Aplica</v>
      </c>
      <c r="CD164" s="79" t="s">
        <v>177</v>
      </c>
      <c r="CE164" s="79"/>
      <c r="CF164" s="79"/>
      <c r="CG164" s="83" t="s">
        <v>1349</v>
      </c>
      <c r="CH164" s="41"/>
      <c r="CI164" s="79" t="s">
        <v>153</v>
      </c>
      <c r="CJ164" s="71"/>
      <c r="CK164" s="79">
        <f t="shared" si="38"/>
        <v>0</v>
      </c>
      <c r="CL164" s="79"/>
      <c r="CM164" s="79"/>
      <c r="CN164" s="79"/>
      <c r="CO164" s="79"/>
      <c r="CP164" s="79"/>
      <c r="CQ164" s="79"/>
      <c r="CR164" s="83" t="s">
        <v>179</v>
      </c>
      <c r="CS164" s="83" t="s">
        <v>179</v>
      </c>
      <c r="CT164" s="83" t="s">
        <v>179</v>
      </c>
      <c r="CU164" s="83" t="s">
        <v>179</v>
      </c>
      <c r="CV164" s="83" t="s">
        <v>179</v>
      </c>
      <c r="CW164" s="83" t="s">
        <v>179</v>
      </c>
      <c r="CX164" s="79" t="s">
        <v>153</v>
      </c>
      <c r="CY164" s="79">
        <f t="shared" si="39"/>
        <v>0</v>
      </c>
      <c r="CZ164" s="79">
        <v>0</v>
      </c>
      <c r="DA164" s="79">
        <f t="shared" si="84"/>
        <v>0</v>
      </c>
      <c r="DB164" s="84" t="str">
        <f t="shared" si="46"/>
        <v/>
      </c>
      <c r="DC164" s="41"/>
      <c r="DD164" s="79" t="s">
        <v>153</v>
      </c>
      <c r="DE164" s="71"/>
      <c r="DF164" s="85" t="s">
        <v>1350</v>
      </c>
      <c r="DG164" s="79">
        <v>157</v>
      </c>
      <c r="DH164" s="86" t="str">
        <f t="shared" si="85"/>
        <v>Completo</v>
      </c>
      <c r="DI164" s="79" t="s">
        <v>181</v>
      </c>
      <c r="DJ164" s="79" t="s">
        <v>182</v>
      </c>
      <c r="DK164" s="79"/>
      <c r="DL164" s="79">
        <v>0</v>
      </c>
      <c r="DM164" s="79">
        <v>0</v>
      </c>
      <c r="DN164" s="79" t="s">
        <v>182</v>
      </c>
      <c r="DO164" s="79"/>
      <c r="DP164" s="79"/>
      <c r="DQ164" s="79"/>
      <c r="DR164" s="75" t="str">
        <f t="shared" si="70"/>
        <v>No aplica</v>
      </c>
      <c r="DS164" s="79"/>
      <c r="DT164" s="79"/>
      <c r="DU164" s="75" t="str">
        <f t="shared" si="71"/>
        <v>No aplica</v>
      </c>
      <c r="DV164" s="79" t="s">
        <v>182</v>
      </c>
      <c r="DW164" s="79" t="s">
        <v>191</v>
      </c>
      <c r="DX164" s="79"/>
      <c r="DY164" s="79"/>
      <c r="DZ164" s="79"/>
      <c r="EA164" s="79"/>
      <c r="EB164" s="79" t="s">
        <v>182</v>
      </c>
      <c r="EC164" s="79" t="s">
        <v>1351</v>
      </c>
      <c r="ED164" s="79" t="s">
        <v>184</v>
      </c>
      <c r="EE164" s="79" t="str">
        <f t="shared" si="94"/>
        <v>Completo</v>
      </c>
      <c r="EF164" s="41"/>
      <c r="EG164" s="79" t="s">
        <v>153</v>
      </c>
      <c r="EH164" s="71"/>
      <c r="EI164" s="80"/>
      <c r="EJ164" s="71"/>
      <c r="EK164" s="79" t="s">
        <v>179</v>
      </c>
      <c r="EL164" s="76" t="str">
        <f t="shared" si="72"/>
        <v>No requiere</v>
      </c>
      <c r="EM164" s="76" t="str">
        <f t="shared" si="73"/>
        <v>No requiere</v>
      </c>
      <c r="EN164" s="76" t="str">
        <f t="shared" si="92"/>
        <v>No requiere</v>
      </c>
      <c r="EO164" s="71"/>
      <c r="EP164" s="73" t="str">
        <f t="shared" si="75"/>
        <v>No requiere</v>
      </c>
      <c r="EQ164" s="77" t="str">
        <f t="shared" si="76"/>
        <v>No requiere</v>
      </c>
      <c r="ER164" s="71"/>
      <c r="ES164" s="79" t="s">
        <v>179</v>
      </c>
      <c r="ET164" s="73" t="str">
        <f t="shared" si="77"/>
        <v>No requiere</v>
      </c>
      <c r="EU164" s="73" t="str">
        <f t="shared" si="93"/>
        <v>No requiere</v>
      </c>
      <c r="EV164" s="73" t="str">
        <f t="shared" si="79"/>
        <v>No requiere</v>
      </c>
      <c r="EW164" s="73" t="str">
        <f t="shared" si="80"/>
        <v>No requiere</v>
      </c>
      <c r="EX164" s="78"/>
      <c r="EY164" s="78"/>
    </row>
    <row r="165" spans="1:155" ht="46.5" customHeight="1">
      <c r="A165" s="79">
        <v>161</v>
      </c>
      <c r="B165" s="80" t="s">
        <v>1352</v>
      </c>
      <c r="C165" s="81">
        <v>45372</v>
      </c>
      <c r="D165" s="82">
        <v>0.375</v>
      </c>
      <c r="E165" s="79" t="s">
        <v>200</v>
      </c>
      <c r="F165" s="79" t="s">
        <v>153</v>
      </c>
      <c r="G165" s="79" t="s">
        <v>152</v>
      </c>
      <c r="H165" s="79" t="s">
        <v>152</v>
      </c>
      <c r="I165" s="79" t="s">
        <v>152</v>
      </c>
      <c r="J165" s="79" t="s">
        <v>211</v>
      </c>
      <c r="K165" s="79" t="s">
        <v>202</v>
      </c>
      <c r="L165" s="80" t="s">
        <v>1353</v>
      </c>
      <c r="M165" s="80" t="s">
        <v>624</v>
      </c>
      <c r="N165" s="79" t="s">
        <v>888</v>
      </c>
      <c r="O165" s="80" t="str">
        <f t="shared" si="63"/>
        <v/>
      </c>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t="s">
        <v>230</v>
      </c>
      <c r="AP165" s="79" t="s">
        <v>242</v>
      </c>
      <c r="AQ165" s="80" t="s">
        <v>1354</v>
      </c>
      <c r="AR165" s="83">
        <v>3212029774</v>
      </c>
      <c r="AS165" s="80" t="s">
        <v>1355</v>
      </c>
      <c r="AT165" s="80" t="str">
        <f t="shared" si="64"/>
        <v>Distrital</v>
      </c>
      <c r="AU165" s="79" t="s">
        <v>172</v>
      </c>
      <c r="AV165" s="79"/>
      <c r="AW165" s="79"/>
      <c r="AX165" s="79"/>
      <c r="AY165" s="79"/>
      <c r="AZ165" s="79"/>
      <c r="BA165" s="80" t="str">
        <f t="shared" si="65"/>
        <v>Distrital</v>
      </c>
      <c r="BB165" s="79" t="s">
        <v>172</v>
      </c>
      <c r="BC165" s="79"/>
      <c r="BD165" s="79"/>
      <c r="BE165" s="79"/>
      <c r="BF165" s="79"/>
      <c r="BG165" s="79"/>
      <c r="BH165" s="80" t="str">
        <f t="shared" si="66"/>
        <v>Distrital</v>
      </c>
      <c r="BI165" s="79" t="s">
        <v>172</v>
      </c>
      <c r="BJ165" s="79"/>
      <c r="BK165" s="79"/>
      <c r="BL165" s="79"/>
      <c r="BM165" s="79"/>
      <c r="BN165" s="79"/>
      <c r="BO165" s="79"/>
      <c r="BP165" s="79"/>
      <c r="BQ165" s="79"/>
      <c r="BR165" s="79"/>
      <c r="BS165" s="80" t="s">
        <v>288</v>
      </c>
      <c r="BT165" s="80" t="s">
        <v>174</v>
      </c>
      <c r="BU165" s="89" t="s">
        <v>1356</v>
      </c>
      <c r="BV165" s="71"/>
      <c r="BW165" s="79" t="s">
        <v>152</v>
      </c>
      <c r="BX165" s="79" t="s">
        <v>179</v>
      </c>
      <c r="BY165" s="71"/>
      <c r="BZ165" s="79">
        <v>31</v>
      </c>
      <c r="CA165" s="79">
        <v>1</v>
      </c>
      <c r="CB165" s="79">
        <f t="shared" si="25"/>
        <v>32</v>
      </c>
      <c r="CC165" s="79" t="str">
        <f t="shared" si="91"/>
        <v>No Aplica</v>
      </c>
      <c r="CD165" s="79" t="s">
        <v>177</v>
      </c>
      <c r="CE165" s="79"/>
      <c r="CF165" s="79"/>
      <c r="CG165" s="83" t="s">
        <v>1357</v>
      </c>
      <c r="CH165" s="41"/>
      <c r="CI165" s="79" t="s">
        <v>153</v>
      </c>
      <c r="CJ165" s="71"/>
      <c r="CK165" s="79">
        <f t="shared" si="38"/>
        <v>0</v>
      </c>
      <c r="CL165" s="79"/>
      <c r="CM165" s="79"/>
      <c r="CN165" s="79"/>
      <c r="CO165" s="79"/>
      <c r="CP165" s="79"/>
      <c r="CQ165" s="79"/>
      <c r="CR165" s="83" t="s">
        <v>179</v>
      </c>
      <c r="CS165" s="83" t="s">
        <v>179</v>
      </c>
      <c r="CT165" s="83" t="s">
        <v>179</v>
      </c>
      <c r="CU165" s="83" t="s">
        <v>179</v>
      </c>
      <c r="CV165" s="83" t="s">
        <v>179</v>
      </c>
      <c r="CW165" s="83" t="s">
        <v>179</v>
      </c>
      <c r="CX165" s="79" t="s">
        <v>153</v>
      </c>
      <c r="CY165" s="79">
        <f t="shared" si="39"/>
        <v>0</v>
      </c>
      <c r="CZ165" s="79">
        <v>0</v>
      </c>
      <c r="DA165" s="79">
        <f t="shared" si="84"/>
        <v>0</v>
      </c>
      <c r="DB165" s="84" t="str">
        <f t="shared" si="46"/>
        <v/>
      </c>
      <c r="DC165" s="41"/>
      <c r="DD165" s="79" t="s">
        <v>153</v>
      </c>
      <c r="DE165" s="71"/>
      <c r="DF165" s="85" t="s">
        <v>1358</v>
      </c>
      <c r="DG165" s="79">
        <v>158</v>
      </c>
      <c r="DH165" s="86" t="str">
        <f t="shared" si="85"/>
        <v>Completo</v>
      </c>
      <c r="DI165" s="79" t="s">
        <v>181</v>
      </c>
      <c r="DJ165" s="79" t="s">
        <v>182</v>
      </c>
      <c r="DK165" s="79"/>
      <c r="DL165" s="79"/>
      <c r="DM165" s="79"/>
      <c r="DN165" s="79" t="s">
        <v>182</v>
      </c>
      <c r="DO165" s="79"/>
      <c r="DP165" s="79"/>
      <c r="DQ165" s="79"/>
      <c r="DR165" s="75" t="str">
        <f t="shared" si="70"/>
        <v>No aplica</v>
      </c>
      <c r="DS165" s="79"/>
      <c r="DT165" s="79"/>
      <c r="DU165" s="75" t="str">
        <f t="shared" si="71"/>
        <v>No aplica</v>
      </c>
      <c r="DV165" s="79" t="s">
        <v>182</v>
      </c>
      <c r="DW165" s="79" t="s">
        <v>182</v>
      </c>
      <c r="DX165" s="79"/>
      <c r="DY165" s="79"/>
      <c r="DZ165" s="79"/>
      <c r="EA165" s="79"/>
      <c r="EB165" s="79" t="s">
        <v>182</v>
      </c>
      <c r="EC165" s="79" t="s">
        <v>1359</v>
      </c>
      <c r="ED165" s="79" t="s">
        <v>184</v>
      </c>
      <c r="EE165" s="79" t="str">
        <f t="shared" si="94"/>
        <v>Completo</v>
      </c>
      <c r="EF165" s="41"/>
      <c r="EG165" s="79" t="s">
        <v>153</v>
      </c>
      <c r="EH165" s="71"/>
      <c r="EI165" s="80"/>
      <c r="EJ165" s="71"/>
      <c r="EK165" s="79" t="s">
        <v>179</v>
      </c>
      <c r="EL165" s="76" t="str">
        <f t="shared" si="72"/>
        <v>No requiere</v>
      </c>
      <c r="EM165" s="76" t="str">
        <f t="shared" si="73"/>
        <v>No requiere</v>
      </c>
      <c r="EN165" s="76" t="str">
        <f t="shared" si="92"/>
        <v>No requiere</v>
      </c>
      <c r="EO165" s="71"/>
      <c r="EP165" s="73" t="str">
        <f t="shared" si="75"/>
        <v>No requiere</v>
      </c>
      <c r="EQ165" s="77" t="str">
        <f t="shared" si="76"/>
        <v>No requiere</v>
      </c>
      <c r="ER165" s="71"/>
      <c r="ES165" s="79" t="s">
        <v>179</v>
      </c>
      <c r="ET165" s="73" t="str">
        <f t="shared" si="77"/>
        <v>No requiere</v>
      </c>
      <c r="EU165" s="73" t="str">
        <f t="shared" si="93"/>
        <v>No requiere</v>
      </c>
      <c r="EV165" s="73" t="str">
        <f t="shared" si="79"/>
        <v>No requiere</v>
      </c>
      <c r="EW165" s="73" t="str">
        <f t="shared" si="80"/>
        <v>No requiere</v>
      </c>
      <c r="EX165" s="78"/>
      <c r="EY165" s="78"/>
    </row>
    <row r="166" spans="1:155" ht="46.5" customHeight="1">
      <c r="A166" s="79">
        <v>162</v>
      </c>
      <c r="B166" s="80" t="s">
        <v>1360</v>
      </c>
      <c r="C166" s="81">
        <v>45372</v>
      </c>
      <c r="D166" s="82">
        <v>0.41666666666666669</v>
      </c>
      <c r="E166" s="79" t="s">
        <v>200</v>
      </c>
      <c r="F166" s="79" t="s">
        <v>153</v>
      </c>
      <c r="G166" s="79" t="s">
        <v>152</v>
      </c>
      <c r="H166" s="79" t="s">
        <v>152</v>
      </c>
      <c r="I166" s="79" t="s">
        <v>152</v>
      </c>
      <c r="J166" s="79" t="s">
        <v>504</v>
      </c>
      <c r="K166" s="79" t="s">
        <v>155</v>
      </c>
      <c r="L166" s="80" t="s">
        <v>1361</v>
      </c>
      <c r="M166" s="80" t="s">
        <v>157</v>
      </c>
      <c r="N166" s="79" t="s">
        <v>862</v>
      </c>
      <c r="O166" s="80" t="str">
        <f t="shared" si="63"/>
        <v/>
      </c>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t="s">
        <v>169</v>
      </c>
      <c r="AP166" s="79" t="s">
        <v>507</v>
      </c>
      <c r="AQ166" s="80" t="s">
        <v>1362</v>
      </c>
      <c r="AR166" s="83" t="s">
        <v>1363</v>
      </c>
      <c r="AS166" s="80" t="s">
        <v>1364</v>
      </c>
      <c r="AT166" s="80" t="str">
        <f t="shared" si="64"/>
        <v>Tunjuelito</v>
      </c>
      <c r="AU166" s="79" t="s">
        <v>937</v>
      </c>
      <c r="AV166" s="79"/>
      <c r="AW166" s="79"/>
      <c r="AX166" s="79"/>
      <c r="AY166" s="79"/>
      <c r="AZ166" s="79"/>
      <c r="BA166" s="80" t="str">
        <f t="shared" si="65"/>
        <v>Suroriente</v>
      </c>
      <c r="BB166" s="79" t="s">
        <v>218</v>
      </c>
      <c r="BC166" s="79"/>
      <c r="BD166" s="79"/>
      <c r="BE166" s="79"/>
      <c r="BF166" s="79"/>
      <c r="BG166" s="79"/>
      <c r="BH166" s="80" t="str">
        <f t="shared" si="66"/>
        <v>Tunjuelito, Arborizadora</v>
      </c>
      <c r="BI166" s="79" t="s">
        <v>937</v>
      </c>
      <c r="BJ166" s="79" t="s">
        <v>220</v>
      </c>
      <c r="BK166" s="79"/>
      <c r="BL166" s="79"/>
      <c r="BM166" s="79"/>
      <c r="BN166" s="79"/>
      <c r="BO166" s="79"/>
      <c r="BP166" s="79"/>
      <c r="BQ166" s="79"/>
      <c r="BR166" s="79"/>
      <c r="BS166" s="80" t="s">
        <v>288</v>
      </c>
      <c r="BT166" s="80" t="s">
        <v>174</v>
      </c>
      <c r="BU166" s="92" t="s">
        <v>1365</v>
      </c>
      <c r="BV166" s="71"/>
      <c r="BW166" s="79" t="s">
        <v>152</v>
      </c>
      <c r="BX166" s="79" t="s">
        <v>179</v>
      </c>
      <c r="BY166" s="71"/>
      <c r="BZ166" s="79">
        <v>13</v>
      </c>
      <c r="CA166" s="79">
        <v>1</v>
      </c>
      <c r="CB166" s="79">
        <f t="shared" si="25"/>
        <v>14</v>
      </c>
      <c r="CC166" s="79" t="str">
        <f t="shared" si="91"/>
        <v>No Aplica</v>
      </c>
      <c r="CD166" s="79" t="s">
        <v>177</v>
      </c>
      <c r="CE166" s="79"/>
      <c r="CF166" s="79"/>
      <c r="CG166" s="83" t="s">
        <v>1366</v>
      </c>
      <c r="CH166" s="41"/>
      <c r="CI166" s="79" t="s">
        <v>153</v>
      </c>
      <c r="CJ166" s="71"/>
      <c r="CK166" s="79">
        <f t="shared" si="38"/>
        <v>0</v>
      </c>
      <c r="CL166" s="79"/>
      <c r="CM166" s="79"/>
      <c r="CN166" s="79"/>
      <c r="CO166" s="79"/>
      <c r="CP166" s="79"/>
      <c r="CQ166" s="79"/>
      <c r="CR166" s="83" t="s">
        <v>179</v>
      </c>
      <c r="CS166" s="83" t="s">
        <v>179</v>
      </c>
      <c r="CT166" s="83" t="s">
        <v>179</v>
      </c>
      <c r="CU166" s="83" t="s">
        <v>179</v>
      </c>
      <c r="CV166" s="83" t="s">
        <v>179</v>
      </c>
      <c r="CW166" s="83" t="s">
        <v>179</v>
      </c>
      <c r="CX166" s="79" t="s">
        <v>153</v>
      </c>
      <c r="CY166" s="79">
        <f t="shared" si="39"/>
        <v>0</v>
      </c>
      <c r="CZ166" s="79">
        <v>0</v>
      </c>
      <c r="DA166" s="79">
        <f t="shared" si="84"/>
        <v>0</v>
      </c>
      <c r="DB166" s="84" t="str">
        <f t="shared" si="46"/>
        <v/>
      </c>
      <c r="DC166" s="41"/>
      <c r="DD166" s="79" t="s">
        <v>153</v>
      </c>
      <c r="DE166" s="71"/>
      <c r="DF166" s="85" t="s">
        <v>1367</v>
      </c>
      <c r="DG166" s="79">
        <v>159</v>
      </c>
      <c r="DH166" s="86" t="str">
        <f t="shared" si="85"/>
        <v>Completo</v>
      </c>
      <c r="DI166" s="79" t="s">
        <v>181</v>
      </c>
      <c r="DJ166" s="79" t="s">
        <v>182</v>
      </c>
      <c r="DK166" s="79"/>
      <c r="DL166" s="79">
        <v>0</v>
      </c>
      <c r="DM166" s="79">
        <v>0</v>
      </c>
      <c r="DN166" s="79" t="s">
        <v>182</v>
      </c>
      <c r="DO166" s="79"/>
      <c r="DP166" s="79"/>
      <c r="DQ166" s="79"/>
      <c r="DR166" s="75" t="str">
        <f t="shared" si="70"/>
        <v>No aplica</v>
      </c>
      <c r="DS166" s="79"/>
      <c r="DT166" s="79"/>
      <c r="DU166" s="75" t="str">
        <f t="shared" si="71"/>
        <v>No aplica</v>
      </c>
      <c r="DV166" s="79" t="s">
        <v>182</v>
      </c>
      <c r="DW166" s="79" t="s">
        <v>182</v>
      </c>
      <c r="DX166" s="79"/>
      <c r="DY166" s="79"/>
      <c r="DZ166" s="79"/>
      <c r="EA166" s="79"/>
      <c r="EB166" s="79" t="s">
        <v>182</v>
      </c>
      <c r="EC166" s="79"/>
      <c r="ED166" s="79" t="s">
        <v>184</v>
      </c>
      <c r="EE166" s="79" t="str">
        <f t="shared" si="94"/>
        <v>Completo</v>
      </c>
      <c r="EF166" s="41"/>
      <c r="EG166" s="79" t="s">
        <v>153</v>
      </c>
      <c r="EH166" s="71"/>
      <c r="EI166" s="80"/>
      <c r="EJ166" s="71"/>
      <c r="EK166" s="79" t="s">
        <v>179</v>
      </c>
      <c r="EL166" s="76" t="str">
        <f t="shared" si="72"/>
        <v>No requiere</v>
      </c>
      <c r="EM166" s="76" t="str">
        <f t="shared" si="73"/>
        <v>No requiere</v>
      </c>
      <c r="EN166" s="76" t="str">
        <f t="shared" si="92"/>
        <v>No requiere</v>
      </c>
      <c r="EO166" s="71"/>
      <c r="EP166" s="73" t="str">
        <f t="shared" si="75"/>
        <v>No requiere</v>
      </c>
      <c r="EQ166" s="77" t="str">
        <f t="shared" si="76"/>
        <v>No requiere</v>
      </c>
      <c r="ER166" s="71"/>
      <c r="ES166" s="79" t="s">
        <v>179</v>
      </c>
      <c r="ET166" s="73" t="str">
        <f t="shared" si="77"/>
        <v>No requiere</v>
      </c>
      <c r="EU166" s="73" t="str">
        <f t="shared" si="93"/>
        <v>No requiere</v>
      </c>
      <c r="EV166" s="73" t="str">
        <f t="shared" si="79"/>
        <v>No requiere</v>
      </c>
      <c r="EW166" s="73" t="str">
        <f t="shared" si="80"/>
        <v>No requiere</v>
      </c>
      <c r="EX166" s="78"/>
      <c r="EY166" s="78"/>
    </row>
    <row r="167" spans="1:155" ht="46.5" customHeight="1">
      <c r="A167" s="79" t="str">
        <v/>
      </c>
      <c r="B167" s="80" t="s">
        <v>1368</v>
      </c>
      <c r="C167" s="81">
        <v>45372</v>
      </c>
      <c r="D167" s="82">
        <v>0.58333333333333337</v>
      </c>
      <c r="E167" s="79" t="s">
        <v>151</v>
      </c>
      <c r="F167" s="79" t="s">
        <v>152</v>
      </c>
      <c r="G167" s="79" t="s">
        <v>152</v>
      </c>
      <c r="H167" s="79" t="s">
        <v>152</v>
      </c>
      <c r="I167" s="79" t="s">
        <v>152</v>
      </c>
      <c r="J167" s="79" t="s">
        <v>154</v>
      </c>
      <c r="K167" s="79" t="s">
        <v>155</v>
      </c>
      <c r="L167" s="80" t="s">
        <v>1369</v>
      </c>
      <c r="M167" s="80" t="s">
        <v>157</v>
      </c>
      <c r="N167" s="79" t="s">
        <v>645</v>
      </c>
      <c r="O167" s="80" t="str">
        <f t="shared" si="63"/>
        <v/>
      </c>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t="s">
        <v>304</v>
      </c>
      <c r="AP167" s="79"/>
      <c r="AQ167" s="80" t="s">
        <v>1370</v>
      </c>
      <c r="AR167" s="80" t="s">
        <v>1371</v>
      </c>
      <c r="AS167" s="80" t="s">
        <v>1372</v>
      </c>
      <c r="AT167" s="80" t="str">
        <f t="shared" si="64"/>
        <v>Usme</v>
      </c>
      <c r="AU167" s="79" t="s">
        <v>1009</v>
      </c>
      <c r="AV167" s="79"/>
      <c r="AW167" s="79"/>
      <c r="AX167" s="79"/>
      <c r="AY167" s="79"/>
      <c r="AZ167" s="79"/>
      <c r="BA167" s="80" t="str">
        <f t="shared" si="65"/>
        <v>Ruralidad</v>
      </c>
      <c r="BB167" s="79" t="s">
        <v>219</v>
      </c>
      <c r="BC167" s="79"/>
      <c r="BD167" s="79"/>
      <c r="BE167" s="79"/>
      <c r="BF167" s="79"/>
      <c r="BG167" s="79"/>
      <c r="BH167" s="80" t="str">
        <f t="shared" si="66"/>
        <v>Cuenca del Tunjuelo</v>
      </c>
      <c r="BI167" s="79" t="s">
        <v>222</v>
      </c>
      <c r="BJ167" s="79"/>
      <c r="BK167" s="79"/>
      <c r="BL167" s="79"/>
      <c r="BM167" s="79"/>
      <c r="BN167" s="79"/>
      <c r="BO167" s="79"/>
      <c r="BP167" s="79"/>
      <c r="BQ167" s="79"/>
      <c r="BR167" s="79"/>
      <c r="BS167" s="80" t="s">
        <v>1373</v>
      </c>
      <c r="BT167" s="80" t="s">
        <v>174</v>
      </c>
      <c r="BU167" s="80" t="s">
        <v>1374</v>
      </c>
      <c r="BV167" s="71"/>
      <c r="BW167" s="79" t="s">
        <v>153</v>
      </c>
      <c r="BX167" s="79" t="s">
        <v>176</v>
      </c>
      <c r="BY167" s="71"/>
      <c r="BZ167" s="79">
        <v>150</v>
      </c>
      <c r="CA167" s="79">
        <v>1</v>
      </c>
      <c r="CB167" s="79">
        <f t="shared" si="25"/>
        <v>151</v>
      </c>
      <c r="CC167" s="79" t="str">
        <f t="shared" si="91"/>
        <v>No Aplica</v>
      </c>
      <c r="CD167" s="79" t="s">
        <v>177</v>
      </c>
      <c r="CE167" s="79"/>
      <c r="CF167" s="79"/>
      <c r="CG167" s="83" t="s">
        <v>154</v>
      </c>
      <c r="CH167" s="41"/>
      <c r="CI167" s="79" t="s">
        <v>153</v>
      </c>
      <c r="CJ167" s="71"/>
      <c r="CK167" s="79">
        <f t="shared" si="38"/>
        <v>0</v>
      </c>
      <c r="CL167" s="79"/>
      <c r="CM167" s="79"/>
      <c r="CN167" s="79"/>
      <c r="CO167" s="79"/>
      <c r="CP167" s="79"/>
      <c r="CQ167" s="79"/>
      <c r="CR167" s="83" t="s">
        <v>179</v>
      </c>
      <c r="CS167" s="83" t="s">
        <v>179</v>
      </c>
      <c r="CT167" s="83" t="s">
        <v>179</v>
      </c>
      <c r="CU167" s="83" t="s">
        <v>179</v>
      </c>
      <c r="CV167" s="83" t="s">
        <v>179</v>
      </c>
      <c r="CW167" s="83" t="s">
        <v>179</v>
      </c>
      <c r="CX167" s="79" t="s">
        <v>153</v>
      </c>
      <c r="CY167" s="79">
        <f t="shared" si="39"/>
        <v>0</v>
      </c>
      <c r="CZ167" s="79">
        <v>0</v>
      </c>
      <c r="DA167" s="79">
        <f t="shared" si="84"/>
        <v>0</v>
      </c>
      <c r="DB167" s="84" t="str">
        <f t="shared" si="46"/>
        <v/>
      </c>
      <c r="DC167" s="41"/>
      <c r="DD167" s="79" t="s">
        <v>153</v>
      </c>
      <c r="DE167" s="71"/>
      <c r="DF167" s="127" t="s">
        <v>1375</v>
      </c>
      <c r="DG167" s="79">
        <v>160</v>
      </c>
      <c r="DH167" s="86" t="str">
        <f t="shared" si="85"/>
        <v>Completo</v>
      </c>
      <c r="DI167" s="79" t="s">
        <v>181</v>
      </c>
      <c r="DJ167" s="79" t="s">
        <v>182</v>
      </c>
      <c r="DK167" s="79"/>
      <c r="DL167" s="79"/>
      <c r="DM167" s="79"/>
      <c r="DN167" s="79" t="s">
        <v>179</v>
      </c>
      <c r="DO167" s="79"/>
      <c r="DP167" s="79"/>
      <c r="DQ167" s="79"/>
      <c r="DR167" s="75" t="str">
        <f t="shared" si="70"/>
        <v>No aplica</v>
      </c>
      <c r="DS167" s="79"/>
      <c r="DT167" s="79"/>
      <c r="DU167" s="75" t="str">
        <f t="shared" si="71"/>
        <v>No aplica</v>
      </c>
      <c r="DV167" s="79" t="s">
        <v>182</v>
      </c>
      <c r="DW167" s="79" t="s">
        <v>179</v>
      </c>
      <c r="DX167" s="79"/>
      <c r="DY167" s="79"/>
      <c r="DZ167" s="79"/>
      <c r="EA167" s="79"/>
      <c r="EB167" s="79"/>
      <c r="EC167" s="79"/>
      <c r="ED167" s="79" t="s">
        <v>1376</v>
      </c>
      <c r="EE167" s="79" t="str">
        <f t="shared" si="94"/>
        <v>Completo</v>
      </c>
      <c r="EF167" s="41"/>
      <c r="EG167" s="79" t="s">
        <v>153</v>
      </c>
      <c r="EH167" s="71"/>
      <c r="EI167" s="80"/>
      <c r="EJ167" s="71"/>
      <c r="EK167" s="79" t="s">
        <v>179</v>
      </c>
      <c r="EL167" s="76" t="str">
        <f t="shared" si="72"/>
        <v>No requiere</v>
      </c>
      <c r="EM167" s="76" t="str">
        <f t="shared" si="73"/>
        <v>No requiere</v>
      </c>
      <c r="EN167" s="76" t="str">
        <f t="shared" si="92"/>
        <v>No requiere</v>
      </c>
      <c r="EO167" s="71"/>
      <c r="EP167" s="73" t="str">
        <f t="shared" si="75"/>
        <v>No requiere</v>
      </c>
      <c r="EQ167" s="77" t="str">
        <f t="shared" si="76"/>
        <v>No requiere</v>
      </c>
      <c r="ER167" s="71"/>
      <c r="ES167" s="79" t="s">
        <v>179</v>
      </c>
      <c r="ET167" s="73" t="str">
        <f t="shared" si="77"/>
        <v>No requiere</v>
      </c>
      <c r="EU167" s="73" t="str">
        <f t="shared" si="93"/>
        <v>No requiere</v>
      </c>
      <c r="EV167" s="73" t="str">
        <f t="shared" si="79"/>
        <v>No requiere</v>
      </c>
      <c r="EW167" s="73" t="str">
        <f t="shared" si="80"/>
        <v>No requiere</v>
      </c>
      <c r="EX167" s="78"/>
      <c r="EY167" s="78"/>
    </row>
    <row r="168" spans="1:155" ht="46.5" customHeight="1">
      <c r="A168" s="79">
        <v>164</v>
      </c>
      <c r="B168" s="80" t="s">
        <v>1279</v>
      </c>
      <c r="C168" s="81">
        <v>45372</v>
      </c>
      <c r="D168" s="82">
        <v>0.625</v>
      </c>
      <c r="E168" s="79" t="s">
        <v>853</v>
      </c>
      <c r="F168" s="79" t="s">
        <v>153</v>
      </c>
      <c r="G168" s="79" t="s">
        <v>152</v>
      </c>
      <c r="H168" s="79" t="s">
        <v>152</v>
      </c>
      <c r="I168" s="79" t="s">
        <v>152</v>
      </c>
      <c r="J168" s="79" t="s">
        <v>154</v>
      </c>
      <c r="K168" s="79" t="s">
        <v>155</v>
      </c>
      <c r="L168" s="80" t="s">
        <v>1377</v>
      </c>
      <c r="M168" s="80" t="s">
        <v>157</v>
      </c>
      <c r="N168" s="79" t="s">
        <v>1066</v>
      </c>
      <c r="O168" s="80" t="str">
        <f t="shared" si="63"/>
        <v/>
      </c>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t="s">
        <v>304</v>
      </c>
      <c r="AP168" s="79"/>
      <c r="AQ168" s="80" t="s">
        <v>1281</v>
      </c>
      <c r="AR168" s="83" t="s">
        <v>1282</v>
      </c>
      <c r="AS168" s="80" t="s">
        <v>1283</v>
      </c>
      <c r="AT168" s="80" t="str">
        <f t="shared" si="64"/>
        <v>Suba</v>
      </c>
      <c r="AU168" s="79" t="s">
        <v>602</v>
      </c>
      <c r="AV168" s="79"/>
      <c r="AW168" s="79"/>
      <c r="AX168" s="79"/>
      <c r="AY168" s="79"/>
      <c r="AZ168" s="79"/>
      <c r="BA168" s="80" t="str">
        <f t="shared" si="65"/>
        <v>Noroccidente, Norte</v>
      </c>
      <c r="BB168" s="79" t="s">
        <v>603</v>
      </c>
      <c r="BC168" s="79" t="s">
        <v>662</v>
      </c>
      <c r="BD168" s="79"/>
      <c r="BE168" s="79"/>
      <c r="BF168" s="79"/>
      <c r="BG168" s="79"/>
      <c r="BH168" s="80" t="str">
        <f t="shared" si="66"/>
        <v>Suba, Suba Rincón, Tibabuyes, Niza, Britalia, Torca</v>
      </c>
      <c r="BI168" s="79" t="s">
        <v>602</v>
      </c>
      <c r="BJ168" s="79" t="s">
        <v>604</v>
      </c>
      <c r="BK168" s="79" t="s">
        <v>1378</v>
      </c>
      <c r="BL168" s="79" t="s">
        <v>865</v>
      </c>
      <c r="BM168" s="79" t="s">
        <v>1313</v>
      </c>
      <c r="BN168" s="79" t="s">
        <v>805</v>
      </c>
      <c r="BO168" s="79"/>
      <c r="BP168" s="79"/>
      <c r="BQ168" s="79"/>
      <c r="BR168" s="79"/>
      <c r="BS168" s="80" t="s">
        <v>1379</v>
      </c>
      <c r="BT168" s="80" t="s">
        <v>174</v>
      </c>
      <c r="BU168" s="80" t="s">
        <v>1380</v>
      </c>
      <c r="BV168" s="71"/>
      <c r="BW168" s="79" t="s">
        <v>152</v>
      </c>
      <c r="BX168" s="79" t="s">
        <v>179</v>
      </c>
      <c r="BY168" s="71"/>
      <c r="BZ168" s="79">
        <v>15</v>
      </c>
      <c r="CA168" s="79">
        <v>7</v>
      </c>
      <c r="CB168" s="79">
        <f t="shared" ref="CB168" si="95">BZ168+CA168</f>
        <v>22</v>
      </c>
      <c r="CC168" s="79" t="str">
        <f t="shared" ref="CC168" si="96">_xlfn.TEXTJOIN(", ",TRUE,$CD168:$CF168)</f>
        <v>Ninguna</v>
      </c>
      <c r="CD168" s="79" t="s">
        <v>174</v>
      </c>
      <c r="CE168" s="79"/>
      <c r="CF168" s="79"/>
      <c r="CG168" s="83" t="s">
        <v>1381</v>
      </c>
      <c r="CH168" s="41"/>
      <c r="CI168" s="79"/>
      <c r="CJ168" s="71"/>
      <c r="CK168" s="79">
        <f t="shared" si="38"/>
        <v>0</v>
      </c>
      <c r="CL168" s="79"/>
      <c r="CM168" s="79"/>
      <c r="CN168" s="79"/>
      <c r="CO168" s="79"/>
      <c r="CP168" s="79"/>
      <c r="CQ168" s="79"/>
      <c r="CR168" s="83" t="s">
        <v>179</v>
      </c>
      <c r="CS168" s="83" t="s">
        <v>179</v>
      </c>
      <c r="CT168" s="83" t="s">
        <v>179</v>
      </c>
      <c r="CU168" s="83" t="s">
        <v>179</v>
      </c>
      <c r="CV168" s="83" t="s">
        <v>179</v>
      </c>
      <c r="CW168" s="83" t="s">
        <v>179</v>
      </c>
      <c r="CX168" s="79" t="s">
        <v>153</v>
      </c>
      <c r="CY168" s="79">
        <f t="shared" ref="CY168" si="97">SUM(COUNTIF(CR168:CW168,"Realizado y Devuelto a la Ciudadanía"),COUNTIF(CR168:CW168,"Realizado y Trasladado por competencia"), COUNTIF(CR168:CW168,"Realizado y Gestionado"))</f>
        <v>0</v>
      </c>
      <c r="CZ168" s="79">
        <v>0</v>
      </c>
      <c r="DA168" s="79">
        <f t="shared" ref="DA168" si="98">COUNTIF(CR168:CW168,"Realizado y Devuelto a la Ciudadanía")</f>
        <v>0</v>
      </c>
      <c r="DB168" s="84" t="str">
        <f t="shared" ref="DB168" si="99">IFERROR(CY168/CK168,"")</f>
        <v/>
      </c>
      <c r="DC168" s="41"/>
      <c r="DD168" s="79" t="s">
        <v>153</v>
      </c>
      <c r="DE168" s="71"/>
      <c r="DF168" s="127" t="s">
        <v>1382</v>
      </c>
      <c r="DG168" s="79" t="s">
        <v>1383</v>
      </c>
      <c r="DH168" s="86" t="str">
        <f t="shared" si="85"/>
        <v>Completo</v>
      </c>
      <c r="DI168" s="79" t="s">
        <v>181</v>
      </c>
      <c r="DJ168" s="79" t="s">
        <v>182</v>
      </c>
      <c r="DL168" s="79">
        <v>0</v>
      </c>
      <c r="DM168" s="79">
        <v>0</v>
      </c>
      <c r="DN168" s="79" t="s">
        <v>182</v>
      </c>
      <c r="DO168" s="79"/>
      <c r="DP168" s="79"/>
      <c r="DQ168" s="79"/>
      <c r="DR168" s="75" t="str">
        <f t="shared" si="70"/>
        <v>No aplica</v>
      </c>
      <c r="DS168" s="79"/>
      <c r="DT168" s="79"/>
      <c r="DU168" s="75" t="str">
        <f t="shared" si="71"/>
        <v>No aplica</v>
      </c>
      <c r="DV168" s="79" t="s">
        <v>182</v>
      </c>
      <c r="DW168" s="79" t="s">
        <v>182</v>
      </c>
      <c r="DX168" s="79"/>
      <c r="DY168" s="79"/>
      <c r="DZ168" s="79"/>
      <c r="EA168" s="79"/>
      <c r="EB168" s="79"/>
      <c r="EC168" s="79"/>
      <c r="ED168" s="79" t="s">
        <v>1384</v>
      </c>
      <c r="EE168" s="79" t="s">
        <v>1385</v>
      </c>
      <c r="EF168" s="41"/>
      <c r="EG168" s="79" t="s">
        <v>153</v>
      </c>
      <c r="EH168" s="71"/>
      <c r="EI168" s="80"/>
      <c r="EJ168" s="71"/>
      <c r="EK168" s="79"/>
      <c r="EL168" s="87" t="str">
        <f t="shared" si="72"/>
        <v>No requiere</v>
      </c>
      <c r="EM168" s="87" t="str">
        <f t="shared" si="73"/>
        <v>No requiere</v>
      </c>
      <c r="EN168" s="87" t="str">
        <f t="shared" ref="EN168" si="100">IF(F168="NO","No requiere",IF(H168="No","No requiere",IF(CC168="","",IF(CD168&lt;&gt;"No aplica",IF(CD168&lt;&gt;"Ninguna",IF(COUNTIF(CD168:CF168,"*")&gt;=1,"Sí","No"),"No"),"No aplica"))))</f>
        <v>No requiere</v>
      </c>
      <c r="EO168" s="71"/>
      <c r="EP168" s="84" t="str">
        <f t="shared" si="75"/>
        <v>No requiere</v>
      </c>
      <c r="EQ168" s="88" t="str">
        <f t="shared" si="76"/>
        <v>No requiere</v>
      </c>
      <c r="ER168" s="71"/>
      <c r="ES168" s="79"/>
      <c r="ET168" s="84" t="str">
        <f t="shared" si="77"/>
        <v>No requiere</v>
      </c>
      <c r="EU168" s="84" t="str">
        <f t="shared" ref="EU168" si="101">IF(F168="NO","No requiere",IF(H168="No","No requiere",IF(B168="","",IF(CX168="SÍ",IF(CK168&gt;=1,CY168/CK168,"Sin compromisos"),"Por verificar"))))</f>
        <v>No requiere</v>
      </c>
      <c r="EV168" s="84" t="str">
        <f t="shared" si="79"/>
        <v>No requiere</v>
      </c>
      <c r="EW168" s="84" t="str">
        <f t="shared" si="80"/>
        <v>No requiere</v>
      </c>
      <c r="EX168" s="78"/>
      <c r="EY168" s="78"/>
    </row>
    <row r="169" spans="1:155" ht="46.5" customHeight="1">
      <c r="A169" s="79">
        <v>165</v>
      </c>
      <c r="B169" s="80" t="s">
        <v>1386</v>
      </c>
      <c r="C169" s="81">
        <v>45372</v>
      </c>
      <c r="D169" s="82">
        <v>0.625</v>
      </c>
      <c r="E169" s="79" t="s">
        <v>151</v>
      </c>
      <c r="F169" s="79" t="s">
        <v>153</v>
      </c>
      <c r="G169" s="79" t="s">
        <v>153</v>
      </c>
      <c r="H169" s="79" t="s">
        <v>153</v>
      </c>
      <c r="I169" s="79" t="s">
        <v>152</v>
      </c>
      <c r="J169" s="79" t="s">
        <v>154</v>
      </c>
      <c r="K169" s="79" t="s">
        <v>155</v>
      </c>
      <c r="L169" s="80" t="s">
        <v>600</v>
      </c>
      <c r="M169" s="80" t="s">
        <v>303</v>
      </c>
      <c r="N169" s="79" t="s">
        <v>862</v>
      </c>
      <c r="O169" s="80" t="str">
        <f t="shared" si="63"/>
        <v>Sebastian Potes Buitrago, Maria Alejandra Castañeda, William Jair Gil, Michael Cruz Roa, Luis Fernando Barreto , Paola Andrea González, Renata Rengifo Moyano, Laura Sofia Morales, Norberto Muñoz Morera, Juan Pablo Serna, Reinaldo Terrios Andrade, Armando Alberto Montañez, Manuel Fernando Vergara, Maria Angélica Higuera</v>
      </c>
      <c r="P169" s="79" t="s">
        <v>545</v>
      </c>
      <c r="Q169" s="79" t="s">
        <v>494</v>
      </c>
      <c r="R169" s="79" t="s">
        <v>862</v>
      </c>
      <c r="S169" s="79" t="s">
        <v>265</v>
      </c>
      <c r="T169" s="79" t="s">
        <v>720</v>
      </c>
      <c r="U169" s="79" t="s">
        <v>924</v>
      </c>
      <c r="V169" s="79" t="s">
        <v>1066</v>
      </c>
      <c r="W169" s="79" t="s">
        <v>506</v>
      </c>
      <c r="X169" s="79" t="s">
        <v>161</v>
      </c>
      <c r="Y169" s="79" t="s">
        <v>818</v>
      </c>
      <c r="Z169" s="79" t="s">
        <v>675</v>
      </c>
      <c r="AA169" s="79" t="s">
        <v>1387</v>
      </c>
      <c r="AB169" s="79" t="s">
        <v>820</v>
      </c>
      <c r="AC169" s="79" t="s">
        <v>328</v>
      </c>
      <c r="AD169" s="79"/>
      <c r="AE169" s="79"/>
      <c r="AF169" s="79"/>
      <c r="AG169" s="79"/>
      <c r="AH169" s="79"/>
      <c r="AI169" s="79"/>
      <c r="AJ169" s="79"/>
      <c r="AK169" s="79"/>
      <c r="AL169" s="79"/>
      <c r="AM169" s="79"/>
      <c r="AN169" s="79"/>
      <c r="AO169" s="79" t="s">
        <v>304</v>
      </c>
      <c r="AP169" s="79"/>
      <c r="AQ169" s="80" t="s">
        <v>171</v>
      </c>
      <c r="AR169" s="80" t="s">
        <v>171</v>
      </c>
      <c r="AS169" s="80" t="s">
        <v>171</v>
      </c>
      <c r="AT169" s="80" t="str">
        <f t="shared" si="64"/>
        <v>Ciudad Bolívar, Tunjuelito</v>
      </c>
      <c r="AU169" s="79" t="s">
        <v>217</v>
      </c>
      <c r="AV169" s="79" t="s">
        <v>937</v>
      </c>
      <c r="AW169" s="79"/>
      <c r="AX169" s="79"/>
      <c r="AY169" s="79"/>
      <c r="AZ169" s="79"/>
      <c r="BA169" s="80" t="str">
        <f t="shared" si="65"/>
        <v>Suroriente</v>
      </c>
      <c r="BB169" s="79" t="s">
        <v>218</v>
      </c>
      <c r="BC169" s="79"/>
      <c r="BD169" s="79"/>
      <c r="BE169" s="79"/>
      <c r="BF169" s="79"/>
      <c r="BG169" s="79"/>
      <c r="BH169" s="80" t="str">
        <f t="shared" si="66"/>
        <v>Arborizadora</v>
      </c>
      <c r="BI169" s="79" t="s">
        <v>220</v>
      </c>
      <c r="BJ169" s="79"/>
      <c r="BK169" s="79"/>
      <c r="BL169" s="79"/>
      <c r="BM169" s="79"/>
      <c r="BN169" s="79"/>
      <c r="BO169" s="79"/>
      <c r="BP169" s="79"/>
      <c r="BQ169" s="79"/>
      <c r="BR169" s="79"/>
      <c r="BS169" s="80" t="s">
        <v>288</v>
      </c>
      <c r="BT169" s="80" t="s">
        <v>605</v>
      </c>
      <c r="BU169" s="80" t="s">
        <v>1388</v>
      </c>
      <c r="BV169" s="71"/>
      <c r="BW169" s="79" t="s">
        <v>153</v>
      </c>
      <c r="BX169" s="79" t="s">
        <v>607</v>
      </c>
      <c r="BY169" s="71"/>
      <c r="BZ169" s="79">
        <v>75</v>
      </c>
      <c r="CA169" s="79">
        <v>19</v>
      </c>
      <c r="CB169" s="79">
        <f t="shared" si="25"/>
        <v>94</v>
      </c>
      <c r="CC169" s="79" t="str">
        <f t="shared" ref="CC169:CC215" si="102">_xlfn.TEXTJOIN(", ",TRUE,$CD169:$CF169)</f>
        <v>Lenguaje de señas, Horarios Acordes</v>
      </c>
      <c r="CD169" s="79" t="s">
        <v>349</v>
      </c>
      <c r="CE169" s="79" t="s">
        <v>351</v>
      </c>
      <c r="CF169" s="79"/>
      <c r="CG169" s="83" t="s">
        <v>1389</v>
      </c>
      <c r="CH169" s="41"/>
      <c r="CI169" s="79" t="s">
        <v>153</v>
      </c>
      <c r="CJ169" s="71"/>
      <c r="CK169" s="79">
        <f t="shared" si="38"/>
        <v>1</v>
      </c>
      <c r="CL169" s="79" t="s">
        <v>1316</v>
      </c>
      <c r="CM169" s="79"/>
      <c r="CN169" s="79"/>
      <c r="CO169" s="79"/>
      <c r="CP169" s="79"/>
      <c r="CQ169" s="79"/>
      <c r="CR169" s="83" t="s">
        <v>390</v>
      </c>
      <c r="CS169" s="83" t="s">
        <v>179</v>
      </c>
      <c r="CT169" s="83" t="s">
        <v>179</v>
      </c>
      <c r="CU169" s="83" t="s">
        <v>179</v>
      </c>
      <c r="CV169" s="83" t="s">
        <v>179</v>
      </c>
      <c r="CW169" s="83" t="s">
        <v>179</v>
      </c>
      <c r="CX169" s="79" t="s">
        <v>153</v>
      </c>
      <c r="CY169" s="79">
        <f t="shared" si="39"/>
        <v>1</v>
      </c>
      <c r="CZ169" s="79">
        <v>1</v>
      </c>
      <c r="DA169" s="79">
        <f t="shared" si="84"/>
        <v>1</v>
      </c>
      <c r="DB169" s="84">
        <f t="shared" si="46"/>
        <v>1</v>
      </c>
      <c r="DC169" s="41"/>
      <c r="DD169" s="79" t="s">
        <v>153</v>
      </c>
      <c r="DE169" s="71"/>
      <c r="DF169" s="85" t="s">
        <v>1390</v>
      </c>
      <c r="DG169" s="79">
        <v>161</v>
      </c>
      <c r="DH169" s="86" t="str">
        <f t="shared" si="85"/>
        <v>Completo</v>
      </c>
      <c r="DI169" s="79" t="s">
        <v>181</v>
      </c>
      <c r="DJ169" s="79" t="s">
        <v>182</v>
      </c>
      <c r="DK169" s="79" t="s">
        <v>153</v>
      </c>
      <c r="DL169" s="79">
        <v>0</v>
      </c>
      <c r="DM169" s="79">
        <v>0</v>
      </c>
      <c r="DN169" s="79" t="s">
        <v>182</v>
      </c>
      <c r="DO169" s="79">
        <v>4028</v>
      </c>
      <c r="DP169" s="79" t="s">
        <v>182</v>
      </c>
      <c r="DQ169" s="79">
        <v>25</v>
      </c>
      <c r="DR169" s="75">
        <f t="shared" si="70"/>
        <v>1.1111111111111112</v>
      </c>
      <c r="DS169" s="79" t="s">
        <v>182</v>
      </c>
      <c r="DT169" s="79">
        <v>62</v>
      </c>
      <c r="DU169" s="75">
        <f t="shared" si="71"/>
        <v>2.361904761904762</v>
      </c>
      <c r="DV169" s="79" t="s">
        <v>182</v>
      </c>
      <c r="DW169" s="79" t="s">
        <v>182</v>
      </c>
      <c r="DX169" s="79">
        <v>4</v>
      </c>
      <c r="DY169" s="79">
        <v>1</v>
      </c>
      <c r="DZ169" s="79" t="s">
        <v>1391</v>
      </c>
      <c r="EA169" s="79">
        <v>4028</v>
      </c>
      <c r="EB169" s="79" t="s">
        <v>182</v>
      </c>
      <c r="EC169" s="79" t="s">
        <v>1392</v>
      </c>
      <c r="ED169" s="79" t="s">
        <v>184</v>
      </c>
      <c r="EE169" s="79" t="str">
        <f t="shared" si="94"/>
        <v>Completo</v>
      </c>
      <c r="EF169" s="41"/>
      <c r="EG169" s="79" t="s">
        <v>153</v>
      </c>
      <c r="EH169" s="71"/>
      <c r="EI169" s="89" t="s">
        <v>1393</v>
      </c>
      <c r="EJ169" s="71"/>
      <c r="EK169" s="79" t="s">
        <v>393</v>
      </c>
      <c r="EL169" s="76" t="str">
        <f t="shared" si="72"/>
        <v>Sí</v>
      </c>
      <c r="EM169" s="76" t="str">
        <f t="shared" si="73"/>
        <v>Sí</v>
      </c>
      <c r="EN169" s="76" t="str">
        <f t="shared" ref="EN169:EN215" si="103">IF(F169="NO","No requiere",IF(H169="No","No requiere",IF(CC169="","",IF(CD169&lt;&gt;"No aplica",IF(CD169&lt;&gt;"Ninguna",IF(COUNTIF(CD169:CF169,"*")&gt;=1,"Sí","No"),"No"),"No aplica"))))</f>
        <v>Sí</v>
      </c>
      <c r="EO169" s="71"/>
      <c r="EP169" s="73" t="str">
        <f t="shared" si="75"/>
        <v>No aplica</v>
      </c>
      <c r="EQ169" s="77">
        <f t="shared" si="76"/>
        <v>2.361904761904762</v>
      </c>
      <c r="ER169" s="71"/>
      <c r="ES169" s="79" t="s">
        <v>393</v>
      </c>
      <c r="ET169" s="73">
        <f t="shared" si="77"/>
        <v>1</v>
      </c>
      <c r="EU169" s="73">
        <f t="shared" ref="EU169:EU215" si="104">IF(F169="NO","No requiere",IF(H169="No","No requiere",IF(B169="","",IF(CX169="SÍ",IF(CK169&gt;=1,CY169/CK169,"Sin compromisos"),"Por verificar"))))</f>
        <v>1</v>
      </c>
      <c r="EV169" s="73">
        <f t="shared" si="79"/>
        <v>1</v>
      </c>
      <c r="EW169" s="73">
        <f t="shared" si="80"/>
        <v>1</v>
      </c>
      <c r="EX169" s="78"/>
      <c r="EY169" s="78"/>
    </row>
    <row r="170" spans="1:155" ht="46.5" customHeight="1">
      <c r="A170" s="79">
        <v>166</v>
      </c>
      <c r="B170" s="80" t="s">
        <v>1394</v>
      </c>
      <c r="C170" s="81">
        <v>45372</v>
      </c>
      <c r="D170" s="82">
        <v>0.66666666666666663</v>
      </c>
      <c r="E170" s="79" t="s">
        <v>151</v>
      </c>
      <c r="F170" s="79" t="s">
        <v>153</v>
      </c>
      <c r="G170" s="79" t="s">
        <v>153</v>
      </c>
      <c r="H170" s="79" t="s">
        <v>152</v>
      </c>
      <c r="I170" s="79" t="s">
        <v>152</v>
      </c>
      <c r="J170" s="79" t="s">
        <v>154</v>
      </c>
      <c r="K170" s="79" t="s">
        <v>202</v>
      </c>
      <c r="L170" s="80" t="s">
        <v>1395</v>
      </c>
      <c r="M170" s="80" t="s">
        <v>157</v>
      </c>
      <c r="N170" s="79" t="s">
        <v>163</v>
      </c>
      <c r="O170" s="80" t="str">
        <f t="shared" si="63"/>
        <v/>
      </c>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t="s">
        <v>230</v>
      </c>
      <c r="AP170" s="79"/>
      <c r="AQ170" s="80" t="s">
        <v>1396</v>
      </c>
      <c r="AR170" s="83">
        <v>3013874603</v>
      </c>
      <c r="AS170" s="80" t="s">
        <v>1397</v>
      </c>
      <c r="AT170" s="80" t="str">
        <f t="shared" si="64"/>
        <v>Distrital</v>
      </c>
      <c r="AU170" s="79" t="s">
        <v>172</v>
      </c>
      <c r="AV170" s="79"/>
      <c r="AW170" s="79"/>
      <c r="AX170" s="79"/>
      <c r="AY170" s="79"/>
      <c r="AZ170" s="79"/>
      <c r="BA170" s="80" t="str">
        <f t="shared" si="65"/>
        <v>Distrital</v>
      </c>
      <c r="BB170" s="79" t="s">
        <v>172</v>
      </c>
      <c r="BC170" s="79"/>
      <c r="BD170" s="79"/>
      <c r="BE170" s="79"/>
      <c r="BF170" s="79"/>
      <c r="BG170" s="79"/>
      <c r="BH170" s="80" t="str">
        <f t="shared" si="66"/>
        <v>Distrital</v>
      </c>
      <c r="BI170" s="79" t="s">
        <v>172</v>
      </c>
      <c r="BJ170" s="79"/>
      <c r="BK170" s="79"/>
      <c r="BL170" s="79"/>
      <c r="BM170" s="79"/>
      <c r="BN170" s="79"/>
      <c r="BO170" s="79"/>
      <c r="BP170" s="79"/>
      <c r="BQ170" s="79"/>
      <c r="BR170" s="79"/>
      <c r="BS170" s="80" t="s">
        <v>288</v>
      </c>
      <c r="BT170" s="80" t="s">
        <v>174</v>
      </c>
      <c r="BU170" s="89" t="s">
        <v>1398</v>
      </c>
      <c r="BV170" s="71"/>
      <c r="BW170" s="79" t="s">
        <v>153</v>
      </c>
      <c r="BX170" s="79" t="s">
        <v>176</v>
      </c>
      <c r="BY170" s="71"/>
      <c r="BZ170" s="79">
        <v>2</v>
      </c>
      <c r="CA170" s="79">
        <v>1</v>
      </c>
      <c r="CB170" s="79">
        <f t="shared" si="25"/>
        <v>3</v>
      </c>
      <c r="CC170" s="79" t="str">
        <f t="shared" si="102"/>
        <v>No Aplica</v>
      </c>
      <c r="CD170" s="79" t="s">
        <v>177</v>
      </c>
      <c r="CE170" s="79"/>
      <c r="CF170" s="79"/>
      <c r="CG170" s="83" t="s">
        <v>1399</v>
      </c>
      <c r="CH170" s="41"/>
      <c r="CI170" s="79" t="s">
        <v>153</v>
      </c>
      <c r="CJ170" s="71"/>
      <c r="CK170" s="79">
        <f t="shared" si="38"/>
        <v>0</v>
      </c>
      <c r="CL170" s="79"/>
      <c r="CM170" s="79"/>
      <c r="CN170" s="79"/>
      <c r="CO170" s="79"/>
      <c r="CP170" s="79"/>
      <c r="CQ170" s="79"/>
      <c r="CR170" s="83" t="s">
        <v>179</v>
      </c>
      <c r="CS170" s="83" t="s">
        <v>179</v>
      </c>
      <c r="CT170" s="83" t="s">
        <v>179</v>
      </c>
      <c r="CU170" s="83" t="s">
        <v>179</v>
      </c>
      <c r="CV170" s="83" t="s">
        <v>179</v>
      </c>
      <c r="CW170" s="83" t="s">
        <v>179</v>
      </c>
      <c r="CX170" s="79" t="s">
        <v>153</v>
      </c>
      <c r="CY170" s="79">
        <f t="shared" si="39"/>
        <v>0</v>
      </c>
      <c r="CZ170" s="79">
        <v>0</v>
      </c>
      <c r="DA170" s="79">
        <f t="shared" si="84"/>
        <v>0</v>
      </c>
      <c r="DB170" s="84" t="str">
        <f t="shared" si="46"/>
        <v/>
      </c>
      <c r="DC170" s="41"/>
      <c r="DD170" s="79" t="s">
        <v>153</v>
      </c>
      <c r="DE170" s="71"/>
      <c r="DF170" s="85" t="s">
        <v>1400</v>
      </c>
      <c r="DG170" s="79">
        <v>162</v>
      </c>
      <c r="DH170" s="86" t="str">
        <f t="shared" si="85"/>
        <v>Completo</v>
      </c>
      <c r="DI170" s="79" t="s">
        <v>181</v>
      </c>
      <c r="DJ170" s="79" t="s">
        <v>182</v>
      </c>
      <c r="DK170" s="79"/>
      <c r="DL170" s="79"/>
      <c r="DM170" s="79"/>
      <c r="DN170" s="79" t="s">
        <v>182</v>
      </c>
      <c r="DO170" s="79"/>
      <c r="DP170" s="79"/>
      <c r="DQ170" s="79"/>
      <c r="DR170" s="75" t="str">
        <f t="shared" si="70"/>
        <v>No aplica</v>
      </c>
      <c r="DS170" s="79"/>
      <c r="DT170" s="79"/>
      <c r="DU170" s="75" t="str">
        <f t="shared" si="71"/>
        <v>No aplica</v>
      </c>
      <c r="DV170" s="79" t="s">
        <v>182</v>
      </c>
      <c r="DW170" s="79" t="s">
        <v>191</v>
      </c>
      <c r="DX170" s="79"/>
      <c r="DY170" s="79"/>
      <c r="DZ170" s="79"/>
      <c r="EA170" s="79"/>
      <c r="EB170" s="79" t="s">
        <v>191</v>
      </c>
      <c r="EC170" s="79"/>
      <c r="ED170" s="79" t="s">
        <v>1401</v>
      </c>
      <c r="EE170" s="79" t="str">
        <f t="shared" si="94"/>
        <v>Completo</v>
      </c>
      <c r="EF170" s="41"/>
      <c r="EG170" s="79" t="s">
        <v>153</v>
      </c>
      <c r="EH170" s="71"/>
      <c r="EI170" s="80"/>
      <c r="EJ170" s="71"/>
      <c r="EK170" s="79" t="s">
        <v>179</v>
      </c>
      <c r="EL170" s="76" t="str">
        <f t="shared" si="72"/>
        <v>No requiere</v>
      </c>
      <c r="EM170" s="76" t="str">
        <f t="shared" si="73"/>
        <v>No requiere</v>
      </c>
      <c r="EN170" s="76" t="str">
        <f t="shared" si="103"/>
        <v>No requiere</v>
      </c>
      <c r="EO170" s="71"/>
      <c r="EP170" s="73" t="str">
        <f t="shared" si="75"/>
        <v>No requiere</v>
      </c>
      <c r="EQ170" s="77" t="str">
        <f t="shared" si="76"/>
        <v>No requiere</v>
      </c>
      <c r="ER170" s="71"/>
      <c r="ES170" s="79" t="s">
        <v>179</v>
      </c>
      <c r="ET170" s="73" t="str">
        <f t="shared" si="77"/>
        <v>No requiere</v>
      </c>
      <c r="EU170" s="73" t="str">
        <f t="shared" si="104"/>
        <v>No requiere</v>
      </c>
      <c r="EV170" s="73" t="str">
        <f t="shared" si="79"/>
        <v>No requiere</v>
      </c>
      <c r="EW170" s="73" t="str">
        <f t="shared" si="80"/>
        <v>No requiere</v>
      </c>
      <c r="EX170" s="78"/>
      <c r="EY170" s="78"/>
    </row>
    <row r="171" spans="1:155" ht="46.5" customHeight="1">
      <c r="A171" s="79">
        <v>167</v>
      </c>
      <c r="B171" s="80" t="s">
        <v>1402</v>
      </c>
      <c r="C171" s="81">
        <v>45372</v>
      </c>
      <c r="D171" s="82">
        <v>0.70833333333333337</v>
      </c>
      <c r="E171" s="79" t="s">
        <v>151</v>
      </c>
      <c r="F171" s="79" t="s">
        <v>153</v>
      </c>
      <c r="G171" s="79" t="s">
        <v>153</v>
      </c>
      <c r="H171" s="79" t="s">
        <v>152</v>
      </c>
      <c r="I171" s="79" t="s">
        <v>152</v>
      </c>
      <c r="J171" s="79" t="s">
        <v>154</v>
      </c>
      <c r="K171" s="79" t="s">
        <v>155</v>
      </c>
      <c r="L171" s="80" t="s">
        <v>1403</v>
      </c>
      <c r="M171" s="80" t="s">
        <v>303</v>
      </c>
      <c r="N171" s="79" t="s">
        <v>163</v>
      </c>
      <c r="O171" s="80" t="str">
        <f t="shared" si="63"/>
        <v>Luz Maritza Acero, Laura Camila Bechara, Yeiker Guerra Sarmiento, Joan Sebastian García</v>
      </c>
      <c r="P171" s="79" t="s">
        <v>167</v>
      </c>
      <c r="Q171" s="79" t="s">
        <v>887</v>
      </c>
      <c r="R171" s="79" t="s">
        <v>163</v>
      </c>
      <c r="S171" s="79" t="s">
        <v>728</v>
      </c>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t="s">
        <v>230</v>
      </c>
      <c r="AP171" s="79" t="s">
        <v>925</v>
      </c>
      <c r="AQ171" s="80" t="s">
        <v>1404</v>
      </c>
      <c r="AR171" s="83">
        <v>3148396805</v>
      </c>
      <c r="AS171" s="80" t="s">
        <v>1405</v>
      </c>
      <c r="AT171" s="80" t="str">
        <f t="shared" si="64"/>
        <v>Distrital</v>
      </c>
      <c r="AU171" s="79" t="s">
        <v>172</v>
      </c>
      <c r="AV171" s="79"/>
      <c r="AW171" s="79"/>
      <c r="AX171" s="79"/>
      <c r="AY171" s="79"/>
      <c r="AZ171" s="79"/>
      <c r="BA171" s="80" t="str">
        <f t="shared" si="65"/>
        <v>Distrital</v>
      </c>
      <c r="BB171" s="79" t="s">
        <v>172</v>
      </c>
      <c r="BC171" s="79"/>
      <c r="BD171" s="79"/>
      <c r="BE171" s="79"/>
      <c r="BF171" s="79"/>
      <c r="BG171" s="79"/>
      <c r="BH171" s="80" t="str">
        <f t="shared" si="66"/>
        <v>Distrital</v>
      </c>
      <c r="BI171" s="79" t="s">
        <v>172</v>
      </c>
      <c r="BJ171" s="79"/>
      <c r="BK171" s="79"/>
      <c r="BL171" s="79"/>
      <c r="BM171" s="79"/>
      <c r="BN171" s="79"/>
      <c r="BO171" s="79"/>
      <c r="BP171" s="79"/>
      <c r="BQ171" s="79"/>
      <c r="BR171" s="79"/>
      <c r="BS171" s="80" t="s">
        <v>288</v>
      </c>
      <c r="BT171" s="80" t="s">
        <v>1242</v>
      </c>
      <c r="BU171" s="80" t="s">
        <v>1406</v>
      </c>
      <c r="BV171" s="71"/>
      <c r="BW171" s="79" t="s">
        <v>153</v>
      </c>
      <c r="BX171" s="79" t="s">
        <v>607</v>
      </c>
      <c r="BY171" s="71"/>
      <c r="BZ171" s="79">
        <v>14</v>
      </c>
      <c r="CA171" s="79">
        <v>4</v>
      </c>
      <c r="CB171" s="79">
        <f t="shared" si="25"/>
        <v>18</v>
      </c>
      <c r="CC171" s="79" t="str">
        <f t="shared" si="102"/>
        <v>No Aplica</v>
      </c>
      <c r="CD171" s="79" t="s">
        <v>177</v>
      </c>
      <c r="CE171" s="79"/>
      <c r="CF171" s="79"/>
      <c r="CG171" s="83" t="s">
        <v>1407</v>
      </c>
      <c r="CH171" s="41"/>
      <c r="CI171" s="79" t="s">
        <v>153</v>
      </c>
      <c r="CJ171" s="71"/>
      <c r="CK171" s="79">
        <f t="shared" si="38"/>
        <v>0</v>
      </c>
      <c r="CL171" s="79"/>
      <c r="CM171" s="79"/>
      <c r="CN171" s="79"/>
      <c r="CO171" s="79"/>
      <c r="CP171" s="79"/>
      <c r="CQ171" s="79"/>
      <c r="CR171" s="83"/>
      <c r="CS171" s="83"/>
      <c r="CT171" s="83"/>
      <c r="CU171" s="83"/>
      <c r="CV171" s="83"/>
      <c r="CW171" s="83"/>
      <c r="CX171" s="79"/>
      <c r="CY171" s="79">
        <f t="shared" si="39"/>
        <v>0</v>
      </c>
      <c r="CZ171" s="79">
        <v>0</v>
      </c>
      <c r="DA171" s="79">
        <f t="shared" si="84"/>
        <v>0</v>
      </c>
      <c r="DB171" s="84" t="str">
        <f t="shared" si="46"/>
        <v/>
      </c>
      <c r="DC171" s="41"/>
      <c r="DD171" s="79"/>
      <c r="DE171" s="71"/>
      <c r="DF171" s="85" t="s">
        <v>1408</v>
      </c>
      <c r="DG171" s="79">
        <v>163</v>
      </c>
      <c r="DH171" s="86">
        <f t="shared" si="85"/>
        <v>45375</v>
      </c>
      <c r="DI171" s="79" t="s">
        <v>1246</v>
      </c>
      <c r="DJ171" s="79"/>
      <c r="DK171" s="79"/>
      <c r="DL171" s="79">
        <v>0</v>
      </c>
      <c r="DM171" s="79">
        <v>0</v>
      </c>
      <c r="DN171" s="79" t="s">
        <v>182</v>
      </c>
      <c r="DO171" s="79"/>
      <c r="DP171" s="79"/>
      <c r="DQ171" s="79"/>
      <c r="DR171" s="75" t="str">
        <f t="shared" si="70"/>
        <v>No aplica</v>
      </c>
      <c r="DS171" s="79"/>
      <c r="DT171" s="79"/>
      <c r="DU171" s="75" t="str">
        <f t="shared" si="71"/>
        <v>No aplica</v>
      </c>
      <c r="DV171" s="79" t="s">
        <v>182</v>
      </c>
      <c r="DW171" s="79"/>
      <c r="DX171" s="79"/>
      <c r="DY171" s="79"/>
      <c r="DZ171" s="79"/>
      <c r="EA171" s="79" t="s">
        <v>179</v>
      </c>
      <c r="EB171" s="79"/>
      <c r="EC171" s="79"/>
      <c r="ED171" s="79" t="s">
        <v>1409</v>
      </c>
      <c r="EE171" s="79" t="str">
        <f t="shared" si="94"/>
        <v>Por Completar</v>
      </c>
      <c r="EF171" s="41"/>
      <c r="EG171" s="79" t="s">
        <v>152</v>
      </c>
      <c r="EH171" s="71"/>
      <c r="EI171" s="80"/>
      <c r="EJ171" s="71"/>
      <c r="EK171" s="79" t="s">
        <v>179</v>
      </c>
      <c r="EL171" s="76" t="str">
        <f t="shared" si="72"/>
        <v>No requiere</v>
      </c>
      <c r="EM171" s="76" t="str">
        <f t="shared" si="73"/>
        <v>No requiere</v>
      </c>
      <c r="EN171" s="76" t="str">
        <f t="shared" si="103"/>
        <v>No requiere</v>
      </c>
      <c r="EO171" s="71"/>
      <c r="EP171" s="73" t="str">
        <f t="shared" si="75"/>
        <v>No requiere</v>
      </c>
      <c r="EQ171" s="77" t="str">
        <f t="shared" si="76"/>
        <v>No requiere</v>
      </c>
      <c r="ER171" s="71"/>
      <c r="ES171" s="79" t="s">
        <v>179</v>
      </c>
      <c r="ET171" s="73" t="str">
        <f t="shared" si="77"/>
        <v>No requiere</v>
      </c>
      <c r="EU171" s="73" t="str">
        <f t="shared" si="104"/>
        <v>No requiere</v>
      </c>
      <c r="EV171" s="73" t="str">
        <f t="shared" si="79"/>
        <v>No requiere</v>
      </c>
      <c r="EW171" s="73" t="str">
        <f t="shared" si="80"/>
        <v>No requiere</v>
      </c>
      <c r="EX171" s="78"/>
      <c r="EY171" s="78"/>
    </row>
    <row r="172" spans="1:155" ht="46.5" customHeight="1">
      <c r="A172" s="79">
        <v>168</v>
      </c>
      <c r="B172" s="80" t="s">
        <v>1410</v>
      </c>
      <c r="C172" s="81">
        <v>45373</v>
      </c>
      <c r="D172" s="82">
        <v>0.33333333333333331</v>
      </c>
      <c r="E172" s="79" t="s">
        <v>200</v>
      </c>
      <c r="F172" s="79" t="s">
        <v>153</v>
      </c>
      <c r="G172" s="79" t="s">
        <v>152</v>
      </c>
      <c r="H172" s="79" t="s">
        <v>152</v>
      </c>
      <c r="I172" s="79" t="s">
        <v>152</v>
      </c>
      <c r="J172" s="79" t="s">
        <v>320</v>
      </c>
      <c r="K172" s="79" t="s">
        <v>202</v>
      </c>
      <c r="L172" s="80" t="s">
        <v>1411</v>
      </c>
      <c r="M172" s="80" t="s">
        <v>157</v>
      </c>
      <c r="N172" s="79" t="s">
        <v>422</v>
      </c>
      <c r="O172" s="80" t="str">
        <f t="shared" si="63"/>
        <v/>
      </c>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t="s">
        <v>169</v>
      </c>
      <c r="AP172" s="79" t="s">
        <v>170</v>
      </c>
      <c r="AQ172" s="80" t="s">
        <v>423</v>
      </c>
      <c r="AR172" s="83" t="s">
        <v>424</v>
      </c>
      <c r="AS172" s="80" t="s">
        <v>425</v>
      </c>
      <c r="AT172" s="80" t="str">
        <f t="shared" si="64"/>
        <v>Distrital</v>
      </c>
      <c r="AU172" s="79" t="s">
        <v>172</v>
      </c>
      <c r="AV172" s="79"/>
      <c r="AW172" s="79"/>
      <c r="AX172" s="79"/>
      <c r="AY172" s="79"/>
      <c r="AZ172" s="79"/>
      <c r="BA172" s="80" t="str">
        <f t="shared" si="65"/>
        <v>Distrital</v>
      </c>
      <c r="BB172" s="79" t="s">
        <v>172</v>
      </c>
      <c r="BC172" s="79"/>
      <c r="BD172" s="79"/>
      <c r="BE172" s="79"/>
      <c r="BF172" s="79"/>
      <c r="BG172" s="79"/>
      <c r="BH172" s="80" t="str">
        <f t="shared" si="66"/>
        <v>Distrital</v>
      </c>
      <c r="BI172" s="79" t="s">
        <v>172</v>
      </c>
      <c r="BJ172" s="79"/>
      <c r="BK172" s="79"/>
      <c r="BL172" s="79"/>
      <c r="BM172" s="79"/>
      <c r="BN172" s="79"/>
      <c r="BO172" s="79"/>
      <c r="BP172" s="79"/>
      <c r="BQ172" s="79"/>
      <c r="BR172" s="79"/>
      <c r="BS172" s="80" t="s">
        <v>288</v>
      </c>
      <c r="BT172" s="80" t="s">
        <v>174</v>
      </c>
      <c r="BU172" s="89" t="s">
        <v>1412</v>
      </c>
      <c r="BV172" s="71"/>
      <c r="BW172" s="79" t="s">
        <v>152</v>
      </c>
      <c r="BX172" s="79" t="s">
        <v>179</v>
      </c>
      <c r="BY172" s="71"/>
      <c r="BZ172" s="79">
        <v>26</v>
      </c>
      <c r="CA172" s="79">
        <v>2</v>
      </c>
      <c r="CB172" s="79">
        <f t="shared" si="25"/>
        <v>28</v>
      </c>
      <c r="CC172" s="79" t="str">
        <f t="shared" si="102"/>
        <v>No Aplica</v>
      </c>
      <c r="CD172" s="79" t="s">
        <v>177</v>
      </c>
      <c r="CE172" s="79"/>
      <c r="CF172" s="79"/>
      <c r="CG172" s="83" t="s">
        <v>1413</v>
      </c>
      <c r="CH172" s="41"/>
      <c r="CI172" s="79" t="s">
        <v>153</v>
      </c>
      <c r="CJ172" s="71"/>
      <c r="CK172" s="79">
        <f t="shared" si="38"/>
        <v>0</v>
      </c>
      <c r="CL172" s="79"/>
      <c r="CM172" s="79"/>
      <c r="CN172" s="79"/>
      <c r="CO172" s="79"/>
      <c r="CP172" s="79"/>
      <c r="CQ172" s="79"/>
      <c r="CR172" s="83" t="s">
        <v>179</v>
      </c>
      <c r="CS172" s="83" t="s">
        <v>179</v>
      </c>
      <c r="CT172" s="83" t="s">
        <v>179</v>
      </c>
      <c r="CU172" s="83" t="s">
        <v>179</v>
      </c>
      <c r="CV172" s="83" t="s">
        <v>179</v>
      </c>
      <c r="CW172" s="83" t="s">
        <v>179</v>
      </c>
      <c r="CX172" s="79" t="s">
        <v>153</v>
      </c>
      <c r="CY172" s="79">
        <f t="shared" si="39"/>
        <v>0</v>
      </c>
      <c r="CZ172" s="79">
        <v>0</v>
      </c>
      <c r="DA172" s="79">
        <f t="shared" si="84"/>
        <v>0</v>
      </c>
      <c r="DB172" s="84" t="str">
        <f t="shared" si="46"/>
        <v/>
      </c>
      <c r="DC172" s="41"/>
      <c r="DD172" s="79" t="s">
        <v>153</v>
      </c>
      <c r="DE172" s="71"/>
      <c r="DF172" s="85" t="s">
        <v>1414</v>
      </c>
      <c r="DG172" s="79">
        <v>164</v>
      </c>
      <c r="DH172" s="86" t="str">
        <f t="shared" si="85"/>
        <v>Completo</v>
      </c>
      <c r="DI172" s="79" t="s">
        <v>181</v>
      </c>
      <c r="DJ172" s="79" t="s">
        <v>182</v>
      </c>
      <c r="DK172" s="79"/>
      <c r="DL172" s="79">
        <v>0</v>
      </c>
      <c r="DM172" s="79">
        <v>0</v>
      </c>
      <c r="DN172" s="79" t="s">
        <v>182</v>
      </c>
      <c r="DO172" s="79"/>
      <c r="DP172" s="79"/>
      <c r="DQ172" s="79"/>
      <c r="DR172" s="75" t="str">
        <f t="shared" si="70"/>
        <v>No aplica</v>
      </c>
      <c r="DS172" s="79"/>
      <c r="DT172" s="79"/>
      <c r="DU172" s="75" t="str">
        <f t="shared" si="71"/>
        <v>No aplica</v>
      </c>
      <c r="DV172" s="79" t="s">
        <v>182</v>
      </c>
      <c r="DW172" s="79" t="s">
        <v>182</v>
      </c>
      <c r="DX172" s="79"/>
      <c r="DY172" s="79"/>
      <c r="DZ172" s="79"/>
      <c r="EA172" s="79"/>
      <c r="EB172" s="79"/>
      <c r="EC172" s="79"/>
      <c r="ED172" s="79" t="s">
        <v>184</v>
      </c>
      <c r="EE172" s="79" t="str">
        <f t="shared" si="94"/>
        <v>Completo</v>
      </c>
      <c r="EF172" s="41"/>
      <c r="EG172" s="79" t="s">
        <v>153</v>
      </c>
      <c r="EH172" s="71"/>
      <c r="EI172" s="80"/>
      <c r="EJ172" s="71"/>
      <c r="EK172" s="79" t="s">
        <v>179</v>
      </c>
      <c r="EL172" s="76" t="str">
        <f t="shared" si="72"/>
        <v>No requiere</v>
      </c>
      <c r="EM172" s="76" t="str">
        <f t="shared" si="73"/>
        <v>No requiere</v>
      </c>
      <c r="EN172" s="76" t="str">
        <f t="shared" si="103"/>
        <v>No requiere</v>
      </c>
      <c r="EO172" s="71"/>
      <c r="EP172" s="73" t="str">
        <f t="shared" si="75"/>
        <v>No requiere</v>
      </c>
      <c r="EQ172" s="77" t="str">
        <f t="shared" si="76"/>
        <v>No requiere</v>
      </c>
      <c r="ER172" s="71"/>
      <c r="ES172" s="79" t="s">
        <v>179</v>
      </c>
      <c r="ET172" s="73" t="str">
        <f t="shared" si="77"/>
        <v>No requiere</v>
      </c>
      <c r="EU172" s="73" t="str">
        <f t="shared" si="104"/>
        <v>No requiere</v>
      </c>
      <c r="EV172" s="73" t="str">
        <f t="shared" si="79"/>
        <v>No requiere</v>
      </c>
      <c r="EW172" s="73" t="str">
        <f t="shared" si="80"/>
        <v>No requiere</v>
      </c>
      <c r="EX172" s="78"/>
      <c r="EY172" s="78"/>
    </row>
    <row r="173" spans="1:155" ht="46.5" customHeight="1">
      <c r="A173" s="79">
        <v>169</v>
      </c>
      <c r="B173" s="80" t="s">
        <v>1415</v>
      </c>
      <c r="C173" s="81">
        <v>45373</v>
      </c>
      <c r="D173" s="82">
        <v>0.375</v>
      </c>
      <c r="E173" s="79" t="s">
        <v>151</v>
      </c>
      <c r="F173" s="79" t="s">
        <v>153</v>
      </c>
      <c r="G173" s="79" t="s">
        <v>153</v>
      </c>
      <c r="H173" s="79" t="s">
        <v>152</v>
      </c>
      <c r="I173" s="79" t="s">
        <v>152</v>
      </c>
      <c r="J173" s="79" t="s">
        <v>154</v>
      </c>
      <c r="K173" s="79" t="s">
        <v>202</v>
      </c>
      <c r="L173" s="80" t="s">
        <v>1240</v>
      </c>
      <c r="M173" s="80" t="s">
        <v>303</v>
      </c>
      <c r="N173" s="79" t="s">
        <v>163</v>
      </c>
      <c r="O173" s="80" t="str">
        <f t="shared" si="63"/>
        <v>Luz Maritza Acero, Laura Camila Bechara, Yeiker Guerra Sarmiento, Michael Cruz Roa</v>
      </c>
      <c r="P173" s="79" t="s">
        <v>167</v>
      </c>
      <c r="Q173" s="79" t="s">
        <v>887</v>
      </c>
      <c r="R173" s="79" t="s">
        <v>163</v>
      </c>
      <c r="S173" s="79" t="s">
        <v>265</v>
      </c>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t="s">
        <v>230</v>
      </c>
      <c r="AP173" s="79" t="s">
        <v>347</v>
      </c>
      <c r="AQ173" s="80" t="s">
        <v>1192</v>
      </c>
      <c r="AR173" s="83">
        <v>3143909467</v>
      </c>
      <c r="AS173" s="80" t="s">
        <v>1241</v>
      </c>
      <c r="AT173" s="80" t="str">
        <f t="shared" si="64"/>
        <v>Distrital</v>
      </c>
      <c r="AU173" s="79" t="s">
        <v>172</v>
      </c>
      <c r="AV173" s="79"/>
      <c r="AW173" s="79"/>
      <c r="AX173" s="79"/>
      <c r="AY173" s="79"/>
      <c r="AZ173" s="79"/>
      <c r="BA173" s="80" t="str">
        <f t="shared" si="65"/>
        <v>Distrital</v>
      </c>
      <c r="BB173" s="79" t="s">
        <v>172</v>
      </c>
      <c r="BC173" s="79"/>
      <c r="BD173" s="79"/>
      <c r="BE173" s="79"/>
      <c r="BF173" s="79"/>
      <c r="BG173" s="79"/>
      <c r="BH173" s="80" t="str">
        <f t="shared" si="66"/>
        <v>Distrital</v>
      </c>
      <c r="BI173" s="79" t="s">
        <v>172</v>
      </c>
      <c r="BJ173" s="79"/>
      <c r="BK173" s="79"/>
      <c r="BL173" s="79"/>
      <c r="BM173" s="79"/>
      <c r="BN173" s="79"/>
      <c r="BO173" s="79"/>
      <c r="BP173" s="79"/>
      <c r="BQ173" s="79"/>
      <c r="BR173" s="79"/>
      <c r="BS173" s="80" t="s">
        <v>288</v>
      </c>
      <c r="BT173" s="80" t="s">
        <v>1242</v>
      </c>
      <c r="BU173" s="80" t="s">
        <v>1243</v>
      </c>
      <c r="BV173" s="71"/>
      <c r="BW173" s="79" t="s">
        <v>153</v>
      </c>
      <c r="BX173" s="79" t="s">
        <v>607</v>
      </c>
      <c r="BY173" s="71"/>
      <c r="BZ173" s="79">
        <v>14</v>
      </c>
      <c r="CA173" s="79">
        <v>4</v>
      </c>
      <c r="CB173" s="79">
        <f t="shared" si="25"/>
        <v>18</v>
      </c>
      <c r="CC173" s="79" t="str">
        <f t="shared" si="102"/>
        <v>No Aplica</v>
      </c>
      <c r="CD173" s="79" t="s">
        <v>177</v>
      </c>
      <c r="CE173" s="79"/>
      <c r="CF173" s="79"/>
      <c r="CG173" s="83" t="s">
        <v>1416</v>
      </c>
      <c r="CH173" s="41"/>
      <c r="CI173" s="79" t="s">
        <v>153</v>
      </c>
      <c r="CJ173" s="71"/>
      <c r="CK173" s="79">
        <f t="shared" si="38"/>
        <v>0</v>
      </c>
      <c r="CL173" s="79"/>
      <c r="CM173" s="79"/>
      <c r="CN173" s="79"/>
      <c r="CO173" s="79"/>
      <c r="CP173" s="79"/>
      <c r="CQ173" s="79"/>
      <c r="CR173" s="83" t="s">
        <v>179</v>
      </c>
      <c r="CS173" s="83" t="s">
        <v>179</v>
      </c>
      <c r="CT173" s="83" t="s">
        <v>179</v>
      </c>
      <c r="CU173" s="83" t="s">
        <v>179</v>
      </c>
      <c r="CV173" s="83" t="s">
        <v>179</v>
      </c>
      <c r="CW173" s="83" t="s">
        <v>179</v>
      </c>
      <c r="CX173" s="79" t="s">
        <v>153</v>
      </c>
      <c r="CY173" s="79">
        <f t="shared" si="39"/>
        <v>0</v>
      </c>
      <c r="CZ173" s="79">
        <v>0</v>
      </c>
      <c r="DA173" s="79">
        <f t="shared" si="84"/>
        <v>0</v>
      </c>
      <c r="DB173" s="84" t="str">
        <f t="shared" si="46"/>
        <v/>
      </c>
      <c r="DC173" s="41"/>
      <c r="DD173" s="79"/>
      <c r="DE173" s="71"/>
      <c r="DF173" s="85" t="s">
        <v>1417</v>
      </c>
      <c r="DG173" s="79">
        <v>165</v>
      </c>
      <c r="DH173" s="86">
        <f t="shared" si="85"/>
        <v>45376</v>
      </c>
      <c r="DI173" s="79" t="s">
        <v>1246</v>
      </c>
      <c r="DJ173" s="79"/>
      <c r="DK173" s="79"/>
      <c r="DL173" s="79">
        <v>0</v>
      </c>
      <c r="DM173" s="79">
        <v>0</v>
      </c>
      <c r="DN173" s="79" t="s">
        <v>182</v>
      </c>
      <c r="DO173" s="79"/>
      <c r="DP173" s="79"/>
      <c r="DQ173" s="79"/>
      <c r="DR173" s="75" t="str">
        <f t="shared" si="70"/>
        <v>No aplica</v>
      </c>
      <c r="DS173" s="79"/>
      <c r="DT173" s="79"/>
      <c r="DU173" s="75" t="str">
        <f t="shared" si="71"/>
        <v>No aplica</v>
      </c>
      <c r="DV173" s="79" t="s">
        <v>182</v>
      </c>
      <c r="DW173" s="79"/>
      <c r="DX173" s="79"/>
      <c r="DY173" s="79"/>
      <c r="DZ173" s="79"/>
      <c r="EA173" s="79" t="s">
        <v>179</v>
      </c>
      <c r="EB173" s="79"/>
      <c r="EC173" s="79"/>
      <c r="ED173" s="79" t="s">
        <v>1418</v>
      </c>
      <c r="EE173" s="79" t="str">
        <f t="shared" si="94"/>
        <v>Por Completar</v>
      </c>
      <c r="EF173" s="41"/>
      <c r="EG173" s="79" t="s">
        <v>152</v>
      </c>
      <c r="EH173" s="71"/>
      <c r="EI173" s="80"/>
      <c r="EJ173" s="71"/>
      <c r="EK173" s="79" t="s">
        <v>179</v>
      </c>
      <c r="EL173" s="76" t="str">
        <f t="shared" si="72"/>
        <v>No requiere</v>
      </c>
      <c r="EM173" s="76" t="str">
        <f t="shared" si="73"/>
        <v>No requiere</v>
      </c>
      <c r="EN173" s="76" t="str">
        <f t="shared" si="103"/>
        <v>No requiere</v>
      </c>
      <c r="EO173" s="71"/>
      <c r="EP173" s="73" t="str">
        <f t="shared" si="75"/>
        <v>No requiere</v>
      </c>
      <c r="EQ173" s="77" t="str">
        <f t="shared" si="76"/>
        <v>No requiere</v>
      </c>
      <c r="ER173" s="71"/>
      <c r="ES173" s="79" t="s">
        <v>179</v>
      </c>
      <c r="ET173" s="73" t="str">
        <f t="shared" si="77"/>
        <v>No requiere</v>
      </c>
      <c r="EU173" s="73" t="str">
        <f t="shared" si="104"/>
        <v>No requiere</v>
      </c>
      <c r="EV173" s="73" t="str">
        <f t="shared" si="79"/>
        <v>No requiere</v>
      </c>
      <c r="EW173" s="73" t="str">
        <f t="shared" si="80"/>
        <v>No requiere</v>
      </c>
      <c r="EX173" s="78"/>
      <c r="EY173" s="78"/>
    </row>
    <row r="174" spans="1:155" ht="46.5" customHeight="1">
      <c r="A174" s="79">
        <v>170</v>
      </c>
      <c r="B174" s="80" t="s">
        <v>1419</v>
      </c>
      <c r="C174" s="81">
        <v>45373</v>
      </c>
      <c r="D174" s="82">
        <v>0.41666666666666669</v>
      </c>
      <c r="E174" s="79" t="s">
        <v>151</v>
      </c>
      <c r="F174" s="79" t="s">
        <v>153</v>
      </c>
      <c r="G174" s="79" t="s">
        <v>152</v>
      </c>
      <c r="H174" s="79" t="s">
        <v>152</v>
      </c>
      <c r="I174" s="79" t="s">
        <v>152</v>
      </c>
      <c r="J174" s="79" t="s">
        <v>154</v>
      </c>
      <c r="K174" s="79" t="s">
        <v>155</v>
      </c>
      <c r="L174" s="80" t="s">
        <v>1420</v>
      </c>
      <c r="M174" s="80" t="s">
        <v>229</v>
      </c>
      <c r="N174" s="79" t="s">
        <v>422</v>
      </c>
      <c r="O174" s="80" t="str">
        <f t="shared" si="63"/>
        <v/>
      </c>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t="s">
        <v>230</v>
      </c>
      <c r="AP174" s="79" t="s">
        <v>925</v>
      </c>
      <c r="AQ174" s="80" t="s">
        <v>1421</v>
      </c>
      <c r="AR174" s="83">
        <v>3002729972</v>
      </c>
      <c r="AS174" s="80" t="s">
        <v>1422</v>
      </c>
      <c r="AT174" s="80" t="str">
        <f t="shared" si="64"/>
        <v>Distrital</v>
      </c>
      <c r="AU174" s="79" t="s">
        <v>172</v>
      </c>
      <c r="AV174" s="79"/>
      <c r="AW174" s="79"/>
      <c r="AX174" s="79"/>
      <c r="AY174" s="79"/>
      <c r="AZ174" s="79"/>
      <c r="BA174" s="80" t="str">
        <f t="shared" si="65"/>
        <v>Distrital</v>
      </c>
      <c r="BB174" s="79" t="s">
        <v>172</v>
      </c>
      <c r="BC174" s="79"/>
      <c r="BD174" s="79"/>
      <c r="BE174" s="79"/>
      <c r="BF174" s="79"/>
      <c r="BG174" s="79"/>
      <c r="BH174" s="80" t="str">
        <f t="shared" si="66"/>
        <v>Distrital</v>
      </c>
      <c r="BI174" s="79" t="s">
        <v>172</v>
      </c>
      <c r="BJ174" s="79"/>
      <c r="BK174" s="79"/>
      <c r="BL174" s="79"/>
      <c r="BM174" s="79"/>
      <c r="BN174" s="79"/>
      <c r="BO174" s="79"/>
      <c r="BP174" s="79"/>
      <c r="BQ174" s="79"/>
      <c r="BR174" s="79"/>
      <c r="BS174" s="80" t="s">
        <v>288</v>
      </c>
      <c r="BT174" s="80" t="s">
        <v>174</v>
      </c>
      <c r="BU174" s="80" t="s">
        <v>1423</v>
      </c>
      <c r="BV174" s="71"/>
      <c r="BW174" s="79" t="s">
        <v>153</v>
      </c>
      <c r="BX174" s="79" t="s">
        <v>176</v>
      </c>
      <c r="BY174" s="71"/>
      <c r="BZ174" s="79">
        <v>31</v>
      </c>
      <c r="CA174" s="79">
        <v>2</v>
      </c>
      <c r="CB174" s="79">
        <f t="shared" si="25"/>
        <v>33</v>
      </c>
      <c r="CC174" s="79" t="str">
        <f t="shared" si="102"/>
        <v>No Aplica</v>
      </c>
      <c r="CD174" s="79" t="s">
        <v>177</v>
      </c>
      <c r="CE174" s="79"/>
      <c r="CF174" s="79"/>
      <c r="CG174" s="83" t="s">
        <v>1424</v>
      </c>
      <c r="CH174" s="41"/>
      <c r="CI174" s="79" t="s">
        <v>153</v>
      </c>
      <c r="CJ174" s="71"/>
      <c r="CK174" s="79">
        <f t="shared" si="38"/>
        <v>1</v>
      </c>
      <c r="CL174" s="79" t="s">
        <v>1425</v>
      </c>
      <c r="CM174" s="79"/>
      <c r="CN174" s="79"/>
      <c r="CO174" s="79"/>
      <c r="CP174" s="79"/>
      <c r="CQ174" s="79"/>
      <c r="CR174" s="83" t="s">
        <v>920</v>
      </c>
      <c r="CS174" s="83" t="s">
        <v>179</v>
      </c>
      <c r="CT174" s="83" t="s">
        <v>179</v>
      </c>
      <c r="CU174" s="83" t="s">
        <v>179</v>
      </c>
      <c r="CV174" s="83" t="s">
        <v>179</v>
      </c>
      <c r="CW174" s="83" t="s">
        <v>179</v>
      </c>
      <c r="CX174" s="79" t="s">
        <v>153</v>
      </c>
      <c r="CY174" s="79">
        <f t="shared" si="39"/>
        <v>1</v>
      </c>
      <c r="CZ174" s="79">
        <v>0</v>
      </c>
      <c r="DA174" s="79">
        <f t="shared" si="84"/>
        <v>0</v>
      </c>
      <c r="DB174" s="84">
        <f t="shared" si="46"/>
        <v>1</v>
      </c>
      <c r="DC174" s="41"/>
      <c r="DD174" s="79" t="s">
        <v>153</v>
      </c>
      <c r="DE174" s="71"/>
      <c r="DF174" s="85" t="s">
        <v>1426</v>
      </c>
      <c r="DG174" s="79">
        <v>166</v>
      </c>
      <c r="DH174" s="86" t="str">
        <f t="shared" si="85"/>
        <v>Completo</v>
      </c>
      <c r="DI174" s="79" t="s">
        <v>181</v>
      </c>
      <c r="DJ174" s="79" t="s">
        <v>182</v>
      </c>
      <c r="DK174" s="79"/>
      <c r="DL174" s="79">
        <v>0</v>
      </c>
      <c r="DM174" s="79">
        <v>0</v>
      </c>
      <c r="DN174" s="79" t="s">
        <v>182</v>
      </c>
      <c r="DO174" s="79"/>
      <c r="DP174" s="79"/>
      <c r="DQ174" s="79"/>
      <c r="DR174" s="75" t="str">
        <f t="shared" si="70"/>
        <v>No aplica</v>
      </c>
      <c r="DS174" s="79"/>
      <c r="DT174" s="79"/>
      <c r="DU174" s="75" t="str">
        <f t="shared" si="71"/>
        <v>No aplica</v>
      </c>
      <c r="DV174" s="79" t="s">
        <v>182</v>
      </c>
      <c r="DW174" s="79" t="s">
        <v>191</v>
      </c>
      <c r="DX174" s="79"/>
      <c r="DY174" s="79"/>
      <c r="DZ174" s="79"/>
      <c r="EA174" s="79"/>
      <c r="EB174" s="79" t="s">
        <v>182</v>
      </c>
      <c r="EC174" s="79" t="s">
        <v>769</v>
      </c>
      <c r="ED174" s="79" t="s">
        <v>184</v>
      </c>
      <c r="EE174" s="79" t="str">
        <f t="shared" si="94"/>
        <v>Completo</v>
      </c>
      <c r="EF174" s="41"/>
      <c r="EG174" s="79" t="s">
        <v>153</v>
      </c>
      <c r="EH174" s="71"/>
      <c r="EI174" s="80"/>
      <c r="EJ174" s="71"/>
      <c r="EK174" s="79" t="s">
        <v>179</v>
      </c>
      <c r="EL174" s="76" t="str">
        <f t="shared" si="72"/>
        <v>No requiere</v>
      </c>
      <c r="EM174" s="76" t="str">
        <f t="shared" si="73"/>
        <v>No requiere</v>
      </c>
      <c r="EN174" s="76" t="str">
        <f t="shared" si="103"/>
        <v>No requiere</v>
      </c>
      <c r="EO174" s="71"/>
      <c r="EP174" s="73" t="str">
        <f t="shared" si="75"/>
        <v>No requiere</v>
      </c>
      <c r="EQ174" s="77" t="str">
        <f t="shared" si="76"/>
        <v>No requiere</v>
      </c>
      <c r="ER174" s="71"/>
      <c r="ES174" s="79" t="s">
        <v>179</v>
      </c>
      <c r="ET174" s="73" t="str">
        <f t="shared" si="77"/>
        <v>No requiere</v>
      </c>
      <c r="EU174" s="73" t="str">
        <f t="shared" si="104"/>
        <v>No requiere</v>
      </c>
      <c r="EV174" s="73" t="str">
        <f t="shared" si="79"/>
        <v>No requiere</v>
      </c>
      <c r="EW174" s="73" t="str">
        <f t="shared" si="80"/>
        <v>No requiere</v>
      </c>
      <c r="EX174" s="78"/>
      <c r="EY174" s="78"/>
    </row>
    <row r="175" spans="1:155" ht="46.5" customHeight="1">
      <c r="A175" s="79">
        <v>171</v>
      </c>
      <c r="B175" s="80" t="s">
        <v>1427</v>
      </c>
      <c r="C175" s="81">
        <v>45373</v>
      </c>
      <c r="D175" s="82">
        <v>0.45833333333333331</v>
      </c>
      <c r="E175" s="79" t="s">
        <v>151</v>
      </c>
      <c r="F175" s="79" t="s">
        <v>153</v>
      </c>
      <c r="G175" s="79" t="s">
        <v>153</v>
      </c>
      <c r="H175" s="79" t="s">
        <v>153</v>
      </c>
      <c r="I175" s="79" t="s">
        <v>152</v>
      </c>
      <c r="J175" s="79" t="s">
        <v>154</v>
      </c>
      <c r="K175" s="79" t="s">
        <v>155</v>
      </c>
      <c r="L175" s="80" t="s">
        <v>600</v>
      </c>
      <c r="M175" s="80" t="s">
        <v>303</v>
      </c>
      <c r="N175" s="79" t="s">
        <v>819</v>
      </c>
      <c r="O175" s="80" t="str">
        <f t="shared" si="63"/>
        <v>Joan Sebastian García, Maria Alejandra Castañeda, Carlos Eduardo Escandón, Julio César Martínez, Manuel Fernando Vergara, Camilo Andrés Vásquez, Nathalia Guzmán Martínez, Zuly Marcela Mesa, Norberto Muñoz Morera, Laura Sofia Morales, Nixon Sandoval Mateus, Melina Julieta Solano, Sarah Lucia Triviño, Maria Angélica Higuera</v>
      </c>
      <c r="P175" s="79" t="s">
        <v>728</v>
      </c>
      <c r="Q175" s="79" t="s">
        <v>494</v>
      </c>
      <c r="R175" s="79" t="s">
        <v>819</v>
      </c>
      <c r="S175" s="79" t="s">
        <v>601</v>
      </c>
      <c r="T175" s="79" t="s">
        <v>820</v>
      </c>
      <c r="U175" s="79" t="s">
        <v>373</v>
      </c>
      <c r="V175" s="79" t="s">
        <v>166</v>
      </c>
      <c r="W175" s="79" t="s">
        <v>547</v>
      </c>
      <c r="X175" s="79" t="s">
        <v>161</v>
      </c>
      <c r="Y175" s="79" t="s">
        <v>506</v>
      </c>
      <c r="Z175" s="79" t="s">
        <v>644</v>
      </c>
      <c r="AA175" s="79" t="s">
        <v>168</v>
      </c>
      <c r="AB175" s="79" t="s">
        <v>499</v>
      </c>
      <c r="AC175" s="79" t="s">
        <v>328</v>
      </c>
      <c r="AD175" s="79"/>
      <c r="AE175" s="79"/>
      <c r="AF175" s="79"/>
      <c r="AG175" s="79"/>
      <c r="AH175" s="79"/>
      <c r="AI175" s="79"/>
      <c r="AJ175" s="79"/>
      <c r="AK175" s="79"/>
      <c r="AL175" s="79"/>
      <c r="AM175" s="79"/>
      <c r="AN175" s="79"/>
      <c r="AO175" s="79" t="s">
        <v>304</v>
      </c>
      <c r="AP175" s="79"/>
      <c r="AQ175" s="80" t="s">
        <v>171</v>
      </c>
      <c r="AR175" s="80" t="s">
        <v>171</v>
      </c>
      <c r="AS175" s="80" t="s">
        <v>171</v>
      </c>
      <c r="AT175" s="80" t="str">
        <f t="shared" si="64"/>
        <v>Suba</v>
      </c>
      <c r="AU175" s="79" t="s">
        <v>602</v>
      </c>
      <c r="AV175" s="79"/>
      <c r="AW175" s="79"/>
      <c r="AX175" s="79"/>
      <c r="AY175" s="79"/>
      <c r="AZ175" s="79"/>
      <c r="BA175" s="80" t="str">
        <f t="shared" si="65"/>
        <v>Noroccidente</v>
      </c>
      <c r="BB175" s="79" t="s">
        <v>603</v>
      </c>
      <c r="BC175" s="79"/>
      <c r="BD175" s="79"/>
      <c r="BE175" s="79"/>
      <c r="BF175" s="79"/>
      <c r="BG175" s="79"/>
      <c r="BH175" s="80" t="str">
        <f t="shared" si="66"/>
        <v>Tibabuyes</v>
      </c>
      <c r="BI175" s="79" t="s">
        <v>1378</v>
      </c>
      <c r="BJ175" s="79"/>
      <c r="BK175" s="79"/>
      <c r="BL175" s="79"/>
      <c r="BM175" s="79"/>
      <c r="BN175" s="79"/>
      <c r="BO175" s="79"/>
      <c r="BP175" s="79"/>
      <c r="BQ175" s="79"/>
      <c r="BR175" s="79"/>
      <c r="BS175" s="80" t="s">
        <v>288</v>
      </c>
      <c r="BT175" s="80" t="s">
        <v>605</v>
      </c>
      <c r="BU175" s="80" t="s">
        <v>1428</v>
      </c>
      <c r="BV175" s="71"/>
      <c r="BW175" s="79" t="s">
        <v>153</v>
      </c>
      <c r="BX175" s="79" t="s">
        <v>607</v>
      </c>
      <c r="BY175" s="71"/>
      <c r="BZ175" s="79">
        <v>54</v>
      </c>
      <c r="CA175" s="79">
        <v>14</v>
      </c>
      <c r="CB175" s="79">
        <f t="shared" si="25"/>
        <v>68</v>
      </c>
      <c r="CC175" s="79" t="str">
        <f t="shared" si="102"/>
        <v>Horarios Acordes</v>
      </c>
      <c r="CD175" s="79" t="s">
        <v>351</v>
      </c>
      <c r="CE175" s="79"/>
      <c r="CF175" s="79"/>
      <c r="CG175" s="83" t="s">
        <v>1429</v>
      </c>
      <c r="CH175" s="41"/>
      <c r="CI175" s="79" t="s">
        <v>153</v>
      </c>
      <c r="CJ175" s="71"/>
      <c r="CK175" s="79">
        <f t="shared" si="38"/>
        <v>1</v>
      </c>
      <c r="CL175" s="79" t="s">
        <v>1316</v>
      </c>
      <c r="CM175" s="79"/>
      <c r="CN175" s="79"/>
      <c r="CO175" s="79"/>
      <c r="CP175" s="79"/>
      <c r="CQ175" s="79"/>
      <c r="CR175" s="83" t="s">
        <v>390</v>
      </c>
      <c r="CS175" s="83" t="s">
        <v>179</v>
      </c>
      <c r="CT175" s="83" t="s">
        <v>179</v>
      </c>
      <c r="CU175" s="83" t="s">
        <v>179</v>
      </c>
      <c r="CV175" s="83" t="s">
        <v>179</v>
      </c>
      <c r="CW175" s="83" t="s">
        <v>179</v>
      </c>
      <c r="CX175" s="79" t="s">
        <v>153</v>
      </c>
      <c r="CY175" s="79">
        <f t="shared" si="39"/>
        <v>1</v>
      </c>
      <c r="CZ175" s="79">
        <v>1</v>
      </c>
      <c r="DA175" s="79">
        <f t="shared" si="84"/>
        <v>1</v>
      </c>
      <c r="DB175" s="84">
        <f t="shared" si="46"/>
        <v>1</v>
      </c>
      <c r="DC175" s="41"/>
      <c r="DD175" s="79" t="s">
        <v>153</v>
      </c>
      <c r="DE175" s="71"/>
      <c r="DF175" s="85" t="s">
        <v>1430</v>
      </c>
      <c r="DG175" s="79">
        <v>167</v>
      </c>
      <c r="DH175" s="86" t="str">
        <f t="shared" si="85"/>
        <v>Completo</v>
      </c>
      <c r="DI175" s="79" t="s">
        <v>181</v>
      </c>
      <c r="DJ175" s="79" t="s">
        <v>182</v>
      </c>
      <c r="DK175" s="79" t="s">
        <v>153</v>
      </c>
      <c r="DL175" s="79">
        <v>0</v>
      </c>
      <c r="DM175" s="79">
        <v>0</v>
      </c>
      <c r="DN175" s="79" t="s">
        <v>182</v>
      </c>
      <c r="DO175" s="79">
        <v>5789</v>
      </c>
      <c r="DP175" s="79" t="s">
        <v>182</v>
      </c>
      <c r="DQ175" s="79">
        <v>6</v>
      </c>
      <c r="DR175" s="75">
        <f t="shared" si="70"/>
        <v>0.37037037037037041</v>
      </c>
      <c r="DS175" s="79" t="s">
        <v>182</v>
      </c>
      <c r="DT175" s="79">
        <v>19</v>
      </c>
      <c r="DU175" s="75">
        <f t="shared" si="71"/>
        <v>1.0052910052910053</v>
      </c>
      <c r="DV175" s="79" t="s">
        <v>182</v>
      </c>
      <c r="DW175" s="79" t="s">
        <v>182</v>
      </c>
      <c r="DX175" s="79">
        <v>4</v>
      </c>
      <c r="DY175" s="79">
        <v>1</v>
      </c>
      <c r="DZ175" s="79" t="s">
        <v>1431</v>
      </c>
      <c r="EA175" s="79">
        <v>5789</v>
      </c>
      <c r="EB175" s="79" t="s">
        <v>182</v>
      </c>
      <c r="EC175" s="79" t="s">
        <v>1432</v>
      </c>
      <c r="ED175" s="79" t="s">
        <v>184</v>
      </c>
      <c r="EE175" s="79" t="str">
        <f t="shared" si="94"/>
        <v>Completo</v>
      </c>
      <c r="EF175" s="41"/>
      <c r="EG175" s="79" t="s">
        <v>153</v>
      </c>
      <c r="EH175" s="71"/>
      <c r="EI175" s="90" t="s">
        <v>1433</v>
      </c>
      <c r="EJ175" s="71"/>
      <c r="EK175" s="79" t="s">
        <v>409</v>
      </c>
      <c r="EL175" s="76" t="str">
        <f t="shared" si="72"/>
        <v>Sí</v>
      </c>
      <c r="EM175" s="76" t="str">
        <f t="shared" si="73"/>
        <v>Sí</v>
      </c>
      <c r="EN175" s="76" t="str">
        <f t="shared" si="103"/>
        <v>Sí</v>
      </c>
      <c r="EO175" s="71"/>
      <c r="EP175" s="73" t="str">
        <f t="shared" si="75"/>
        <v>No aplica</v>
      </c>
      <c r="EQ175" s="77">
        <f t="shared" si="76"/>
        <v>1.0052910052910053</v>
      </c>
      <c r="ER175" s="71"/>
      <c r="ES175" s="79" t="s">
        <v>409</v>
      </c>
      <c r="ET175" s="73">
        <f t="shared" si="77"/>
        <v>1</v>
      </c>
      <c r="EU175" s="73">
        <f t="shared" si="104"/>
        <v>1</v>
      </c>
      <c r="EV175" s="73">
        <f t="shared" si="79"/>
        <v>1</v>
      </c>
      <c r="EW175" s="73">
        <f t="shared" si="80"/>
        <v>1</v>
      </c>
      <c r="EX175" s="78"/>
      <c r="EY175" s="78"/>
    </row>
    <row r="176" spans="1:155" ht="46.5" customHeight="1">
      <c r="A176" s="79">
        <v>172</v>
      </c>
      <c r="B176" s="80" t="s">
        <v>1434</v>
      </c>
      <c r="C176" s="81">
        <v>45373</v>
      </c>
      <c r="D176" s="82">
        <v>0.54166666666666663</v>
      </c>
      <c r="E176" s="79" t="s">
        <v>151</v>
      </c>
      <c r="F176" s="79" t="s">
        <v>153</v>
      </c>
      <c r="G176" s="79" t="s">
        <v>152</v>
      </c>
      <c r="H176" s="79" t="s">
        <v>152</v>
      </c>
      <c r="I176" s="79" t="s">
        <v>152</v>
      </c>
      <c r="J176" s="79" t="s">
        <v>154</v>
      </c>
      <c r="K176" s="79" t="s">
        <v>155</v>
      </c>
      <c r="L176" s="80" t="s">
        <v>1435</v>
      </c>
      <c r="M176" s="80" t="s">
        <v>229</v>
      </c>
      <c r="N176" s="79" t="s">
        <v>346</v>
      </c>
      <c r="O176" s="80" t="str">
        <f t="shared" si="63"/>
        <v/>
      </c>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t="s">
        <v>230</v>
      </c>
      <c r="AP176" s="79" t="s">
        <v>925</v>
      </c>
      <c r="AQ176" s="80" t="s">
        <v>1436</v>
      </c>
      <c r="AR176" s="80" t="s">
        <v>171</v>
      </c>
      <c r="AS176" s="80" t="s">
        <v>171</v>
      </c>
      <c r="AT176" s="80" t="str">
        <f t="shared" si="64"/>
        <v>Distrital</v>
      </c>
      <c r="AU176" s="79" t="s">
        <v>172</v>
      </c>
      <c r="AV176" s="79"/>
      <c r="AW176" s="79"/>
      <c r="AX176" s="79"/>
      <c r="AY176" s="79"/>
      <c r="AZ176" s="79"/>
      <c r="BA176" s="80" t="str">
        <f t="shared" si="65"/>
        <v>Distrital</v>
      </c>
      <c r="BB176" s="79" t="s">
        <v>172</v>
      </c>
      <c r="BC176" s="79"/>
      <c r="BD176" s="79"/>
      <c r="BE176" s="79"/>
      <c r="BF176" s="79"/>
      <c r="BG176" s="79"/>
      <c r="BH176" s="80" t="str">
        <f t="shared" si="66"/>
        <v/>
      </c>
      <c r="BI176" s="79"/>
      <c r="BJ176" s="79"/>
      <c r="BK176" s="79"/>
      <c r="BL176" s="79"/>
      <c r="BM176" s="79"/>
      <c r="BN176" s="79"/>
      <c r="BO176" s="79"/>
      <c r="BP176" s="79"/>
      <c r="BQ176" s="79"/>
      <c r="BR176" s="79"/>
      <c r="BS176" s="80" t="s">
        <v>288</v>
      </c>
      <c r="BT176" s="80" t="s">
        <v>538</v>
      </c>
      <c r="BU176" s="80" t="s">
        <v>1437</v>
      </c>
      <c r="BV176" s="71"/>
      <c r="BW176" s="79" t="s">
        <v>153</v>
      </c>
      <c r="BX176" s="79" t="s">
        <v>176</v>
      </c>
      <c r="BY176" s="71"/>
      <c r="BZ176" s="79">
        <v>12</v>
      </c>
      <c r="CA176" s="79">
        <v>3</v>
      </c>
      <c r="CB176" s="79">
        <f t="shared" si="25"/>
        <v>15</v>
      </c>
      <c r="CC176" s="79" t="str">
        <f t="shared" si="102"/>
        <v>No Aplica</v>
      </c>
      <c r="CD176" s="79" t="s">
        <v>177</v>
      </c>
      <c r="CE176" s="79"/>
      <c r="CF176" s="79"/>
      <c r="CG176" s="83" t="s">
        <v>1084</v>
      </c>
      <c r="CH176" s="41"/>
      <c r="CI176" s="79" t="s">
        <v>153</v>
      </c>
      <c r="CJ176" s="71"/>
      <c r="CK176" s="79">
        <f t="shared" si="38"/>
        <v>0</v>
      </c>
      <c r="CL176" s="79"/>
      <c r="CM176" s="79"/>
      <c r="CN176" s="79"/>
      <c r="CO176" s="79"/>
      <c r="CP176" s="79"/>
      <c r="CQ176" s="79"/>
      <c r="CR176" s="83" t="s">
        <v>179</v>
      </c>
      <c r="CS176" s="83" t="s">
        <v>179</v>
      </c>
      <c r="CT176" s="83" t="s">
        <v>179</v>
      </c>
      <c r="CU176" s="83" t="s">
        <v>179</v>
      </c>
      <c r="CV176" s="83" t="s">
        <v>179</v>
      </c>
      <c r="CW176" s="83" t="s">
        <v>179</v>
      </c>
      <c r="CX176" s="79" t="s">
        <v>153</v>
      </c>
      <c r="CY176" s="79">
        <f t="shared" si="39"/>
        <v>0</v>
      </c>
      <c r="CZ176" s="79">
        <v>0</v>
      </c>
      <c r="DA176" s="79">
        <f t="shared" si="84"/>
        <v>0</v>
      </c>
      <c r="DB176" s="84" t="str">
        <f t="shared" si="46"/>
        <v/>
      </c>
      <c r="DC176" s="41"/>
      <c r="DD176" s="79" t="s">
        <v>153</v>
      </c>
      <c r="DE176" s="71"/>
      <c r="DF176" s="85" t="s">
        <v>1438</v>
      </c>
      <c r="DG176" s="79">
        <v>168</v>
      </c>
      <c r="DH176" s="86" t="str">
        <f t="shared" si="85"/>
        <v>Completo</v>
      </c>
      <c r="DI176" s="79" t="s">
        <v>181</v>
      </c>
      <c r="DJ176" s="79" t="s">
        <v>182</v>
      </c>
      <c r="DK176" s="79"/>
      <c r="DL176" s="79"/>
      <c r="DM176" s="79"/>
      <c r="DN176" s="79" t="s">
        <v>182</v>
      </c>
      <c r="DO176" s="79"/>
      <c r="DP176" s="79"/>
      <c r="DQ176" s="79"/>
      <c r="DR176" s="75" t="str">
        <f t="shared" si="70"/>
        <v>No aplica</v>
      </c>
      <c r="DS176" s="79"/>
      <c r="DT176" s="79"/>
      <c r="DU176" s="75" t="str">
        <f t="shared" si="71"/>
        <v>No aplica</v>
      </c>
      <c r="DV176" s="79" t="s">
        <v>182</v>
      </c>
      <c r="DW176" s="79" t="s">
        <v>191</v>
      </c>
      <c r="DX176" s="79"/>
      <c r="DY176" s="79"/>
      <c r="DZ176" s="79"/>
      <c r="EA176" s="79"/>
      <c r="EB176" s="79" t="s">
        <v>182</v>
      </c>
      <c r="EC176" s="79" t="s">
        <v>769</v>
      </c>
      <c r="ED176" s="79" t="s">
        <v>249</v>
      </c>
      <c r="EE176" s="79" t="str">
        <f t="shared" si="94"/>
        <v>Completo</v>
      </c>
      <c r="EF176" s="41"/>
      <c r="EG176" s="79" t="s">
        <v>153</v>
      </c>
      <c r="EH176" s="71"/>
      <c r="EI176" s="80"/>
      <c r="EJ176" s="71"/>
      <c r="EK176" s="79" t="s">
        <v>179</v>
      </c>
      <c r="EL176" s="76" t="str">
        <f t="shared" si="72"/>
        <v>No requiere</v>
      </c>
      <c r="EM176" s="76" t="str">
        <f t="shared" si="73"/>
        <v>No requiere</v>
      </c>
      <c r="EN176" s="76" t="str">
        <f t="shared" si="103"/>
        <v>No requiere</v>
      </c>
      <c r="EO176" s="71"/>
      <c r="EP176" s="73" t="str">
        <f t="shared" si="75"/>
        <v>No requiere</v>
      </c>
      <c r="EQ176" s="77" t="str">
        <f t="shared" si="76"/>
        <v>No requiere</v>
      </c>
      <c r="ER176" s="71"/>
      <c r="ES176" s="79" t="s">
        <v>179</v>
      </c>
      <c r="ET176" s="73" t="str">
        <f t="shared" si="77"/>
        <v>No requiere</v>
      </c>
      <c r="EU176" s="73" t="str">
        <f t="shared" si="104"/>
        <v>No requiere</v>
      </c>
      <c r="EV176" s="73" t="str">
        <f t="shared" si="79"/>
        <v>No requiere</v>
      </c>
      <c r="EW176" s="73" t="str">
        <f t="shared" si="80"/>
        <v>No requiere</v>
      </c>
      <c r="EX176" s="78"/>
      <c r="EY176" s="78"/>
    </row>
    <row r="177" spans="1:155" ht="46.5" customHeight="1">
      <c r="A177" s="79">
        <v>173</v>
      </c>
      <c r="B177" s="80" t="s">
        <v>1320</v>
      </c>
      <c r="C177" s="81">
        <v>45373</v>
      </c>
      <c r="D177" s="82">
        <v>0.58333333333333337</v>
      </c>
      <c r="E177" s="79" t="s">
        <v>200</v>
      </c>
      <c r="F177" s="79" t="s">
        <v>153</v>
      </c>
      <c r="G177" s="79" t="s">
        <v>152</v>
      </c>
      <c r="H177" s="79" t="s">
        <v>152</v>
      </c>
      <c r="I177" s="79" t="s">
        <v>152</v>
      </c>
      <c r="J177" s="79" t="s">
        <v>211</v>
      </c>
      <c r="K177" s="79" t="s">
        <v>202</v>
      </c>
      <c r="L177" s="80" t="s">
        <v>1439</v>
      </c>
      <c r="M177" s="80" t="s">
        <v>624</v>
      </c>
      <c r="N177" s="79" t="s">
        <v>888</v>
      </c>
      <c r="O177" s="80" t="str">
        <f t="shared" si="63"/>
        <v/>
      </c>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t="s">
        <v>230</v>
      </c>
      <c r="AP177" s="79" t="s">
        <v>242</v>
      </c>
      <c r="AQ177" s="80" t="s">
        <v>1322</v>
      </c>
      <c r="AR177" s="80" t="s">
        <v>1323</v>
      </c>
      <c r="AS177" s="80" t="s">
        <v>1324</v>
      </c>
      <c r="AT177" s="80" t="str">
        <f t="shared" si="64"/>
        <v>Distrital</v>
      </c>
      <c r="AU177" s="79" t="s">
        <v>172</v>
      </c>
      <c r="AV177" s="79"/>
      <c r="AW177" s="79"/>
      <c r="AX177" s="79"/>
      <c r="AY177" s="79"/>
      <c r="AZ177" s="79"/>
      <c r="BA177" s="80" t="str">
        <f t="shared" si="65"/>
        <v>Distrital</v>
      </c>
      <c r="BB177" s="79" t="s">
        <v>172</v>
      </c>
      <c r="BC177" s="79"/>
      <c r="BD177" s="79"/>
      <c r="BE177" s="79"/>
      <c r="BF177" s="79"/>
      <c r="BG177" s="79"/>
      <c r="BH177" s="80" t="str">
        <f t="shared" si="66"/>
        <v>Distrital</v>
      </c>
      <c r="BI177" s="79" t="s">
        <v>172</v>
      </c>
      <c r="BJ177" s="79"/>
      <c r="BK177" s="79"/>
      <c r="BL177" s="79"/>
      <c r="BM177" s="79"/>
      <c r="BN177" s="79"/>
      <c r="BO177" s="79"/>
      <c r="BP177" s="79"/>
      <c r="BQ177" s="79"/>
      <c r="BR177" s="79"/>
      <c r="BS177" s="80" t="s">
        <v>288</v>
      </c>
      <c r="BT177" s="80" t="s">
        <v>174</v>
      </c>
      <c r="BU177" s="89" t="s">
        <v>1440</v>
      </c>
      <c r="BV177" s="71"/>
      <c r="BW177" s="79" t="s">
        <v>152</v>
      </c>
      <c r="BX177" s="79" t="s">
        <v>179</v>
      </c>
      <c r="BY177" s="71"/>
      <c r="BZ177" s="79">
        <v>9</v>
      </c>
      <c r="CA177" s="79">
        <v>1</v>
      </c>
      <c r="CB177" s="79">
        <f t="shared" si="25"/>
        <v>10</v>
      </c>
      <c r="CC177" s="79" t="str">
        <f t="shared" si="102"/>
        <v>No Aplica</v>
      </c>
      <c r="CD177" s="79" t="s">
        <v>177</v>
      </c>
      <c r="CE177" s="79"/>
      <c r="CF177" s="79"/>
      <c r="CG177" s="83" t="s">
        <v>1441</v>
      </c>
      <c r="CH177" s="41"/>
      <c r="CI177" s="79" t="s">
        <v>153</v>
      </c>
      <c r="CJ177" s="71"/>
      <c r="CK177" s="79">
        <f t="shared" si="38"/>
        <v>0</v>
      </c>
      <c r="CL177" s="79"/>
      <c r="CM177" s="79"/>
      <c r="CN177" s="79"/>
      <c r="CO177" s="79"/>
      <c r="CP177" s="79"/>
      <c r="CQ177" s="79"/>
      <c r="CR177" s="83" t="s">
        <v>179</v>
      </c>
      <c r="CS177" s="83" t="s">
        <v>179</v>
      </c>
      <c r="CT177" s="83" t="s">
        <v>179</v>
      </c>
      <c r="CU177" s="83" t="s">
        <v>179</v>
      </c>
      <c r="CV177" s="83" t="s">
        <v>179</v>
      </c>
      <c r="CW177" s="83" t="s">
        <v>179</v>
      </c>
      <c r="CX177" s="79" t="s">
        <v>153</v>
      </c>
      <c r="CY177" s="79">
        <f t="shared" si="39"/>
        <v>0</v>
      </c>
      <c r="CZ177" s="79">
        <v>0</v>
      </c>
      <c r="DA177" s="79">
        <f t="shared" si="84"/>
        <v>0</v>
      </c>
      <c r="DB177" s="84" t="str">
        <f t="shared" si="46"/>
        <v/>
      </c>
      <c r="DC177" s="41"/>
      <c r="DD177" s="79" t="s">
        <v>153</v>
      </c>
      <c r="DE177" s="71"/>
      <c r="DF177" s="85" t="s">
        <v>1442</v>
      </c>
      <c r="DG177" s="79">
        <v>169</v>
      </c>
      <c r="DH177" s="86" t="str">
        <f t="shared" si="85"/>
        <v>Completo</v>
      </c>
      <c r="DI177" s="79" t="s">
        <v>181</v>
      </c>
      <c r="DJ177" s="79" t="s">
        <v>182</v>
      </c>
      <c r="DK177" s="79"/>
      <c r="DL177" s="79"/>
      <c r="DM177" s="79"/>
      <c r="DN177" s="79" t="s">
        <v>182</v>
      </c>
      <c r="DO177" s="79"/>
      <c r="DP177" s="79"/>
      <c r="DQ177" s="79"/>
      <c r="DR177" s="75" t="str">
        <f t="shared" si="70"/>
        <v>No aplica</v>
      </c>
      <c r="DS177" s="79"/>
      <c r="DT177" s="79"/>
      <c r="DU177" s="75" t="str">
        <f t="shared" si="71"/>
        <v>No aplica</v>
      </c>
      <c r="DV177" s="79" t="s">
        <v>182</v>
      </c>
      <c r="DW177" s="79" t="s">
        <v>182</v>
      </c>
      <c r="DX177" s="79"/>
      <c r="DY177" s="79"/>
      <c r="DZ177" s="79"/>
      <c r="EA177" s="79"/>
      <c r="EB177" s="79" t="s">
        <v>182</v>
      </c>
      <c r="EC177" s="79" t="s">
        <v>1295</v>
      </c>
      <c r="ED177" s="79" t="s">
        <v>184</v>
      </c>
      <c r="EE177" s="79" t="str">
        <f t="shared" si="94"/>
        <v>Completo</v>
      </c>
      <c r="EF177" s="41"/>
      <c r="EG177" s="79" t="s">
        <v>153</v>
      </c>
      <c r="EH177" s="71"/>
      <c r="EI177" s="80"/>
      <c r="EJ177" s="71"/>
      <c r="EK177" s="79" t="s">
        <v>179</v>
      </c>
      <c r="EL177" s="76" t="str">
        <f t="shared" si="72"/>
        <v>No requiere</v>
      </c>
      <c r="EM177" s="76" t="str">
        <f t="shared" si="73"/>
        <v>No requiere</v>
      </c>
      <c r="EN177" s="76" t="str">
        <f t="shared" si="103"/>
        <v>No requiere</v>
      </c>
      <c r="EO177" s="71"/>
      <c r="EP177" s="73" t="str">
        <f t="shared" si="75"/>
        <v>No requiere</v>
      </c>
      <c r="EQ177" s="77" t="str">
        <f t="shared" si="76"/>
        <v>No requiere</v>
      </c>
      <c r="ER177" s="71"/>
      <c r="ES177" s="79" t="s">
        <v>179</v>
      </c>
      <c r="ET177" s="73" t="str">
        <f t="shared" si="77"/>
        <v>No requiere</v>
      </c>
      <c r="EU177" s="73" t="str">
        <f t="shared" si="104"/>
        <v>No requiere</v>
      </c>
      <c r="EV177" s="73" t="str">
        <f t="shared" si="79"/>
        <v>No requiere</v>
      </c>
      <c r="EW177" s="73" t="str">
        <f t="shared" si="80"/>
        <v>No requiere</v>
      </c>
      <c r="EX177" s="78"/>
      <c r="EY177" s="78"/>
    </row>
    <row r="178" spans="1:155" ht="46.5" customHeight="1">
      <c r="A178" s="79">
        <v>174</v>
      </c>
      <c r="B178" s="80" t="s">
        <v>1443</v>
      </c>
      <c r="C178" s="81">
        <v>45373</v>
      </c>
      <c r="D178" s="82">
        <v>0.625</v>
      </c>
      <c r="E178" s="79" t="s">
        <v>151</v>
      </c>
      <c r="F178" s="79" t="s">
        <v>153</v>
      </c>
      <c r="G178" s="79" t="s">
        <v>153</v>
      </c>
      <c r="H178" s="79" t="s">
        <v>153</v>
      </c>
      <c r="I178" s="79" t="s">
        <v>152</v>
      </c>
      <c r="J178" s="79" t="s">
        <v>154</v>
      </c>
      <c r="K178" s="79" t="s">
        <v>155</v>
      </c>
      <c r="L178" s="80" t="s">
        <v>600</v>
      </c>
      <c r="M178" s="80" t="s">
        <v>303</v>
      </c>
      <c r="N178" s="79" t="s">
        <v>525</v>
      </c>
      <c r="O178" s="80" t="str">
        <f t="shared" si="63"/>
        <v>César Augusto Barrantes, Sebastian Potes Buitrago, Germán Ramón Jacome, Yohan David Díaz, Aida Vanessa Rocha, Mario Herrera, Andres Castro Latorre, Juan Pablo Serna, James Fernando Núñez, David Alejandro Mendieta, Paula Andrea González, Diego Alejandro Camacho, Jimmy Alejandro Osorio, Camila María Santana</v>
      </c>
      <c r="P178" s="79" t="s">
        <v>729</v>
      </c>
      <c r="Q178" s="79" t="s">
        <v>545</v>
      </c>
      <c r="R178" s="79" t="s">
        <v>525</v>
      </c>
      <c r="S178" s="79" t="s">
        <v>164</v>
      </c>
      <c r="T178" s="79" t="s">
        <v>801</v>
      </c>
      <c r="U178" s="79" t="s">
        <v>631</v>
      </c>
      <c r="V178" s="79" t="s">
        <v>749</v>
      </c>
      <c r="W178" s="79" t="s">
        <v>818</v>
      </c>
      <c r="X178" s="79" t="s">
        <v>632</v>
      </c>
      <c r="Y178" s="79" t="s">
        <v>1444</v>
      </c>
      <c r="Z178" s="79" t="s">
        <v>158</v>
      </c>
      <c r="AA178" s="79" t="s">
        <v>422</v>
      </c>
      <c r="AB178" s="79" t="s">
        <v>549</v>
      </c>
      <c r="AC178" s="79" t="s">
        <v>861</v>
      </c>
      <c r="AD178" s="79"/>
      <c r="AE178" s="79"/>
      <c r="AF178" s="79"/>
      <c r="AG178" s="79"/>
      <c r="AH178" s="79"/>
      <c r="AI178" s="79"/>
      <c r="AJ178" s="79"/>
      <c r="AK178" s="79"/>
      <c r="AL178" s="79"/>
      <c r="AM178" s="79"/>
      <c r="AN178" s="79"/>
      <c r="AO178" s="79" t="s">
        <v>304</v>
      </c>
      <c r="AP178" s="79"/>
      <c r="AQ178" s="80" t="s">
        <v>171</v>
      </c>
      <c r="AR178" s="80" t="s">
        <v>171</v>
      </c>
      <c r="AS178" s="80" t="s">
        <v>171</v>
      </c>
      <c r="AT178" s="80" t="str">
        <f t="shared" si="64"/>
        <v>Usaquén</v>
      </c>
      <c r="AU178" s="79" t="s">
        <v>661</v>
      </c>
      <c r="AV178" s="79"/>
      <c r="AW178" s="79"/>
      <c r="AX178" s="79"/>
      <c r="AY178" s="79"/>
      <c r="AZ178" s="79"/>
      <c r="BA178" s="80" t="str">
        <f t="shared" si="65"/>
        <v>Norte</v>
      </c>
      <c r="BB178" s="79" t="s">
        <v>662</v>
      </c>
      <c r="BC178" s="79"/>
      <c r="BD178" s="79"/>
      <c r="BE178" s="79"/>
      <c r="BF178" s="79"/>
      <c r="BG178" s="79"/>
      <c r="BH178" s="80" t="str">
        <f t="shared" si="66"/>
        <v>Toberín</v>
      </c>
      <c r="BI178" s="79" t="s">
        <v>804</v>
      </c>
      <c r="BJ178" s="79"/>
      <c r="BK178" s="79"/>
      <c r="BL178" s="79"/>
      <c r="BM178" s="79"/>
      <c r="BN178" s="79"/>
      <c r="BO178" s="79"/>
      <c r="BP178" s="79"/>
      <c r="BQ178" s="79"/>
      <c r="BR178" s="79"/>
      <c r="BS178" s="80" t="s">
        <v>288</v>
      </c>
      <c r="BT178" s="80" t="s">
        <v>605</v>
      </c>
      <c r="BU178" s="80" t="s">
        <v>1445</v>
      </c>
      <c r="BV178" s="71"/>
      <c r="BW178" s="79" t="s">
        <v>153</v>
      </c>
      <c r="BX178" s="79" t="s">
        <v>607</v>
      </c>
      <c r="BY178" s="71"/>
      <c r="BZ178" s="79">
        <v>54</v>
      </c>
      <c r="CA178" s="79">
        <v>14</v>
      </c>
      <c r="CB178" s="79">
        <f t="shared" si="25"/>
        <v>68</v>
      </c>
      <c r="CC178" s="79" t="str">
        <f t="shared" si="102"/>
        <v>Horarios Acordes</v>
      </c>
      <c r="CD178" s="79" t="s">
        <v>351</v>
      </c>
      <c r="CE178" s="79"/>
      <c r="CF178" s="79"/>
      <c r="CG178" s="83" t="s">
        <v>600</v>
      </c>
      <c r="CH178" s="41"/>
      <c r="CI178" s="79" t="s">
        <v>153</v>
      </c>
      <c r="CJ178" s="71"/>
      <c r="CK178" s="79">
        <f t="shared" si="38"/>
        <v>1</v>
      </c>
      <c r="CL178" s="79" t="s">
        <v>1316</v>
      </c>
      <c r="CM178" s="79"/>
      <c r="CN178" s="79"/>
      <c r="CO178" s="79"/>
      <c r="CP178" s="79"/>
      <c r="CQ178" s="79"/>
      <c r="CR178" s="83" t="s">
        <v>390</v>
      </c>
      <c r="CS178" s="83" t="s">
        <v>179</v>
      </c>
      <c r="CT178" s="83" t="s">
        <v>179</v>
      </c>
      <c r="CU178" s="83" t="s">
        <v>179</v>
      </c>
      <c r="CV178" s="83" t="s">
        <v>179</v>
      </c>
      <c r="CW178" s="83" t="s">
        <v>179</v>
      </c>
      <c r="CX178" s="79" t="s">
        <v>153</v>
      </c>
      <c r="CY178" s="79">
        <f t="shared" si="39"/>
        <v>1</v>
      </c>
      <c r="CZ178" s="79">
        <v>1</v>
      </c>
      <c r="DA178" s="79">
        <f t="shared" si="84"/>
        <v>1</v>
      </c>
      <c r="DB178" s="84">
        <f t="shared" si="46"/>
        <v>1</v>
      </c>
      <c r="DC178" s="41"/>
      <c r="DD178" s="79" t="s">
        <v>153</v>
      </c>
      <c r="DE178" s="71"/>
      <c r="DF178" s="85" t="s">
        <v>1446</v>
      </c>
      <c r="DG178" s="79">
        <v>170</v>
      </c>
      <c r="DH178" s="86" t="str">
        <f t="shared" si="85"/>
        <v>Completo</v>
      </c>
      <c r="DI178" s="79" t="s">
        <v>181</v>
      </c>
      <c r="DJ178" s="79" t="s">
        <v>182</v>
      </c>
      <c r="DK178" s="79" t="s">
        <v>153</v>
      </c>
      <c r="DL178" s="79">
        <v>0</v>
      </c>
      <c r="DM178" s="79">
        <v>0</v>
      </c>
      <c r="DN178" s="79" t="s">
        <v>182</v>
      </c>
      <c r="DO178" s="79">
        <v>2899</v>
      </c>
      <c r="DP178" s="79" t="s">
        <v>182</v>
      </c>
      <c r="DQ178" s="79">
        <v>19</v>
      </c>
      <c r="DR178" s="75">
        <f t="shared" si="70"/>
        <v>1.1728395061728396</v>
      </c>
      <c r="DS178" s="79" t="s">
        <v>182</v>
      </c>
      <c r="DT178" s="79">
        <v>32</v>
      </c>
      <c r="DU178" s="75">
        <f t="shared" si="71"/>
        <v>1.6931216931216932</v>
      </c>
      <c r="DV178" s="79" t="s">
        <v>182</v>
      </c>
      <c r="DW178" s="79" t="s">
        <v>182</v>
      </c>
      <c r="DX178" s="79">
        <v>3</v>
      </c>
      <c r="DY178" s="79">
        <v>1</v>
      </c>
      <c r="DZ178" s="79" t="s">
        <v>1447</v>
      </c>
      <c r="EA178" s="79">
        <v>2899</v>
      </c>
      <c r="EB178" s="79" t="s">
        <v>182</v>
      </c>
      <c r="EC178" s="79" t="s">
        <v>1448</v>
      </c>
      <c r="ED178" s="79" t="s">
        <v>184</v>
      </c>
      <c r="EE178" s="79" t="str">
        <f t="shared" si="94"/>
        <v>Completo</v>
      </c>
      <c r="EF178" s="41"/>
      <c r="EG178" s="79" t="s">
        <v>153</v>
      </c>
      <c r="EH178" s="71"/>
      <c r="EI178" s="90" t="s">
        <v>1449</v>
      </c>
      <c r="EJ178" s="71"/>
      <c r="EK178" s="79" t="s">
        <v>393</v>
      </c>
      <c r="EL178" s="76" t="str">
        <f t="shared" si="72"/>
        <v>Sí</v>
      </c>
      <c r="EM178" s="76" t="str">
        <f t="shared" si="73"/>
        <v>Sí</v>
      </c>
      <c r="EN178" s="76" t="str">
        <f t="shared" si="103"/>
        <v>Sí</v>
      </c>
      <c r="EO178" s="71"/>
      <c r="EP178" s="73" t="str">
        <f t="shared" si="75"/>
        <v>No aplica</v>
      </c>
      <c r="EQ178" s="77">
        <f t="shared" si="76"/>
        <v>1.6931216931216932</v>
      </c>
      <c r="ER178" s="71"/>
      <c r="ES178" s="79" t="s">
        <v>393</v>
      </c>
      <c r="ET178" s="73">
        <f t="shared" si="77"/>
        <v>1</v>
      </c>
      <c r="EU178" s="73">
        <f t="shared" si="104"/>
        <v>1</v>
      </c>
      <c r="EV178" s="73">
        <f t="shared" si="79"/>
        <v>1</v>
      </c>
      <c r="EW178" s="73">
        <f t="shared" si="80"/>
        <v>1</v>
      </c>
      <c r="EX178" s="78"/>
      <c r="EY178" s="78"/>
    </row>
    <row r="179" spans="1:155" ht="46.5" customHeight="1">
      <c r="A179" s="79">
        <v>175</v>
      </c>
      <c r="B179" s="80" t="s">
        <v>1450</v>
      </c>
      <c r="C179" s="81">
        <v>45373</v>
      </c>
      <c r="D179" s="82">
        <v>0.625</v>
      </c>
      <c r="E179" s="79" t="s">
        <v>151</v>
      </c>
      <c r="F179" s="79" t="s">
        <v>153</v>
      </c>
      <c r="G179" s="79" t="s">
        <v>153</v>
      </c>
      <c r="H179" s="79" t="s">
        <v>152</v>
      </c>
      <c r="I179" s="79" t="s">
        <v>152</v>
      </c>
      <c r="J179" s="79" t="s">
        <v>154</v>
      </c>
      <c r="K179" s="79" t="s">
        <v>155</v>
      </c>
      <c r="L179" s="80" t="s">
        <v>1451</v>
      </c>
      <c r="M179" s="80" t="s">
        <v>157</v>
      </c>
      <c r="N179" s="79" t="s">
        <v>163</v>
      </c>
      <c r="O179" s="80" t="str">
        <f t="shared" si="63"/>
        <v/>
      </c>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t="s">
        <v>230</v>
      </c>
      <c r="AP179" s="79" t="s">
        <v>347</v>
      </c>
      <c r="AQ179" s="80" t="s">
        <v>1452</v>
      </c>
      <c r="AR179" s="80">
        <v>3193692444</v>
      </c>
      <c r="AS179" s="80" t="s">
        <v>1453</v>
      </c>
      <c r="AT179" s="80" t="str">
        <f t="shared" si="64"/>
        <v>Distrital</v>
      </c>
      <c r="AU179" s="79" t="s">
        <v>172</v>
      </c>
      <c r="AV179" s="79"/>
      <c r="AW179" s="79"/>
      <c r="AX179" s="79"/>
      <c r="AY179" s="79"/>
      <c r="AZ179" s="79"/>
      <c r="BA179" s="80" t="str">
        <f t="shared" si="65"/>
        <v>Distrital</v>
      </c>
      <c r="BB179" s="79" t="s">
        <v>172</v>
      </c>
      <c r="BC179" s="79"/>
      <c r="BD179" s="79"/>
      <c r="BE179" s="79"/>
      <c r="BF179" s="79"/>
      <c r="BG179" s="79"/>
      <c r="BH179" s="80" t="str">
        <f t="shared" si="66"/>
        <v>Distrital</v>
      </c>
      <c r="BI179" s="79" t="s">
        <v>172</v>
      </c>
      <c r="BJ179" s="79"/>
      <c r="BK179" s="79"/>
      <c r="BL179" s="79"/>
      <c r="BM179" s="79"/>
      <c r="BN179" s="79"/>
      <c r="BO179" s="79"/>
      <c r="BP179" s="79"/>
      <c r="BQ179" s="79"/>
      <c r="BR179" s="79"/>
      <c r="BS179" s="80" t="s">
        <v>288</v>
      </c>
      <c r="BT179" s="80" t="s">
        <v>174</v>
      </c>
      <c r="BU179" s="80" t="s">
        <v>1454</v>
      </c>
      <c r="BV179" s="71"/>
      <c r="BW179" s="79" t="s">
        <v>153</v>
      </c>
      <c r="BX179" s="79" t="s">
        <v>176</v>
      </c>
      <c r="BY179" s="71"/>
      <c r="BZ179" s="79">
        <v>2</v>
      </c>
      <c r="CA179" s="79">
        <v>2</v>
      </c>
      <c r="CB179" s="79">
        <f t="shared" si="25"/>
        <v>4</v>
      </c>
      <c r="CC179" s="79" t="str">
        <f t="shared" si="102"/>
        <v>No Aplica</v>
      </c>
      <c r="CD179" s="79" t="s">
        <v>177</v>
      </c>
      <c r="CE179" s="79"/>
      <c r="CF179" s="79"/>
      <c r="CG179" s="83" t="s">
        <v>1455</v>
      </c>
      <c r="CH179" s="41"/>
      <c r="CI179" s="79" t="s">
        <v>153</v>
      </c>
      <c r="CJ179" s="71"/>
      <c r="CK179" s="79">
        <f t="shared" si="38"/>
        <v>0</v>
      </c>
      <c r="CL179" s="79"/>
      <c r="CM179" s="79"/>
      <c r="CN179" s="79"/>
      <c r="CO179" s="79"/>
      <c r="CP179" s="79"/>
      <c r="CQ179" s="79"/>
      <c r="CR179" s="83" t="s">
        <v>179</v>
      </c>
      <c r="CS179" s="83" t="s">
        <v>179</v>
      </c>
      <c r="CT179" s="83" t="s">
        <v>179</v>
      </c>
      <c r="CU179" s="83" t="s">
        <v>179</v>
      </c>
      <c r="CV179" s="83" t="s">
        <v>179</v>
      </c>
      <c r="CW179" s="83" t="s">
        <v>179</v>
      </c>
      <c r="CX179" s="79" t="s">
        <v>153</v>
      </c>
      <c r="CY179" s="79">
        <f t="shared" si="39"/>
        <v>0</v>
      </c>
      <c r="CZ179" s="79">
        <v>0</v>
      </c>
      <c r="DA179" s="79">
        <f t="shared" si="84"/>
        <v>0</v>
      </c>
      <c r="DB179" s="84" t="str">
        <f t="shared" si="46"/>
        <v/>
      </c>
      <c r="DC179" s="41"/>
      <c r="DD179" s="79" t="s">
        <v>153</v>
      </c>
      <c r="DE179" s="71"/>
      <c r="DF179" s="85" t="s">
        <v>1456</v>
      </c>
      <c r="DG179" s="79">
        <v>171</v>
      </c>
      <c r="DH179" s="86" t="str">
        <f t="shared" si="85"/>
        <v>Completo</v>
      </c>
      <c r="DI179" s="79" t="s">
        <v>181</v>
      </c>
      <c r="DJ179" s="79" t="s">
        <v>182</v>
      </c>
      <c r="DK179" s="79"/>
      <c r="DL179" s="79"/>
      <c r="DM179" s="79"/>
      <c r="DN179" s="79" t="s">
        <v>182</v>
      </c>
      <c r="DO179" s="79"/>
      <c r="DP179" s="79"/>
      <c r="DQ179" s="79"/>
      <c r="DR179" s="75" t="str">
        <f t="shared" si="70"/>
        <v>No aplica</v>
      </c>
      <c r="DS179" s="79"/>
      <c r="DT179" s="79"/>
      <c r="DU179" s="75" t="str">
        <f t="shared" si="71"/>
        <v>No aplica</v>
      </c>
      <c r="DV179" s="79" t="s">
        <v>182</v>
      </c>
      <c r="DW179" s="79" t="s">
        <v>191</v>
      </c>
      <c r="DX179" s="79"/>
      <c r="DY179" s="79"/>
      <c r="DZ179" s="79"/>
      <c r="EA179" s="79"/>
      <c r="EB179" s="79"/>
      <c r="EC179" s="79"/>
      <c r="ED179" s="79" t="s">
        <v>1457</v>
      </c>
      <c r="EE179" s="79" t="str">
        <f t="shared" si="94"/>
        <v>Completo</v>
      </c>
      <c r="EF179" s="41"/>
      <c r="EG179" s="79" t="s">
        <v>153</v>
      </c>
      <c r="EH179" s="71"/>
      <c r="EI179" s="80"/>
      <c r="EJ179" s="71"/>
      <c r="EK179" s="79" t="s">
        <v>179</v>
      </c>
      <c r="EL179" s="76" t="str">
        <f t="shared" si="72"/>
        <v>No requiere</v>
      </c>
      <c r="EM179" s="76" t="str">
        <f t="shared" si="73"/>
        <v>No requiere</v>
      </c>
      <c r="EN179" s="76" t="str">
        <f t="shared" si="103"/>
        <v>No requiere</v>
      </c>
      <c r="EO179" s="71"/>
      <c r="EP179" s="73" t="str">
        <f t="shared" si="75"/>
        <v>No requiere</v>
      </c>
      <c r="EQ179" s="77" t="str">
        <f t="shared" si="76"/>
        <v>No requiere</v>
      </c>
      <c r="ER179" s="71"/>
      <c r="ES179" s="79" t="s">
        <v>179</v>
      </c>
      <c r="ET179" s="73" t="str">
        <f t="shared" si="77"/>
        <v>No requiere</v>
      </c>
      <c r="EU179" s="73" t="str">
        <f t="shared" si="104"/>
        <v>No requiere</v>
      </c>
      <c r="EV179" s="73" t="str">
        <f t="shared" si="79"/>
        <v>No requiere</v>
      </c>
      <c r="EW179" s="73" t="str">
        <f t="shared" si="80"/>
        <v>No requiere</v>
      </c>
      <c r="EX179" s="78"/>
      <c r="EY179" s="78"/>
    </row>
    <row r="180" spans="1:155" ht="46.5" customHeight="1">
      <c r="A180" s="79">
        <v>176</v>
      </c>
      <c r="B180" s="80" t="s">
        <v>1458</v>
      </c>
      <c r="C180" s="81">
        <v>45373</v>
      </c>
      <c r="D180" s="82">
        <v>0.72916666666666663</v>
      </c>
      <c r="E180" s="79" t="s">
        <v>151</v>
      </c>
      <c r="F180" s="79" t="s">
        <v>153</v>
      </c>
      <c r="G180" s="79" t="s">
        <v>153</v>
      </c>
      <c r="H180" s="79" t="s">
        <v>153</v>
      </c>
      <c r="I180" s="79" t="s">
        <v>152</v>
      </c>
      <c r="J180" s="79" t="s">
        <v>154</v>
      </c>
      <c r="K180" s="79" t="s">
        <v>155</v>
      </c>
      <c r="L180" s="80" t="s">
        <v>600</v>
      </c>
      <c r="M180" s="80" t="s">
        <v>303</v>
      </c>
      <c r="N180" s="79" t="s">
        <v>675</v>
      </c>
      <c r="O180" s="80" t="str">
        <f t="shared" si="63"/>
        <v>Nicolás Esteban Flórez, Erika Lizeth Rueda, Reinaldo Terrios Andrade, Luis Fernando Barreto , Paola Andrea González, William Jair Gil, Nestor Jecfrid Sánchez, Nicolás Enrique Moncaleano, Daniela Velasco Vega, Rosemberg Prisco Vasquez, Renata Rengifo Moyano, Nicolas Esteban Hernández, Ana María Gualy, Claudia Fernanda Pineda</v>
      </c>
      <c r="P180" s="79" t="s">
        <v>472</v>
      </c>
      <c r="Q180" s="79" t="s">
        <v>556</v>
      </c>
      <c r="R180" s="79" t="s">
        <v>675</v>
      </c>
      <c r="S180" s="79" t="s">
        <v>720</v>
      </c>
      <c r="T180" s="79" t="s">
        <v>924</v>
      </c>
      <c r="U180" s="79" t="s">
        <v>862</v>
      </c>
      <c r="V180" s="79" t="s">
        <v>965</v>
      </c>
      <c r="W180" s="79" t="s">
        <v>966</v>
      </c>
      <c r="X180" s="79" t="s">
        <v>660</v>
      </c>
      <c r="Y180" s="79" t="s">
        <v>162</v>
      </c>
      <c r="Z180" s="79" t="s">
        <v>1066</v>
      </c>
      <c r="AA180" s="79" t="s">
        <v>645</v>
      </c>
      <c r="AB180" s="79" t="s">
        <v>821</v>
      </c>
      <c r="AC180" s="79" t="s">
        <v>546</v>
      </c>
      <c r="AD180" s="79"/>
      <c r="AE180" s="79"/>
      <c r="AF180" s="79"/>
      <c r="AG180" s="79"/>
      <c r="AH180" s="79"/>
      <c r="AI180" s="79"/>
      <c r="AJ180" s="79"/>
      <c r="AK180" s="79"/>
      <c r="AL180" s="79"/>
      <c r="AM180" s="79"/>
      <c r="AN180" s="79"/>
      <c r="AO180" s="79" t="s">
        <v>304</v>
      </c>
      <c r="AP180" s="79"/>
      <c r="AQ180" s="80" t="s">
        <v>171</v>
      </c>
      <c r="AR180" s="80" t="s">
        <v>171</v>
      </c>
      <c r="AS180" s="80" t="s">
        <v>171</v>
      </c>
      <c r="AT180" s="80" t="str">
        <f t="shared" si="64"/>
        <v>Bosa, Kennedy</v>
      </c>
      <c r="AU180" s="79" t="s">
        <v>730</v>
      </c>
      <c r="AV180" s="79" t="s">
        <v>731</v>
      </c>
      <c r="AW180" s="79"/>
      <c r="AX180" s="79"/>
      <c r="AY180" s="79"/>
      <c r="AZ180" s="79"/>
      <c r="BA180" s="80" t="str">
        <f t="shared" si="65"/>
        <v>Suroccidente</v>
      </c>
      <c r="BB180" s="79" t="s">
        <v>732</v>
      </c>
      <c r="BC180" s="79"/>
      <c r="BD180" s="79"/>
      <c r="BE180" s="79"/>
      <c r="BF180" s="79"/>
      <c r="BG180" s="79"/>
      <c r="BH180" s="80" t="str">
        <f t="shared" si="66"/>
        <v>Porvenir</v>
      </c>
      <c r="BI180" s="79" t="s">
        <v>1058</v>
      </c>
      <c r="BJ180" s="79"/>
      <c r="BK180" s="79"/>
      <c r="BL180" s="79"/>
      <c r="BM180" s="79"/>
      <c r="BN180" s="79"/>
      <c r="BO180" s="79"/>
      <c r="BP180" s="79"/>
      <c r="BQ180" s="79"/>
      <c r="BR180" s="79"/>
      <c r="BS180" s="80" t="s">
        <v>288</v>
      </c>
      <c r="BT180" s="80" t="s">
        <v>605</v>
      </c>
      <c r="BU180" s="80" t="s">
        <v>1459</v>
      </c>
      <c r="BV180" s="71"/>
      <c r="BW180" s="79" t="s">
        <v>153</v>
      </c>
      <c r="BX180" s="79" t="s">
        <v>607</v>
      </c>
      <c r="BY180" s="71"/>
      <c r="BZ180" s="79">
        <v>54</v>
      </c>
      <c r="CA180" s="79">
        <v>15</v>
      </c>
      <c r="CB180" s="79">
        <f t="shared" si="25"/>
        <v>69</v>
      </c>
      <c r="CC180" s="79" t="str">
        <f t="shared" si="102"/>
        <v>Horarios Acordes</v>
      </c>
      <c r="CD180" s="79" t="s">
        <v>351</v>
      </c>
      <c r="CE180" s="79"/>
      <c r="CF180" s="79"/>
      <c r="CG180" s="83" t="s">
        <v>1460</v>
      </c>
      <c r="CH180" s="41"/>
      <c r="CI180" s="79" t="s">
        <v>153</v>
      </c>
      <c r="CJ180" s="71"/>
      <c r="CK180" s="79">
        <f t="shared" si="38"/>
        <v>1</v>
      </c>
      <c r="CL180" s="93" t="s">
        <v>389</v>
      </c>
      <c r="CM180" s="79"/>
      <c r="CN180" s="79"/>
      <c r="CO180" s="79"/>
      <c r="CP180" s="79"/>
      <c r="CQ180" s="79"/>
      <c r="CR180" s="83" t="s">
        <v>390</v>
      </c>
      <c r="CS180" s="83" t="s">
        <v>179</v>
      </c>
      <c r="CT180" s="83" t="s">
        <v>179</v>
      </c>
      <c r="CU180" s="83" t="s">
        <v>179</v>
      </c>
      <c r="CV180" s="83" t="s">
        <v>179</v>
      </c>
      <c r="CW180" s="83" t="s">
        <v>179</v>
      </c>
      <c r="CX180" s="79" t="s">
        <v>153</v>
      </c>
      <c r="CY180" s="79">
        <f t="shared" si="39"/>
        <v>1</v>
      </c>
      <c r="CZ180" s="79">
        <v>1</v>
      </c>
      <c r="DA180" s="79">
        <f t="shared" si="84"/>
        <v>1</v>
      </c>
      <c r="DB180" s="84">
        <f t="shared" si="46"/>
        <v>1</v>
      </c>
      <c r="DC180" s="41"/>
      <c r="DD180" s="79" t="s">
        <v>153</v>
      </c>
      <c r="DE180" s="71"/>
      <c r="DF180" s="85" t="s">
        <v>1461</v>
      </c>
      <c r="DG180" s="79">
        <v>172</v>
      </c>
      <c r="DH180" s="86" t="str">
        <f t="shared" si="85"/>
        <v>Completo</v>
      </c>
      <c r="DI180" s="79" t="s">
        <v>181</v>
      </c>
      <c r="DJ180" s="79" t="s">
        <v>182</v>
      </c>
      <c r="DK180" s="79" t="s">
        <v>153</v>
      </c>
      <c r="DL180" s="79">
        <v>0</v>
      </c>
      <c r="DM180" s="79">
        <v>0</v>
      </c>
      <c r="DN180" s="79" t="s">
        <v>182</v>
      </c>
      <c r="DO180" s="79">
        <v>441</v>
      </c>
      <c r="DP180" s="79" t="s">
        <v>182</v>
      </c>
      <c r="DQ180" s="79">
        <v>17</v>
      </c>
      <c r="DR180" s="75">
        <f t="shared" si="70"/>
        <v>1.0493827160493827</v>
      </c>
      <c r="DS180" s="79" t="s">
        <v>182</v>
      </c>
      <c r="DT180" s="79">
        <v>40</v>
      </c>
      <c r="DU180" s="75">
        <f t="shared" si="71"/>
        <v>2.1164021164021167</v>
      </c>
      <c r="DV180" s="79" t="s">
        <v>182</v>
      </c>
      <c r="DW180" s="79" t="s">
        <v>182</v>
      </c>
      <c r="DX180" s="79">
        <v>3</v>
      </c>
      <c r="DY180" s="79">
        <v>1</v>
      </c>
      <c r="DZ180" s="79" t="s">
        <v>1462</v>
      </c>
      <c r="EA180" s="79">
        <v>9504</v>
      </c>
      <c r="EB180" s="79" t="s">
        <v>182</v>
      </c>
      <c r="EC180" s="79" t="s">
        <v>1463</v>
      </c>
      <c r="ED180" s="79" t="s">
        <v>249</v>
      </c>
      <c r="EE180" s="79" t="str">
        <f t="shared" si="94"/>
        <v>Completo</v>
      </c>
      <c r="EF180" s="41"/>
      <c r="EG180" s="79" t="s">
        <v>153</v>
      </c>
      <c r="EH180" s="71"/>
      <c r="EI180" s="89" t="s">
        <v>1464</v>
      </c>
      <c r="EJ180" s="71"/>
      <c r="EK180" s="79" t="s">
        <v>393</v>
      </c>
      <c r="EL180" s="76" t="str">
        <f t="shared" si="72"/>
        <v>Sí</v>
      </c>
      <c r="EM180" s="76" t="str">
        <f t="shared" si="73"/>
        <v>Sí</v>
      </c>
      <c r="EN180" s="76" t="str">
        <f t="shared" si="103"/>
        <v>Sí</v>
      </c>
      <c r="EO180" s="71"/>
      <c r="EP180" s="73" t="str">
        <f t="shared" si="75"/>
        <v>No aplica</v>
      </c>
      <c r="EQ180" s="77">
        <f t="shared" si="76"/>
        <v>2.1164021164021167</v>
      </c>
      <c r="ER180" s="71"/>
      <c r="ES180" s="79" t="s">
        <v>409</v>
      </c>
      <c r="ET180" s="73">
        <f t="shared" si="77"/>
        <v>1</v>
      </c>
      <c r="EU180" s="73">
        <f t="shared" si="104"/>
        <v>1</v>
      </c>
      <c r="EV180" s="73">
        <f t="shared" si="79"/>
        <v>1</v>
      </c>
      <c r="EW180" s="73">
        <f t="shared" si="80"/>
        <v>4.6401515151515152E-2</v>
      </c>
      <c r="EX180" s="78"/>
      <c r="EY180" s="78"/>
    </row>
    <row r="181" spans="1:155" ht="46.5" customHeight="1">
      <c r="A181" s="79">
        <v>177</v>
      </c>
      <c r="B181" s="80" t="s">
        <v>1465</v>
      </c>
      <c r="C181" s="81">
        <v>45373</v>
      </c>
      <c r="D181" s="82">
        <v>0.75</v>
      </c>
      <c r="E181" s="79" t="s">
        <v>200</v>
      </c>
      <c r="F181" s="79" t="s">
        <v>153</v>
      </c>
      <c r="G181" s="79" t="s">
        <v>152</v>
      </c>
      <c r="H181" s="79" t="s">
        <v>152</v>
      </c>
      <c r="I181" s="79" t="s">
        <v>152</v>
      </c>
      <c r="J181" s="79" t="s">
        <v>211</v>
      </c>
      <c r="K181" s="79" t="s">
        <v>202</v>
      </c>
      <c r="L181" s="80" t="s">
        <v>1466</v>
      </c>
      <c r="M181" s="80" t="s">
        <v>624</v>
      </c>
      <c r="N181" s="79" t="s">
        <v>523</v>
      </c>
      <c r="O181" s="80" t="str">
        <f t="shared" si="63"/>
        <v/>
      </c>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t="s">
        <v>230</v>
      </c>
      <c r="AP181" s="79" t="s">
        <v>242</v>
      </c>
      <c r="AQ181" s="80" t="s">
        <v>1334</v>
      </c>
      <c r="AR181" s="80">
        <v>3244150125</v>
      </c>
      <c r="AS181" s="80" t="s">
        <v>1467</v>
      </c>
      <c r="AT181" s="80" t="str">
        <f t="shared" si="64"/>
        <v>Distrital</v>
      </c>
      <c r="AU181" s="79" t="s">
        <v>172</v>
      </c>
      <c r="AV181" s="79"/>
      <c r="AW181" s="79"/>
      <c r="AX181" s="79"/>
      <c r="AY181" s="79"/>
      <c r="AZ181" s="79"/>
      <c r="BA181" s="80" t="str">
        <f t="shared" si="65"/>
        <v>Distrital</v>
      </c>
      <c r="BB181" s="79" t="s">
        <v>172</v>
      </c>
      <c r="BC181" s="79"/>
      <c r="BD181" s="79"/>
      <c r="BE181" s="79"/>
      <c r="BF181" s="79"/>
      <c r="BG181" s="79"/>
      <c r="BH181" s="80" t="str">
        <f t="shared" si="66"/>
        <v>Distrital</v>
      </c>
      <c r="BI181" s="79" t="s">
        <v>172</v>
      </c>
      <c r="BJ181" s="79"/>
      <c r="BK181" s="79"/>
      <c r="BL181" s="79"/>
      <c r="BM181" s="79"/>
      <c r="BN181" s="79"/>
      <c r="BO181" s="79"/>
      <c r="BP181" s="79"/>
      <c r="BQ181" s="79"/>
      <c r="BR181" s="79"/>
      <c r="BS181" s="80" t="s">
        <v>288</v>
      </c>
      <c r="BT181" s="80" t="s">
        <v>174</v>
      </c>
      <c r="BU181" s="89" t="s">
        <v>1468</v>
      </c>
      <c r="BV181" s="71"/>
      <c r="BW181" s="79" t="s">
        <v>152</v>
      </c>
      <c r="BX181" s="79" t="s">
        <v>179</v>
      </c>
      <c r="BY181" s="71"/>
      <c r="BZ181" s="79">
        <v>14</v>
      </c>
      <c r="CA181" s="79">
        <v>1</v>
      </c>
      <c r="CB181" s="79">
        <f t="shared" si="25"/>
        <v>15</v>
      </c>
      <c r="CC181" s="79" t="str">
        <f t="shared" si="102"/>
        <v>Accesibilidad Universal, Lenguaje de señas</v>
      </c>
      <c r="CD181" s="79" t="s">
        <v>397</v>
      </c>
      <c r="CE181" s="79" t="s">
        <v>349</v>
      </c>
      <c r="CF181" s="79"/>
      <c r="CG181" s="83" t="s">
        <v>1469</v>
      </c>
      <c r="CH181" s="41"/>
      <c r="CI181" s="79" t="s">
        <v>153</v>
      </c>
      <c r="CJ181" s="71"/>
      <c r="CK181" s="79">
        <f t="shared" si="38"/>
        <v>0</v>
      </c>
      <c r="CL181" s="79"/>
      <c r="CM181" s="79"/>
      <c r="CN181" s="79"/>
      <c r="CO181" s="79"/>
      <c r="CP181" s="79"/>
      <c r="CQ181" s="79"/>
      <c r="CR181" s="83" t="s">
        <v>179</v>
      </c>
      <c r="CS181" s="83" t="s">
        <v>179</v>
      </c>
      <c r="CT181" s="83" t="s">
        <v>179</v>
      </c>
      <c r="CU181" s="83" t="s">
        <v>179</v>
      </c>
      <c r="CV181" s="83" t="s">
        <v>179</v>
      </c>
      <c r="CW181" s="83" t="s">
        <v>179</v>
      </c>
      <c r="CX181" s="79" t="s">
        <v>153</v>
      </c>
      <c r="CY181" s="79">
        <f t="shared" si="39"/>
        <v>0</v>
      </c>
      <c r="CZ181" s="79">
        <v>0</v>
      </c>
      <c r="DA181" s="79">
        <f t="shared" si="84"/>
        <v>0</v>
      </c>
      <c r="DB181" s="84" t="str">
        <f t="shared" si="46"/>
        <v/>
      </c>
      <c r="DC181" s="41"/>
      <c r="DD181" s="79" t="s">
        <v>153</v>
      </c>
      <c r="DE181" s="71"/>
      <c r="DF181" s="85" t="s">
        <v>1470</v>
      </c>
      <c r="DG181" s="79">
        <v>173</v>
      </c>
      <c r="DH181" s="86" t="str">
        <f t="shared" si="85"/>
        <v>Completo</v>
      </c>
      <c r="DI181" s="79" t="s">
        <v>181</v>
      </c>
      <c r="DJ181" s="79" t="s">
        <v>182</v>
      </c>
      <c r="DK181" s="79"/>
      <c r="DL181" s="79"/>
      <c r="DM181" s="79"/>
      <c r="DN181" s="79" t="s">
        <v>182</v>
      </c>
      <c r="DO181" s="79"/>
      <c r="DP181" s="79"/>
      <c r="DQ181" s="79"/>
      <c r="DR181" s="75" t="str">
        <f t="shared" si="70"/>
        <v>No aplica</v>
      </c>
      <c r="DS181" s="79"/>
      <c r="DT181" s="79"/>
      <c r="DU181" s="75" t="str">
        <f t="shared" si="71"/>
        <v>No aplica</v>
      </c>
      <c r="DV181" s="79" t="s">
        <v>182</v>
      </c>
      <c r="DW181" s="79" t="s">
        <v>182</v>
      </c>
      <c r="DX181" s="79"/>
      <c r="DY181" s="79"/>
      <c r="DZ181" s="79"/>
      <c r="EA181" s="79"/>
      <c r="EB181" s="79" t="s">
        <v>182</v>
      </c>
      <c r="EC181" s="79" t="s">
        <v>1471</v>
      </c>
      <c r="ED181" s="79" t="s">
        <v>184</v>
      </c>
      <c r="EE181" s="79" t="str">
        <f t="shared" si="94"/>
        <v>Completo</v>
      </c>
      <c r="EF181" s="41"/>
      <c r="EG181" s="79" t="s">
        <v>153</v>
      </c>
      <c r="EH181" s="71"/>
      <c r="EI181" s="80"/>
      <c r="EJ181" s="71"/>
      <c r="EK181" s="79" t="s">
        <v>179</v>
      </c>
      <c r="EL181" s="76" t="str">
        <f t="shared" si="72"/>
        <v>No requiere</v>
      </c>
      <c r="EM181" s="76" t="str">
        <f t="shared" si="73"/>
        <v>No requiere</v>
      </c>
      <c r="EN181" s="76" t="str">
        <f t="shared" si="103"/>
        <v>No requiere</v>
      </c>
      <c r="EO181" s="71"/>
      <c r="EP181" s="73" t="str">
        <f t="shared" si="75"/>
        <v>No requiere</v>
      </c>
      <c r="EQ181" s="77" t="str">
        <f t="shared" si="76"/>
        <v>No requiere</v>
      </c>
      <c r="ER181" s="71"/>
      <c r="ES181" s="79" t="s">
        <v>179</v>
      </c>
      <c r="ET181" s="73" t="str">
        <f t="shared" si="77"/>
        <v>No requiere</v>
      </c>
      <c r="EU181" s="73" t="str">
        <f t="shared" si="104"/>
        <v>No requiere</v>
      </c>
      <c r="EV181" s="73" t="str">
        <f t="shared" si="79"/>
        <v>No requiere</v>
      </c>
      <c r="EW181" s="73" t="str">
        <f t="shared" si="80"/>
        <v>No requiere</v>
      </c>
      <c r="EX181" s="78"/>
      <c r="EY181" s="78"/>
    </row>
    <row r="182" spans="1:155" ht="46.5" customHeight="1">
      <c r="A182" s="79">
        <v>178</v>
      </c>
      <c r="B182" s="80" t="s">
        <v>1472</v>
      </c>
      <c r="C182" s="81">
        <v>45374</v>
      </c>
      <c r="D182" s="82">
        <v>0.375</v>
      </c>
      <c r="E182" s="79" t="s">
        <v>151</v>
      </c>
      <c r="F182" s="79" t="s">
        <v>153</v>
      </c>
      <c r="G182" s="79" t="s">
        <v>153</v>
      </c>
      <c r="H182" s="79" t="s">
        <v>153</v>
      </c>
      <c r="I182" s="79" t="s">
        <v>152</v>
      </c>
      <c r="J182" s="79" t="s">
        <v>154</v>
      </c>
      <c r="K182" s="79" t="s">
        <v>155</v>
      </c>
      <c r="L182" s="80" t="s">
        <v>600</v>
      </c>
      <c r="M182" s="80" t="s">
        <v>303</v>
      </c>
      <c r="N182" s="79" t="s">
        <v>506</v>
      </c>
      <c r="O182" s="80" t="str">
        <f t="shared" si="63"/>
        <v>Maria Angélica Higuera, Nicolas Esteban Hernández, Nicolás Enrique Moncaleano</v>
      </c>
      <c r="P182" s="79" t="s">
        <v>328</v>
      </c>
      <c r="Q182" s="79" t="s">
        <v>645</v>
      </c>
      <c r="R182" s="79" t="s">
        <v>966</v>
      </c>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t="s">
        <v>304</v>
      </c>
      <c r="AP182" s="79"/>
      <c r="AQ182" s="80" t="s">
        <v>1473</v>
      </c>
      <c r="AR182" s="80" t="s">
        <v>1474</v>
      </c>
      <c r="AS182" s="80" t="s">
        <v>171</v>
      </c>
      <c r="AT182" s="80" t="str">
        <f t="shared" si="64"/>
        <v>Sumapaz</v>
      </c>
      <c r="AU182" s="79" t="s">
        <v>510</v>
      </c>
      <c r="AV182" s="79"/>
      <c r="AW182" s="79"/>
      <c r="AX182" s="79"/>
      <c r="AY182" s="79"/>
      <c r="AZ182" s="79"/>
      <c r="BA182" s="80" t="str">
        <f t="shared" si="65"/>
        <v>Ruralidad</v>
      </c>
      <c r="BB182" s="79" t="s">
        <v>219</v>
      </c>
      <c r="BC182" s="79"/>
      <c r="BD182" s="79"/>
      <c r="BE182" s="79"/>
      <c r="BF182" s="79"/>
      <c r="BG182" s="79"/>
      <c r="BH182" s="80" t="str">
        <f t="shared" si="66"/>
        <v>Sumapaz</v>
      </c>
      <c r="BI182" s="79" t="s">
        <v>510</v>
      </c>
      <c r="BJ182" s="79"/>
      <c r="BK182" s="79"/>
      <c r="BL182" s="79"/>
      <c r="BM182" s="79"/>
      <c r="BN182" s="79"/>
      <c r="BO182" s="79"/>
      <c r="BP182" s="79"/>
      <c r="BQ182" s="79"/>
      <c r="BR182" s="79"/>
      <c r="BS182" s="80" t="s">
        <v>288</v>
      </c>
      <c r="BT182" s="80" t="s">
        <v>605</v>
      </c>
      <c r="BU182" s="80" t="s">
        <v>1475</v>
      </c>
      <c r="BV182" s="71"/>
      <c r="BW182" s="79" t="s">
        <v>153</v>
      </c>
      <c r="BX182" s="79" t="s">
        <v>607</v>
      </c>
      <c r="BY182" s="71"/>
      <c r="BZ182" s="79">
        <v>27</v>
      </c>
      <c r="CA182" s="79">
        <v>7</v>
      </c>
      <c r="CB182" s="79">
        <f t="shared" si="25"/>
        <v>34</v>
      </c>
      <c r="CC182" s="79" t="str">
        <f t="shared" si="102"/>
        <v>Horarios Acordes, Contenidos adaptados</v>
      </c>
      <c r="CD182" s="79" t="s">
        <v>351</v>
      </c>
      <c r="CE182" s="79" t="s">
        <v>350</v>
      </c>
      <c r="CF182" s="79"/>
      <c r="CG182" s="83" t="s">
        <v>1476</v>
      </c>
      <c r="CH182" s="41"/>
      <c r="CI182" s="79" t="s">
        <v>153</v>
      </c>
      <c r="CJ182" s="71"/>
      <c r="CK182" s="79">
        <f t="shared" si="38"/>
        <v>1</v>
      </c>
      <c r="CL182" s="79" t="s">
        <v>389</v>
      </c>
      <c r="CM182" s="79"/>
      <c r="CN182" s="79"/>
      <c r="CO182" s="79"/>
      <c r="CP182" s="79"/>
      <c r="CQ182" s="79"/>
      <c r="CR182" s="83" t="s">
        <v>390</v>
      </c>
      <c r="CS182" s="83" t="s">
        <v>179</v>
      </c>
      <c r="CT182" s="83" t="s">
        <v>179</v>
      </c>
      <c r="CU182" s="83" t="s">
        <v>179</v>
      </c>
      <c r="CV182" s="83" t="s">
        <v>179</v>
      </c>
      <c r="CW182" s="83" t="s">
        <v>179</v>
      </c>
      <c r="CX182" s="79" t="s">
        <v>153</v>
      </c>
      <c r="CY182" s="79">
        <f t="shared" si="39"/>
        <v>1</v>
      </c>
      <c r="CZ182" s="79">
        <v>1</v>
      </c>
      <c r="DA182" s="79">
        <f t="shared" si="84"/>
        <v>1</v>
      </c>
      <c r="DB182" s="84">
        <f t="shared" si="46"/>
        <v>1</v>
      </c>
      <c r="DC182" s="41"/>
      <c r="DD182" s="79" t="s">
        <v>153</v>
      </c>
      <c r="DE182" s="71"/>
      <c r="DF182" s="85" t="s">
        <v>1477</v>
      </c>
      <c r="DG182" s="79">
        <v>174</v>
      </c>
      <c r="DH182" s="86" t="str">
        <f t="shared" si="85"/>
        <v>Completo</v>
      </c>
      <c r="DI182" s="79" t="s">
        <v>181</v>
      </c>
      <c r="DJ182" s="79" t="s">
        <v>182</v>
      </c>
      <c r="DK182" s="79" t="s">
        <v>153</v>
      </c>
      <c r="DL182" s="79">
        <v>0</v>
      </c>
      <c r="DM182" s="79">
        <v>0</v>
      </c>
      <c r="DN182" s="79" t="s">
        <v>182</v>
      </c>
      <c r="DO182" s="79">
        <v>93</v>
      </c>
      <c r="DP182" s="79" t="s">
        <v>182</v>
      </c>
      <c r="DQ182" s="79">
        <v>9</v>
      </c>
      <c r="DR182" s="75">
        <f t="shared" si="70"/>
        <v>1.1111111111111112</v>
      </c>
      <c r="DS182" s="79" t="s">
        <v>182</v>
      </c>
      <c r="DT182" s="79">
        <v>6</v>
      </c>
      <c r="DU182" s="75">
        <f t="shared" si="71"/>
        <v>0.634920634920635</v>
      </c>
      <c r="DV182" s="79" t="s">
        <v>182</v>
      </c>
      <c r="DW182" s="79" t="s">
        <v>182</v>
      </c>
      <c r="DX182" s="79">
        <v>4</v>
      </c>
      <c r="DY182" s="79">
        <v>2</v>
      </c>
      <c r="DZ182" s="79" t="s">
        <v>1478</v>
      </c>
      <c r="EA182" s="79">
        <v>790</v>
      </c>
      <c r="EB182" s="79" t="s">
        <v>182</v>
      </c>
      <c r="EC182" s="79" t="s">
        <v>1479</v>
      </c>
      <c r="ED182" s="79" t="s">
        <v>249</v>
      </c>
      <c r="EE182" s="79" t="str">
        <f t="shared" si="94"/>
        <v>Completo</v>
      </c>
      <c r="EF182" s="41"/>
      <c r="EG182" s="79" t="s">
        <v>153</v>
      </c>
      <c r="EH182" s="71"/>
      <c r="EI182" s="202" t="s">
        <v>1480</v>
      </c>
      <c r="EJ182" s="71"/>
      <c r="EK182" s="79" t="s">
        <v>409</v>
      </c>
      <c r="EL182" s="76" t="str">
        <f t="shared" si="72"/>
        <v>Sí</v>
      </c>
      <c r="EM182" s="76" t="str">
        <f t="shared" si="73"/>
        <v>Sí</v>
      </c>
      <c r="EN182" s="76" t="str">
        <f t="shared" si="103"/>
        <v>Sí</v>
      </c>
      <c r="EO182" s="71"/>
      <c r="EP182" s="73" t="str">
        <f t="shared" si="75"/>
        <v>No aplica</v>
      </c>
      <c r="EQ182" s="77">
        <f t="shared" si="76"/>
        <v>0.634920634920635</v>
      </c>
      <c r="ER182" s="71"/>
      <c r="ES182" s="79" t="s">
        <v>409</v>
      </c>
      <c r="ET182" s="73">
        <f t="shared" si="77"/>
        <v>1</v>
      </c>
      <c r="EU182" s="73">
        <f t="shared" si="104"/>
        <v>1</v>
      </c>
      <c r="EV182" s="73">
        <f t="shared" si="79"/>
        <v>1</v>
      </c>
      <c r="EW182" s="73">
        <f t="shared" si="80"/>
        <v>0.11772151898734177</v>
      </c>
      <c r="EX182" s="78"/>
      <c r="EY182" s="78"/>
    </row>
    <row r="183" spans="1:155" ht="46.5" customHeight="1">
      <c r="A183" s="79">
        <v>179</v>
      </c>
      <c r="B183" s="80" t="s">
        <v>1481</v>
      </c>
      <c r="C183" s="81">
        <v>45374</v>
      </c>
      <c r="D183" s="82">
        <v>0.33333333333333331</v>
      </c>
      <c r="E183" s="79" t="s">
        <v>200</v>
      </c>
      <c r="F183" s="79" t="s">
        <v>153</v>
      </c>
      <c r="G183" s="79" t="s">
        <v>153</v>
      </c>
      <c r="H183" s="79" t="s">
        <v>152</v>
      </c>
      <c r="I183" s="79" t="s">
        <v>152</v>
      </c>
      <c r="J183" s="79" t="s">
        <v>211</v>
      </c>
      <c r="K183" s="79" t="s">
        <v>155</v>
      </c>
      <c r="L183" s="80" t="s">
        <v>1482</v>
      </c>
      <c r="M183" s="80" t="s">
        <v>229</v>
      </c>
      <c r="N183" s="79" t="s">
        <v>253</v>
      </c>
      <c r="O183" s="80" t="str">
        <f t="shared" si="63"/>
        <v>Paula Andrea González, Reinaldo Terrios Andrade, Camilo Andrés Vásquez, Manuel Fernando Vergara, Joan Sebastian García, Yohan David Díaz, Renata Rengifo Moyano, Laura Camila Bechara, David Reinaldo Jojoa, Jimmy Alejandro Osorio</v>
      </c>
      <c r="P183" s="79" t="s">
        <v>158</v>
      </c>
      <c r="Q183" s="79" t="s">
        <v>675</v>
      </c>
      <c r="R183" s="79" t="s">
        <v>373</v>
      </c>
      <c r="S183" s="79" t="s">
        <v>820</v>
      </c>
      <c r="T183" s="79" t="s">
        <v>728</v>
      </c>
      <c r="U183" s="79" t="s">
        <v>164</v>
      </c>
      <c r="V183" s="79" t="s">
        <v>1066</v>
      </c>
      <c r="W183" s="79" t="s">
        <v>887</v>
      </c>
      <c r="X183" s="79" t="s">
        <v>548</v>
      </c>
      <c r="Y183" s="79" t="s">
        <v>549</v>
      </c>
      <c r="Z183" s="79"/>
      <c r="AA183" s="79"/>
      <c r="AB183" s="79"/>
      <c r="AC183" s="79"/>
      <c r="AD183" s="79"/>
      <c r="AE183" s="79"/>
      <c r="AF183" s="79"/>
      <c r="AG183" s="79"/>
      <c r="AH183" s="79"/>
      <c r="AI183" s="79"/>
      <c r="AJ183" s="79"/>
      <c r="AK183" s="79"/>
      <c r="AL183" s="79"/>
      <c r="AM183" s="79"/>
      <c r="AN183" s="79"/>
      <c r="AO183" s="79" t="s">
        <v>304</v>
      </c>
      <c r="AP183" s="79"/>
      <c r="AQ183" s="80" t="s">
        <v>1483</v>
      </c>
      <c r="AR183" s="80">
        <v>3188799900</v>
      </c>
      <c r="AS183" s="80" t="s">
        <v>682</v>
      </c>
      <c r="AT183" s="80" t="str">
        <f t="shared" si="64"/>
        <v>Distrital</v>
      </c>
      <c r="AU183" s="79" t="s">
        <v>172</v>
      </c>
      <c r="AV183" s="79"/>
      <c r="AW183" s="79"/>
      <c r="AX183" s="79"/>
      <c r="AY183" s="79"/>
      <c r="AZ183" s="79"/>
      <c r="BA183" s="80" t="str">
        <f t="shared" si="65"/>
        <v>Distrital</v>
      </c>
      <c r="BB183" s="79" t="s">
        <v>172</v>
      </c>
      <c r="BC183" s="79"/>
      <c r="BD183" s="79"/>
      <c r="BE183" s="79"/>
      <c r="BF183" s="79"/>
      <c r="BG183" s="79"/>
      <c r="BH183" s="80" t="str">
        <f t="shared" si="66"/>
        <v/>
      </c>
      <c r="BI183" s="79"/>
      <c r="BJ183" s="79"/>
      <c r="BK183" s="79"/>
      <c r="BL183" s="79"/>
      <c r="BM183" s="79"/>
      <c r="BN183" s="79"/>
      <c r="BO183" s="79"/>
      <c r="BP183" s="79"/>
      <c r="BQ183" s="79"/>
      <c r="BR183" s="79"/>
      <c r="BS183" s="80" t="s">
        <v>288</v>
      </c>
      <c r="BT183" s="80" t="s">
        <v>174</v>
      </c>
      <c r="BU183" s="80" t="s">
        <v>1484</v>
      </c>
      <c r="BV183" s="71"/>
      <c r="BW183" s="79" t="s">
        <v>152</v>
      </c>
      <c r="BX183" s="79" t="s">
        <v>179</v>
      </c>
      <c r="BY183" s="71"/>
      <c r="BZ183" s="79">
        <v>124</v>
      </c>
      <c r="CA183" s="79">
        <v>18</v>
      </c>
      <c r="CB183" s="79">
        <f t="shared" si="25"/>
        <v>142</v>
      </c>
      <c r="CC183" s="79" t="str">
        <f t="shared" si="102"/>
        <v>No Aplica</v>
      </c>
      <c r="CD183" s="79" t="s">
        <v>177</v>
      </c>
      <c r="CE183" s="79"/>
      <c r="CF183" s="79"/>
      <c r="CG183" s="83" t="s">
        <v>1485</v>
      </c>
      <c r="CH183" s="41"/>
      <c r="CI183" s="79" t="s">
        <v>153</v>
      </c>
      <c r="CJ183" s="71"/>
      <c r="CK183" s="79">
        <f t="shared" si="38"/>
        <v>0</v>
      </c>
      <c r="CL183" s="79"/>
      <c r="CM183" s="79"/>
      <c r="CN183" s="79"/>
      <c r="CO183" s="79"/>
      <c r="CP183" s="79"/>
      <c r="CQ183" s="79"/>
      <c r="CR183" s="83" t="s">
        <v>179</v>
      </c>
      <c r="CS183" s="83" t="s">
        <v>179</v>
      </c>
      <c r="CT183" s="83" t="s">
        <v>179</v>
      </c>
      <c r="CU183" s="83" t="s">
        <v>179</v>
      </c>
      <c r="CV183" s="83" t="s">
        <v>179</v>
      </c>
      <c r="CW183" s="83" t="s">
        <v>179</v>
      </c>
      <c r="CX183" s="79" t="s">
        <v>153</v>
      </c>
      <c r="CY183" s="79">
        <f t="shared" si="39"/>
        <v>0</v>
      </c>
      <c r="CZ183" s="79">
        <v>0</v>
      </c>
      <c r="DA183" s="79">
        <f t="shared" si="84"/>
        <v>0</v>
      </c>
      <c r="DB183" s="84" t="str">
        <f t="shared" si="46"/>
        <v/>
      </c>
      <c r="DC183" s="41"/>
      <c r="DD183" s="79" t="s">
        <v>153</v>
      </c>
      <c r="DE183" s="71"/>
      <c r="DF183" s="85" t="s">
        <v>1486</v>
      </c>
      <c r="DG183" s="79">
        <v>175</v>
      </c>
      <c r="DH183" s="86" t="str">
        <f t="shared" si="85"/>
        <v>Completo</v>
      </c>
      <c r="DI183" s="79" t="s">
        <v>181</v>
      </c>
      <c r="DJ183" s="79" t="s">
        <v>182</v>
      </c>
      <c r="DK183" s="79"/>
      <c r="DL183" s="79"/>
      <c r="DM183" s="79"/>
      <c r="DN183" s="79" t="s">
        <v>182</v>
      </c>
      <c r="DO183" s="79"/>
      <c r="DP183" s="79"/>
      <c r="DQ183" s="79"/>
      <c r="DR183" s="75" t="str">
        <f t="shared" si="70"/>
        <v>No aplica</v>
      </c>
      <c r="DS183" s="79"/>
      <c r="DT183" s="79"/>
      <c r="DU183" s="75" t="str">
        <f t="shared" si="71"/>
        <v>No aplica</v>
      </c>
      <c r="DV183" s="79" t="s">
        <v>182</v>
      </c>
      <c r="DW183" s="79" t="s">
        <v>182</v>
      </c>
      <c r="DX183" s="79"/>
      <c r="DY183" s="79"/>
      <c r="DZ183" s="79"/>
      <c r="EA183" s="79"/>
      <c r="EB183" s="79" t="s">
        <v>182</v>
      </c>
      <c r="EC183" s="79" t="s">
        <v>1487</v>
      </c>
      <c r="ED183" s="79" t="s">
        <v>1488</v>
      </c>
      <c r="EE183" s="79" t="str">
        <f t="shared" si="94"/>
        <v>Completo</v>
      </c>
      <c r="EF183" s="41"/>
      <c r="EG183" s="79" t="s">
        <v>153</v>
      </c>
      <c r="EH183" s="71"/>
      <c r="EI183" s="80"/>
      <c r="EJ183" s="71"/>
      <c r="EK183" s="79" t="s">
        <v>179</v>
      </c>
      <c r="EL183" s="76" t="str">
        <f t="shared" si="72"/>
        <v>No requiere</v>
      </c>
      <c r="EM183" s="76" t="str">
        <f t="shared" si="73"/>
        <v>No requiere</v>
      </c>
      <c r="EN183" s="76" t="str">
        <f t="shared" si="103"/>
        <v>No requiere</v>
      </c>
      <c r="EO183" s="71"/>
      <c r="EP183" s="73" t="str">
        <f t="shared" si="75"/>
        <v>No requiere</v>
      </c>
      <c r="EQ183" s="77" t="str">
        <f t="shared" si="76"/>
        <v>No requiere</v>
      </c>
      <c r="ER183" s="71"/>
      <c r="ES183" s="79" t="s">
        <v>179</v>
      </c>
      <c r="ET183" s="73" t="str">
        <f t="shared" si="77"/>
        <v>No requiere</v>
      </c>
      <c r="EU183" s="73" t="str">
        <f t="shared" si="104"/>
        <v>No requiere</v>
      </c>
      <c r="EV183" s="73" t="str">
        <f t="shared" si="79"/>
        <v>No requiere</v>
      </c>
      <c r="EW183" s="73" t="str">
        <f t="shared" si="80"/>
        <v>No requiere</v>
      </c>
      <c r="EX183" s="78"/>
      <c r="EY183" s="78"/>
    </row>
    <row r="184" spans="1:155" ht="46.5" customHeight="1">
      <c r="A184" s="79">
        <v>180</v>
      </c>
      <c r="B184" s="80" t="s">
        <v>1489</v>
      </c>
      <c r="C184" s="81">
        <v>45374</v>
      </c>
      <c r="D184" s="82">
        <v>0.70833333333333337</v>
      </c>
      <c r="E184" s="79" t="s">
        <v>200</v>
      </c>
      <c r="F184" s="79" t="s">
        <v>153</v>
      </c>
      <c r="G184" s="79" t="s">
        <v>152</v>
      </c>
      <c r="H184" s="79" t="s">
        <v>152</v>
      </c>
      <c r="I184" s="79" t="s">
        <v>152</v>
      </c>
      <c r="J184" s="79" t="s">
        <v>211</v>
      </c>
      <c r="K184" s="79" t="s">
        <v>202</v>
      </c>
      <c r="L184" s="80" t="s">
        <v>1490</v>
      </c>
      <c r="M184" s="80" t="s">
        <v>624</v>
      </c>
      <c r="N184" s="79" t="s">
        <v>522</v>
      </c>
      <c r="O184" s="80" t="str">
        <f t="shared" si="63"/>
        <v/>
      </c>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t="s">
        <v>230</v>
      </c>
      <c r="AP184" s="79" t="s">
        <v>242</v>
      </c>
      <c r="AQ184" s="80" t="s">
        <v>1491</v>
      </c>
      <c r="AR184" s="80">
        <v>3188799909</v>
      </c>
      <c r="AS184" s="80" t="s">
        <v>1492</v>
      </c>
      <c r="AT184" s="80" t="str">
        <f t="shared" si="64"/>
        <v>Distrital</v>
      </c>
      <c r="AU184" s="79" t="s">
        <v>172</v>
      </c>
      <c r="AV184" s="79"/>
      <c r="AW184" s="79"/>
      <c r="AX184" s="79"/>
      <c r="AY184" s="79"/>
      <c r="AZ184" s="79"/>
      <c r="BA184" s="80" t="str">
        <f t="shared" si="65"/>
        <v>Distrital</v>
      </c>
      <c r="BB184" s="79" t="s">
        <v>172</v>
      </c>
      <c r="BC184" s="79"/>
      <c r="BD184" s="79"/>
      <c r="BE184" s="79"/>
      <c r="BF184" s="79"/>
      <c r="BG184" s="79"/>
      <c r="BH184" s="80" t="str">
        <f t="shared" si="66"/>
        <v>Distrital</v>
      </c>
      <c r="BI184" s="79" t="s">
        <v>172</v>
      </c>
      <c r="BJ184" s="79"/>
      <c r="BK184" s="79"/>
      <c r="BL184" s="79"/>
      <c r="BM184" s="79"/>
      <c r="BN184" s="79"/>
      <c r="BO184" s="79"/>
      <c r="BP184" s="79"/>
      <c r="BQ184" s="79"/>
      <c r="BR184" s="79"/>
      <c r="BS184" s="80" t="s">
        <v>288</v>
      </c>
      <c r="BT184" s="80" t="s">
        <v>174</v>
      </c>
      <c r="BU184" s="89" t="s">
        <v>1493</v>
      </c>
      <c r="BV184" s="71"/>
      <c r="BW184" s="79" t="s">
        <v>152</v>
      </c>
      <c r="BX184" s="79" t="s">
        <v>179</v>
      </c>
      <c r="BY184" s="71"/>
      <c r="BZ184" s="79">
        <v>7</v>
      </c>
      <c r="CA184" s="79">
        <v>1</v>
      </c>
      <c r="CB184" s="79">
        <f t="shared" si="25"/>
        <v>8</v>
      </c>
      <c r="CC184" s="79" t="str">
        <f t="shared" si="102"/>
        <v>No Aplica</v>
      </c>
      <c r="CD184" s="79" t="s">
        <v>177</v>
      </c>
      <c r="CE184" s="79"/>
      <c r="CF184" s="79"/>
      <c r="CG184" s="83" t="s">
        <v>1494</v>
      </c>
      <c r="CH184" s="41"/>
      <c r="CI184" s="79" t="s">
        <v>153</v>
      </c>
      <c r="CJ184" s="71"/>
      <c r="CK184" s="79">
        <f t="shared" si="38"/>
        <v>0</v>
      </c>
      <c r="CL184" s="79"/>
      <c r="CM184" s="79"/>
      <c r="CN184" s="79"/>
      <c r="CO184" s="79"/>
      <c r="CP184" s="79"/>
      <c r="CQ184" s="79"/>
      <c r="CR184" s="83" t="s">
        <v>179</v>
      </c>
      <c r="CS184" s="83" t="s">
        <v>179</v>
      </c>
      <c r="CT184" s="83" t="s">
        <v>179</v>
      </c>
      <c r="CU184" s="83" t="s">
        <v>179</v>
      </c>
      <c r="CV184" s="83" t="s">
        <v>179</v>
      </c>
      <c r="CW184" s="83" t="s">
        <v>179</v>
      </c>
      <c r="CX184" s="79" t="s">
        <v>153</v>
      </c>
      <c r="CY184" s="79">
        <f t="shared" si="39"/>
        <v>0</v>
      </c>
      <c r="CZ184" s="79">
        <v>0</v>
      </c>
      <c r="DA184" s="79">
        <f t="shared" si="84"/>
        <v>0</v>
      </c>
      <c r="DB184" s="84" t="str">
        <f t="shared" si="46"/>
        <v/>
      </c>
      <c r="DC184" s="41"/>
      <c r="DD184" s="79" t="s">
        <v>153</v>
      </c>
      <c r="DE184" s="71"/>
      <c r="DF184" s="85" t="s">
        <v>1495</v>
      </c>
      <c r="DG184" s="79">
        <v>176</v>
      </c>
      <c r="DH184" s="86">
        <f t="shared" si="85"/>
        <v>45377</v>
      </c>
      <c r="DI184" s="79" t="s">
        <v>181</v>
      </c>
      <c r="DJ184" s="79" t="s">
        <v>182</v>
      </c>
      <c r="DK184" s="79"/>
      <c r="DL184" s="79">
        <v>0</v>
      </c>
      <c r="DM184" s="79">
        <v>0</v>
      </c>
      <c r="DN184" s="79" t="s">
        <v>182</v>
      </c>
      <c r="DO184" s="79"/>
      <c r="DP184" s="79"/>
      <c r="DQ184" s="79"/>
      <c r="DR184" s="75" t="str">
        <f t="shared" si="70"/>
        <v>No aplica</v>
      </c>
      <c r="DS184" s="79"/>
      <c r="DT184" s="79"/>
      <c r="DU184" s="75" t="str">
        <f t="shared" si="71"/>
        <v>No aplica</v>
      </c>
      <c r="DV184" s="79" t="s">
        <v>182</v>
      </c>
      <c r="DW184" s="79" t="s">
        <v>182</v>
      </c>
      <c r="DX184" s="79"/>
      <c r="DY184" s="79"/>
      <c r="DZ184" s="79"/>
      <c r="EA184" s="79"/>
      <c r="EB184" s="79" t="s">
        <v>182</v>
      </c>
      <c r="EC184" s="79" t="s">
        <v>1496</v>
      </c>
      <c r="ED184" s="79" t="s">
        <v>184</v>
      </c>
      <c r="EE184" s="79" t="s">
        <v>621</v>
      </c>
      <c r="EF184" s="41"/>
      <c r="EG184" s="79" t="s">
        <v>153</v>
      </c>
      <c r="EH184" s="71"/>
      <c r="EI184" s="80"/>
      <c r="EJ184" s="71"/>
      <c r="EK184" s="79" t="s">
        <v>179</v>
      </c>
      <c r="EL184" s="76" t="str">
        <f t="shared" si="72"/>
        <v>No requiere</v>
      </c>
      <c r="EM184" s="76" t="str">
        <f t="shared" si="73"/>
        <v>No requiere</v>
      </c>
      <c r="EN184" s="76" t="str">
        <f t="shared" si="103"/>
        <v>No requiere</v>
      </c>
      <c r="EO184" s="71"/>
      <c r="EP184" s="73" t="str">
        <f t="shared" si="75"/>
        <v>No requiere</v>
      </c>
      <c r="EQ184" s="77" t="str">
        <f t="shared" si="76"/>
        <v>No requiere</v>
      </c>
      <c r="ER184" s="71"/>
      <c r="ES184" s="79" t="s">
        <v>179</v>
      </c>
      <c r="ET184" s="73" t="str">
        <f t="shared" si="77"/>
        <v>No requiere</v>
      </c>
      <c r="EU184" s="73" t="str">
        <f t="shared" si="104"/>
        <v>No requiere</v>
      </c>
      <c r="EV184" s="73" t="str">
        <f t="shared" si="79"/>
        <v>No requiere</v>
      </c>
      <c r="EW184" s="73" t="str">
        <f t="shared" si="80"/>
        <v>No requiere</v>
      </c>
      <c r="EX184" s="78"/>
      <c r="EY184" s="78"/>
    </row>
    <row r="185" spans="1:155" ht="46.5" customHeight="1">
      <c r="A185" s="79">
        <v>181</v>
      </c>
      <c r="B185" s="80" t="s">
        <v>1497</v>
      </c>
      <c r="C185" s="81">
        <v>45375</v>
      </c>
      <c r="D185" s="82">
        <v>0.375</v>
      </c>
      <c r="E185" s="79" t="s">
        <v>200</v>
      </c>
      <c r="F185" s="79" t="s">
        <v>153</v>
      </c>
      <c r="G185" s="79" t="s">
        <v>152</v>
      </c>
      <c r="H185" s="79" t="s">
        <v>152</v>
      </c>
      <c r="I185" s="79" t="s">
        <v>152</v>
      </c>
      <c r="J185" s="79" t="s">
        <v>211</v>
      </c>
      <c r="K185" s="79" t="s">
        <v>155</v>
      </c>
      <c r="L185" s="80" t="s">
        <v>1498</v>
      </c>
      <c r="M185" s="80" t="s">
        <v>624</v>
      </c>
      <c r="N185" s="79" t="s">
        <v>523</v>
      </c>
      <c r="O185" s="80" t="str">
        <f t="shared" si="63"/>
        <v>PENDIENTE, PENDIENTE</v>
      </c>
      <c r="P185" s="79" t="s">
        <v>196</v>
      </c>
      <c r="Q185" s="79" t="s">
        <v>196</v>
      </c>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t="s">
        <v>230</v>
      </c>
      <c r="AP185" s="79" t="s">
        <v>242</v>
      </c>
      <c r="AQ185" s="80" t="s">
        <v>1499</v>
      </c>
      <c r="AR185" s="80">
        <v>3108148740</v>
      </c>
      <c r="AS185" s="80" t="s">
        <v>682</v>
      </c>
      <c r="AT185" s="80" t="str">
        <f t="shared" si="64"/>
        <v>Distrital</v>
      </c>
      <c r="AU185" s="79" t="s">
        <v>172</v>
      </c>
      <c r="AV185" s="79"/>
      <c r="AW185" s="79"/>
      <c r="AX185" s="79"/>
      <c r="AY185" s="79"/>
      <c r="AZ185" s="79"/>
      <c r="BA185" s="80" t="str">
        <f t="shared" si="65"/>
        <v>Distrital</v>
      </c>
      <c r="BB185" s="79" t="s">
        <v>172</v>
      </c>
      <c r="BC185" s="79"/>
      <c r="BD185" s="79"/>
      <c r="BE185" s="79"/>
      <c r="BF185" s="79"/>
      <c r="BG185" s="79"/>
      <c r="BH185" s="80" t="str">
        <f t="shared" si="66"/>
        <v>Distrital</v>
      </c>
      <c r="BI185" s="79" t="s">
        <v>172</v>
      </c>
      <c r="BJ185" s="79"/>
      <c r="BK185" s="79"/>
      <c r="BL185" s="79"/>
      <c r="BM185" s="79"/>
      <c r="BN185" s="79"/>
      <c r="BO185" s="79"/>
      <c r="BP185" s="79"/>
      <c r="BQ185" s="79"/>
      <c r="BR185" s="79"/>
      <c r="BS185" s="80" t="s">
        <v>288</v>
      </c>
      <c r="BT185" s="80" t="s">
        <v>174</v>
      </c>
      <c r="BU185" s="80" t="s">
        <v>1500</v>
      </c>
      <c r="BV185" s="71"/>
      <c r="BW185" s="79" t="s">
        <v>153</v>
      </c>
      <c r="BX185" s="79" t="s">
        <v>176</v>
      </c>
      <c r="BY185" s="71"/>
      <c r="BZ185" s="79">
        <v>14</v>
      </c>
      <c r="CA185" s="79">
        <v>2</v>
      </c>
      <c r="CB185" s="79">
        <f t="shared" si="25"/>
        <v>16</v>
      </c>
      <c r="CC185" s="79" t="str">
        <f t="shared" si="102"/>
        <v>Lenguaje de señas, Accesibilidad Universal, Horarios Acordes</v>
      </c>
      <c r="CD185" s="79" t="s">
        <v>349</v>
      </c>
      <c r="CE185" s="79" t="s">
        <v>397</v>
      </c>
      <c r="CF185" s="79" t="s">
        <v>351</v>
      </c>
      <c r="CG185" s="83" t="s">
        <v>1501</v>
      </c>
      <c r="CH185" s="41"/>
      <c r="CI185" s="79" t="s">
        <v>153</v>
      </c>
      <c r="CJ185" s="71"/>
      <c r="CK185" s="79">
        <f t="shared" si="38"/>
        <v>0</v>
      </c>
      <c r="CL185" s="79"/>
      <c r="CM185" s="79"/>
      <c r="CN185" s="79"/>
      <c r="CO185" s="79"/>
      <c r="CP185" s="79"/>
      <c r="CQ185" s="79"/>
      <c r="CR185" s="83" t="s">
        <v>179</v>
      </c>
      <c r="CS185" s="83" t="s">
        <v>179</v>
      </c>
      <c r="CT185" s="83" t="s">
        <v>179</v>
      </c>
      <c r="CU185" s="83" t="s">
        <v>179</v>
      </c>
      <c r="CV185" s="83" t="s">
        <v>179</v>
      </c>
      <c r="CW185" s="83" t="s">
        <v>179</v>
      </c>
      <c r="CX185" s="79" t="s">
        <v>153</v>
      </c>
      <c r="CY185" s="79">
        <f t="shared" si="39"/>
        <v>0</v>
      </c>
      <c r="CZ185" s="79">
        <v>0</v>
      </c>
      <c r="DA185" s="79">
        <f t="shared" si="84"/>
        <v>0</v>
      </c>
      <c r="DB185" s="84" t="str">
        <f t="shared" si="46"/>
        <v/>
      </c>
      <c r="DC185" s="41"/>
      <c r="DD185" s="79" t="s">
        <v>153</v>
      </c>
      <c r="DE185" s="71"/>
      <c r="DF185" s="85" t="s">
        <v>1502</v>
      </c>
      <c r="DG185" s="79">
        <v>177</v>
      </c>
      <c r="DH185" s="86">
        <f t="shared" si="85"/>
        <v>45378</v>
      </c>
      <c r="DI185" s="79" t="s">
        <v>181</v>
      </c>
      <c r="DJ185" s="79" t="s">
        <v>182</v>
      </c>
      <c r="DK185" s="79"/>
      <c r="DL185" s="79"/>
      <c r="DM185" s="79"/>
      <c r="DN185" s="79" t="s">
        <v>182</v>
      </c>
      <c r="DO185" s="79"/>
      <c r="DP185" s="79"/>
      <c r="DQ185" s="79"/>
      <c r="DR185" s="75" t="str">
        <f t="shared" si="70"/>
        <v>No aplica</v>
      </c>
      <c r="DS185" s="79"/>
      <c r="DT185" s="79"/>
      <c r="DU185" s="75" t="str">
        <f t="shared" si="71"/>
        <v>No aplica</v>
      </c>
      <c r="DV185" s="79" t="s">
        <v>182</v>
      </c>
      <c r="DW185" s="79" t="s">
        <v>182</v>
      </c>
      <c r="DX185" s="79"/>
      <c r="DY185" s="79"/>
      <c r="DZ185" s="79"/>
      <c r="EA185" s="79"/>
      <c r="EB185" s="79" t="s">
        <v>182</v>
      </c>
      <c r="EC185" s="79" t="s">
        <v>1503</v>
      </c>
      <c r="ED185" s="79" t="s">
        <v>184</v>
      </c>
      <c r="EE185" s="79" t="s">
        <v>621</v>
      </c>
      <c r="EF185" s="41"/>
      <c r="EG185" s="79" t="s">
        <v>153</v>
      </c>
      <c r="EH185" s="71"/>
      <c r="EI185" s="80"/>
      <c r="EJ185" s="71"/>
      <c r="EK185" s="79" t="s">
        <v>179</v>
      </c>
      <c r="EL185" s="76" t="str">
        <f t="shared" si="72"/>
        <v>No requiere</v>
      </c>
      <c r="EM185" s="76" t="str">
        <f t="shared" si="73"/>
        <v>No requiere</v>
      </c>
      <c r="EN185" s="76" t="str">
        <f t="shared" si="103"/>
        <v>No requiere</v>
      </c>
      <c r="EO185" s="71"/>
      <c r="EP185" s="73" t="str">
        <f t="shared" si="75"/>
        <v>No requiere</v>
      </c>
      <c r="EQ185" s="77" t="str">
        <f t="shared" si="76"/>
        <v>No requiere</v>
      </c>
      <c r="ER185" s="71"/>
      <c r="ES185" s="79" t="s">
        <v>179</v>
      </c>
      <c r="ET185" s="73" t="str">
        <f t="shared" si="77"/>
        <v>No requiere</v>
      </c>
      <c r="EU185" s="73" t="str">
        <f t="shared" si="104"/>
        <v>No requiere</v>
      </c>
      <c r="EV185" s="73" t="str">
        <f t="shared" si="79"/>
        <v>No requiere</v>
      </c>
      <c r="EW185" s="73" t="str">
        <f t="shared" si="80"/>
        <v>No requiere</v>
      </c>
      <c r="EX185" s="78"/>
      <c r="EY185" s="78"/>
    </row>
    <row r="186" spans="1:155" ht="46.5" customHeight="1">
      <c r="A186" s="79">
        <v>182</v>
      </c>
      <c r="B186" s="80" t="s">
        <v>1504</v>
      </c>
      <c r="C186" s="81">
        <v>45375</v>
      </c>
      <c r="D186" s="82">
        <v>0.39583333333333331</v>
      </c>
      <c r="E186" s="79" t="s">
        <v>151</v>
      </c>
      <c r="F186" s="79" t="s">
        <v>153</v>
      </c>
      <c r="G186" s="79" t="s">
        <v>153</v>
      </c>
      <c r="H186" s="79" t="s">
        <v>152</v>
      </c>
      <c r="I186" s="79" t="s">
        <v>152</v>
      </c>
      <c r="J186" s="79" t="s">
        <v>154</v>
      </c>
      <c r="K186" s="79" t="s">
        <v>155</v>
      </c>
      <c r="L186" s="80" t="s">
        <v>600</v>
      </c>
      <c r="M186" s="80" t="s">
        <v>327</v>
      </c>
      <c r="N186" s="79" t="s">
        <v>720</v>
      </c>
      <c r="O186" s="80" t="str">
        <f t="shared" si="63"/>
        <v xml:space="preserve">César Augusto Barrantes, James Fernando Núñez, Ana María Gualy, Mónica Lyzeth Cantor, Nestor Jecfrid Sánchez, Nicolas Esteban Hernández, Yeiker Guerra Sarmiento, Andres Castro Latorre, Juan Pablo Serna, Luis Fernando Barreto </v>
      </c>
      <c r="P186" s="79" t="s">
        <v>729</v>
      </c>
      <c r="Q186" s="79" t="s">
        <v>632</v>
      </c>
      <c r="R186" s="79" t="s">
        <v>821</v>
      </c>
      <c r="S186" s="79" t="s">
        <v>346</v>
      </c>
      <c r="T186" s="79" t="s">
        <v>965</v>
      </c>
      <c r="U186" s="79" t="s">
        <v>645</v>
      </c>
      <c r="V186" s="79" t="s">
        <v>163</v>
      </c>
      <c r="W186" s="79" t="s">
        <v>749</v>
      </c>
      <c r="X186" s="79" t="s">
        <v>818</v>
      </c>
      <c r="Y186" s="79" t="s">
        <v>720</v>
      </c>
      <c r="Z186" s="79"/>
      <c r="AA186" s="79"/>
      <c r="AB186" s="79"/>
      <c r="AC186" s="79"/>
      <c r="AD186" s="79"/>
      <c r="AE186" s="79"/>
      <c r="AF186" s="79"/>
      <c r="AG186" s="79"/>
      <c r="AH186" s="79"/>
      <c r="AI186" s="79"/>
      <c r="AJ186" s="79"/>
      <c r="AK186" s="79"/>
      <c r="AL186" s="79"/>
      <c r="AM186" s="79"/>
      <c r="AN186" s="79"/>
      <c r="AO186" s="79" t="s">
        <v>304</v>
      </c>
      <c r="AP186" s="79"/>
      <c r="AQ186" s="80" t="s">
        <v>171</v>
      </c>
      <c r="AR186" s="80" t="s">
        <v>171</v>
      </c>
      <c r="AS186" s="80" t="s">
        <v>171</v>
      </c>
      <c r="AT186" s="80" t="str">
        <f t="shared" si="64"/>
        <v>Teusaquillo</v>
      </c>
      <c r="AU186" s="79" t="s">
        <v>1004</v>
      </c>
      <c r="AV186" s="79"/>
      <c r="AW186" s="79"/>
      <c r="AX186" s="79"/>
      <c r="AY186" s="79"/>
      <c r="AZ186" s="79"/>
      <c r="BA186" s="80" t="str">
        <f t="shared" si="65"/>
        <v>Distrital</v>
      </c>
      <c r="BB186" s="79" t="s">
        <v>172</v>
      </c>
      <c r="BC186" s="79"/>
      <c r="BD186" s="79"/>
      <c r="BE186" s="79"/>
      <c r="BF186" s="79"/>
      <c r="BG186" s="79"/>
      <c r="BH186" s="80" t="str">
        <f t="shared" si="66"/>
        <v>Distrital</v>
      </c>
      <c r="BI186" s="79" t="s">
        <v>172</v>
      </c>
      <c r="BJ186" s="79"/>
      <c r="BK186" s="79"/>
      <c r="BL186" s="79"/>
      <c r="BM186" s="79"/>
      <c r="BN186" s="79"/>
      <c r="BO186" s="79"/>
      <c r="BP186" s="79"/>
      <c r="BQ186" s="79"/>
      <c r="BR186" s="79"/>
      <c r="BS186" s="80" t="s">
        <v>288</v>
      </c>
      <c r="BT186" s="80" t="s">
        <v>174</v>
      </c>
      <c r="BU186" s="80" t="s">
        <v>1505</v>
      </c>
      <c r="BV186" s="71"/>
      <c r="BW186" s="79" t="s">
        <v>153</v>
      </c>
      <c r="BX186" s="79" t="s">
        <v>607</v>
      </c>
      <c r="BY186" s="71"/>
      <c r="BZ186" s="79">
        <v>100</v>
      </c>
      <c r="CA186" s="79">
        <v>11</v>
      </c>
      <c r="CB186" s="79">
        <f t="shared" si="25"/>
        <v>111</v>
      </c>
      <c r="CC186" s="79" t="str">
        <f t="shared" si="102"/>
        <v>No Aplica</v>
      </c>
      <c r="CD186" s="79" t="s">
        <v>177</v>
      </c>
      <c r="CE186" s="79"/>
      <c r="CF186" s="79"/>
      <c r="CG186" s="83" t="s">
        <v>1506</v>
      </c>
      <c r="CH186" s="41"/>
      <c r="CI186" s="79" t="s">
        <v>153</v>
      </c>
      <c r="CJ186" s="71"/>
      <c r="CK186" s="79">
        <f t="shared" si="38"/>
        <v>0</v>
      </c>
      <c r="CL186" s="79"/>
      <c r="CM186" s="79"/>
      <c r="CN186" s="79"/>
      <c r="CO186" s="79"/>
      <c r="CP186" s="79"/>
      <c r="CQ186" s="79"/>
      <c r="CR186" s="83" t="s">
        <v>179</v>
      </c>
      <c r="CS186" s="83" t="s">
        <v>179</v>
      </c>
      <c r="CT186" s="83" t="s">
        <v>179</v>
      </c>
      <c r="CU186" s="83" t="s">
        <v>179</v>
      </c>
      <c r="CV186" s="83" t="s">
        <v>179</v>
      </c>
      <c r="CW186" s="83" t="s">
        <v>179</v>
      </c>
      <c r="CX186" s="79" t="s">
        <v>153</v>
      </c>
      <c r="CY186" s="79">
        <f t="shared" si="39"/>
        <v>0</v>
      </c>
      <c r="CZ186" s="79">
        <v>0</v>
      </c>
      <c r="DA186" s="79">
        <f t="shared" si="84"/>
        <v>0</v>
      </c>
      <c r="DB186" s="84" t="str">
        <f t="shared" si="46"/>
        <v/>
      </c>
      <c r="DC186" s="41"/>
      <c r="DD186" s="79" t="s">
        <v>153</v>
      </c>
      <c r="DE186" s="71"/>
      <c r="DF186" s="85" t="s">
        <v>1507</v>
      </c>
      <c r="DG186" s="79">
        <v>178</v>
      </c>
      <c r="DH186" s="86" t="str">
        <f t="shared" si="85"/>
        <v>Completo</v>
      </c>
      <c r="DI186" s="79" t="s">
        <v>181</v>
      </c>
      <c r="DJ186" s="79" t="s">
        <v>182</v>
      </c>
      <c r="DK186" s="79"/>
      <c r="DL186" s="79">
        <v>0</v>
      </c>
      <c r="DM186" s="79">
        <v>0</v>
      </c>
      <c r="DN186" s="79" t="s">
        <v>182</v>
      </c>
      <c r="DO186" s="79"/>
      <c r="DP186" s="79"/>
      <c r="DQ186" s="79"/>
      <c r="DR186" s="75" t="str">
        <f t="shared" si="70"/>
        <v>No aplica</v>
      </c>
      <c r="DS186" s="79"/>
      <c r="DT186" s="79"/>
      <c r="DU186" s="75" t="str">
        <f t="shared" si="71"/>
        <v>No aplica</v>
      </c>
      <c r="DV186" s="79" t="s">
        <v>182</v>
      </c>
      <c r="DW186" s="79" t="s">
        <v>182</v>
      </c>
      <c r="DX186" s="79"/>
      <c r="DY186" s="79"/>
      <c r="DZ186" s="79"/>
      <c r="EA186" s="79"/>
      <c r="EB186" s="79" t="s">
        <v>182</v>
      </c>
      <c r="EC186" s="79" t="s">
        <v>1508</v>
      </c>
      <c r="ED186" s="79" t="s">
        <v>184</v>
      </c>
      <c r="EE186" s="79" t="str">
        <f t="shared" ref="EE186:EE193" si="105">IF(DI186="Subsanado","Completo","Por Completar")</f>
        <v>Completo</v>
      </c>
      <c r="EF186" s="41"/>
      <c r="EG186" s="79" t="s">
        <v>153</v>
      </c>
      <c r="EH186" s="71"/>
      <c r="EI186" s="80"/>
      <c r="EJ186" s="71"/>
      <c r="EK186" s="79" t="s">
        <v>179</v>
      </c>
      <c r="EL186" s="76" t="str">
        <f t="shared" si="72"/>
        <v>No requiere</v>
      </c>
      <c r="EM186" s="76" t="str">
        <f t="shared" si="73"/>
        <v>No requiere</v>
      </c>
      <c r="EN186" s="76" t="str">
        <f t="shared" si="103"/>
        <v>No requiere</v>
      </c>
      <c r="EO186" s="71"/>
      <c r="EP186" s="73" t="str">
        <f t="shared" si="75"/>
        <v>No requiere</v>
      </c>
      <c r="EQ186" s="77" t="str">
        <f t="shared" si="76"/>
        <v>No requiere</v>
      </c>
      <c r="ER186" s="71"/>
      <c r="ES186" s="79" t="s">
        <v>179</v>
      </c>
      <c r="ET186" s="73" t="str">
        <f t="shared" si="77"/>
        <v>No requiere</v>
      </c>
      <c r="EU186" s="73" t="str">
        <f t="shared" si="104"/>
        <v>No requiere</v>
      </c>
      <c r="EV186" s="73" t="str">
        <f t="shared" si="79"/>
        <v>No requiere</v>
      </c>
      <c r="EW186" s="73" t="str">
        <f t="shared" si="80"/>
        <v>No requiere</v>
      </c>
      <c r="EX186" s="78"/>
      <c r="EY186" s="78"/>
    </row>
    <row r="187" spans="1:155" ht="46.5" customHeight="1">
      <c r="A187" s="79">
        <v>183</v>
      </c>
      <c r="B187" s="80" t="s">
        <v>1509</v>
      </c>
      <c r="C187" s="81">
        <v>45376</v>
      </c>
      <c r="D187" s="82">
        <v>0.375</v>
      </c>
      <c r="E187" s="79" t="s">
        <v>200</v>
      </c>
      <c r="F187" s="79" t="s">
        <v>153</v>
      </c>
      <c r="G187" s="79" t="s">
        <v>152</v>
      </c>
      <c r="H187" s="79" t="s">
        <v>152</v>
      </c>
      <c r="I187" s="79" t="s">
        <v>152</v>
      </c>
      <c r="J187" s="79" t="s">
        <v>211</v>
      </c>
      <c r="K187" s="79" t="s">
        <v>202</v>
      </c>
      <c r="L187" s="80" t="s">
        <v>1510</v>
      </c>
      <c r="M187" s="80" t="s">
        <v>624</v>
      </c>
      <c r="N187" s="79" t="s">
        <v>253</v>
      </c>
      <c r="O187" s="80" t="str">
        <f t="shared" si="63"/>
        <v>PENDIENTE, PENDIENTE, PENDIENTE</v>
      </c>
      <c r="P187" s="79" t="s">
        <v>196</v>
      </c>
      <c r="Q187" s="79" t="s">
        <v>196</v>
      </c>
      <c r="R187" s="79" t="s">
        <v>196</v>
      </c>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t="s">
        <v>230</v>
      </c>
      <c r="AP187" s="79" t="s">
        <v>242</v>
      </c>
      <c r="AQ187" s="80" t="s">
        <v>1511</v>
      </c>
      <c r="AR187" s="80">
        <v>3188799909</v>
      </c>
      <c r="AS187" s="80" t="s">
        <v>1512</v>
      </c>
      <c r="AT187" s="80" t="str">
        <f t="shared" si="64"/>
        <v>Distrital</v>
      </c>
      <c r="AU187" s="79" t="s">
        <v>172</v>
      </c>
      <c r="AV187" s="79"/>
      <c r="AW187" s="79"/>
      <c r="AX187" s="79"/>
      <c r="AY187" s="79"/>
      <c r="AZ187" s="79"/>
      <c r="BA187" s="80" t="str">
        <f t="shared" si="65"/>
        <v>Distrital</v>
      </c>
      <c r="BB187" s="79" t="s">
        <v>172</v>
      </c>
      <c r="BC187" s="79"/>
      <c r="BD187" s="79"/>
      <c r="BE187" s="79"/>
      <c r="BF187" s="79"/>
      <c r="BG187" s="79"/>
      <c r="BH187" s="80" t="str">
        <f t="shared" si="66"/>
        <v>Distrital</v>
      </c>
      <c r="BI187" s="79" t="s">
        <v>172</v>
      </c>
      <c r="BJ187" s="79"/>
      <c r="BK187" s="79"/>
      <c r="BL187" s="79"/>
      <c r="BM187" s="79"/>
      <c r="BN187" s="79"/>
      <c r="BO187" s="79"/>
      <c r="BP187" s="79"/>
      <c r="BQ187" s="79"/>
      <c r="BR187" s="79"/>
      <c r="BS187" s="80" t="s">
        <v>288</v>
      </c>
      <c r="BT187" s="80" t="s">
        <v>174</v>
      </c>
      <c r="BU187" s="89" t="s">
        <v>1513</v>
      </c>
      <c r="BV187" s="71"/>
      <c r="BW187" s="79" t="s">
        <v>152</v>
      </c>
      <c r="BX187" s="79" t="s">
        <v>179</v>
      </c>
      <c r="BY187" s="71"/>
      <c r="BZ187" s="79">
        <v>24</v>
      </c>
      <c r="CA187" s="79">
        <v>3</v>
      </c>
      <c r="CB187" s="79">
        <f t="shared" si="25"/>
        <v>27</v>
      </c>
      <c r="CC187" s="79" t="str">
        <f t="shared" si="102"/>
        <v>No Aplica</v>
      </c>
      <c r="CD187" s="79" t="s">
        <v>177</v>
      </c>
      <c r="CE187" s="79"/>
      <c r="CF187" s="79"/>
      <c r="CG187" s="83" t="s">
        <v>1514</v>
      </c>
      <c r="CH187" s="41"/>
      <c r="CI187" s="79" t="s">
        <v>153</v>
      </c>
      <c r="CJ187" s="71"/>
      <c r="CK187" s="79">
        <f t="shared" si="38"/>
        <v>0</v>
      </c>
      <c r="CL187" s="79"/>
      <c r="CM187" s="79"/>
      <c r="CN187" s="79"/>
      <c r="CO187" s="79"/>
      <c r="CP187" s="79"/>
      <c r="CQ187" s="79"/>
      <c r="CR187" s="83" t="s">
        <v>179</v>
      </c>
      <c r="CS187" s="83" t="s">
        <v>179</v>
      </c>
      <c r="CT187" s="83" t="s">
        <v>179</v>
      </c>
      <c r="CU187" s="83" t="s">
        <v>179</v>
      </c>
      <c r="CV187" s="83" t="s">
        <v>179</v>
      </c>
      <c r="CW187" s="83" t="s">
        <v>179</v>
      </c>
      <c r="CX187" s="79" t="s">
        <v>153</v>
      </c>
      <c r="CY187" s="79">
        <f t="shared" si="39"/>
        <v>0</v>
      </c>
      <c r="CZ187" s="79">
        <v>0</v>
      </c>
      <c r="DA187" s="79">
        <f t="shared" si="84"/>
        <v>0</v>
      </c>
      <c r="DB187" s="84" t="str">
        <f t="shared" si="46"/>
        <v/>
      </c>
      <c r="DC187" s="41"/>
      <c r="DD187" s="79" t="s">
        <v>153</v>
      </c>
      <c r="DE187" s="71"/>
      <c r="DF187" s="85" t="s">
        <v>1515</v>
      </c>
      <c r="DG187" s="79">
        <v>179</v>
      </c>
      <c r="DH187" s="86" t="str">
        <f t="shared" si="85"/>
        <v>Completo</v>
      </c>
      <c r="DI187" s="79" t="s">
        <v>181</v>
      </c>
      <c r="DJ187" s="79" t="s">
        <v>182</v>
      </c>
      <c r="DK187" s="79"/>
      <c r="DL187" s="79"/>
      <c r="DM187" s="79"/>
      <c r="DN187" s="79" t="s">
        <v>182</v>
      </c>
      <c r="DO187" s="79"/>
      <c r="DP187" s="79"/>
      <c r="DQ187" s="79"/>
      <c r="DR187" s="75" t="str">
        <f t="shared" si="70"/>
        <v>No aplica</v>
      </c>
      <c r="DS187" s="79"/>
      <c r="DT187" s="79"/>
      <c r="DU187" s="75" t="str">
        <f t="shared" si="71"/>
        <v>No aplica</v>
      </c>
      <c r="DV187" s="79" t="s">
        <v>182</v>
      </c>
      <c r="DW187" s="79" t="s">
        <v>182</v>
      </c>
      <c r="DX187" s="79"/>
      <c r="DY187" s="79"/>
      <c r="DZ187" s="79"/>
      <c r="EA187" s="79"/>
      <c r="EB187" s="79" t="s">
        <v>182</v>
      </c>
      <c r="EC187" s="79" t="s">
        <v>1516</v>
      </c>
      <c r="ED187" s="79" t="s">
        <v>1517</v>
      </c>
      <c r="EE187" s="79" t="str">
        <f t="shared" si="105"/>
        <v>Completo</v>
      </c>
      <c r="EF187" s="41"/>
      <c r="EG187" s="79" t="s">
        <v>153</v>
      </c>
      <c r="EH187" s="71"/>
      <c r="EI187" s="80"/>
      <c r="EJ187" s="71"/>
      <c r="EK187" s="79" t="s">
        <v>179</v>
      </c>
      <c r="EL187" s="76" t="str">
        <f t="shared" si="72"/>
        <v>No requiere</v>
      </c>
      <c r="EM187" s="76" t="str">
        <f t="shared" si="73"/>
        <v>No requiere</v>
      </c>
      <c r="EN187" s="76" t="str">
        <f t="shared" si="103"/>
        <v>No requiere</v>
      </c>
      <c r="EO187" s="71"/>
      <c r="EP187" s="73" t="str">
        <f t="shared" si="75"/>
        <v>No requiere</v>
      </c>
      <c r="EQ187" s="77" t="str">
        <f t="shared" si="76"/>
        <v>No requiere</v>
      </c>
      <c r="ER187" s="71"/>
      <c r="ES187" s="79" t="s">
        <v>179</v>
      </c>
      <c r="ET187" s="73" t="str">
        <f t="shared" si="77"/>
        <v>No requiere</v>
      </c>
      <c r="EU187" s="73" t="str">
        <f t="shared" si="104"/>
        <v>No requiere</v>
      </c>
      <c r="EV187" s="73" t="str">
        <f t="shared" si="79"/>
        <v>No requiere</v>
      </c>
      <c r="EW187" s="73" t="str">
        <f t="shared" si="80"/>
        <v>No requiere</v>
      </c>
      <c r="EX187" s="78"/>
      <c r="EY187" s="78"/>
    </row>
    <row r="188" spans="1:155" ht="46.5" customHeight="1">
      <c r="A188" s="79">
        <v>184</v>
      </c>
      <c r="B188" s="80" t="s">
        <v>1518</v>
      </c>
      <c r="C188" s="81">
        <v>45376</v>
      </c>
      <c r="D188" s="82">
        <v>0.66666666666666663</v>
      </c>
      <c r="E188" s="79" t="s">
        <v>200</v>
      </c>
      <c r="F188" s="79" t="s">
        <v>153</v>
      </c>
      <c r="G188" s="79" t="s">
        <v>152</v>
      </c>
      <c r="H188" s="79" t="s">
        <v>152</v>
      </c>
      <c r="I188" s="79" t="s">
        <v>152</v>
      </c>
      <c r="J188" s="79" t="s">
        <v>211</v>
      </c>
      <c r="K188" s="79" t="s">
        <v>202</v>
      </c>
      <c r="L188" s="80" t="s">
        <v>1519</v>
      </c>
      <c r="M188" s="80" t="s">
        <v>624</v>
      </c>
      <c r="N188" s="79" t="s">
        <v>523</v>
      </c>
      <c r="O188" s="80" t="str">
        <f t="shared" si="63"/>
        <v/>
      </c>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t="s">
        <v>230</v>
      </c>
      <c r="AP188" s="79" t="s">
        <v>242</v>
      </c>
      <c r="AQ188" s="80" t="s">
        <v>1334</v>
      </c>
      <c r="AR188" s="80">
        <v>3244150125</v>
      </c>
      <c r="AS188" s="80" t="s">
        <v>171</v>
      </c>
      <c r="AT188" s="80" t="str">
        <f t="shared" si="64"/>
        <v>Distrital</v>
      </c>
      <c r="AU188" s="79" t="s">
        <v>172</v>
      </c>
      <c r="AV188" s="79"/>
      <c r="AW188" s="79"/>
      <c r="AX188" s="79"/>
      <c r="AY188" s="79"/>
      <c r="AZ188" s="79"/>
      <c r="BA188" s="80" t="str">
        <f t="shared" si="65"/>
        <v>Distrital</v>
      </c>
      <c r="BB188" s="79" t="s">
        <v>172</v>
      </c>
      <c r="BC188" s="79"/>
      <c r="BD188" s="79"/>
      <c r="BE188" s="79"/>
      <c r="BF188" s="79"/>
      <c r="BG188" s="79"/>
      <c r="BH188" s="80" t="str">
        <f t="shared" si="66"/>
        <v>Distrital</v>
      </c>
      <c r="BI188" s="79" t="s">
        <v>172</v>
      </c>
      <c r="BJ188" s="79"/>
      <c r="BK188" s="79"/>
      <c r="BL188" s="79"/>
      <c r="BM188" s="79"/>
      <c r="BN188" s="79"/>
      <c r="BO188" s="79"/>
      <c r="BP188" s="79"/>
      <c r="BQ188" s="79"/>
      <c r="BR188" s="79"/>
      <c r="BS188" s="80" t="s">
        <v>288</v>
      </c>
      <c r="BT188" s="80" t="s">
        <v>174</v>
      </c>
      <c r="BU188" s="89" t="s">
        <v>1520</v>
      </c>
      <c r="BV188" s="71"/>
      <c r="BW188" s="79" t="s">
        <v>152</v>
      </c>
      <c r="BX188" s="79" t="s">
        <v>179</v>
      </c>
      <c r="BY188" s="71"/>
      <c r="BZ188" s="79">
        <v>12</v>
      </c>
      <c r="CA188" s="79">
        <v>1</v>
      </c>
      <c r="CB188" s="79">
        <f t="shared" si="25"/>
        <v>13</v>
      </c>
      <c r="CC188" s="79" t="str">
        <f t="shared" si="102"/>
        <v>Lenguaje de señas, Accesibilidad Universal, Contenidos adaptados</v>
      </c>
      <c r="CD188" s="79" t="s">
        <v>349</v>
      </c>
      <c r="CE188" s="79" t="s">
        <v>397</v>
      </c>
      <c r="CF188" s="79" t="s">
        <v>350</v>
      </c>
      <c r="CG188" s="83" t="s">
        <v>1521</v>
      </c>
      <c r="CH188" s="41"/>
      <c r="CI188" s="79" t="s">
        <v>153</v>
      </c>
      <c r="CJ188" s="71"/>
      <c r="CK188" s="79">
        <f t="shared" si="38"/>
        <v>0</v>
      </c>
      <c r="CL188" s="79"/>
      <c r="CM188" s="79"/>
      <c r="CN188" s="79"/>
      <c r="CO188" s="79"/>
      <c r="CP188" s="79"/>
      <c r="CQ188" s="79"/>
      <c r="CR188" s="83" t="s">
        <v>179</v>
      </c>
      <c r="CS188" s="83" t="s">
        <v>179</v>
      </c>
      <c r="CT188" s="83" t="s">
        <v>179</v>
      </c>
      <c r="CU188" s="83" t="s">
        <v>179</v>
      </c>
      <c r="CV188" s="83" t="s">
        <v>179</v>
      </c>
      <c r="CW188" s="83" t="s">
        <v>179</v>
      </c>
      <c r="CX188" s="79" t="s">
        <v>153</v>
      </c>
      <c r="CY188" s="79">
        <f t="shared" si="39"/>
        <v>0</v>
      </c>
      <c r="CZ188" s="79">
        <v>0</v>
      </c>
      <c r="DA188" s="79">
        <f t="shared" si="84"/>
        <v>0</v>
      </c>
      <c r="DB188" s="84" t="str">
        <f t="shared" si="46"/>
        <v/>
      </c>
      <c r="DC188" s="41"/>
      <c r="DD188" s="79" t="s">
        <v>153</v>
      </c>
      <c r="DE188" s="71"/>
      <c r="DF188" s="85" t="s">
        <v>1522</v>
      </c>
      <c r="DG188" s="79">
        <v>180</v>
      </c>
      <c r="DH188" s="86" t="str">
        <f t="shared" si="85"/>
        <v>Completo</v>
      </c>
      <c r="DI188" s="79" t="s">
        <v>181</v>
      </c>
      <c r="DJ188" s="79" t="s">
        <v>182</v>
      </c>
      <c r="DK188" s="79"/>
      <c r="DL188" s="79"/>
      <c r="DM188" s="79"/>
      <c r="DN188" s="79" t="s">
        <v>182</v>
      </c>
      <c r="DO188" s="79"/>
      <c r="DP188" s="79"/>
      <c r="DQ188" s="79"/>
      <c r="DR188" s="75" t="str">
        <f t="shared" si="70"/>
        <v>No aplica</v>
      </c>
      <c r="DS188" s="79"/>
      <c r="DT188" s="79"/>
      <c r="DU188" s="75" t="str">
        <f t="shared" si="71"/>
        <v>No aplica</v>
      </c>
      <c r="DV188" s="79" t="s">
        <v>182</v>
      </c>
      <c r="DW188" s="79" t="s">
        <v>182</v>
      </c>
      <c r="DX188" s="79"/>
      <c r="DY188" s="79"/>
      <c r="DZ188" s="79"/>
      <c r="EA188" s="79"/>
      <c r="EB188" s="79" t="s">
        <v>182</v>
      </c>
      <c r="EC188" s="79" t="s">
        <v>1523</v>
      </c>
      <c r="ED188" s="79" t="s">
        <v>184</v>
      </c>
      <c r="EE188" s="79" t="str">
        <f t="shared" si="105"/>
        <v>Completo</v>
      </c>
      <c r="EF188" s="41"/>
      <c r="EG188" s="79" t="s">
        <v>153</v>
      </c>
      <c r="EH188" s="71"/>
      <c r="EI188" s="80"/>
      <c r="EJ188" s="71"/>
      <c r="EK188" s="79" t="s">
        <v>179</v>
      </c>
      <c r="EL188" s="76" t="str">
        <f t="shared" si="72"/>
        <v>No requiere</v>
      </c>
      <c r="EM188" s="76" t="str">
        <f t="shared" si="73"/>
        <v>No requiere</v>
      </c>
      <c r="EN188" s="76" t="str">
        <f t="shared" si="103"/>
        <v>No requiere</v>
      </c>
      <c r="EO188" s="71"/>
      <c r="EP188" s="73" t="str">
        <f t="shared" si="75"/>
        <v>No requiere</v>
      </c>
      <c r="EQ188" s="77" t="str">
        <f t="shared" si="76"/>
        <v>No requiere</v>
      </c>
      <c r="ER188" s="71"/>
      <c r="ES188" s="79" t="s">
        <v>179</v>
      </c>
      <c r="ET188" s="73" t="str">
        <f t="shared" si="77"/>
        <v>No requiere</v>
      </c>
      <c r="EU188" s="73" t="str">
        <f t="shared" si="104"/>
        <v>No requiere</v>
      </c>
      <c r="EV188" s="73" t="str">
        <f t="shared" si="79"/>
        <v>No requiere</v>
      </c>
      <c r="EW188" s="73" t="str">
        <f t="shared" si="80"/>
        <v>No requiere</v>
      </c>
      <c r="EX188" s="78"/>
      <c r="EY188" s="78"/>
    </row>
    <row r="189" spans="1:155" ht="46.5" customHeight="1">
      <c r="A189" s="79">
        <v>185</v>
      </c>
      <c r="B189" s="80" t="s">
        <v>1524</v>
      </c>
      <c r="C189" s="81">
        <v>45377</v>
      </c>
      <c r="D189" s="82">
        <v>0.375</v>
      </c>
      <c r="E189" s="79" t="s">
        <v>151</v>
      </c>
      <c r="F189" s="79" t="s">
        <v>153</v>
      </c>
      <c r="G189" s="79" t="s">
        <v>153</v>
      </c>
      <c r="H189" s="79" t="s">
        <v>152</v>
      </c>
      <c r="I189" s="79" t="s">
        <v>152</v>
      </c>
      <c r="J189" s="79" t="s">
        <v>154</v>
      </c>
      <c r="K189" s="79" t="s">
        <v>155</v>
      </c>
      <c r="L189" s="80" t="s">
        <v>1525</v>
      </c>
      <c r="M189" s="80" t="s">
        <v>303</v>
      </c>
      <c r="N189" s="79" t="s">
        <v>163</v>
      </c>
      <c r="O189" s="80" t="str">
        <f t="shared" si="63"/>
        <v>Yeiker Guerra Sarmiento, Laura Camila Bechara</v>
      </c>
      <c r="P189" s="79" t="s">
        <v>163</v>
      </c>
      <c r="Q189" s="79" t="s">
        <v>887</v>
      </c>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t="s">
        <v>230</v>
      </c>
      <c r="AP189" s="79" t="s">
        <v>347</v>
      </c>
      <c r="AQ189" s="80" t="s">
        <v>1192</v>
      </c>
      <c r="AR189" s="80">
        <v>3143909467</v>
      </c>
      <c r="AS189" s="80" t="s">
        <v>1241</v>
      </c>
      <c r="AT189" s="80" t="str">
        <f t="shared" si="64"/>
        <v>Distrital</v>
      </c>
      <c r="AU189" s="79" t="s">
        <v>172</v>
      </c>
      <c r="AV189" s="79"/>
      <c r="AW189" s="79"/>
      <c r="AX189" s="79"/>
      <c r="AY189" s="79"/>
      <c r="AZ189" s="79"/>
      <c r="BA189" s="80" t="str">
        <f t="shared" si="65"/>
        <v>Distrital</v>
      </c>
      <c r="BB189" s="79" t="s">
        <v>172</v>
      </c>
      <c r="BC189" s="79"/>
      <c r="BD189" s="79"/>
      <c r="BE189" s="79"/>
      <c r="BF189" s="79"/>
      <c r="BG189" s="79"/>
      <c r="BH189" s="80" t="str">
        <f t="shared" si="66"/>
        <v>Distrital</v>
      </c>
      <c r="BI189" s="79" t="s">
        <v>172</v>
      </c>
      <c r="BJ189" s="79"/>
      <c r="BK189" s="79"/>
      <c r="BL189" s="79"/>
      <c r="BM189" s="79"/>
      <c r="BN189" s="79"/>
      <c r="BO189" s="79"/>
      <c r="BP189" s="79"/>
      <c r="BQ189" s="79"/>
      <c r="BR189" s="79"/>
      <c r="BS189" s="80" t="s">
        <v>288</v>
      </c>
      <c r="BT189" s="80" t="s">
        <v>174</v>
      </c>
      <c r="BU189" s="80" t="s">
        <v>1243</v>
      </c>
      <c r="BV189" s="71"/>
      <c r="BW189" s="79" t="s">
        <v>153</v>
      </c>
      <c r="BX189" s="79" t="s">
        <v>607</v>
      </c>
      <c r="BY189" s="71"/>
      <c r="BZ189" s="79">
        <v>17</v>
      </c>
      <c r="CA189" s="79">
        <v>2</v>
      </c>
      <c r="CB189" s="79">
        <f t="shared" si="25"/>
        <v>19</v>
      </c>
      <c r="CC189" s="79" t="str">
        <f t="shared" si="102"/>
        <v>No Aplica</v>
      </c>
      <c r="CD189" s="79" t="s">
        <v>177</v>
      </c>
      <c r="CE189" s="79"/>
      <c r="CF189" s="79"/>
      <c r="CG189" s="83" t="s">
        <v>1526</v>
      </c>
      <c r="CH189" s="41"/>
      <c r="CI189" s="79" t="s">
        <v>153</v>
      </c>
      <c r="CJ189" s="71"/>
      <c r="CK189" s="79">
        <f t="shared" si="38"/>
        <v>0</v>
      </c>
      <c r="CL189" s="79"/>
      <c r="CM189" s="79"/>
      <c r="CN189" s="79"/>
      <c r="CO189" s="79"/>
      <c r="CP189" s="79"/>
      <c r="CQ189" s="79"/>
      <c r="CR189" s="83" t="s">
        <v>179</v>
      </c>
      <c r="CS189" s="83" t="s">
        <v>179</v>
      </c>
      <c r="CT189" s="83" t="s">
        <v>179</v>
      </c>
      <c r="CU189" s="83" t="s">
        <v>179</v>
      </c>
      <c r="CV189" s="83" t="s">
        <v>179</v>
      </c>
      <c r="CW189" s="83" t="s">
        <v>179</v>
      </c>
      <c r="CX189" s="79" t="s">
        <v>153</v>
      </c>
      <c r="CY189" s="79">
        <f t="shared" si="39"/>
        <v>0</v>
      </c>
      <c r="CZ189" s="79">
        <v>0</v>
      </c>
      <c r="DA189" s="79">
        <f t="shared" si="84"/>
        <v>0</v>
      </c>
      <c r="DB189" s="84" t="str">
        <f t="shared" si="46"/>
        <v/>
      </c>
      <c r="DC189" s="41"/>
      <c r="DD189" s="79" t="s">
        <v>153</v>
      </c>
      <c r="DE189" s="71"/>
      <c r="DF189" s="85" t="s">
        <v>1527</v>
      </c>
      <c r="DG189" s="79">
        <v>181</v>
      </c>
      <c r="DH189" s="86">
        <f t="shared" si="85"/>
        <v>45380</v>
      </c>
      <c r="DI189" s="79" t="s">
        <v>1246</v>
      </c>
      <c r="DJ189" s="79"/>
      <c r="DK189" s="79"/>
      <c r="DL189" s="79"/>
      <c r="DM189" s="79"/>
      <c r="DN189" s="79" t="s">
        <v>182</v>
      </c>
      <c r="DO189" s="79"/>
      <c r="DP189" s="79"/>
      <c r="DQ189" s="79"/>
      <c r="DR189" s="75" t="str">
        <f t="shared" si="70"/>
        <v>No aplica</v>
      </c>
      <c r="DS189" s="79"/>
      <c r="DT189" s="79"/>
      <c r="DU189" s="75" t="str">
        <f t="shared" si="71"/>
        <v>No aplica</v>
      </c>
      <c r="DV189" s="79" t="s">
        <v>182</v>
      </c>
      <c r="DW189" s="79"/>
      <c r="DX189" s="79"/>
      <c r="DY189" s="79"/>
      <c r="DZ189" s="79"/>
      <c r="EA189" s="79"/>
      <c r="EB189" s="79"/>
      <c r="EC189" s="79"/>
      <c r="ED189" s="79"/>
      <c r="EE189" s="79" t="str">
        <f t="shared" si="105"/>
        <v>Por Completar</v>
      </c>
      <c r="EF189" s="41"/>
      <c r="EG189" s="79"/>
      <c r="EH189" s="71"/>
      <c r="EI189" s="80"/>
      <c r="EJ189" s="71"/>
      <c r="EK189" s="79" t="s">
        <v>179</v>
      </c>
      <c r="EL189" s="76" t="str">
        <f t="shared" si="72"/>
        <v>No requiere</v>
      </c>
      <c r="EM189" s="76" t="str">
        <f t="shared" si="73"/>
        <v>No requiere</v>
      </c>
      <c r="EN189" s="76" t="str">
        <f t="shared" si="103"/>
        <v>No requiere</v>
      </c>
      <c r="EO189" s="71"/>
      <c r="EP189" s="73" t="str">
        <f t="shared" si="75"/>
        <v>No requiere</v>
      </c>
      <c r="EQ189" s="77" t="str">
        <f t="shared" si="76"/>
        <v>No requiere</v>
      </c>
      <c r="ER189" s="71"/>
      <c r="ES189" s="79" t="s">
        <v>179</v>
      </c>
      <c r="ET189" s="73" t="str">
        <f t="shared" si="77"/>
        <v>No requiere</v>
      </c>
      <c r="EU189" s="73" t="str">
        <f t="shared" si="104"/>
        <v>No requiere</v>
      </c>
      <c r="EV189" s="73" t="str">
        <f t="shared" si="79"/>
        <v>No requiere</v>
      </c>
      <c r="EW189" s="73" t="str">
        <f t="shared" si="80"/>
        <v>No requiere</v>
      </c>
      <c r="EX189" s="78"/>
      <c r="EY189" s="78"/>
    </row>
    <row r="190" spans="1:155" ht="46.5" customHeight="1">
      <c r="A190" s="79">
        <v>186</v>
      </c>
      <c r="B190" s="80" t="s">
        <v>1528</v>
      </c>
      <c r="C190" s="81">
        <v>45377</v>
      </c>
      <c r="D190" s="82">
        <v>0.375</v>
      </c>
      <c r="E190" s="79" t="s">
        <v>200</v>
      </c>
      <c r="F190" s="79" t="s">
        <v>153</v>
      </c>
      <c r="G190" s="79" t="s">
        <v>152</v>
      </c>
      <c r="H190" s="79" t="s">
        <v>152</v>
      </c>
      <c r="I190" s="79" t="s">
        <v>152</v>
      </c>
      <c r="J190" s="79" t="s">
        <v>211</v>
      </c>
      <c r="K190" s="79" t="s">
        <v>202</v>
      </c>
      <c r="L190" s="80" t="s">
        <v>1529</v>
      </c>
      <c r="M190" s="80" t="s">
        <v>624</v>
      </c>
      <c r="N190" s="79" t="s">
        <v>888</v>
      </c>
      <c r="O190" s="80" t="str">
        <f t="shared" si="63"/>
        <v/>
      </c>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t="s">
        <v>230</v>
      </c>
      <c r="AP190" s="79" t="s">
        <v>242</v>
      </c>
      <c r="AQ190" s="80" t="s">
        <v>1530</v>
      </c>
      <c r="AR190" s="80">
        <v>3212029774</v>
      </c>
      <c r="AS190" s="80" t="s">
        <v>1355</v>
      </c>
      <c r="AT190" s="80" t="str">
        <f t="shared" si="64"/>
        <v>Distrital</v>
      </c>
      <c r="AU190" s="79" t="s">
        <v>172</v>
      </c>
      <c r="AV190" s="79"/>
      <c r="AW190" s="79"/>
      <c r="AX190" s="79"/>
      <c r="AY190" s="79"/>
      <c r="AZ190" s="79"/>
      <c r="BA190" s="80" t="str">
        <f t="shared" si="65"/>
        <v>Distrital</v>
      </c>
      <c r="BB190" s="79" t="s">
        <v>172</v>
      </c>
      <c r="BC190" s="79"/>
      <c r="BD190" s="79"/>
      <c r="BE190" s="79"/>
      <c r="BF190" s="79"/>
      <c r="BG190" s="79"/>
      <c r="BH190" s="80" t="str">
        <f t="shared" si="66"/>
        <v>Distrital</v>
      </c>
      <c r="BI190" s="79" t="s">
        <v>172</v>
      </c>
      <c r="BJ190" s="79"/>
      <c r="BK190" s="79"/>
      <c r="BL190" s="79"/>
      <c r="BM190" s="79"/>
      <c r="BN190" s="79"/>
      <c r="BO190" s="79"/>
      <c r="BP190" s="79"/>
      <c r="BQ190" s="79"/>
      <c r="BR190" s="79"/>
      <c r="BS190" s="80" t="s">
        <v>288</v>
      </c>
      <c r="BT190" s="80" t="s">
        <v>174</v>
      </c>
      <c r="BU190" s="89" t="s">
        <v>1531</v>
      </c>
      <c r="BV190" s="71"/>
      <c r="BW190" s="79" t="s">
        <v>152</v>
      </c>
      <c r="BX190" s="79" t="s">
        <v>179</v>
      </c>
      <c r="BY190" s="71"/>
      <c r="BZ190" s="79">
        <v>39</v>
      </c>
      <c r="CA190" s="79">
        <v>1</v>
      </c>
      <c r="CB190" s="79">
        <f t="shared" si="25"/>
        <v>40</v>
      </c>
      <c r="CC190" s="79" t="str">
        <f t="shared" si="102"/>
        <v>No Aplica</v>
      </c>
      <c r="CD190" s="79" t="s">
        <v>177</v>
      </c>
      <c r="CE190" s="79"/>
      <c r="CF190" s="79"/>
      <c r="CG190" s="83" t="s">
        <v>1532</v>
      </c>
      <c r="CH190" s="41"/>
      <c r="CI190" s="79" t="s">
        <v>153</v>
      </c>
      <c r="CJ190" s="71"/>
      <c r="CK190" s="79">
        <f t="shared" si="38"/>
        <v>0</v>
      </c>
      <c r="CL190" s="79"/>
      <c r="CM190" s="79"/>
      <c r="CN190" s="79"/>
      <c r="CO190" s="79"/>
      <c r="CP190" s="79"/>
      <c r="CQ190" s="79"/>
      <c r="CR190" s="83" t="s">
        <v>179</v>
      </c>
      <c r="CS190" s="83" t="s">
        <v>179</v>
      </c>
      <c r="CT190" s="83" t="s">
        <v>179</v>
      </c>
      <c r="CU190" s="83" t="s">
        <v>179</v>
      </c>
      <c r="CV190" s="83" t="s">
        <v>179</v>
      </c>
      <c r="CW190" s="83" t="s">
        <v>179</v>
      </c>
      <c r="CX190" s="79" t="s">
        <v>153</v>
      </c>
      <c r="CY190" s="79">
        <f t="shared" si="39"/>
        <v>0</v>
      </c>
      <c r="CZ190" s="79">
        <v>0</v>
      </c>
      <c r="DA190" s="79">
        <f t="shared" si="84"/>
        <v>0</v>
      </c>
      <c r="DB190" s="84" t="str">
        <f t="shared" si="46"/>
        <v/>
      </c>
      <c r="DC190" s="41"/>
      <c r="DD190" s="79" t="s">
        <v>153</v>
      </c>
      <c r="DE190" s="71"/>
      <c r="DF190" s="85" t="s">
        <v>1533</v>
      </c>
      <c r="DG190" s="79">
        <v>182</v>
      </c>
      <c r="DH190" s="86" t="str">
        <f t="shared" si="85"/>
        <v>Completo</v>
      </c>
      <c r="DI190" s="79" t="s">
        <v>181</v>
      </c>
      <c r="DJ190" s="79" t="s">
        <v>182</v>
      </c>
      <c r="DK190" s="79"/>
      <c r="DL190" s="79"/>
      <c r="DM190" s="79"/>
      <c r="DN190" s="79" t="s">
        <v>182</v>
      </c>
      <c r="DO190" s="79"/>
      <c r="DP190" s="79"/>
      <c r="DQ190" s="79"/>
      <c r="DR190" s="75" t="str">
        <f t="shared" si="70"/>
        <v>No aplica</v>
      </c>
      <c r="DS190" s="79"/>
      <c r="DT190" s="79"/>
      <c r="DU190" s="75" t="str">
        <f t="shared" si="71"/>
        <v>No aplica</v>
      </c>
      <c r="DV190" s="79" t="s">
        <v>182</v>
      </c>
      <c r="DW190" s="79" t="s">
        <v>182</v>
      </c>
      <c r="DX190" s="79"/>
      <c r="DY190" s="79"/>
      <c r="DZ190" s="79"/>
      <c r="EA190" s="79"/>
      <c r="EB190" s="79" t="s">
        <v>182</v>
      </c>
      <c r="EC190" s="79" t="s">
        <v>1295</v>
      </c>
      <c r="ED190" s="79" t="s">
        <v>184</v>
      </c>
      <c r="EE190" s="79" t="str">
        <f t="shared" si="105"/>
        <v>Completo</v>
      </c>
      <c r="EF190" s="41"/>
      <c r="EG190" s="79" t="s">
        <v>153</v>
      </c>
      <c r="EH190" s="71"/>
      <c r="EI190" s="80"/>
      <c r="EJ190" s="71"/>
      <c r="EK190" s="79" t="s">
        <v>179</v>
      </c>
      <c r="EL190" s="76" t="str">
        <f t="shared" si="72"/>
        <v>No requiere</v>
      </c>
      <c r="EM190" s="76" t="str">
        <f t="shared" si="73"/>
        <v>No requiere</v>
      </c>
      <c r="EN190" s="76" t="str">
        <f t="shared" si="103"/>
        <v>No requiere</v>
      </c>
      <c r="EO190" s="71"/>
      <c r="EP190" s="73" t="str">
        <f t="shared" si="75"/>
        <v>No requiere</v>
      </c>
      <c r="EQ190" s="77" t="str">
        <f t="shared" si="76"/>
        <v>No requiere</v>
      </c>
      <c r="ER190" s="71"/>
      <c r="ES190" s="79" t="s">
        <v>179</v>
      </c>
      <c r="ET190" s="73" t="str">
        <f t="shared" si="77"/>
        <v>No requiere</v>
      </c>
      <c r="EU190" s="73" t="str">
        <f t="shared" si="104"/>
        <v>No requiere</v>
      </c>
      <c r="EV190" s="73" t="str">
        <f t="shared" si="79"/>
        <v>No requiere</v>
      </c>
      <c r="EW190" s="73" t="str">
        <f t="shared" si="80"/>
        <v>No requiere</v>
      </c>
      <c r="EX190" s="78"/>
      <c r="EY190" s="78"/>
    </row>
    <row r="191" spans="1:155" ht="46.5" customHeight="1">
      <c r="A191" s="79">
        <v>187</v>
      </c>
      <c r="B191" s="80" t="s">
        <v>1534</v>
      </c>
      <c r="C191" s="81">
        <v>45377</v>
      </c>
      <c r="D191" s="82">
        <v>0.66666666666666663</v>
      </c>
      <c r="E191" s="79" t="s">
        <v>200</v>
      </c>
      <c r="F191" s="79" t="s">
        <v>153</v>
      </c>
      <c r="G191" s="79" t="s">
        <v>152</v>
      </c>
      <c r="H191" s="79" t="s">
        <v>152</v>
      </c>
      <c r="I191" s="79" t="s">
        <v>152</v>
      </c>
      <c r="J191" s="79" t="s">
        <v>211</v>
      </c>
      <c r="K191" s="79" t="s">
        <v>202</v>
      </c>
      <c r="L191" s="80" t="s">
        <v>1535</v>
      </c>
      <c r="M191" s="80" t="s">
        <v>624</v>
      </c>
      <c r="N191" s="79" t="s">
        <v>253</v>
      </c>
      <c r="O191" s="80" t="str">
        <f t="shared" si="63"/>
        <v>Humberto Díaz Acosta, PENDIENTE, PENDIENTE, PENDIENTE</v>
      </c>
      <c r="P191" s="79" t="s">
        <v>253</v>
      </c>
      <c r="Q191" s="79" t="s">
        <v>196</v>
      </c>
      <c r="R191" s="79" t="s">
        <v>196</v>
      </c>
      <c r="S191" s="79" t="s">
        <v>196</v>
      </c>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t="s">
        <v>230</v>
      </c>
      <c r="AP191" s="79" t="s">
        <v>242</v>
      </c>
      <c r="AQ191" s="80" t="s">
        <v>1511</v>
      </c>
      <c r="AR191" s="80">
        <v>3188799909</v>
      </c>
      <c r="AS191" s="80" t="s">
        <v>1492</v>
      </c>
      <c r="AT191" s="80" t="str">
        <f t="shared" si="64"/>
        <v>Distrital</v>
      </c>
      <c r="AU191" s="79" t="s">
        <v>172</v>
      </c>
      <c r="AV191" s="79"/>
      <c r="AW191" s="79"/>
      <c r="AX191" s="79"/>
      <c r="AY191" s="79"/>
      <c r="AZ191" s="79"/>
      <c r="BA191" s="80" t="str">
        <f t="shared" si="65"/>
        <v>Distrital</v>
      </c>
      <c r="BB191" s="79" t="s">
        <v>172</v>
      </c>
      <c r="BC191" s="79"/>
      <c r="BD191" s="79"/>
      <c r="BE191" s="79"/>
      <c r="BF191" s="79"/>
      <c r="BG191" s="79"/>
      <c r="BH191" s="80" t="str">
        <f t="shared" si="66"/>
        <v>Distrital</v>
      </c>
      <c r="BI191" s="79" t="s">
        <v>172</v>
      </c>
      <c r="BJ191" s="79"/>
      <c r="BK191" s="79"/>
      <c r="BL191" s="79"/>
      <c r="BM191" s="79"/>
      <c r="BN191" s="79"/>
      <c r="BO191" s="79"/>
      <c r="BP191" s="79"/>
      <c r="BQ191" s="79"/>
      <c r="BR191" s="79"/>
      <c r="BS191" s="80" t="s">
        <v>288</v>
      </c>
      <c r="BT191" s="80" t="s">
        <v>174</v>
      </c>
      <c r="BU191" s="89" t="s">
        <v>1536</v>
      </c>
      <c r="BV191" s="71"/>
      <c r="BW191" s="79" t="s">
        <v>152</v>
      </c>
      <c r="BX191" s="79" t="s">
        <v>179</v>
      </c>
      <c r="BY191" s="71"/>
      <c r="BZ191" s="79">
        <v>73</v>
      </c>
      <c r="CA191" s="79">
        <v>3</v>
      </c>
      <c r="CB191" s="79">
        <f t="shared" si="25"/>
        <v>76</v>
      </c>
      <c r="CC191" s="79" t="str">
        <f t="shared" si="102"/>
        <v>No Aplica</v>
      </c>
      <c r="CD191" s="79" t="s">
        <v>177</v>
      </c>
      <c r="CE191" s="79"/>
      <c r="CF191" s="79"/>
      <c r="CG191" s="83" t="s">
        <v>1537</v>
      </c>
      <c r="CH191" s="41"/>
      <c r="CI191" s="79" t="s">
        <v>153</v>
      </c>
      <c r="CJ191" s="71"/>
      <c r="CK191" s="79">
        <f t="shared" si="38"/>
        <v>0</v>
      </c>
      <c r="CL191" s="79"/>
      <c r="CM191" s="79"/>
      <c r="CN191" s="79"/>
      <c r="CO191" s="79"/>
      <c r="CP191" s="79"/>
      <c r="CQ191" s="79"/>
      <c r="CR191" s="83" t="s">
        <v>179</v>
      </c>
      <c r="CS191" s="83" t="s">
        <v>179</v>
      </c>
      <c r="CT191" s="83" t="s">
        <v>179</v>
      </c>
      <c r="CU191" s="83" t="s">
        <v>179</v>
      </c>
      <c r="CV191" s="83" t="s">
        <v>179</v>
      </c>
      <c r="CW191" s="83" t="s">
        <v>179</v>
      </c>
      <c r="CX191" s="79" t="s">
        <v>153</v>
      </c>
      <c r="CY191" s="79">
        <f t="shared" si="39"/>
        <v>0</v>
      </c>
      <c r="CZ191" s="79">
        <v>0</v>
      </c>
      <c r="DA191" s="79">
        <f t="shared" si="84"/>
        <v>0</v>
      </c>
      <c r="DB191" s="84" t="str">
        <f t="shared" si="46"/>
        <v/>
      </c>
      <c r="DC191" s="41"/>
      <c r="DD191" s="79" t="s">
        <v>153</v>
      </c>
      <c r="DE191" s="71"/>
      <c r="DF191" s="85" t="s">
        <v>1538</v>
      </c>
      <c r="DG191" s="79">
        <v>183</v>
      </c>
      <c r="DH191" s="86" t="str">
        <f t="shared" si="85"/>
        <v>Completo</v>
      </c>
      <c r="DI191" s="79" t="s">
        <v>181</v>
      </c>
      <c r="DJ191" s="79" t="s">
        <v>182</v>
      </c>
      <c r="DK191" s="79"/>
      <c r="DL191" s="79"/>
      <c r="DM191" s="79"/>
      <c r="DN191" s="79" t="s">
        <v>182</v>
      </c>
      <c r="DO191" s="79"/>
      <c r="DP191" s="79"/>
      <c r="DQ191" s="79"/>
      <c r="DR191" s="75" t="str">
        <f t="shared" si="70"/>
        <v>No aplica</v>
      </c>
      <c r="DS191" s="79"/>
      <c r="DT191" s="79"/>
      <c r="DU191" s="75" t="str">
        <f t="shared" si="71"/>
        <v>No aplica</v>
      </c>
      <c r="DV191" s="79" t="s">
        <v>182</v>
      </c>
      <c r="DW191" s="79"/>
      <c r="DX191" s="79"/>
      <c r="DY191" s="79"/>
      <c r="DZ191" s="79"/>
      <c r="EA191" s="79"/>
      <c r="EB191" s="79"/>
      <c r="EC191" s="79"/>
      <c r="ED191" s="79"/>
      <c r="EE191" s="79" t="str">
        <f t="shared" si="105"/>
        <v>Completo</v>
      </c>
      <c r="EF191" s="41"/>
      <c r="EG191" s="79" t="s">
        <v>153</v>
      </c>
      <c r="EH191" s="71"/>
      <c r="EI191" s="80"/>
      <c r="EJ191" s="71"/>
      <c r="EK191" s="79" t="s">
        <v>179</v>
      </c>
      <c r="EL191" s="76" t="str">
        <f t="shared" si="72"/>
        <v>No requiere</v>
      </c>
      <c r="EM191" s="76" t="str">
        <f t="shared" si="73"/>
        <v>No requiere</v>
      </c>
      <c r="EN191" s="76" t="str">
        <f t="shared" si="103"/>
        <v>No requiere</v>
      </c>
      <c r="EO191" s="71"/>
      <c r="EP191" s="73" t="str">
        <f t="shared" si="75"/>
        <v>No requiere</v>
      </c>
      <c r="EQ191" s="77" t="str">
        <f t="shared" si="76"/>
        <v>No requiere</v>
      </c>
      <c r="ER191" s="71"/>
      <c r="ES191" s="79" t="s">
        <v>179</v>
      </c>
      <c r="ET191" s="73" t="str">
        <f t="shared" si="77"/>
        <v>No requiere</v>
      </c>
      <c r="EU191" s="73" t="str">
        <f t="shared" si="104"/>
        <v>No requiere</v>
      </c>
      <c r="EV191" s="73" t="str">
        <f t="shared" si="79"/>
        <v>No requiere</v>
      </c>
      <c r="EW191" s="73" t="str">
        <f t="shared" si="80"/>
        <v>No requiere</v>
      </c>
      <c r="EX191" s="78"/>
      <c r="EY191" s="78"/>
    </row>
    <row r="192" spans="1:155" ht="46.5" customHeight="1">
      <c r="A192" s="79">
        <v>188</v>
      </c>
      <c r="B192" s="80" t="s">
        <v>1539</v>
      </c>
      <c r="C192" s="81">
        <v>45377</v>
      </c>
      <c r="D192" s="82">
        <v>0.70833333333333337</v>
      </c>
      <c r="E192" s="79" t="s">
        <v>151</v>
      </c>
      <c r="F192" s="79" t="s">
        <v>153</v>
      </c>
      <c r="G192" s="79" t="s">
        <v>153</v>
      </c>
      <c r="H192" s="79" t="s">
        <v>153</v>
      </c>
      <c r="I192" s="79" t="s">
        <v>152</v>
      </c>
      <c r="J192" s="79" t="s">
        <v>154</v>
      </c>
      <c r="K192" s="79" t="s">
        <v>155</v>
      </c>
      <c r="L192" s="80" t="s">
        <v>600</v>
      </c>
      <c r="M192" s="80" t="s">
        <v>303</v>
      </c>
      <c r="N192" s="79" t="s">
        <v>373</v>
      </c>
      <c r="O192" s="80" t="str">
        <f t="shared" si="63"/>
        <v>Nixon Sandoval Mateus, Claudia Fernanda Pineda, Paola Andrea González, Renata Rengifo Moyano</v>
      </c>
      <c r="P192" s="79" t="s">
        <v>644</v>
      </c>
      <c r="Q192" s="79" t="s">
        <v>546</v>
      </c>
      <c r="R192" s="79" t="s">
        <v>924</v>
      </c>
      <c r="S192" s="79" t="s">
        <v>1066</v>
      </c>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t="s">
        <v>304</v>
      </c>
      <c r="AP192" s="79"/>
      <c r="AQ192" s="80" t="s">
        <v>1540</v>
      </c>
      <c r="AR192" s="80" t="s">
        <v>1541</v>
      </c>
      <c r="AS192" s="80" t="s">
        <v>171</v>
      </c>
      <c r="AT192" s="80" t="str">
        <f t="shared" si="64"/>
        <v>Distrital</v>
      </c>
      <c r="AU192" s="79" t="s">
        <v>172</v>
      </c>
      <c r="AV192" s="79"/>
      <c r="AW192" s="79"/>
      <c r="AX192" s="79"/>
      <c r="AY192" s="79"/>
      <c r="AZ192" s="79"/>
      <c r="BA192" s="80" t="str">
        <f t="shared" si="65"/>
        <v>Distrital</v>
      </c>
      <c r="BB192" s="79" t="s">
        <v>172</v>
      </c>
      <c r="BC192" s="79"/>
      <c r="BD192" s="79"/>
      <c r="BE192" s="79"/>
      <c r="BF192" s="79"/>
      <c r="BG192" s="79"/>
      <c r="BH192" s="80" t="str">
        <f t="shared" si="66"/>
        <v>Distrital</v>
      </c>
      <c r="BI192" s="79" t="s">
        <v>172</v>
      </c>
      <c r="BJ192" s="79"/>
      <c r="BK192" s="79"/>
      <c r="BL192" s="79"/>
      <c r="BM192" s="79"/>
      <c r="BN192" s="79"/>
      <c r="BO192" s="79"/>
      <c r="BP192" s="79"/>
      <c r="BQ192" s="79"/>
      <c r="BR192" s="79"/>
      <c r="BS192" s="80" t="s">
        <v>288</v>
      </c>
      <c r="BT192" s="80" t="s">
        <v>174</v>
      </c>
      <c r="BU192" s="80" t="s">
        <v>197</v>
      </c>
      <c r="BV192" s="71"/>
      <c r="BW192" s="79" t="s">
        <v>153</v>
      </c>
      <c r="BX192" s="79" t="s">
        <v>607</v>
      </c>
      <c r="BY192" s="71"/>
      <c r="BZ192" s="79">
        <v>24</v>
      </c>
      <c r="CA192" s="79">
        <v>6</v>
      </c>
      <c r="CB192" s="79">
        <f t="shared" si="25"/>
        <v>30</v>
      </c>
      <c r="CC192" s="79" t="str">
        <f t="shared" si="102"/>
        <v>Horarios Acordes</v>
      </c>
      <c r="CD192" s="79" t="s">
        <v>351</v>
      </c>
      <c r="CE192" s="79"/>
      <c r="CF192" s="79"/>
      <c r="CG192" s="83" t="s">
        <v>1542</v>
      </c>
      <c r="CH192" s="41"/>
      <c r="CI192" s="79" t="s">
        <v>153</v>
      </c>
      <c r="CJ192" s="71"/>
      <c r="CK192" s="79">
        <f t="shared" si="38"/>
        <v>1</v>
      </c>
      <c r="CL192" s="79" t="s">
        <v>1543</v>
      </c>
      <c r="CM192" s="79"/>
      <c r="CN192" s="79"/>
      <c r="CO192" s="79"/>
      <c r="CP192" s="79"/>
      <c r="CQ192" s="79"/>
      <c r="CR192" s="83" t="s">
        <v>390</v>
      </c>
      <c r="CS192" s="83" t="s">
        <v>179</v>
      </c>
      <c r="CT192" s="83" t="s">
        <v>179</v>
      </c>
      <c r="CU192" s="83" t="s">
        <v>179</v>
      </c>
      <c r="CV192" s="83" t="s">
        <v>179</v>
      </c>
      <c r="CW192" s="83" t="s">
        <v>179</v>
      </c>
      <c r="CX192" s="79" t="s">
        <v>153</v>
      </c>
      <c r="CY192" s="79">
        <f t="shared" si="39"/>
        <v>1</v>
      </c>
      <c r="CZ192" s="79">
        <v>1</v>
      </c>
      <c r="DA192" s="79">
        <f t="shared" si="84"/>
        <v>1</v>
      </c>
      <c r="DB192" s="84">
        <f t="shared" si="46"/>
        <v>1</v>
      </c>
      <c r="DC192" s="41"/>
      <c r="DD192" s="79" t="s">
        <v>153</v>
      </c>
      <c r="DE192" s="71"/>
      <c r="DF192" s="85" t="s">
        <v>1544</v>
      </c>
      <c r="DG192" s="79">
        <v>184</v>
      </c>
      <c r="DH192" s="86" t="str">
        <f t="shared" si="85"/>
        <v>Completo</v>
      </c>
      <c r="DI192" s="79" t="s">
        <v>181</v>
      </c>
      <c r="DJ192" s="79" t="s">
        <v>182</v>
      </c>
      <c r="DK192" s="79" t="s">
        <v>153</v>
      </c>
      <c r="DL192" s="79">
        <v>2</v>
      </c>
      <c r="DM192" s="79">
        <v>2</v>
      </c>
      <c r="DN192" s="79" t="s">
        <v>182</v>
      </c>
      <c r="DO192" s="79"/>
      <c r="DP192" s="79" t="s">
        <v>182</v>
      </c>
      <c r="DQ192" s="79">
        <v>8</v>
      </c>
      <c r="DR192" s="75">
        <f t="shared" si="70"/>
        <v>1.1111111111111112</v>
      </c>
      <c r="DS192" s="79" t="s">
        <v>182</v>
      </c>
      <c r="DT192" s="79">
        <v>10</v>
      </c>
      <c r="DU192" s="75">
        <f t="shared" si="71"/>
        <v>1.1904761904761907</v>
      </c>
      <c r="DV192" s="79" t="s">
        <v>182</v>
      </c>
      <c r="DW192" s="79" t="s">
        <v>191</v>
      </c>
      <c r="DX192" s="79">
        <v>0</v>
      </c>
      <c r="DY192" s="79">
        <v>0</v>
      </c>
      <c r="DZ192" s="79" t="s">
        <v>1545</v>
      </c>
      <c r="EA192" s="79"/>
      <c r="EB192" s="79" t="s">
        <v>182</v>
      </c>
      <c r="EC192" s="79" t="s">
        <v>1546</v>
      </c>
      <c r="ED192" s="79" t="s">
        <v>184</v>
      </c>
      <c r="EE192" s="79" t="str">
        <f t="shared" si="105"/>
        <v>Completo</v>
      </c>
      <c r="EF192" s="41"/>
      <c r="EG192" s="79" t="s">
        <v>153</v>
      </c>
      <c r="EH192" s="71"/>
      <c r="EI192" s="89" t="s">
        <v>1547</v>
      </c>
      <c r="EJ192" s="71"/>
      <c r="EK192" s="79" t="s">
        <v>393</v>
      </c>
      <c r="EL192" s="76" t="str">
        <f t="shared" si="72"/>
        <v>No</v>
      </c>
      <c r="EM192" s="76" t="str">
        <f t="shared" si="73"/>
        <v>No</v>
      </c>
      <c r="EN192" s="76" t="str">
        <f t="shared" si="103"/>
        <v>Sí</v>
      </c>
      <c r="EO192" s="71"/>
      <c r="EP192" s="73">
        <f t="shared" si="75"/>
        <v>1</v>
      </c>
      <c r="EQ192" s="77">
        <f t="shared" si="76"/>
        <v>1.1904761904761907</v>
      </c>
      <c r="ER192" s="71"/>
      <c r="ES192" s="79" t="s">
        <v>393</v>
      </c>
      <c r="ET192" s="73">
        <f t="shared" si="77"/>
        <v>0.83333333333333337</v>
      </c>
      <c r="EU192" s="73">
        <f t="shared" si="104"/>
        <v>1</v>
      </c>
      <c r="EV192" s="73">
        <f t="shared" si="79"/>
        <v>1</v>
      </c>
      <c r="EW192" s="73" t="str">
        <f t="shared" si="80"/>
        <v>0%</v>
      </c>
      <c r="EX192" s="78"/>
      <c r="EY192" s="78"/>
    </row>
    <row r="193" spans="1:155" ht="46.5" customHeight="1">
      <c r="A193" s="79">
        <v>189</v>
      </c>
      <c r="B193" s="80" t="s">
        <v>1528</v>
      </c>
      <c r="C193" s="81">
        <v>45378</v>
      </c>
      <c r="D193" s="82">
        <v>0.375</v>
      </c>
      <c r="E193" s="79" t="s">
        <v>200</v>
      </c>
      <c r="F193" s="79" t="s">
        <v>153</v>
      </c>
      <c r="G193" s="79" t="s">
        <v>152</v>
      </c>
      <c r="H193" s="79" t="s">
        <v>152</v>
      </c>
      <c r="I193" s="79" t="s">
        <v>152</v>
      </c>
      <c r="J193" s="79" t="s">
        <v>211</v>
      </c>
      <c r="K193" s="79" t="s">
        <v>202</v>
      </c>
      <c r="L193" s="80" t="s">
        <v>1548</v>
      </c>
      <c r="M193" s="80" t="s">
        <v>624</v>
      </c>
      <c r="N193" s="79" t="s">
        <v>888</v>
      </c>
      <c r="O193" s="80" t="str">
        <f t="shared" si="63"/>
        <v/>
      </c>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t="s">
        <v>230</v>
      </c>
      <c r="AP193" s="79" t="s">
        <v>242</v>
      </c>
      <c r="AQ193" s="80" t="s">
        <v>1354</v>
      </c>
      <c r="AR193" s="83">
        <v>3212029774</v>
      </c>
      <c r="AS193" s="80" t="s">
        <v>1355</v>
      </c>
      <c r="AT193" s="80" t="str">
        <f t="shared" si="64"/>
        <v>Distrital</v>
      </c>
      <c r="AU193" s="79" t="s">
        <v>172</v>
      </c>
      <c r="AV193" s="79"/>
      <c r="AW193" s="79"/>
      <c r="AX193" s="79"/>
      <c r="AY193" s="79"/>
      <c r="AZ193" s="79"/>
      <c r="BA193" s="80" t="str">
        <f t="shared" si="65"/>
        <v>Distrital</v>
      </c>
      <c r="BB193" s="79" t="s">
        <v>172</v>
      </c>
      <c r="BC193" s="79"/>
      <c r="BD193" s="79"/>
      <c r="BE193" s="79"/>
      <c r="BF193" s="79"/>
      <c r="BG193" s="79"/>
      <c r="BH193" s="80" t="str">
        <f t="shared" si="66"/>
        <v>Distrital</v>
      </c>
      <c r="BI193" s="79" t="s">
        <v>172</v>
      </c>
      <c r="BJ193" s="79"/>
      <c r="BK193" s="79"/>
      <c r="BL193" s="79"/>
      <c r="BM193" s="79"/>
      <c r="BN193" s="79"/>
      <c r="BO193" s="79"/>
      <c r="BP193" s="79"/>
      <c r="BQ193" s="79"/>
      <c r="BR193" s="79"/>
      <c r="BS193" s="80" t="s">
        <v>288</v>
      </c>
      <c r="BT193" s="80" t="s">
        <v>174</v>
      </c>
      <c r="BU193" s="89" t="s">
        <v>1549</v>
      </c>
      <c r="BV193" s="71"/>
      <c r="BW193" s="79" t="s">
        <v>152</v>
      </c>
      <c r="BX193" s="79" t="s">
        <v>179</v>
      </c>
      <c r="BY193" s="71"/>
      <c r="BZ193" s="79">
        <v>39</v>
      </c>
      <c r="CA193" s="79">
        <v>1</v>
      </c>
      <c r="CB193" s="79">
        <f t="shared" si="25"/>
        <v>40</v>
      </c>
      <c r="CC193" s="79" t="str">
        <f t="shared" si="102"/>
        <v>No Aplica</v>
      </c>
      <c r="CD193" s="79" t="s">
        <v>177</v>
      </c>
      <c r="CE193" s="79"/>
      <c r="CF193" s="79"/>
      <c r="CG193" s="83" t="s">
        <v>1550</v>
      </c>
      <c r="CH193" s="41"/>
      <c r="CI193" s="79" t="s">
        <v>153</v>
      </c>
      <c r="CJ193" s="71"/>
      <c r="CK193" s="79">
        <f t="shared" si="38"/>
        <v>0</v>
      </c>
      <c r="CL193" s="79"/>
      <c r="CM193" s="79"/>
      <c r="CN193" s="79"/>
      <c r="CO193" s="79"/>
      <c r="CP193" s="79"/>
      <c r="CQ193" s="79"/>
      <c r="CR193" s="83" t="s">
        <v>179</v>
      </c>
      <c r="CS193" s="83" t="s">
        <v>179</v>
      </c>
      <c r="CT193" s="83" t="s">
        <v>179</v>
      </c>
      <c r="CU193" s="83" t="s">
        <v>179</v>
      </c>
      <c r="CV193" s="83" t="s">
        <v>179</v>
      </c>
      <c r="CW193" s="83" t="s">
        <v>179</v>
      </c>
      <c r="CX193" s="79" t="s">
        <v>153</v>
      </c>
      <c r="CY193" s="79">
        <f t="shared" si="39"/>
        <v>0</v>
      </c>
      <c r="CZ193" s="79">
        <v>0</v>
      </c>
      <c r="DA193" s="79">
        <f t="shared" si="84"/>
        <v>0</v>
      </c>
      <c r="DB193" s="84" t="str">
        <f t="shared" si="46"/>
        <v/>
      </c>
      <c r="DC193" s="41"/>
      <c r="DD193" s="79" t="s">
        <v>153</v>
      </c>
      <c r="DE193" s="71"/>
      <c r="DF193" s="85" t="s">
        <v>1551</v>
      </c>
      <c r="DG193" s="79">
        <v>185</v>
      </c>
      <c r="DH193" s="86" t="str">
        <f t="shared" si="85"/>
        <v>Completo</v>
      </c>
      <c r="DI193" s="79" t="s">
        <v>181</v>
      </c>
      <c r="DJ193" s="79" t="s">
        <v>182</v>
      </c>
      <c r="DK193" s="79"/>
      <c r="DL193" s="79"/>
      <c r="DM193" s="79"/>
      <c r="DN193" s="79" t="s">
        <v>182</v>
      </c>
      <c r="DO193" s="79"/>
      <c r="DP193" s="79"/>
      <c r="DQ193" s="79"/>
      <c r="DR193" s="75" t="str">
        <f t="shared" si="70"/>
        <v>No aplica</v>
      </c>
      <c r="DS193" s="79"/>
      <c r="DT193" s="79"/>
      <c r="DU193" s="75" t="str">
        <f t="shared" si="71"/>
        <v>No aplica</v>
      </c>
      <c r="DV193" s="79" t="s">
        <v>182</v>
      </c>
      <c r="DW193" s="79" t="s">
        <v>182</v>
      </c>
      <c r="DX193" s="79"/>
      <c r="DY193" s="79"/>
      <c r="DZ193" s="79"/>
      <c r="EA193" s="79"/>
      <c r="EB193" s="79" t="s">
        <v>182</v>
      </c>
      <c r="EC193" s="79" t="s">
        <v>1295</v>
      </c>
      <c r="ED193" s="79" t="s">
        <v>1552</v>
      </c>
      <c r="EE193" s="79" t="str">
        <f t="shared" si="105"/>
        <v>Completo</v>
      </c>
      <c r="EF193" s="41"/>
      <c r="EG193" s="79" t="s">
        <v>152</v>
      </c>
      <c r="EH193" s="71"/>
      <c r="EI193" s="80"/>
      <c r="EJ193" s="71"/>
      <c r="EK193" s="79" t="s">
        <v>179</v>
      </c>
      <c r="EL193" s="76" t="str">
        <f t="shared" si="72"/>
        <v>No requiere</v>
      </c>
      <c r="EM193" s="76" t="str">
        <f t="shared" si="73"/>
        <v>No requiere</v>
      </c>
      <c r="EN193" s="76" t="str">
        <f t="shared" si="103"/>
        <v>No requiere</v>
      </c>
      <c r="EO193" s="71"/>
      <c r="EP193" s="73" t="str">
        <f t="shared" si="75"/>
        <v>No requiere</v>
      </c>
      <c r="EQ193" s="77" t="str">
        <f t="shared" si="76"/>
        <v>No requiere</v>
      </c>
      <c r="ER193" s="71"/>
      <c r="ES193" s="79" t="s">
        <v>179</v>
      </c>
      <c r="ET193" s="73" t="str">
        <f t="shared" si="77"/>
        <v>No requiere</v>
      </c>
      <c r="EU193" s="73" t="str">
        <f t="shared" si="104"/>
        <v>No requiere</v>
      </c>
      <c r="EV193" s="73" t="str">
        <f t="shared" si="79"/>
        <v>No requiere</v>
      </c>
      <c r="EW193" s="73" t="str">
        <f t="shared" si="80"/>
        <v>No requiere</v>
      </c>
      <c r="EX193" s="78"/>
      <c r="EY193" s="78"/>
    </row>
    <row r="194" spans="1:155" ht="46.5" customHeight="1">
      <c r="A194" s="79">
        <v>190</v>
      </c>
      <c r="B194" s="80" t="s">
        <v>1553</v>
      </c>
      <c r="C194" s="81">
        <v>45378</v>
      </c>
      <c r="D194" s="82">
        <v>0.58333333333333337</v>
      </c>
      <c r="E194" s="79" t="s">
        <v>200</v>
      </c>
      <c r="F194" s="79" t="s">
        <v>153</v>
      </c>
      <c r="G194" s="79" t="s">
        <v>152</v>
      </c>
      <c r="H194" s="79" t="s">
        <v>152</v>
      </c>
      <c r="I194" s="79" t="s">
        <v>152</v>
      </c>
      <c r="J194" s="79" t="s">
        <v>211</v>
      </c>
      <c r="K194" s="79" t="s">
        <v>202</v>
      </c>
      <c r="L194" s="80" t="s">
        <v>1554</v>
      </c>
      <c r="M194" s="80" t="s">
        <v>624</v>
      </c>
      <c r="N194" s="79" t="s">
        <v>523</v>
      </c>
      <c r="O194" s="80" t="str">
        <f t="shared" si="63"/>
        <v/>
      </c>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t="s">
        <v>230</v>
      </c>
      <c r="AP194" s="79" t="s">
        <v>242</v>
      </c>
      <c r="AQ194" s="80" t="s">
        <v>1334</v>
      </c>
      <c r="AR194" s="83" t="s">
        <v>1555</v>
      </c>
      <c r="AS194" s="80" t="s">
        <v>1467</v>
      </c>
      <c r="AT194" s="80" t="str">
        <f t="shared" si="64"/>
        <v>Distrital</v>
      </c>
      <c r="AU194" s="79" t="s">
        <v>172</v>
      </c>
      <c r="AV194" s="79"/>
      <c r="AW194" s="79"/>
      <c r="AX194" s="79"/>
      <c r="AY194" s="79"/>
      <c r="AZ194" s="79"/>
      <c r="BA194" s="80" t="str">
        <f t="shared" si="65"/>
        <v>Distrital</v>
      </c>
      <c r="BB194" s="79" t="s">
        <v>172</v>
      </c>
      <c r="BC194" s="79"/>
      <c r="BD194" s="79"/>
      <c r="BE194" s="79"/>
      <c r="BF194" s="79"/>
      <c r="BG194" s="79"/>
      <c r="BH194" s="80" t="str">
        <f t="shared" si="66"/>
        <v>Distrital</v>
      </c>
      <c r="BI194" s="79" t="s">
        <v>172</v>
      </c>
      <c r="BJ194" s="79"/>
      <c r="BK194" s="79"/>
      <c r="BL194" s="79"/>
      <c r="BM194" s="79"/>
      <c r="BN194" s="79"/>
      <c r="BO194" s="79"/>
      <c r="BP194" s="79"/>
      <c r="BQ194" s="79"/>
      <c r="BR194" s="79"/>
      <c r="BS194" s="80" t="s">
        <v>288</v>
      </c>
      <c r="BT194" s="80" t="s">
        <v>174</v>
      </c>
      <c r="BU194" s="89" t="s">
        <v>1556</v>
      </c>
      <c r="BV194" s="71"/>
      <c r="BW194" s="79" t="s">
        <v>153</v>
      </c>
      <c r="BX194" s="79" t="s">
        <v>176</v>
      </c>
      <c r="BY194" s="71"/>
      <c r="BZ194" s="79">
        <v>18</v>
      </c>
      <c r="CA194" s="79">
        <v>1</v>
      </c>
      <c r="CB194" s="79">
        <f t="shared" si="25"/>
        <v>19</v>
      </c>
      <c r="CC194" s="79" t="str">
        <f t="shared" si="102"/>
        <v>Lenguaje de señas, Accesibilidad Universal, Horarios Acordes</v>
      </c>
      <c r="CD194" s="79" t="s">
        <v>349</v>
      </c>
      <c r="CE194" s="79" t="s">
        <v>397</v>
      </c>
      <c r="CF194" s="79" t="s">
        <v>351</v>
      </c>
      <c r="CG194" s="83" t="s">
        <v>1557</v>
      </c>
      <c r="CH194" s="41"/>
      <c r="CI194" s="79" t="s">
        <v>153</v>
      </c>
      <c r="CJ194" s="71"/>
      <c r="CK194" s="79">
        <f t="shared" si="38"/>
        <v>0</v>
      </c>
      <c r="CL194" s="79"/>
      <c r="CM194" s="79"/>
      <c r="CN194" s="79"/>
      <c r="CO194" s="79"/>
      <c r="CP194" s="79"/>
      <c r="CQ194" s="79"/>
      <c r="CR194" s="83" t="s">
        <v>179</v>
      </c>
      <c r="CS194" s="83" t="s">
        <v>179</v>
      </c>
      <c r="CT194" s="83" t="s">
        <v>179</v>
      </c>
      <c r="CU194" s="83" t="s">
        <v>179</v>
      </c>
      <c r="CV194" s="83" t="s">
        <v>179</v>
      </c>
      <c r="CW194" s="83" t="s">
        <v>179</v>
      </c>
      <c r="CX194" s="79" t="s">
        <v>153</v>
      </c>
      <c r="CY194" s="79">
        <f t="shared" si="39"/>
        <v>0</v>
      </c>
      <c r="CZ194" s="79">
        <v>0</v>
      </c>
      <c r="DA194" s="79">
        <f t="shared" si="84"/>
        <v>0</v>
      </c>
      <c r="DB194" s="84" t="str">
        <f t="shared" si="46"/>
        <v/>
      </c>
      <c r="DC194" s="41"/>
      <c r="DD194" s="79" t="s">
        <v>153</v>
      </c>
      <c r="DE194" s="71"/>
      <c r="DF194" s="85" t="s">
        <v>1558</v>
      </c>
      <c r="DG194" s="79">
        <v>186</v>
      </c>
      <c r="DH194" s="86">
        <f t="shared" si="85"/>
        <v>45381</v>
      </c>
      <c r="DI194" s="79" t="s">
        <v>181</v>
      </c>
      <c r="DJ194" s="79" t="s">
        <v>182</v>
      </c>
      <c r="DK194" s="79"/>
      <c r="DL194" s="79"/>
      <c r="DM194" s="79"/>
      <c r="DN194" s="79" t="s">
        <v>182</v>
      </c>
      <c r="DO194" s="79"/>
      <c r="DP194" s="79"/>
      <c r="DQ194" s="79"/>
      <c r="DR194" s="75" t="str">
        <f t="shared" si="70"/>
        <v>No aplica</v>
      </c>
      <c r="DS194" s="79"/>
      <c r="DT194" s="79"/>
      <c r="DU194" s="75" t="str">
        <f t="shared" si="71"/>
        <v>No aplica</v>
      </c>
      <c r="DV194" s="79" t="s">
        <v>182</v>
      </c>
      <c r="DW194" s="79" t="s">
        <v>182</v>
      </c>
      <c r="DX194" s="79"/>
      <c r="DY194" s="79"/>
      <c r="DZ194" s="79"/>
      <c r="EA194" s="79"/>
      <c r="EB194" s="79" t="s">
        <v>182</v>
      </c>
      <c r="EC194" s="79" t="s">
        <v>1559</v>
      </c>
      <c r="ED194" s="79" t="s">
        <v>184</v>
      </c>
      <c r="EE194" s="79" t="s">
        <v>621</v>
      </c>
      <c r="EF194" s="41"/>
      <c r="EG194" s="79" t="s">
        <v>153</v>
      </c>
      <c r="EH194" s="71"/>
      <c r="EI194" s="80"/>
      <c r="EJ194" s="71"/>
      <c r="EK194" s="79" t="s">
        <v>179</v>
      </c>
      <c r="EL194" s="76" t="str">
        <f t="shared" si="72"/>
        <v>No requiere</v>
      </c>
      <c r="EM194" s="76" t="str">
        <f t="shared" si="73"/>
        <v>No requiere</v>
      </c>
      <c r="EN194" s="76" t="str">
        <f t="shared" si="103"/>
        <v>No requiere</v>
      </c>
      <c r="EO194" s="71"/>
      <c r="EP194" s="73" t="str">
        <f t="shared" si="75"/>
        <v>No requiere</v>
      </c>
      <c r="EQ194" s="77" t="str">
        <f t="shared" si="76"/>
        <v>No requiere</v>
      </c>
      <c r="ER194" s="71"/>
      <c r="ES194" s="79" t="s">
        <v>179</v>
      </c>
      <c r="ET194" s="73" t="str">
        <f t="shared" si="77"/>
        <v>No requiere</v>
      </c>
      <c r="EU194" s="73" t="str">
        <f t="shared" si="104"/>
        <v>No requiere</v>
      </c>
      <c r="EV194" s="73" t="str">
        <f t="shared" si="79"/>
        <v>No requiere</v>
      </c>
      <c r="EW194" s="73" t="str">
        <f t="shared" si="80"/>
        <v>No requiere</v>
      </c>
      <c r="EX194" s="78"/>
      <c r="EY194" s="78"/>
    </row>
    <row r="195" spans="1:155" ht="46.5" customHeight="1">
      <c r="A195" s="79">
        <v>191</v>
      </c>
      <c r="B195" s="80" t="s">
        <v>1560</v>
      </c>
      <c r="C195" s="81">
        <v>45378</v>
      </c>
      <c r="D195" s="82">
        <v>0.58333333333333337</v>
      </c>
      <c r="E195" s="79" t="s">
        <v>200</v>
      </c>
      <c r="F195" s="79" t="s">
        <v>153</v>
      </c>
      <c r="G195" s="79" t="s">
        <v>152</v>
      </c>
      <c r="H195" s="79" t="s">
        <v>152</v>
      </c>
      <c r="I195" s="79" t="s">
        <v>152</v>
      </c>
      <c r="J195" s="79" t="s">
        <v>211</v>
      </c>
      <c r="K195" s="79" t="s">
        <v>202</v>
      </c>
      <c r="L195" s="80" t="s">
        <v>1561</v>
      </c>
      <c r="M195" s="80" t="s">
        <v>624</v>
      </c>
      <c r="N195" s="79" t="s">
        <v>524</v>
      </c>
      <c r="O195" s="80" t="str">
        <f t="shared" si="63"/>
        <v/>
      </c>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t="s">
        <v>230</v>
      </c>
      <c r="AP195" s="79" t="s">
        <v>242</v>
      </c>
      <c r="AQ195" s="80" t="s">
        <v>1102</v>
      </c>
      <c r="AR195" s="83">
        <v>3178255261</v>
      </c>
      <c r="AS195" s="80" t="s">
        <v>1103</v>
      </c>
      <c r="AT195" s="80" t="str">
        <f t="shared" si="64"/>
        <v>Distrital</v>
      </c>
      <c r="AU195" s="79" t="s">
        <v>172</v>
      </c>
      <c r="AV195" s="79"/>
      <c r="AW195" s="79"/>
      <c r="AX195" s="79"/>
      <c r="AY195" s="79"/>
      <c r="AZ195" s="79"/>
      <c r="BA195" s="80" t="str">
        <f t="shared" si="65"/>
        <v>Distrital</v>
      </c>
      <c r="BB195" s="79" t="s">
        <v>172</v>
      </c>
      <c r="BC195" s="79"/>
      <c r="BD195" s="79"/>
      <c r="BE195" s="79"/>
      <c r="BF195" s="79"/>
      <c r="BG195" s="79"/>
      <c r="BH195" s="80" t="str">
        <f t="shared" si="66"/>
        <v>Distrital</v>
      </c>
      <c r="BI195" s="79" t="s">
        <v>172</v>
      </c>
      <c r="BJ195" s="79"/>
      <c r="BK195" s="79"/>
      <c r="BL195" s="79"/>
      <c r="BM195" s="79"/>
      <c r="BN195" s="79"/>
      <c r="BO195" s="79"/>
      <c r="BP195" s="79"/>
      <c r="BQ195" s="79"/>
      <c r="BR195" s="79"/>
      <c r="BS195" s="80" t="s">
        <v>288</v>
      </c>
      <c r="BT195" s="80" t="s">
        <v>174</v>
      </c>
      <c r="BU195" s="89" t="s">
        <v>1562</v>
      </c>
      <c r="BV195" s="71"/>
      <c r="BW195" s="79" t="s">
        <v>153</v>
      </c>
      <c r="BX195" s="79" t="s">
        <v>176</v>
      </c>
      <c r="BY195" s="71"/>
      <c r="BZ195" s="79">
        <v>8</v>
      </c>
      <c r="CA195" s="79">
        <v>2</v>
      </c>
      <c r="CB195" s="79">
        <f t="shared" si="25"/>
        <v>10</v>
      </c>
      <c r="CC195" s="79" t="str">
        <f t="shared" si="102"/>
        <v>No Aplica</v>
      </c>
      <c r="CD195" s="79" t="s">
        <v>177</v>
      </c>
      <c r="CE195" s="79"/>
      <c r="CF195" s="79"/>
      <c r="CG195" s="83" t="s">
        <v>1563</v>
      </c>
      <c r="CH195" s="41"/>
      <c r="CI195" s="79" t="s">
        <v>153</v>
      </c>
      <c r="CJ195" s="71"/>
      <c r="CK195" s="79">
        <f t="shared" si="38"/>
        <v>0</v>
      </c>
      <c r="CL195" s="79"/>
      <c r="CM195" s="79"/>
      <c r="CN195" s="79"/>
      <c r="CO195" s="79"/>
      <c r="CP195" s="79"/>
      <c r="CQ195" s="79"/>
      <c r="CR195" s="83" t="s">
        <v>179</v>
      </c>
      <c r="CS195" s="83" t="s">
        <v>179</v>
      </c>
      <c r="CT195" s="83" t="s">
        <v>179</v>
      </c>
      <c r="CU195" s="83" t="s">
        <v>179</v>
      </c>
      <c r="CV195" s="83" t="s">
        <v>179</v>
      </c>
      <c r="CW195" s="83" t="s">
        <v>179</v>
      </c>
      <c r="CX195" s="79" t="s">
        <v>153</v>
      </c>
      <c r="CY195" s="79">
        <f t="shared" si="39"/>
        <v>0</v>
      </c>
      <c r="CZ195" s="79">
        <v>0</v>
      </c>
      <c r="DA195" s="79">
        <f t="shared" si="84"/>
        <v>0</v>
      </c>
      <c r="DB195" s="84" t="str">
        <f t="shared" si="46"/>
        <v/>
      </c>
      <c r="DC195" s="41"/>
      <c r="DD195" s="79" t="s">
        <v>153</v>
      </c>
      <c r="DE195" s="71"/>
      <c r="DF195" s="85" t="s">
        <v>1564</v>
      </c>
      <c r="DG195" s="79">
        <v>187</v>
      </c>
      <c r="DH195" s="86" t="str">
        <f t="shared" si="85"/>
        <v>Completo</v>
      </c>
      <c r="DI195" s="79" t="s">
        <v>181</v>
      </c>
      <c r="DJ195" s="79" t="s">
        <v>182</v>
      </c>
      <c r="DK195" s="79"/>
      <c r="DL195" s="79"/>
      <c r="DM195" s="79"/>
      <c r="DN195" s="79"/>
      <c r="DO195" s="79"/>
      <c r="DP195" s="79"/>
      <c r="DQ195" s="79"/>
      <c r="DR195" s="75" t="str">
        <f t="shared" si="70"/>
        <v>No aplica</v>
      </c>
      <c r="DS195" s="79"/>
      <c r="DT195" s="79"/>
      <c r="DU195" s="75" t="str">
        <f t="shared" si="71"/>
        <v>No aplica</v>
      </c>
      <c r="DV195" s="79"/>
      <c r="DW195" s="79" t="s">
        <v>182</v>
      </c>
      <c r="DX195" s="79"/>
      <c r="DY195" s="79"/>
      <c r="DZ195" s="79"/>
      <c r="EA195" s="79"/>
      <c r="EB195" s="79" t="s">
        <v>182</v>
      </c>
      <c r="EC195" s="79" t="s">
        <v>1565</v>
      </c>
      <c r="ED195" s="79" t="s">
        <v>184</v>
      </c>
      <c r="EE195" s="79" t="str">
        <f t="shared" ref="EE195:EE208" si="106">IF(DI195="Subsanado","Completo","Por Completar")</f>
        <v>Completo</v>
      </c>
      <c r="EF195" s="41"/>
      <c r="EG195" s="79" t="s">
        <v>153</v>
      </c>
      <c r="EH195" s="71"/>
      <c r="EI195" s="80"/>
      <c r="EJ195" s="71"/>
      <c r="EK195" s="79" t="s">
        <v>179</v>
      </c>
      <c r="EL195" s="76" t="str">
        <f t="shared" si="72"/>
        <v>No requiere</v>
      </c>
      <c r="EM195" s="76" t="str">
        <f t="shared" si="73"/>
        <v>No requiere</v>
      </c>
      <c r="EN195" s="76" t="str">
        <f t="shared" si="103"/>
        <v>No requiere</v>
      </c>
      <c r="EO195" s="71"/>
      <c r="EP195" s="73" t="str">
        <f t="shared" si="75"/>
        <v>No requiere</v>
      </c>
      <c r="EQ195" s="77" t="str">
        <f t="shared" si="76"/>
        <v>No requiere</v>
      </c>
      <c r="ER195" s="71"/>
      <c r="ES195" s="79" t="s">
        <v>179</v>
      </c>
      <c r="ET195" s="73" t="str">
        <f t="shared" si="77"/>
        <v>No requiere</v>
      </c>
      <c r="EU195" s="73" t="str">
        <f t="shared" si="104"/>
        <v>No requiere</v>
      </c>
      <c r="EV195" s="73" t="str">
        <f t="shared" si="79"/>
        <v>No requiere</v>
      </c>
      <c r="EW195" s="73" t="str">
        <f t="shared" si="80"/>
        <v>No requiere</v>
      </c>
      <c r="EX195" s="78"/>
      <c r="EY195" s="78"/>
    </row>
    <row r="196" spans="1:155" ht="46.5" customHeight="1">
      <c r="A196" s="79">
        <v>192</v>
      </c>
      <c r="B196" s="80" t="s">
        <v>1566</v>
      </c>
      <c r="C196" s="81">
        <v>45380</v>
      </c>
      <c r="D196" s="82">
        <v>0.58333333333333337</v>
      </c>
      <c r="E196" s="79" t="s">
        <v>200</v>
      </c>
      <c r="F196" s="79" t="s">
        <v>153</v>
      </c>
      <c r="G196" s="79" t="s">
        <v>152</v>
      </c>
      <c r="H196" s="79" t="s">
        <v>152</v>
      </c>
      <c r="I196" s="79" t="s">
        <v>152</v>
      </c>
      <c r="J196" s="79" t="s">
        <v>211</v>
      </c>
      <c r="K196" s="79" t="s">
        <v>202</v>
      </c>
      <c r="L196" s="80" t="s">
        <v>1567</v>
      </c>
      <c r="M196" s="80" t="s">
        <v>624</v>
      </c>
      <c r="N196" s="79" t="s">
        <v>524</v>
      </c>
      <c r="O196" s="80" t="str">
        <f t="shared" si="63"/>
        <v/>
      </c>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t="s">
        <v>230</v>
      </c>
      <c r="AP196" s="79" t="s">
        <v>242</v>
      </c>
      <c r="AQ196" s="80" t="s">
        <v>1568</v>
      </c>
      <c r="AR196" s="83">
        <v>3178255261</v>
      </c>
      <c r="AS196" s="80" t="s">
        <v>1103</v>
      </c>
      <c r="AT196" s="80" t="str">
        <f t="shared" si="64"/>
        <v>Distrital</v>
      </c>
      <c r="AU196" s="79" t="s">
        <v>172</v>
      </c>
      <c r="AV196" s="79"/>
      <c r="AW196" s="79"/>
      <c r="AX196" s="79"/>
      <c r="AY196" s="79"/>
      <c r="AZ196" s="79"/>
      <c r="BA196" s="80" t="str">
        <f t="shared" si="65"/>
        <v>Distrital</v>
      </c>
      <c r="BB196" s="79" t="s">
        <v>172</v>
      </c>
      <c r="BC196" s="79"/>
      <c r="BD196" s="79"/>
      <c r="BE196" s="79"/>
      <c r="BF196" s="79"/>
      <c r="BG196" s="79"/>
      <c r="BH196" s="80" t="str">
        <f t="shared" si="66"/>
        <v>Distrital</v>
      </c>
      <c r="BI196" s="79" t="s">
        <v>172</v>
      </c>
      <c r="BJ196" s="79"/>
      <c r="BK196" s="79"/>
      <c r="BL196" s="79"/>
      <c r="BM196" s="79"/>
      <c r="BN196" s="79"/>
      <c r="BO196" s="79"/>
      <c r="BP196" s="79"/>
      <c r="BQ196" s="79"/>
      <c r="BR196" s="79"/>
      <c r="BS196" s="80" t="s">
        <v>288</v>
      </c>
      <c r="BT196" s="80" t="s">
        <v>174</v>
      </c>
      <c r="BU196" s="89" t="s">
        <v>1569</v>
      </c>
      <c r="BV196" s="71"/>
      <c r="BW196" s="79" t="s">
        <v>153</v>
      </c>
      <c r="BX196" s="79" t="s">
        <v>176</v>
      </c>
      <c r="BY196" s="71"/>
      <c r="BZ196" s="79">
        <v>8</v>
      </c>
      <c r="CA196" s="79">
        <v>3</v>
      </c>
      <c r="CB196" s="79">
        <f t="shared" si="25"/>
        <v>11</v>
      </c>
      <c r="CC196" s="79" t="str">
        <f t="shared" si="102"/>
        <v>No Aplica</v>
      </c>
      <c r="CD196" s="79" t="s">
        <v>177</v>
      </c>
      <c r="CE196" s="79"/>
      <c r="CF196" s="79"/>
      <c r="CG196" s="83" t="s">
        <v>1570</v>
      </c>
      <c r="CH196" s="41"/>
      <c r="CI196" s="79" t="s">
        <v>153</v>
      </c>
      <c r="CJ196" s="71"/>
      <c r="CK196" s="79">
        <f t="shared" si="38"/>
        <v>0</v>
      </c>
      <c r="CL196" s="79"/>
      <c r="CM196" s="79"/>
      <c r="CN196" s="79"/>
      <c r="CO196" s="79"/>
      <c r="CP196" s="79"/>
      <c r="CQ196" s="79"/>
      <c r="CR196" s="83" t="s">
        <v>179</v>
      </c>
      <c r="CS196" s="83" t="s">
        <v>179</v>
      </c>
      <c r="CT196" s="83" t="s">
        <v>179</v>
      </c>
      <c r="CU196" s="83" t="s">
        <v>179</v>
      </c>
      <c r="CV196" s="83" t="s">
        <v>179</v>
      </c>
      <c r="CW196" s="83" t="s">
        <v>179</v>
      </c>
      <c r="CX196" s="79" t="s">
        <v>153</v>
      </c>
      <c r="CY196" s="79">
        <f t="shared" si="39"/>
        <v>0</v>
      </c>
      <c r="CZ196" s="79">
        <v>0</v>
      </c>
      <c r="DA196" s="79">
        <f t="shared" si="84"/>
        <v>0</v>
      </c>
      <c r="DB196" s="84" t="str">
        <f t="shared" si="46"/>
        <v/>
      </c>
      <c r="DC196" s="41"/>
      <c r="DD196" s="79" t="s">
        <v>153</v>
      </c>
      <c r="DE196" s="71"/>
      <c r="DF196" s="85" t="s">
        <v>1571</v>
      </c>
      <c r="DG196" s="79">
        <v>188</v>
      </c>
      <c r="DH196" s="86" t="str">
        <f t="shared" si="85"/>
        <v>Completo</v>
      </c>
      <c r="DI196" s="79" t="s">
        <v>181</v>
      </c>
      <c r="DJ196" s="79" t="s">
        <v>182</v>
      </c>
      <c r="DK196" s="79"/>
      <c r="DL196" s="79"/>
      <c r="DM196" s="79"/>
      <c r="DN196" s="79" t="s">
        <v>182</v>
      </c>
      <c r="DO196" s="79"/>
      <c r="DP196" s="79"/>
      <c r="DQ196" s="79"/>
      <c r="DR196" s="75" t="str">
        <f t="shared" si="70"/>
        <v>No aplica</v>
      </c>
      <c r="DS196" s="79"/>
      <c r="DT196" s="79"/>
      <c r="DU196" s="75" t="str">
        <f t="shared" si="71"/>
        <v>No aplica</v>
      </c>
      <c r="DV196" s="79" t="s">
        <v>182</v>
      </c>
      <c r="DW196" s="79" t="s">
        <v>182</v>
      </c>
      <c r="DX196" s="79"/>
      <c r="DY196" s="79"/>
      <c r="DZ196" s="79"/>
      <c r="EA196" s="79"/>
      <c r="EB196" s="79" t="s">
        <v>182</v>
      </c>
      <c r="EC196" s="185" t="s">
        <v>1572</v>
      </c>
      <c r="ED196" s="79" t="s">
        <v>184</v>
      </c>
      <c r="EE196" s="79" t="str">
        <f t="shared" si="106"/>
        <v>Completo</v>
      </c>
      <c r="EF196" s="41"/>
      <c r="EG196" s="79" t="s">
        <v>153</v>
      </c>
      <c r="EH196" s="71"/>
      <c r="EI196" s="80"/>
      <c r="EJ196" s="71"/>
      <c r="EK196" s="79" t="s">
        <v>179</v>
      </c>
      <c r="EL196" s="76" t="str">
        <f t="shared" si="72"/>
        <v>No requiere</v>
      </c>
      <c r="EM196" s="76" t="str">
        <f t="shared" si="73"/>
        <v>No requiere</v>
      </c>
      <c r="EN196" s="76" t="str">
        <f t="shared" si="103"/>
        <v>No requiere</v>
      </c>
      <c r="EO196" s="71"/>
      <c r="EP196" s="73" t="str">
        <f t="shared" si="75"/>
        <v>No requiere</v>
      </c>
      <c r="EQ196" s="77" t="str">
        <f t="shared" si="76"/>
        <v>No requiere</v>
      </c>
      <c r="ER196" s="71"/>
      <c r="ES196" s="79" t="s">
        <v>179</v>
      </c>
      <c r="ET196" s="73" t="str">
        <f t="shared" si="77"/>
        <v>No requiere</v>
      </c>
      <c r="EU196" s="73" t="str">
        <f t="shared" si="104"/>
        <v>No requiere</v>
      </c>
      <c r="EV196" s="73" t="str">
        <f t="shared" si="79"/>
        <v>No requiere</v>
      </c>
      <c r="EW196" s="73" t="str">
        <f t="shared" si="80"/>
        <v>No requiere</v>
      </c>
      <c r="EX196" s="78"/>
      <c r="EY196" s="78"/>
    </row>
    <row r="197" spans="1:155" ht="46.5" customHeight="1">
      <c r="A197" s="79">
        <v>193</v>
      </c>
      <c r="B197" s="80" t="s">
        <v>1573</v>
      </c>
      <c r="C197" s="81">
        <v>45380</v>
      </c>
      <c r="D197" s="82">
        <v>0.58333333333333337</v>
      </c>
      <c r="E197" s="79" t="s">
        <v>200</v>
      </c>
      <c r="F197" s="79" t="s">
        <v>153</v>
      </c>
      <c r="G197" s="79" t="s">
        <v>152</v>
      </c>
      <c r="H197" s="79" t="s">
        <v>152</v>
      </c>
      <c r="I197" s="79" t="s">
        <v>152</v>
      </c>
      <c r="J197" s="79" t="s">
        <v>211</v>
      </c>
      <c r="K197" s="79" t="s">
        <v>202</v>
      </c>
      <c r="L197" s="80" t="s">
        <v>1574</v>
      </c>
      <c r="M197" s="80" t="s">
        <v>624</v>
      </c>
      <c r="N197" s="79" t="s">
        <v>523</v>
      </c>
      <c r="O197" s="80" t="str">
        <f t="shared" ref="O197:O260" si="107">_xlfn.TEXTJOIN(", ",TRUE,P197:AN197)</f>
        <v/>
      </c>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t="s">
        <v>230</v>
      </c>
      <c r="AP197" s="79" t="s">
        <v>242</v>
      </c>
      <c r="AQ197" s="80" t="s">
        <v>1334</v>
      </c>
      <c r="AR197" s="83">
        <v>3244150125</v>
      </c>
      <c r="AS197" s="80" t="s">
        <v>1467</v>
      </c>
      <c r="AT197" s="80" t="str">
        <f t="shared" ref="AT197:AT260" si="108">_xlfn.TEXTJOIN(", ",TRUE,$AU197:$AY197)</f>
        <v>Distrital</v>
      </c>
      <c r="AU197" s="79" t="s">
        <v>172</v>
      </c>
      <c r="AV197" s="79"/>
      <c r="AW197" s="79"/>
      <c r="AX197" s="79"/>
      <c r="AY197" s="79"/>
      <c r="AZ197" s="79"/>
      <c r="BA197" s="80" t="str">
        <f t="shared" ref="BA197:BA260" si="109">_xlfn.TEXTJOIN(", ",TRUE,$BB197:$BG197)</f>
        <v>Distrital</v>
      </c>
      <c r="BB197" s="79" t="s">
        <v>172</v>
      </c>
      <c r="BC197" s="79"/>
      <c r="BD197" s="79"/>
      <c r="BE197" s="79"/>
      <c r="BF197" s="79"/>
      <c r="BG197" s="79"/>
      <c r="BH197" s="80" t="str">
        <f t="shared" ref="BH197:BH260" si="110">_xlfn.TEXTJOIN(", ",TRUE,$BI197:$BR197)</f>
        <v>Distrital</v>
      </c>
      <c r="BI197" s="79" t="s">
        <v>172</v>
      </c>
      <c r="BJ197" s="79"/>
      <c r="BK197" s="79"/>
      <c r="BL197" s="79"/>
      <c r="BM197" s="79"/>
      <c r="BN197" s="79"/>
      <c r="BO197" s="79"/>
      <c r="BP197" s="79"/>
      <c r="BQ197" s="79"/>
      <c r="BR197" s="79"/>
      <c r="BS197" s="80" t="s">
        <v>288</v>
      </c>
      <c r="BT197" s="80" t="s">
        <v>174</v>
      </c>
      <c r="BU197" s="89" t="s">
        <v>1575</v>
      </c>
      <c r="BV197" s="71"/>
      <c r="BW197" s="79" t="s">
        <v>153</v>
      </c>
      <c r="BX197" s="79" t="s">
        <v>176</v>
      </c>
      <c r="BY197" s="71"/>
      <c r="BZ197" s="79">
        <v>11</v>
      </c>
      <c r="CA197" s="79">
        <v>1</v>
      </c>
      <c r="CB197" s="79">
        <f t="shared" si="25"/>
        <v>12</v>
      </c>
      <c r="CC197" s="79" t="str">
        <f t="shared" si="102"/>
        <v>Lenguaje de señas, Accesibilidad Universal, Contenidos adaptados</v>
      </c>
      <c r="CD197" s="79" t="s">
        <v>349</v>
      </c>
      <c r="CE197" s="79" t="s">
        <v>397</v>
      </c>
      <c r="CF197" s="79" t="s">
        <v>350</v>
      </c>
      <c r="CG197" s="83" t="s">
        <v>1576</v>
      </c>
      <c r="CH197" s="41"/>
      <c r="CI197" s="79" t="s">
        <v>153</v>
      </c>
      <c r="CJ197" s="71"/>
      <c r="CK197" s="79">
        <f t="shared" si="38"/>
        <v>0</v>
      </c>
      <c r="CL197" s="79"/>
      <c r="CM197" s="79"/>
      <c r="CN197" s="79"/>
      <c r="CO197" s="79"/>
      <c r="CP197" s="79"/>
      <c r="CQ197" s="79"/>
      <c r="CR197" s="83" t="s">
        <v>179</v>
      </c>
      <c r="CS197" s="83" t="s">
        <v>179</v>
      </c>
      <c r="CT197" s="83" t="s">
        <v>179</v>
      </c>
      <c r="CU197" s="83" t="s">
        <v>179</v>
      </c>
      <c r="CV197" s="83" t="s">
        <v>179</v>
      </c>
      <c r="CW197" s="83" t="s">
        <v>179</v>
      </c>
      <c r="CX197" s="79" t="s">
        <v>153</v>
      </c>
      <c r="CY197" s="79">
        <f t="shared" si="39"/>
        <v>0</v>
      </c>
      <c r="CZ197" s="79">
        <v>0</v>
      </c>
      <c r="DA197" s="79">
        <f t="shared" si="84"/>
        <v>0</v>
      </c>
      <c r="DB197" s="84" t="str">
        <f t="shared" si="46"/>
        <v/>
      </c>
      <c r="DC197" s="41"/>
      <c r="DD197" s="79" t="s">
        <v>153</v>
      </c>
      <c r="DE197" s="71"/>
      <c r="DF197" s="85" t="s">
        <v>1577</v>
      </c>
      <c r="DG197" s="79">
        <v>189</v>
      </c>
      <c r="DH197" s="86" t="str">
        <f t="shared" si="85"/>
        <v>Completo</v>
      </c>
      <c r="DI197" s="79" t="s">
        <v>181</v>
      </c>
      <c r="DJ197" s="79" t="s">
        <v>182</v>
      </c>
      <c r="DK197" s="79"/>
      <c r="DL197" s="79"/>
      <c r="DM197" s="79"/>
      <c r="DN197" s="79" t="s">
        <v>182</v>
      </c>
      <c r="DO197" s="79"/>
      <c r="DP197" s="79"/>
      <c r="DQ197" s="79"/>
      <c r="DR197" s="75" t="str">
        <f t="shared" ref="DR197:DR260" si="111">IF(H197="SÍ", (DQ197/(BZ197*0.3)), "No aplica")</f>
        <v>No aplica</v>
      </c>
      <c r="DS197" s="79"/>
      <c r="DT197" s="79"/>
      <c r="DU197" s="75" t="str">
        <f t="shared" ref="DU197:DU260" si="112">IF(H197="SÍ", (DT197/(BZ197*0.35)), "No aplica")</f>
        <v>No aplica</v>
      </c>
      <c r="DV197" s="79" t="s">
        <v>182</v>
      </c>
      <c r="DW197" s="79" t="s">
        <v>182</v>
      </c>
      <c r="DX197" s="79"/>
      <c r="DY197" s="79"/>
      <c r="DZ197" s="79"/>
      <c r="EA197" s="79"/>
      <c r="EB197" s="79" t="s">
        <v>182</v>
      </c>
      <c r="EC197" s="79" t="s">
        <v>1578</v>
      </c>
      <c r="ED197" s="79" t="s">
        <v>1579</v>
      </c>
      <c r="EE197" s="79" t="str">
        <f t="shared" si="106"/>
        <v>Completo</v>
      </c>
      <c r="EF197" s="41"/>
      <c r="EG197" s="79" t="s">
        <v>152</v>
      </c>
      <c r="EH197" s="71"/>
      <c r="EI197" s="80"/>
      <c r="EJ197" s="71"/>
      <c r="EK197" s="79" t="s">
        <v>179</v>
      </c>
      <c r="EL197" s="76" t="str">
        <f t="shared" ref="EL197:EL260" si="113">IF(F197="NO","No requiere",IF(H197="No","No requiere",IF(DW197="","",IF(DW197&lt;&gt;"No aplica",IF(DX197&lt;&gt;"No aplica",IF(DX197&gt;=2,"Sí","No"),"No aplica"),"No aplica"))))</f>
        <v>No requiere</v>
      </c>
      <c r="EM197" s="76" t="str">
        <f t="shared" ref="EM197:EM260" si="114">IF(F197="NO","No requiere",IF(H197="No","No requiere",IF(DW197="","",IF(DW197&lt;&gt;"No aplica",IF(DY197&lt;&gt;"No aplica",IF(DY197&gt;=1,"Sí","No"),"No aplica"),"No aplica"))))</f>
        <v>No requiere</v>
      </c>
      <c r="EN197" s="76" t="str">
        <f t="shared" si="103"/>
        <v>No requiere</v>
      </c>
      <c r="EO197" s="71"/>
      <c r="EP197" s="73" t="str">
        <f t="shared" ref="EP197:EP260" si="115">IF(F197="NO","No requiere",IF(H197="No","No requiere",IF(DL197="","",IF(DL197&gt;=1,DM197/DL197,"No aplica"))))</f>
        <v>No requiere</v>
      </c>
      <c r="EQ197" s="77" t="str">
        <f t="shared" ref="EQ197:EQ260" si="116">IFERROR(IF(F197="NO","No requiere",IF(H197="No","No requiere",DU197)),"")</f>
        <v>No requiere</v>
      </c>
      <c r="ER197" s="71"/>
      <c r="ES197" s="79" t="s">
        <v>179</v>
      </c>
      <c r="ET197" s="73" t="str">
        <f t="shared" ref="ET197:ET260" si="117">IF(F197="NO","No requiere",IF(H197="No","No requiere",IFERROR(COUNTIF(DJ197:DW197,"Completo")/SUM(COUNTIF(DJ197:DW197,"Completo"),COUNTIF(DJ197:DW197,"Incompleto"),COUNTIF(DJ197:DW197,"No subido"),COUNTIF(DJ197:DW197,"No existente"),COUNTIF(DJ197:DW197,"Pendiente")),"")))</f>
        <v>No requiere</v>
      </c>
      <c r="EU197" s="73" t="str">
        <f t="shared" si="104"/>
        <v>No requiere</v>
      </c>
      <c r="EV197" s="73" t="str">
        <f t="shared" ref="EV197:EV260" si="118">IF(EU197="Por verificar","Por verificar",IF(F197="NO","No requiere",IF(H197="No","No requiere",IFERROR(IF(EU197="","",IF(CK197&gt;=1,DA197/CZ197,"No aplica")),"No aplica"))))</f>
        <v>No requiere</v>
      </c>
      <c r="EW197" s="73" t="str">
        <f t="shared" ref="EW197:EW260" si="119">IF(F197="NO","No requiere",IF(H197="No","No requiere",IFERROR(IF(BZ197="","",IF(EA197&lt;&gt;"No aplica",IF(EA197&gt;=1,DO197/EA197,"0%"),"No aplica")),"")))</f>
        <v>No requiere</v>
      </c>
      <c r="EX197" s="78"/>
      <c r="EY197" s="78"/>
    </row>
    <row r="198" spans="1:155" ht="46.5" customHeight="1">
      <c r="A198" s="79">
        <v>194</v>
      </c>
      <c r="B198" s="80" t="s">
        <v>1580</v>
      </c>
      <c r="C198" s="81">
        <v>45380</v>
      </c>
      <c r="D198" s="82">
        <v>0.59375</v>
      </c>
      <c r="E198" s="79" t="s">
        <v>200</v>
      </c>
      <c r="F198" s="79" t="s">
        <v>153</v>
      </c>
      <c r="G198" s="79" t="s">
        <v>152</v>
      </c>
      <c r="H198" s="79" t="s">
        <v>152</v>
      </c>
      <c r="I198" s="79" t="s">
        <v>152</v>
      </c>
      <c r="J198" s="79" t="s">
        <v>211</v>
      </c>
      <c r="K198" s="79" t="s">
        <v>202</v>
      </c>
      <c r="L198" s="80" t="s">
        <v>1581</v>
      </c>
      <c r="M198" s="80" t="s">
        <v>624</v>
      </c>
      <c r="N198" s="79" t="s">
        <v>522</v>
      </c>
      <c r="O198" s="80" t="str">
        <f t="shared" si="107"/>
        <v>PENDIENTE</v>
      </c>
      <c r="P198" s="79" t="s">
        <v>196</v>
      </c>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t="s">
        <v>230</v>
      </c>
      <c r="AP198" s="79" t="s">
        <v>242</v>
      </c>
      <c r="AQ198" s="80" t="s">
        <v>1041</v>
      </c>
      <c r="AR198" s="83">
        <v>3013090210</v>
      </c>
      <c r="AS198" s="80" t="s">
        <v>1042</v>
      </c>
      <c r="AT198" s="80" t="str">
        <f t="shared" si="108"/>
        <v>Distrital</v>
      </c>
      <c r="AU198" s="79" t="s">
        <v>172</v>
      </c>
      <c r="AV198" s="79"/>
      <c r="AW198" s="79"/>
      <c r="AX198" s="79"/>
      <c r="AY198" s="79"/>
      <c r="AZ198" s="79"/>
      <c r="BA198" s="80" t="str">
        <f t="shared" si="109"/>
        <v>Distrital</v>
      </c>
      <c r="BB198" s="79" t="s">
        <v>172</v>
      </c>
      <c r="BC198" s="79"/>
      <c r="BD198" s="79"/>
      <c r="BE198" s="79"/>
      <c r="BF198" s="79"/>
      <c r="BG198" s="79"/>
      <c r="BH198" s="80" t="str">
        <f t="shared" si="110"/>
        <v>Distrital</v>
      </c>
      <c r="BI198" s="79" t="s">
        <v>172</v>
      </c>
      <c r="BJ198" s="79"/>
      <c r="BK198" s="79"/>
      <c r="BL198" s="79"/>
      <c r="BM198" s="79"/>
      <c r="BN198" s="79"/>
      <c r="BO198" s="79"/>
      <c r="BP198" s="79"/>
      <c r="BQ198" s="79"/>
      <c r="BR198" s="79"/>
      <c r="BS198" s="80" t="s">
        <v>288</v>
      </c>
      <c r="BT198" s="80" t="s">
        <v>174</v>
      </c>
      <c r="BU198" s="89" t="s">
        <v>1582</v>
      </c>
      <c r="BV198" s="71"/>
      <c r="BW198" s="79" t="s">
        <v>153</v>
      </c>
      <c r="BX198" s="79" t="s">
        <v>176</v>
      </c>
      <c r="BY198" s="71"/>
      <c r="BZ198" s="79">
        <v>7</v>
      </c>
      <c r="CA198" s="79">
        <v>1</v>
      </c>
      <c r="CB198" s="79">
        <f t="shared" si="25"/>
        <v>8</v>
      </c>
      <c r="CC198" s="79" t="str">
        <f t="shared" si="102"/>
        <v>No Aplica</v>
      </c>
      <c r="CD198" s="79" t="s">
        <v>177</v>
      </c>
      <c r="CE198" s="79"/>
      <c r="CF198" s="79"/>
      <c r="CG198" s="83" t="s">
        <v>1583</v>
      </c>
      <c r="CH198" s="41"/>
      <c r="CI198" s="79" t="s">
        <v>153</v>
      </c>
      <c r="CJ198" s="71"/>
      <c r="CK198" s="79">
        <f t="shared" si="38"/>
        <v>0</v>
      </c>
      <c r="CL198" s="79"/>
      <c r="CM198" s="79"/>
      <c r="CN198" s="79"/>
      <c r="CO198" s="79"/>
      <c r="CP198" s="79"/>
      <c r="CQ198" s="79"/>
      <c r="CR198" s="83" t="s">
        <v>179</v>
      </c>
      <c r="CS198" s="83" t="s">
        <v>179</v>
      </c>
      <c r="CT198" s="83" t="s">
        <v>179</v>
      </c>
      <c r="CU198" s="83" t="s">
        <v>179</v>
      </c>
      <c r="CV198" s="83" t="s">
        <v>179</v>
      </c>
      <c r="CW198" s="83" t="s">
        <v>179</v>
      </c>
      <c r="CX198" s="79" t="s">
        <v>153</v>
      </c>
      <c r="CY198" s="79">
        <f t="shared" si="39"/>
        <v>0</v>
      </c>
      <c r="CZ198" s="79">
        <v>0</v>
      </c>
      <c r="DA198" s="79">
        <f t="shared" si="84"/>
        <v>0</v>
      </c>
      <c r="DB198" s="84" t="str">
        <f t="shared" si="46"/>
        <v/>
      </c>
      <c r="DC198" s="41"/>
      <c r="DD198" s="79" t="s">
        <v>153</v>
      </c>
      <c r="DE198" s="71"/>
      <c r="DF198" s="85" t="s">
        <v>1584</v>
      </c>
      <c r="DG198" s="79">
        <v>190</v>
      </c>
      <c r="DH198" s="86" t="str">
        <f t="shared" si="85"/>
        <v>Completo</v>
      </c>
      <c r="DI198" s="79" t="s">
        <v>181</v>
      </c>
      <c r="DJ198" s="79" t="s">
        <v>182</v>
      </c>
      <c r="DK198" s="79"/>
      <c r="DL198" s="79"/>
      <c r="DM198" s="79"/>
      <c r="DN198" s="79" t="s">
        <v>182</v>
      </c>
      <c r="DO198" s="79"/>
      <c r="DP198" s="79"/>
      <c r="DQ198" s="79"/>
      <c r="DR198" s="75" t="str">
        <f t="shared" si="111"/>
        <v>No aplica</v>
      </c>
      <c r="DS198" s="79"/>
      <c r="DT198" s="79"/>
      <c r="DU198" s="75" t="str">
        <f t="shared" si="112"/>
        <v>No aplica</v>
      </c>
      <c r="DV198" s="79" t="s">
        <v>182</v>
      </c>
      <c r="DW198" s="79" t="s">
        <v>182</v>
      </c>
      <c r="DX198" s="79"/>
      <c r="DY198" s="79"/>
      <c r="DZ198" s="79"/>
      <c r="EA198" s="79"/>
      <c r="EB198" s="79" t="s">
        <v>182</v>
      </c>
      <c r="EC198" s="79" t="s">
        <v>1585</v>
      </c>
      <c r="ED198" s="79" t="s">
        <v>184</v>
      </c>
      <c r="EE198" s="79" t="str">
        <f t="shared" si="106"/>
        <v>Completo</v>
      </c>
      <c r="EF198" s="41"/>
      <c r="EG198" s="79" t="s">
        <v>153</v>
      </c>
      <c r="EH198" s="71"/>
      <c r="EI198" s="80"/>
      <c r="EJ198" s="71"/>
      <c r="EK198" s="79" t="s">
        <v>179</v>
      </c>
      <c r="EL198" s="76" t="str">
        <f t="shared" si="113"/>
        <v>No requiere</v>
      </c>
      <c r="EM198" s="76" t="str">
        <f t="shared" si="114"/>
        <v>No requiere</v>
      </c>
      <c r="EN198" s="76" t="str">
        <f t="shared" si="103"/>
        <v>No requiere</v>
      </c>
      <c r="EO198" s="71"/>
      <c r="EP198" s="73" t="str">
        <f t="shared" si="115"/>
        <v>No requiere</v>
      </c>
      <c r="EQ198" s="77" t="str">
        <f t="shared" si="116"/>
        <v>No requiere</v>
      </c>
      <c r="ER198" s="71"/>
      <c r="ES198" s="79" t="s">
        <v>179</v>
      </c>
      <c r="ET198" s="73" t="str">
        <f t="shared" si="117"/>
        <v>No requiere</v>
      </c>
      <c r="EU198" s="73" t="str">
        <f t="shared" si="104"/>
        <v>No requiere</v>
      </c>
      <c r="EV198" s="73" t="str">
        <f t="shared" si="118"/>
        <v>No requiere</v>
      </c>
      <c r="EW198" s="73" t="str">
        <f t="shared" si="119"/>
        <v>No requiere</v>
      </c>
      <c r="EX198" s="78"/>
      <c r="EY198" s="78"/>
    </row>
    <row r="199" spans="1:155" ht="46.5" customHeight="1">
      <c r="A199" s="79">
        <v>195</v>
      </c>
      <c r="B199" s="80" t="s">
        <v>1586</v>
      </c>
      <c r="C199" s="81">
        <v>45380</v>
      </c>
      <c r="D199" s="82">
        <v>0.79166666666666663</v>
      </c>
      <c r="E199" s="79" t="s">
        <v>200</v>
      </c>
      <c r="F199" s="79" t="s">
        <v>153</v>
      </c>
      <c r="G199" s="79" t="s">
        <v>152</v>
      </c>
      <c r="H199" s="79" t="s">
        <v>152</v>
      </c>
      <c r="I199" s="79" t="s">
        <v>152</v>
      </c>
      <c r="J199" s="79" t="s">
        <v>211</v>
      </c>
      <c r="K199" s="79" t="s">
        <v>202</v>
      </c>
      <c r="L199" s="80" t="s">
        <v>1587</v>
      </c>
      <c r="M199" s="80" t="s">
        <v>624</v>
      </c>
      <c r="N199" s="79" t="s">
        <v>888</v>
      </c>
      <c r="O199" s="80" t="str">
        <f t="shared" si="107"/>
        <v/>
      </c>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t="s">
        <v>230</v>
      </c>
      <c r="AP199" s="79" t="s">
        <v>242</v>
      </c>
      <c r="AQ199" s="80" t="s">
        <v>1322</v>
      </c>
      <c r="AR199" s="83" t="s">
        <v>1323</v>
      </c>
      <c r="AS199" s="80" t="s">
        <v>1324</v>
      </c>
      <c r="AT199" s="80" t="str">
        <f t="shared" si="108"/>
        <v>Distrital</v>
      </c>
      <c r="AU199" s="79" t="s">
        <v>172</v>
      </c>
      <c r="AV199" s="79"/>
      <c r="AW199" s="79"/>
      <c r="AX199" s="79"/>
      <c r="AY199" s="79"/>
      <c r="AZ199" s="79"/>
      <c r="BA199" s="80" t="str">
        <f t="shared" si="109"/>
        <v>Distrital</v>
      </c>
      <c r="BB199" s="79" t="s">
        <v>172</v>
      </c>
      <c r="BC199" s="79"/>
      <c r="BD199" s="79"/>
      <c r="BE199" s="79"/>
      <c r="BF199" s="79"/>
      <c r="BG199" s="79"/>
      <c r="BH199" s="80" t="str">
        <f t="shared" si="110"/>
        <v>Distrital</v>
      </c>
      <c r="BI199" s="79" t="s">
        <v>172</v>
      </c>
      <c r="BJ199" s="79"/>
      <c r="BK199" s="79"/>
      <c r="BL199" s="79"/>
      <c r="BM199" s="79"/>
      <c r="BN199" s="79"/>
      <c r="BO199" s="79"/>
      <c r="BP199" s="79"/>
      <c r="BQ199" s="79"/>
      <c r="BR199" s="79"/>
      <c r="BS199" s="80" t="s">
        <v>288</v>
      </c>
      <c r="BT199" s="80" t="s">
        <v>174</v>
      </c>
      <c r="BU199" s="89" t="s">
        <v>1588</v>
      </c>
      <c r="BV199" s="71"/>
      <c r="BW199" s="79" t="s">
        <v>152</v>
      </c>
      <c r="BX199" s="79" t="s">
        <v>179</v>
      </c>
      <c r="BY199" s="71"/>
      <c r="BZ199" s="79">
        <v>7</v>
      </c>
      <c r="CA199" s="79">
        <v>1</v>
      </c>
      <c r="CB199" s="79">
        <f t="shared" si="25"/>
        <v>8</v>
      </c>
      <c r="CC199" s="79" t="str">
        <f t="shared" si="102"/>
        <v>No Aplica</v>
      </c>
      <c r="CD199" s="79" t="s">
        <v>177</v>
      </c>
      <c r="CE199" s="79"/>
      <c r="CF199" s="79"/>
      <c r="CG199" s="83" t="s">
        <v>1589</v>
      </c>
      <c r="CH199" s="41"/>
      <c r="CI199" s="79" t="s">
        <v>153</v>
      </c>
      <c r="CJ199" s="71"/>
      <c r="CK199" s="79">
        <f t="shared" si="38"/>
        <v>0</v>
      </c>
      <c r="CL199" s="79"/>
      <c r="CM199" s="79"/>
      <c r="CN199" s="79"/>
      <c r="CO199" s="79"/>
      <c r="CP199" s="79"/>
      <c r="CQ199" s="79"/>
      <c r="CR199" s="83" t="s">
        <v>179</v>
      </c>
      <c r="CS199" s="83" t="s">
        <v>179</v>
      </c>
      <c r="CT199" s="83" t="s">
        <v>179</v>
      </c>
      <c r="CU199" s="83" t="s">
        <v>179</v>
      </c>
      <c r="CV199" s="83" t="s">
        <v>179</v>
      </c>
      <c r="CW199" s="83" t="s">
        <v>179</v>
      </c>
      <c r="CX199" s="79" t="s">
        <v>153</v>
      </c>
      <c r="CY199" s="79">
        <f t="shared" si="39"/>
        <v>0</v>
      </c>
      <c r="CZ199" s="79">
        <v>0</v>
      </c>
      <c r="DA199" s="79">
        <f t="shared" si="84"/>
        <v>0</v>
      </c>
      <c r="DB199" s="84" t="str">
        <f t="shared" si="46"/>
        <v/>
      </c>
      <c r="DC199" s="41"/>
      <c r="DD199" s="79" t="s">
        <v>153</v>
      </c>
      <c r="DE199" s="71"/>
      <c r="DF199" s="85" t="s">
        <v>1590</v>
      </c>
      <c r="DG199" s="79">
        <v>191</v>
      </c>
      <c r="DH199" s="86" t="str">
        <f t="shared" si="85"/>
        <v>Completo</v>
      </c>
      <c r="DI199" s="79" t="s">
        <v>181</v>
      </c>
      <c r="DJ199" s="79" t="s">
        <v>182</v>
      </c>
      <c r="DK199" s="79"/>
      <c r="DL199" s="79"/>
      <c r="DM199" s="79"/>
      <c r="DN199" s="79" t="s">
        <v>182</v>
      </c>
      <c r="DO199" s="79"/>
      <c r="DP199" s="79"/>
      <c r="DQ199" s="79"/>
      <c r="DR199" s="75" t="str">
        <f t="shared" si="111"/>
        <v>No aplica</v>
      </c>
      <c r="DS199" s="79"/>
      <c r="DT199" s="79"/>
      <c r="DU199" s="75" t="str">
        <f t="shared" si="112"/>
        <v>No aplica</v>
      </c>
      <c r="DV199" s="79" t="s">
        <v>182</v>
      </c>
      <c r="DW199" s="79" t="s">
        <v>182</v>
      </c>
      <c r="DX199" s="79"/>
      <c r="DY199" s="79"/>
      <c r="DZ199" s="79"/>
      <c r="EA199" s="79"/>
      <c r="EB199" s="79" t="s">
        <v>182</v>
      </c>
      <c r="EC199" s="79" t="s">
        <v>1578</v>
      </c>
      <c r="ED199" s="79" t="s">
        <v>184</v>
      </c>
      <c r="EE199" s="79" t="str">
        <f t="shared" si="106"/>
        <v>Completo</v>
      </c>
      <c r="EF199" s="41"/>
      <c r="EG199" s="79" t="s">
        <v>153</v>
      </c>
      <c r="EH199" s="71"/>
      <c r="EI199" s="80"/>
      <c r="EJ199" s="71"/>
      <c r="EK199" s="79" t="s">
        <v>179</v>
      </c>
      <c r="EL199" s="76" t="str">
        <f t="shared" si="113"/>
        <v>No requiere</v>
      </c>
      <c r="EM199" s="76" t="str">
        <f t="shared" si="114"/>
        <v>No requiere</v>
      </c>
      <c r="EN199" s="76" t="str">
        <f t="shared" si="103"/>
        <v>No requiere</v>
      </c>
      <c r="EO199" s="71"/>
      <c r="EP199" s="73" t="str">
        <f t="shared" si="115"/>
        <v>No requiere</v>
      </c>
      <c r="EQ199" s="77" t="str">
        <f t="shared" si="116"/>
        <v>No requiere</v>
      </c>
      <c r="ER199" s="71"/>
      <c r="ES199" s="79" t="s">
        <v>179</v>
      </c>
      <c r="ET199" s="73" t="str">
        <f t="shared" si="117"/>
        <v>No requiere</v>
      </c>
      <c r="EU199" s="73" t="str">
        <f t="shared" si="104"/>
        <v>No requiere</v>
      </c>
      <c r="EV199" s="73" t="str">
        <f t="shared" si="118"/>
        <v>No requiere</v>
      </c>
      <c r="EW199" s="73" t="str">
        <f t="shared" si="119"/>
        <v>No requiere</v>
      </c>
      <c r="EX199" s="78"/>
      <c r="EY199" s="78"/>
    </row>
    <row r="200" spans="1:155" ht="46.5" customHeight="1">
      <c r="A200" s="79">
        <v>196</v>
      </c>
      <c r="B200" s="80" t="s">
        <v>1591</v>
      </c>
      <c r="C200" s="81">
        <v>45381</v>
      </c>
      <c r="D200" s="82">
        <v>0.375</v>
      </c>
      <c r="E200" s="79" t="s">
        <v>200</v>
      </c>
      <c r="F200" s="79" t="s">
        <v>153</v>
      </c>
      <c r="G200" s="79" t="s">
        <v>152</v>
      </c>
      <c r="H200" s="79" t="s">
        <v>152</v>
      </c>
      <c r="I200" s="79" t="s">
        <v>152</v>
      </c>
      <c r="J200" s="79" t="s">
        <v>211</v>
      </c>
      <c r="K200" s="79" t="s">
        <v>202</v>
      </c>
      <c r="L200" s="80" t="s">
        <v>1592</v>
      </c>
      <c r="M200" s="80" t="s">
        <v>624</v>
      </c>
      <c r="N200" s="79" t="s">
        <v>253</v>
      </c>
      <c r="O200" s="80" t="str">
        <f t="shared" si="107"/>
        <v>PENDIENTE, PENDIENTE</v>
      </c>
      <c r="P200" s="79" t="s">
        <v>196</v>
      </c>
      <c r="Q200" s="79" t="s">
        <v>196</v>
      </c>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t="s">
        <v>230</v>
      </c>
      <c r="AP200" s="79" t="s">
        <v>242</v>
      </c>
      <c r="AQ200" s="80" t="s">
        <v>625</v>
      </c>
      <c r="AR200" s="83">
        <v>3188799909</v>
      </c>
      <c r="AS200" s="80" t="s">
        <v>1593</v>
      </c>
      <c r="AT200" s="80" t="str">
        <f t="shared" si="108"/>
        <v>Distrital</v>
      </c>
      <c r="AU200" s="79" t="s">
        <v>172</v>
      </c>
      <c r="AV200" s="79"/>
      <c r="AW200" s="79"/>
      <c r="AX200" s="79"/>
      <c r="AY200" s="79"/>
      <c r="AZ200" s="79"/>
      <c r="BA200" s="80" t="str">
        <f t="shared" si="109"/>
        <v>Distrital</v>
      </c>
      <c r="BB200" s="79" t="s">
        <v>172</v>
      </c>
      <c r="BC200" s="79"/>
      <c r="BD200" s="79"/>
      <c r="BE200" s="79"/>
      <c r="BF200" s="79"/>
      <c r="BG200" s="79"/>
      <c r="BH200" s="80" t="str">
        <f t="shared" si="110"/>
        <v>Distrital</v>
      </c>
      <c r="BI200" s="79" t="s">
        <v>172</v>
      </c>
      <c r="BJ200" s="79"/>
      <c r="BK200" s="79"/>
      <c r="BL200" s="79"/>
      <c r="BM200" s="79"/>
      <c r="BN200" s="79"/>
      <c r="BO200" s="79"/>
      <c r="BP200" s="79"/>
      <c r="BQ200" s="79"/>
      <c r="BR200" s="79"/>
      <c r="BS200" s="80" t="s">
        <v>288</v>
      </c>
      <c r="BT200" s="80" t="s">
        <v>174</v>
      </c>
      <c r="BU200" s="89" t="s">
        <v>1594</v>
      </c>
      <c r="BV200" s="71"/>
      <c r="BW200" s="79" t="s">
        <v>153</v>
      </c>
      <c r="BX200" s="79" t="s">
        <v>176</v>
      </c>
      <c r="BY200" s="71"/>
      <c r="BZ200" s="79">
        <v>24</v>
      </c>
      <c r="CA200" s="79">
        <v>1</v>
      </c>
      <c r="CB200" s="79">
        <f t="shared" si="25"/>
        <v>25</v>
      </c>
      <c r="CC200" s="79" t="str">
        <f t="shared" si="102"/>
        <v>No Aplica</v>
      </c>
      <c r="CD200" s="79" t="s">
        <v>177</v>
      </c>
      <c r="CE200" s="79"/>
      <c r="CF200" s="79"/>
      <c r="CG200" s="83" t="s">
        <v>1595</v>
      </c>
      <c r="CH200" s="41"/>
      <c r="CI200" s="79" t="s">
        <v>153</v>
      </c>
      <c r="CJ200" s="71"/>
      <c r="CK200" s="79">
        <f t="shared" si="38"/>
        <v>0</v>
      </c>
      <c r="CL200" s="79"/>
      <c r="CM200" s="79"/>
      <c r="CN200" s="79"/>
      <c r="CO200" s="79"/>
      <c r="CP200" s="79"/>
      <c r="CQ200" s="79"/>
      <c r="CR200" s="83" t="s">
        <v>179</v>
      </c>
      <c r="CS200" s="83" t="s">
        <v>179</v>
      </c>
      <c r="CT200" s="83" t="s">
        <v>179</v>
      </c>
      <c r="CU200" s="83" t="s">
        <v>179</v>
      </c>
      <c r="CV200" s="83" t="s">
        <v>179</v>
      </c>
      <c r="CW200" s="83" t="s">
        <v>179</v>
      </c>
      <c r="CX200" s="79" t="s">
        <v>153</v>
      </c>
      <c r="CY200" s="79">
        <f t="shared" si="39"/>
        <v>0</v>
      </c>
      <c r="CZ200" s="79">
        <v>0</v>
      </c>
      <c r="DA200" s="79">
        <f t="shared" si="84"/>
        <v>0</v>
      </c>
      <c r="DB200" s="84" t="str">
        <f t="shared" si="46"/>
        <v/>
      </c>
      <c r="DC200" s="41"/>
      <c r="DD200" s="79" t="s">
        <v>153</v>
      </c>
      <c r="DE200" s="71"/>
      <c r="DF200" s="85" t="s">
        <v>1596</v>
      </c>
      <c r="DG200" s="79">
        <v>192</v>
      </c>
      <c r="DH200" s="86" t="str">
        <f t="shared" si="85"/>
        <v>Completo</v>
      </c>
      <c r="DI200" s="79" t="s">
        <v>181</v>
      </c>
      <c r="DJ200" s="79" t="s">
        <v>182</v>
      </c>
      <c r="DK200" s="79"/>
      <c r="DL200" s="79"/>
      <c r="DM200" s="79"/>
      <c r="DN200" s="79" t="s">
        <v>182</v>
      </c>
      <c r="DO200" s="79"/>
      <c r="DP200" s="79"/>
      <c r="DQ200" s="79"/>
      <c r="DR200" s="75" t="str">
        <f t="shared" si="111"/>
        <v>No aplica</v>
      </c>
      <c r="DS200" s="79"/>
      <c r="DT200" s="79"/>
      <c r="DU200" s="75" t="str">
        <f t="shared" si="112"/>
        <v>No aplica</v>
      </c>
      <c r="DV200" s="79" t="s">
        <v>182</v>
      </c>
      <c r="DW200" s="79" t="s">
        <v>182</v>
      </c>
      <c r="DX200" s="79"/>
      <c r="DY200" s="79"/>
      <c r="DZ200" s="79"/>
      <c r="EA200" s="79"/>
      <c r="EB200" s="79" t="s">
        <v>182</v>
      </c>
      <c r="EC200" s="79" t="s">
        <v>1597</v>
      </c>
      <c r="ED200" s="79" t="s">
        <v>1598</v>
      </c>
      <c r="EE200" s="79" t="str">
        <f t="shared" si="106"/>
        <v>Completo</v>
      </c>
      <c r="EF200" s="41"/>
      <c r="EG200" s="79" t="s">
        <v>153</v>
      </c>
      <c r="EH200" s="71"/>
      <c r="EI200" s="80"/>
      <c r="EJ200" s="71"/>
      <c r="EK200" s="79" t="s">
        <v>179</v>
      </c>
      <c r="EL200" s="76" t="str">
        <f t="shared" si="113"/>
        <v>No requiere</v>
      </c>
      <c r="EM200" s="76" t="str">
        <f t="shared" si="114"/>
        <v>No requiere</v>
      </c>
      <c r="EN200" s="76" t="str">
        <f t="shared" si="103"/>
        <v>No requiere</v>
      </c>
      <c r="EO200" s="71"/>
      <c r="EP200" s="73" t="str">
        <f t="shared" si="115"/>
        <v>No requiere</v>
      </c>
      <c r="EQ200" s="77" t="str">
        <f t="shared" si="116"/>
        <v>No requiere</v>
      </c>
      <c r="ER200" s="71"/>
      <c r="ES200" s="79" t="s">
        <v>179</v>
      </c>
      <c r="ET200" s="73" t="str">
        <f t="shared" si="117"/>
        <v>No requiere</v>
      </c>
      <c r="EU200" s="73" t="str">
        <f t="shared" si="104"/>
        <v>No requiere</v>
      </c>
      <c r="EV200" s="73" t="str">
        <f t="shared" si="118"/>
        <v>No requiere</v>
      </c>
      <c r="EW200" s="73" t="str">
        <f t="shared" si="119"/>
        <v>No requiere</v>
      </c>
      <c r="EX200" s="78"/>
      <c r="EY200" s="78"/>
    </row>
    <row r="201" spans="1:155" ht="46.5" customHeight="1">
      <c r="A201" s="79">
        <v>197</v>
      </c>
      <c r="B201" s="80" t="s">
        <v>1599</v>
      </c>
      <c r="C201" s="81">
        <v>45381</v>
      </c>
      <c r="D201" s="82">
        <v>0.58333333333333337</v>
      </c>
      <c r="E201" s="79" t="s">
        <v>200</v>
      </c>
      <c r="F201" s="79" t="s">
        <v>153</v>
      </c>
      <c r="G201" s="79" t="s">
        <v>152</v>
      </c>
      <c r="H201" s="79" t="s">
        <v>152</v>
      </c>
      <c r="I201" s="79" t="s">
        <v>152</v>
      </c>
      <c r="J201" s="79" t="s">
        <v>211</v>
      </c>
      <c r="K201" s="79" t="s">
        <v>202</v>
      </c>
      <c r="L201" s="80" t="s">
        <v>1514</v>
      </c>
      <c r="M201" s="80" t="s">
        <v>624</v>
      </c>
      <c r="N201" s="79" t="s">
        <v>253</v>
      </c>
      <c r="O201" s="80" t="str">
        <f t="shared" si="107"/>
        <v>PENDIENTE, PENDIENTE</v>
      </c>
      <c r="P201" s="79" t="s">
        <v>196</v>
      </c>
      <c r="Q201" s="79" t="s">
        <v>196</v>
      </c>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t="s">
        <v>230</v>
      </c>
      <c r="AP201" s="79" t="s">
        <v>242</v>
      </c>
      <c r="AQ201" s="80" t="s">
        <v>625</v>
      </c>
      <c r="AR201" s="83">
        <v>3188799909</v>
      </c>
      <c r="AS201" s="80" t="s">
        <v>1593</v>
      </c>
      <c r="AT201" s="80" t="str">
        <f t="shared" si="108"/>
        <v>Distrital</v>
      </c>
      <c r="AU201" s="79" t="s">
        <v>172</v>
      </c>
      <c r="AV201" s="79"/>
      <c r="AW201" s="79"/>
      <c r="AX201" s="79"/>
      <c r="AY201" s="79"/>
      <c r="AZ201" s="79"/>
      <c r="BA201" s="80" t="str">
        <f t="shared" si="109"/>
        <v>Distrital</v>
      </c>
      <c r="BB201" s="79" t="s">
        <v>172</v>
      </c>
      <c r="BC201" s="79"/>
      <c r="BD201" s="79"/>
      <c r="BE201" s="79"/>
      <c r="BF201" s="79"/>
      <c r="BG201" s="79"/>
      <c r="BH201" s="80" t="str">
        <f t="shared" si="110"/>
        <v>Distrital</v>
      </c>
      <c r="BI201" s="79" t="s">
        <v>172</v>
      </c>
      <c r="BJ201" s="79"/>
      <c r="BK201" s="79"/>
      <c r="BL201" s="79"/>
      <c r="BM201" s="79"/>
      <c r="BN201" s="79"/>
      <c r="BO201" s="79"/>
      <c r="BP201" s="79"/>
      <c r="BQ201" s="79"/>
      <c r="BR201" s="79"/>
      <c r="BS201" s="80" t="s">
        <v>288</v>
      </c>
      <c r="BT201" s="80" t="s">
        <v>174</v>
      </c>
      <c r="BU201" s="89" t="s">
        <v>1600</v>
      </c>
      <c r="BV201" s="71"/>
      <c r="BW201" s="79" t="s">
        <v>153</v>
      </c>
      <c r="BX201" s="79" t="s">
        <v>176</v>
      </c>
      <c r="BY201" s="71"/>
      <c r="BZ201" s="79">
        <v>66</v>
      </c>
      <c r="CA201" s="79">
        <v>3</v>
      </c>
      <c r="CB201" s="79">
        <f t="shared" si="25"/>
        <v>69</v>
      </c>
      <c r="CC201" s="79" t="str">
        <f t="shared" si="102"/>
        <v>No Aplica</v>
      </c>
      <c r="CD201" s="79" t="s">
        <v>177</v>
      </c>
      <c r="CE201" s="79"/>
      <c r="CF201" s="79"/>
      <c r="CG201" s="83" t="s">
        <v>1537</v>
      </c>
      <c r="CH201" s="41"/>
      <c r="CI201" s="79" t="s">
        <v>153</v>
      </c>
      <c r="CJ201" s="71"/>
      <c r="CK201" s="79">
        <f t="shared" si="38"/>
        <v>0</v>
      </c>
      <c r="CL201" s="79"/>
      <c r="CM201" s="79"/>
      <c r="CN201" s="79"/>
      <c r="CO201" s="79"/>
      <c r="CP201" s="79"/>
      <c r="CQ201" s="79"/>
      <c r="CR201" s="83" t="s">
        <v>179</v>
      </c>
      <c r="CS201" s="83" t="s">
        <v>179</v>
      </c>
      <c r="CT201" s="83" t="s">
        <v>179</v>
      </c>
      <c r="CU201" s="83" t="s">
        <v>179</v>
      </c>
      <c r="CV201" s="83" t="s">
        <v>179</v>
      </c>
      <c r="CW201" s="83" t="s">
        <v>179</v>
      </c>
      <c r="CX201" s="79" t="s">
        <v>153</v>
      </c>
      <c r="CY201" s="79">
        <f t="shared" si="39"/>
        <v>0</v>
      </c>
      <c r="CZ201" s="79">
        <v>0</v>
      </c>
      <c r="DA201" s="79">
        <f t="shared" si="84"/>
        <v>0</v>
      </c>
      <c r="DB201" s="84" t="str">
        <f t="shared" si="46"/>
        <v/>
      </c>
      <c r="DC201" s="41"/>
      <c r="DD201" s="79" t="s">
        <v>153</v>
      </c>
      <c r="DE201" s="71"/>
      <c r="DF201" s="85" t="s">
        <v>1601</v>
      </c>
      <c r="DG201" s="79">
        <v>193</v>
      </c>
      <c r="DH201" s="86" t="str">
        <f t="shared" si="85"/>
        <v>Completo</v>
      </c>
      <c r="DI201" s="79" t="s">
        <v>181</v>
      </c>
      <c r="DJ201" s="79" t="s">
        <v>182</v>
      </c>
      <c r="DK201" s="79"/>
      <c r="DL201" s="79"/>
      <c r="DM201" s="79"/>
      <c r="DN201" s="79" t="s">
        <v>182</v>
      </c>
      <c r="DO201" s="79"/>
      <c r="DP201" s="79"/>
      <c r="DQ201" s="79"/>
      <c r="DR201" s="75" t="str">
        <f t="shared" si="111"/>
        <v>No aplica</v>
      </c>
      <c r="DS201" s="79"/>
      <c r="DT201" s="79"/>
      <c r="DU201" s="75" t="str">
        <f t="shared" si="112"/>
        <v>No aplica</v>
      </c>
      <c r="DV201" s="79" t="s">
        <v>182</v>
      </c>
      <c r="DW201" s="79" t="s">
        <v>182</v>
      </c>
      <c r="DX201" s="79"/>
      <c r="DY201" s="79"/>
      <c r="DZ201" s="79"/>
      <c r="EA201" s="79"/>
      <c r="EB201" s="79" t="s">
        <v>182</v>
      </c>
      <c r="EC201" s="79" t="s">
        <v>1602</v>
      </c>
      <c r="ED201" s="79" t="s">
        <v>1598</v>
      </c>
      <c r="EE201" s="79" t="str">
        <f t="shared" si="106"/>
        <v>Completo</v>
      </c>
      <c r="EF201" s="41"/>
      <c r="EG201" s="79" t="s">
        <v>153</v>
      </c>
      <c r="EH201" s="71"/>
      <c r="EI201" s="80"/>
      <c r="EJ201" s="71"/>
      <c r="EK201" s="79" t="s">
        <v>179</v>
      </c>
      <c r="EL201" s="76" t="str">
        <f t="shared" si="113"/>
        <v>No requiere</v>
      </c>
      <c r="EM201" s="76" t="str">
        <f t="shared" si="114"/>
        <v>No requiere</v>
      </c>
      <c r="EN201" s="76" t="str">
        <f t="shared" si="103"/>
        <v>No requiere</v>
      </c>
      <c r="EO201" s="71"/>
      <c r="EP201" s="73" t="str">
        <f t="shared" si="115"/>
        <v>No requiere</v>
      </c>
      <c r="EQ201" s="77" t="str">
        <f t="shared" si="116"/>
        <v>No requiere</v>
      </c>
      <c r="ER201" s="71"/>
      <c r="ES201" s="79" t="s">
        <v>179</v>
      </c>
      <c r="ET201" s="73" t="str">
        <f t="shared" si="117"/>
        <v>No requiere</v>
      </c>
      <c r="EU201" s="73" t="str">
        <f t="shared" si="104"/>
        <v>No requiere</v>
      </c>
      <c r="EV201" s="73" t="str">
        <f t="shared" si="118"/>
        <v>No requiere</v>
      </c>
      <c r="EW201" s="73" t="str">
        <f t="shared" si="119"/>
        <v>No requiere</v>
      </c>
      <c r="EX201" s="78"/>
      <c r="EY201" s="78"/>
    </row>
    <row r="202" spans="1:155" ht="46.5" customHeight="1">
      <c r="A202" s="79">
        <v>198</v>
      </c>
      <c r="B202" s="80" t="s">
        <v>1077</v>
      </c>
      <c r="C202" s="81">
        <v>45383</v>
      </c>
      <c r="D202" s="82">
        <v>0.375</v>
      </c>
      <c r="E202" s="79" t="s">
        <v>151</v>
      </c>
      <c r="F202" s="79" t="s">
        <v>153</v>
      </c>
      <c r="G202" s="79" t="s">
        <v>152</v>
      </c>
      <c r="H202" s="79" t="s">
        <v>152</v>
      </c>
      <c r="I202" s="79" t="s">
        <v>152</v>
      </c>
      <c r="J202" s="79" t="s">
        <v>154</v>
      </c>
      <c r="K202" s="79" t="s">
        <v>155</v>
      </c>
      <c r="L202" s="80" t="s">
        <v>1078</v>
      </c>
      <c r="M202" s="80" t="s">
        <v>157</v>
      </c>
      <c r="N202" s="79" t="s">
        <v>887</v>
      </c>
      <c r="O202" s="80" t="str">
        <f t="shared" si="107"/>
        <v>Yeiker Guerra Sarmiento</v>
      </c>
      <c r="P202" s="79" t="s">
        <v>163</v>
      </c>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t="s">
        <v>230</v>
      </c>
      <c r="AP202" s="79" t="s">
        <v>347</v>
      </c>
      <c r="AQ202" s="80" t="s">
        <v>1603</v>
      </c>
      <c r="AR202" s="83">
        <v>3125641672</v>
      </c>
      <c r="AS202" s="80" t="s">
        <v>1604</v>
      </c>
      <c r="AT202" s="80" t="str">
        <f t="shared" si="108"/>
        <v>Distrital</v>
      </c>
      <c r="AU202" s="79" t="s">
        <v>172</v>
      </c>
      <c r="AV202" s="79"/>
      <c r="AW202" s="79"/>
      <c r="AX202" s="79"/>
      <c r="AY202" s="79"/>
      <c r="AZ202" s="79"/>
      <c r="BA202" s="80" t="str">
        <f t="shared" si="109"/>
        <v>Distrital</v>
      </c>
      <c r="BB202" s="79" t="s">
        <v>172</v>
      </c>
      <c r="BC202" s="79"/>
      <c r="BD202" s="79"/>
      <c r="BE202" s="79"/>
      <c r="BF202" s="79"/>
      <c r="BG202" s="79"/>
      <c r="BH202" s="80" t="str">
        <f t="shared" si="110"/>
        <v>Distrital</v>
      </c>
      <c r="BI202" s="79" t="s">
        <v>172</v>
      </c>
      <c r="BJ202" s="79"/>
      <c r="BK202" s="79"/>
      <c r="BL202" s="79"/>
      <c r="BM202" s="79"/>
      <c r="BN202" s="79"/>
      <c r="BO202" s="79"/>
      <c r="BP202" s="79"/>
      <c r="BQ202" s="79"/>
      <c r="BR202" s="79"/>
      <c r="BS202" s="80" t="s">
        <v>288</v>
      </c>
      <c r="BT202" s="80" t="s">
        <v>174</v>
      </c>
      <c r="BU202" s="80" t="s">
        <v>1605</v>
      </c>
      <c r="BV202" s="71"/>
      <c r="BW202" s="79" t="s">
        <v>153</v>
      </c>
      <c r="BX202" s="79" t="s">
        <v>176</v>
      </c>
      <c r="BY202" s="71"/>
      <c r="BZ202" s="79">
        <v>9</v>
      </c>
      <c r="CA202" s="79">
        <v>2</v>
      </c>
      <c r="CB202" s="79">
        <f t="shared" si="25"/>
        <v>11</v>
      </c>
      <c r="CC202" s="79" t="str">
        <f t="shared" si="102"/>
        <v>No Aplica</v>
      </c>
      <c r="CD202" s="79" t="s">
        <v>177</v>
      </c>
      <c r="CE202" s="79"/>
      <c r="CF202" s="79"/>
      <c r="CG202" s="83" t="s">
        <v>1606</v>
      </c>
      <c r="CH202" s="41"/>
      <c r="CI202" s="79" t="s">
        <v>153</v>
      </c>
      <c r="CJ202" s="71"/>
      <c r="CK202" s="79">
        <f t="shared" si="38"/>
        <v>0</v>
      </c>
      <c r="CL202" s="79"/>
      <c r="CM202" s="79"/>
      <c r="CN202" s="79"/>
      <c r="CO202" s="79"/>
      <c r="CP202" s="79"/>
      <c r="CQ202" s="79"/>
      <c r="CR202" s="83"/>
      <c r="CS202" s="83"/>
      <c r="CT202" s="83"/>
      <c r="CU202" s="83"/>
      <c r="CV202" s="83"/>
      <c r="CW202" s="83"/>
      <c r="CX202" s="79" t="s">
        <v>153</v>
      </c>
      <c r="CY202" s="79">
        <f t="shared" si="39"/>
        <v>0</v>
      </c>
      <c r="CZ202" s="79">
        <v>0</v>
      </c>
      <c r="DA202" s="79">
        <f t="shared" si="84"/>
        <v>0</v>
      </c>
      <c r="DB202" s="84" t="str">
        <f t="shared" si="46"/>
        <v/>
      </c>
      <c r="DC202" s="41"/>
      <c r="DD202" s="79" t="s">
        <v>153</v>
      </c>
      <c r="DE202" s="71"/>
      <c r="DF202" s="85" t="s">
        <v>1607</v>
      </c>
      <c r="DG202" s="79">
        <v>194</v>
      </c>
      <c r="DH202" s="86" t="str">
        <f t="shared" si="85"/>
        <v>Completo</v>
      </c>
      <c r="DI202" s="79" t="s">
        <v>181</v>
      </c>
      <c r="DJ202" s="79" t="s">
        <v>182</v>
      </c>
      <c r="DK202" s="79"/>
      <c r="DL202" s="79">
        <v>0</v>
      </c>
      <c r="DM202" s="79">
        <v>0</v>
      </c>
      <c r="DN202" s="79" t="s">
        <v>182</v>
      </c>
      <c r="DO202" s="79"/>
      <c r="DP202" s="79"/>
      <c r="DQ202" s="79"/>
      <c r="DR202" s="75" t="str">
        <f t="shared" si="111"/>
        <v>No aplica</v>
      </c>
      <c r="DS202" s="79"/>
      <c r="DT202" s="79"/>
      <c r="DU202" s="75" t="str">
        <f t="shared" si="112"/>
        <v>No aplica</v>
      </c>
      <c r="DV202" s="79" t="s">
        <v>182</v>
      </c>
      <c r="DW202" s="79" t="s">
        <v>182</v>
      </c>
      <c r="DX202" s="79"/>
      <c r="DY202" s="79"/>
      <c r="DZ202" s="79"/>
      <c r="EA202" s="79"/>
      <c r="EB202" s="79" t="s">
        <v>182</v>
      </c>
      <c r="EC202" s="79" t="s">
        <v>1608</v>
      </c>
      <c r="ED202" s="79" t="s">
        <v>1609</v>
      </c>
      <c r="EE202" s="79" t="str">
        <f t="shared" si="106"/>
        <v>Completo</v>
      </c>
      <c r="EF202" s="41"/>
      <c r="EG202" s="79" t="s">
        <v>153</v>
      </c>
      <c r="EH202" s="71"/>
      <c r="EI202" s="80"/>
      <c r="EJ202" s="71"/>
      <c r="EK202" s="79" t="s">
        <v>179</v>
      </c>
      <c r="EL202" s="76" t="str">
        <f t="shared" si="113"/>
        <v>No requiere</v>
      </c>
      <c r="EM202" s="76" t="str">
        <f t="shared" si="114"/>
        <v>No requiere</v>
      </c>
      <c r="EN202" s="76" t="str">
        <f t="shared" si="103"/>
        <v>No requiere</v>
      </c>
      <c r="EO202" s="71"/>
      <c r="EP202" s="73" t="str">
        <f t="shared" si="115"/>
        <v>No requiere</v>
      </c>
      <c r="EQ202" s="77" t="str">
        <f t="shared" si="116"/>
        <v>No requiere</v>
      </c>
      <c r="ER202" s="71"/>
      <c r="ES202" s="79" t="s">
        <v>179</v>
      </c>
      <c r="ET202" s="73" t="str">
        <f t="shared" si="117"/>
        <v>No requiere</v>
      </c>
      <c r="EU202" s="73" t="str">
        <f t="shared" si="104"/>
        <v>No requiere</v>
      </c>
      <c r="EV202" s="73" t="str">
        <f t="shared" si="118"/>
        <v>No requiere</v>
      </c>
      <c r="EW202" s="73" t="str">
        <f t="shared" si="119"/>
        <v>No requiere</v>
      </c>
      <c r="EX202" s="78"/>
      <c r="EY202" s="78"/>
    </row>
    <row r="203" spans="1:155" ht="46.5" customHeight="1">
      <c r="A203" s="79">
        <v>199</v>
      </c>
      <c r="B203" s="80" t="s">
        <v>1610</v>
      </c>
      <c r="C203" s="81">
        <v>45383</v>
      </c>
      <c r="D203" s="82">
        <v>0.64583333333333337</v>
      </c>
      <c r="E203" s="79" t="s">
        <v>151</v>
      </c>
      <c r="F203" s="79" t="s">
        <v>153</v>
      </c>
      <c r="G203" s="79" t="s">
        <v>153</v>
      </c>
      <c r="H203" s="79" t="s">
        <v>153</v>
      </c>
      <c r="I203" s="79" t="s">
        <v>152</v>
      </c>
      <c r="J203" s="79" t="s">
        <v>154</v>
      </c>
      <c r="K203" s="79" t="s">
        <v>155</v>
      </c>
      <c r="L203" s="80" t="s">
        <v>600</v>
      </c>
      <c r="M203" s="80" t="s">
        <v>303</v>
      </c>
      <c r="N203" s="79" t="s">
        <v>525</v>
      </c>
      <c r="O203" s="80" t="str">
        <f t="shared" si="107"/>
        <v>César Augusto Barrantes, Laura Sofia Morales, Germán Ramón Jacome, Diana Marcela Fernández, Nicolás Enrique Moncaleano, Maria Angélica Higuera, Carlos Eduardo Escandón, Camilo Andrés Vásquez, Nathalia Guzmán Martínez, Norberto Muñoz Morera, Manuel Fernando Vergara, Nancy Stella Villa , Juan Pablo Serna, James Fernando Núñez</v>
      </c>
      <c r="P203" s="79" t="s">
        <v>729</v>
      </c>
      <c r="Q203" s="79" t="s">
        <v>506</v>
      </c>
      <c r="R203" s="79" t="s">
        <v>525</v>
      </c>
      <c r="S203" s="79" t="s">
        <v>473</v>
      </c>
      <c r="T203" s="79" t="s">
        <v>966</v>
      </c>
      <c r="U203" s="79" t="s">
        <v>328</v>
      </c>
      <c r="V203" s="79" t="s">
        <v>819</v>
      </c>
      <c r="W203" s="79" t="s">
        <v>373</v>
      </c>
      <c r="X203" s="79" t="s">
        <v>166</v>
      </c>
      <c r="Y203" s="79" t="s">
        <v>161</v>
      </c>
      <c r="Z203" s="79" t="s">
        <v>820</v>
      </c>
      <c r="AA203" s="79" t="s">
        <v>1611</v>
      </c>
      <c r="AB203" s="79" t="s">
        <v>818</v>
      </c>
      <c r="AC203" s="79" t="s">
        <v>632</v>
      </c>
      <c r="AD203" s="79"/>
      <c r="AE203" s="79"/>
      <c r="AF203" s="79"/>
      <c r="AG203" s="79"/>
      <c r="AH203" s="79"/>
      <c r="AI203" s="79"/>
      <c r="AJ203" s="79"/>
      <c r="AK203" s="79"/>
      <c r="AL203" s="79"/>
      <c r="AM203" s="79"/>
      <c r="AN203" s="79"/>
      <c r="AO203" s="79" t="s">
        <v>304</v>
      </c>
      <c r="AP203" s="79"/>
      <c r="AQ203" s="80" t="s">
        <v>171</v>
      </c>
      <c r="AR203" s="83" t="s">
        <v>171</v>
      </c>
      <c r="AS203" s="80" t="s">
        <v>1612</v>
      </c>
      <c r="AT203" s="80" t="str">
        <f t="shared" si="108"/>
        <v>Suba</v>
      </c>
      <c r="AU203" s="79" t="s">
        <v>602</v>
      </c>
      <c r="AV203" s="79"/>
      <c r="AW203" s="79"/>
      <c r="AX203" s="79"/>
      <c r="AY203" s="79"/>
      <c r="AZ203" s="79"/>
      <c r="BA203" s="80" t="str">
        <f t="shared" si="109"/>
        <v>Norte</v>
      </c>
      <c r="BB203" s="79" t="s">
        <v>662</v>
      </c>
      <c r="BC203" s="79"/>
      <c r="BD203" s="79"/>
      <c r="BE203" s="79"/>
      <c r="BF203" s="79"/>
      <c r="BG203" s="79"/>
      <c r="BH203" s="80" t="str">
        <f t="shared" si="110"/>
        <v>Torca</v>
      </c>
      <c r="BI203" s="79" t="s">
        <v>805</v>
      </c>
      <c r="BJ203" s="79"/>
      <c r="BK203" s="79"/>
      <c r="BL203" s="79"/>
      <c r="BM203" s="79"/>
      <c r="BN203" s="79"/>
      <c r="BO203" s="79"/>
      <c r="BP203" s="79"/>
      <c r="BQ203" s="79"/>
      <c r="BR203" s="79"/>
      <c r="BS203" s="80" t="s">
        <v>805</v>
      </c>
      <c r="BT203" s="80" t="s">
        <v>174</v>
      </c>
      <c r="BU203" s="80" t="s">
        <v>1613</v>
      </c>
      <c r="BV203" s="71"/>
      <c r="BW203" s="79" t="s">
        <v>153</v>
      </c>
      <c r="BX203" s="79" t="s">
        <v>607</v>
      </c>
      <c r="BY203" s="71"/>
      <c r="BZ203" s="79">
        <v>73</v>
      </c>
      <c r="CA203" s="79">
        <v>16</v>
      </c>
      <c r="CB203" s="79">
        <f t="shared" si="25"/>
        <v>89</v>
      </c>
      <c r="CC203" s="79" t="str">
        <f t="shared" si="102"/>
        <v>Ninguna</v>
      </c>
      <c r="CD203" s="79" t="s">
        <v>174</v>
      </c>
      <c r="CE203" s="79"/>
      <c r="CF203" s="79"/>
      <c r="CG203" s="83" t="s">
        <v>600</v>
      </c>
      <c r="CH203" s="41"/>
      <c r="CI203" s="79" t="s">
        <v>153</v>
      </c>
      <c r="CJ203" s="71"/>
      <c r="CK203" s="79">
        <f t="shared" si="38"/>
        <v>1</v>
      </c>
      <c r="CL203" s="79" t="s">
        <v>1214</v>
      </c>
      <c r="CM203" s="79"/>
      <c r="CN203" s="79"/>
      <c r="CO203" s="79"/>
      <c r="CP203" s="79"/>
      <c r="CQ203" s="79"/>
      <c r="CR203" s="83" t="s">
        <v>390</v>
      </c>
      <c r="CS203" s="83" t="s">
        <v>179</v>
      </c>
      <c r="CT203" s="83" t="s">
        <v>179</v>
      </c>
      <c r="CU203" s="83" t="s">
        <v>179</v>
      </c>
      <c r="CV203" s="83" t="s">
        <v>179</v>
      </c>
      <c r="CW203" s="83" t="s">
        <v>179</v>
      </c>
      <c r="CX203" s="79" t="s">
        <v>153</v>
      </c>
      <c r="CY203" s="79">
        <f t="shared" si="39"/>
        <v>1</v>
      </c>
      <c r="CZ203" s="79">
        <v>1</v>
      </c>
      <c r="DA203" s="79">
        <f t="shared" si="84"/>
        <v>1</v>
      </c>
      <c r="DB203" s="84">
        <f t="shared" si="46"/>
        <v>1</v>
      </c>
      <c r="DC203" s="41"/>
      <c r="DD203" s="79" t="s">
        <v>153</v>
      </c>
      <c r="DE203" s="71"/>
      <c r="DF203" s="85" t="s">
        <v>1614</v>
      </c>
      <c r="DG203" s="79">
        <v>195</v>
      </c>
      <c r="DH203" s="86" t="str">
        <f t="shared" si="85"/>
        <v>Completo</v>
      </c>
      <c r="DI203" s="79" t="s">
        <v>181</v>
      </c>
      <c r="DJ203" s="79" t="s">
        <v>182</v>
      </c>
      <c r="DK203" s="79" t="s">
        <v>153</v>
      </c>
      <c r="DL203" s="79">
        <v>0</v>
      </c>
      <c r="DM203" s="79">
        <v>0</v>
      </c>
      <c r="DN203" s="79" t="s">
        <v>182</v>
      </c>
      <c r="DO203" s="79">
        <v>8569</v>
      </c>
      <c r="DP203" s="79" t="s">
        <v>182</v>
      </c>
      <c r="DQ203" s="79">
        <v>21</v>
      </c>
      <c r="DR203" s="75">
        <f t="shared" si="111"/>
        <v>0.95890410958904115</v>
      </c>
      <c r="DS203" s="79" t="s">
        <v>182</v>
      </c>
      <c r="DT203" s="79">
        <v>16</v>
      </c>
      <c r="DU203" s="75">
        <f t="shared" si="112"/>
        <v>0.62622309197651671</v>
      </c>
      <c r="DV203" s="79" t="s">
        <v>182</v>
      </c>
      <c r="DW203" s="79" t="s">
        <v>182</v>
      </c>
      <c r="DX203" s="79">
        <v>3</v>
      </c>
      <c r="DY203" s="79">
        <v>1</v>
      </c>
      <c r="DZ203" s="79" t="s">
        <v>1615</v>
      </c>
      <c r="EA203" s="79">
        <v>8569</v>
      </c>
      <c r="EB203" s="79" t="s">
        <v>182</v>
      </c>
      <c r="EC203" s="79" t="s">
        <v>1616</v>
      </c>
      <c r="ED203" s="79" t="s">
        <v>249</v>
      </c>
      <c r="EE203" s="79" t="str">
        <f t="shared" si="106"/>
        <v>Completo</v>
      </c>
      <c r="EF203" s="41"/>
      <c r="EG203" s="79" t="s">
        <v>153</v>
      </c>
      <c r="EH203" s="71"/>
      <c r="EI203" s="89" t="s">
        <v>1617</v>
      </c>
      <c r="EJ203" s="71"/>
      <c r="EK203" s="79" t="s">
        <v>409</v>
      </c>
      <c r="EL203" s="76" t="str">
        <f t="shared" si="113"/>
        <v>Sí</v>
      </c>
      <c r="EM203" s="76" t="str">
        <f t="shared" si="114"/>
        <v>Sí</v>
      </c>
      <c r="EN203" s="76" t="str">
        <f t="shared" si="103"/>
        <v>No</v>
      </c>
      <c r="EO203" s="71"/>
      <c r="EP203" s="73" t="str">
        <f t="shared" si="115"/>
        <v>No aplica</v>
      </c>
      <c r="EQ203" s="77">
        <f t="shared" si="116"/>
        <v>0.62622309197651671</v>
      </c>
      <c r="ER203" s="71"/>
      <c r="ES203" s="79" t="s">
        <v>409</v>
      </c>
      <c r="ET203" s="73">
        <f t="shared" si="117"/>
        <v>1</v>
      </c>
      <c r="EU203" s="73">
        <f t="shared" si="104"/>
        <v>1</v>
      </c>
      <c r="EV203" s="73">
        <f t="shared" si="118"/>
        <v>1</v>
      </c>
      <c r="EW203" s="73">
        <f t="shared" si="119"/>
        <v>1</v>
      </c>
      <c r="EX203" s="78"/>
      <c r="EY203" s="78"/>
    </row>
    <row r="204" spans="1:155" ht="46.5" customHeight="1">
      <c r="A204" s="79" t="str">
        <v/>
      </c>
      <c r="B204" s="80" t="s">
        <v>1618</v>
      </c>
      <c r="C204" s="81">
        <v>45383</v>
      </c>
      <c r="D204" s="82">
        <v>0.58333333333333337</v>
      </c>
      <c r="E204" s="79" t="s">
        <v>151</v>
      </c>
      <c r="F204" s="79" t="s">
        <v>152</v>
      </c>
      <c r="G204" s="79" t="s">
        <v>152</v>
      </c>
      <c r="H204" s="79" t="s">
        <v>152</v>
      </c>
      <c r="I204" s="79" t="s">
        <v>152</v>
      </c>
      <c r="J204" s="79" t="s">
        <v>251</v>
      </c>
      <c r="K204" s="79" t="s">
        <v>202</v>
      </c>
      <c r="L204" s="80" t="s">
        <v>1619</v>
      </c>
      <c r="M204" s="80" t="s">
        <v>157</v>
      </c>
      <c r="N204" s="79" t="s">
        <v>924</v>
      </c>
      <c r="O204" s="80" t="str">
        <f t="shared" si="107"/>
        <v>Michael Cruz Roa</v>
      </c>
      <c r="P204" s="79" t="s">
        <v>265</v>
      </c>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t="s">
        <v>169</v>
      </c>
      <c r="AP204" s="79" t="s">
        <v>170</v>
      </c>
      <c r="AQ204" s="80" t="s">
        <v>171</v>
      </c>
      <c r="AR204" s="83" t="s">
        <v>171</v>
      </c>
      <c r="AS204" s="83" t="s">
        <v>171</v>
      </c>
      <c r="AT204" s="80" t="str">
        <f t="shared" si="108"/>
        <v>Distrital</v>
      </c>
      <c r="AU204" s="79" t="s">
        <v>172</v>
      </c>
      <c r="AV204" s="79"/>
      <c r="AW204" s="79"/>
      <c r="AX204" s="79"/>
      <c r="AY204" s="79"/>
      <c r="AZ204" s="79"/>
      <c r="BA204" s="80" t="str">
        <f t="shared" si="109"/>
        <v>Distrital</v>
      </c>
      <c r="BB204" s="79" t="s">
        <v>172</v>
      </c>
      <c r="BC204" s="79"/>
      <c r="BD204" s="79"/>
      <c r="BE204" s="79"/>
      <c r="BF204" s="79"/>
      <c r="BG204" s="79"/>
      <c r="BH204" s="80" t="str">
        <f t="shared" si="110"/>
        <v>Distrital</v>
      </c>
      <c r="BI204" s="79" t="s">
        <v>172</v>
      </c>
      <c r="BJ204" s="79"/>
      <c r="BK204" s="79"/>
      <c r="BL204" s="79"/>
      <c r="BM204" s="79"/>
      <c r="BN204" s="79"/>
      <c r="BO204" s="79"/>
      <c r="BP204" s="79"/>
      <c r="BQ204" s="79"/>
      <c r="BR204" s="79"/>
      <c r="BS204" s="80" t="s">
        <v>288</v>
      </c>
      <c r="BT204" s="80" t="s">
        <v>174</v>
      </c>
      <c r="BU204" s="89" t="s">
        <v>1620</v>
      </c>
      <c r="BV204" s="71"/>
      <c r="BW204" s="79" t="s">
        <v>152</v>
      </c>
      <c r="BX204" s="79" t="s">
        <v>179</v>
      </c>
      <c r="BY204" s="71"/>
      <c r="BZ204" s="79">
        <v>2</v>
      </c>
      <c r="CA204" s="79">
        <v>4</v>
      </c>
      <c r="CB204" s="79">
        <f t="shared" si="25"/>
        <v>6</v>
      </c>
      <c r="CC204" s="79" t="str">
        <f t="shared" si="102"/>
        <v>No Aplica</v>
      </c>
      <c r="CD204" s="79" t="s">
        <v>177</v>
      </c>
      <c r="CE204" s="79"/>
      <c r="CF204" s="79"/>
      <c r="CG204" s="83" t="s">
        <v>1621</v>
      </c>
      <c r="CH204" s="41"/>
      <c r="CI204" s="79" t="s">
        <v>153</v>
      </c>
      <c r="CJ204" s="71"/>
      <c r="CK204" s="79">
        <f t="shared" si="38"/>
        <v>0</v>
      </c>
      <c r="CL204" s="79"/>
      <c r="CM204" s="79"/>
      <c r="CN204" s="79"/>
      <c r="CO204" s="79"/>
      <c r="CP204" s="79"/>
      <c r="CQ204" s="79"/>
      <c r="CR204" s="83" t="s">
        <v>179</v>
      </c>
      <c r="CS204" s="83" t="s">
        <v>179</v>
      </c>
      <c r="CT204" s="83" t="s">
        <v>179</v>
      </c>
      <c r="CU204" s="83" t="s">
        <v>179</v>
      </c>
      <c r="CV204" s="83" t="s">
        <v>179</v>
      </c>
      <c r="CW204" s="83" t="s">
        <v>179</v>
      </c>
      <c r="CX204" s="79" t="s">
        <v>153</v>
      </c>
      <c r="CY204" s="79">
        <f t="shared" si="39"/>
        <v>0</v>
      </c>
      <c r="CZ204" s="79">
        <v>0</v>
      </c>
      <c r="DA204" s="79">
        <f t="shared" si="84"/>
        <v>0</v>
      </c>
      <c r="DB204" s="84" t="str">
        <f t="shared" si="46"/>
        <v/>
      </c>
      <c r="DC204" s="41"/>
      <c r="DD204" s="79" t="s">
        <v>153</v>
      </c>
      <c r="DE204" s="71"/>
      <c r="DF204" s="127" t="s">
        <v>1622</v>
      </c>
      <c r="DG204" s="79">
        <v>196</v>
      </c>
      <c r="DH204" s="86" t="str">
        <f t="shared" si="85"/>
        <v>Completo</v>
      </c>
      <c r="DI204" s="79" t="s">
        <v>181</v>
      </c>
      <c r="DJ204" s="79" t="s">
        <v>182</v>
      </c>
      <c r="DK204" s="79"/>
      <c r="DL204" s="79">
        <v>0</v>
      </c>
      <c r="DM204" s="79">
        <v>0</v>
      </c>
      <c r="DN204" s="79" t="s">
        <v>182</v>
      </c>
      <c r="DO204" s="79"/>
      <c r="DP204" s="79"/>
      <c r="DQ204" s="79"/>
      <c r="DR204" s="75" t="str">
        <f t="shared" si="111"/>
        <v>No aplica</v>
      </c>
      <c r="DS204" s="79"/>
      <c r="DT204" s="79"/>
      <c r="DU204" s="75" t="str">
        <f t="shared" si="112"/>
        <v>No aplica</v>
      </c>
      <c r="DV204" s="79" t="s">
        <v>182</v>
      </c>
      <c r="DW204" s="79" t="s">
        <v>182</v>
      </c>
      <c r="DX204" s="79"/>
      <c r="DY204" s="79"/>
      <c r="DZ204" s="79"/>
      <c r="EA204" s="79"/>
      <c r="EB204" s="79"/>
      <c r="EC204" s="79"/>
      <c r="ED204" s="79" t="s">
        <v>1623</v>
      </c>
      <c r="EE204" s="79" t="str">
        <f t="shared" si="106"/>
        <v>Completo</v>
      </c>
      <c r="EF204" s="41"/>
      <c r="EG204" s="79" t="s">
        <v>153</v>
      </c>
      <c r="EH204" s="71"/>
      <c r="EI204" s="80"/>
      <c r="EJ204" s="71"/>
      <c r="EK204" s="79" t="s">
        <v>179</v>
      </c>
      <c r="EL204" s="76" t="str">
        <f t="shared" si="113"/>
        <v>No requiere</v>
      </c>
      <c r="EM204" s="76" t="str">
        <f t="shared" si="114"/>
        <v>No requiere</v>
      </c>
      <c r="EN204" s="76" t="str">
        <f t="shared" si="103"/>
        <v>No requiere</v>
      </c>
      <c r="EO204" s="71"/>
      <c r="EP204" s="73" t="str">
        <f t="shared" si="115"/>
        <v>No requiere</v>
      </c>
      <c r="EQ204" s="77" t="str">
        <f t="shared" si="116"/>
        <v>No requiere</v>
      </c>
      <c r="ER204" s="71"/>
      <c r="ES204" s="79" t="s">
        <v>179</v>
      </c>
      <c r="ET204" s="73" t="str">
        <f t="shared" si="117"/>
        <v>No requiere</v>
      </c>
      <c r="EU204" s="73" t="str">
        <f t="shared" si="104"/>
        <v>No requiere</v>
      </c>
      <c r="EV204" s="73" t="str">
        <f t="shared" si="118"/>
        <v>No requiere</v>
      </c>
      <c r="EW204" s="73" t="str">
        <f t="shared" si="119"/>
        <v>No requiere</v>
      </c>
      <c r="EX204" s="78"/>
      <c r="EY204" s="78"/>
    </row>
    <row r="205" spans="1:155" ht="46.5" customHeight="1">
      <c r="A205" s="79">
        <v>201</v>
      </c>
      <c r="B205" s="80" t="s">
        <v>1624</v>
      </c>
      <c r="C205" s="81">
        <v>45383</v>
      </c>
      <c r="D205" s="82">
        <v>0.70833333333333337</v>
      </c>
      <c r="E205" s="79" t="s">
        <v>543</v>
      </c>
      <c r="F205" s="79" t="s">
        <v>153</v>
      </c>
      <c r="G205" s="79" t="s">
        <v>153</v>
      </c>
      <c r="H205" s="79" t="s">
        <v>152</v>
      </c>
      <c r="I205" s="79" t="s">
        <v>152</v>
      </c>
      <c r="J205" s="79" t="s">
        <v>154</v>
      </c>
      <c r="K205" s="79" t="s">
        <v>155</v>
      </c>
      <c r="L205" s="80" t="s">
        <v>1625</v>
      </c>
      <c r="M205" s="80" t="s">
        <v>303</v>
      </c>
      <c r="N205" s="79" t="s">
        <v>522</v>
      </c>
      <c r="O205" s="80" t="str">
        <f t="shared" si="107"/>
        <v>Humberto Díaz Acosta, José Ignacio Albarracín, Julián Camilo Taylor, Diego Nicolás Gutiérrez, Camila María Santana, Nestor Jecfrid Sánchez, Paula Andrea González, Diana Carolina Aristizábal, Johanna Catherine Gamez, Diego Alejandro Camacho, David Reinaldo Jojoa, Mónica Lyzeth Cantor, Ana María Gualy</v>
      </c>
      <c r="P205" s="79" t="s">
        <v>253</v>
      </c>
      <c r="Q205" s="79" t="s">
        <v>524</v>
      </c>
      <c r="R205" s="79" t="s">
        <v>886</v>
      </c>
      <c r="S205" s="79" t="s">
        <v>888</v>
      </c>
      <c r="T205" s="79" t="s">
        <v>861</v>
      </c>
      <c r="U205" s="79" t="s">
        <v>965</v>
      </c>
      <c r="V205" s="79" t="s">
        <v>158</v>
      </c>
      <c r="W205" s="79" t="s">
        <v>165</v>
      </c>
      <c r="X205" s="79" t="s">
        <v>213</v>
      </c>
      <c r="Y205" s="79" t="s">
        <v>422</v>
      </c>
      <c r="Z205" s="79" t="s">
        <v>548</v>
      </c>
      <c r="AA205" s="79" t="s">
        <v>346</v>
      </c>
      <c r="AB205" s="79" t="s">
        <v>821</v>
      </c>
      <c r="AC205" s="79"/>
      <c r="AD205" s="79"/>
      <c r="AE205" s="79"/>
      <c r="AF205" s="79"/>
      <c r="AG205" s="79"/>
      <c r="AH205" s="79"/>
      <c r="AI205" s="79"/>
      <c r="AJ205" s="79"/>
      <c r="AK205" s="79"/>
      <c r="AL205" s="79"/>
      <c r="AM205" s="79"/>
      <c r="AN205" s="79"/>
      <c r="AO205" s="79" t="s">
        <v>304</v>
      </c>
      <c r="AP205" s="79"/>
      <c r="AQ205" s="80" t="s">
        <v>1626</v>
      </c>
      <c r="AR205" s="83">
        <v>3108148740</v>
      </c>
      <c r="AS205" s="80" t="s">
        <v>682</v>
      </c>
      <c r="AT205" s="80" t="str">
        <f t="shared" si="108"/>
        <v>Distrital</v>
      </c>
      <c r="AU205" s="79" t="s">
        <v>172</v>
      </c>
      <c r="AV205" s="79"/>
      <c r="AW205" s="79"/>
      <c r="AX205" s="79"/>
      <c r="AY205" s="79"/>
      <c r="AZ205" s="79"/>
      <c r="BA205" s="80" t="str">
        <f t="shared" si="109"/>
        <v>Distrital</v>
      </c>
      <c r="BB205" s="79" t="s">
        <v>172</v>
      </c>
      <c r="BC205" s="79"/>
      <c r="BD205" s="79"/>
      <c r="BE205" s="79"/>
      <c r="BF205" s="79"/>
      <c r="BG205" s="79"/>
      <c r="BH205" s="80" t="str">
        <f t="shared" si="110"/>
        <v>Distrital</v>
      </c>
      <c r="BI205" s="79" t="s">
        <v>172</v>
      </c>
      <c r="BJ205" s="79"/>
      <c r="BK205" s="79"/>
      <c r="BL205" s="79"/>
      <c r="BM205" s="79"/>
      <c r="BN205" s="79"/>
      <c r="BO205" s="79"/>
      <c r="BP205" s="79"/>
      <c r="BQ205" s="79"/>
      <c r="BR205" s="79"/>
      <c r="BS205" s="80" t="s">
        <v>288</v>
      </c>
      <c r="BT205" s="80" t="s">
        <v>174</v>
      </c>
      <c r="BU205" s="80" t="s">
        <v>1627</v>
      </c>
      <c r="BV205" s="71"/>
      <c r="BW205" s="79" t="s">
        <v>153</v>
      </c>
      <c r="BX205" s="79" t="s">
        <v>607</v>
      </c>
      <c r="BY205" s="71"/>
      <c r="BZ205" s="79">
        <v>61</v>
      </c>
      <c r="CA205" s="79">
        <v>16</v>
      </c>
      <c r="CB205" s="79">
        <f t="shared" si="25"/>
        <v>77</v>
      </c>
      <c r="CC205" s="79" t="str">
        <f t="shared" si="102"/>
        <v>Lenguaje de señas</v>
      </c>
      <c r="CD205" s="79" t="s">
        <v>349</v>
      </c>
      <c r="CE205" s="79"/>
      <c r="CF205" s="79"/>
      <c r="CG205" s="83" t="s">
        <v>1628</v>
      </c>
      <c r="CH205" s="41"/>
      <c r="CI205" s="79" t="s">
        <v>153</v>
      </c>
      <c r="CJ205" s="71"/>
      <c r="CK205" s="79">
        <f t="shared" si="38"/>
        <v>0</v>
      </c>
      <c r="CL205" s="79"/>
      <c r="CM205" s="79"/>
      <c r="CN205" s="79"/>
      <c r="CO205" s="79"/>
      <c r="CP205" s="79"/>
      <c r="CQ205" s="79"/>
      <c r="CR205" s="83" t="s">
        <v>179</v>
      </c>
      <c r="CS205" s="83" t="s">
        <v>179</v>
      </c>
      <c r="CT205" s="83" t="s">
        <v>179</v>
      </c>
      <c r="CU205" s="83" t="s">
        <v>179</v>
      </c>
      <c r="CV205" s="83" t="s">
        <v>179</v>
      </c>
      <c r="CW205" s="83" t="s">
        <v>179</v>
      </c>
      <c r="CX205" s="79" t="s">
        <v>153</v>
      </c>
      <c r="CY205" s="79">
        <f t="shared" si="39"/>
        <v>0</v>
      </c>
      <c r="CZ205" s="79">
        <v>0</v>
      </c>
      <c r="DA205" s="79">
        <f t="shared" si="84"/>
        <v>0</v>
      </c>
      <c r="DB205" s="84" t="str">
        <f t="shared" si="46"/>
        <v/>
      </c>
      <c r="DC205" s="41"/>
      <c r="DD205" s="79" t="s">
        <v>153</v>
      </c>
      <c r="DE205" s="71"/>
      <c r="DF205" s="127" t="s">
        <v>1629</v>
      </c>
      <c r="DG205" s="79">
        <v>197</v>
      </c>
      <c r="DH205" s="86" t="str">
        <f t="shared" si="85"/>
        <v>Completo</v>
      </c>
      <c r="DI205" s="79" t="s">
        <v>181</v>
      </c>
      <c r="DJ205" s="79" t="s">
        <v>182</v>
      </c>
      <c r="DK205" s="79"/>
      <c r="DL205" s="79">
        <v>0</v>
      </c>
      <c r="DM205" s="79">
        <v>0</v>
      </c>
      <c r="DN205" s="79" t="s">
        <v>182</v>
      </c>
      <c r="DO205" s="79"/>
      <c r="DP205" s="79"/>
      <c r="DQ205" s="79"/>
      <c r="DR205" s="75" t="str">
        <f t="shared" si="111"/>
        <v>No aplica</v>
      </c>
      <c r="DS205" s="79"/>
      <c r="DT205" s="79"/>
      <c r="DU205" s="75" t="str">
        <f t="shared" si="112"/>
        <v>No aplica</v>
      </c>
      <c r="DV205" s="79" t="s">
        <v>182</v>
      </c>
      <c r="DW205" s="79" t="s">
        <v>182</v>
      </c>
      <c r="DX205" s="79"/>
      <c r="DY205" s="79"/>
      <c r="DZ205" s="79"/>
      <c r="EA205" s="79"/>
      <c r="EB205" s="79" t="s">
        <v>182</v>
      </c>
      <c r="EC205" s="79" t="s">
        <v>1630</v>
      </c>
      <c r="ED205" s="79" t="s">
        <v>249</v>
      </c>
      <c r="EE205" s="79" t="str">
        <f t="shared" si="106"/>
        <v>Completo</v>
      </c>
      <c r="EF205" s="41"/>
      <c r="EG205" s="79" t="s">
        <v>153</v>
      </c>
      <c r="EH205" s="71"/>
      <c r="EI205" s="80"/>
      <c r="EJ205" s="71"/>
      <c r="EK205" s="79" t="s">
        <v>179</v>
      </c>
      <c r="EL205" s="76" t="str">
        <f t="shared" si="113"/>
        <v>No requiere</v>
      </c>
      <c r="EM205" s="76" t="str">
        <f t="shared" si="114"/>
        <v>No requiere</v>
      </c>
      <c r="EN205" s="76" t="str">
        <f t="shared" si="103"/>
        <v>No requiere</v>
      </c>
      <c r="EO205" s="71"/>
      <c r="EP205" s="73" t="str">
        <f t="shared" si="115"/>
        <v>No requiere</v>
      </c>
      <c r="EQ205" s="77" t="str">
        <f t="shared" si="116"/>
        <v>No requiere</v>
      </c>
      <c r="ER205" s="71"/>
      <c r="ES205" s="79" t="s">
        <v>179</v>
      </c>
      <c r="ET205" s="73" t="str">
        <f t="shared" si="117"/>
        <v>No requiere</v>
      </c>
      <c r="EU205" s="73" t="str">
        <f t="shared" si="104"/>
        <v>No requiere</v>
      </c>
      <c r="EV205" s="73" t="str">
        <f t="shared" si="118"/>
        <v>No requiere</v>
      </c>
      <c r="EW205" s="73" t="str">
        <f t="shared" si="119"/>
        <v>No requiere</v>
      </c>
      <c r="EX205" s="78"/>
      <c r="EY205" s="78"/>
    </row>
    <row r="206" spans="1:155" ht="46.5" customHeight="1">
      <c r="A206" s="79">
        <v>202</v>
      </c>
      <c r="B206" s="80" t="s">
        <v>1631</v>
      </c>
      <c r="C206" s="81">
        <v>45384</v>
      </c>
      <c r="D206" s="82">
        <v>0.33333333333333331</v>
      </c>
      <c r="E206" s="79" t="s">
        <v>200</v>
      </c>
      <c r="F206" s="79" t="s">
        <v>153</v>
      </c>
      <c r="G206" s="79" t="s">
        <v>152</v>
      </c>
      <c r="H206" s="79" t="s">
        <v>152</v>
      </c>
      <c r="I206" s="79" t="s">
        <v>152</v>
      </c>
      <c r="J206" s="79" t="s">
        <v>504</v>
      </c>
      <c r="K206" s="79" t="s">
        <v>155</v>
      </c>
      <c r="L206" s="80" t="s">
        <v>1632</v>
      </c>
      <c r="M206" s="80" t="s">
        <v>157</v>
      </c>
      <c r="N206" s="79" t="s">
        <v>632</v>
      </c>
      <c r="O206" s="80" t="str">
        <f t="shared" si="107"/>
        <v/>
      </c>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t="s">
        <v>169</v>
      </c>
      <c r="AP206" s="79" t="s">
        <v>507</v>
      </c>
      <c r="AQ206" s="80" t="s">
        <v>1633</v>
      </c>
      <c r="AR206" s="83" t="s">
        <v>1634</v>
      </c>
      <c r="AS206" s="80" t="s">
        <v>1635</v>
      </c>
      <c r="AT206" s="80" t="str">
        <f t="shared" si="108"/>
        <v>Santa Fe</v>
      </c>
      <c r="AU206" s="79" t="s">
        <v>822</v>
      </c>
      <c r="AV206" s="79"/>
      <c r="AW206" s="79"/>
      <c r="AX206" s="79"/>
      <c r="AY206" s="79"/>
      <c r="AZ206" s="79"/>
      <c r="BA206" s="80" t="str">
        <f t="shared" si="109"/>
        <v>Centro Ampliado</v>
      </c>
      <c r="BB206" s="79" t="s">
        <v>636</v>
      </c>
      <c r="BC206" s="79"/>
      <c r="BD206" s="79"/>
      <c r="BE206" s="79"/>
      <c r="BF206" s="79"/>
      <c r="BG206" s="79"/>
      <c r="BH206" s="80" t="str">
        <f t="shared" si="110"/>
        <v>Centro Histórico, Cerros Orientales</v>
      </c>
      <c r="BI206" s="79" t="s">
        <v>754</v>
      </c>
      <c r="BJ206" s="79" t="s">
        <v>361</v>
      </c>
      <c r="BK206" s="79"/>
      <c r="BL206" s="79"/>
      <c r="BM206" s="79"/>
      <c r="BN206" s="79"/>
      <c r="BO206" s="79"/>
      <c r="BP206" s="79"/>
      <c r="BQ206" s="79"/>
      <c r="BR206" s="79"/>
      <c r="BS206" s="80" t="s">
        <v>288</v>
      </c>
      <c r="BT206" s="80" t="s">
        <v>174</v>
      </c>
      <c r="BU206" s="80" t="s">
        <v>1636</v>
      </c>
      <c r="BV206" s="71"/>
      <c r="BW206" s="79" t="s">
        <v>152</v>
      </c>
      <c r="BX206" s="79" t="s">
        <v>179</v>
      </c>
      <c r="BY206" s="71"/>
      <c r="BZ206" s="79">
        <v>12</v>
      </c>
      <c r="CA206" s="79">
        <v>1</v>
      </c>
      <c r="CB206" s="79">
        <f t="shared" si="25"/>
        <v>13</v>
      </c>
      <c r="CC206" s="79" t="str">
        <f t="shared" si="102"/>
        <v>No Aplica</v>
      </c>
      <c r="CD206" s="79" t="s">
        <v>177</v>
      </c>
      <c r="CE206" s="79"/>
      <c r="CF206" s="79"/>
      <c r="CG206" s="83" t="s">
        <v>1637</v>
      </c>
      <c r="CH206" s="41"/>
      <c r="CI206" s="79" t="s">
        <v>153</v>
      </c>
      <c r="CJ206" s="71"/>
      <c r="CK206" s="79">
        <f t="shared" si="38"/>
        <v>0</v>
      </c>
      <c r="CL206" s="79"/>
      <c r="CM206" s="79"/>
      <c r="CN206" s="79"/>
      <c r="CO206" s="79"/>
      <c r="CP206" s="79"/>
      <c r="CQ206" s="79"/>
      <c r="CR206" s="83" t="s">
        <v>179</v>
      </c>
      <c r="CS206" s="83" t="s">
        <v>179</v>
      </c>
      <c r="CT206" s="83" t="s">
        <v>179</v>
      </c>
      <c r="CU206" s="83" t="s">
        <v>179</v>
      </c>
      <c r="CV206" s="83" t="s">
        <v>179</v>
      </c>
      <c r="CW206" s="83" t="s">
        <v>179</v>
      </c>
      <c r="CX206" s="79" t="s">
        <v>153</v>
      </c>
      <c r="CY206" s="79">
        <f t="shared" si="39"/>
        <v>0</v>
      </c>
      <c r="CZ206" s="79">
        <v>0</v>
      </c>
      <c r="DA206" s="79">
        <f t="shared" si="84"/>
        <v>0</v>
      </c>
      <c r="DB206" s="84" t="str">
        <f t="shared" si="46"/>
        <v/>
      </c>
      <c r="DC206" s="41"/>
      <c r="DD206" s="79" t="s">
        <v>153</v>
      </c>
      <c r="DE206" s="71"/>
      <c r="DF206" s="127" t="s">
        <v>1638</v>
      </c>
      <c r="DG206" s="79">
        <v>198</v>
      </c>
      <c r="DH206" s="86" t="str">
        <f t="shared" si="85"/>
        <v>Completo</v>
      </c>
      <c r="DI206" s="79" t="s">
        <v>181</v>
      </c>
      <c r="DJ206" s="79" t="s">
        <v>182</v>
      </c>
      <c r="DK206" s="79"/>
      <c r="DL206" s="79"/>
      <c r="DM206" s="79"/>
      <c r="DN206" s="79" t="s">
        <v>182</v>
      </c>
      <c r="DO206" s="79"/>
      <c r="DP206" s="79"/>
      <c r="DQ206" s="79"/>
      <c r="DR206" s="75" t="str">
        <f t="shared" si="111"/>
        <v>No aplica</v>
      </c>
      <c r="DS206" s="79"/>
      <c r="DT206" s="79"/>
      <c r="DU206" s="75" t="str">
        <f t="shared" si="112"/>
        <v>No aplica</v>
      </c>
      <c r="DV206" s="79" t="s">
        <v>182</v>
      </c>
      <c r="DW206" s="79" t="s">
        <v>182</v>
      </c>
      <c r="DX206" s="79"/>
      <c r="DY206" s="79"/>
      <c r="DZ206" s="79"/>
      <c r="EA206" s="79"/>
      <c r="EB206" s="79" t="s">
        <v>182</v>
      </c>
      <c r="EC206" s="79" t="s">
        <v>1639</v>
      </c>
      <c r="ED206" s="79" t="s">
        <v>184</v>
      </c>
      <c r="EE206" s="79" t="str">
        <f t="shared" si="106"/>
        <v>Completo</v>
      </c>
      <c r="EF206" s="41"/>
      <c r="EG206" s="79" t="s">
        <v>153</v>
      </c>
      <c r="EH206" s="71"/>
      <c r="EI206" s="80"/>
      <c r="EJ206" s="71"/>
      <c r="EK206" s="79" t="s">
        <v>179</v>
      </c>
      <c r="EL206" s="76" t="str">
        <f t="shared" si="113"/>
        <v>No requiere</v>
      </c>
      <c r="EM206" s="76" t="str">
        <f t="shared" si="114"/>
        <v>No requiere</v>
      </c>
      <c r="EN206" s="76" t="str">
        <f t="shared" si="103"/>
        <v>No requiere</v>
      </c>
      <c r="EO206" s="71"/>
      <c r="EP206" s="73" t="str">
        <f t="shared" si="115"/>
        <v>No requiere</v>
      </c>
      <c r="EQ206" s="77" t="str">
        <f t="shared" si="116"/>
        <v>No requiere</v>
      </c>
      <c r="ER206" s="71"/>
      <c r="ES206" s="79" t="s">
        <v>179</v>
      </c>
      <c r="ET206" s="73" t="str">
        <f t="shared" si="117"/>
        <v>No requiere</v>
      </c>
      <c r="EU206" s="73" t="str">
        <f t="shared" si="104"/>
        <v>No requiere</v>
      </c>
      <c r="EV206" s="73" t="str">
        <f t="shared" si="118"/>
        <v>No requiere</v>
      </c>
      <c r="EW206" s="73" t="str">
        <f t="shared" si="119"/>
        <v>No requiere</v>
      </c>
      <c r="EX206" s="78"/>
      <c r="EY206" s="78"/>
    </row>
    <row r="207" spans="1:155" ht="46.5" customHeight="1">
      <c r="A207" s="79">
        <v>203</v>
      </c>
      <c r="B207" s="80" t="s">
        <v>1640</v>
      </c>
      <c r="C207" s="81">
        <v>45384</v>
      </c>
      <c r="D207" s="82">
        <v>0.375</v>
      </c>
      <c r="E207" s="79" t="s">
        <v>151</v>
      </c>
      <c r="F207" s="79" t="s">
        <v>153</v>
      </c>
      <c r="G207" s="79" t="s">
        <v>152</v>
      </c>
      <c r="H207" s="79" t="s">
        <v>152</v>
      </c>
      <c r="I207" s="79" t="s">
        <v>152</v>
      </c>
      <c r="J207" s="79" t="s">
        <v>154</v>
      </c>
      <c r="K207" s="79" t="s">
        <v>155</v>
      </c>
      <c r="L207" s="80" t="s">
        <v>600</v>
      </c>
      <c r="M207" s="80" t="s">
        <v>327</v>
      </c>
      <c r="N207" s="79" t="s">
        <v>924</v>
      </c>
      <c r="O207" s="80" t="str">
        <f t="shared" si="107"/>
        <v>Paola Andrea González, William Jair Gil, Reinaldo Terrios Andrade, Andres Castro Latorre, Aida Vanessa Rocha, Nixon Sandoval Mateus, Nicolas Esteban Hernández, Nestor Jecfrid Sánchez, Melina Julieta Solano, Luis Fernando Barreto , Claudia Fernanda Pineda, Yohan David Díaz, Nathalia Guzmán Martínez, Mónica Lyzeth Cantor, Erika Lizeth Rueda</v>
      </c>
      <c r="P207" s="79" t="s">
        <v>924</v>
      </c>
      <c r="Q207" s="79" t="s">
        <v>862</v>
      </c>
      <c r="R207" s="79" t="s">
        <v>675</v>
      </c>
      <c r="S207" s="79" t="s">
        <v>749</v>
      </c>
      <c r="T207" s="79" t="s">
        <v>801</v>
      </c>
      <c r="U207" s="79" t="s">
        <v>644</v>
      </c>
      <c r="V207" s="79" t="s">
        <v>645</v>
      </c>
      <c r="W207" s="79" t="s">
        <v>965</v>
      </c>
      <c r="X207" s="79" t="s">
        <v>168</v>
      </c>
      <c r="Y207" s="79" t="s">
        <v>720</v>
      </c>
      <c r="Z207" s="79" t="s">
        <v>546</v>
      </c>
      <c r="AA207" s="79" t="s">
        <v>164</v>
      </c>
      <c r="AB207" s="79" t="s">
        <v>166</v>
      </c>
      <c r="AC207" s="79" t="s">
        <v>346</v>
      </c>
      <c r="AD207" s="79" t="s">
        <v>556</v>
      </c>
      <c r="AE207" s="79"/>
      <c r="AF207" s="79"/>
      <c r="AG207" s="79"/>
      <c r="AH207" s="79"/>
      <c r="AI207" s="79"/>
      <c r="AJ207" s="79"/>
      <c r="AK207" s="79"/>
      <c r="AL207" s="79"/>
      <c r="AM207" s="79"/>
      <c r="AN207" s="79"/>
      <c r="AO207" s="79" t="s">
        <v>304</v>
      </c>
      <c r="AP207" s="79"/>
      <c r="AQ207" s="80" t="s">
        <v>171</v>
      </c>
      <c r="AR207" s="83" t="s">
        <v>171</v>
      </c>
      <c r="AS207" s="80" t="s">
        <v>171</v>
      </c>
      <c r="AT207" s="80" t="str">
        <f t="shared" si="108"/>
        <v>Kennedy</v>
      </c>
      <c r="AU207" s="79" t="s">
        <v>731</v>
      </c>
      <c r="AV207" s="79"/>
      <c r="AW207" s="79"/>
      <c r="AX207" s="79"/>
      <c r="AY207" s="79"/>
      <c r="AZ207" s="79"/>
      <c r="BA207" s="80" t="str">
        <f t="shared" si="109"/>
        <v>Suroccidente</v>
      </c>
      <c r="BB207" s="79" t="s">
        <v>732</v>
      </c>
      <c r="BC207" s="79"/>
      <c r="BD207" s="79"/>
      <c r="BE207" s="79"/>
      <c r="BF207" s="79"/>
      <c r="BG207" s="79"/>
      <c r="BH207" s="80" t="str">
        <f t="shared" si="110"/>
        <v>Kennedy</v>
      </c>
      <c r="BI207" s="79" t="s">
        <v>731</v>
      </c>
      <c r="BJ207" s="79"/>
      <c r="BK207" s="79"/>
      <c r="BL207" s="79"/>
      <c r="BM207" s="79"/>
      <c r="BN207" s="79"/>
      <c r="BO207" s="79"/>
      <c r="BP207" s="79"/>
      <c r="BQ207" s="79"/>
      <c r="BR207" s="79"/>
      <c r="BS207" s="80" t="s">
        <v>731</v>
      </c>
      <c r="BT207" s="80" t="s">
        <v>174</v>
      </c>
      <c r="BU207" s="80" t="s">
        <v>1641</v>
      </c>
      <c r="BV207" s="71"/>
      <c r="BW207" s="79" t="s">
        <v>153</v>
      </c>
      <c r="BX207" s="79" t="s">
        <v>607</v>
      </c>
      <c r="BY207" s="71"/>
      <c r="BZ207" s="79">
        <v>114</v>
      </c>
      <c r="CA207" s="79">
        <v>17</v>
      </c>
      <c r="CB207" s="79">
        <f t="shared" si="25"/>
        <v>131</v>
      </c>
      <c r="CC207" s="79" t="str">
        <f t="shared" si="102"/>
        <v>No Aplica</v>
      </c>
      <c r="CD207" s="79" t="s">
        <v>177</v>
      </c>
      <c r="CE207" s="79"/>
      <c r="CF207" s="79"/>
      <c r="CG207" s="83" t="s">
        <v>1642</v>
      </c>
      <c r="CH207" s="41"/>
      <c r="CI207" s="79" t="s">
        <v>153</v>
      </c>
      <c r="CJ207" s="71"/>
      <c r="CK207" s="79">
        <f t="shared" si="38"/>
        <v>0</v>
      </c>
      <c r="CL207" s="79"/>
      <c r="CM207" s="79"/>
      <c r="CN207" s="79"/>
      <c r="CO207" s="79"/>
      <c r="CP207" s="79"/>
      <c r="CQ207" s="79"/>
      <c r="CR207" s="83" t="s">
        <v>179</v>
      </c>
      <c r="CS207" s="83" t="s">
        <v>179</v>
      </c>
      <c r="CT207" s="83" t="s">
        <v>179</v>
      </c>
      <c r="CU207" s="83" t="s">
        <v>179</v>
      </c>
      <c r="CV207" s="83" t="s">
        <v>179</v>
      </c>
      <c r="CW207" s="83" t="s">
        <v>179</v>
      </c>
      <c r="CX207" s="79" t="s">
        <v>153</v>
      </c>
      <c r="CY207" s="79">
        <f t="shared" si="39"/>
        <v>0</v>
      </c>
      <c r="CZ207" s="79">
        <v>0</v>
      </c>
      <c r="DA207" s="79">
        <f t="shared" si="84"/>
        <v>0</v>
      </c>
      <c r="DB207" s="84" t="str">
        <f t="shared" si="46"/>
        <v/>
      </c>
      <c r="DC207" s="41"/>
      <c r="DD207" s="79" t="s">
        <v>153</v>
      </c>
      <c r="DE207" s="71"/>
      <c r="DF207" s="127" t="s">
        <v>1643</v>
      </c>
      <c r="DG207" s="79">
        <v>199</v>
      </c>
      <c r="DH207" s="86" t="str">
        <f t="shared" si="85"/>
        <v>Completo</v>
      </c>
      <c r="DI207" s="79" t="s">
        <v>181</v>
      </c>
      <c r="DJ207" s="79" t="s">
        <v>182</v>
      </c>
      <c r="DK207" s="79"/>
      <c r="DL207" s="79"/>
      <c r="DM207" s="79"/>
      <c r="DN207" s="79" t="s">
        <v>182</v>
      </c>
      <c r="DO207" s="79"/>
      <c r="DP207" s="79"/>
      <c r="DQ207" s="79"/>
      <c r="DR207" s="75" t="str">
        <f t="shared" si="111"/>
        <v>No aplica</v>
      </c>
      <c r="DS207" s="79"/>
      <c r="DT207" s="79"/>
      <c r="DU207" s="75" t="str">
        <f t="shared" si="112"/>
        <v>No aplica</v>
      </c>
      <c r="DV207" s="79" t="s">
        <v>182</v>
      </c>
      <c r="DW207" s="79" t="s">
        <v>182</v>
      </c>
      <c r="DX207" s="79"/>
      <c r="DY207" s="79"/>
      <c r="DZ207" s="79"/>
      <c r="EA207" s="79"/>
      <c r="EB207" s="79" t="s">
        <v>182</v>
      </c>
      <c r="EC207" s="79" t="s">
        <v>1644</v>
      </c>
      <c r="ED207" s="79" t="s">
        <v>249</v>
      </c>
      <c r="EE207" s="79" t="str">
        <f t="shared" si="106"/>
        <v>Completo</v>
      </c>
      <c r="EF207" s="41"/>
      <c r="EG207" s="79" t="s">
        <v>153</v>
      </c>
      <c r="EH207" s="71"/>
      <c r="EI207" s="80"/>
      <c r="EJ207" s="71"/>
      <c r="EK207" s="79" t="s">
        <v>179</v>
      </c>
      <c r="EL207" s="76" t="str">
        <f t="shared" si="113"/>
        <v>No requiere</v>
      </c>
      <c r="EM207" s="76" t="str">
        <f t="shared" si="114"/>
        <v>No requiere</v>
      </c>
      <c r="EN207" s="76" t="str">
        <f t="shared" si="103"/>
        <v>No requiere</v>
      </c>
      <c r="EO207" s="71"/>
      <c r="EP207" s="73" t="str">
        <f t="shared" si="115"/>
        <v>No requiere</v>
      </c>
      <c r="EQ207" s="77" t="str">
        <f t="shared" si="116"/>
        <v>No requiere</v>
      </c>
      <c r="ER207" s="71"/>
      <c r="ES207" s="79" t="s">
        <v>179</v>
      </c>
      <c r="ET207" s="73" t="str">
        <f t="shared" si="117"/>
        <v>No requiere</v>
      </c>
      <c r="EU207" s="73" t="str">
        <f t="shared" si="104"/>
        <v>No requiere</v>
      </c>
      <c r="EV207" s="73" t="str">
        <f t="shared" si="118"/>
        <v>No requiere</v>
      </c>
      <c r="EW207" s="73" t="str">
        <f t="shared" si="119"/>
        <v>No requiere</v>
      </c>
      <c r="EX207" s="78"/>
      <c r="EY207" s="78"/>
    </row>
    <row r="208" spans="1:155" ht="46.5" customHeight="1">
      <c r="A208" s="79">
        <v>204</v>
      </c>
      <c r="B208" s="80" t="s">
        <v>1645</v>
      </c>
      <c r="C208" s="81">
        <v>45384</v>
      </c>
      <c r="D208" s="82">
        <v>0.58333333333333337</v>
      </c>
      <c r="E208" s="79" t="s">
        <v>200</v>
      </c>
      <c r="F208" s="79" t="s">
        <v>153</v>
      </c>
      <c r="G208" s="79" t="s">
        <v>152</v>
      </c>
      <c r="H208" s="79" t="s">
        <v>152</v>
      </c>
      <c r="I208" s="79" t="s">
        <v>152</v>
      </c>
      <c r="J208" s="79" t="s">
        <v>504</v>
      </c>
      <c r="K208" s="79" t="s">
        <v>155</v>
      </c>
      <c r="L208" s="80" t="s">
        <v>1646</v>
      </c>
      <c r="M208" s="80" t="s">
        <v>157</v>
      </c>
      <c r="N208" s="79" t="s">
        <v>161</v>
      </c>
      <c r="O208" s="80" t="str">
        <f t="shared" si="107"/>
        <v/>
      </c>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t="s">
        <v>169</v>
      </c>
      <c r="AP208" s="79" t="s">
        <v>507</v>
      </c>
      <c r="AQ208" s="80" t="s">
        <v>1647</v>
      </c>
      <c r="AR208" s="83">
        <v>3188356139</v>
      </c>
      <c r="AS208" s="80" t="s">
        <v>1648</v>
      </c>
      <c r="AT208" s="80" t="str">
        <f t="shared" si="108"/>
        <v>Fontibón</v>
      </c>
      <c r="AU208" s="79" t="s">
        <v>646</v>
      </c>
      <c r="AV208" s="79"/>
      <c r="AW208" s="79"/>
      <c r="AX208" s="79"/>
      <c r="AY208" s="79"/>
      <c r="AZ208" s="79"/>
      <c r="BA208" s="80" t="str">
        <f t="shared" si="109"/>
        <v>Occidente</v>
      </c>
      <c r="BB208" s="79" t="s">
        <v>235</v>
      </c>
      <c r="BC208" s="79"/>
      <c r="BD208" s="79"/>
      <c r="BE208" s="79"/>
      <c r="BF208" s="79"/>
      <c r="BG208" s="79"/>
      <c r="BH208" s="80" t="str">
        <f t="shared" si="110"/>
        <v>Fontibón, Salitre</v>
      </c>
      <c r="BI208" s="79" t="s">
        <v>646</v>
      </c>
      <c r="BJ208" s="79" t="s">
        <v>415</v>
      </c>
      <c r="BK208" s="79"/>
      <c r="BL208" s="79"/>
      <c r="BM208" s="79"/>
      <c r="BN208" s="79"/>
      <c r="BO208" s="79"/>
      <c r="BP208" s="79"/>
      <c r="BQ208" s="79"/>
      <c r="BR208" s="79"/>
      <c r="BS208" s="80" t="s">
        <v>1649</v>
      </c>
      <c r="BT208" s="80" t="s">
        <v>174</v>
      </c>
      <c r="BU208" s="80" t="s">
        <v>1650</v>
      </c>
      <c r="BV208" s="71"/>
      <c r="BW208" s="79" t="s">
        <v>152</v>
      </c>
      <c r="BX208" s="79" t="s">
        <v>179</v>
      </c>
      <c r="BY208" s="71"/>
      <c r="BZ208" s="79">
        <v>20</v>
      </c>
      <c r="CA208" s="79">
        <v>1</v>
      </c>
      <c r="CB208" s="79">
        <f t="shared" si="25"/>
        <v>21</v>
      </c>
      <c r="CC208" s="79" t="str">
        <f t="shared" si="102"/>
        <v>No Aplica</v>
      </c>
      <c r="CD208" s="79" t="s">
        <v>177</v>
      </c>
      <c r="CE208" s="79"/>
      <c r="CF208" s="79"/>
      <c r="CG208" s="83" t="s">
        <v>1651</v>
      </c>
      <c r="CH208" s="41"/>
      <c r="CI208" s="79" t="s">
        <v>153</v>
      </c>
      <c r="CJ208" s="71"/>
      <c r="CK208" s="79">
        <f t="shared" si="38"/>
        <v>0</v>
      </c>
      <c r="CL208" s="79"/>
      <c r="CM208" s="79"/>
      <c r="CN208" s="79"/>
      <c r="CO208" s="79"/>
      <c r="CP208" s="79"/>
      <c r="CQ208" s="79"/>
      <c r="CR208" s="83" t="s">
        <v>179</v>
      </c>
      <c r="CS208" s="83" t="s">
        <v>179</v>
      </c>
      <c r="CT208" s="83" t="s">
        <v>179</v>
      </c>
      <c r="CU208" s="83" t="s">
        <v>179</v>
      </c>
      <c r="CV208" s="83" t="s">
        <v>179</v>
      </c>
      <c r="CW208" s="83" t="s">
        <v>179</v>
      </c>
      <c r="CX208" s="79" t="s">
        <v>153</v>
      </c>
      <c r="CY208" s="79">
        <f t="shared" si="39"/>
        <v>0</v>
      </c>
      <c r="CZ208" s="79">
        <v>0</v>
      </c>
      <c r="DA208" s="79">
        <f t="shared" si="84"/>
        <v>0</v>
      </c>
      <c r="DB208" s="84" t="str">
        <f t="shared" si="46"/>
        <v/>
      </c>
      <c r="DC208" s="41"/>
      <c r="DD208" s="79" t="s">
        <v>153</v>
      </c>
      <c r="DE208" s="71"/>
      <c r="DF208" s="127" t="s">
        <v>1638</v>
      </c>
      <c r="DG208" s="79">
        <v>200</v>
      </c>
      <c r="DH208" s="86" t="str">
        <f t="shared" si="85"/>
        <v>Completo</v>
      </c>
      <c r="DI208" s="79" t="s">
        <v>181</v>
      </c>
      <c r="DJ208" s="79" t="s">
        <v>182</v>
      </c>
      <c r="DK208" s="79"/>
      <c r="DL208" s="79">
        <v>0</v>
      </c>
      <c r="DM208" s="79">
        <v>0</v>
      </c>
      <c r="DN208" s="79" t="s">
        <v>182</v>
      </c>
      <c r="DO208" s="79"/>
      <c r="DP208" s="79"/>
      <c r="DQ208" s="79"/>
      <c r="DR208" s="75" t="str">
        <f t="shared" si="111"/>
        <v>No aplica</v>
      </c>
      <c r="DS208" s="79"/>
      <c r="DT208" s="79"/>
      <c r="DU208" s="75" t="str">
        <f t="shared" si="112"/>
        <v>No aplica</v>
      </c>
      <c r="DV208" s="79" t="s">
        <v>182</v>
      </c>
      <c r="DW208" s="79" t="s">
        <v>182</v>
      </c>
      <c r="DX208" s="79"/>
      <c r="DY208" s="79"/>
      <c r="DZ208" s="79"/>
      <c r="EA208" s="79"/>
      <c r="EB208" s="79" t="s">
        <v>182</v>
      </c>
      <c r="EC208" s="79" t="s">
        <v>769</v>
      </c>
      <c r="ED208" s="79" t="s">
        <v>184</v>
      </c>
      <c r="EE208" s="79" t="str">
        <f t="shared" si="106"/>
        <v>Completo</v>
      </c>
      <c r="EF208" s="41"/>
      <c r="EG208" s="79" t="s">
        <v>153</v>
      </c>
      <c r="EH208" s="71"/>
      <c r="EI208" s="80"/>
      <c r="EJ208" s="71"/>
      <c r="EK208" s="79" t="s">
        <v>179</v>
      </c>
      <c r="EL208" s="76" t="str">
        <f t="shared" si="113"/>
        <v>No requiere</v>
      </c>
      <c r="EM208" s="76" t="str">
        <f t="shared" si="114"/>
        <v>No requiere</v>
      </c>
      <c r="EN208" s="76" t="str">
        <f t="shared" si="103"/>
        <v>No requiere</v>
      </c>
      <c r="EO208" s="71"/>
      <c r="EP208" s="73" t="str">
        <f t="shared" si="115"/>
        <v>No requiere</v>
      </c>
      <c r="EQ208" s="77" t="str">
        <f t="shared" si="116"/>
        <v>No requiere</v>
      </c>
      <c r="ER208" s="71"/>
      <c r="ES208" s="79" t="s">
        <v>179</v>
      </c>
      <c r="ET208" s="73" t="str">
        <f t="shared" si="117"/>
        <v>No requiere</v>
      </c>
      <c r="EU208" s="73" t="str">
        <f t="shared" si="104"/>
        <v>No requiere</v>
      </c>
      <c r="EV208" s="73" t="str">
        <f t="shared" si="118"/>
        <v>No requiere</v>
      </c>
      <c r="EW208" s="73" t="str">
        <f t="shared" si="119"/>
        <v>No requiere</v>
      </c>
      <c r="EX208" s="78"/>
      <c r="EY208" s="78"/>
    </row>
    <row r="209" spans="1:155" ht="46.5" customHeight="1">
      <c r="A209" s="79">
        <v>205</v>
      </c>
      <c r="B209" s="80" t="s">
        <v>1652</v>
      </c>
      <c r="C209" s="81">
        <v>45384</v>
      </c>
      <c r="D209" s="82">
        <v>0.66666666666666663</v>
      </c>
      <c r="E209" s="79" t="s">
        <v>151</v>
      </c>
      <c r="F209" s="79" t="s">
        <v>153</v>
      </c>
      <c r="G209" s="79" t="s">
        <v>152</v>
      </c>
      <c r="H209" s="79" t="s">
        <v>152</v>
      </c>
      <c r="I209" s="79" t="s">
        <v>152</v>
      </c>
      <c r="J209" s="79" t="s">
        <v>154</v>
      </c>
      <c r="K209" s="79" t="s">
        <v>202</v>
      </c>
      <c r="L209" s="80" t="s">
        <v>1653</v>
      </c>
      <c r="M209" s="80" t="s">
        <v>157</v>
      </c>
      <c r="N209" s="79" t="s">
        <v>163</v>
      </c>
      <c r="O209" s="80" t="str">
        <f t="shared" si="107"/>
        <v/>
      </c>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t="s">
        <v>169</v>
      </c>
      <c r="AP209" s="79"/>
      <c r="AQ209" s="80" t="s">
        <v>901</v>
      </c>
      <c r="AR209" s="83">
        <v>3159261429</v>
      </c>
      <c r="AS209" s="80" t="s">
        <v>902</v>
      </c>
      <c r="AT209" s="80" t="str">
        <f t="shared" si="108"/>
        <v>Distrital</v>
      </c>
      <c r="AU209" s="79" t="s">
        <v>172</v>
      </c>
      <c r="AV209" s="79"/>
      <c r="AW209" s="79"/>
      <c r="AX209" s="79"/>
      <c r="AY209" s="79"/>
      <c r="AZ209" s="79"/>
      <c r="BA209" s="80" t="str">
        <f t="shared" si="109"/>
        <v>Distrital</v>
      </c>
      <c r="BB209" s="79" t="s">
        <v>172</v>
      </c>
      <c r="BC209" s="79"/>
      <c r="BD209" s="79"/>
      <c r="BE209" s="79"/>
      <c r="BF209" s="79"/>
      <c r="BG209" s="79"/>
      <c r="BH209" s="80" t="str">
        <f t="shared" si="110"/>
        <v>Distrital</v>
      </c>
      <c r="BI209" s="79" t="s">
        <v>172</v>
      </c>
      <c r="BJ209" s="79"/>
      <c r="BK209" s="79"/>
      <c r="BL209" s="79"/>
      <c r="BM209" s="79"/>
      <c r="BN209" s="79"/>
      <c r="BO209" s="79"/>
      <c r="BP209" s="79"/>
      <c r="BQ209" s="79"/>
      <c r="BR209" s="79"/>
      <c r="BS209" s="80" t="s">
        <v>288</v>
      </c>
      <c r="BT209" s="80" t="s">
        <v>174</v>
      </c>
      <c r="BU209" s="89" t="s">
        <v>1654</v>
      </c>
      <c r="BV209" s="71"/>
      <c r="BW209" s="79" t="s">
        <v>153</v>
      </c>
      <c r="BX209" s="79" t="s">
        <v>176</v>
      </c>
      <c r="BY209" s="71"/>
      <c r="BZ209" s="79">
        <v>3</v>
      </c>
      <c r="CA209" s="79">
        <v>2</v>
      </c>
      <c r="CB209" s="79">
        <f t="shared" si="25"/>
        <v>5</v>
      </c>
      <c r="CC209" s="79" t="str">
        <f t="shared" si="102"/>
        <v>No Aplica</v>
      </c>
      <c r="CD209" s="79" t="s">
        <v>177</v>
      </c>
      <c r="CE209" s="79"/>
      <c r="CF209" s="79"/>
      <c r="CG209" s="83" t="s">
        <v>1655</v>
      </c>
      <c r="CH209" s="41"/>
      <c r="CI209" s="79" t="s">
        <v>153</v>
      </c>
      <c r="CJ209" s="71"/>
      <c r="CK209" s="79">
        <f t="shared" si="38"/>
        <v>0</v>
      </c>
      <c r="CL209" s="79"/>
      <c r="CM209" s="79"/>
      <c r="CN209" s="79"/>
      <c r="CO209" s="79"/>
      <c r="CP209" s="79"/>
      <c r="CQ209" s="79"/>
      <c r="CR209" s="83"/>
      <c r="CS209" s="83"/>
      <c r="CT209" s="83"/>
      <c r="CU209" s="83"/>
      <c r="CV209" s="83"/>
      <c r="CW209" s="83"/>
      <c r="CX209" s="79"/>
      <c r="CY209" s="79">
        <f t="shared" si="39"/>
        <v>0</v>
      </c>
      <c r="CZ209" s="79">
        <v>0</v>
      </c>
      <c r="DA209" s="79">
        <f t="shared" si="84"/>
        <v>0</v>
      </c>
      <c r="DB209" s="84" t="str">
        <f t="shared" si="46"/>
        <v/>
      </c>
      <c r="DC209" s="41"/>
      <c r="DD209" s="79"/>
      <c r="DE209" s="71"/>
      <c r="DF209" s="127" t="s">
        <v>1656</v>
      </c>
      <c r="DG209" s="79">
        <v>201</v>
      </c>
      <c r="DH209" s="86">
        <f t="shared" si="85"/>
        <v>45387</v>
      </c>
      <c r="DI209" s="79" t="s">
        <v>181</v>
      </c>
      <c r="DJ209" s="79" t="s">
        <v>182</v>
      </c>
      <c r="DK209" s="79"/>
      <c r="DL209" s="79">
        <v>0</v>
      </c>
      <c r="DM209" s="79">
        <v>0</v>
      </c>
      <c r="DN209" s="79"/>
      <c r="DO209" s="79"/>
      <c r="DP209" s="79"/>
      <c r="DQ209" s="79"/>
      <c r="DR209" s="75" t="str">
        <f t="shared" si="111"/>
        <v>No aplica</v>
      </c>
      <c r="DS209" s="79"/>
      <c r="DT209" s="79"/>
      <c r="DU209" s="75" t="str">
        <f t="shared" si="112"/>
        <v>No aplica</v>
      </c>
      <c r="DV209" s="79"/>
      <c r="DW209" s="79" t="s">
        <v>182</v>
      </c>
      <c r="DX209" s="79"/>
      <c r="DY209" s="79"/>
      <c r="DZ209" s="79"/>
      <c r="EA209" s="79"/>
      <c r="EB209" s="79"/>
      <c r="EC209" s="79"/>
      <c r="ED209" s="79" t="s">
        <v>1657</v>
      </c>
      <c r="EE209" s="79" t="s">
        <v>621</v>
      </c>
      <c r="EF209" s="41"/>
      <c r="EG209" s="79" t="s">
        <v>153</v>
      </c>
      <c r="EH209" s="71"/>
      <c r="EI209" s="80"/>
      <c r="EJ209" s="71"/>
      <c r="EK209" s="79" t="s">
        <v>179</v>
      </c>
      <c r="EL209" s="76" t="str">
        <f t="shared" si="113"/>
        <v>No requiere</v>
      </c>
      <c r="EM209" s="76" t="str">
        <f t="shared" si="114"/>
        <v>No requiere</v>
      </c>
      <c r="EN209" s="76" t="str">
        <f t="shared" si="103"/>
        <v>No requiere</v>
      </c>
      <c r="EO209" s="71"/>
      <c r="EP209" s="73" t="str">
        <f t="shared" si="115"/>
        <v>No requiere</v>
      </c>
      <c r="EQ209" s="77" t="str">
        <f t="shared" si="116"/>
        <v>No requiere</v>
      </c>
      <c r="ER209" s="71"/>
      <c r="ES209" s="79" t="s">
        <v>179</v>
      </c>
      <c r="ET209" s="73" t="str">
        <f t="shared" si="117"/>
        <v>No requiere</v>
      </c>
      <c r="EU209" s="73" t="str">
        <f t="shared" si="104"/>
        <v>No requiere</v>
      </c>
      <c r="EV209" s="73" t="str">
        <f t="shared" si="118"/>
        <v>No requiere</v>
      </c>
      <c r="EW209" s="73" t="str">
        <f t="shared" si="119"/>
        <v>No requiere</v>
      </c>
      <c r="EX209" s="78"/>
      <c r="EY209" s="78"/>
    </row>
    <row r="210" spans="1:155" ht="46.5" customHeight="1">
      <c r="A210" s="79">
        <v>206</v>
      </c>
      <c r="B210" s="80" t="s">
        <v>1658</v>
      </c>
      <c r="C210" s="81">
        <v>45384</v>
      </c>
      <c r="D210" s="82">
        <v>0.79166666666666663</v>
      </c>
      <c r="E210" s="79" t="s">
        <v>543</v>
      </c>
      <c r="F210" s="79" t="s">
        <v>153</v>
      </c>
      <c r="G210" s="79" t="s">
        <v>153</v>
      </c>
      <c r="H210" s="79" t="s">
        <v>152</v>
      </c>
      <c r="I210" s="79" t="s">
        <v>152</v>
      </c>
      <c r="J210" s="79" t="s">
        <v>154</v>
      </c>
      <c r="K210" s="79" t="s">
        <v>155</v>
      </c>
      <c r="L210" s="80" t="s">
        <v>1659</v>
      </c>
      <c r="M210" s="80" t="s">
        <v>303</v>
      </c>
      <c r="N210" s="79" t="s">
        <v>749</v>
      </c>
      <c r="O210" s="80" t="str">
        <f t="shared" si="107"/>
        <v/>
      </c>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t="s">
        <v>304</v>
      </c>
      <c r="AP210" s="79"/>
      <c r="AQ210" s="80" t="s">
        <v>171</v>
      </c>
      <c r="AR210" s="83" t="s">
        <v>171</v>
      </c>
      <c r="AS210" s="80" t="s">
        <v>171</v>
      </c>
      <c r="AT210" s="80" t="str">
        <f t="shared" si="108"/>
        <v>Teusaquillo</v>
      </c>
      <c r="AU210" s="79" t="s">
        <v>1004</v>
      </c>
      <c r="AV210" s="79"/>
      <c r="AW210" s="79"/>
      <c r="AX210" s="79"/>
      <c r="AY210" s="79"/>
      <c r="AZ210" s="79"/>
      <c r="BA210" s="80" t="str">
        <f t="shared" si="109"/>
        <v>Distrital, Centro Ampliado</v>
      </c>
      <c r="BB210" s="79" t="s">
        <v>172</v>
      </c>
      <c r="BC210" s="79" t="s">
        <v>636</v>
      </c>
      <c r="BD210" s="79"/>
      <c r="BE210" s="79"/>
      <c r="BF210" s="79"/>
      <c r="BG210" s="79"/>
      <c r="BH210" s="80" t="str">
        <f t="shared" si="110"/>
        <v>Teusaquillo</v>
      </c>
      <c r="BI210" s="79" t="s">
        <v>1004</v>
      </c>
      <c r="BJ210" s="79"/>
      <c r="BK210" s="79"/>
      <c r="BL210" s="79"/>
      <c r="BM210" s="79"/>
      <c r="BN210" s="79"/>
      <c r="BO210" s="79"/>
      <c r="BP210" s="79"/>
      <c r="BQ210" s="79"/>
      <c r="BR210" s="79"/>
      <c r="BS210" s="80" t="s">
        <v>1660</v>
      </c>
      <c r="BT210" s="80" t="s">
        <v>174</v>
      </c>
      <c r="BU210" s="80" t="s">
        <v>1661</v>
      </c>
      <c r="BV210" s="71"/>
      <c r="BW210" s="79" t="s">
        <v>153</v>
      </c>
      <c r="BX210" s="79" t="s">
        <v>607</v>
      </c>
      <c r="BY210" s="71"/>
      <c r="BZ210" s="79">
        <v>10</v>
      </c>
      <c r="CA210" s="79">
        <v>4</v>
      </c>
      <c r="CB210" s="79">
        <f t="shared" si="25"/>
        <v>14</v>
      </c>
      <c r="CC210" s="79" t="str">
        <f t="shared" si="102"/>
        <v>No Aplica</v>
      </c>
      <c r="CD210" s="79" t="s">
        <v>177</v>
      </c>
      <c r="CE210" s="79"/>
      <c r="CF210" s="79"/>
      <c r="CG210" s="83" t="s">
        <v>1662</v>
      </c>
      <c r="CH210" s="41"/>
      <c r="CI210" s="79" t="s">
        <v>153</v>
      </c>
      <c r="CJ210" s="71"/>
      <c r="CK210" s="79">
        <f t="shared" si="38"/>
        <v>0</v>
      </c>
      <c r="CL210" s="79"/>
      <c r="CM210" s="79"/>
      <c r="CN210" s="79"/>
      <c r="CO210" s="79"/>
      <c r="CP210" s="79"/>
      <c r="CQ210" s="79"/>
      <c r="CR210" s="83" t="s">
        <v>179</v>
      </c>
      <c r="CS210" s="83" t="s">
        <v>179</v>
      </c>
      <c r="CT210" s="83" t="s">
        <v>179</v>
      </c>
      <c r="CU210" s="83" t="s">
        <v>179</v>
      </c>
      <c r="CV210" s="83" t="s">
        <v>179</v>
      </c>
      <c r="CW210" s="83" t="s">
        <v>179</v>
      </c>
      <c r="CX210" s="79" t="s">
        <v>153</v>
      </c>
      <c r="CY210" s="79">
        <v>0</v>
      </c>
      <c r="CZ210" s="79">
        <v>0</v>
      </c>
      <c r="DA210" s="79">
        <v>0</v>
      </c>
      <c r="DB210" s="84" t="s">
        <v>316</v>
      </c>
      <c r="DC210" s="41"/>
      <c r="DD210" s="79" t="s">
        <v>153</v>
      </c>
      <c r="DE210" s="71"/>
      <c r="DF210" s="127" t="s">
        <v>1663</v>
      </c>
      <c r="DG210" s="79">
        <v>202</v>
      </c>
      <c r="DH210" s="86">
        <f t="shared" si="85"/>
        <v>45387</v>
      </c>
      <c r="DI210" s="79" t="s">
        <v>181</v>
      </c>
      <c r="DJ210" s="79" t="s">
        <v>182</v>
      </c>
      <c r="DK210" s="79"/>
      <c r="DL210" s="79">
        <v>0</v>
      </c>
      <c r="DM210" s="79">
        <v>0</v>
      </c>
      <c r="DN210" s="79" t="s">
        <v>182</v>
      </c>
      <c r="DO210" s="79"/>
      <c r="DP210" s="79"/>
      <c r="DQ210" s="79"/>
      <c r="DR210" s="75" t="str">
        <f t="shared" si="111"/>
        <v>No aplica</v>
      </c>
      <c r="DS210" s="79"/>
      <c r="DT210" s="79"/>
      <c r="DU210" s="75" t="str">
        <f t="shared" si="112"/>
        <v>No aplica</v>
      </c>
      <c r="DV210" s="79" t="s">
        <v>182</v>
      </c>
      <c r="DW210" s="79" t="s">
        <v>182</v>
      </c>
      <c r="DX210" s="79"/>
      <c r="DY210" s="79"/>
      <c r="DZ210" s="79"/>
      <c r="EA210" s="79"/>
      <c r="EB210" s="79"/>
      <c r="EC210" s="79"/>
      <c r="ED210" s="79" t="s">
        <v>184</v>
      </c>
      <c r="EE210" s="79" t="s">
        <v>621</v>
      </c>
      <c r="EF210" s="41"/>
      <c r="EG210" s="79" t="s">
        <v>153</v>
      </c>
      <c r="EH210" s="71"/>
      <c r="EI210" s="80"/>
      <c r="EJ210" s="71"/>
      <c r="EK210" s="79" t="s">
        <v>179</v>
      </c>
      <c r="EL210" s="76" t="str">
        <f t="shared" si="113"/>
        <v>No requiere</v>
      </c>
      <c r="EM210" s="76" t="str">
        <f t="shared" si="114"/>
        <v>No requiere</v>
      </c>
      <c r="EN210" s="76" t="str">
        <f t="shared" si="103"/>
        <v>No requiere</v>
      </c>
      <c r="EO210" s="71"/>
      <c r="EP210" s="73" t="str">
        <f t="shared" si="115"/>
        <v>No requiere</v>
      </c>
      <c r="EQ210" s="77" t="str">
        <f t="shared" si="116"/>
        <v>No requiere</v>
      </c>
      <c r="ER210" s="71"/>
      <c r="ES210" s="79" t="s">
        <v>179</v>
      </c>
      <c r="ET210" s="73" t="str">
        <f t="shared" si="117"/>
        <v>No requiere</v>
      </c>
      <c r="EU210" s="73" t="str">
        <f t="shared" si="104"/>
        <v>No requiere</v>
      </c>
      <c r="EV210" s="73" t="str">
        <f t="shared" si="118"/>
        <v>No requiere</v>
      </c>
      <c r="EW210" s="73" t="str">
        <f t="shared" si="119"/>
        <v>No requiere</v>
      </c>
      <c r="EX210" s="78"/>
      <c r="EY210" s="78"/>
    </row>
    <row r="211" spans="1:155" ht="46.5" customHeight="1">
      <c r="A211" s="79">
        <v>207</v>
      </c>
      <c r="B211" s="80" t="s">
        <v>434</v>
      </c>
      <c r="C211" s="81">
        <v>45385</v>
      </c>
      <c r="D211" s="82">
        <v>0.33333333333333331</v>
      </c>
      <c r="E211" s="79" t="s">
        <v>151</v>
      </c>
      <c r="F211" s="79" t="s">
        <v>153</v>
      </c>
      <c r="G211" s="79" t="s">
        <v>153</v>
      </c>
      <c r="H211" s="79" t="s">
        <v>152</v>
      </c>
      <c r="I211" s="79" t="s">
        <v>152</v>
      </c>
      <c r="J211" s="79" t="s">
        <v>154</v>
      </c>
      <c r="K211" s="79" t="s">
        <v>202</v>
      </c>
      <c r="L211" s="80" t="s">
        <v>988</v>
      </c>
      <c r="M211" s="80" t="s">
        <v>229</v>
      </c>
      <c r="N211" s="79" t="s">
        <v>195</v>
      </c>
      <c r="O211" s="80" t="str">
        <f t="shared" si="107"/>
        <v>Yohan David Díaz, Valentina González Pontón</v>
      </c>
      <c r="P211" s="79" t="s">
        <v>164</v>
      </c>
      <c r="Q211" s="79" t="s">
        <v>329</v>
      </c>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t="s">
        <v>169</v>
      </c>
      <c r="AP211" s="79" t="s">
        <v>170</v>
      </c>
      <c r="AQ211" s="80" t="s">
        <v>171</v>
      </c>
      <c r="AR211" s="83" t="s">
        <v>171</v>
      </c>
      <c r="AS211" s="80" t="s">
        <v>171</v>
      </c>
      <c r="AT211" s="80" t="str">
        <f t="shared" si="108"/>
        <v>Distrital</v>
      </c>
      <c r="AU211" s="79" t="s">
        <v>172</v>
      </c>
      <c r="AV211" s="79"/>
      <c r="AW211" s="79"/>
      <c r="AX211" s="79"/>
      <c r="AY211" s="79"/>
      <c r="AZ211" s="79"/>
      <c r="BA211" s="80" t="str">
        <f t="shared" si="109"/>
        <v>Distrital</v>
      </c>
      <c r="BB211" s="79" t="s">
        <v>172</v>
      </c>
      <c r="BC211" s="79"/>
      <c r="BD211" s="79"/>
      <c r="BE211" s="79"/>
      <c r="BF211" s="79"/>
      <c r="BG211" s="79"/>
      <c r="BH211" s="80" t="str">
        <f t="shared" si="110"/>
        <v>Distrital</v>
      </c>
      <c r="BI211" s="79" t="s">
        <v>172</v>
      </c>
      <c r="BJ211" s="79"/>
      <c r="BK211" s="79"/>
      <c r="BL211" s="79"/>
      <c r="BM211" s="79"/>
      <c r="BN211" s="79"/>
      <c r="BO211" s="79"/>
      <c r="BP211" s="79"/>
      <c r="BQ211" s="79"/>
      <c r="BR211" s="79"/>
      <c r="BS211" s="80" t="s">
        <v>288</v>
      </c>
      <c r="BT211" s="80" t="s">
        <v>174</v>
      </c>
      <c r="BU211" s="89" t="s">
        <v>1664</v>
      </c>
      <c r="BV211" s="71"/>
      <c r="BW211" s="79" t="s">
        <v>153</v>
      </c>
      <c r="BX211" s="79" t="s">
        <v>176</v>
      </c>
      <c r="BY211" s="71"/>
      <c r="BZ211" s="79">
        <v>19</v>
      </c>
      <c r="CA211" s="79">
        <v>13</v>
      </c>
      <c r="CB211" s="79">
        <f t="shared" si="25"/>
        <v>32</v>
      </c>
      <c r="CC211" s="79" t="str">
        <f t="shared" si="102"/>
        <v>Ninguna</v>
      </c>
      <c r="CD211" s="79" t="s">
        <v>174</v>
      </c>
      <c r="CE211" s="79"/>
      <c r="CF211" s="79"/>
      <c r="CG211" s="83" t="s">
        <v>1665</v>
      </c>
      <c r="CH211" s="41"/>
      <c r="CI211" s="79" t="s">
        <v>153</v>
      </c>
      <c r="CJ211" s="71"/>
      <c r="CK211" s="79">
        <f t="shared" si="38"/>
        <v>0</v>
      </c>
      <c r="CL211" s="79"/>
      <c r="CM211" s="79"/>
      <c r="CN211" s="79"/>
      <c r="CO211" s="79"/>
      <c r="CP211" s="79"/>
      <c r="CQ211" s="79"/>
      <c r="CR211" s="83" t="s">
        <v>179</v>
      </c>
      <c r="CS211" s="83" t="s">
        <v>179</v>
      </c>
      <c r="CT211" s="83" t="s">
        <v>179</v>
      </c>
      <c r="CU211" s="83" t="s">
        <v>179</v>
      </c>
      <c r="CV211" s="83" t="s">
        <v>179</v>
      </c>
      <c r="CW211" s="83" t="s">
        <v>179</v>
      </c>
      <c r="CX211" s="79" t="s">
        <v>153</v>
      </c>
      <c r="CY211" s="79">
        <f t="shared" ref="CY211:CY247" si="120">SUM(COUNTIF(CR211:CW211,"Realizado y Devuelto a la Ciudadanía"),COUNTIF(CR211:CW211,"Realizado y Trasladado por competencia"), COUNTIF(CR211:CW211,"Realizado y Gestionado"))</f>
        <v>0</v>
      </c>
      <c r="CZ211" s="79">
        <v>0</v>
      </c>
      <c r="DA211" s="79">
        <f t="shared" ref="DA211:DA247" si="121">COUNTIF(CR211:CW211,"Realizado y Devuelto a la Ciudadanía")</f>
        <v>0</v>
      </c>
      <c r="DB211" s="84" t="str">
        <f t="shared" ref="DB211:DB247" si="122">IFERROR(CY211/CK211,"")</f>
        <v/>
      </c>
      <c r="DC211" s="41"/>
      <c r="DD211" s="79" t="s">
        <v>153</v>
      </c>
      <c r="DE211" s="71"/>
      <c r="DF211" s="127" t="s">
        <v>1666</v>
      </c>
      <c r="DG211" s="79">
        <v>203</v>
      </c>
      <c r="DH211" s="86" t="str">
        <f t="shared" si="85"/>
        <v>Completo</v>
      </c>
      <c r="DI211" s="79" t="s">
        <v>181</v>
      </c>
      <c r="DJ211" s="79" t="s">
        <v>182</v>
      </c>
      <c r="DK211" s="79"/>
      <c r="DL211" s="79">
        <v>0</v>
      </c>
      <c r="DM211" s="79">
        <v>0</v>
      </c>
      <c r="DN211" s="79" t="s">
        <v>182</v>
      </c>
      <c r="DO211" s="79"/>
      <c r="DP211" s="79"/>
      <c r="DQ211" s="79"/>
      <c r="DR211" s="75" t="str">
        <f t="shared" si="111"/>
        <v>No aplica</v>
      </c>
      <c r="DS211" s="79"/>
      <c r="DT211" s="79"/>
      <c r="DU211" s="75" t="str">
        <f t="shared" si="112"/>
        <v>No aplica</v>
      </c>
      <c r="DV211" s="79" t="s">
        <v>182</v>
      </c>
      <c r="DW211" s="79" t="s">
        <v>182</v>
      </c>
      <c r="DX211" s="79"/>
      <c r="DY211" s="79"/>
      <c r="DZ211" s="79"/>
      <c r="EA211" s="79"/>
      <c r="EB211" s="79"/>
      <c r="EC211" s="79"/>
      <c r="ED211" s="79" t="s">
        <v>184</v>
      </c>
      <c r="EE211" s="79" t="str">
        <f t="shared" ref="EE211:EE213" si="123">IF(DI211="Subsanado","Completo","Por Completar")</f>
        <v>Completo</v>
      </c>
      <c r="EF211" s="41"/>
      <c r="EG211" s="79" t="s">
        <v>153</v>
      </c>
      <c r="EH211" s="71"/>
      <c r="EI211" s="80"/>
      <c r="EJ211" s="71"/>
      <c r="EK211" s="79" t="s">
        <v>179</v>
      </c>
      <c r="EL211" s="76" t="str">
        <f t="shared" si="113"/>
        <v>No requiere</v>
      </c>
      <c r="EM211" s="76" t="str">
        <f t="shared" si="114"/>
        <v>No requiere</v>
      </c>
      <c r="EN211" s="76" t="str">
        <f t="shared" si="103"/>
        <v>No requiere</v>
      </c>
      <c r="EO211" s="71"/>
      <c r="EP211" s="73" t="str">
        <f t="shared" si="115"/>
        <v>No requiere</v>
      </c>
      <c r="EQ211" s="77" t="str">
        <f t="shared" si="116"/>
        <v>No requiere</v>
      </c>
      <c r="ER211" s="71"/>
      <c r="ES211" s="79" t="s">
        <v>179</v>
      </c>
      <c r="ET211" s="73" t="str">
        <f t="shared" si="117"/>
        <v>No requiere</v>
      </c>
      <c r="EU211" s="73" t="str">
        <f t="shared" si="104"/>
        <v>No requiere</v>
      </c>
      <c r="EV211" s="73" t="str">
        <f t="shared" si="118"/>
        <v>No requiere</v>
      </c>
      <c r="EW211" s="73" t="str">
        <f t="shared" si="119"/>
        <v>No requiere</v>
      </c>
      <c r="EX211" s="78"/>
      <c r="EY211" s="78"/>
    </row>
    <row r="212" spans="1:155" ht="46.5" customHeight="1">
      <c r="A212" s="79">
        <v>208</v>
      </c>
      <c r="B212" s="80" t="s">
        <v>1667</v>
      </c>
      <c r="C212" s="81">
        <v>45385</v>
      </c>
      <c r="D212" s="82">
        <v>0.41666666666666669</v>
      </c>
      <c r="E212" s="79" t="s">
        <v>151</v>
      </c>
      <c r="F212" s="79" t="s">
        <v>153</v>
      </c>
      <c r="G212" s="79" t="s">
        <v>153</v>
      </c>
      <c r="H212" s="79" t="s">
        <v>152</v>
      </c>
      <c r="I212" s="79" t="s">
        <v>152</v>
      </c>
      <c r="J212" s="79" t="s">
        <v>154</v>
      </c>
      <c r="K212" s="79" t="s">
        <v>155</v>
      </c>
      <c r="L212" s="80" t="s">
        <v>1668</v>
      </c>
      <c r="M212" s="80" t="s">
        <v>303</v>
      </c>
      <c r="N212" s="79" t="s">
        <v>887</v>
      </c>
      <c r="O212" s="80" t="str">
        <f t="shared" si="107"/>
        <v>Laura Camila Bechara, Yeiker Guerra Sarmiento</v>
      </c>
      <c r="P212" s="79" t="s">
        <v>887</v>
      </c>
      <c r="Q212" s="79" t="s">
        <v>163</v>
      </c>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t="s">
        <v>230</v>
      </c>
      <c r="AP212" s="79" t="s">
        <v>347</v>
      </c>
      <c r="AQ212" s="80" t="s">
        <v>1603</v>
      </c>
      <c r="AR212" s="83">
        <v>3125641672</v>
      </c>
      <c r="AS212" s="80" t="s">
        <v>1604</v>
      </c>
      <c r="AT212" s="80" t="str">
        <f t="shared" si="108"/>
        <v>Distrital</v>
      </c>
      <c r="AU212" s="79" t="s">
        <v>172</v>
      </c>
      <c r="AV212" s="79"/>
      <c r="AW212" s="79"/>
      <c r="AX212" s="79"/>
      <c r="AY212" s="79"/>
      <c r="AZ212" s="79"/>
      <c r="BA212" s="80" t="str">
        <f t="shared" si="109"/>
        <v>Distrital</v>
      </c>
      <c r="BB212" s="79" t="s">
        <v>172</v>
      </c>
      <c r="BC212" s="79"/>
      <c r="BD212" s="79"/>
      <c r="BE212" s="79"/>
      <c r="BF212" s="79"/>
      <c r="BG212" s="79"/>
      <c r="BH212" s="80" t="str">
        <f t="shared" si="110"/>
        <v>Distrital</v>
      </c>
      <c r="BI212" s="79" t="s">
        <v>172</v>
      </c>
      <c r="BJ212" s="79"/>
      <c r="BK212" s="79"/>
      <c r="BL212" s="79"/>
      <c r="BM212" s="79"/>
      <c r="BN212" s="79"/>
      <c r="BO212" s="79"/>
      <c r="BP212" s="79"/>
      <c r="BQ212" s="79"/>
      <c r="BR212" s="79"/>
      <c r="BS212" s="80" t="s">
        <v>288</v>
      </c>
      <c r="BT212" s="80" t="s">
        <v>1242</v>
      </c>
      <c r="BU212" s="80" t="s">
        <v>1669</v>
      </c>
      <c r="BV212" s="71"/>
      <c r="BW212" s="79" t="s">
        <v>153</v>
      </c>
      <c r="BX212" s="79" t="s">
        <v>607</v>
      </c>
      <c r="BY212" s="71"/>
      <c r="BZ212" s="79">
        <v>22</v>
      </c>
      <c r="CA212" s="79">
        <v>2</v>
      </c>
      <c r="CB212" s="79">
        <f t="shared" si="25"/>
        <v>24</v>
      </c>
      <c r="CC212" s="79" t="str">
        <f t="shared" si="102"/>
        <v>No Aplica</v>
      </c>
      <c r="CD212" s="79" t="s">
        <v>177</v>
      </c>
      <c r="CE212" s="79"/>
      <c r="CF212" s="79"/>
      <c r="CG212" s="83" t="s">
        <v>1670</v>
      </c>
      <c r="CH212" s="41"/>
      <c r="CI212" s="79" t="s">
        <v>153</v>
      </c>
      <c r="CJ212" s="71"/>
      <c r="CK212" s="79">
        <f t="shared" si="38"/>
        <v>0</v>
      </c>
      <c r="CL212" s="79"/>
      <c r="CM212" s="79"/>
      <c r="CN212" s="79"/>
      <c r="CO212" s="79"/>
      <c r="CP212" s="79"/>
      <c r="CQ212" s="79"/>
      <c r="CR212" s="83" t="s">
        <v>179</v>
      </c>
      <c r="CS212" s="83" t="s">
        <v>179</v>
      </c>
      <c r="CT212" s="83" t="s">
        <v>179</v>
      </c>
      <c r="CU212" s="83" t="s">
        <v>179</v>
      </c>
      <c r="CV212" s="83" t="s">
        <v>179</v>
      </c>
      <c r="CW212" s="83" t="s">
        <v>179</v>
      </c>
      <c r="CX212" s="79" t="s">
        <v>153</v>
      </c>
      <c r="CY212" s="79">
        <f t="shared" si="120"/>
        <v>0</v>
      </c>
      <c r="CZ212" s="79">
        <v>0</v>
      </c>
      <c r="DA212" s="79">
        <f t="shared" si="121"/>
        <v>0</v>
      </c>
      <c r="DB212" s="84" t="str">
        <f t="shared" si="122"/>
        <v/>
      </c>
      <c r="DC212" s="41"/>
      <c r="DD212" s="79" t="s">
        <v>153</v>
      </c>
      <c r="DE212" s="71"/>
      <c r="DF212" s="127" t="s">
        <v>1671</v>
      </c>
      <c r="DG212" s="79">
        <v>204</v>
      </c>
      <c r="DH212" s="86" t="str">
        <f t="shared" si="85"/>
        <v>Completo</v>
      </c>
      <c r="DI212" s="79" t="s">
        <v>181</v>
      </c>
      <c r="DJ212" s="79" t="s">
        <v>182</v>
      </c>
      <c r="DK212" s="79"/>
      <c r="DL212" s="79">
        <v>0</v>
      </c>
      <c r="DM212" s="79">
        <v>0</v>
      </c>
      <c r="DN212" s="79" t="s">
        <v>182</v>
      </c>
      <c r="DO212" s="79"/>
      <c r="DP212" s="79"/>
      <c r="DQ212" s="79"/>
      <c r="DR212" s="75" t="str">
        <f t="shared" si="111"/>
        <v>No aplica</v>
      </c>
      <c r="DS212" s="79"/>
      <c r="DT212" s="79"/>
      <c r="DU212" s="75" t="str">
        <f t="shared" si="112"/>
        <v>No aplica</v>
      </c>
      <c r="DV212" s="79" t="s">
        <v>182</v>
      </c>
      <c r="DW212" s="79" t="s">
        <v>182</v>
      </c>
      <c r="DX212" s="79"/>
      <c r="DY212" s="79"/>
      <c r="DZ212" s="79"/>
      <c r="EA212" s="79" t="s">
        <v>179</v>
      </c>
      <c r="EB212" s="79"/>
      <c r="EC212" s="79"/>
      <c r="ED212" s="79" t="s">
        <v>184</v>
      </c>
      <c r="EE212" s="79" t="str">
        <f t="shared" si="123"/>
        <v>Completo</v>
      </c>
      <c r="EF212" s="41"/>
      <c r="EG212" s="79" t="s">
        <v>153</v>
      </c>
      <c r="EH212" s="71"/>
      <c r="EI212" s="80"/>
      <c r="EJ212" s="71"/>
      <c r="EK212" s="79" t="s">
        <v>179</v>
      </c>
      <c r="EL212" s="76" t="str">
        <f t="shared" si="113"/>
        <v>No requiere</v>
      </c>
      <c r="EM212" s="76" t="str">
        <f t="shared" si="114"/>
        <v>No requiere</v>
      </c>
      <c r="EN212" s="76" t="str">
        <f t="shared" si="103"/>
        <v>No requiere</v>
      </c>
      <c r="EO212" s="71"/>
      <c r="EP212" s="73" t="str">
        <f t="shared" si="115"/>
        <v>No requiere</v>
      </c>
      <c r="EQ212" s="77" t="str">
        <f t="shared" si="116"/>
        <v>No requiere</v>
      </c>
      <c r="ER212" s="71"/>
      <c r="ES212" s="79" t="s">
        <v>179</v>
      </c>
      <c r="ET212" s="73" t="str">
        <f t="shared" si="117"/>
        <v>No requiere</v>
      </c>
      <c r="EU212" s="73" t="str">
        <f t="shared" si="104"/>
        <v>No requiere</v>
      </c>
      <c r="EV212" s="73" t="str">
        <f t="shared" si="118"/>
        <v>No requiere</v>
      </c>
      <c r="EW212" s="73" t="str">
        <f t="shared" si="119"/>
        <v>No requiere</v>
      </c>
      <c r="EX212" s="78"/>
      <c r="EY212" s="78"/>
    </row>
    <row r="213" spans="1:155" ht="46.5" customHeight="1">
      <c r="A213" s="79">
        <v>209</v>
      </c>
      <c r="B213" s="80" t="s">
        <v>1672</v>
      </c>
      <c r="C213" s="81">
        <v>45385</v>
      </c>
      <c r="D213" s="82">
        <v>0.58333333333333337</v>
      </c>
      <c r="E213" s="79" t="s">
        <v>151</v>
      </c>
      <c r="F213" s="79" t="s">
        <v>153</v>
      </c>
      <c r="G213" s="79" t="s">
        <v>152</v>
      </c>
      <c r="H213" s="79" t="s">
        <v>152</v>
      </c>
      <c r="I213" s="79" t="s">
        <v>152</v>
      </c>
      <c r="J213" s="79" t="s">
        <v>154</v>
      </c>
      <c r="K213" s="79" t="s">
        <v>155</v>
      </c>
      <c r="L213" s="80" t="s">
        <v>1673</v>
      </c>
      <c r="M213" s="80" t="s">
        <v>303</v>
      </c>
      <c r="N213" s="79" t="s">
        <v>820</v>
      </c>
      <c r="O213" s="80" t="str">
        <f t="shared" si="107"/>
        <v>Melina Julieta Solano, Reinaldo Terrios Andrade, Michael Cruz Roa, Renata Rengifo Moyano, James Fernando Núñez, Nicolás Enrique Moncaleano, William Jair Gil, Claudia Fernanda Pineda, Daniela Velasco Vega, Diego Alejandro Camacho, Nicolás Esteban Flórez, Nicolas Esteban Hernández, Valentina González Pontón</v>
      </c>
      <c r="P213" s="79" t="s">
        <v>168</v>
      </c>
      <c r="Q213" s="79" t="s">
        <v>675</v>
      </c>
      <c r="R213" s="79" t="s">
        <v>265</v>
      </c>
      <c r="S213" s="79"/>
      <c r="T213" s="79" t="s">
        <v>1066</v>
      </c>
      <c r="U213" s="79" t="s">
        <v>632</v>
      </c>
      <c r="V213" s="79" t="s">
        <v>966</v>
      </c>
      <c r="W213" s="79" t="s">
        <v>862</v>
      </c>
      <c r="X213" s="79" t="s">
        <v>546</v>
      </c>
      <c r="Y213" s="79" t="s">
        <v>660</v>
      </c>
      <c r="Z213" s="79" t="s">
        <v>422</v>
      </c>
      <c r="AA213" s="79" t="s">
        <v>472</v>
      </c>
      <c r="AB213" s="79" t="s">
        <v>645</v>
      </c>
      <c r="AC213" s="79" t="s">
        <v>329</v>
      </c>
      <c r="AD213" s="79"/>
      <c r="AE213" s="79"/>
      <c r="AF213" s="79"/>
      <c r="AG213" s="79"/>
      <c r="AH213" s="79"/>
      <c r="AI213" s="79"/>
      <c r="AJ213" s="79"/>
      <c r="AK213" s="79"/>
      <c r="AL213" s="79"/>
      <c r="AM213" s="79"/>
      <c r="AN213" s="79"/>
      <c r="AO213" s="79" t="s">
        <v>304</v>
      </c>
      <c r="AP213" s="79"/>
      <c r="AQ213" s="80" t="s">
        <v>1674</v>
      </c>
      <c r="AR213" s="80" t="s">
        <v>1675</v>
      </c>
      <c r="AS213" s="80">
        <v>3046044496</v>
      </c>
      <c r="AT213" s="80" t="str">
        <f t="shared" si="108"/>
        <v>Distrital</v>
      </c>
      <c r="AU213" s="79" t="s">
        <v>172</v>
      </c>
      <c r="AV213" s="79"/>
      <c r="AW213" s="79"/>
      <c r="AX213" s="79"/>
      <c r="AY213" s="79"/>
      <c r="AZ213" s="79"/>
      <c r="BA213" s="80" t="str">
        <f t="shared" si="109"/>
        <v>Distrital</v>
      </c>
      <c r="BB213" s="79" t="s">
        <v>172</v>
      </c>
      <c r="BC213" s="79"/>
      <c r="BD213" s="79"/>
      <c r="BE213" s="79"/>
      <c r="BF213" s="79"/>
      <c r="BG213" s="79"/>
      <c r="BH213" s="80" t="str">
        <f t="shared" si="110"/>
        <v>Distrital</v>
      </c>
      <c r="BI213" s="79" t="s">
        <v>172</v>
      </c>
      <c r="BJ213" s="79"/>
      <c r="BK213" s="79"/>
      <c r="BL213" s="79"/>
      <c r="BM213" s="79"/>
      <c r="BN213" s="79"/>
      <c r="BO213" s="79"/>
      <c r="BP213" s="79"/>
      <c r="BQ213" s="79"/>
      <c r="BR213" s="79"/>
      <c r="BS213" s="80" t="s">
        <v>288</v>
      </c>
      <c r="BT213" s="80" t="s">
        <v>1676</v>
      </c>
      <c r="BU213" s="80" t="s">
        <v>978</v>
      </c>
      <c r="BV213" s="71"/>
      <c r="BW213" s="79" t="s">
        <v>153</v>
      </c>
      <c r="BX213" s="79" t="s">
        <v>607</v>
      </c>
      <c r="BY213" s="71"/>
      <c r="BZ213" s="79">
        <v>66</v>
      </c>
      <c r="CA213" s="79">
        <v>15</v>
      </c>
      <c r="CB213" s="79">
        <f t="shared" si="25"/>
        <v>81</v>
      </c>
      <c r="CC213" s="79" t="str">
        <f t="shared" si="102"/>
        <v>Ninguna</v>
      </c>
      <c r="CD213" s="79" t="s">
        <v>174</v>
      </c>
      <c r="CE213" s="79"/>
      <c r="CF213" s="79"/>
      <c r="CG213" s="83" t="s">
        <v>1677</v>
      </c>
      <c r="CH213" s="41"/>
      <c r="CI213" s="79" t="s">
        <v>153</v>
      </c>
      <c r="CJ213" s="71"/>
      <c r="CK213" s="79">
        <f t="shared" si="38"/>
        <v>0</v>
      </c>
      <c r="CL213" s="79"/>
      <c r="CM213" s="79"/>
      <c r="CN213" s="79"/>
      <c r="CO213" s="79"/>
      <c r="CP213" s="79"/>
      <c r="CQ213" s="79"/>
      <c r="CR213" s="83" t="s">
        <v>179</v>
      </c>
      <c r="CS213" s="83" t="s">
        <v>179</v>
      </c>
      <c r="CT213" s="83" t="s">
        <v>179</v>
      </c>
      <c r="CU213" s="83" t="s">
        <v>179</v>
      </c>
      <c r="CV213" s="83" t="s">
        <v>179</v>
      </c>
      <c r="CW213" s="83" t="s">
        <v>179</v>
      </c>
      <c r="CX213" s="79" t="s">
        <v>153</v>
      </c>
      <c r="CY213" s="79">
        <f t="shared" si="120"/>
        <v>0</v>
      </c>
      <c r="CZ213" s="79">
        <v>0</v>
      </c>
      <c r="DA213" s="79">
        <f t="shared" si="121"/>
        <v>0</v>
      </c>
      <c r="DB213" s="84" t="str">
        <f t="shared" si="122"/>
        <v/>
      </c>
      <c r="DC213" s="41"/>
      <c r="DD213" s="79" t="s">
        <v>153</v>
      </c>
      <c r="DE213" s="71"/>
      <c r="DF213" s="127" t="s">
        <v>1678</v>
      </c>
      <c r="DG213" s="79">
        <v>205</v>
      </c>
      <c r="DH213" s="86" t="str">
        <f t="shared" si="85"/>
        <v>Completo</v>
      </c>
      <c r="DI213" s="79" t="s">
        <v>181</v>
      </c>
      <c r="DJ213" s="79" t="s">
        <v>182</v>
      </c>
      <c r="DK213" s="79"/>
      <c r="DL213" s="79"/>
      <c r="DM213" s="79"/>
      <c r="DN213" s="79" t="s">
        <v>182</v>
      </c>
      <c r="DO213" s="79"/>
      <c r="DP213" s="79"/>
      <c r="DQ213" s="79"/>
      <c r="DR213" s="75" t="str">
        <f t="shared" si="111"/>
        <v>No aplica</v>
      </c>
      <c r="DS213" s="79"/>
      <c r="DT213" s="79"/>
      <c r="DU213" s="75" t="str">
        <f t="shared" si="112"/>
        <v>No aplica</v>
      </c>
      <c r="DV213" s="79" t="s">
        <v>182</v>
      </c>
      <c r="DW213" s="79" t="s">
        <v>182</v>
      </c>
      <c r="DX213" s="79"/>
      <c r="DY213" s="79"/>
      <c r="DZ213" s="79" t="s">
        <v>1679</v>
      </c>
      <c r="EA213" s="79"/>
      <c r="EB213" s="79" t="s">
        <v>182</v>
      </c>
      <c r="EC213" s="79" t="s">
        <v>1680</v>
      </c>
      <c r="ED213" s="79" t="s">
        <v>184</v>
      </c>
      <c r="EE213" s="79" t="str">
        <f t="shared" si="123"/>
        <v>Completo</v>
      </c>
      <c r="EF213" s="41"/>
      <c r="EG213" s="79" t="s">
        <v>153</v>
      </c>
      <c r="EH213" s="71"/>
      <c r="EI213" s="80"/>
      <c r="EJ213" s="71"/>
      <c r="EK213" s="79" t="s">
        <v>179</v>
      </c>
      <c r="EL213" s="76" t="str">
        <f t="shared" si="113"/>
        <v>No requiere</v>
      </c>
      <c r="EM213" s="76" t="str">
        <f t="shared" si="114"/>
        <v>No requiere</v>
      </c>
      <c r="EN213" s="76" t="str">
        <f t="shared" si="103"/>
        <v>No requiere</v>
      </c>
      <c r="EO213" s="71"/>
      <c r="EP213" s="73" t="str">
        <f t="shared" si="115"/>
        <v>No requiere</v>
      </c>
      <c r="EQ213" s="77" t="str">
        <f t="shared" si="116"/>
        <v>No requiere</v>
      </c>
      <c r="ER213" s="71"/>
      <c r="ES213" s="79" t="s">
        <v>179</v>
      </c>
      <c r="ET213" s="73" t="str">
        <f t="shared" si="117"/>
        <v>No requiere</v>
      </c>
      <c r="EU213" s="73" t="str">
        <f t="shared" si="104"/>
        <v>No requiere</v>
      </c>
      <c r="EV213" s="73" t="str">
        <f t="shared" si="118"/>
        <v>No requiere</v>
      </c>
      <c r="EW213" s="73" t="str">
        <f t="shared" si="119"/>
        <v>No requiere</v>
      </c>
      <c r="EX213" s="78"/>
      <c r="EY213" s="78"/>
    </row>
    <row r="214" spans="1:155" ht="46.5" customHeight="1">
      <c r="A214" s="79">
        <v>210</v>
      </c>
      <c r="B214" s="80" t="s">
        <v>718</v>
      </c>
      <c r="C214" s="81">
        <v>45385</v>
      </c>
      <c r="D214" s="82">
        <v>0.625</v>
      </c>
      <c r="E214" s="79" t="s">
        <v>200</v>
      </c>
      <c r="F214" s="79" t="s">
        <v>153</v>
      </c>
      <c r="G214" s="79" t="s">
        <v>152</v>
      </c>
      <c r="H214" s="79" t="s">
        <v>152</v>
      </c>
      <c r="I214" s="79" t="s">
        <v>152</v>
      </c>
      <c r="J214" s="79" t="s">
        <v>504</v>
      </c>
      <c r="K214" s="79" t="s">
        <v>155</v>
      </c>
      <c r="L214" s="80" t="s">
        <v>1681</v>
      </c>
      <c r="M214" s="80" t="s">
        <v>157</v>
      </c>
      <c r="N214" s="79" t="s">
        <v>720</v>
      </c>
      <c r="O214" s="80" t="str">
        <f t="shared" si="107"/>
        <v/>
      </c>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t="s">
        <v>169</v>
      </c>
      <c r="AP214" s="79" t="s">
        <v>507</v>
      </c>
      <c r="AQ214" s="80" t="s">
        <v>1682</v>
      </c>
      <c r="AR214" s="83">
        <v>3192043484</v>
      </c>
      <c r="AS214" s="80" t="s">
        <v>1683</v>
      </c>
      <c r="AT214" s="80" t="str">
        <f t="shared" si="108"/>
        <v>Rafael Uribe Uribe</v>
      </c>
      <c r="AU214" s="79" t="s">
        <v>635</v>
      </c>
      <c r="AV214" s="79"/>
      <c r="AW214" s="79"/>
      <c r="AX214" s="79"/>
      <c r="AY214" s="79"/>
      <c r="AZ214" s="79"/>
      <c r="BA214" s="80" t="str">
        <f t="shared" si="109"/>
        <v>Suroriente</v>
      </c>
      <c r="BB214" s="79" t="s">
        <v>218</v>
      </c>
      <c r="BC214" s="79"/>
      <c r="BD214" s="79"/>
      <c r="BE214" s="79"/>
      <c r="BF214" s="79"/>
      <c r="BG214" s="79"/>
      <c r="BH214" s="80" t="str">
        <f t="shared" si="110"/>
        <v>Rafael Uribe, Restrepo, San Cristobal</v>
      </c>
      <c r="BI214" s="79" t="s">
        <v>723</v>
      </c>
      <c r="BJ214" s="79" t="s">
        <v>637</v>
      </c>
      <c r="BK214" s="79" t="s">
        <v>571</v>
      </c>
      <c r="BL214" s="79"/>
      <c r="BM214" s="79"/>
      <c r="BN214" s="79"/>
      <c r="BO214" s="79"/>
      <c r="BP214" s="79"/>
      <c r="BQ214" s="79"/>
      <c r="BR214" s="79"/>
      <c r="BS214" s="80" t="s">
        <v>288</v>
      </c>
      <c r="BT214" s="80" t="s">
        <v>174</v>
      </c>
      <c r="BU214" s="80" t="s">
        <v>1684</v>
      </c>
      <c r="BV214" s="71"/>
      <c r="BW214" s="79" t="s">
        <v>152</v>
      </c>
      <c r="BX214" s="79" t="s">
        <v>179</v>
      </c>
      <c r="BY214" s="71"/>
      <c r="BZ214" s="79">
        <v>13</v>
      </c>
      <c r="CA214" s="79">
        <v>1</v>
      </c>
      <c r="CB214" s="79">
        <f t="shared" si="25"/>
        <v>14</v>
      </c>
      <c r="CC214" s="79" t="str">
        <f t="shared" si="102"/>
        <v>No Aplica</v>
      </c>
      <c r="CD214" s="79" t="s">
        <v>177</v>
      </c>
      <c r="CE214" s="79"/>
      <c r="CF214" s="79"/>
      <c r="CG214" s="83" t="s">
        <v>1685</v>
      </c>
      <c r="CH214" s="41"/>
      <c r="CI214" s="79" t="s">
        <v>153</v>
      </c>
      <c r="CJ214" s="71"/>
      <c r="CK214" s="79">
        <f t="shared" si="38"/>
        <v>0</v>
      </c>
      <c r="CL214" s="79"/>
      <c r="CM214" s="79"/>
      <c r="CN214" s="79"/>
      <c r="CO214" s="79"/>
      <c r="CP214" s="79"/>
      <c r="CQ214" s="79"/>
      <c r="CR214" s="83" t="s">
        <v>179</v>
      </c>
      <c r="CS214" s="83" t="s">
        <v>179</v>
      </c>
      <c r="CT214" s="83" t="s">
        <v>179</v>
      </c>
      <c r="CU214" s="83" t="s">
        <v>179</v>
      </c>
      <c r="CV214" s="83" t="s">
        <v>179</v>
      </c>
      <c r="CW214" s="83" t="s">
        <v>179</v>
      </c>
      <c r="CX214" s="79" t="s">
        <v>153</v>
      </c>
      <c r="CY214" s="79">
        <f t="shared" si="120"/>
        <v>0</v>
      </c>
      <c r="CZ214" s="79">
        <v>0</v>
      </c>
      <c r="DA214" s="79">
        <f t="shared" si="121"/>
        <v>0</v>
      </c>
      <c r="DB214" s="84" t="str">
        <f t="shared" si="122"/>
        <v/>
      </c>
      <c r="DC214" s="41"/>
      <c r="DD214" s="79" t="s">
        <v>153</v>
      </c>
      <c r="DE214" s="71"/>
      <c r="DF214" s="127" t="s">
        <v>1686</v>
      </c>
      <c r="DG214" s="79">
        <v>206</v>
      </c>
      <c r="DH214" s="86">
        <f t="shared" ref="DH214:DH279" si="124">IF(EE214="Por completar",C214+3,"Completo")</f>
        <v>45388</v>
      </c>
      <c r="DI214" s="79" t="s">
        <v>181</v>
      </c>
      <c r="DJ214" s="79" t="s">
        <v>182</v>
      </c>
      <c r="DK214" s="79"/>
      <c r="DL214" s="79">
        <v>0</v>
      </c>
      <c r="DM214" s="79">
        <v>0</v>
      </c>
      <c r="DN214" s="79" t="s">
        <v>182</v>
      </c>
      <c r="DO214" s="79"/>
      <c r="DP214" s="79"/>
      <c r="DQ214" s="79"/>
      <c r="DR214" s="75" t="str">
        <f t="shared" si="111"/>
        <v>No aplica</v>
      </c>
      <c r="DS214" s="79"/>
      <c r="DT214" s="79"/>
      <c r="DU214" s="75" t="str">
        <f t="shared" si="112"/>
        <v>No aplica</v>
      </c>
      <c r="DV214" s="79" t="s">
        <v>182</v>
      </c>
      <c r="DW214" s="79" t="s">
        <v>182</v>
      </c>
      <c r="DX214" s="79"/>
      <c r="DY214" s="79"/>
      <c r="DZ214" s="79"/>
      <c r="EA214" s="79"/>
      <c r="EB214" s="79" t="s">
        <v>182</v>
      </c>
      <c r="EC214" s="79" t="s">
        <v>1687</v>
      </c>
      <c r="ED214" s="79" t="s">
        <v>184</v>
      </c>
      <c r="EE214" s="79" t="s">
        <v>621</v>
      </c>
      <c r="EF214" s="41"/>
      <c r="EG214" s="79" t="s">
        <v>153</v>
      </c>
      <c r="EH214" s="71"/>
      <c r="EI214" s="80"/>
      <c r="EJ214" s="71"/>
      <c r="EK214" s="79" t="s">
        <v>179</v>
      </c>
      <c r="EL214" s="76" t="str">
        <f t="shared" si="113"/>
        <v>No requiere</v>
      </c>
      <c r="EM214" s="76" t="str">
        <f t="shared" si="114"/>
        <v>No requiere</v>
      </c>
      <c r="EN214" s="76" t="str">
        <f t="shared" si="103"/>
        <v>No requiere</v>
      </c>
      <c r="EO214" s="71"/>
      <c r="EP214" s="73" t="str">
        <f t="shared" si="115"/>
        <v>No requiere</v>
      </c>
      <c r="EQ214" s="77" t="str">
        <f t="shared" si="116"/>
        <v>No requiere</v>
      </c>
      <c r="ER214" s="71"/>
      <c r="ES214" s="79" t="s">
        <v>179</v>
      </c>
      <c r="ET214" s="73" t="str">
        <f t="shared" si="117"/>
        <v>No requiere</v>
      </c>
      <c r="EU214" s="73" t="str">
        <f t="shared" si="104"/>
        <v>No requiere</v>
      </c>
      <c r="EV214" s="73" t="str">
        <f t="shared" si="118"/>
        <v>No requiere</v>
      </c>
      <c r="EW214" s="73" t="str">
        <f t="shared" si="119"/>
        <v>No requiere</v>
      </c>
      <c r="EX214" s="78"/>
      <c r="EY214" s="78"/>
    </row>
    <row r="215" spans="1:155" ht="46.5" customHeight="1">
      <c r="A215" s="79">
        <v>211</v>
      </c>
      <c r="B215" s="80" t="s">
        <v>1688</v>
      </c>
      <c r="C215" s="81">
        <v>45385</v>
      </c>
      <c r="D215" s="82">
        <v>0.64583333333333337</v>
      </c>
      <c r="E215" s="79" t="s">
        <v>151</v>
      </c>
      <c r="F215" s="79" t="s">
        <v>153</v>
      </c>
      <c r="G215" s="79" t="s">
        <v>152</v>
      </c>
      <c r="H215" s="79" t="s">
        <v>152</v>
      </c>
      <c r="I215" s="79" t="s">
        <v>152</v>
      </c>
      <c r="J215" s="79" t="s">
        <v>154</v>
      </c>
      <c r="K215" s="79" t="s">
        <v>202</v>
      </c>
      <c r="L215" s="80" t="s">
        <v>1689</v>
      </c>
      <c r="M215" s="80" t="s">
        <v>303</v>
      </c>
      <c r="N215" s="79" t="s">
        <v>887</v>
      </c>
      <c r="O215" s="80" t="str">
        <f t="shared" si="107"/>
        <v>Juan Carlos Prieto, Yeiker Guerra Sarmiento, Luz Maritza Acero, Michael Cruz Roa</v>
      </c>
      <c r="P215" s="79" t="s">
        <v>474</v>
      </c>
      <c r="Q215" s="79" t="s">
        <v>163</v>
      </c>
      <c r="R215" s="79" t="s">
        <v>167</v>
      </c>
      <c r="S215" s="79" t="s">
        <v>265</v>
      </c>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t="s">
        <v>230</v>
      </c>
      <c r="AP215" s="79" t="s">
        <v>347</v>
      </c>
      <c r="AQ215" s="80" t="s">
        <v>1690</v>
      </c>
      <c r="AR215" s="83" t="s">
        <v>171</v>
      </c>
      <c r="AS215" s="80" t="s">
        <v>171</v>
      </c>
      <c r="AT215" s="80" t="str">
        <f t="shared" si="108"/>
        <v>Distrital</v>
      </c>
      <c r="AU215" s="79" t="s">
        <v>172</v>
      </c>
      <c r="AV215" s="79"/>
      <c r="AW215" s="79"/>
      <c r="AX215" s="79"/>
      <c r="AY215" s="79"/>
      <c r="AZ215" s="79"/>
      <c r="BA215" s="80" t="str">
        <f t="shared" si="109"/>
        <v>Distrital</v>
      </c>
      <c r="BB215" s="79" t="s">
        <v>172</v>
      </c>
      <c r="BC215" s="79"/>
      <c r="BD215" s="79"/>
      <c r="BE215" s="79"/>
      <c r="BF215" s="79"/>
      <c r="BG215" s="79"/>
      <c r="BH215" s="80" t="str">
        <f t="shared" si="110"/>
        <v>Distrital</v>
      </c>
      <c r="BI215" s="79" t="s">
        <v>172</v>
      </c>
      <c r="BJ215" s="79"/>
      <c r="BK215" s="79"/>
      <c r="BL215" s="79"/>
      <c r="BM215" s="79"/>
      <c r="BN215" s="79"/>
      <c r="BO215" s="79"/>
      <c r="BP215" s="79"/>
      <c r="BQ215" s="79"/>
      <c r="BR215" s="79"/>
      <c r="BS215" s="80" t="s">
        <v>288</v>
      </c>
      <c r="BT215" s="80" t="s">
        <v>1691</v>
      </c>
      <c r="BU215" s="89" t="s">
        <v>1692</v>
      </c>
      <c r="BV215" s="71"/>
      <c r="BW215" s="79" t="s">
        <v>153</v>
      </c>
      <c r="BX215" s="79" t="s">
        <v>176</v>
      </c>
      <c r="BY215" s="71"/>
      <c r="BZ215" s="79">
        <v>72</v>
      </c>
      <c r="CA215" s="79">
        <v>2</v>
      </c>
      <c r="CB215" s="79">
        <f t="shared" si="25"/>
        <v>74</v>
      </c>
      <c r="CC215" s="79" t="str">
        <f t="shared" si="102"/>
        <v>No Aplica</v>
      </c>
      <c r="CD215" s="79" t="s">
        <v>177</v>
      </c>
      <c r="CE215" s="79"/>
      <c r="CF215" s="79"/>
      <c r="CG215" s="83" t="s">
        <v>1693</v>
      </c>
      <c r="CH215" s="41"/>
      <c r="CI215" s="79" t="s">
        <v>153</v>
      </c>
      <c r="CJ215" s="71"/>
      <c r="CK215" s="79">
        <f t="shared" si="38"/>
        <v>0</v>
      </c>
      <c r="CL215" s="79"/>
      <c r="CM215" s="79"/>
      <c r="CN215" s="79"/>
      <c r="CO215" s="79"/>
      <c r="CP215" s="79"/>
      <c r="CQ215" s="79"/>
      <c r="CR215" s="83" t="s">
        <v>179</v>
      </c>
      <c r="CS215" s="83" t="s">
        <v>179</v>
      </c>
      <c r="CT215" s="83" t="s">
        <v>179</v>
      </c>
      <c r="CU215" s="83" t="s">
        <v>179</v>
      </c>
      <c r="CV215" s="83" t="s">
        <v>179</v>
      </c>
      <c r="CW215" s="83" t="s">
        <v>179</v>
      </c>
      <c r="CX215" s="79" t="s">
        <v>153</v>
      </c>
      <c r="CY215" s="79">
        <f t="shared" si="120"/>
        <v>0</v>
      </c>
      <c r="CZ215" s="79">
        <v>0</v>
      </c>
      <c r="DA215" s="79">
        <f t="shared" si="121"/>
        <v>0</v>
      </c>
      <c r="DB215" s="84" t="str">
        <f t="shared" si="122"/>
        <v/>
      </c>
      <c r="DC215" s="41"/>
      <c r="DD215" s="79" t="s">
        <v>153</v>
      </c>
      <c r="DE215" s="71"/>
      <c r="DF215" s="127" t="s">
        <v>1694</v>
      </c>
      <c r="DG215" s="79">
        <v>207</v>
      </c>
      <c r="DH215" s="86" t="str">
        <f t="shared" si="124"/>
        <v>Completo</v>
      </c>
      <c r="DI215" s="79" t="s">
        <v>181</v>
      </c>
      <c r="DJ215" s="79" t="s">
        <v>182</v>
      </c>
      <c r="DK215" s="79"/>
      <c r="DL215" s="79">
        <v>0</v>
      </c>
      <c r="DM215" s="79">
        <v>0</v>
      </c>
      <c r="DN215" s="79"/>
      <c r="DO215" s="79"/>
      <c r="DP215" s="79"/>
      <c r="DQ215" s="79"/>
      <c r="DR215" s="75" t="str">
        <f t="shared" si="111"/>
        <v>No aplica</v>
      </c>
      <c r="DS215" s="79"/>
      <c r="DT215" s="79"/>
      <c r="DU215" s="75" t="str">
        <f t="shared" si="112"/>
        <v>No aplica</v>
      </c>
      <c r="DV215" s="79" t="s">
        <v>191</v>
      </c>
      <c r="DW215" s="79" t="s">
        <v>182</v>
      </c>
      <c r="DX215" s="79"/>
      <c r="DY215" s="79"/>
      <c r="DZ215" s="79"/>
      <c r="EA215" s="79"/>
      <c r="EB215" s="79" t="s">
        <v>182</v>
      </c>
      <c r="EC215" s="79" t="s">
        <v>1695</v>
      </c>
      <c r="ED215" s="79" t="s">
        <v>184</v>
      </c>
      <c r="EE215" s="79" t="str">
        <f t="shared" ref="EE215:EE220" si="125">IF(DI215="Subsanado","Completo","Por Completar")</f>
        <v>Completo</v>
      </c>
      <c r="EF215" s="41"/>
      <c r="EG215" s="79" t="s">
        <v>153</v>
      </c>
      <c r="EH215" s="71"/>
      <c r="EI215" s="80"/>
      <c r="EJ215" s="71"/>
      <c r="EK215" s="79" t="s">
        <v>179</v>
      </c>
      <c r="EL215" s="76" t="str">
        <f t="shared" si="113"/>
        <v>No requiere</v>
      </c>
      <c r="EM215" s="76" t="str">
        <f t="shared" si="114"/>
        <v>No requiere</v>
      </c>
      <c r="EN215" s="76" t="str">
        <f t="shared" si="103"/>
        <v>No requiere</v>
      </c>
      <c r="EO215" s="71"/>
      <c r="EP215" s="73" t="str">
        <f t="shared" si="115"/>
        <v>No requiere</v>
      </c>
      <c r="EQ215" s="77" t="str">
        <f t="shared" si="116"/>
        <v>No requiere</v>
      </c>
      <c r="ER215" s="71"/>
      <c r="ES215" s="79" t="s">
        <v>179</v>
      </c>
      <c r="ET215" s="73" t="str">
        <f t="shared" si="117"/>
        <v>No requiere</v>
      </c>
      <c r="EU215" s="73" t="str">
        <f t="shared" si="104"/>
        <v>No requiere</v>
      </c>
      <c r="EV215" s="73" t="str">
        <f t="shared" si="118"/>
        <v>No requiere</v>
      </c>
      <c r="EW215" s="73" t="str">
        <f t="shared" si="119"/>
        <v>No requiere</v>
      </c>
      <c r="EX215" s="78"/>
      <c r="EY215" s="78"/>
    </row>
    <row r="216" spans="1:155" ht="46.5" customHeight="1">
      <c r="A216" s="79">
        <v>212</v>
      </c>
      <c r="B216" s="80" t="s">
        <v>1279</v>
      </c>
      <c r="C216" s="81">
        <v>45385</v>
      </c>
      <c r="D216" s="82">
        <v>0.66666666666666663</v>
      </c>
      <c r="E216" s="79" t="s">
        <v>853</v>
      </c>
      <c r="F216" s="79" t="s">
        <v>153</v>
      </c>
      <c r="G216" s="79" t="s">
        <v>152</v>
      </c>
      <c r="H216" s="79" t="s">
        <v>152</v>
      </c>
      <c r="I216" s="79" t="s">
        <v>152</v>
      </c>
      <c r="J216" s="79" t="s">
        <v>154</v>
      </c>
      <c r="K216" s="79" t="s">
        <v>155</v>
      </c>
      <c r="L216" s="80" t="s">
        <v>1696</v>
      </c>
      <c r="M216" s="80" t="s">
        <v>157</v>
      </c>
      <c r="N216" s="79" t="s">
        <v>1066</v>
      </c>
      <c r="O216" s="80" t="str">
        <f t="shared" si="107"/>
        <v/>
      </c>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t="s">
        <v>304</v>
      </c>
      <c r="AP216" s="79"/>
      <c r="AQ216" s="80" t="s">
        <v>1281</v>
      </c>
      <c r="AR216" s="83" t="s">
        <v>1282</v>
      </c>
      <c r="AS216" s="80" t="s">
        <v>1283</v>
      </c>
      <c r="AT216" s="80" t="str">
        <f t="shared" si="108"/>
        <v>Kennedy</v>
      </c>
      <c r="AU216" s="79" t="s">
        <v>731</v>
      </c>
      <c r="AV216" s="79"/>
      <c r="AW216" s="79"/>
      <c r="AX216" s="79"/>
      <c r="AY216" s="79"/>
      <c r="AZ216" s="79"/>
      <c r="BA216" s="80" t="str">
        <f t="shared" si="109"/>
        <v>Suroccidente</v>
      </c>
      <c r="BB216" s="79" t="s">
        <v>732</v>
      </c>
      <c r="BC216" s="79"/>
      <c r="BD216" s="79"/>
      <c r="BE216" s="79"/>
      <c r="BF216" s="79"/>
      <c r="BG216" s="79"/>
      <c r="BH216" s="80" t="str">
        <f t="shared" si="110"/>
        <v>Kennedy, Tintal, Bosa, Patio Bonito, Porvenir, Edén</v>
      </c>
      <c r="BI216" s="79" t="s">
        <v>731</v>
      </c>
      <c r="BJ216" s="79" t="s">
        <v>1697</v>
      </c>
      <c r="BK216" s="79" t="s">
        <v>730</v>
      </c>
      <c r="BL216" s="79" t="s">
        <v>967</v>
      </c>
      <c r="BM216" s="79" t="s">
        <v>1058</v>
      </c>
      <c r="BN216" s="79" t="s">
        <v>1057</v>
      </c>
      <c r="BO216" s="79"/>
      <c r="BP216" s="79"/>
      <c r="BQ216" s="79"/>
      <c r="BR216" s="79"/>
      <c r="BS216" s="80" t="s">
        <v>1698</v>
      </c>
      <c r="BT216" s="80" t="s">
        <v>174</v>
      </c>
      <c r="BU216" s="80" t="s">
        <v>1699</v>
      </c>
      <c r="BV216" s="71"/>
      <c r="BW216" s="79" t="s">
        <v>153</v>
      </c>
      <c r="BX216" s="79" t="s">
        <v>607</v>
      </c>
      <c r="BY216" s="71"/>
      <c r="BZ216" s="79">
        <v>34</v>
      </c>
      <c r="CA216" s="79">
        <v>7</v>
      </c>
      <c r="CB216" s="79">
        <f t="shared" ref="CB216" si="126">BZ216+CA216</f>
        <v>41</v>
      </c>
      <c r="CC216" s="79" t="str">
        <f t="shared" ref="CC216" si="127">_xlfn.TEXTJOIN(", ",TRUE,$CD216:$CF216)</f>
        <v>Ninguna</v>
      </c>
      <c r="CD216" s="79" t="s">
        <v>174</v>
      </c>
      <c r="CE216" s="79"/>
      <c r="CF216" s="79"/>
      <c r="CG216" s="83" t="s">
        <v>1700</v>
      </c>
      <c r="CH216" s="41"/>
      <c r="CI216" s="79"/>
      <c r="CJ216" s="71"/>
      <c r="CK216" s="79">
        <f t="shared" si="38"/>
        <v>0</v>
      </c>
      <c r="CL216" s="79"/>
      <c r="CM216" s="79"/>
      <c r="CN216" s="79"/>
      <c r="CO216" s="79"/>
      <c r="CP216" s="79"/>
      <c r="CQ216" s="79"/>
      <c r="CR216" s="83" t="s">
        <v>179</v>
      </c>
      <c r="CS216" s="83" t="s">
        <v>179</v>
      </c>
      <c r="CT216" s="83" t="s">
        <v>179</v>
      </c>
      <c r="CU216" s="83" t="s">
        <v>179</v>
      </c>
      <c r="CV216" s="83" t="s">
        <v>179</v>
      </c>
      <c r="CW216" s="83" t="s">
        <v>179</v>
      </c>
      <c r="CX216" s="79" t="s">
        <v>153</v>
      </c>
      <c r="CY216" s="79">
        <f t="shared" si="120"/>
        <v>0</v>
      </c>
      <c r="CZ216" s="79">
        <v>0</v>
      </c>
      <c r="DA216" s="79">
        <f t="shared" si="121"/>
        <v>0</v>
      </c>
      <c r="DB216" s="84" t="str">
        <f t="shared" si="122"/>
        <v/>
      </c>
      <c r="DC216" s="41"/>
      <c r="DD216" s="79" t="s">
        <v>153</v>
      </c>
      <c r="DE216" s="71"/>
      <c r="DF216" s="127" t="s">
        <v>1701</v>
      </c>
      <c r="DG216" s="79" t="s">
        <v>1702</v>
      </c>
      <c r="DH216" s="86" t="str">
        <f t="shared" si="124"/>
        <v>Completo</v>
      </c>
      <c r="DI216" s="79" t="s">
        <v>181</v>
      </c>
      <c r="DJ216" s="79" t="s">
        <v>182</v>
      </c>
      <c r="DK216" s="79"/>
      <c r="DL216" s="79">
        <v>0</v>
      </c>
      <c r="DM216" s="79">
        <v>0</v>
      </c>
      <c r="DN216" s="79"/>
      <c r="DO216" s="79"/>
      <c r="DP216" s="79"/>
      <c r="DQ216" s="79"/>
      <c r="DR216" s="75" t="str">
        <f t="shared" si="111"/>
        <v>No aplica</v>
      </c>
      <c r="DS216" s="79"/>
      <c r="DT216" s="79"/>
      <c r="DU216" s="75" t="str">
        <f t="shared" si="112"/>
        <v>No aplica</v>
      </c>
      <c r="DV216" s="79" t="s">
        <v>182</v>
      </c>
      <c r="DW216" s="79" t="s">
        <v>182</v>
      </c>
      <c r="DX216" s="79"/>
      <c r="DY216" s="79"/>
      <c r="DZ216" s="79"/>
      <c r="EA216" s="79"/>
      <c r="EB216" s="79"/>
      <c r="EC216" s="79"/>
      <c r="ED216" s="79" t="s">
        <v>1703</v>
      </c>
      <c r="EE216" s="79" t="str">
        <f t="shared" si="125"/>
        <v>Completo</v>
      </c>
      <c r="EF216" s="41"/>
      <c r="EG216" s="79" t="s">
        <v>153</v>
      </c>
      <c r="EH216" s="71"/>
      <c r="EI216" s="80"/>
      <c r="EJ216" s="71"/>
      <c r="EK216" s="79"/>
      <c r="EL216" s="87" t="str">
        <f t="shared" si="113"/>
        <v>No requiere</v>
      </c>
      <c r="EM216" s="87" t="str">
        <f t="shared" si="114"/>
        <v>No requiere</v>
      </c>
      <c r="EN216" s="87" t="str">
        <f t="shared" ref="EN216" si="128">IF(F216="NO","No requiere",IF(H216="No","No requiere",IF(CC216="","",IF(CD216&lt;&gt;"No aplica",IF(CD216&lt;&gt;"Ninguna",IF(COUNTIF(CD216:CF216,"*")&gt;=1,"Sí","No"),"No"),"No aplica"))))</f>
        <v>No requiere</v>
      </c>
      <c r="EO216" s="71"/>
      <c r="EP216" s="84" t="str">
        <f t="shared" si="115"/>
        <v>No requiere</v>
      </c>
      <c r="EQ216" s="88" t="str">
        <f t="shared" si="116"/>
        <v>No requiere</v>
      </c>
      <c r="ER216" s="71"/>
      <c r="ES216" s="79"/>
      <c r="ET216" s="84" t="str">
        <f t="shared" si="117"/>
        <v>No requiere</v>
      </c>
      <c r="EU216" s="84" t="str">
        <f t="shared" ref="EU216" si="129">IF(F216="NO","No requiere",IF(H216="No","No requiere",IF(B216="","",IF(CX216="SÍ",IF(CK216&gt;=1,CY216/CK216,"Sin compromisos"),"Por verificar"))))</f>
        <v>No requiere</v>
      </c>
      <c r="EV216" s="84" t="str">
        <f t="shared" si="118"/>
        <v>No requiere</v>
      </c>
      <c r="EW216" s="84" t="str">
        <f t="shared" si="119"/>
        <v>No requiere</v>
      </c>
      <c r="EX216" s="78"/>
      <c r="EY216" s="78"/>
    </row>
    <row r="217" spans="1:155" ht="46.5" customHeight="1">
      <c r="A217" s="79">
        <v>213</v>
      </c>
      <c r="B217" s="80" t="s">
        <v>1704</v>
      </c>
      <c r="C217" s="81">
        <v>45385</v>
      </c>
      <c r="D217" s="82">
        <v>0.70833333333333337</v>
      </c>
      <c r="E217" s="79" t="s">
        <v>151</v>
      </c>
      <c r="F217" s="79" t="s">
        <v>153</v>
      </c>
      <c r="G217" s="79" t="s">
        <v>153</v>
      </c>
      <c r="H217" s="79" t="s">
        <v>153</v>
      </c>
      <c r="I217" s="79" t="s">
        <v>152</v>
      </c>
      <c r="J217" s="79" t="s">
        <v>154</v>
      </c>
      <c r="K217" s="79" t="s">
        <v>155</v>
      </c>
      <c r="L217" s="80" t="s">
        <v>600</v>
      </c>
      <c r="M217" s="80" t="s">
        <v>303</v>
      </c>
      <c r="N217" s="79" t="s">
        <v>749</v>
      </c>
      <c r="O217" s="80" t="str">
        <f t="shared" si="107"/>
        <v xml:space="preserve">César Augusto Barrantes, Ana María Gualy, Yohan David Díaz, Andres Castro Latorre, Armando Alberto Montañez, Paula Andrea González, Joan Sebastian García, Germán Ramón Jacome, Nathalia Guzmán Martínez, Disney Sánchez, Norberto Muñoz Morera, Carlos Eduardo Escandón, Nixon Sandoval Mateus, Nancy Stella Villa </v>
      </c>
      <c r="P217" s="79" t="s">
        <v>729</v>
      </c>
      <c r="Q217" s="79" t="s">
        <v>821</v>
      </c>
      <c r="R217" s="79" t="s">
        <v>164</v>
      </c>
      <c r="S217" s="79" t="s">
        <v>749</v>
      </c>
      <c r="T217" s="79" t="s">
        <v>1387</v>
      </c>
      <c r="U217" s="79" t="s">
        <v>158</v>
      </c>
      <c r="V217" s="79" t="s">
        <v>728</v>
      </c>
      <c r="W217" s="79" t="s">
        <v>525</v>
      </c>
      <c r="X217" s="79" t="s">
        <v>166</v>
      </c>
      <c r="Y217" s="79" t="s">
        <v>721</v>
      </c>
      <c r="Z217" s="79" t="s">
        <v>161</v>
      </c>
      <c r="AA217" s="79" t="s">
        <v>819</v>
      </c>
      <c r="AB217" s="79" t="s">
        <v>644</v>
      </c>
      <c r="AC217" s="79" t="s">
        <v>1611</v>
      </c>
      <c r="AD217" s="79"/>
      <c r="AE217" s="79"/>
      <c r="AF217" s="79"/>
      <c r="AG217" s="79"/>
      <c r="AH217" s="79"/>
      <c r="AI217" s="79"/>
      <c r="AJ217" s="79"/>
      <c r="AK217" s="79"/>
      <c r="AL217" s="79"/>
      <c r="AM217" s="79"/>
      <c r="AN217" s="79"/>
      <c r="AO217" s="79" t="s">
        <v>304</v>
      </c>
      <c r="AP217" s="79"/>
      <c r="AQ217" s="80" t="s">
        <v>171</v>
      </c>
      <c r="AR217" s="80" t="s">
        <v>171</v>
      </c>
      <c r="AS217" s="80" t="s">
        <v>171</v>
      </c>
      <c r="AT217" s="80" t="str">
        <f t="shared" si="108"/>
        <v>Puente Aranda</v>
      </c>
      <c r="AU217" s="79" t="s">
        <v>1235</v>
      </c>
      <c r="AV217" s="79"/>
      <c r="AW217" s="79"/>
      <c r="AX217" s="79"/>
      <c r="AY217" s="79"/>
      <c r="AZ217" s="79"/>
      <c r="BA217" s="80" t="str">
        <f t="shared" si="109"/>
        <v>Centro Ampliado</v>
      </c>
      <c r="BB217" s="79" t="s">
        <v>636</v>
      </c>
      <c r="BC217" s="79"/>
      <c r="BD217" s="79"/>
      <c r="BE217" s="79"/>
      <c r="BF217" s="79"/>
      <c r="BG217" s="79"/>
      <c r="BH217" s="80" t="str">
        <f t="shared" si="110"/>
        <v>Puente Aranda</v>
      </c>
      <c r="BI217" s="79" t="s">
        <v>1235</v>
      </c>
      <c r="BJ217" s="79"/>
      <c r="BK217" s="79"/>
      <c r="BL217" s="79"/>
      <c r="BM217" s="79"/>
      <c r="BN217" s="79"/>
      <c r="BO217" s="79"/>
      <c r="BP217" s="79"/>
      <c r="BQ217" s="79"/>
      <c r="BR217" s="79"/>
      <c r="BS217" s="80" t="s">
        <v>288</v>
      </c>
      <c r="BT217" s="80" t="s">
        <v>605</v>
      </c>
      <c r="BU217" s="80" t="s">
        <v>1705</v>
      </c>
      <c r="BV217" s="71"/>
      <c r="BW217" s="79" t="s">
        <v>153</v>
      </c>
      <c r="BX217" s="79" t="s">
        <v>607</v>
      </c>
      <c r="BY217" s="71"/>
      <c r="BZ217" s="79">
        <v>50</v>
      </c>
      <c r="CA217" s="79">
        <v>14</v>
      </c>
      <c r="CB217" s="79">
        <f t="shared" si="25"/>
        <v>64</v>
      </c>
      <c r="CC217" s="79" t="str">
        <f t="shared" ref="CC217:CC235" si="130">_xlfn.TEXTJOIN(", ",TRUE,$CD217:$CF217)</f>
        <v>Ninguna</v>
      </c>
      <c r="CD217" s="79" t="s">
        <v>174</v>
      </c>
      <c r="CE217" s="79"/>
      <c r="CF217" s="79"/>
      <c r="CG217" s="83" t="s">
        <v>1706</v>
      </c>
      <c r="CH217" s="41"/>
      <c r="CI217" s="79" t="s">
        <v>153</v>
      </c>
      <c r="CJ217" s="71"/>
      <c r="CK217" s="79">
        <f t="shared" si="38"/>
        <v>1</v>
      </c>
      <c r="CL217" s="79" t="s">
        <v>1214</v>
      </c>
      <c r="CM217" s="79"/>
      <c r="CN217" s="79"/>
      <c r="CO217" s="79"/>
      <c r="CP217" s="79"/>
      <c r="CQ217" s="79"/>
      <c r="CR217" s="83" t="s">
        <v>390</v>
      </c>
      <c r="CS217" s="83"/>
      <c r="CT217" s="83"/>
      <c r="CU217" s="83"/>
      <c r="CV217" s="83"/>
      <c r="CW217" s="83"/>
      <c r="CX217" s="79" t="s">
        <v>153</v>
      </c>
      <c r="CY217" s="79">
        <f t="shared" si="120"/>
        <v>1</v>
      </c>
      <c r="CZ217" s="79">
        <v>1</v>
      </c>
      <c r="DA217" s="79">
        <f t="shared" si="121"/>
        <v>1</v>
      </c>
      <c r="DB217" s="84">
        <f t="shared" si="122"/>
        <v>1</v>
      </c>
      <c r="DC217" s="41"/>
      <c r="DD217" s="79" t="s">
        <v>153</v>
      </c>
      <c r="DE217" s="71"/>
      <c r="DF217" s="85" t="s">
        <v>1707</v>
      </c>
      <c r="DG217" s="79">
        <v>208</v>
      </c>
      <c r="DH217" s="86" t="str">
        <f t="shared" si="124"/>
        <v>Completo</v>
      </c>
      <c r="DI217" s="79" t="s">
        <v>181</v>
      </c>
      <c r="DJ217" s="79" t="s">
        <v>182</v>
      </c>
      <c r="DK217" s="79" t="s">
        <v>153</v>
      </c>
      <c r="DL217" s="79">
        <v>0</v>
      </c>
      <c r="DM217" s="79">
        <v>0</v>
      </c>
      <c r="DN217" s="79" t="s">
        <v>182</v>
      </c>
      <c r="DO217" s="79">
        <v>400</v>
      </c>
      <c r="DP217" s="79" t="s">
        <v>182</v>
      </c>
      <c r="DQ217" s="79">
        <v>23</v>
      </c>
      <c r="DR217" s="75">
        <f t="shared" si="111"/>
        <v>1.5333333333333334</v>
      </c>
      <c r="DS217" s="79" t="s">
        <v>182</v>
      </c>
      <c r="DT217" s="79">
        <v>63</v>
      </c>
      <c r="DU217" s="75">
        <f t="shared" si="112"/>
        <v>3.6</v>
      </c>
      <c r="DV217" s="79" t="s">
        <v>182</v>
      </c>
      <c r="DW217" s="79" t="s">
        <v>182</v>
      </c>
      <c r="DX217" s="79">
        <v>4</v>
      </c>
      <c r="DY217" s="79">
        <v>1</v>
      </c>
      <c r="DZ217" s="79" t="s">
        <v>1708</v>
      </c>
      <c r="EA217" s="79">
        <v>2948</v>
      </c>
      <c r="EB217" s="79" t="s">
        <v>182</v>
      </c>
      <c r="EC217" s="79" t="s">
        <v>1708</v>
      </c>
      <c r="ED217" s="79" t="s">
        <v>184</v>
      </c>
      <c r="EE217" s="79" t="str">
        <f t="shared" si="125"/>
        <v>Completo</v>
      </c>
      <c r="EF217" s="41"/>
      <c r="EG217" s="79" t="s">
        <v>153</v>
      </c>
      <c r="EH217" s="71"/>
      <c r="EI217" s="89" t="s">
        <v>1709</v>
      </c>
      <c r="EJ217" s="71"/>
      <c r="EK217" s="79" t="s">
        <v>409</v>
      </c>
      <c r="EL217" s="76" t="str">
        <f t="shared" si="113"/>
        <v>Sí</v>
      </c>
      <c r="EM217" s="76" t="str">
        <f t="shared" si="114"/>
        <v>Sí</v>
      </c>
      <c r="EN217" s="76" t="str">
        <f t="shared" ref="EN217:EN235" si="131">IF(F217="NO","No requiere",IF(H217="No","No requiere",IF(CC217="","",IF(CD217&lt;&gt;"No aplica",IF(CD217&lt;&gt;"Ninguna",IF(COUNTIF(CD217:CF217,"*")&gt;=1,"Sí","No"),"No"),"No aplica"))))</f>
        <v>No</v>
      </c>
      <c r="EO217" s="71"/>
      <c r="EP217" s="73" t="str">
        <f t="shared" si="115"/>
        <v>No aplica</v>
      </c>
      <c r="EQ217" s="77">
        <f t="shared" si="116"/>
        <v>3.6</v>
      </c>
      <c r="ER217" s="71"/>
      <c r="ES217" s="79" t="s">
        <v>409</v>
      </c>
      <c r="ET217" s="73">
        <f t="shared" si="117"/>
        <v>1</v>
      </c>
      <c r="EU217" s="73">
        <f t="shared" ref="EU217:EU235" si="132">IF(F217="NO","No requiere",IF(H217="No","No requiere",IF(B217="","",IF(CX217="SÍ",IF(CK217&gt;=1,CY217/CK217,"Sin compromisos"),"Por verificar"))))</f>
        <v>1</v>
      </c>
      <c r="EV217" s="73">
        <f t="shared" si="118"/>
        <v>1</v>
      </c>
      <c r="EW217" s="73">
        <f t="shared" si="119"/>
        <v>0.13568521031207598</v>
      </c>
      <c r="EX217" s="78"/>
      <c r="EY217" s="78"/>
    </row>
    <row r="218" spans="1:155" ht="46.5" customHeight="1">
      <c r="A218" s="79">
        <v>214</v>
      </c>
      <c r="B218" s="80" t="s">
        <v>1710</v>
      </c>
      <c r="C218" s="81">
        <v>45386</v>
      </c>
      <c r="D218" s="82">
        <v>0.35416666666666669</v>
      </c>
      <c r="E218" s="79" t="s">
        <v>151</v>
      </c>
      <c r="F218" s="79" t="s">
        <v>153</v>
      </c>
      <c r="G218" s="79" t="s">
        <v>153</v>
      </c>
      <c r="H218" s="79" t="s">
        <v>152</v>
      </c>
      <c r="I218" s="79" t="s">
        <v>152</v>
      </c>
      <c r="J218" s="79" t="s">
        <v>1711</v>
      </c>
      <c r="K218" s="79" t="s">
        <v>155</v>
      </c>
      <c r="L218" s="80" t="s">
        <v>1712</v>
      </c>
      <c r="M218" s="80" t="s">
        <v>303</v>
      </c>
      <c r="N218" s="79" t="s">
        <v>887</v>
      </c>
      <c r="O218" s="80" t="str">
        <f t="shared" si="107"/>
        <v>Yeiker Guerra Sarmiento</v>
      </c>
      <c r="P218" s="79" t="s">
        <v>163</v>
      </c>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t="s">
        <v>230</v>
      </c>
      <c r="AP218" s="79"/>
      <c r="AQ218" s="80" t="s">
        <v>1713</v>
      </c>
      <c r="AR218" s="80">
        <v>3148396805</v>
      </c>
      <c r="AS218" s="80" t="s">
        <v>1714</v>
      </c>
      <c r="AT218" s="80" t="str">
        <f t="shared" si="108"/>
        <v>Distrital</v>
      </c>
      <c r="AU218" s="79" t="s">
        <v>172</v>
      </c>
      <c r="AV218" s="79"/>
      <c r="AW218" s="79"/>
      <c r="AX218" s="79"/>
      <c r="AY218" s="79"/>
      <c r="AZ218" s="79"/>
      <c r="BA218" s="80" t="str">
        <f t="shared" si="109"/>
        <v>Distrital</v>
      </c>
      <c r="BB218" s="79" t="s">
        <v>172</v>
      </c>
      <c r="BC218" s="79"/>
      <c r="BD218" s="79"/>
      <c r="BE218" s="79"/>
      <c r="BF218" s="79"/>
      <c r="BG218" s="79"/>
      <c r="BH218" s="80" t="str">
        <f t="shared" si="110"/>
        <v>Distrital</v>
      </c>
      <c r="BI218" s="79" t="s">
        <v>172</v>
      </c>
      <c r="BJ218" s="79"/>
      <c r="BK218" s="79"/>
      <c r="BL218" s="79"/>
      <c r="BM218" s="79"/>
      <c r="BN218" s="79"/>
      <c r="BO218" s="79"/>
      <c r="BP218" s="79"/>
      <c r="BQ218" s="79"/>
      <c r="BR218" s="79"/>
      <c r="BS218" s="80" t="s">
        <v>288</v>
      </c>
      <c r="BT218" s="80" t="s">
        <v>174</v>
      </c>
      <c r="BU218" s="80" t="s">
        <v>1715</v>
      </c>
      <c r="BV218" s="71"/>
      <c r="BW218" s="79" t="s">
        <v>152</v>
      </c>
      <c r="BX218" s="79" t="s">
        <v>179</v>
      </c>
      <c r="BY218" s="71"/>
      <c r="BZ218" s="79">
        <v>25</v>
      </c>
      <c r="CA218" s="79">
        <v>4</v>
      </c>
      <c r="CB218" s="79">
        <f t="shared" si="25"/>
        <v>29</v>
      </c>
      <c r="CC218" s="79" t="str">
        <f t="shared" si="130"/>
        <v>No Aplica</v>
      </c>
      <c r="CD218" s="79" t="s">
        <v>177</v>
      </c>
      <c r="CE218" s="79"/>
      <c r="CF218" s="79"/>
      <c r="CG218" s="83" t="s">
        <v>1716</v>
      </c>
      <c r="CH218" s="41"/>
      <c r="CI218" s="79" t="s">
        <v>153</v>
      </c>
      <c r="CJ218" s="71"/>
      <c r="CK218" s="79">
        <f t="shared" si="38"/>
        <v>0</v>
      </c>
      <c r="CL218" s="79"/>
      <c r="CM218" s="79"/>
      <c r="CN218" s="79"/>
      <c r="CO218" s="79"/>
      <c r="CP218" s="79"/>
      <c r="CQ218" s="79"/>
      <c r="CR218" s="83"/>
      <c r="CS218" s="83"/>
      <c r="CT218" s="83"/>
      <c r="CU218" s="83"/>
      <c r="CV218" s="83"/>
      <c r="CW218" s="83"/>
      <c r="CX218" s="79"/>
      <c r="CY218" s="79">
        <f t="shared" si="120"/>
        <v>0</v>
      </c>
      <c r="CZ218" s="79">
        <v>0</v>
      </c>
      <c r="DA218" s="79">
        <f t="shared" si="121"/>
        <v>0</v>
      </c>
      <c r="DB218" s="84" t="str">
        <f t="shared" si="122"/>
        <v/>
      </c>
      <c r="DC218" s="41"/>
      <c r="DD218" s="79"/>
      <c r="DE218" s="71"/>
      <c r="DF218" s="85" t="s">
        <v>1717</v>
      </c>
      <c r="DG218" s="79">
        <v>209</v>
      </c>
      <c r="DH218" s="86" t="str">
        <f t="shared" si="124"/>
        <v>Completo</v>
      </c>
      <c r="DI218" s="79" t="s">
        <v>181</v>
      </c>
      <c r="DJ218" s="79" t="s">
        <v>182</v>
      </c>
      <c r="DK218" s="79"/>
      <c r="DL218" s="79">
        <v>0</v>
      </c>
      <c r="DM218" s="79">
        <v>0</v>
      </c>
      <c r="DN218" s="79" t="s">
        <v>182</v>
      </c>
      <c r="DO218" s="79"/>
      <c r="DP218" s="79"/>
      <c r="DQ218" s="79"/>
      <c r="DR218" s="75" t="str">
        <f t="shared" si="111"/>
        <v>No aplica</v>
      </c>
      <c r="DS218" s="79"/>
      <c r="DT218" s="79"/>
      <c r="DU218" s="75" t="str">
        <f t="shared" si="112"/>
        <v>No aplica</v>
      </c>
      <c r="DV218" s="79" t="s">
        <v>182</v>
      </c>
      <c r="DW218" s="79" t="s">
        <v>182</v>
      </c>
      <c r="DX218" s="79"/>
      <c r="DY218" s="79"/>
      <c r="DZ218" s="79"/>
      <c r="EA218" s="79"/>
      <c r="EB218" s="79" t="s">
        <v>182</v>
      </c>
      <c r="EC218" s="79" t="s">
        <v>1718</v>
      </c>
      <c r="ED218" s="79" t="s">
        <v>184</v>
      </c>
      <c r="EE218" s="79" t="str">
        <f t="shared" si="125"/>
        <v>Completo</v>
      </c>
      <c r="EF218" s="41"/>
      <c r="EG218" s="79" t="s">
        <v>153</v>
      </c>
      <c r="EH218" s="71"/>
      <c r="EI218" s="80"/>
      <c r="EJ218" s="71"/>
      <c r="EK218" s="79" t="s">
        <v>179</v>
      </c>
      <c r="EL218" s="76" t="str">
        <f t="shared" si="113"/>
        <v>No requiere</v>
      </c>
      <c r="EM218" s="76" t="str">
        <f t="shared" si="114"/>
        <v>No requiere</v>
      </c>
      <c r="EN218" s="76" t="str">
        <f t="shared" si="131"/>
        <v>No requiere</v>
      </c>
      <c r="EO218" s="71"/>
      <c r="EP218" s="73" t="str">
        <f t="shared" si="115"/>
        <v>No requiere</v>
      </c>
      <c r="EQ218" s="77" t="str">
        <f t="shared" si="116"/>
        <v>No requiere</v>
      </c>
      <c r="ER218" s="71"/>
      <c r="ES218" s="79" t="s">
        <v>179</v>
      </c>
      <c r="ET218" s="73" t="str">
        <f t="shared" si="117"/>
        <v>No requiere</v>
      </c>
      <c r="EU218" s="73" t="str">
        <f t="shared" si="132"/>
        <v>No requiere</v>
      </c>
      <c r="EV218" s="73" t="str">
        <f t="shared" si="118"/>
        <v>No requiere</v>
      </c>
      <c r="EW218" s="73" t="str">
        <f t="shared" si="119"/>
        <v>No requiere</v>
      </c>
      <c r="EX218" s="78"/>
      <c r="EY218" s="78"/>
    </row>
    <row r="219" spans="1:155" ht="46.5" customHeight="1">
      <c r="A219" s="79">
        <v>215</v>
      </c>
      <c r="B219" s="80" t="s">
        <v>1719</v>
      </c>
      <c r="C219" s="81">
        <v>45386</v>
      </c>
      <c r="D219" s="82">
        <v>0.58333333333333337</v>
      </c>
      <c r="E219" s="79" t="s">
        <v>151</v>
      </c>
      <c r="F219" s="79" t="s">
        <v>153</v>
      </c>
      <c r="G219" s="79" t="s">
        <v>153</v>
      </c>
      <c r="H219" s="79" t="s">
        <v>152</v>
      </c>
      <c r="I219" s="79" t="s">
        <v>152</v>
      </c>
      <c r="J219" s="79" t="s">
        <v>154</v>
      </c>
      <c r="K219" s="79" t="s">
        <v>155</v>
      </c>
      <c r="L219" s="80" t="s">
        <v>1225</v>
      </c>
      <c r="M219" s="80" t="s">
        <v>303</v>
      </c>
      <c r="N219" s="79" t="s">
        <v>167</v>
      </c>
      <c r="O219" s="80" t="str">
        <f t="shared" si="107"/>
        <v/>
      </c>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t="s">
        <v>1226</v>
      </c>
      <c r="AP219" s="79"/>
      <c r="AQ219" s="80" t="s">
        <v>171</v>
      </c>
      <c r="AR219" s="80" t="s">
        <v>171</v>
      </c>
      <c r="AS219" s="80" t="s">
        <v>171</v>
      </c>
      <c r="AT219" s="80" t="str">
        <f t="shared" si="108"/>
        <v>Distrital</v>
      </c>
      <c r="AU219" s="79" t="s">
        <v>172</v>
      </c>
      <c r="AV219" s="79"/>
      <c r="AW219" s="79"/>
      <c r="AX219" s="79"/>
      <c r="AY219" s="79"/>
      <c r="AZ219" s="79"/>
      <c r="BA219" s="80" t="str">
        <f t="shared" si="109"/>
        <v>Distrital</v>
      </c>
      <c r="BB219" s="79" t="s">
        <v>172</v>
      </c>
      <c r="BC219" s="79"/>
      <c r="BD219" s="79"/>
      <c r="BE219" s="79"/>
      <c r="BF219" s="79"/>
      <c r="BG219" s="79"/>
      <c r="BH219" s="80" t="str">
        <f t="shared" si="110"/>
        <v>Distrital</v>
      </c>
      <c r="BI219" s="79" t="s">
        <v>172</v>
      </c>
      <c r="BJ219" s="79"/>
      <c r="BK219" s="79"/>
      <c r="BL219" s="79"/>
      <c r="BM219" s="79"/>
      <c r="BN219" s="79"/>
      <c r="BO219" s="79"/>
      <c r="BP219" s="79"/>
      <c r="BQ219" s="79"/>
      <c r="BR219" s="79"/>
      <c r="BS219" s="80" t="s">
        <v>288</v>
      </c>
      <c r="BT219" s="80" t="s">
        <v>174</v>
      </c>
      <c r="BU219" s="80" t="s">
        <v>1720</v>
      </c>
      <c r="BV219" s="71"/>
      <c r="BW219" s="79" t="s">
        <v>153</v>
      </c>
      <c r="BX219" s="79" t="s">
        <v>607</v>
      </c>
      <c r="BY219" s="71"/>
      <c r="BZ219" s="79">
        <v>30</v>
      </c>
      <c r="CA219" s="79">
        <v>1</v>
      </c>
      <c r="CB219" s="79">
        <f t="shared" si="25"/>
        <v>31</v>
      </c>
      <c r="CC219" s="79" t="str">
        <f t="shared" si="130"/>
        <v>Contenidos adaptados</v>
      </c>
      <c r="CD219" s="79" t="s">
        <v>350</v>
      </c>
      <c r="CE219" s="79"/>
      <c r="CF219" s="79"/>
      <c r="CG219" s="83" t="s">
        <v>1721</v>
      </c>
      <c r="CH219" s="41"/>
      <c r="CI219" s="79" t="s">
        <v>153</v>
      </c>
      <c r="CJ219" s="71"/>
      <c r="CK219" s="79">
        <f t="shared" si="38"/>
        <v>0</v>
      </c>
      <c r="CL219" s="79"/>
      <c r="CM219" s="79"/>
      <c r="CN219" s="79"/>
      <c r="CO219" s="79"/>
      <c r="CP219" s="79"/>
      <c r="CQ219" s="79"/>
      <c r="CR219" s="83" t="s">
        <v>179</v>
      </c>
      <c r="CS219" s="83" t="s">
        <v>179</v>
      </c>
      <c r="CT219" s="83" t="s">
        <v>179</v>
      </c>
      <c r="CU219" s="83" t="s">
        <v>179</v>
      </c>
      <c r="CV219" s="83" t="s">
        <v>179</v>
      </c>
      <c r="CW219" s="83" t="s">
        <v>179</v>
      </c>
      <c r="CX219" s="79" t="s">
        <v>153</v>
      </c>
      <c r="CY219" s="79">
        <f t="shared" si="120"/>
        <v>0</v>
      </c>
      <c r="CZ219" s="79">
        <v>0</v>
      </c>
      <c r="DA219" s="79">
        <f t="shared" si="121"/>
        <v>0</v>
      </c>
      <c r="DB219" s="84" t="str">
        <f t="shared" si="122"/>
        <v/>
      </c>
      <c r="DC219" s="41"/>
      <c r="DD219" s="79" t="s">
        <v>153</v>
      </c>
      <c r="DE219" s="71"/>
      <c r="DF219" s="85" t="s">
        <v>1722</v>
      </c>
      <c r="DG219" s="79">
        <v>210</v>
      </c>
      <c r="DH219" s="86" t="str">
        <f t="shared" si="124"/>
        <v>Completo</v>
      </c>
      <c r="DI219" s="79" t="s">
        <v>181</v>
      </c>
      <c r="DJ219" s="79" t="s">
        <v>182</v>
      </c>
      <c r="DK219" s="79"/>
      <c r="DL219" s="79">
        <v>0</v>
      </c>
      <c r="DM219" s="79">
        <v>0</v>
      </c>
      <c r="DN219" s="79"/>
      <c r="DO219" s="79"/>
      <c r="DP219" s="79"/>
      <c r="DQ219" s="79"/>
      <c r="DR219" s="75" t="str">
        <f t="shared" si="111"/>
        <v>No aplica</v>
      </c>
      <c r="DS219" s="79"/>
      <c r="DT219" s="79"/>
      <c r="DU219" s="75" t="str">
        <f t="shared" si="112"/>
        <v>No aplica</v>
      </c>
      <c r="DV219" s="79"/>
      <c r="DW219" s="79"/>
      <c r="DX219" s="79"/>
      <c r="DY219" s="79"/>
      <c r="DZ219" s="79"/>
      <c r="EA219" s="79" t="s">
        <v>179</v>
      </c>
      <c r="EB219" s="79"/>
      <c r="EC219" s="79"/>
      <c r="ED219" s="79" t="s">
        <v>1723</v>
      </c>
      <c r="EE219" s="79" t="str">
        <f t="shared" si="125"/>
        <v>Completo</v>
      </c>
      <c r="EF219" s="41"/>
      <c r="EG219" s="79" t="s">
        <v>152</v>
      </c>
      <c r="EH219" s="71"/>
      <c r="EI219" s="80"/>
      <c r="EJ219" s="71"/>
      <c r="EK219" s="79" t="s">
        <v>179</v>
      </c>
      <c r="EL219" s="76" t="str">
        <f t="shared" si="113"/>
        <v>No requiere</v>
      </c>
      <c r="EM219" s="76" t="str">
        <f t="shared" si="114"/>
        <v>No requiere</v>
      </c>
      <c r="EN219" s="76" t="str">
        <f t="shared" si="131"/>
        <v>No requiere</v>
      </c>
      <c r="EO219" s="71"/>
      <c r="EP219" s="73" t="str">
        <f t="shared" si="115"/>
        <v>No requiere</v>
      </c>
      <c r="EQ219" s="77" t="str">
        <f t="shared" si="116"/>
        <v>No requiere</v>
      </c>
      <c r="ER219" s="71"/>
      <c r="ES219" s="79" t="s">
        <v>179</v>
      </c>
      <c r="ET219" s="73" t="str">
        <f t="shared" si="117"/>
        <v>No requiere</v>
      </c>
      <c r="EU219" s="73" t="str">
        <f t="shared" si="132"/>
        <v>No requiere</v>
      </c>
      <c r="EV219" s="73" t="str">
        <f t="shared" si="118"/>
        <v>No requiere</v>
      </c>
      <c r="EW219" s="73" t="str">
        <f t="shared" si="119"/>
        <v>No requiere</v>
      </c>
      <c r="EX219" s="78"/>
      <c r="EY219" s="78"/>
    </row>
    <row r="220" spans="1:155" ht="46.5" customHeight="1">
      <c r="A220" s="79">
        <v>216</v>
      </c>
      <c r="B220" s="80" t="s">
        <v>1724</v>
      </c>
      <c r="C220" s="81">
        <v>45386</v>
      </c>
      <c r="D220" s="82">
        <v>0.375</v>
      </c>
      <c r="E220" s="79" t="s">
        <v>853</v>
      </c>
      <c r="F220" s="79" t="s">
        <v>153</v>
      </c>
      <c r="G220" s="79" t="s">
        <v>152</v>
      </c>
      <c r="H220" s="79" t="s">
        <v>152</v>
      </c>
      <c r="I220" s="79" t="s">
        <v>153</v>
      </c>
      <c r="J220" s="79" t="s">
        <v>1249</v>
      </c>
      <c r="K220" s="79" t="s">
        <v>202</v>
      </c>
      <c r="L220" s="80" t="s">
        <v>1725</v>
      </c>
      <c r="M220" s="80" t="s">
        <v>229</v>
      </c>
      <c r="N220" s="79" t="s">
        <v>749</v>
      </c>
      <c r="O220" s="80" t="str">
        <f t="shared" si="107"/>
        <v/>
      </c>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t="s">
        <v>304</v>
      </c>
      <c r="AP220" s="79"/>
      <c r="AQ220" s="80" t="s">
        <v>1726</v>
      </c>
      <c r="AR220" s="80" t="s">
        <v>1727</v>
      </c>
      <c r="AS220" s="80" t="s">
        <v>1728</v>
      </c>
      <c r="AT220" s="80" t="str">
        <f t="shared" si="108"/>
        <v>Distrital</v>
      </c>
      <c r="AU220" s="79" t="s">
        <v>172</v>
      </c>
      <c r="AV220" s="79"/>
      <c r="AW220" s="79"/>
      <c r="AX220" s="79"/>
      <c r="AY220" s="79"/>
      <c r="AZ220" s="79"/>
      <c r="BA220" s="80" t="str">
        <f t="shared" si="109"/>
        <v>Distrital</v>
      </c>
      <c r="BB220" s="79" t="s">
        <v>172</v>
      </c>
      <c r="BC220" s="79"/>
      <c r="BD220" s="79"/>
      <c r="BE220" s="79"/>
      <c r="BF220" s="79"/>
      <c r="BG220" s="79"/>
      <c r="BH220" s="80" t="str">
        <f t="shared" si="110"/>
        <v>Distrital</v>
      </c>
      <c r="BI220" s="79" t="s">
        <v>172</v>
      </c>
      <c r="BJ220" s="79"/>
      <c r="BK220" s="79"/>
      <c r="BL220" s="79"/>
      <c r="BM220" s="79"/>
      <c r="BN220" s="79"/>
      <c r="BO220" s="79"/>
      <c r="BP220" s="79"/>
      <c r="BQ220" s="79"/>
      <c r="BR220" s="79"/>
      <c r="BS220" s="80" t="s">
        <v>288</v>
      </c>
      <c r="BT220" s="80" t="s">
        <v>174</v>
      </c>
      <c r="BU220" s="89" t="s">
        <v>1729</v>
      </c>
      <c r="BV220" s="71"/>
      <c r="BW220" s="79" t="s">
        <v>152</v>
      </c>
      <c r="BX220" s="79" t="s">
        <v>179</v>
      </c>
      <c r="BY220" s="71"/>
      <c r="BZ220" s="79">
        <v>140</v>
      </c>
      <c r="CA220" s="79">
        <v>2</v>
      </c>
      <c r="CB220" s="79">
        <f t="shared" si="25"/>
        <v>142</v>
      </c>
      <c r="CC220" s="79" t="str">
        <f t="shared" si="130"/>
        <v>No Aplica</v>
      </c>
      <c r="CD220" s="79" t="s">
        <v>177</v>
      </c>
      <c r="CE220" s="79"/>
      <c r="CF220" s="79"/>
      <c r="CG220" s="83" t="s">
        <v>1730</v>
      </c>
      <c r="CH220" s="41"/>
      <c r="CI220" s="79" t="s">
        <v>153</v>
      </c>
      <c r="CJ220" s="71"/>
      <c r="CK220" s="79">
        <f t="shared" si="38"/>
        <v>0</v>
      </c>
      <c r="CL220" s="79"/>
      <c r="CM220" s="79"/>
      <c r="CN220" s="79"/>
      <c r="CO220" s="79"/>
      <c r="CP220" s="79"/>
      <c r="CQ220" s="79"/>
      <c r="CR220" s="83" t="s">
        <v>179</v>
      </c>
      <c r="CS220" s="83" t="s">
        <v>179</v>
      </c>
      <c r="CT220" s="83" t="s">
        <v>179</v>
      </c>
      <c r="CU220" s="83" t="s">
        <v>179</v>
      </c>
      <c r="CV220" s="83" t="s">
        <v>179</v>
      </c>
      <c r="CW220" s="83" t="s">
        <v>179</v>
      </c>
      <c r="CX220" s="79" t="s">
        <v>153</v>
      </c>
      <c r="CY220" s="79">
        <f t="shared" si="120"/>
        <v>0</v>
      </c>
      <c r="CZ220" s="79">
        <v>0</v>
      </c>
      <c r="DA220" s="79">
        <f t="shared" si="121"/>
        <v>0</v>
      </c>
      <c r="DB220" s="84" t="str">
        <f t="shared" si="122"/>
        <v/>
      </c>
      <c r="DC220" s="41"/>
      <c r="DD220" s="79" t="s">
        <v>153</v>
      </c>
      <c r="DE220" s="71"/>
      <c r="DF220" s="85" t="s">
        <v>1731</v>
      </c>
      <c r="DG220" s="79">
        <v>211</v>
      </c>
      <c r="DH220" s="86" t="str">
        <f t="shared" si="124"/>
        <v>Completo</v>
      </c>
      <c r="DI220" s="79" t="s">
        <v>181</v>
      </c>
      <c r="DJ220" s="79" t="s">
        <v>182</v>
      </c>
      <c r="DK220" s="79"/>
      <c r="DL220" s="79"/>
      <c r="DM220" s="79"/>
      <c r="DN220" s="79" t="s">
        <v>182</v>
      </c>
      <c r="DO220" s="79"/>
      <c r="DP220" s="79"/>
      <c r="DQ220" s="79"/>
      <c r="DR220" s="75" t="str">
        <f t="shared" si="111"/>
        <v>No aplica</v>
      </c>
      <c r="DS220" s="79"/>
      <c r="DT220" s="79"/>
      <c r="DU220" s="75" t="str">
        <f t="shared" si="112"/>
        <v>No aplica</v>
      </c>
      <c r="DV220" s="79" t="s">
        <v>182</v>
      </c>
      <c r="DW220" s="79" t="s">
        <v>182</v>
      </c>
      <c r="DX220" s="79"/>
      <c r="DY220" s="79"/>
      <c r="DZ220" s="79"/>
      <c r="EA220" s="79"/>
      <c r="EB220" s="79"/>
      <c r="EC220" s="79"/>
      <c r="ED220" s="79" t="s">
        <v>184</v>
      </c>
      <c r="EE220" s="79" t="str">
        <f t="shared" si="125"/>
        <v>Completo</v>
      </c>
      <c r="EF220" s="41"/>
      <c r="EG220" s="79" t="s">
        <v>153</v>
      </c>
      <c r="EH220" s="71"/>
      <c r="EI220" s="80"/>
      <c r="EJ220" s="71"/>
      <c r="EK220" s="79" t="s">
        <v>179</v>
      </c>
      <c r="EL220" s="76" t="str">
        <f t="shared" si="113"/>
        <v>No requiere</v>
      </c>
      <c r="EM220" s="76" t="str">
        <f t="shared" si="114"/>
        <v>No requiere</v>
      </c>
      <c r="EN220" s="76" t="str">
        <f t="shared" si="131"/>
        <v>No requiere</v>
      </c>
      <c r="EO220" s="71"/>
      <c r="EP220" s="73" t="str">
        <f t="shared" si="115"/>
        <v>No requiere</v>
      </c>
      <c r="EQ220" s="77" t="str">
        <f t="shared" si="116"/>
        <v>No requiere</v>
      </c>
      <c r="ER220" s="71"/>
      <c r="ES220" s="79" t="s">
        <v>179</v>
      </c>
      <c r="ET220" s="73" t="str">
        <f t="shared" si="117"/>
        <v>No requiere</v>
      </c>
      <c r="EU220" s="73" t="str">
        <f t="shared" si="132"/>
        <v>No requiere</v>
      </c>
      <c r="EV220" s="73" t="str">
        <f t="shared" si="118"/>
        <v>No requiere</v>
      </c>
      <c r="EW220" s="73" t="str">
        <f t="shared" si="119"/>
        <v>No requiere</v>
      </c>
      <c r="EX220" s="78"/>
      <c r="EY220" s="78"/>
    </row>
    <row r="221" spans="1:155" ht="46.5" customHeight="1">
      <c r="A221" s="79">
        <v>217</v>
      </c>
      <c r="B221" s="80" t="s">
        <v>799</v>
      </c>
      <c r="C221" s="81">
        <v>45386</v>
      </c>
      <c r="D221" s="82">
        <v>0.375</v>
      </c>
      <c r="E221" s="79" t="s">
        <v>200</v>
      </c>
      <c r="F221" s="79" t="s">
        <v>153</v>
      </c>
      <c r="G221" s="79" t="s">
        <v>152</v>
      </c>
      <c r="H221" s="79" t="s">
        <v>152</v>
      </c>
      <c r="I221" s="79" t="s">
        <v>152</v>
      </c>
      <c r="J221" s="79" t="s">
        <v>504</v>
      </c>
      <c r="K221" s="79" t="s">
        <v>155</v>
      </c>
      <c r="L221" s="80" t="s">
        <v>800</v>
      </c>
      <c r="M221" s="80" t="s">
        <v>157</v>
      </c>
      <c r="N221" s="79" t="s">
        <v>801</v>
      </c>
      <c r="O221" s="80" t="str">
        <f t="shared" si="107"/>
        <v/>
      </c>
      <c r="P221" s="79"/>
      <c r="Q221" s="79"/>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t="s">
        <v>169</v>
      </c>
      <c r="AP221" s="79" t="s">
        <v>507</v>
      </c>
      <c r="AQ221" s="80" t="s">
        <v>1732</v>
      </c>
      <c r="AR221" s="83">
        <v>3004241263</v>
      </c>
      <c r="AS221" s="80" t="s">
        <v>803</v>
      </c>
      <c r="AT221" s="80" t="str">
        <f t="shared" si="108"/>
        <v>Usaquén</v>
      </c>
      <c r="AU221" s="79" t="s">
        <v>661</v>
      </c>
      <c r="AV221" s="79"/>
      <c r="AW221" s="79"/>
      <c r="AX221" s="79"/>
      <c r="AY221" s="79"/>
      <c r="AZ221" s="79"/>
      <c r="BA221" s="80" t="str">
        <f t="shared" si="109"/>
        <v>Norte</v>
      </c>
      <c r="BB221" s="79" t="s">
        <v>662</v>
      </c>
      <c r="BC221" s="79"/>
      <c r="BD221" s="79"/>
      <c r="BE221" s="79"/>
      <c r="BF221" s="79"/>
      <c r="BG221" s="79"/>
      <c r="BH221" s="80" t="str">
        <f t="shared" si="110"/>
        <v>Usaquén, Toberín, Torca, Cerros Orientales</v>
      </c>
      <c r="BI221" s="79" t="s">
        <v>661</v>
      </c>
      <c r="BJ221" s="79" t="s">
        <v>804</v>
      </c>
      <c r="BK221" s="79" t="s">
        <v>805</v>
      </c>
      <c r="BL221" s="79" t="s">
        <v>361</v>
      </c>
      <c r="BM221" s="79"/>
      <c r="BN221" s="79"/>
      <c r="BO221" s="79"/>
      <c r="BP221" s="79"/>
      <c r="BQ221" s="79"/>
      <c r="BR221" s="79"/>
      <c r="BS221" s="80" t="s">
        <v>661</v>
      </c>
      <c r="BT221" s="80" t="s">
        <v>174</v>
      </c>
      <c r="BU221" s="80" t="s">
        <v>1733</v>
      </c>
      <c r="BV221" s="71"/>
      <c r="BW221" s="79" t="s">
        <v>152</v>
      </c>
      <c r="BX221" s="79" t="s">
        <v>179</v>
      </c>
      <c r="BY221" s="71"/>
      <c r="BZ221" s="79">
        <v>14</v>
      </c>
      <c r="CA221" s="79">
        <v>1</v>
      </c>
      <c r="CB221" s="79">
        <f t="shared" si="25"/>
        <v>15</v>
      </c>
      <c r="CC221" s="79" t="str">
        <f t="shared" si="130"/>
        <v>No Aplica</v>
      </c>
      <c r="CD221" s="79" t="s">
        <v>177</v>
      </c>
      <c r="CE221" s="79"/>
      <c r="CF221" s="79"/>
      <c r="CG221" s="83" t="s">
        <v>1734</v>
      </c>
      <c r="CH221" s="41"/>
      <c r="CI221" s="79" t="s">
        <v>153</v>
      </c>
      <c r="CJ221" s="71"/>
      <c r="CK221" s="79">
        <f t="shared" si="38"/>
        <v>0</v>
      </c>
      <c r="CL221" s="79"/>
      <c r="CM221" s="79"/>
      <c r="CN221" s="79"/>
      <c r="CO221" s="79"/>
      <c r="CP221" s="79"/>
      <c r="CQ221" s="79"/>
      <c r="CR221" s="83" t="s">
        <v>179</v>
      </c>
      <c r="CS221" s="83" t="s">
        <v>179</v>
      </c>
      <c r="CT221" s="83" t="s">
        <v>179</v>
      </c>
      <c r="CU221" s="83" t="s">
        <v>179</v>
      </c>
      <c r="CV221" s="83" t="s">
        <v>179</v>
      </c>
      <c r="CW221" s="83" t="s">
        <v>179</v>
      </c>
      <c r="CX221" s="79" t="s">
        <v>153</v>
      </c>
      <c r="CY221" s="79">
        <f t="shared" si="120"/>
        <v>0</v>
      </c>
      <c r="CZ221" s="79">
        <v>0</v>
      </c>
      <c r="DA221" s="79">
        <f t="shared" si="121"/>
        <v>0</v>
      </c>
      <c r="DB221" s="84" t="str">
        <f t="shared" si="122"/>
        <v/>
      </c>
      <c r="DC221" s="41"/>
      <c r="DD221" s="79" t="s">
        <v>153</v>
      </c>
      <c r="DE221" s="71"/>
      <c r="DF221" s="85" t="s">
        <v>1735</v>
      </c>
      <c r="DG221" s="79">
        <v>212</v>
      </c>
      <c r="DH221" s="86">
        <f t="shared" si="124"/>
        <v>45389</v>
      </c>
      <c r="DI221" s="79" t="s">
        <v>181</v>
      </c>
      <c r="DJ221" s="79" t="s">
        <v>182</v>
      </c>
      <c r="DK221" s="79"/>
      <c r="DL221" s="79">
        <v>0</v>
      </c>
      <c r="DM221" s="79">
        <v>0</v>
      </c>
      <c r="DN221" s="79" t="s">
        <v>182</v>
      </c>
      <c r="DO221" s="79"/>
      <c r="DP221" s="79"/>
      <c r="DQ221" s="79"/>
      <c r="DR221" s="75" t="str">
        <f t="shared" si="111"/>
        <v>No aplica</v>
      </c>
      <c r="DS221" s="79"/>
      <c r="DT221" s="79"/>
      <c r="DU221" s="75" t="str">
        <f t="shared" si="112"/>
        <v>No aplica</v>
      </c>
      <c r="DV221" s="79" t="s">
        <v>182</v>
      </c>
      <c r="DW221" s="79" t="s">
        <v>182</v>
      </c>
      <c r="DX221" s="79"/>
      <c r="DY221" s="79"/>
      <c r="DZ221" s="79"/>
      <c r="EA221" s="79"/>
      <c r="EB221" s="79" t="s">
        <v>182</v>
      </c>
      <c r="EC221" s="79" t="s">
        <v>1736</v>
      </c>
      <c r="ED221" s="79" t="s">
        <v>184</v>
      </c>
      <c r="EE221" s="79" t="s">
        <v>621</v>
      </c>
      <c r="EF221" s="41"/>
      <c r="EG221" s="79" t="s">
        <v>153</v>
      </c>
      <c r="EH221" s="71"/>
      <c r="EI221" s="80"/>
      <c r="EJ221" s="71"/>
      <c r="EK221" s="79" t="s">
        <v>179</v>
      </c>
      <c r="EL221" s="76" t="str">
        <f t="shared" si="113"/>
        <v>No requiere</v>
      </c>
      <c r="EM221" s="76" t="str">
        <f t="shared" si="114"/>
        <v>No requiere</v>
      </c>
      <c r="EN221" s="76" t="str">
        <f t="shared" si="131"/>
        <v>No requiere</v>
      </c>
      <c r="EO221" s="71"/>
      <c r="EP221" s="73" t="str">
        <f t="shared" si="115"/>
        <v>No requiere</v>
      </c>
      <c r="EQ221" s="77" t="str">
        <f t="shared" si="116"/>
        <v>No requiere</v>
      </c>
      <c r="ER221" s="71"/>
      <c r="ES221" s="79" t="s">
        <v>179</v>
      </c>
      <c r="ET221" s="73" t="str">
        <f t="shared" si="117"/>
        <v>No requiere</v>
      </c>
      <c r="EU221" s="73" t="str">
        <f t="shared" si="132"/>
        <v>No requiere</v>
      </c>
      <c r="EV221" s="73" t="str">
        <f t="shared" si="118"/>
        <v>No requiere</v>
      </c>
      <c r="EW221" s="73" t="str">
        <f t="shared" si="119"/>
        <v>No requiere</v>
      </c>
      <c r="EX221" s="78"/>
      <c r="EY221" s="78"/>
    </row>
    <row r="222" spans="1:155" ht="46.5" customHeight="1">
      <c r="A222" s="79">
        <v>218</v>
      </c>
      <c r="B222" s="80" t="s">
        <v>1737</v>
      </c>
      <c r="C222" s="81">
        <v>45386</v>
      </c>
      <c r="D222" s="82">
        <v>0.39583333333333331</v>
      </c>
      <c r="E222" s="79" t="s">
        <v>151</v>
      </c>
      <c r="F222" s="79" t="s">
        <v>153</v>
      </c>
      <c r="G222" s="79" t="s">
        <v>152</v>
      </c>
      <c r="H222" s="79" t="s">
        <v>152</v>
      </c>
      <c r="I222" s="79" t="s">
        <v>152</v>
      </c>
      <c r="J222" s="79" t="s">
        <v>154</v>
      </c>
      <c r="K222" s="79" t="s">
        <v>155</v>
      </c>
      <c r="L222" s="80" t="s">
        <v>1738</v>
      </c>
      <c r="M222" s="80" t="s">
        <v>624</v>
      </c>
      <c r="N222" s="79" t="s">
        <v>472</v>
      </c>
      <c r="O222" s="80" t="str">
        <f t="shared" si="107"/>
        <v>Juan Carlos Prieto</v>
      </c>
      <c r="P222" s="79" t="s">
        <v>474</v>
      </c>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t="s">
        <v>169</v>
      </c>
      <c r="AP222" s="79" t="s">
        <v>475</v>
      </c>
      <c r="AQ222" s="80" t="s">
        <v>476</v>
      </c>
      <c r="AR222" s="83" t="s">
        <v>477</v>
      </c>
      <c r="AS222" s="80" t="s">
        <v>171</v>
      </c>
      <c r="AT222" s="80" t="str">
        <f t="shared" si="108"/>
        <v>Distrital</v>
      </c>
      <c r="AU222" s="79" t="s">
        <v>172</v>
      </c>
      <c r="AV222" s="79"/>
      <c r="AW222" s="79"/>
      <c r="AX222" s="79"/>
      <c r="AY222" s="79"/>
      <c r="AZ222" s="79"/>
      <c r="BA222" s="80" t="str">
        <f t="shared" si="109"/>
        <v>Distrital</v>
      </c>
      <c r="BB222" s="79" t="s">
        <v>172</v>
      </c>
      <c r="BC222" s="79"/>
      <c r="BD222" s="79"/>
      <c r="BE222" s="79"/>
      <c r="BF222" s="79"/>
      <c r="BG222" s="79"/>
      <c r="BH222" s="80" t="str">
        <f t="shared" si="110"/>
        <v>Distrital</v>
      </c>
      <c r="BI222" s="79" t="s">
        <v>172</v>
      </c>
      <c r="BJ222" s="79"/>
      <c r="BK222" s="79"/>
      <c r="BL222" s="79"/>
      <c r="BM222" s="79"/>
      <c r="BN222" s="79"/>
      <c r="BO222" s="79"/>
      <c r="BP222" s="79"/>
      <c r="BQ222" s="79"/>
      <c r="BR222" s="79"/>
      <c r="BS222" s="80" t="s">
        <v>288</v>
      </c>
      <c r="BT222" s="80" t="s">
        <v>174</v>
      </c>
      <c r="BU222" s="80" t="s">
        <v>1739</v>
      </c>
      <c r="BV222" s="71"/>
      <c r="BW222" s="79" t="s">
        <v>153</v>
      </c>
      <c r="BX222" s="79" t="s">
        <v>176</v>
      </c>
      <c r="BY222" s="71"/>
      <c r="BZ222" s="79">
        <v>15</v>
      </c>
      <c r="CA222" s="79">
        <v>5</v>
      </c>
      <c r="CB222" s="79">
        <f t="shared" si="25"/>
        <v>20</v>
      </c>
      <c r="CC222" s="79" t="str">
        <f t="shared" si="130"/>
        <v>No Aplica</v>
      </c>
      <c r="CD222" s="79" t="s">
        <v>177</v>
      </c>
      <c r="CE222" s="79"/>
      <c r="CF222" s="79"/>
      <c r="CG222" s="83" t="s">
        <v>1740</v>
      </c>
      <c r="CH222" s="41"/>
      <c r="CI222" s="79" t="s">
        <v>153</v>
      </c>
      <c r="CJ222" s="71"/>
      <c r="CK222" s="79">
        <f t="shared" si="38"/>
        <v>0</v>
      </c>
      <c r="CL222" s="79"/>
      <c r="CM222" s="79"/>
      <c r="CN222" s="79"/>
      <c r="CO222" s="79"/>
      <c r="CP222" s="79"/>
      <c r="CQ222" s="79"/>
      <c r="CR222" s="83" t="s">
        <v>179</v>
      </c>
      <c r="CS222" s="83" t="s">
        <v>179</v>
      </c>
      <c r="CT222" s="83" t="s">
        <v>179</v>
      </c>
      <c r="CU222" s="83" t="s">
        <v>179</v>
      </c>
      <c r="CV222" s="83" t="s">
        <v>179</v>
      </c>
      <c r="CW222" s="83" t="s">
        <v>179</v>
      </c>
      <c r="CX222" s="79" t="s">
        <v>153</v>
      </c>
      <c r="CY222" s="79">
        <f t="shared" si="120"/>
        <v>0</v>
      </c>
      <c r="CZ222" s="79">
        <v>0</v>
      </c>
      <c r="DA222" s="79">
        <f t="shared" si="121"/>
        <v>0</v>
      </c>
      <c r="DB222" s="84" t="str">
        <f t="shared" si="122"/>
        <v/>
      </c>
      <c r="DC222" s="41"/>
      <c r="DD222" s="79" t="s">
        <v>153</v>
      </c>
      <c r="DE222" s="71"/>
      <c r="DF222" s="85" t="s">
        <v>1741</v>
      </c>
      <c r="DG222" s="79">
        <v>213</v>
      </c>
      <c r="DH222" s="86" t="str">
        <f t="shared" si="124"/>
        <v>Completo</v>
      </c>
      <c r="DI222" s="79" t="s">
        <v>181</v>
      </c>
      <c r="DJ222" s="79" t="s">
        <v>182</v>
      </c>
      <c r="DK222" s="79"/>
      <c r="DL222" s="79">
        <v>0</v>
      </c>
      <c r="DM222" s="79">
        <v>0</v>
      </c>
      <c r="DN222" s="79" t="s">
        <v>182</v>
      </c>
      <c r="DO222" s="79"/>
      <c r="DP222" s="79"/>
      <c r="DQ222" s="79"/>
      <c r="DR222" s="75" t="str">
        <f t="shared" si="111"/>
        <v>No aplica</v>
      </c>
      <c r="DS222" s="79"/>
      <c r="DT222" s="79"/>
      <c r="DU222" s="75" t="str">
        <f t="shared" si="112"/>
        <v>No aplica</v>
      </c>
      <c r="DV222" s="79" t="s">
        <v>182</v>
      </c>
      <c r="DW222" s="79" t="s">
        <v>182</v>
      </c>
      <c r="DX222" s="79"/>
      <c r="DY222" s="79"/>
      <c r="DZ222" s="79"/>
      <c r="EA222" s="79"/>
      <c r="EB222" s="79" t="s">
        <v>182</v>
      </c>
      <c r="EC222" s="79" t="s">
        <v>1742</v>
      </c>
      <c r="ED222" s="79" t="s">
        <v>1743</v>
      </c>
      <c r="EE222" s="79" t="str">
        <f t="shared" ref="EE222:EE225" si="133">IF(DI222="Subsanado","Completo","Por Completar")</f>
        <v>Completo</v>
      </c>
      <c r="EF222" s="41"/>
      <c r="EG222" s="79" t="s">
        <v>153</v>
      </c>
      <c r="EH222" s="71"/>
      <c r="EI222" s="80"/>
      <c r="EJ222" s="71"/>
      <c r="EK222" s="79" t="s">
        <v>179</v>
      </c>
      <c r="EL222" s="76" t="str">
        <f t="shared" si="113"/>
        <v>No requiere</v>
      </c>
      <c r="EM222" s="76" t="str">
        <f t="shared" si="114"/>
        <v>No requiere</v>
      </c>
      <c r="EN222" s="76" t="str">
        <f t="shared" si="131"/>
        <v>No requiere</v>
      </c>
      <c r="EO222" s="71"/>
      <c r="EP222" s="73" t="str">
        <f t="shared" si="115"/>
        <v>No requiere</v>
      </c>
      <c r="EQ222" s="77" t="str">
        <f t="shared" si="116"/>
        <v>No requiere</v>
      </c>
      <c r="ER222" s="71"/>
      <c r="ES222" s="79" t="s">
        <v>179</v>
      </c>
      <c r="ET222" s="73" t="str">
        <f t="shared" si="117"/>
        <v>No requiere</v>
      </c>
      <c r="EU222" s="73" t="str">
        <f t="shared" si="132"/>
        <v>No requiere</v>
      </c>
      <c r="EV222" s="73" t="str">
        <f t="shared" si="118"/>
        <v>No requiere</v>
      </c>
      <c r="EW222" s="73" t="str">
        <f t="shared" si="119"/>
        <v>No requiere</v>
      </c>
      <c r="EX222" s="78"/>
      <c r="EY222" s="78"/>
    </row>
    <row r="223" spans="1:155" ht="46.5" customHeight="1">
      <c r="A223" s="79" t="str">
        <v/>
      </c>
      <c r="B223" s="80" t="s">
        <v>1744</v>
      </c>
      <c r="C223" s="81">
        <v>45386</v>
      </c>
      <c r="D223" s="82">
        <v>0.41666666666666669</v>
      </c>
      <c r="E223" s="79" t="s">
        <v>151</v>
      </c>
      <c r="F223" s="79" t="s">
        <v>152</v>
      </c>
      <c r="G223" s="79" t="s">
        <v>152</v>
      </c>
      <c r="H223" s="79" t="s">
        <v>152</v>
      </c>
      <c r="I223" s="79" t="s">
        <v>152</v>
      </c>
      <c r="J223" s="79" t="s">
        <v>251</v>
      </c>
      <c r="K223" s="79" t="s">
        <v>155</v>
      </c>
      <c r="L223" s="80" t="s">
        <v>1205</v>
      </c>
      <c r="M223" s="80" t="s">
        <v>157</v>
      </c>
      <c r="N223" s="79" t="s">
        <v>924</v>
      </c>
      <c r="O223" s="80" t="str">
        <f t="shared" si="107"/>
        <v>Michael Cruz Roa</v>
      </c>
      <c r="P223" s="79" t="s">
        <v>265</v>
      </c>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t="s">
        <v>169</v>
      </c>
      <c r="AP223" s="79" t="s">
        <v>170</v>
      </c>
      <c r="AQ223" s="80" t="s">
        <v>1206</v>
      </c>
      <c r="AR223" s="83">
        <v>3014462599</v>
      </c>
      <c r="AS223" s="80" t="s">
        <v>1207</v>
      </c>
      <c r="AT223" s="80" t="str">
        <f t="shared" si="108"/>
        <v>Distrital</v>
      </c>
      <c r="AU223" s="79" t="s">
        <v>172</v>
      </c>
      <c r="AV223" s="79"/>
      <c r="AW223" s="79"/>
      <c r="AX223" s="79"/>
      <c r="AY223" s="79"/>
      <c r="AZ223" s="79"/>
      <c r="BA223" s="80" t="str">
        <f t="shared" si="109"/>
        <v>Distrital</v>
      </c>
      <c r="BB223" s="79" t="s">
        <v>172</v>
      </c>
      <c r="BC223" s="79"/>
      <c r="BD223" s="79"/>
      <c r="BE223" s="79"/>
      <c r="BF223" s="79"/>
      <c r="BG223" s="79"/>
      <c r="BH223" s="80" t="str">
        <f t="shared" si="110"/>
        <v>Distrital</v>
      </c>
      <c r="BI223" s="79" t="s">
        <v>172</v>
      </c>
      <c r="BJ223" s="79"/>
      <c r="BK223" s="79"/>
      <c r="BL223" s="79"/>
      <c r="BM223" s="79"/>
      <c r="BN223" s="79"/>
      <c r="BO223" s="79"/>
      <c r="BP223" s="79"/>
      <c r="BQ223" s="79"/>
      <c r="BR223" s="79"/>
      <c r="BS223" s="80" t="s">
        <v>288</v>
      </c>
      <c r="BT223" s="80" t="s">
        <v>174</v>
      </c>
      <c r="BU223" s="80" t="s">
        <v>1745</v>
      </c>
      <c r="BV223" s="71"/>
      <c r="BW223" s="79" t="s">
        <v>152</v>
      </c>
      <c r="BX223" s="79" t="s">
        <v>179</v>
      </c>
      <c r="BY223" s="71"/>
      <c r="BZ223" s="79">
        <v>0</v>
      </c>
      <c r="CA223" s="79">
        <v>10</v>
      </c>
      <c r="CB223" s="79">
        <f t="shared" si="25"/>
        <v>10</v>
      </c>
      <c r="CC223" s="79" t="str">
        <f t="shared" si="130"/>
        <v>No Aplica</v>
      </c>
      <c r="CD223" s="79" t="s">
        <v>177</v>
      </c>
      <c r="CE223" s="79"/>
      <c r="CF223" s="79"/>
      <c r="CG223" s="83" t="s">
        <v>1746</v>
      </c>
      <c r="CH223" s="41"/>
      <c r="CI223" s="79" t="s">
        <v>153</v>
      </c>
      <c r="CJ223" s="71"/>
      <c r="CK223" s="79">
        <f t="shared" si="38"/>
        <v>0</v>
      </c>
      <c r="CL223" s="79"/>
      <c r="CM223" s="79"/>
      <c r="CN223" s="79"/>
      <c r="CO223" s="79"/>
      <c r="CP223" s="79"/>
      <c r="CQ223" s="79"/>
      <c r="CR223" s="83" t="s">
        <v>179</v>
      </c>
      <c r="CS223" s="83" t="s">
        <v>179</v>
      </c>
      <c r="CT223" s="83" t="s">
        <v>179</v>
      </c>
      <c r="CU223" s="83" t="s">
        <v>179</v>
      </c>
      <c r="CV223" s="83" t="s">
        <v>179</v>
      </c>
      <c r="CW223" s="83" t="s">
        <v>179</v>
      </c>
      <c r="CX223" s="79" t="s">
        <v>153</v>
      </c>
      <c r="CY223" s="79">
        <f t="shared" si="120"/>
        <v>0</v>
      </c>
      <c r="CZ223" s="79">
        <v>0</v>
      </c>
      <c r="DA223" s="79">
        <f t="shared" si="121"/>
        <v>0</v>
      </c>
      <c r="DB223" s="84" t="str">
        <f t="shared" si="122"/>
        <v/>
      </c>
      <c r="DC223" s="41"/>
      <c r="DD223" s="79" t="s">
        <v>153</v>
      </c>
      <c r="DE223" s="71"/>
      <c r="DF223" s="85" t="s">
        <v>1747</v>
      </c>
      <c r="DG223" s="79">
        <v>214</v>
      </c>
      <c r="DH223" s="86" t="str">
        <f t="shared" si="124"/>
        <v>Completo</v>
      </c>
      <c r="DI223" s="79" t="s">
        <v>181</v>
      </c>
      <c r="DJ223" s="79" t="s">
        <v>182</v>
      </c>
      <c r="DK223" s="79"/>
      <c r="DL223" s="79">
        <v>0</v>
      </c>
      <c r="DM223" s="79">
        <v>0</v>
      </c>
      <c r="DN223" s="79" t="s">
        <v>182</v>
      </c>
      <c r="DO223" s="79"/>
      <c r="DP223" s="79"/>
      <c r="DQ223" s="79"/>
      <c r="DR223" s="75" t="str">
        <f t="shared" si="111"/>
        <v>No aplica</v>
      </c>
      <c r="DS223" s="79"/>
      <c r="DT223" s="79"/>
      <c r="DU223" s="75" t="str">
        <f t="shared" si="112"/>
        <v>No aplica</v>
      </c>
      <c r="DV223" s="79" t="s">
        <v>182</v>
      </c>
      <c r="DW223" s="79" t="s">
        <v>182</v>
      </c>
      <c r="DX223" s="79"/>
      <c r="DY223" s="79"/>
      <c r="DZ223" s="79"/>
      <c r="EA223" s="79"/>
      <c r="EB223" s="79"/>
      <c r="EC223" s="79"/>
      <c r="ED223" s="79" t="s">
        <v>184</v>
      </c>
      <c r="EE223" s="79" t="str">
        <f t="shared" si="133"/>
        <v>Completo</v>
      </c>
      <c r="EF223" s="41"/>
      <c r="EG223" s="79" t="s">
        <v>153</v>
      </c>
      <c r="EH223" s="71"/>
      <c r="EI223" s="80"/>
      <c r="EJ223" s="71"/>
      <c r="EK223" s="79" t="s">
        <v>179</v>
      </c>
      <c r="EL223" s="76" t="str">
        <f t="shared" si="113"/>
        <v>No requiere</v>
      </c>
      <c r="EM223" s="76" t="str">
        <f t="shared" si="114"/>
        <v>No requiere</v>
      </c>
      <c r="EN223" s="76" t="str">
        <f t="shared" si="131"/>
        <v>No requiere</v>
      </c>
      <c r="EO223" s="71"/>
      <c r="EP223" s="73" t="str">
        <f t="shared" si="115"/>
        <v>No requiere</v>
      </c>
      <c r="EQ223" s="77" t="str">
        <f t="shared" si="116"/>
        <v>No requiere</v>
      </c>
      <c r="ER223" s="71"/>
      <c r="ES223" s="79" t="s">
        <v>179</v>
      </c>
      <c r="ET223" s="73" t="str">
        <f t="shared" si="117"/>
        <v>No requiere</v>
      </c>
      <c r="EU223" s="73" t="str">
        <f t="shared" si="132"/>
        <v>No requiere</v>
      </c>
      <c r="EV223" s="73" t="str">
        <f t="shared" si="118"/>
        <v>No requiere</v>
      </c>
      <c r="EW223" s="73" t="str">
        <f t="shared" si="119"/>
        <v>No requiere</v>
      </c>
      <c r="EX223" s="78"/>
      <c r="EY223" s="78"/>
    </row>
    <row r="224" spans="1:155" ht="46.5" customHeight="1">
      <c r="A224" s="79">
        <v>220</v>
      </c>
      <c r="B224" s="80" t="s">
        <v>1748</v>
      </c>
      <c r="C224" s="81">
        <v>45386</v>
      </c>
      <c r="D224" s="82">
        <v>0.45833333333333331</v>
      </c>
      <c r="E224" s="79" t="s">
        <v>151</v>
      </c>
      <c r="F224" s="79" t="s">
        <v>153</v>
      </c>
      <c r="G224" s="79" t="s">
        <v>153</v>
      </c>
      <c r="H224" s="79" t="s">
        <v>152</v>
      </c>
      <c r="I224" s="79" t="s">
        <v>152</v>
      </c>
      <c r="J224" s="79" t="s">
        <v>154</v>
      </c>
      <c r="K224" s="79" t="s">
        <v>202</v>
      </c>
      <c r="L224" s="80" t="s">
        <v>1749</v>
      </c>
      <c r="M224" s="80" t="s">
        <v>303</v>
      </c>
      <c r="N224" s="79" t="s">
        <v>645</v>
      </c>
      <c r="O224" s="80" t="str">
        <f t="shared" si="107"/>
        <v/>
      </c>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t="s">
        <v>304</v>
      </c>
      <c r="AP224" s="79"/>
      <c r="AQ224" s="80" t="s">
        <v>1750</v>
      </c>
      <c r="AR224" s="83" t="s">
        <v>1751</v>
      </c>
      <c r="AS224" s="80" t="s">
        <v>1752</v>
      </c>
      <c r="AT224" s="80" t="str">
        <f t="shared" si="108"/>
        <v>Distrital</v>
      </c>
      <c r="AU224" s="79" t="s">
        <v>172</v>
      </c>
      <c r="AV224" s="79"/>
      <c r="AW224" s="79"/>
      <c r="AX224" s="79"/>
      <c r="AY224" s="79"/>
      <c r="AZ224" s="79"/>
      <c r="BA224" s="80" t="str">
        <f t="shared" si="109"/>
        <v>Distrital</v>
      </c>
      <c r="BB224" s="79" t="s">
        <v>172</v>
      </c>
      <c r="BC224" s="79"/>
      <c r="BD224" s="79"/>
      <c r="BE224" s="79"/>
      <c r="BF224" s="79"/>
      <c r="BG224" s="79"/>
      <c r="BH224" s="80" t="str">
        <f t="shared" si="110"/>
        <v>Distrital</v>
      </c>
      <c r="BI224" s="79" t="s">
        <v>172</v>
      </c>
      <c r="BJ224" s="79"/>
      <c r="BK224" s="79"/>
      <c r="BL224" s="79"/>
      <c r="BM224" s="79"/>
      <c r="BN224" s="79"/>
      <c r="BO224" s="79"/>
      <c r="BP224" s="79"/>
      <c r="BQ224" s="79"/>
      <c r="BR224" s="79"/>
      <c r="BS224" s="80" t="s">
        <v>288</v>
      </c>
      <c r="BT224" s="80" t="s">
        <v>174</v>
      </c>
      <c r="BU224" s="89" t="s">
        <v>1753</v>
      </c>
      <c r="BV224" s="71"/>
      <c r="BW224" s="79" t="s">
        <v>153</v>
      </c>
      <c r="BX224" s="79" t="s">
        <v>607</v>
      </c>
      <c r="BY224" s="71"/>
      <c r="BZ224" s="79">
        <v>3</v>
      </c>
      <c r="CA224" s="79">
        <v>2</v>
      </c>
      <c r="CB224" s="79">
        <f t="shared" si="25"/>
        <v>5</v>
      </c>
      <c r="CC224" s="79" t="str">
        <f t="shared" si="130"/>
        <v>No Aplica</v>
      </c>
      <c r="CD224" s="79" t="s">
        <v>177</v>
      </c>
      <c r="CE224" s="79"/>
      <c r="CF224" s="79"/>
      <c r="CG224" s="83" t="s">
        <v>1754</v>
      </c>
      <c r="CH224" s="41"/>
      <c r="CI224" s="79"/>
      <c r="CJ224" s="71"/>
      <c r="CK224" s="79">
        <f t="shared" si="38"/>
        <v>0</v>
      </c>
      <c r="CL224" s="79"/>
      <c r="CM224" s="79"/>
      <c r="CN224" s="79"/>
      <c r="CO224" s="79"/>
      <c r="CP224" s="79"/>
      <c r="CQ224" s="79"/>
      <c r="CR224" s="83" t="s">
        <v>179</v>
      </c>
      <c r="CS224" s="83" t="s">
        <v>179</v>
      </c>
      <c r="CT224" s="83" t="s">
        <v>179</v>
      </c>
      <c r="CU224" s="83" t="s">
        <v>179</v>
      </c>
      <c r="CV224" s="83" t="s">
        <v>179</v>
      </c>
      <c r="CW224" s="83" t="s">
        <v>179</v>
      </c>
      <c r="CX224" s="79" t="s">
        <v>153</v>
      </c>
      <c r="CY224" s="79">
        <f t="shared" si="120"/>
        <v>0</v>
      </c>
      <c r="CZ224" s="79">
        <v>0</v>
      </c>
      <c r="DA224" s="79">
        <f t="shared" si="121"/>
        <v>0</v>
      </c>
      <c r="DB224" s="84" t="str">
        <f t="shared" si="122"/>
        <v/>
      </c>
      <c r="DC224" s="41"/>
      <c r="DD224" s="79" t="s">
        <v>153</v>
      </c>
      <c r="DE224" s="71"/>
      <c r="DF224" s="85" t="s">
        <v>1755</v>
      </c>
      <c r="DG224" s="79">
        <v>215</v>
      </c>
      <c r="DH224" s="86" t="str">
        <f t="shared" si="124"/>
        <v>Completo</v>
      </c>
      <c r="DI224" s="79" t="s">
        <v>181</v>
      </c>
      <c r="DJ224" s="79" t="s">
        <v>182</v>
      </c>
      <c r="DK224" s="79"/>
      <c r="DL224" s="79"/>
      <c r="DM224" s="79"/>
      <c r="DN224" s="79" t="s">
        <v>182</v>
      </c>
      <c r="DO224" s="79"/>
      <c r="DP224" s="79"/>
      <c r="DQ224" s="79"/>
      <c r="DR224" s="75" t="str">
        <f t="shared" si="111"/>
        <v>No aplica</v>
      </c>
      <c r="DS224" s="79"/>
      <c r="DT224" s="79"/>
      <c r="DU224" s="75" t="str">
        <f t="shared" si="112"/>
        <v>No aplica</v>
      </c>
      <c r="DV224" s="79" t="s">
        <v>182</v>
      </c>
      <c r="DW224" s="79" t="s">
        <v>182</v>
      </c>
      <c r="DX224" s="79"/>
      <c r="DY224" s="79"/>
      <c r="DZ224" s="79"/>
      <c r="EA224" s="79"/>
      <c r="EB224" s="79" t="s">
        <v>182</v>
      </c>
      <c r="EC224" s="79" t="s">
        <v>1756</v>
      </c>
      <c r="ED224" s="79" t="s">
        <v>184</v>
      </c>
      <c r="EE224" s="79" t="str">
        <f t="shared" si="133"/>
        <v>Completo</v>
      </c>
      <c r="EF224" s="41"/>
      <c r="EG224" s="79" t="s">
        <v>153</v>
      </c>
      <c r="EH224" s="71"/>
      <c r="EI224" s="80"/>
      <c r="EJ224" s="71"/>
      <c r="EK224" s="79" t="s">
        <v>179</v>
      </c>
      <c r="EL224" s="76" t="str">
        <f t="shared" si="113"/>
        <v>No requiere</v>
      </c>
      <c r="EM224" s="76" t="str">
        <f t="shared" si="114"/>
        <v>No requiere</v>
      </c>
      <c r="EN224" s="76" t="str">
        <f t="shared" si="131"/>
        <v>No requiere</v>
      </c>
      <c r="EO224" s="71"/>
      <c r="EP224" s="73" t="str">
        <f t="shared" si="115"/>
        <v>No requiere</v>
      </c>
      <c r="EQ224" s="77" t="str">
        <f t="shared" si="116"/>
        <v>No requiere</v>
      </c>
      <c r="ER224" s="71"/>
      <c r="ES224" s="79" t="s">
        <v>179</v>
      </c>
      <c r="ET224" s="73" t="str">
        <f t="shared" si="117"/>
        <v>No requiere</v>
      </c>
      <c r="EU224" s="73" t="str">
        <f t="shared" si="132"/>
        <v>No requiere</v>
      </c>
      <c r="EV224" s="73" t="str">
        <f t="shared" si="118"/>
        <v>No requiere</v>
      </c>
      <c r="EW224" s="73" t="str">
        <f t="shared" si="119"/>
        <v>No requiere</v>
      </c>
      <c r="EX224" s="78"/>
      <c r="EY224" s="78"/>
    </row>
    <row r="225" spans="1:155" ht="46.5" customHeight="1">
      <c r="A225" s="79">
        <v>221</v>
      </c>
      <c r="B225" s="80" t="s">
        <v>1757</v>
      </c>
      <c r="C225" s="81">
        <v>45386</v>
      </c>
      <c r="D225" s="82">
        <v>0.58333333333333337</v>
      </c>
      <c r="E225" s="79" t="s">
        <v>151</v>
      </c>
      <c r="F225" s="79" t="s">
        <v>153</v>
      </c>
      <c r="G225" s="79" t="s">
        <v>153</v>
      </c>
      <c r="H225" s="79" t="s">
        <v>152</v>
      </c>
      <c r="I225" s="79" t="s">
        <v>152</v>
      </c>
      <c r="J225" s="79" t="s">
        <v>154</v>
      </c>
      <c r="K225" s="79" t="s">
        <v>155</v>
      </c>
      <c r="L225" s="80" t="s">
        <v>1758</v>
      </c>
      <c r="M225" s="80" t="s">
        <v>303</v>
      </c>
      <c r="N225" s="79" t="s">
        <v>163</v>
      </c>
      <c r="O225" s="80" t="str">
        <f t="shared" si="107"/>
        <v>Laura Camila Bechara, Luz Maritza Acero, PENDIENTE</v>
      </c>
      <c r="P225" s="79" t="s">
        <v>887</v>
      </c>
      <c r="Q225" s="79" t="s">
        <v>167</v>
      </c>
      <c r="R225" s="79" t="s">
        <v>196</v>
      </c>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t="s">
        <v>230</v>
      </c>
      <c r="AP225" s="79" t="s">
        <v>925</v>
      </c>
      <c r="AQ225" s="80" t="s">
        <v>1759</v>
      </c>
      <c r="AR225" s="83">
        <v>3228806919</v>
      </c>
      <c r="AS225" s="80" t="s">
        <v>1397</v>
      </c>
      <c r="AT225" s="80" t="str">
        <f t="shared" si="108"/>
        <v>Ciudad Bolívar</v>
      </c>
      <c r="AU225" s="79" t="s">
        <v>217</v>
      </c>
      <c r="AV225" s="79"/>
      <c r="AW225" s="79"/>
      <c r="AX225" s="79"/>
      <c r="AY225" s="79"/>
      <c r="AZ225" s="79"/>
      <c r="BA225" s="80" t="str">
        <f t="shared" si="109"/>
        <v>Suroriente</v>
      </c>
      <c r="BB225" s="79" t="s">
        <v>218</v>
      </c>
      <c r="BC225" s="79"/>
      <c r="BD225" s="79"/>
      <c r="BE225" s="79"/>
      <c r="BF225" s="79"/>
      <c r="BG225" s="79"/>
      <c r="BH225" s="80" t="str">
        <f t="shared" si="110"/>
        <v>Lucero, Arborizadora</v>
      </c>
      <c r="BI225" s="79" t="s">
        <v>221</v>
      </c>
      <c r="BJ225" s="79" t="s">
        <v>220</v>
      </c>
      <c r="BK225" s="79"/>
      <c r="BL225" s="79"/>
      <c r="BM225" s="79"/>
      <c r="BN225" s="79"/>
      <c r="BO225" s="79"/>
      <c r="BP225" s="79"/>
      <c r="BQ225" s="79"/>
      <c r="BR225" s="79"/>
      <c r="BS225" s="80"/>
      <c r="BT225" s="80"/>
      <c r="BU225" s="80" t="s">
        <v>1760</v>
      </c>
      <c r="BV225" s="71"/>
      <c r="BW225" s="79" t="s">
        <v>153</v>
      </c>
      <c r="BX225" s="79" t="s">
        <v>607</v>
      </c>
      <c r="BY225" s="71"/>
      <c r="BZ225" s="79">
        <v>4</v>
      </c>
      <c r="CA225" s="79">
        <v>5</v>
      </c>
      <c r="CB225" s="79">
        <f t="shared" si="25"/>
        <v>9</v>
      </c>
      <c r="CC225" s="79" t="str">
        <f t="shared" si="130"/>
        <v>Ninguna</v>
      </c>
      <c r="CD225" s="79" t="s">
        <v>174</v>
      </c>
      <c r="CE225" s="79"/>
      <c r="CF225" s="79"/>
      <c r="CG225" s="83" t="s">
        <v>1761</v>
      </c>
      <c r="CH225" s="41"/>
      <c r="CI225" s="79" t="s">
        <v>153</v>
      </c>
      <c r="CJ225" s="71"/>
      <c r="CK225" s="79">
        <f t="shared" si="38"/>
        <v>0</v>
      </c>
      <c r="CL225" s="79"/>
      <c r="CM225" s="79"/>
      <c r="CN225" s="79"/>
      <c r="CO225" s="79"/>
      <c r="CP225" s="79"/>
      <c r="CQ225" s="79"/>
      <c r="CR225" s="83" t="s">
        <v>179</v>
      </c>
      <c r="CS225" s="83" t="s">
        <v>179</v>
      </c>
      <c r="CT225" s="83" t="s">
        <v>179</v>
      </c>
      <c r="CU225" s="83" t="s">
        <v>179</v>
      </c>
      <c r="CV225" s="83" t="s">
        <v>179</v>
      </c>
      <c r="CW225" s="83" t="s">
        <v>179</v>
      </c>
      <c r="CX225" s="79" t="s">
        <v>153</v>
      </c>
      <c r="CY225" s="79">
        <f t="shared" si="120"/>
        <v>0</v>
      </c>
      <c r="CZ225" s="79">
        <v>0</v>
      </c>
      <c r="DA225" s="79">
        <f t="shared" si="121"/>
        <v>0</v>
      </c>
      <c r="DB225" s="84" t="str">
        <f t="shared" si="122"/>
        <v/>
      </c>
      <c r="DC225" s="41"/>
      <c r="DD225" s="79" t="s">
        <v>153</v>
      </c>
      <c r="DE225" s="71"/>
      <c r="DF225" s="85" t="s">
        <v>1762</v>
      </c>
      <c r="DG225" s="79">
        <v>216</v>
      </c>
      <c r="DH225" s="86" t="str">
        <f t="shared" si="124"/>
        <v>Completo</v>
      </c>
      <c r="DI225" s="79" t="s">
        <v>181</v>
      </c>
      <c r="DJ225" s="79" t="s">
        <v>182</v>
      </c>
      <c r="DK225" s="79"/>
      <c r="DL225" s="79">
        <v>0</v>
      </c>
      <c r="DM225" s="79">
        <v>0</v>
      </c>
      <c r="DN225" s="79" t="s">
        <v>182</v>
      </c>
      <c r="DO225" s="79"/>
      <c r="DP225" s="79"/>
      <c r="DQ225" s="79"/>
      <c r="DR225" s="75" t="str">
        <f t="shared" si="111"/>
        <v>No aplica</v>
      </c>
      <c r="DS225" s="79"/>
      <c r="DT225" s="79"/>
      <c r="DU225" s="75" t="str">
        <f t="shared" si="112"/>
        <v>No aplica</v>
      </c>
      <c r="DV225" s="79"/>
      <c r="DW225" s="79"/>
      <c r="DX225" s="79"/>
      <c r="DY225" s="79"/>
      <c r="DZ225" s="79" t="s">
        <v>1545</v>
      </c>
      <c r="EA225" s="79"/>
      <c r="EB225" s="79"/>
      <c r="EC225" s="79"/>
      <c r="ED225" s="79" t="s">
        <v>1763</v>
      </c>
      <c r="EE225" s="79" t="str">
        <f t="shared" si="133"/>
        <v>Completo</v>
      </c>
      <c r="EF225" s="41"/>
      <c r="EG225" s="79" t="s">
        <v>153</v>
      </c>
      <c r="EH225" s="71"/>
      <c r="EI225" s="80"/>
      <c r="EJ225" s="71"/>
      <c r="EK225" s="79"/>
      <c r="EL225" s="76" t="str">
        <f t="shared" si="113"/>
        <v>No requiere</v>
      </c>
      <c r="EM225" s="76" t="str">
        <f t="shared" si="114"/>
        <v>No requiere</v>
      </c>
      <c r="EN225" s="76" t="str">
        <f t="shared" si="131"/>
        <v>No requiere</v>
      </c>
      <c r="EO225" s="71"/>
      <c r="EP225" s="73" t="str">
        <f t="shared" si="115"/>
        <v>No requiere</v>
      </c>
      <c r="EQ225" s="77" t="str">
        <f t="shared" si="116"/>
        <v>No requiere</v>
      </c>
      <c r="ER225" s="71"/>
      <c r="ES225" s="79"/>
      <c r="ET225" s="73" t="str">
        <f t="shared" si="117"/>
        <v>No requiere</v>
      </c>
      <c r="EU225" s="73" t="str">
        <f t="shared" si="132"/>
        <v>No requiere</v>
      </c>
      <c r="EV225" s="73" t="str">
        <f t="shared" si="118"/>
        <v>No requiere</v>
      </c>
      <c r="EW225" s="73" t="str">
        <f t="shared" si="119"/>
        <v>No requiere</v>
      </c>
      <c r="EX225" s="78"/>
      <c r="EY225" s="78"/>
    </row>
    <row r="226" spans="1:155" ht="46.5" customHeight="1">
      <c r="A226" s="79">
        <v>222</v>
      </c>
      <c r="B226" s="80" t="s">
        <v>793</v>
      </c>
      <c r="C226" s="81">
        <v>45386</v>
      </c>
      <c r="D226" s="82">
        <v>0.58333333333333337</v>
      </c>
      <c r="E226" s="79" t="s">
        <v>200</v>
      </c>
      <c r="F226" s="79" t="s">
        <v>153</v>
      </c>
      <c r="G226" s="79" t="s">
        <v>152</v>
      </c>
      <c r="H226" s="79" t="s">
        <v>152</v>
      </c>
      <c r="I226" s="79" t="s">
        <v>152</v>
      </c>
      <c r="J226" s="79" t="s">
        <v>504</v>
      </c>
      <c r="K226" s="79" t="s">
        <v>155</v>
      </c>
      <c r="L226" s="80" t="s">
        <v>1764</v>
      </c>
      <c r="M226" s="80" t="s">
        <v>157</v>
      </c>
      <c r="N226" s="79" t="s">
        <v>546</v>
      </c>
      <c r="O226" s="80" t="str">
        <f t="shared" si="107"/>
        <v/>
      </c>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t="s">
        <v>169</v>
      </c>
      <c r="AP226" s="79" t="s">
        <v>507</v>
      </c>
      <c r="AQ226" s="80" t="s">
        <v>1048</v>
      </c>
      <c r="AR226" s="80" t="s">
        <v>171</v>
      </c>
      <c r="AS226" s="80" t="s">
        <v>171</v>
      </c>
      <c r="AT226" s="80" t="str">
        <f t="shared" si="108"/>
        <v>Rafael Uribe Uribe</v>
      </c>
      <c r="AU226" s="79" t="s">
        <v>635</v>
      </c>
      <c r="AV226" s="79"/>
      <c r="AW226" s="79"/>
      <c r="AX226" s="79"/>
      <c r="AY226" s="79"/>
      <c r="AZ226" s="79"/>
      <c r="BA226" s="80" t="str">
        <f t="shared" si="109"/>
        <v>Suroriente</v>
      </c>
      <c r="BB226" s="79" t="s">
        <v>218</v>
      </c>
      <c r="BC226" s="79"/>
      <c r="BD226" s="79"/>
      <c r="BE226" s="79"/>
      <c r="BF226" s="79"/>
      <c r="BG226" s="79"/>
      <c r="BH226" s="80" t="str">
        <f t="shared" si="110"/>
        <v>San Cristobal, Cerros Orientales</v>
      </c>
      <c r="BI226" s="79" t="s">
        <v>571</v>
      </c>
      <c r="BJ226" s="79" t="s">
        <v>361</v>
      </c>
      <c r="BK226" s="79"/>
      <c r="BL226" s="79"/>
      <c r="BM226" s="79"/>
      <c r="BN226" s="79"/>
      <c r="BO226" s="79"/>
      <c r="BP226" s="79"/>
      <c r="BQ226" s="79"/>
      <c r="BR226" s="79"/>
      <c r="BS226" s="80" t="s">
        <v>288</v>
      </c>
      <c r="BT226" s="80" t="s">
        <v>174</v>
      </c>
      <c r="BU226" s="80" t="s">
        <v>1765</v>
      </c>
      <c r="BV226" s="71"/>
      <c r="BW226" s="79" t="s">
        <v>152</v>
      </c>
      <c r="BX226" s="79" t="s">
        <v>179</v>
      </c>
      <c r="BY226" s="71"/>
      <c r="BZ226" s="79">
        <v>20</v>
      </c>
      <c r="CA226" s="79">
        <v>1</v>
      </c>
      <c r="CB226" s="79">
        <f t="shared" si="25"/>
        <v>21</v>
      </c>
      <c r="CC226" s="79" t="str">
        <f t="shared" si="130"/>
        <v>No Aplica</v>
      </c>
      <c r="CD226" s="79" t="s">
        <v>177</v>
      </c>
      <c r="CE226" s="79"/>
      <c r="CF226" s="79"/>
      <c r="CG226" s="83" t="s">
        <v>1766</v>
      </c>
      <c r="CH226" s="41"/>
      <c r="CI226" s="79" t="s">
        <v>153</v>
      </c>
      <c r="CJ226" s="71"/>
      <c r="CK226" s="79">
        <f t="shared" si="38"/>
        <v>0</v>
      </c>
      <c r="CL226" s="79"/>
      <c r="CM226" s="79"/>
      <c r="CN226" s="79"/>
      <c r="CO226" s="79"/>
      <c r="CP226" s="79"/>
      <c r="CQ226" s="79"/>
      <c r="CR226" s="83" t="s">
        <v>179</v>
      </c>
      <c r="CS226" s="83" t="s">
        <v>179</v>
      </c>
      <c r="CT226" s="83" t="s">
        <v>179</v>
      </c>
      <c r="CU226" s="83" t="s">
        <v>179</v>
      </c>
      <c r="CV226" s="83" t="s">
        <v>179</v>
      </c>
      <c r="CW226" s="83" t="s">
        <v>179</v>
      </c>
      <c r="CX226" s="79" t="s">
        <v>153</v>
      </c>
      <c r="CY226" s="79">
        <f t="shared" si="120"/>
        <v>0</v>
      </c>
      <c r="CZ226" s="79">
        <v>0</v>
      </c>
      <c r="DA226" s="79">
        <f t="shared" si="121"/>
        <v>0</v>
      </c>
      <c r="DB226" s="84" t="str">
        <f t="shared" si="122"/>
        <v/>
      </c>
      <c r="DC226" s="41"/>
      <c r="DD226" s="79" t="s">
        <v>153</v>
      </c>
      <c r="DE226" s="71"/>
      <c r="DF226" s="85" t="s">
        <v>1735</v>
      </c>
      <c r="DG226" s="79">
        <v>217</v>
      </c>
      <c r="DH226" s="86">
        <f t="shared" si="124"/>
        <v>45389</v>
      </c>
      <c r="DI226" s="79" t="s">
        <v>181</v>
      </c>
      <c r="DJ226" s="79" t="s">
        <v>182</v>
      </c>
      <c r="DK226" s="79"/>
      <c r="DL226" s="79">
        <v>0</v>
      </c>
      <c r="DM226" s="79">
        <v>0</v>
      </c>
      <c r="DN226" s="79" t="s">
        <v>182</v>
      </c>
      <c r="DO226" s="79"/>
      <c r="DP226" s="79"/>
      <c r="DQ226" s="79"/>
      <c r="DR226" s="75" t="str">
        <f t="shared" si="111"/>
        <v>No aplica</v>
      </c>
      <c r="DS226" s="79"/>
      <c r="DT226" s="79"/>
      <c r="DU226" s="75" t="str">
        <f t="shared" si="112"/>
        <v>No aplica</v>
      </c>
      <c r="DV226" s="79" t="s">
        <v>182</v>
      </c>
      <c r="DW226" s="79" t="s">
        <v>182</v>
      </c>
      <c r="DX226" s="79"/>
      <c r="DY226" s="79"/>
      <c r="DZ226" s="79"/>
      <c r="EA226" s="79"/>
      <c r="EB226" s="79"/>
      <c r="EC226" s="79"/>
      <c r="ED226" s="79" t="s">
        <v>184</v>
      </c>
      <c r="EE226" s="79" t="s">
        <v>621</v>
      </c>
      <c r="EF226" s="41"/>
      <c r="EG226" s="79" t="s">
        <v>153</v>
      </c>
      <c r="EH226" s="71"/>
      <c r="EI226" s="80"/>
      <c r="EJ226" s="71"/>
      <c r="EK226" s="79" t="s">
        <v>179</v>
      </c>
      <c r="EL226" s="76" t="str">
        <f t="shared" si="113"/>
        <v>No requiere</v>
      </c>
      <c r="EM226" s="76" t="str">
        <f t="shared" si="114"/>
        <v>No requiere</v>
      </c>
      <c r="EN226" s="76" t="str">
        <f t="shared" si="131"/>
        <v>No requiere</v>
      </c>
      <c r="EO226" s="71"/>
      <c r="EP226" s="73" t="str">
        <f t="shared" si="115"/>
        <v>No requiere</v>
      </c>
      <c r="EQ226" s="77" t="str">
        <f t="shared" si="116"/>
        <v>No requiere</v>
      </c>
      <c r="ER226" s="71"/>
      <c r="ES226" s="79" t="s">
        <v>179</v>
      </c>
      <c r="ET226" s="73" t="str">
        <f t="shared" si="117"/>
        <v>No requiere</v>
      </c>
      <c r="EU226" s="73" t="str">
        <f t="shared" si="132"/>
        <v>No requiere</v>
      </c>
      <c r="EV226" s="73" t="str">
        <f t="shared" si="118"/>
        <v>No requiere</v>
      </c>
      <c r="EW226" s="73" t="str">
        <f t="shared" si="119"/>
        <v>No requiere</v>
      </c>
      <c r="EX226" s="78"/>
      <c r="EY226" s="78"/>
    </row>
    <row r="227" spans="1:155" ht="46.5" customHeight="1">
      <c r="A227" s="79">
        <v>223</v>
      </c>
      <c r="B227" s="80" t="s">
        <v>1767</v>
      </c>
      <c r="C227" s="81">
        <v>45386</v>
      </c>
      <c r="D227" s="82">
        <v>0.66666666666666663</v>
      </c>
      <c r="E227" s="79" t="s">
        <v>151</v>
      </c>
      <c r="F227" s="79" t="s">
        <v>153</v>
      </c>
      <c r="G227" s="79" t="s">
        <v>153</v>
      </c>
      <c r="H227" s="79" t="s">
        <v>152</v>
      </c>
      <c r="I227" s="79" t="s">
        <v>153</v>
      </c>
      <c r="J227" s="79" t="s">
        <v>1768</v>
      </c>
      <c r="K227" s="79" t="s">
        <v>155</v>
      </c>
      <c r="L227" s="80" t="s">
        <v>1769</v>
      </c>
      <c r="M227" s="80" t="s">
        <v>229</v>
      </c>
      <c r="N227" s="79" t="s">
        <v>644</v>
      </c>
      <c r="O227" s="80" t="str">
        <f t="shared" si="107"/>
        <v>Paula Andrea González</v>
      </c>
      <c r="P227" s="79" t="s">
        <v>158</v>
      </c>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t="s">
        <v>304</v>
      </c>
      <c r="AP227" s="79"/>
      <c r="AQ227" s="80" t="s">
        <v>1770</v>
      </c>
      <c r="AR227" s="80">
        <v>3103199936</v>
      </c>
      <c r="AS227" s="80" t="s">
        <v>1771</v>
      </c>
      <c r="AT227" s="80" t="str">
        <f t="shared" si="108"/>
        <v>Engativá</v>
      </c>
      <c r="AU227" s="79" t="s">
        <v>234</v>
      </c>
      <c r="AV227" s="79"/>
      <c r="AW227" s="79"/>
      <c r="AX227" s="79"/>
      <c r="AY227" s="79"/>
      <c r="AZ227" s="79"/>
      <c r="BA227" s="80" t="str">
        <f t="shared" si="109"/>
        <v>Occidente</v>
      </c>
      <c r="BB227" s="79" t="s">
        <v>235</v>
      </c>
      <c r="BC227" s="79"/>
      <c r="BD227" s="79"/>
      <c r="BE227" s="79"/>
      <c r="BF227" s="79"/>
      <c r="BG227" s="79"/>
      <c r="BH227" s="80" t="str">
        <f t="shared" si="110"/>
        <v>Tabora</v>
      </c>
      <c r="BI227" s="79" t="s">
        <v>414</v>
      </c>
      <c r="BJ227" s="79"/>
      <c r="BK227" s="79"/>
      <c r="BL227" s="79"/>
      <c r="BM227" s="79"/>
      <c r="BN227" s="79"/>
      <c r="BO227" s="79"/>
      <c r="BP227" s="79"/>
      <c r="BQ227" s="79"/>
      <c r="BR227" s="79"/>
      <c r="BS227" s="80" t="s">
        <v>1772</v>
      </c>
      <c r="BT227" s="80" t="s">
        <v>236</v>
      </c>
      <c r="BU227" s="80" t="s">
        <v>1773</v>
      </c>
      <c r="BV227" s="71"/>
      <c r="BW227" s="79" t="s">
        <v>152</v>
      </c>
      <c r="BX227" s="79" t="s">
        <v>179</v>
      </c>
      <c r="BY227" s="71"/>
      <c r="BZ227" s="79">
        <v>64</v>
      </c>
      <c r="CA227" s="79">
        <v>4</v>
      </c>
      <c r="CB227" s="79">
        <f t="shared" si="25"/>
        <v>68</v>
      </c>
      <c r="CC227" s="79" t="str">
        <f t="shared" si="130"/>
        <v>Accesibilidad Universal</v>
      </c>
      <c r="CD227" s="79" t="s">
        <v>397</v>
      </c>
      <c r="CE227" s="79"/>
      <c r="CF227" s="79"/>
      <c r="CG227" s="83" t="s">
        <v>1774</v>
      </c>
      <c r="CH227" s="41"/>
      <c r="CI227" s="79" t="s">
        <v>153</v>
      </c>
      <c r="CJ227" s="71"/>
      <c r="CK227" s="79">
        <f t="shared" si="38"/>
        <v>0</v>
      </c>
      <c r="CL227" s="79"/>
      <c r="CM227" s="79"/>
      <c r="CN227" s="79"/>
      <c r="CO227" s="79"/>
      <c r="CP227" s="79"/>
      <c r="CQ227" s="79"/>
      <c r="CR227" s="83" t="s">
        <v>179</v>
      </c>
      <c r="CS227" s="83" t="s">
        <v>179</v>
      </c>
      <c r="CT227" s="83" t="s">
        <v>179</v>
      </c>
      <c r="CU227" s="83" t="s">
        <v>179</v>
      </c>
      <c r="CV227" s="83" t="s">
        <v>179</v>
      </c>
      <c r="CW227" s="83" t="s">
        <v>179</v>
      </c>
      <c r="CX227" s="79" t="s">
        <v>153</v>
      </c>
      <c r="CY227" s="79">
        <f t="shared" si="120"/>
        <v>0</v>
      </c>
      <c r="CZ227" s="79">
        <v>0</v>
      </c>
      <c r="DA227" s="79">
        <f t="shared" si="121"/>
        <v>0</v>
      </c>
      <c r="DB227" s="84" t="str">
        <f t="shared" si="122"/>
        <v/>
      </c>
      <c r="DC227" s="41"/>
      <c r="DD227" s="79" t="s">
        <v>153</v>
      </c>
      <c r="DE227" s="71"/>
      <c r="DF227" s="85" t="s">
        <v>1775</v>
      </c>
      <c r="DG227" s="79">
        <v>218</v>
      </c>
      <c r="DH227" s="86" t="str">
        <f t="shared" si="124"/>
        <v>Completo</v>
      </c>
      <c r="DI227" s="79" t="s">
        <v>181</v>
      </c>
      <c r="DJ227" s="79" t="s">
        <v>182</v>
      </c>
      <c r="DK227" s="79"/>
      <c r="DL227" s="79"/>
      <c r="DM227" s="79"/>
      <c r="DN227" s="79" t="s">
        <v>182</v>
      </c>
      <c r="DO227" s="79"/>
      <c r="DP227" s="79"/>
      <c r="DQ227" s="79"/>
      <c r="DR227" s="75" t="str">
        <f t="shared" si="111"/>
        <v>No aplica</v>
      </c>
      <c r="DS227" s="79"/>
      <c r="DT227" s="79"/>
      <c r="DU227" s="75" t="str">
        <f t="shared" si="112"/>
        <v>No aplica</v>
      </c>
      <c r="DV227" s="79" t="s">
        <v>182</v>
      </c>
      <c r="DW227" s="79" t="s">
        <v>182</v>
      </c>
      <c r="DX227" s="79"/>
      <c r="DY227" s="79"/>
      <c r="DZ227" s="79"/>
      <c r="EA227" s="79"/>
      <c r="EB227" s="79" t="s">
        <v>182</v>
      </c>
      <c r="EC227" s="79" t="s">
        <v>1776</v>
      </c>
      <c r="ED227" s="79" t="s">
        <v>184</v>
      </c>
      <c r="EE227" s="79" t="str">
        <f t="shared" ref="EE227:EE229" si="134">IF(DI227="Subsanado","Completo","Por Completar")</f>
        <v>Completo</v>
      </c>
      <c r="EF227" s="41"/>
      <c r="EG227" s="79" t="s">
        <v>153</v>
      </c>
      <c r="EH227" s="71"/>
      <c r="EI227" s="80"/>
      <c r="EJ227" s="71"/>
      <c r="EK227" s="79" t="s">
        <v>179</v>
      </c>
      <c r="EL227" s="76" t="str">
        <f t="shared" si="113"/>
        <v>No requiere</v>
      </c>
      <c r="EM227" s="76" t="str">
        <f t="shared" si="114"/>
        <v>No requiere</v>
      </c>
      <c r="EN227" s="76" t="str">
        <f t="shared" si="131"/>
        <v>No requiere</v>
      </c>
      <c r="EO227" s="71"/>
      <c r="EP227" s="73" t="str">
        <f t="shared" si="115"/>
        <v>No requiere</v>
      </c>
      <c r="EQ227" s="77" t="str">
        <f t="shared" si="116"/>
        <v>No requiere</v>
      </c>
      <c r="ER227" s="71"/>
      <c r="ES227" s="79" t="s">
        <v>179</v>
      </c>
      <c r="ET227" s="73" t="str">
        <f t="shared" si="117"/>
        <v>No requiere</v>
      </c>
      <c r="EU227" s="73" t="str">
        <f t="shared" si="132"/>
        <v>No requiere</v>
      </c>
      <c r="EV227" s="73" t="str">
        <f t="shared" si="118"/>
        <v>No requiere</v>
      </c>
      <c r="EW227" s="73" t="str">
        <f t="shared" si="119"/>
        <v>No requiere</v>
      </c>
      <c r="EX227" s="78"/>
      <c r="EY227" s="78"/>
    </row>
    <row r="228" spans="1:155" ht="46.5" customHeight="1">
      <c r="A228" s="79">
        <v>224</v>
      </c>
      <c r="B228" s="80" t="s">
        <v>1777</v>
      </c>
      <c r="C228" s="81">
        <v>45386</v>
      </c>
      <c r="D228" s="82">
        <v>0.72916666666666663</v>
      </c>
      <c r="E228" s="79" t="s">
        <v>151</v>
      </c>
      <c r="F228" s="79" t="s">
        <v>153</v>
      </c>
      <c r="G228" s="79" t="s">
        <v>153</v>
      </c>
      <c r="H228" s="79" t="s">
        <v>153</v>
      </c>
      <c r="I228" s="79" t="s">
        <v>152</v>
      </c>
      <c r="J228" s="79" t="s">
        <v>154</v>
      </c>
      <c r="K228" s="79" t="s">
        <v>155</v>
      </c>
      <c r="L228" s="80" t="s">
        <v>600</v>
      </c>
      <c r="M228" s="80" t="s">
        <v>303</v>
      </c>
      <c r="N228" s="79" t="s">
        <v>546</v>
      </c>
      <c r="O228" s="80" t="str">
        <f t="shared" si="107"/>
        <v>Nicolás Enrique Moncaleano, Armando Alberto Montañez, José Ignacio Albarracín, Erika Lizeth Rueda, Juan Pablo Serna, Andres Castro Latorre, Daniela Velasco Vega, Manuel Fernando Vergara, Yohan David Díaz, Aida Vanessa Rocha, Camilo Andrés Vásquez, Carlos Eduardo Escandón, Germán Ramón Jacome, Norberto Muñoz Morera</v>
      </c>
      <c r="P228" s="79" t="s">
        <v>966</v>
      </c>
      <c r="Q228" s="79" t="s">
        <v>1387</v>
      </c>
      <c r="R228" s="79" t="s">
        <v>524</v>
      </c>
      <c r="S228" s="79" t="s">
        <v>556</v>
      </c>
      <c r="T228" s="79" t="s">
        <v>818</v>
      </c>
      <c r="U228" s="79" t="s">
        <v>749</v>
      </c>
      <c r="V228" s="79" t="s">
        <v>660</v>
      </c>
      <c r="W228" s="79" t="s">
        <v>820</v>
      </c>
      <c r="X228" s="79" t="s">
        <v>164</v>
      </c>
      <c r="Y228" s="79" t="s">
        <v>801</v>
      </c>
      <c r="Z228" s="79" t="s">
        <v>373</v>
      </c>
      <c r="AA228" s="79" t="s">
        <v>819</v>
      </c>
      <c r="AB228" s="79" t="s">
        <v>525</v>
      </c>
      <c r="AC228" s="79" t="s">
        <v>161</v>
      </c>
      <c r="AD228" s="79"/>
      <c r="AE228" s="79"/>
      <c r="AF228" s="79"/>
      <c r="AG228" s="79"/>
      <c r="AH228" s="79"/>
      <c r="AI228" s="79"/>
      <c r="AJ228" s="79"/>
      <c r="AK228" s="79"/>
      <c r="AL228" s="79"/>
      <c r="AM228" s="79"/>
      <c r="AN228" s="79"/>
      <c r="AO228" s="79" t="s">
        <v>304</v>
      </c>
      <c r="AP228" s="79"/>
      <c r="AQ228" s="80" t="s">
        <v>171</v>
      </c>
      <c r="AR228" s="80" t="s">
        <v>171</v>
      </c>
      <c r="AS228" s="80" t="s">
        <v>171</v>
      </c>
      <c r="AT228" s="80" t="str">
        <f t="shared" si="108"/>
        <v>Usme</v>
      </c>
      <c r="AU228" s="79" t="s">
        <v>1009</v>
      </c>
      <c r="AV228" s="79"/>
      <c r="AW228" s="79"/>
      <c r="AX228" s="79"/>
      <c r="AY228" s="79"/>
      <c r="AZ228" s="79"/>
      <c r="BA228" s="80" t="str">
        <f t="shared" si="109"/>
        <v>Suroriente</v>
      </c>
      <c r="BB228" s="79" t="s">
        <v>218</v>
      </c>
      <c r="BC228" s="79"/>
      <c r="BD228" s="79"/>
      <c r="BE228" s="79"/>
      <c r="BF228" s="79"/>
      <c r="BG228" s="79"/>
      <c r="BH228" s="80" t="str">
        <f t="shared" si="110"/>
        <v>Usme Entrenubes</v>
      </c>
      <c r="BI228" s="79" t="s">
        <v>1010</v>
      </c>
      <c r="BJ228" s="79"/>
      <c r="BK228" s="79"/>
      <c r="BL228" s="79"/>
      <c r="BM228" s="79"/>
      <c r="BN228" s="79"/>
      <c r="BO228" s="79"/>
      <c r="BP228" s="79"/>
      <c r="BQ228" s="79"/>
      <c r="BR228" s="79"/>
      <c r="BS228" s="80" t="s">
        <v>288</v>
      </c>
      <c r="BT228" s="80" t="s">
        <v>605</v>
      </c>
      <c r="BU228" s="80" t="s">
        <v>1778</v>
      </c>
      <c r="BV228" s="71"/>
      <c r="BW228" s="79" t="s">
        <v>153</v>
      </c>
      <c r="BX228" s="79" t="s">
        <v>607</v>
      </c>
      <c r="BY228" s="71"/>
      <c r="BZ228" s="79">
        <v>50</v>
      </c>
      <c r="CA228" s="79">
        <v>16</v>
      </c>
      <c r="CB228" s="79">
        <f t="shared" si="25"/>
        <v>66</v>
      </c>
      <c r="CC228" s="79" t="str">
        <f t="shared" si="130"/>
        <v>Accesibilidad Universal</v>
      </c>
      <c r="CD228" s="79" t="s">
        <v>397</v>
      </c>
      <c r="CE228" s="79"/>
      <c r="CF228" s="79"/>
      <c r="CG228" s="83" t="s">
        <v>1460</v>
      </c>
      <c r="CH228" s="41"/>
      <c r="CI228" s="79" t="s">
        <v>153</v>
      </c>
      <c r="CJ228" s="71"/>
      <c r="CK228" s="79">
        <f t="shared" si="38"/>
        <v>1</v>
      </c>
      <c r="CL228" s="93" t="s">
        <v>1779</v>
      </c>
      <c r="CM228" s="79"/>
      <c r="CN228" s="79"/>
      <c r="CO228" s="79"/>
      <c r="CP228" s="79"/>
      <c r="CQ228" s="79"/>
      <c r="CR228" s="83" t="s">
        <v>390</v>
      </c>
      <c r="CS228" s="83" t="s">
        <v>179</v>
      </c>
      <c r="CT228" s="83" t="s">
        <v>179</v>
      </c>
      <c r="CU228" s="83" t="s">
        <v>179</v>
      </c>
      <c r="CV228" s="83" t="s">
        <v>179</v>
      </c>
      <c r="CW228" s="83" t="s">
        <v>179</v>
      </c>
      <c r="CX228" s="79" t="s">
        <v>153</v>
      </c>
      <c r="CY228" s="79">
        <f t="shared" si="120"/>
        <v>1</v>
      </c>
      <c r="CZ228" s="79">
        <v>1</v>
      </c>
      <c r="DA228" s="79">
        <f t="shared" si="121"/>
        <v>1</v>
      </c>
      <c r="DB228" s="84">
        <f t="shared" si="122"/>
        <v>1</v>
      </c>
      <c r="DC228" s="41"/>
      <c r="DD228" s="79" t="s">
        <v>153</v>
      </c>
      <c r="DE228" s="71"/>
      <c r="DF228" s="85" t="s">
        <v>1780</v>
      </c>
      <c r="DG228" s="79">
        <v>219</v>
      </c>
      <c r="DH228" s="86" t="str">
        <f t="shared" si="124"/>
        <v>Completo</v>
      </c>
      <c r="DI228" s="79" t="s">
        <v>181</v>
      </c>
      <c r="DJ228" s="79" t="s">
        <v>182</v>
      </c>
      <c r="DK228" s="79" t="s">
        <v>153</v>
      </c>
      <c r="DL228" s="79">
        <v>0</v>
      </c>
      <c r="DM228" s="79">
        <v>0</v>
      </c>
      <c r="DN228" s="79" t="s">
        <v>182</v>
      </c>
      <c r="DO228" s="79">
        <v>1800</v>
      </c>
      <c r="DP228" s="79" t="s">
        <v>182</v>
      </c>
      <c r="DQ228" s="79">
        <v>16</v>
      </c>
      <c r="DR228" s="75">
        <f t="shared" si="111"/>
        <v>1.0666666666666667</v>
      </c>
      <c r="DS228" s="79" t="s">
        <v>182</v>
      </c>
      <c r="DT228" s="79">
        <v>99</v>
      </c>
      <c r="DU228" s="75">
        <f t="shared" si="112"/>
        <v>5.6571428571428575</v>
      </c>
      <c r="DV228" s="79" t="s">
        <v>182</v>
      </c>
      <c r="DW228" s="79" t="s">
        <v>182</v>
      </c>
      <c r="DX228" s="79">
        <v>4</v>
      </c>
      <c r="DY228" s="79">
        <v>1</v>
      </c>
      <c r="DZ228" s="79" t="s">
        <v>1781</v>
      </c>
      <c r="EA228" s="79">
        <v>2407</v>
      </c>
      <c r="EB228" s="79" t="s">
        <v>182</v>
      </c>
      <c r="EC228" s="79" t="s">
        <v>1782</v>
      </c>
      <c r="ED228" s="79" t="s">
        <v>184</v>
      </c>
      <c r="EE228" s="79" t="str">
        <f t="shared" si="134"/>
        <v>Completo</v>
      </c>
      <c r="EF228" s="41"/>
      <c r="EG228" s="79" t="s">
        <v>153</v>
      </c>
      <c r="EH228" s="71"/>
      <c r="EI228" s="89" t="s">
        <v>1783</v>
      </c>
      <c r="EJ228" s="71"/>
      <c r="EK228" s="79" t="s">
        <v>409</v>
      </c>
      <c r="EL228" s="76" t="str">
        <f t="shared" si="113"/>
        <v>Sí</v>
      </c>
      <c r="EM228" s="76" t="str">
        <f t="shared" si="114"/>
        <v>Sí</v>
      </c>
      <c r="EN228" s="76" t="str">
        <f t="shared" si="131"/>
        <v>Sí</v>
      </c>
      <c r="EO228" s="71"/>
      <c r="EP228" s="73" t="str">
        <f t="shared" si="115"/>
        <v>No aplica</v>
      </c>
      <c r="EQ228" s="77">
        <f t="shared" si="116"/>
        <v>5.6571428571428575</v>
      </c>
      <c r="ER228" s="71"/>
      <c r="ES228" s="79" t="s">
        <v>409</v>
      </c>
      <c r="ET228" s="73">
        <f t="shared" si="117"/>
        <v>1</v>
      </c>
      <c r="EU228" s="73">
        <f t="shared" si="132"/>
        <v>1</v>
      </c>
      <c r="EV228" s="73">
        <f t="shared" si="118"/>
        <v>1</v>
      </c>
      <c r="EW228" s="73">
        <f t="shared" si="119"/>
        <v>0.74781886165351064</v>
      </c>
      <c r="EX228" s="78"/>
      <c r="EY228" s="78"/>
    </row>
    <row r="229" spans="1:155" ht="46.5" customHeight="1">
      <c r="A229" s="79">
        <v>225</v>
      </c>
      <c r="B229" s="80" t="s">
        <v>1784</v>
      </c>
      <c r="C229" s="81">
        <v>45386</v>
      </c>
      <c r="D229" s="82">
        <v>0.72916666666666663</v>
      </c>
      <c r="E229" s="79" t="s">
        <v>151</v>
      </c>
      <c r="F229" s="79" t="s">
        <v>153</v>
      </c>
      <c r="G229" s="79" t="s">
        <v>153</v>
      </c>
      <c r="H229" s="79" t="s">
        <v>153</v>
      </c>
      <c r="I229" s="79" t="s">
        <v>152</v>
      </c>
      <c r="J229" s="79" t="s">
        <v>154</v>
      </c>
      <c r="K229" s="79" t="s">
        <v>155</v>
      </c>
      <c r="L229" s="80" t="s">
        <v>600</v>
      </c>
      <c r="M229" s="80" t="s">
        <v>303</v>
      </c>
      <c r="N229" s="79" t="s">
        <v>720</v>
      </c>
      <c r="O229" s="80" t="str">
        <f t="shared" si="107"/>
        <v>Ana María Gualy, Joan Sebastian García, Mario Herrera, Luis Fernando Barreto , Nestor Jecfrid Sánchez, Renata Rengifo Moyano, Nicolas Esteban Hernández, William Jair Gil, Laura Camila Bechara, Melina Julieta Solano, Paola Andrea González, Maria Angélica Higuera, Laura Sofia Morales, Reinaldo Terrios Andrade</v>
      </c>
      <c r="P229" s="79" t="s">
        <v>821</v>
      </c>
      <c r="Q229" s="79" t="s">
        <v>728</v>
      </c>
      <c r="R229" s="79" t="s">
        <v>631</v>
      </c>
      <c r="S229" s="79" t="s">
        <v>720</v>
      </c>
      <c r="T229" s="79" t="s">
        <v>965</v>
      </c>
      <c r="U229" s="79" t="s">
        <v>1066</v>
      </c>
      <c r="V229" s="79" t="s">
        <v>645</v>
      </c>
      <c r="W229" s="79" t="s">
        <v>862</v>
      </c>
      <c r="X229" s="79" t="s">
        <v>887</v>
      </c>
      <c r="Y229" s="79" t="s">
        <v>168</v>
      </c>
      <c r="Z229" s="79" t="s">
        <v>924</v>
      </c>
      <c r="AA229" s="79" t="s">
        <v>328</v>
      </c>
      <c r="AB229" s="79" t="s">
        <v>506</v>
      </c>
      <c r="AC229" s="79" t="s">
        <v>675</v>
      </c>
      <c r="AD229" s="79"/>
      <c r="AE229" s="79"/>
      <c r="AF229" s="79"/>
      <c r="AG229" s="79"/>
      <c r="AH229" s="79"/>
      <c r="AI229" s="79"/>
      <c r="AJ229" s="79"/>
      <c r="AK229" s="79"/>
      <c r="AL229" s="79"/>
      <c r="AM229" s="79"/>
      <c r="AN229" s="79"/>
      <c r="AO229" s="79" t="s">
        <v>304</v>
      </c>
      <c r="AP229" s="79"/>
      <c r="AQ229" s="80" t="s">
        <v>171</v>
      </c>
      <c r="AR229" s="80" t="s">
        <v>171</v>
      </c>
      <c r="AS229" s="80" t="s">
        <v>171</v>
      </c>
      <c r="AT229" s="80" t="str">
        <f t="shared" si="108"/>
        <v>Rafael Uribe Uribe, Usme</v>
      </c>
      <c r="AU229" s="79" t="s">
        <v>635</v>
      </c>
      <c r="AV229" s="79" t="s">
        <v>1009</v>
      </c>
      <c r="AW229" s="79"/>
      <c r="AX229" s="79"/>
      <c r="AY229" s="79"/>
      <c r="AZ229" s="79"/>
      <c r="BA229" s="80" t="str">
        <f t="shared" si="109"/>
        <v>Suroriente</v>
      </c>
      <c r="BB229" s="79" t="s">
        <v>218</v>
      </c>
      <c r="BC229" s="79"/>
      <c r="BD229" s="79"/>
      <c r="BE229" s="79"/>
      <c r="BF229" s="79"/>
      <c r="BG229" s="79"/>
      <c r="BH229" s="80" t="str">
        <f t="shared" si="110"/>
        <v>Rafael Uribe</v>
      </c>
      <c r="BI229" s="79" t="s">
        <v>723</v>
      </c>
      <c r="BJ229" s="79"/>
      <c r="BK229" s="79"/>
      <c r="BL229" s="79"/>
      <c r="BM229" s="79"/>
      <c r="BN229" s="79"/>
      <c r="BO229" s="79"/>
      <c r="BP229" s="79"/>
      <c r="BQ229" s="79"/>
      <c r="BR229" s="79"/>
      <c r="BS229" s="80" t="s">
        <v>288</v>
      </c>
      <c r="BT229" s="80" t="s">
        <v>605</v>
      </c>
      <c r="BU229" s="80" t="s">
        <v>1785</v>
      </c>
      <c r="BV229" s="71"/>
      <c r="BW229" s="79" t="s">
        <v>153</v>
      </c>
      <c r="BX229" s="79" t="s">
        <v>607</v>
      </c>
      <c r="BY229" s="71"/>
      <c r="BZ229" s="79">
        <v>54</v>
      </c>
      <c r="CA229" s="79">
        <v>14</v>
      </c>
      <c r="CB229" s="79">
        <f t="shared" si="25"/>
        <v>68</v>
      </c>
      <c r="CC229" s="79" t="str">
        <f t="shared" si="130"/>
        <v>Ninguna</v>
      </c>
      <c r="CD229" s="79" t="s">
        <v>174</v>
      </c>
      <c r="CE229" s="79"/>
      <c r="CF229" s="79"/>
      <c r="CG229" s="83" t="s">
        <v>1460</v>
      </c>
      <c r="CH229" s="41"/>
      <c r="CI229" s="79" t="s">
        <v>153</v>
      </c>
      <c r="CJ229" s="71"/>
      <c r="CK229" s="79">
        <f t="shared" si="38"/>
        <v>1</v>
      </c>
      <c r="CL229" s="79" t="s">
        <v>1214</v>
      </c>
      <c r="CM229" s="79"/>
      <c r="CN229" s="79"/>
      <c r="CO229" s="79"/>
      <c r="CP229" s="79"/>
      <c r="CQ229" s="79"/>
      <c r="CR229" s="83" t="s">
        <v>390</v>
      </c>
      <c r="CS229" s="83" t="s">
        <v>179</v>
      </c>
      <c r="CT229" s="83" t="s">
        <v>179</v>
      </c>
      <c r="CU229" s="83" t="s">
        <v>179</v>
      </c>
      <c r="CV229" s="83" t="s">
        <v>179</v>
      </c>
      <c r="CW229" s="83" t="s">
        <v>179</v>
      </c>
      <c r="CX229" s="79" t="s">
        <v>153</v>
      </c>
      <c r="CY229" s="79">
        <f t="shared" si="120"/>
        <v>1</v>
      </c>
      <c r="CZ229" s="79">
        <v>1</v>
      </c>
      <c r="DA229" s="79">
        <f t="shared" si="121"/>
        <v>1</v>
      </c>
      <c r="DB229" s="84">
        <f t="shared" si="122"/>
        <v>1</v>
      </c>
      <c r="DC229" s="41"/>
      <c r="DD229" s="79" t="s">
        <v>153</v>
      </c>
      <c r="DE229" s="71"/>
      <c r="DF229" s="85" t="s">
        <v>1786</v>
      </c>
      <c r="DG229" s="79">
        <v>220</v>
      </c>
      <c r="DH229" s="86" t="str">
        <f t="shared" si="124"/>
        <v>Completo</v>
      </c>
      <c r="DI229" s="79" t="s">
        <v>181</v>
      </c>
      <c r="DJ229" s="79" t="s">
        <v>182</v>
      </c>
      <c r="DK229" s="79" t="s">
        <v>153</v>
      </c>
      <c r="DL229" s="79">
        <v>0</v>
      </c>
      <c r="DM229" s="79">
        <v>0</v>
      </c>
      <c r="DN229" s="79" t="s">
        <v>182</v>
      </c>
      <c r="DO229" s="79">
        <v>0</v>
      </c>
      <c r="DP229" s="79" t="s">
        <v>182</v>
      </c>
      <c r="DQ229" s="79">
        <v>24</v>
      </c>
      <c r="DR229" s="75">
        <f t="shared" si="111"/>
        <v>1.4814814814814816</v>
      </c>
      <c r="DS229" s="79" t="s">
        <v>182</v>
      </c>
      <c r="DT229" s="79">
        <v>46</v>
      </c>
      <c r="DU229" s="75">
        <f t="shared" si="112"/>
        <v>2.4338624338624339</v>
      </c>
      <c r="DV229" s="79" t="s">
        <v>182</v>
      </c>
      <c r="DW229" s="79" t="s">
        <v>182</v>
      </c>
      <c r="DX229" s="79">
        <v>4</v>
      </c>
      <c r="DY229" s="79">
        <v>1</v>
      </c>
      <c r="DZ229" s="79" t="s">
        <v>1787</v>
      </c>
      <c r="EA229" s="79">
        <v>2114</v>
      </c>
      <c r="EB229" s="79" t="s">
        <v>182</v>
      </c>
      <c r="EC229" s="79" t="s">
        <v>1788</v>
      </c>
      <c r="ED229" s="79" t="s">
        <v>184</v>
      </c>
      <c r="EE229" s="79" t="str">
        <f t="shared" si="134"/>
        <v>Completo</v>
      </c>
      <c r="EF229" s="41"/>
      <c r="EG229" s="79" t="s">
        <v>153</v>
      </c>
      <c r="EH229" s="71"/>
      <c r="EI229" s="89" t="s">
        <v>1789</v>
      </c>
      <c r="EJ229" s="71"/>
      <c r="EK229" s="79" t="s">
        <v>393</v>
      </c>
      <c r="EL229" s="76" t="str">
        <f t="shared" si="113"/>
        <v>Sí</v>
      </c>
      <c r="EM229" s="76" t="str">
        <f t="shared" si="114"/>
        <v>Sí</v>
      </c>
      <c r="EN229" s="76" t="str">
        <f t="shared" si="131"/>
        <v>No</v>
      </c>
      <c r="EO229" s="71"/>
      <c r="EP229" s="73" t="str">
        <f t="shared" si="115"/>
        <v>No aplica</v>
      </c>
      <c r="EQ229" s="77">
        <f t="shared" si="116"/>
        <v>2.4338624338624339</v>
      </c>
      <c r="ER229" s="71"/>
      <c r="ES229" s="79" t="s">
        <v>393</v>
      </c>
      <c r="ET229" s="73">
        <f t="shared" si="117"/>
        <v>1</v>
      </c>
      <c r="EU229" s="73">
        <f t="shared" si="132"/>
        <v>1</v>
      </c>
      <c r="EV229" s="73">
        <f t="shared" si="118"/>
        <v>1</v>
      </c>
      <c r="EW229" s="73">
        <f t="shared" si="119"/>
        <v>0</v>
      </c>
      <c r="EX229" s="78"/>
      <c r="EY229" s="78"/>
    </row>
    <row r="230" spans="1:155" ht="46.5" customHeight="1">
      <c r="A230" s="79">
        <v>226</v>
      </c>
      <c r="B230" s="80" t="s">
        <v>1790</v>
      </c>
      <c r="C230" s="81">
        <v>45387</v>
      </c>
      <c r="D230" s="82">
        <v>0.375</v>
      </c>
      <c r="E230" s="79" t="s">
        <v>200</v>
      </c>
      <c r="F230" s="79" t="s">
        <v>153</v>
      </c>
      <c r="G230" s="79" t="s">
        <v>152</v>
      </c>
      <c r="H230" s="79" t="s">
        <v>152</v>
      </c>
      <c r="I230" s="79" t="s">
        <v>152</v>
      </c>
      <c r="J230" s="79" t="s">
        <v>201</v>
      </c>
      <c r="K230" s="79" t="s">
        <v>202</v>
      </c>
      <c r="L230" s="80" t="s">
        <v>1791</v>
      </c>
      <c r="M230" s="80" t="s">
        <v>157</v>
      </c>
      <c r="N230" s="79" t="s">
        <v>168</v>
      </c>
      <c r="O230" s="80" t="str">
        <f t="shared" si="107"/>
        <v/>
      </c>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t="s">
        <v>169</v>
      </c>
      <c r="AP230" s="79" t="s">
        <v>204</v>
      </c>
      <c r="AQ230" s="80" t="s">
        <v>205</v>
      </c>
      <c r="AR230" s="80" t="s">
        <v>171</v>
      </c>
      <c r="AS230" s="80" t="s">
        <v>206</v>
      </c>
      <c r="AT230" s="80" t="str">
        <f t="shared" si="108"/>
        <v>Distrital</v>
      </c>
      <c r="AU230" s="79" t="s">
        <v>172</v>
      </c>
      <c r="AV230" s="79"/>
      <c r="AW230" s="79"/>
      <c r="AX230" s="79"/>
      <c r="AY230" s="79"/>
      <c r="AZ230" s="79"/>
      <c r="BA230" s="80" t="str">
        <f t="shared" si="109"/>
        <v>Distrital</v>
      </c>
      <c r="BB230" s="79" t="s">
        <v>172</v>
      </c>
      <c r="BC230" s="79"/>
      <c r="BD230" s="79"/>
      <c r="BE230" s="79"/>
      <c r="BF230" s="79"/>
      <c r="BG230" s="79"/>
      <c r="BH230" s="80" t="str">
        <f t="shared" si="110"/>
        <v>Distrital</v>
      </c>
      <c r="BI230" s="79" t="s">
        <v>172</v>
      </c>
      <c r="BJ230" s="79"/>
      <c r="BK230" s="79"/>
      <c r="BL230" s="79"/>
      <c r="BM230" s="79"/>
      <c r="BN230" s="79"/>
      <c r="BO230" s="79"/>
      <c r="BP230" s="79"/>
      <c r="BQ230" s="79"/>
      <c r="BR230" s="79"/>
      <c r="BS230" s="80" t="s">
        <v>288</v>
      </c>
      <c r="BT230" s="80" t="s">
        <v>174</v>
      </c>
      <c r="BU230" s="89" t="s">
        <v>1792</v>
      </c>
      <c r="BV230" s="71"/>
      <c r="BW230" s="79" t="s">
        <v>153</v>
      </c>
      <c r="BX230" s="79" t="s">
        <v>176</v>
      </c>
      <c r="BY230" s="71"/>
      <c r="BZ230" s="79">
        <v>6</v>
      </c>
      <c r="CA230" s="79">
        <v>1</v>
      </c>
      <c r="CB230" s="79">
        <f t="shared" si="25"/>
        <v>7</v>
      </c>
      <c r="CC230" s="79" t="str">
        <f t="shared" si="130"/>
        <v>No Aplica</v>
      </c>
      <c r="CD230" s="79" t="s">
        <v>177</v>
      </c>
      <c r="CE230" s="79"/>
      <c r="CF230" s="79"/>
      <c r="CG230" s="83" t="s">
        <v>1793</v>
      </c>
      <c r="CH230" s="41"/>
      <c r="CI230" s="79" t="s">
        <v>153</v>
      </c>
      <c r="CJ230" s="71"/>
      <c r="CK230" s="79">
        <f t="shared" si="38"/>
        <v>0</v>
      </c>
      <c r="CL230" s="79"/>
      <c r="CM230" s="79"/>
      <c r="CN230" s="79"/>
      <c r="CO230" s="79"/>
      <c r="CP230" s="79"/>
      <c r="CQ230" s="79"/>
      <c r="CR230" s="83" t="s">
        <v>179</v>
      </c>
      <c r="CS230" s="83" t="s">
        <v>179</v>
      </c>
      <c r="CT230" s="83" t="s">
        <v>179</v>
      </c>
      <c r="CU230" s="83" t="s">
        <v>179</v>
      </c>
      <c r="CV230" s="83" t="s">
        <v>179</v>
      </c>
      <c r="CW230" s="83" t="s">
        <v>179</v>
      </c>
      <c r="CX230" s="79" t="s">
        <v>153</v>
      </c>
      <c r="CY230" s="79">
        <f t="shared" si="120"/>
        <v>0</v>
      </c>
      <c r="CZ230" s="79">
        <v>0</v>
      </c>
      <c r="DA230" s="79">
        <f t="shared" si="121"/>
        <v>0</v>
      </c>
      <c r="DB230" s="84" t="str">
        <f t="shared" si="122"/>
        <v/>
      </c>
      <c r="DC230" s="41"/>
      <c r="DD230" s="79" t="s">
        <v>153</v>
      </c>
      <c r="DE230" s="71"/>
      <c r="DF230" s="85" t="s">
        <v>1794</v>
      </c>
      <c r="DG230" s="79">
        <v>221</v>
      </c>
      <c r="DH230" s="86">
        <f t="shared" si="124"/>
        <v>45390</v>
      </c>
      <c r="DI230" s="79" t="s">
        <v>181</v>
      </c>
      <c r="DJ230" s="79" t="s">
        <v>182</v>
      </c>
      <c r="DK230" s="79"/>
      <c r="DL230" s="79">
        <v>0</v>
      </c>
      <c r="DM230" s="79">
        <v>0</v>
      </c>
      <c r="DN230" s="79" t="s">
        <v>182</v>
      </c>
      <c r="DO230" s="79"/>
      <c r="DP230" s="79"/>
      <c r="DQ230" s="79"/>
      <c r="DR230" s="75" t="str">
        <f t="shared" si="111"/>
        <v>No aplica</v>
      </c>
      <c r="DS230" s="79"/>
      <c r="DT230" s="79"/>
      <c r="DU230" s="75" t="str">
        <f t="shared" si="112"/>
        <v>No aplica</v>
      </c>
      <c r="DV230" s="79" t="s">
        <v>191</v>
      </c>
      <c r="DW230" s="79" t="s">
        <v>191</v>
      </c>
      <c r="DX230" s="79"/>
      <c r="DY230" s="79"/>
      <c r="DZ230" s="79"/>
      <c r="EA230" s="79"/>
      <c r="EB230" s="79" t="s">
        <v>191</v>
      </c>
      <c r="EC230" s="79"/>
      <c r="ED230" s="79" t="s">
        <v>184</v>
      </c>
      <c r="EE230" s="79" t="s">
        <v>621</v>
      </c>
      <c r="EF230" s="41"/>
      <c r="EG230" s="79" t="s">
        <v>153</v>
      </c>
      <c r="EH230" s="71"/>
      <c r="EI230" s="80"/>
      <c r="EJ230" s="71"/>
      <c r="EK230" s="79" t="s">
        <v>179</v>
      </c>
      <c r="EL230" s="76" t="str">
        <f t="shared" si="113"/>
        <v>No requiere</v>
      </c>
      <c r="EM230" s="76" t="str">
        <f t="shared" si="114"/>
        <v>No requiere</v>
      </c>
      <c r="EN230" s="76" t="str">
        <f t="shared" si="131"/>
        <v>No requiere</v>
      </c>
      <c r="EO230" s="71"/>
      <c r="EP230" s="73" t="str">
        <f t="shared" si="115"/>
        <v>No requiere</v>
      </c>
      <c r="EQ230" s="77" t="str">
        <f t="shared" si="116"/>
        <v>No requiere</v>
      </c>
      <c r="ER230" s="71"/>
      <c r="ES230" s="79" t="s">
        <v>179</v>
      </c>
      <c r="ET230" s="73" t="str">
        <f t="shared" si="117"/>
        <v>No requiere</v>
      </c>
      <c r="EU230" s="73" t="str">
        <f t="shared" si="132"/>
        <v>No requiere</v>
      </c>
      <c r="EV230" s="73" t="str">
        <f t="shared" si="118"/>
        <v>No requiere</v>
      </c>
      <c r="EW230" s="73" t="str">
        <f t="shared" si="119"/>
        <v>No requiere</v>
      </c>
      <c r="EX230" s="78"/>
      <c r="EY230" s="78"/>
    </row>
    <row r="231" spans="1:155" ht="46.5" customHeight="1">
      <c r="A231" s="79">
        <v>227</v>
      </c>
      <c r="B231" s="80" t="s">
        <v>1795</v>
      </c>
      <c r="C231" s="81">
        <v>45387</v>
      </c>
      <c r="D231" s="82">
        <v>0.60416666666666663</v>
      </c>
      <c r="E231" s="79" t="s">
        <v>151</v>
      </c>
      <c r="F231" s="79" t="s">
        <v>153</v>
      </c>
      <c r="G231" s="79" t="s">
        <v>153</v>
      </c>
      <c r="H231" s="79" t="s">
        <v>153</v>
      </c>
      <c r="I231" s="79" t="s">
        <v>152</v>
      </c>
      <c r="J231" s="79" t="s">
        <v>154</v>
      </c>
      <c r="K231" s="79" t="s">
        <v>155</v>
      </c>
      <c r="L231" s="80" t="s">
        <v>600</v>
      </c>
      <c r="M231" s="80" t="s">
        <v>303</v>
      </c>
      <c r="N231" s="79" t="s">
        <v>506</v>
      </c>
      <c r="O231" s="80" t="str">
        <f t="shared" si="107"/>
        <v>Maria Angélica Higuera, Diego Nicolás Gutiérrez, Jimmy Alejandro Osorio, Disney Sánchez</v>
      </c>
      <c r="P231" s="79" t="s">
        <v>328</v>
      </c>
      <c r="Q231" s="79" t="s">
        <v>888</v>
      </c>
      <c r="R231" s="79" t="s">
        <v>549</v>
      </c>
      <c r="S231" s="79" t="s">
        <v>721</v>
      </c>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t="s">
        <v>304</v>
      </c>
      <c r="AP231" s="79"/>
      <c r="AQ231" s="80" t="s">
        <v>1796</v>
      </c>
      <c r="AR231" s="80" t="s">
        <v>1797</v>
      </c>
      <c r="AS231" s="80" t="s">
        <v>171</v>
      </c>
      <c r="AT231" s="80" t="str">
        <f t="shared" si="108"/>
        <v>Sumapaz</v>
      </c>
      <c r="AU231" s="79" t="s">
        <v>510</v>
      </c>
      <c r="AV231" s="79"/>
      <c r="AW231" s="79"/>
      <c r="AX231" s="79"/>
      <c r="AY231" s="79"/>
      <c r="AZ231" s="79"/>
      <c r="BA231" s="80" t="str">
        <f t="shared" si="109"/>
        <v>Ruralidad</v>
      </c>
      <c r="BB231" s="79" t="s">
        <v>219</v>
      </c>
      <c r="BC231" s="79"/>
      <c r="BD231" s="79"/>
      <c r="BE231" s="79"/>
      <c r="BF231" s="79"/>
      <c r="BG231" s="79"/>
      <c r="BH231" s="80" t="str">
        <f t="shared" si="110"/>
        <v>Sumapaz</v>
      </c>
      <c r="BI231" s="79" t="s">
        <v>510</v>
      </c>
      <c r="BJ231" s="79"/>
      <c r="BK231" s="79"/>
      <c r="BL231" s="79"/>
      <c r="BM231" s="79"/>
      <c r="BN231" s="79"/>
      <c r="BO231" s="79"/>
      <c r="BP231" s="79"/>
      <c r="BQ231" s="79"/>
      <c r="BR231" s="79"/>
      <c r="BS231" s="80" t="s">
        <v>288</v>
      </c>
      <c r="BT231" s="80" t="s">
        <v>1798</v>
      </c>
      <c r="BU231" s="80" t="s">
        <v>1799</v>
      </c>
      <c r="BV231" s="71"/>
      <c r="BW231" s="79" t="s">
        <v>153</v>
      </c>
      <c r="BX231" s="79" t="s">
        <v>607</v>
      </c>
      <c r="BY231" s="71"/>
      <c r="BZ231" s="79">
        <v>20</v>
      </c>
      <c r="CA231" s="79">
        <v>9</v>
      </c>
      <c r="CB231" s="79">
        <f t="shared" si="25"/>
        <v>29</v>
      </c>
      <c r="CC231" s="79" t="str">
        <f t="shared" si="130"/>
        <v>Horarios Acordes, Contenidos adaptados</v>
      </c>
      <c r="CD231" s="79" t="s">
        <v>351</v>
      </c>
      <c r="CE231" s="79" t="s">
        <v>350</v>
      </c>
      <c r="CF231" s="79"/>
      <c r="CG231" s="83" t="s">
        <v>1800</v>
      </c>
      <c r="CH231" s="41"/>
      <c r="CI231" s="79" t="s">
        <v>153</v>
      </c>
      <c r="CJ231" s="71"/>
      <c r="CK231" s="79">
        <f t="shared" si="38"/>
        <v>1</v>
      </c>
      <c r="CL231" s="79" t="s">
        <v>1214</v>
      </c>
      <c r="CM231" s="79"/>
      <c r="CN231" s="79"/>
      <c r="CO231" s="79"/>
      <c r="CP231" s="79"/>
      <c r="CQ231" s="79"/>
      <c r="CR231" s="83" t="s">
        <v>390</v>
      </c>
      <c r="CS231" s="83" t="s">
        <v>179</v>
      </c>
      <c r="CT231" s="83" t="s">
        <v>179</v>
      </c>
      <c r="CU231" s="83" t="s">
        <v>179</v>
      </c>
      <c r="CV231" s="83" t="s">
        <v>179</v>
      </c>
      <c r="CW231" s="83" t="s">
        <v>179</v>
      </c>
      <c r="CX231" s="79" t="s">
        <v>153</v>
      </c>
      <c r="CY231" s="79">
        <f t="shared" si="120"/>
        <v>1</v>
      </c>
      <c r="CZ231" s="79">
        <v>1</v>
      </c>
      <c r="DA231" s="79">
        <f t="shared" si="121"/>
        <v>1</v>
      </c>
      <c r="DB231" s="84">
        <f t="shared" si="122"/>
        <v>1</v>
      </c>
      <c r="DC231" s="41"/>
      <c r="DD231" s="79" t="s">
        <v>153</v>
      </c>
      <c r="DE231" s="71"/>
      <c r="DF231" s="85" t="s">
        <v>1801</v>
      </c>
      <c r="DG231" s="79">
        <v>222</v>
      </c>
      <c r="DH231" s="86" t="str">
        <f t="shared" si="124"/>
        <v>Completo</v>
      </c>
      <c r="DI231" s="79" t="s">
        <v>181</v>
      </c>
      <c r="DJ231" s="79" t="s">
        <v>182</v>
      </c>
      <c r="DK231" s="79"/>
      <c r="DL231" s="79">
        <v>0</v>
      </c>
      <c r="DM231" s="79">
        <v>0</v>
      </c>
      <c r="DN231" s="79" t="s">
        <v>182</v>
      </c>
      <c r="DO231" s="79">
        <v>138</v>
      </c>
      <c r="DP231" s="79" t="s">
        <v>182</v>
      </c>
      <c r="DQ231" s="79">
        <v>5</v>
      </c>
      <c r="DR231" s="75">
        <f t="shared" si="111"/>
        <v>0.83333333333333337</v>
      </c>
      <c r="DS231" s="79" t="s">
        <v>182</v>
      </c>
      <c r="DT231" s="79">
        <v>7</v>
      </c>
      <c r="DU231" s="75">
        <f t="shared" si="112"/>
        <v>1</v>
      </c>
      <c r="DV231" s="79" t="s">
        <v>182</v>
      </c>
      <c r="DW231" s="79" t="s">
        <v>182</v>
      </c>
      <c r="DX231" s="79">
        <v>3</v>
      </c>
      <c r="DY231" s="79">
        <v>2</v>
      </c>
      <c r="DZ231" s="79" t="s">
        <v>1802</v>
      </c>
      <c r="EA231" s="79">
        <v>790</v>
      </c>
      <c r="EB231" s="79" t="s">
        <v>182</v>
      </c>
      <c r="EC231" s="79" t="s">
        <v>1803</v>
      </c>
      <c r="ED231" s="79" t="s">
        <v>184</v>
      </c>
      <c r="EE231" s="79" t="str">
        <f t="shared" ref="EE231:EE238" si="135">IF(DI231="Subsanado","Completo","Por Completar")</f>
        <v>Completo</v>
      </c>
      <c r="EF231" s="41"/>
      <c r="EG231" s="79" t="s">
        <v>153</v>
      </c>
      <c r="EH231" s="71"/>
      <c r="EI231" s="89" t="s">
        <v>1804</v>
      </c>
      <c r="EJ231" s="71"/>
      <c r="EK231" s="79" t="s">
        <v>393</v>
      </c>
      <c r="EL231" s="76" t="str">
        <f t="shared" si="113"/>
        <v>Sí</v>
      </c>
      <c r="EM231" s="76" t="str">
        <f t="shared" si="114"/>
        <v>Sí</v>
      </c>
      <c r="EN231" s="76" t="str">
        <f t="shared" si="131"/>
        <v>Sí</v>
      </c>
      <c r="EO231" s="71"/>
      <c r="EP231" s="73" t="str">
        <f t="shared" si="115"/>
        <v>No aplica</v>
      </c>
      <c r="EQ231" s="77">
        <f t="shared" si="116"/>
        <v>1</v>
      </c>
      <c r="ER231" s="71"/>
      <c r="ES231" s="79" t="s">
        <v>393</v>
      </c>
      <c r="ET231" s="73">
        <f t="shared" si="117"/>
        <v>1</v>
      </c>
      <c r="EU231" s="73">
        <f t="shared" si="132"/>
        <v>1</v>
      </c>
      <c r="EV231" s="73">
        <f t="shared" si="118"/>
        <v>1</v>
      </c>
      <c r="EW231" s="73">
        <f t="shared" si="119"/>
        <v>0.17468354430379746</v>
      </c>
      <c r="EX231" s="78"/>
      <c r="EY231" s="78"/>
    </row>
    <row r="232" spans="1:155" ht="46.5" customHeight="1">
      <c r="A232" s="79">
        <v>228</v>
      </c>
      <c r="B232" s="80" t="s">
        <v>1805</v>
      </c>
      <c r="C232" s="81">
        <v>45387</v>
      </c>
      <c r="D232" s="82">
        <v>0.625</v>
      </c>
      <c r="E232" s="79" t="s">
        <v>151</v>
      </c>
      <c r="F232" s="79" t="s">
        <v>153</v>
      </c>
      <c r="G232" s="79" t="s">
        <v>153</v>
      </c>
      <c r="H232" s="79" t="s">
        <v>152</v>
      </c>
      <c r="I232" s="79" t="s">
        <v>153</v>
      </c>
      <c r="J232" s="79" t="s">
        <v>1806</v>
      </c>
      <c r="K232" s="79" t="s">
        <v>155</v>
      </c>
      <c r="L232" s="80" t="s">
        <v>1807</v>
      </c>
      <c r="M232" s="80" t="s">
        <v>303</v>
      </c>
      <c r="N232" s="79" t="s">
        <v>887</v>
      </c>
      <c r="O232" s="80" t="str">
        <f t="shared" si="107"/>
        <v/>
      </c>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t="s">
        <v>230</v>
      </c>
      <c r="AP232" s="79" t="s">
        <v>925</v>
      </c>
      <c r="AQ232" s="80" t="s">
        <v>171</v>
      </c>
      <c r="AR232" s="80" t="s">
        <v>171</v>
      </c>
      <c r="AS232" s="80" t="s">
        <v>171</v>
      </c>
      <c r="AT232" s="80" t="str">
        <f t="shared" si="108"/>
        <v>Suba</v>
      </c>
      <c r="AU232" s="79" t="s">
        <v>602</v>
      </c>
      <c r="AV232" s="79"/>
      <c r="AW232" s="79"/>
      <c r="AX232" s="79"/>
      <c r="AY232" s="79"/>
      <c r="AZ232" s="79"/>
      <c r="BA232" s="80" t="str">
        <f t="shared" si="109"/>
        <v>Noroccidente, Norte</v>
      </c>
      <c r="BB232" s="79" t="s">
        <v>603</v>
      </c>
      <c r="BC232" s="79" t="s">
        <v>662</v>
      </c>
      <c r="BD232" s="79"/>
      <c r="BE232" s="79"/>
      <c r="BF232" s="79"/>
      <c r="BG232" s="79"/>
      <c r="BH232" s="80" t="str">
        <f t="shared" si="110"/>
        <v>Suba, Tibabuyes, Suba Rincón, Britalia, Torca, Niza</v>
      </c>
      <c r="BI232" s="79" t="s">
        <v>602</v>
      </c>
      <c r="BJ232" s="79" t="s">
        <v>1378</v>
      </c>
      <c r="BK232" s="79" t="s">
        <v>604</v>
      </c>
      <c r="BL232" s="79" t="s">
        <v>1313</v>
      </c>
      <c r="BM232" s="79" t="s">
        <v>805</v>
      </c>
      <c r="BN232" s="79" t="s">
        <v>865</v>
      </c>
      <c r="BO232" s="79"/>
      <c r="BP232" s="79"/>
      <c r="BQ232" s="79"/>
      <c r="BR232" s="79"/>
      <c r="BS232" s="80" t="s">
        <v>288</v>
      </c>
      <c r="BT232" s="80" t="s">
        <v>174</v>
      </c>
      <c r="BU232" s="80" t="s">
        <v>1808</v>
      </c>
      <c r="BV232" s="71"/>
      <c r="BW232" s="79" t="s">
        <v>152</v>
      </c>
      <c r="BX232" s="79" t="s">
        <v>179</v>
      </c>
      <c r="BY232" s="71"/>
      <c r="BZ232" s="79">
        <v>40</v>
      </c>
      <c r="CA232" s="79">
        <v>3</v>
      </c>
      <c r="CB232" s="79">
        <f t="shared" si="25"/>
        <v>43</v>
      </c>
      <c r="CC232" s="79" t="str">
        <f t="shared" si="130"/>
        <v>No Aplica</v>
      </c>
      <c r="CD232" s="79" t="s">
        <v>177</v>
      </c>
      <c r="CE232" s="79"/>
      <c r="CF232" s="79"/>
      <c r="CG232" s="83" t="s">
        <v>1809</v>
      </c>
      <c r="CH232" s="41"/>
      <c r="CI232" s="79" t="s">
        <v>153</v>
      </c>
      <c r="CJ232" s="71"/>
      <c r="CK232" s="79">
        <f t="shared" si="38"/>
        <v>0</v>
      </c>
      <c r="CL232" s="79"/>
      <c r="CM232" s="79"/>
      <c r="CN232" s="79"/>
      <c r="CO232" s="79"/>
      <c r="CP232" s="79"/>
      <c r="CQ232" s="79"/>
      <c r="CR232" s="83"/>
      <c r="CS232" s="83"/>
      <c r="CT232" s="83"/>
      <c r="CU232" s="83"/>
      <c r="CV232" s="83"/>
      <c r="CW232" s="83"/>
      <c r="CX232" s="79"/>
      <c r="CY232" s="79">
        <f t="shared" si="120"/>
        <v>0</v>
      </c>
      <c r="CZ232" s="79">
        <v>0</v>
      </c>
      <c r="DA232" s="79">
        <f t="shared" si="121"/>
        <v>0</v>
      </c>
      <c r="DB232" s="84" t="str">
        <f t="shared" si="122"/>
        <v/>
      </c>
      <c r="DC232" s="41"/>
      <c r="DD232" s="79"/>
      <c r="DE232" s="71"/>
      <c r="DF232" s="85" t="s">
        <v>1810</v>
      </c>
      <c r="DG232" s="79">
        <v>223</v>
      </c>
      <c r="DH232" s="86" t="str">
        <f t="shared" si="124"/>
        <v>Completo</v>
      </c>
      <c r="DI232" s="79" t="s">
        <v>181</v>
      </c>
      <c r="DJ232" s="79" t="s">
        <v>182</v>
      </c>
      <c r="DK232" s="79"/>
      <c r="DL232" s="79">
        <v>0</v>
      </c>
      <c r="DM232" s="79">
        <v>0</v>
      </c>
      <c r="DN232" s="79" t="s">
        <v>191</v>
      </c>
      <c r="DO232" s="79"/>
      <c r="DP232" s="79"/>
      <c r="DQ232" s="79"/>
      <c r="DR232" s="75" t="str">
        <f t="shared" si="111"/>
        <v>No aplica</v>
      </c>
      <c r="DS232" s="79"/>
      <c r="DT232" s="79"/>
      <c r="DU232" s="75" t="str">
        <f t="shared" si="112"/>
        <v>No aplica</v>
      </c>
      <c r="DV232" s="79" t="s">
        <v>182</v>
      </c>
      <c r="DW232" s="79" t="s">
        <v>182</v>
      </c>
      <c r="DX232" s="79"/>
      <c r="DY232" s="79"/>
      <c r="DZ232" s="79"/>
      <c r="EA232" s="79"/>
      <c r="EB232" s="79" t="s">
        <v>182</v>
      </c>
      <c r="EC232" s="79" t="s">
        <v>1811</v>
      </c>
      <c r="ED232" s="79" t="s">
        <v>249</v>
      </c>
      <c r="EE232" s="79" t="str">
        <f t="shared" si="135"/>
        <v>Completo</v>
      </c>
      <c r="EF232" s="41"/>
      <c r="EG232" s="79" t="s">
        <v>153</v>
      </c>
      <c r="EH232" s="71"/>
      <c r="EI232" s="80"/>
      <c r="EJ232" s="71"/>
      <c r="EK232" s="79" t="s">
        <v>179</v>
      </c>
      <c r="EL232" s="76" t="str">
        <f t="shared" si="113"/>
        <v>No requiere</v>
      </c>
      <c r="EM232" s="76" t="str">
        <f t="shared" si="114"/>
        <v>No requiere</v>
      </c>
      <c r="EN232" s="76" t="str">
        <f t="shared" si="131"/>
        <v>No requiere</v>
      </c>
      <c r="EO232" s="71"/>
      <c r="EP232" s="73" t="str">
        <f t="shared" si="115"/>
        <v>No requiere</v>
      </c>
      <c r="EQ232" s="77" t="str">
        <f t="shared" si="116"/>
        <v>No requiere</v>
      </c>
      <c r="ER232" s="71"/>
      <c r="ES232" s="79" t="s">
        <v>179</v>
      </c>
      <c r="ET232" s="73" t="str">
        <f t="shared" si="117"/>
        <v>No requiere</v>
      </c>
      <c r="EU232" s="73" t="str">
        <f t="shared" si="132"/>
        <v>No requiere</v>
      </c>
      <c r="EV232" s="73" t="str">
        <f t="shared" si="118"/>
        <v>No requiere</v>
      </c>
      <c r="EW232" s="73" t="str">
        <f t="shared" si="119"/>
        <v>No requiere</v>
      </c>
      <c r="EX232" s="78"/>
      <c r="EY232" s="78"/>
    </row>
    <row r="233" spans="1:155" ht="46.5" customHeight="1">
      <c r="A233" s="79">
        <v>229</v>
      </c>
      <c r="B233" s="80" t="s">
        <v>1812</v>
      </c>
      <c r="C233" s="81">
        <v>45387</v>
      </c>
      <c r="D233" s="82">
        <v>0.41666666666666669</v>
      </c>
      <c r="E233" s="79" t="s">
        <v>151</v>
      </c>
      <c r="F233" s="79" t="s">
        <v>153</v>
      </c>
      <c r="G233" s="79" t="s">
        <v>153</v>
      </c>
      <c r="H233" s="79" t="s">
        <v>152</v>
      </c>
      <c r="I233" s="79" t="s">
        <v>152</v>
      </c>
      <c r="J233" s="79" t="s">
        <v>154</v>
      </c>
      <c r="K233" s="79" t="s">
        <v>155</v>
      </c>
      <c r="L233" s="80" t="s">
        <v>1403</v>
      </c>
      <c r="M233" s="80" t="s">
        <v>303</v>
      </c>
      <c r="N233" s="79" t="s">
        <v>163</v>
      </c>
      <c r="O233" s="80" t="str">
        <f t="shared" si="107"/>
        <v>Luz Maritza Acero, Paula Andrea González</v>
      </c>
      <c r="P233" s="79" t="s">
        <v>167</v>
      </c>
      <c r="Q233" s="79" t="s">
        <v>158</v>
      </c>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t="s">
        <v>230</v>
      </c>
      <c r="AP233" s="79" t="s">
        <v>925</v>
      </c>
      <c r="AQ233" s="80" t="s">
        <v>1404</v>
      </c>
      <c r="AR233" s="83">
        <v>3148396805</v>
      </c>
      <c r="AS233" s="80" t="s">
        <v>1405</v>
      </c>
      <c r="AT233" s="80" t="str">
        <f t="shared" si="108"/>
        <v>Distrital</v>
      </c>
      <c r="AU233" s="79" t="s">
        <v>172</v>
      </c>
      <c r="AV233" s="79"/>
      <c r="AW233" s="79"/>
      <c r="AX233" s="79"/>
      <c r="AY233" s="79"/>
      <c r="AZ233" s="79"/>
      <c r="BA233" s="80" t="str">
        <f t="shared" si="109"/>
        <v>Distrital</v>
      </c>
      <c r="BB233" s="79" t="s">
        <v>172</v>
      </c>
      <c r="BC233" s="79"/>
      <c r="BD233" s="79"/>
      <c r="BE233" s="79"/>
      <c r="BF233" s="79"/>
      <c r="BG233" s="79"/>
      <c r="BH233" s="80" t="str">
        <f t="shared" si="110"/>
        <v>Distrital</v>
      </c>
      <c r="BI233" s="79" t="s">
        <v>172</v>
      </c>
      <c r="BJ233" s="79"/>
      <c r="BK233" s="79"/>
      <c r="BL233" s="79"/>
      <c r="BM233" s="79"/>
      <c r="BN233" s="79"/>
      <c r="BO233" s="79"/>
      <c r="BP233" s="79"/>
      <c r="BQ233" s="79"/>
      <c r="BR233" s="79"/>
      <c r="BS233" s="80" t="s">
        <v>288</v>
      </c>
      <c r="BT233" s="80" t="s">
        <v>1242</v>
      </c>
      <c r="BU233" s="80" t="s">
        <v>1406</v>
      </c>
      <c r="BV233" s="71"/>
      <c r="BW233" s="79" t="s">
        <v>153</v>
      </c>
      <c r="BX233" s="79" t="s">
        <v>607</v>
      </c>
      <c r="BY233" s="71"/>
      <c r="BZ233" s="79">
        <v>13</v>
      </c>
      <c r="CA233" s="79">
        <v>5</v>
      </c>
      <c r="CB233" s="79">
        <f t="shared" si="25"/>
        <v>18</v>
      </c>
      <c r="CC233" s="79" t="str">
        <f t="shared" si="130"/>
        <v>No Aplica</v>
      </c>
      <c r="CD233" s="79" t="s">
        <v>177</v>
      </c>
      <c r="CE233" s="79"/>
      <c r="CF233" s="79"/>
      <c r="CG233" s="83" t="s">
        <v>1813</v>
      </c>
      <c r="CH233" s="41"/>
      <c r="CI233" s="79" t="s">
        <v>153</v>
      </c>
      <c r="CJ233" s="71"/>
      <c r="CK233" s="79">
        <f t="shared" si="38"/>
        <v>0</v>
      </c>
      <c r="CL233" s="79"/>
      <c r="CM233" s="79"/>
      <c r="CN233" s="79"/>
      <c r="CO233" s="79"/>
      <c r="CP233" s="79"/>
      <c r="CQ233" s="79"/>
      <c r="CR233" s="83"/>
      <c r="CS233" s="83"/>
      <c r="CT233" s="83"/>
      <c r="CU233" s="83"/>
      <c r="CV233" s="83"/>
      <c r="CW233" s="83"/>
      <c r="CX233" s="79"/>
      <c r="CY233" s="79">
        <f t="shared" si="120"/>
        <v>0</v>
      </c>
      <c r="CZ233" s="79">
        <v>0</v>
      </c>
      <c r="DA233" s="79">
        <f t="shared" si="121"/>
        <v>0</v>
      </c>
      <c r="DB233" s="84" t="str">
        <f t="shared" si="122"/>
        <v/>
      </c>
      <c r="DC233" s="41"/>
      <c r="DD233" s="79"/>
      <c r="DE233" s="71"/>
      <c r="DF233" s="85" t="s">
        <v>1814</v>
      </c>
      <c r="DG233" s="79">
        <v>224</v>
      </c>
      <c r="DH233" s="86">
        <f t="shared" si="124"/>
        <v>45390</v>
      </c>
      <c r="DI233" s="79" t="s">
        <v>1246</v>
      </c>
      <c r="DJ233" s="79"/>
      <c r="DK233" s="79"/>
      <c r="DL233" s="79">
        <v>0</v>
      </c>
      <c r="DM233" s="79">
        <v>0</v>
      </c>
      <c r="DN233" s="79" t="s">
        <v>182</v>
      </c>
      <c r="DO233" s="79"/>
      <c r="DP233" s="79"/>
      <c r="DQ233" s="79"/>
      <c r="DR233" s="75" t="str">
        <f t="shared" si="111"/>
        <v>No aplica</v>
      </c>
      <c r="DS233" s="79"/>
      <c r="DT233" s="79"/>
      <c r="DU233" s="75" t="str">
        <f t="shared" si="112"/>
        <v>No aplica</v>
      </c>
      <c r="DV233" s="79" t="s">
        <v>182</v>
      </c>
      <c r="DW233" s="79"/>
      <c r="DX233" s="79"/>
      <c r="DY233" s="79"/>
      <c r="DZ233" s="79"/>
      <c r="EA233" s="79" t="s">
        <v>179</v>
      </c>
      <c r="EB233" s="79"/>
      <c r="EC233" s="79"/>
      <c r="ED233" s="79" t="s">
        <v>1815</v>
      </c>
      <c r="EE233" s="79" t="str">
        <f t="shared" si="135"/>
        <v>Por Completar</v>
      </c>
      <c r="EF233" s="41"/>
      <c r="EG233" s="79" t="s">
        <v>152</v>
      </c>
      <c r="EH233" s="71"/>
      <c r="EI233" s="80"/>
      <c r="EJ233" s="71"/>
      <c r="EK233" s="79" t="s">
        <v>179</v>
      </c>
      <c r="EL233" s="76" t="str">
        <f t="shared" si="113"/>
        <v>No requiere</v>
      </c>
      <c r="EM233" s="76" t="str">
        <f t="shared" si="114"/>
        <v>No requiere</v>
      </c>
      <c r="EN233" s="76" t="str">
        <f t="shared" si="131"/>
        <v>No requiere</v>
      </c>
      <c r="EO233" s="71"/>
      <c r="EP233" s="73" t="str">
        <f t="shared" si="115"/>
        <v>No requiere</v>
      </c>
      <c r="EQ233" s="77" t="str">
        <f t="shared" si="116"/>
        <v>No requiere</v>
      </c>
      <c r="ER233" s="71"/>
      <c r="ES233" s="79" t="s">
        <v>179</v>
      </c>
      <c r="ET233" s="73" t="str">
        <f t="shared" si="117"/>
        <v>No requiere</v>
      </c>
      <c r="EU233" s="73" t="str">
        <f t="shared" si="132"/>
        <v>No requiere</v>
      </c>
      <c r="EV233" s="73" t="str">
        <f t="shared" si="118"/>
        <v>No requiere</v>
      </c>
      <c r="EW233" s="73" t="str">
        <f t="shared" si="119"/>
        <v>No requiere</v>
      </c>
      <c r="EX233" s="78"/>
      <c r="EY233" s="78"/>
    </row>
    <row r="234" spans="1:155" ht="46.5" customHeight="1">
      <c r="A234" s="79">
        <v>230</v>
      </c>
      <c r="B234" s="80" t="s">
        <v>1816</v>
      </c>
      <c r="C234" s="81">
        <v>45387</v>
      </c>
      <c r="D234" s="82">
        <v>0.72916666666666663</v>
      </c>
      <c r="E234" s="79" t="s">
        <v>151</v>
      </c>
      <c r="F234" s="79" t="s">
        <v>153</v>
      </c>
      <c r="G234" s="79" t="s">
        <v>153</v>
      </c>
      <c r="H234" s="79" t="s">
        <v>153</v>
      </c>
      <c r="I234" s="79" t="s">
        <v>152</v>
      </c>
      <c r="J234" s="79" t="s">
        <v>154</v>
      </c>
      <c r="K234" s="79" t="s">
        <v>155</v>
      </c>
      <c r="L234" s="80" t="s">
        <v>600</v>
      </c>
      <c r="M234" s="80" t="s">
        <v>303</v>
      </c>
      <c r="N234" s="79" t="s">
        <v>819</v>
      </c>
      <c r="O234" s="80" t="str">
        <f t="shared" si="107"/>
        <v xml:space="preserve">César Augusto Barrantes, Sebastian Potes Buitrago, Michael Cruz Roa, Carlos Eduardo Escandón, Aida Vanessa Rocha, Andres Castro Latorre, Norberto Muñoz Morera, Nixon Sandoval Mateus, James Fernando Núñez, Valentina González Pontón, Camila María Santana, Nicolás Enrique Moncaleano, Germán Ramón Jacome, Nancy Stella Villa </v>
      </c>
      <c r="P234" s="79" t="s">
        <v>729</v>
      </c>
      <c r="Q234" s="79" t="s">
        <v>545</v>
      </c>
      <c r="R234" s="79" t="s">
        <v>265</v>
      </c>
      <c r="S234" s="79" t="s">
        <v>819</v>
      </c>
      <c r="T234" s="79" t="s">
        <v>801</v>
      </c>
      <c r="U234" s="79" t="s">
        <v>749</v>
      </c>
      <c r="V234" s="79" t="s">
        <v>161</v>
      </c>
      <c r="W234" s="79" t="s">
        <v>644</v>
      </c>
      <c r="X234" s="79" t="s">
        <v>632</v>
      </c>
      <c r="Y234" s="79" t="s">
        <v>329</v>
      </c>
      <c r="Z234" s="79" t="s">
        <v>861</v>
      </c>
      <c r="AA234" s="79" t="s">
        <v>966</v>
      </c>
      <c r="AB234" s="79" t="s">
        <v>525</v>
      </c>
      <c r="AC234" s="79" t="s">
        <v>1611</v>
      </c>
      <c r="AD234" s="79"/>
      <c r="AE234" s="79"/>
      <c r="AF234" s="79"/>
      <c r="AG234" s="79"/>
      <c r="AH234" s="79"/>
      <c r="AI234" s="79"/>
      <c r="AJ234" s="79"/>
      <c r="AK234" s="79"/>
      <c r="AL234" s="79"/>
      <c r="AM234" s="79"/>
      <c r="AN234" s="79"/>
      <c r="AO234" s="79" t="s">
        <v>304</v>
      </c>
      <c r="AP234" s="79"/>
      <c r="AQ234" s="80" t="s">
        <v>171</v>
      </c>
      <c r="AR234" s="80" t="s">
        <v>171</v>
      </c>
      <c r="AS234" s="80" t="s">
        <v>171</v>
      </c>
      <c r="AT234" s="80" t="str">
        <f t="shared" si="108"/>
        <v>Suba</v>
      </c>
      <c r="AU234" s="79" t="s">
        <v>602</v>
      </c>
      <c r="AV234" s="79"/>
      <c r="AW234" s="79"/>
      <c r="AX234" s="79"/>
      <c r="AY234" s="79"/>
      <c r="AZ234" s="79"/>
      <c r="BA234" s="80" t="str">
        <f t="shared" si="109"/>
        <v>Noroccidente</v>
      </c>
      <c r="BB234" s="79" t="s">
        <v>603</v>
      </c>
      <c r="BC234" s="79"/>
      <c r="BD234" s="79"/>
      <c r="BE234" s="79"/>
      <c r="BF234" s="79"/>
      <c r="BG234" s="79"/>
      <c r="BH234" s="80" t="str">
        <f t="shared" si="110"/>
        <v>Suba</v>
      </c>
      <c r="BI234" s="79" t="s">
        <v>602</v>
      </c>
      <c r="BJ234" s="79"/>
      <c r="BK234" s="79"/>
      <c r="BL234" s="79"/>
      <c r="BM234" s="79"/>
      <c r="BN234" s="79"/>
      <c r="BO234" s="79"/>
      <c r="BP234" s="79"/>
      <c r="BQ234" s="79"/>
      <c r="BR234" s="79"/>
      <c r="BS234" s="80" t="s">
        <v>288</v>
      </c>
      <c r="BT234" s="80" t="s">
        <v>605</v>
      </c>
      <c r="BU234" s="80" t="s">
        <v>1817</v>
      </c>
      <c r="BV234" s="71"/>
      <c r="BW234" s="79" t="s">
        <v>153</v>
      </c>
      <c r="BX234" s="79" t="s">
        <v>607</v>
      </c>
      <c r="BY234" s="71"/>
      <c r="BZ234" s="79">
        <v>52</v>
      </c>
      <c r="CA234" s="79">
        <v>15</v>
      </c>
      <c r="CB234" s="79">
        <f t="shared" si="25"/>
        <v>67</v>
      </c>
      <c r="CC234" s="79" t="str">
        <f t="shared" si="130"/>
        <v>Accesibilidad Universal, Horarios Acordes</v>
      </c>
      <c r="CD234" s="79" t="s">
        <v>397</v>
      </c>
      <c r="CE234" s="79" t="s">
        <v>351</v>
      </c>
      <c r="CF234" s="79"/>
      <c r="CG234" s="83" t="s">
        <v>1818</v>
      </c>
      <c r="CH234" s="41"/>
      <c r="CI234" s="79" t="s">
        <v>153</v>
      </c>
      <c r="CJ234" s="71"/>
      <c r="CK234" s="79">
        <f t="shared" si="38"/>
        <v>1</v>
      </c>
      <c r="CL234" s="79" t="s">
        <v>1214</v>
      </c>
      <c r="CM234" s="79"/>
      <c r="CN234" s="79"/>
      <c r="CO234" s="79"/>
      <c r="CP234" s="79"/>
      <c r="CQ234" s="79"/>
      <c r="CR234" s="83" t="s">
        <v>390</v>
      </c>
      <c r="CS234" s="83" t="s">
        <v>179</v>
      </c>
      <c r="CT234" s="83" t="s">
        <v>179</v>
      </c>
      <c r="CU234" s="83" t="s">
        <v>179</v>
      </c>
      <c r="CV234" s="83" t="s">
        <v>179</v>
      </c>
      <c r="CW234" s="83" t="s">
        <v>179</v>
      </c>
      <c r="CX234" s="79" t="s">
        <v>153</v>
      </c>
      <c r="CY234" s="79">
        <f t="shared" si="120"/>
        <v>1</v>
      </c>
      <c r="CZ234" s="79">
        <v>1</v>
      </c>
      <c r="DA234" s="79">
        <f t="shared" si="121"/>
        <v>1</v>
      </c>
      <c r="DB234" s="84">
        <f t="shared" si="122"/>
        <v>1</v>
      </c>
      <c r="DC234" s="41"/>
      <c r="DD234" s="79" t="s">
        <v>153</v>
      </c>
      <c r="DE234" s="71"/>
      <c r="DF234" s="85" t="s">
        <v>1819</v>
      </c>
      <c r="DG234" s="79">
        <v>225</v>
      </c>
      <c r="DH234" s="86" t="str">
        <f t="shared" si="124"/>
        <v>Completo</v>
      </c>
      <c r="DI234" s="79" t="s">
        <v>181</v>
      </c>
      <c r="DJ234" s="79" t="s">
        <v>182</v>
      </c>
      <c r="DK234" s="79" t="s">
        <v>153</v>
      </c>
      <c r="DL234" s="79">
        <v>0</v>
      </c>
      <c r="DM234" s="79">
        <v>0</v>
      </c>
      <c r="DN234" s="79" t="s">
        <v>182</v>
      </c>
      <c r="DO234" s="79">
        <v>5834</v>
      </c>
      <c r="DP234" s="79" t="s">
        <v>182</v>
      </c>
      <c r="DQ234" s="79">
        <v>16</v>
      </c>
      <c r="DR234" s="75">
        <f t="shared" si="111"/>
        <v>1.0256410256410258</v>
      </c>
      <c r="DS234" s="79" t="s">
        <v>182</v>
      </c>
      <c r="DT234" s="79">
        <v>28</v>
      </c>
      <c r="DU234" s="75">
        <f t="shared" si="112"/>
        <v>1.5384615384615385</v>
      </c>
      <c r="DV234" s="79" t="s">
        <v>182</v>
      </c>
      <c r="DW234" s="79" t="s">
        <v>182</v>
      </c>
      <c r="DX234" s="79">
        <v>4</v>
      </c>
      <c r="DY234" s="79">
        <v>1</v>
      </c>
      <c r="DZ234" s="79" t="s">
        <v>1035</v>
      </c>
      <c r="EA234" s="79">
        <v>5834</v>
      </c>
      <c r="EB234" s="79" t="s">
        <v>182</v>
      </c>
      <c r="EC234" s="79" t="s">
        <v>1820</v>
      </c>
      <c r="ED234" s="79" t="s">
        <v>184</v>
      </c>
      <c r="EE234" s="79" t="str">
        <f t="shared" si="135"/>
        <v>Completo</v>
      </c>
      <c r="EF234" s="41"/>
      <c r="EG234" s="79" t="s">
        <v>153</v>
      </c>
      <c r="EH234" s="71"/>
      <c r="EI234" s="89" t="s">
        <v>1821</v>
      </c>
      <c r="EJ234" s="71"/>
      <c r="EK234" s="79" t="s">
        <v>409</v>
      </c>
      <c r="EL234" s="76" t="str">
        <f t="shared" si="113"/>
        <v>Sí</v>
      </c>
      <c r="EM234" s="76" t="str">
        <f t="shared" si="114"/>
        <v>Sí</v>
      </c>
      <c r="EN234" s="76" t="str">
        <f t="shared" si="131"/>
        <v>Sí</v>
      </c>
      <c r="EO234" s="71"/>
      <c r="EP234" s="73" t="str">
        <f t="shared" si="115"/>
        <v>No aplica</v>
      </c>
      <c r="EQ234" s="77">
        <f t="shared" si="116"/>
        <v>1.5384615384615385</v>
      </c>
      <c r="ER234" s="71"/>
      <c r="ES234" s="79" t="s">
        <v>393</v>
      </c>
      <c r="ET234" s="73">
        <f t="shared" si="117"/>
        <v>1</v>
      </c>
      <c r="EU234" s="73">
        <f t="shared" si="132"/>
        <v>1</v>
      </c>
      <c r="EV234" s="73">
        <f t="shared" si="118"/>
        <v>1</v>
      </c>
      <c r="EW234" s="73">
        <f t="shared" si="119"/>
        <v>1</v>
      </c>
      <c r="EX234" s="78"/>
      <c r="EY234" s="78"/>
    </row>
    <row r="235" spans="1:155" ht="46.5" customHeight="1">
      <c r="A235" s="79">
        <v>231</v>
      </c>
      <c r="B235" s="80" t="s">
        <v>1822</v>
      </c>
      <c r="C235" s="81">
        <v>45387</v>
      </c>
      <c r="D235" s="82">
        <v>0.70833333333333337</v>
      </c>
      <c r="E235" s="79" t="s">
        <v>151</v>
      </c>
      <c r="F235" s="79" t="s">
        <v>153</v>
      </c>
      <c r="G235" s="79" t="s">
        <v>153</v>
      </c>
      <c r="H235" s="79" t="s">
        <v>153</v>
      </c>
      <c r="I235" s="79" t="s">
        <v>152</v>
      </c>
      <c r="J235" s="79" t="s">
        <v>154</v>
      </c>
      <c r="K235" s="79" t="s">
        <v>155</v>
      </c>
      <c r="L235" s="80" t="s">
        <v>600</v>
      </c>
      <c r="M235" s="80" t="s">
        <v>303</v>
      </c>
      <c r="N235" s="79" t="s">
        <v>965</v>
      </c>
      <c r="O235" s="80" t="str">
        <f t="shared" si="107"/>
        <v>Armando Alberto Montañez, Joan Sebastian García, Julio César Martínez, Nestor Jecfrid Sánchez, William Jair Gil, Paola Andrea González, Sarah Lucia Triviño, Nicolás Esteban Flórez, Reinaldo Terrios Andrade, Daniela Velasco Vega, Norberto Muñoz Morera, Luis Fernando Barreto , Derly Adriana Castillo, Erika Lizeth Rueda</v>
      </c>
      <c r="P235" s="79" t="s">
        <v>1387</v>
      </c>
      <c r="Q235" s="79" t="s">
        <v>728</v>
      </c>
      <c r="R235" s="79" t="s">
        <v>601</v>
      </c>
      <c r="S235" s="79" t="s">
        <v>965</v>
      </c>
      <c r="T235" s="79" t="s">
        <v>862</v>
      </c>
      <c r="U235" s="79" t="s">
        <v>924</v>
      </c>
      <c r="V235" s="79" t="s">
        <v>499</v>
      </c>
      <c r="W235" s="79" t="s">
        <v>472</v>
      </c>
      <c r="X235" s="79" t="s">
        <v>675</v>
      </c>
      <c r="Y235" s="79" t="s">
        <v>660</v>
      </c>
      <c r="Z235" s="79" t="s">
        <v>161</v>
      </c>
      <c r="AA235" s="79" t="s">
        <v>720</v>
      </c>
      <c r="AB235" s="79" t="s">
        <v>526</v>
      </c>
      <c r="AC235" s="79" t="s">
        <v>556</v>
      </c>
      <c r="AD235" s="80"/>
      <c r="AE235" s="80"/>
      <c r="AF235" s="80"/>
      <c r="AG235" s="80"/>
      <c r="AH235" s="80"/>
      <c r="AI235" s="80"/>
      <c r="AJ235" s="80"/>
      <c r="AK235" s="80"/>
      <c r="AL235" s="80"/>
      <c r="AM235" s="80"/>
      <c r="AN235" s="80"/>
      <c r="AO235" s="79" t="s">
        <v>304</v>
      </c>
      <c r="AP235" s="80"/>
      <c r="AQ235" s="80" t="s">
        <v>171</v>
      </c>
      <c r="AR235" s="80" t="s">
        <v>171</v>
      </c>
      <c r="AS235" s="80" t="s">
        <v>171</v>
      </c>
      <c r="AT235" s="80" t="str">
        <f t="shared" si="108"/>
        <v>Bosa, Kennedy</v>
      </c>
      <c r="AU235" s="79" t="s">
        <v>730</v>
      </c>
      <c r="AV235" s="79" t="s">
        <v>731</v>
      </c>
      <c r="AW235" s="79"/>
      <c r="AX235" s="79"/>
      <c r="AY235" s="79"/>
      <c r="AZ235" s="79"/>
      <c r="BA235" s="80" t="str">
        <f t="shared" si="109"/>
        <v>Suroccidente</v>
      </c>
      <c r="BB235" s="79" t="s">
        <v>732</v>
      </c>
      <c r="BC235" s="80"/>
      <c r="BD235" s="80"/>
      <c r="BE235" s="80"/>
      <c r="BF235" s="80"/>
      <c r="BG235" s="80"/>
      <c r="BH235" s="80" t="str">
        <f t="shared" si="110"/>
        <v>Edén</v>
      </c>
      <c r="BI235" s="79" t="s">
        <v>1057</v>
      </c>
      <c r="BJ235" s="79"/>
      <c r="BK235" s="79"/>
      <c r="BL235" s="79"/>
      <c r="BM235" s="79"/>
      <c r="BN235" s="79"/>
      <c r="BO235" s="79"/>
      <c r="BP235" s="79"/>
      <c r="BQ235" s="79"/>
      <c r="BR235" s="79"/>
      <c r="BS235" s="80" t="s">
        <v>288</v>
      </c>
      <c r="BT235" s="80" t="s">
        <v>605</v>
      </c>
      <c r="BU235" s="80" t="s">
        <v>1823</v>
      </c>
      <c r="BV235" s="71"/>
      <c r="BW235" s="79" t="s">
        <v>153</v>
      </c>
      <c r="BX235" s="79" t="s">
        <v>607</v>
      </c>
      <c r="BY235" s="71"/>
      <c r="BZ235" s="79">
        <v>60</v>
      </c>
      <c r="CA235" s="79">
        <v>14</v>
      </c>
      <c r="CB235" s="79">
        <f t="shared" si="25"/>
        <v>74</v>
      </c>
      <c r="CC235" s="79" t="str">
        <f t="shared" si="130"/>
        <v>Accesibilidad Universal, Horarios Acordes, Contenidos adaptados</v>
      </c>
      <c r="CD235" s="79" t="s">
        <v>397</v>
      </c>
      <c r="CE235" s="79" t="s">
        <v>351</v>
      </c>
      <c r="CF235" s="79" t="s">
        <v>350</v>
      </c>
      <c r="CG235" s="83" t="s">
        <v>1818</v>
      </c>
      <c r="CH235" s="71"/>
      <c r="CI235" s="79" t="s">
        <v>153</v>
      </c>
      <c r="CJ235" s="71"/>
      <c r="CK235" s="79">
        <f t="shared" si="38"/>
        <v>1</v>
      </c>
      <c r="CL235" s="79" t="s">
        <v>1214</v>
      </c>
      <c r="CM235" s="80"/>
      <c r="CN235" s="80"/>
      <c r="CO235" s="80"/>
      <c r="CP235" s="80"/>
      <c r="CQ235" s="80"/>
      <c r="CR235" s="83" t="s">
        <v>390</v>
      </c>
      <c r="CS235" s="83" t="s">
        <v>179</v>
      </c>
      <c r="CT235" s="83" t="s">
        <v>179</v>
      </c>
      <c r="CU235" s="83" t="s">
        <v>179</v>
      </c>
      <c r="CV235" s="83" t="s">
        <v>179</v>
      </c>
      <c r="CW235" s="83" t="s">
        <v>179</v>
      </c>
      <c r="CX235" s="80" t="s">
        <v>153</v>
      </c>
      <c r="CY235" s="79">
        <f t="shared" si="120"/>
        <v>1</v>
      </c>
      <c r="CZ235" s="79">
        <v>1</v>
      </c>
      <c r="DA235" s="79">
        <f t="shared" si="121"/>
        <v>1</v>
      </c>
      <c r="DB235" s="84">
        <f t="shared" si="122"/>
        <v>1</v>
      </c>
      <c r="DC235" s="71"/>
      <c r="DD235" s="79" t="s">
        <v>153</v>
      </c>
      <c r="DE235" s="71"/>
      <c r="DF235" s="85" t="s">
        <v>1824</v>
      </c>
      <c r="DG235" s="79">
        <v>226</v>
      </c>
      <c r="DH235" s="86" t="str">
        <f t="shared" si="124"/>
        <v>Completo</v>
      </c>
      <c r="DI235" s="79" t="s">
        <v>181</v>
      </c>
      <c r="DJ235" s="80" t="s">
        <v>182</v>
      </c>
      <c r="DK235" s="79" t="s">
        <v>153</v>
      </c>
      <c r="DL235" s="79">
        <v>0</v>
      </c>
      <c r="DM235" s="79">
        <v>0</v>
      </c>
      <c r="DN235" s="80" t="s">
        <v>182</v>
      </c>
      <c r="DO235" s="80">
        <v>400</v>
      </c>
      <c r="DP235" s="79" t="s">
        <v>182</v>
      </c>
      <c r="DQ235" s="79">
        <v>22</v>
      </c>
      <c r="DR235" s="75">
        <f t="shared" si="111"/>
        <v>1.2222222222222223</v>
      </c>
      <c r="DS235" s="79" t="s">
        <v>182</v>
      </c>
      <c r="DT235" s="79">
        <v>9</v>
      </c>
      <c r="DU235" s="75">
        <f t="shared" si="112"/>
        <v>0.42857142857142855</v>
      </c>
      <c r="DV235" s="80" t="s">
        <v>182</v>
      </c>
      <c r="DW235" s="80" t="s">
        <v>182</v>
      </c>
      <c r="DX235" s="79">
        <v>3</v>
      </c>
      <c r="DY235" s="79">
        <v>1</v>
      </c>
      <c r="DZ235" s="79" t="s">
        <v>1825</v>
      </c>
      <c r="EA235" s="79">
        <v>9514</v>
      </c>
      <c r="EB235" s="79" t="s">
        <v>182</v>
      </c>
      <c r="EC235" s="79" t="s">
        <v>1826</v>
      </c>
      <c r="ED235" s="79" t="s">
        <v>184</v>
      </c>
      <c r="EE235" s="79" t="str">
        <f t="shared" si="135"/>
        <v>Completo</v>
      </c>
      <c r="EF235" s="71"/>
      <c r="EG235" s="79" t="s">
        <v>153</v>
      </c>
      <c r="EH235" s="71"/>
      <c r="EI235" s="89" t="s">
        <v>1827</v>
      </c>
      <c r="EJ235" s="71"/>
      <c r="EK235" s="79" t="s">
        <v>409</v>
      </c>
      <c r="EL235" s="76" t="str">
        <f t="shared" si="113"/>
        <v>Sí</v>
      </c>
      <c r="EM235" s="76" t="str">
        <f t="shared" si="114"/>
        <v>Sí</v>
      </c>
      <c r="EN235" s="76" t="str">
        <f t="shared" si="131"/>
        <v>Sí</v>
      </c>
      <c r="EO235" s="71"/>
      <c r="EP235" s="73" t="str">
        <f t="shared" si="115"/>
        <v>No aplica</v>
      </c>
      <c r="EQ235" s="77">
        <f t="shared" si="116"/>
        <v>0.42857142857142855</v>
      </c>
      <c r="ER235" s="71"/>
      <c r="ES235" s="79" t="s">
        <v>393</v>
      </c>
      <c r="ET235" s="73">
        <f t="shared" si="117"/>
        <v>1</v>
      </c>
      <c r="EU235" s="73">
        <f t="shared" si="132"/>
        <v>1</v>
      </c>
      <c r="EV235" s="73">
        <f t="shared" si="118"/>
        <v>1</v>
      </c>
      <c r="EW235" s="73">
        <f t="shared" si="119"/>
        <v>4.2043304603741852E-2</v>
      </c>
      <c r="EX235" s="78"/>
      <c r="EY235" s="78"/>
    </row>
    <row r="236" spans="1:155" ht="46.5" customHeight="1">
      <c r="A236" s="79">
        <v>232</v>
      </c>
      <c r="B236" s="80" t="s">
        <v>1137</v>
      </c>
      <c r="C236" s="81">
        <v>45388</v>
      </c>
      <c r="D236" s="82">
        <v>0.33333333333333331</v>
      </c>
      <c r="E236" s="79" t="s">
        <v>853</v>
      </c>
      <c r="F236" s="79" t="s">
        <v>153</v>
      </c>
      <c r="G236" s="79" t="s">
        <v>152</v>
      </c>
      <c r="H236" s="79" t="s">
        <v>152</v>
      </c>
      <c r="I236" s="79" t="s">
        <v>152</v>
      </c>
      <c r="J236" s="79" t="s">
        <v>154</v>
      </c>
      <c r="K236" s="79" t="s">
        <v>155</v>
      </c>
      <c r="L236" s="80" t="s">
        <v>1828</v>
      </c>
      <c r="M236" s="80" t="s">
        <v>303</v>
      </c>
      <c r="N236" s="79" t="s">
        <v>801</v>
      </c>
      <c r="O236" s="80" t="str">
        <f t="shared" si="107"/>
        <v/>
      </c>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t="s">
        <v>230</v>
      </c>
      <c r="AP236" s="79" t="s">
        <v>925</v>
      </c>
      <c r="AQ236" s="80" t="s">
        <v>1139</v>
      </c>
      <c r="AR236" s="83">
        <v>3112391335</v>
      </c>
      <c r="AS236" s="80" t="s">
        <v>1140</v>
      </c>
      <c r="AT236" s="80" t="str">
        <f t="shared" si="108"/>
        <v>Distrital</v>
      </c>
      <c r="AU236" s="79" t="s">
        <v>172</v>
      </c>
      <c r="AV236" s="79"/>
      <c r="AW236" s="79"/>
      <c r="AX236" s="79"/>
      <c r="AY236" s="79"/>
      <c r="AZ236" s="79"/>
      <c r="BA236" s="80" t="str">
        <f t="shared" si="109"/>
        <v>Distrital</v>
      </c>
      <c r="BB236" s="79" t="s">
        <v>172</v>
      </c>
      <c r="BC236" s="79"/>
      <c r="BD236" s="79"/>
      <c r="BE236" s="79"/>
      <c r="BF236" s="79"/>
      <c r="BG236" s="79"/>
      <c r="BH236" s="80" t="str">
        <f t="shared" si="110"/>
        <v>Distrital</v>
      </c>
      <c r="BI236" s="79" t="s">
        <v>172</v>
      </c>
      <c r="BJ236" s="79"/>
      <c r="BK236" s="79"/>
      <c r="BL236" s="79"/>
      <c r="BM236" s="79"/>
      <c r="BN236" s="79"/>
      <c r="BO236" s="79"/>
      <c r="BP236" s="79"/>
      <c r="BQ236" s="79"/>
      <c r="BR236" s="79"/>
      <c r="BS236" s="80" t="s">
        <v>288</v>
      </c>
      <c r="BT236" s="80" t="s">
        <v>538</v>
      </c>
      <c r="BU236" s="80" t="s">
        <v>1829</v>
      </c>
      <c r="BV236" s="71"/>
      <c r="BW236" s="79" t="s">
        <v>153</v>
      </c>
      <c r="BX236" s="79" t="s">
        <v>607</v>
      </c>
      <c r="BY236" s="71"/>
      <c r="BZ236" s="79">
        <v>35</v>
      </c>
      <c r="CA236" s="79">
        <v>10</v>
      </c>
      <c r="CB236" s="79">
        <f t="shared" si="25"/>
        <v>45</v>
      </c>
      <c r="CC236" s="79" t="str">
        <f t="shared" ref="CC236" si="136">_xlfn.TEXTJOIN(", ",TRUE,$CD236:$CF236)</f>
        <v>Lenguaje de señas</v>
      </c>
      <c r="CD236" s="79" t="s">
        <v>349</v>
      </c>
      <c r="CE236" s="79"/>
      <c r="CF236" s="79"/>
      <c r="CG236" s="83" t="s">
        <v>1142</v>
      </c>
      <c r="CH236" s="41"/>
      <c r="CI236" s="79" t="s">
        <v>153</v>
      </c>
      <c r="CJ236" s="71"/>
      <c r="CK236" s="79">
        <f t="shared" si="38"/>
        <v>0</v>
      </c>
      <c r="CL236" s="79"/>
      <c r="CM236" s="79"/>
      <c r="CN236" s="79"/>
      <c r="CO236" s="79"/>
      <c r="CP236" s="79"/>
      <c r="CQ236" s="79"/>
      <c r="CR236" s="83" t="s">
        <v>179</v>
      </c>
      <c r="CS236" s="83" t="s">
        <v>179</v>
      </c>
      <c r="CT236" s="83" t="s">
        <v>179</v>
      </c>
      <c r="CU236" s="83" t="s">
        <v>179</v>
      </c>
      <c r="CV236" s="83" t="s">
        <v>179</v>
      </c>
      <c r="CW236" s="83" t="s">
        <v>179</v>
      </c>
      <c r="CX236" s="79" t="s">
        <v>153</v>
      </c>
      <c r="CY236" s="79">
        <f t="shared" si="120"/>
        <v>0</v>
      </c>
      <c r="CZ236" s="79">
        <v>0</v>
      </c>
      <c r="DA236" s="79">
        <f t="shared" si="121"/>
        <v>0</v>
      </c>
      <c r="DB236" s="84" t="str">
        <f t="shared" si="122"/>
        <v/>
      </c>
      <c r="DC236" s="41"/>
      <c r="DD236" s="79" t="s">
        <v>153</v>
      </c>
      <c r="DE236" s="71"/>
      <c r="DF236" s="85" t="s">
        <v>1830</v>
      </c>
      <c r="DG236" s="79" t="s">
        <v>1831</v>
      </c>
      <c r="DH236" s="86" t="str">
        <f t="shared" si="124"/>
        <v>Completo</v>
      </c>
      <c r="DI236" s="79" t="s">
        <v>181</v>
      </c>
      <c r="DJ236" s="79" t="s">
        <v>182</v>
      </c>
      <c r="DK236" s="79"/>
      <c r="DL236" s="79">
        <v>0</v>
      </c>
      <c r="DM236" s="79">
        <v>0</v>
      </c>
      <c r="DN236" s="79" t="s">
        <v>182</v>
      </c>
      <c r="DO236" s="79"/>
      <c r="DP236" s="79"/>
      <c r="DQ236" s="79"/>
      <c r="DR236" s="75" t="str">
        <f t="shared" si="111"/>
        <v>No aplica</v>
      </c>
      <c r="DS236" s="79"/>
      <c r="DT236" s="79"/>
      <c r="DU236" s="75" t="str">
        <f t="shared" si="112"/>
        <v>No aplica</v>
      </c>
      <c r="DV236" s="79" t="s">
        <v>182</v>
      </c>
      <c r="DW236" s="79" t="s">
        <v>182</v>
      </c>
      <c r="DX236" s="79"/>
      <c r="DY236" s="79"/>
      <c r="DZ236" s="79" t="s">
        <v>1144</v>
      </c>
      <c r="EA236" s="79"/>
      <c r="EB236" s="79"/>
      <c r="EC236" s="79"/>
      <c r="ED236" s="79" t="s">
        <v>1832</v>
      </c>
      <c r="EE236" s="79" t="str">
        <f t="shared" si="135"/>
        <v>Completo</v>
      </c>
      <c r="EF236" s="41"/>
      <c r="EG236" s="79" t="s">
        <v>153</v>
      </c>
      <c r="EH236" s="71"/>
      <c r="EI236" s="80"/>
      <c r="EJ236" s="71"/>
      <c r="EK236" s="79"/>
      <c r="EL236" s="87" t="str">
        <f t="shared" si="113"/>
        <v>No requiere</v>
      </c>
      <c r="EM236" s="87" t="str">
        <f t="shared" si="114"/>
        <v>No requiere</v>
      </c>
      <c r="EN236" s="87" t="str">
        <f t="shared" ref="EN236" si="137">IF(F236="NO","No requiere",IF(H236="No","No requiere",IF(CC236="","",IF(CD236&lt;&gt;"No aplica",IF(CD236&lt;&gt;"Ninguna",IF(COUNTIF(CD236:CF236,"*")&gt;=1,"Sí","No"),"No"),"No aplica"))))</f>
        <v>No requiere</v>
      </c>
      <c r="EO236" s="71"/>
      <c r="EP236" s="84" t="str">
        <f t="shared" si="115"/>
        <v>No requiere</v>
      </c>
      <c r="EQ236" s="88" t="str">
        <f t="shared" si="116"/>
        <v>No requiere</v>
      </c>
      <c r="ER236" s="71"/>
      <c r="ES236" s="79"/>
      <c r="ET236" s="84" t="str">
        <f t="shared" si="117"/>
        <v>No requiere</v>
      </c>
      <c r="EU236" s="84" t="str">
        <f t="shared" ref="EU236" si="138">IF(F236="NO","No requiere",IF(H236="No","No requiere",IF(B236="","",IF(CX236="SÍ",IF(CK236&gt;=1,CY236/CK236,"Sin compromisos"),"Por verificar"))))</f>
        <v>No requiere</v>
      </c>
      <c r="EV236" s="84" t="str">
        <f t="shared" si="118"/>
        <v>No requiere</v>
      </c>
      <c r="EW236" s="84" t="str">
        <f t="shared" si="119"/>
        <v>No requiere</v>
      </c>
      <c r="EX236" s="78"/>
      <c r="EY236" s="78"/>
    </row>
    <row r="237" spans="1:155" ht="46.5" customHeight="1">
      <c r="A237" s="79">
        <v>233</v>
      </c>
      <c r="B237" s="80" t="s">
        <v>1833</v>
      </c>
      <c r="C237" s="81">
        <v>45388</v>
      </c>
      <c r="D237" s="82">
        <v>0.375</v>
      </c>
      <c r="E237" s="79" t="s">
        <v>151</v>
      </c>
      <c r="F237" s="79" t="s">
        <v>153</v>
      </c>
      <c r="G237" s="79" t="s">
        <v>153</v>
      </c>
      <c r="H237" s="79" t="s">
        <v>153</v>
      </c>
      <c r="I237" s="79" t="s">
        <v>152</v>
      </c>
      <c r="J237" s="79" t="s">
        <v>154</v>
      </c>
      <c r="K237" s="79" t="s">
        <v>155</v>
      </c>
      <c r="L237" s="80" t="s">
        <v>600</v>
      </c>
      <c r="M237" s="80" t="s">
        <v>303</v>
      </c>
      <c r="N237" s="79" t="s">
        <v>818</v>
      </c>
      <c r="O237" s="80" t="str">
        <f t="shared" si="107"/>
        <v>Zuly Marcela Mesa, Armando Alberto Montañez, Juan Pablo Serna, César Augusto Barrantes, Julián Camilo Taylor, Nixon Sandoval Mateus, Disney Sánchez, James Fernando Núñez, Nancy Stella Villa , David Reinaldo Jojoa, Yohan David Díaz, Camila María Santana</v>
      </c>
      <c r="P237" s="79" t="s">
        <v>547</v>
      </c>
      <c r="Q237" s="79" t="s">
        <v>1387</v>
      </c>
      <c r="R237" s="79" t="s">
        <v>818</v>
      </c>
      <c r="S237" s="79" t="s">
        <v>729</v>
      </c>
      <c r="T237" s="79" t="s">
        <v>886</v>
      </c>
      <c r="U237" s="79" t="s">
        <v>644</v>
      </c>
      <c r="V237" s="79" t="s">
        <v>721</v>
      </c>
      <c r="W237" s="79" t="s">
        <v>632</v>
      </c>
      <c r="X237" s="79" t="s">
        <v>1611</v>
      </c>
      <c r="Y237" s="79" t="s">
        <v>548</v>
      </c>
      <c r="Z237" s="79" t="s">
        <v>164</v>
      </c>
      <c r="AA237" s="79" t="s">
        <v>861</v>
      </c>
      <c r="AB237" s="79"/>
      <c r="AC237" s="79"/>
      <c r="AD237" s="79"/>
      <c r="AE237" s="79"/>
      <c r="AF237" s="79"/>
      <c r="AG237" s="79"/>
      <c r="AH237" s="79"/>
      <c r="AI237" s="79"/>
      <c r="AJ237" s="79"/>
      <c r="AK237" s="79"/>
      <c r="AL237" s="79"/>
      <c r="AM237" s="79"/>
      <c r="AN237" s="79"/>
      <c r="AO237" s="79" t="s">
        <v>304</v>
      </c>
      <c r="AP237" s="79"/>
      <c r="AQ237" s="80" t="s">
        <v>171</v>
      </c>
      <c r="AR237" s="80" t="s">
        <v>171</v>
      </c>
      <c r="AS237" s="80" t="s">
        <v>171</v>
      </c>
      <c r="AT237" s="80" t="str">
        <f t="shared" si="108"/>
        <v>Teusaquillo</v>
      </c>
      <c r="AU237" s="79" t="s">
        <v>1004</v>
      </c>
      <c r="AV237" s="79"/>
      <c r="AW237" s="79"/>
      <c r="AX237" s="79"/>
      <c r="AY237" s="79"/>
      <c r="AZ237" s="79"/>
      <c r="BA237" s="80" t="str">
        <f t="shared" si="109"/>
        <v>Centro Ampliado</v>
      </c>
      <c r="BB237" s="79" t="s">
        <v>636</v>
      </c>
      <c r="BC237" s="79"/>
      <c r="BD237" s="79"/>
      <c r="BE237" s="79"/>
      <c r="BF237" s="79"/>
      <c r="BG237" s="79"/>
      <c r="BH237" s="80" t="str">
        <f t="shared" si="110"/>
        <v>Teusaquillo</v>
      </c>
      <c r="BI237" s="79" t="s">
        <v>1004</v>
      </c>
      <c r="BJ237" s="79"/>
      <c r="BK237" s="79"/>
      <c r="BL237" s="79"/>
      <c r="BM237" s="79"/>
      <c r="BN237" s="79"/>
      <c r="BO237" s="79"/>
      <c r="BP237" s="79"/>
      <c r="BQ237" s="79"/>
      <c r="BR237" s="79"/>
      <c r="BS237" s="80" t="s">
        <v>288</v>
      </c>
      <c r="BT237" s="80" t="s">
        <v>605</v>
      </c>
      <c r="BU237" s="80" t="s">
        <v>1834</v>
      </c>
      <c r="BV237" s="71"/>
      <c r="BW237" s="79" t="s">
        <v>153</v>
      </c>
      <c r="BX237" s="79" t="s">
        <v>607</v>
      </c>
      <c r="BY237" s="71"/>
      <c r="BZ237" s="79">
        <v>87</v>
      </c>
      <c r="CA237" s="79">
        <v>17</v>
      </c>
      <c r="CB237" s="79">
        <f>BZ237+CA237</f>
        <v>104</v>
      </c>
      <c r="CC237" s="79" t="str">
        <f t="shared" ref="CC237:CC300" si="139">_xlfn.TEXTJOIN(", ",TRUE,$CD237:$CF237)</f>
        <v>Accesibilidad Universal, Horarios Acordes, Contenidos adaptados</v>
      </c>
      <c r="CD237" s="79" t="s">
        <v>397</v>
      </c>
      <c r="CE237" s="79" t="s">
        <v>351</v>
      </c>
      <c r="CF237" s="79" t="s">
        <v>350</v>
      </c>
      <c r="CG237" s="83" t="s">
        <v>1315</v>
      </c>
      <c r="CH237" s="41"/>
      <c r="CI237" s="79" t="s">
        <v>153</v>
      </c>
      <c r="CJ237" s="71"/>
      <c r="CK237" s="79">
        <f>COUNTIF(CL237:CQ237,"*")</f>
        <v>1</v>
      </c>
      <c r="CL237" s="79" t="s">
        <v>1214</v>
      </c>
      <c r="CM237" s="79"/>
      <c r="CN237" s="79"/>
      <c r="CO237" s="79"/>
      <c r="CP237" s="79"/>
      <c r="CQ237" s="79"/>
      <c r="CR237" s="83" t="s">
        <v>390</v>
      </c>
      <c r="CS237" s="83" t="s">
        <v>179</v>
      </c>
      <c r="CT237" s="83" t="s">
        <v>179</v>
      </c>
      <c r="CU237" s="83" t="s">
        <v>179</v>
      </c>
      <c r="CV237" s="83" t="s">
        <v>179</v>
      </c>
      <c r="CW237" s="83" t="s">
        <v>179</v>
      </c>
      <c r="CX237" s="79" t="s">
        <v>153</v>
      </c>
      <c r="CY237" s="79">
        <f>SUM(COUNTIF(CR237:CW237,"Realizado y Devuelto a la Ciudadanía"),COUNTIF(CR237:CW237,"Realizado y Trasladado por competencia"), COUNTIF(CR237:CW237,"Realizado y Gestionado"))</f>
        <v>1</v>
      </c>
      <c r="CZ237" s="79">
        <v>1</v>
      </c>
      <c r="DA237" s="79">
        <f>COUNTIF(CR237:CW237,"Realizado y Devuelto a la Ciudadanía")</f>
        <v>1</v>
      </c>
      <c r="DB237" s="84">
        <f>IFERROR(CY237/CK237,"")</f>
        <v>1</v>
      </c>
      <c r="DC237" s="41"/>
      <c r="DD237" s="79" t="s">
        <v>153</v>
      </c>
      <c r="DE237" s="71"/>
      <c r="DF237" s="85" t="s">
        <v>1835</v>
      </c>
      <c r="DG237" s="79">
        <v>227</v>
      </c>
      <c r="DH237" s="86" t="str">
        <f t="shared" si="124"/>
        <v>Completo</v>
      </c>
      <c r="DI237" s="79" t="s">
        <v>181</v>
      </c>
      <c r="DJ237" s="79" t="s">
        <v>182</v>
      </c>
      <c r="DK237" s="79" t="s">
        <v>153</v>
      </c>
      <c r="DL237" s="79">
        <v>0</v>
      </c>
      <c r="DM237" s="79">
        <v>0</v>
      </c>
      <c r="DN237" s="79" t="s">
        <v>182</v>
      </c>
      <c r="DO237" s="79">
        <v>0</v>
      </c>
      <c r="DP237" s="79" t="s">
        <v>182</v>
      </c>
      <c r="DQ237" s="79">
        <v>31</v>
      </c>
      <c r="DR237" s="75">
        <f t="shared" si="111"/>
        <v>1.1877394636015326</v>
      </c>
      <c r="DS237" s="79" t="s">
        <v>182</v>
      </c>
      <c r="DT237" s="79">
        <v>64</v>
      </c>
      <c r="DU237" s="75">
        <f t="shared" si="112"/>
        <v>2.1018062397372743</v>
      </c>
      <c r="DV237" s="79" t="s">
        <v>182</v>
      </c>
      <c r="DW237" s="79" t="s">
        <v>182</v>
      </c>
      <c r="DX237" s="79">
        <v>4</v>
      </c>
      <c r="DY237" s="79">
        <v>1</v>
      </c>
      <c r="DZ237" s="79" t="s">
        <v>1035</v>
      </c>
      <c r="EA237" s="79">
        <v>2243</v>
      </c>
      <c r="EB237" s="79" t="s">
        <v>182</v>
      </c>
      <c r="EC237" s="79" t="s">
        <v>1826</v>
      </c>
      <c r="ED237" s="79" t="s">
        <v>184</v>
      </c>
      <c r="EE237" s="79" t="str">
        <f>IF(DI237="Subsanado","Completo","Por Completar")</f>
        <v>Completo</v>
      </c>
      <c r="EF237" s="41"/>
      <c r="EG237" s="79" t="s">
        <v>153</v>
      </c>
      <c r="EH237" s="71"/>
      <c r="EI237" s="89" t="s">
        <v>1836</v>
      </c>
      <c r="EJ237" s="71"/>
      <c r="EK237" s="79" t="s">
        <v>393</v>
      </c>
      <c r="EL237" s="76" t="str">
        <f t="shared" si="113"/>
        <v>Sí</v>
      </c>
      <c r="EM237" s="76" t="str">
        <f t="shared" si="114"/>
        <v>Sí</v>
      </c>
      <c r="EN237" s="76" t="str">
        <f t="shared" ref="EN237:EN300" si="140">IF(F237="NO","No requiere",IF(H237="No","No requiere",IF(CC237="","",IF(CD237&lt;&gt;"No aplica",IF(CD237&lt;&gt;"Ninguna",IF(COUNTIF(CD237:CF237,"*")&gt;=1,"Sí","No"),"No"),"No aplica"))))</f>
        <v>Sí</v>
      </c>
      <c r="EO237" s="71"/>
      <c r="EP237" s="73" t="str">
        <f t="shared" si="115"/>
        <v>No aplica</v>
      </c>
      <c r="EQ237" s="77">
        <f t="shared" si="116"/>
        <v>2.1018062397372743</v>
      </c>
      <c r="ER237" s="71"/>
      <c r="ES237" s="79" t="s">
        <v>393</v>
      </c>
      <c r="ET237" s="73">
        <f t="shared" si="117"/>
        <v>1</v>
      </c>
      <c r="EU237" s="73">
        <f t="shared" ref="EU237:EU300" si="141">IF(F237="NO","No requiere",IF(H237="No","No requiere",IF(B237="","",IF(CX237="SÍ",IF(CK237&gt;=1,CY237/CK237,"Sin compromisos"),"Por verificar"))))</f>
        <v>1</v>
      </c>
      <c r="EV237" s="73">
        <f t="shared" si="118"/>
        <v>1</v>
      </c>
      <c r="EW237" s="73">
        <f t="shared" si="119"/>
        <v>0</v>
      </c>
      <c r="EX237" s="78"/>
      <c r="EY237" s="78"/>
    </row>
    <row r="238" spans="1:155" ht="46.5" customHeight="1">
      <c r="A238" s="79">
        <v>234</v>
      </c>
      <c r="B238" s="80" t="s">
        <v>1837</v>
      </c>
      <c r="C238" s="81">
        <v>45388</v>
      </c>
      <c r="D238" s="82">
        <v>0.41666666666666669</v>
      </c>
      <c r="E238" s="79" t="s">
        <v>151</v>
      </c>
      <c r="F238" s="79" t="s">
        <v>153</v>
      </c>
      <c r="G238" s="79" t="s">
        <v>153</v>
      </c>
      <c r="H238" s="79" t="s">
        <v>152</v>
      </c>
      <c r="I238" s="79" t="s">
        <v>152</v>
      </c>
      <c r="J238" s="79" t="s">
        <v>154</v>
      </c>
      <c r="K238" s="79" t="s">
        <v>155</v>
      </c>
      <c r="L238" s="80" t="s">
        <v>1838</v>
      </c>
      <c r="M238" s="80" t="s">
        <v>303</v>
      </c>
      <c r="N238" s="79" t="s">
        <v>163</v>
      </c>
      <c r="O238" s="80" t="str">
        <f t="shared" si="107"/>
        <v xml:space="preserve">Laura Camila Bechara, Aida Vanessa Rocha, Luis Fernando Barreto </v>
      </c>
      <c r="P238" s="79" t="s">
        <v>887</v>
      </c>
      <c r="Q238" s="79" t="s">
        <v>801</v>
      </c>
      <c r="R238" s="79" t="s">
        <v>720</v>
      </c>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t="s">
        <v>230</v>
      </c>
      <c r="AP238" s="79" t="s">
        <v>925</v>
      </c>
      <c r="AQ238" s="80" t="s">
        <v>1839</v>
      </c>
      <c r="AR238" s="83">
        <v>3013547532</v>
      </c>
      <c r="AS238" s="80" t="s">
        <v>1840</v>
      </c>
      <c r="AT238" s="80" t="str">
        <f t="shared" si="108"/>
        <v>Distrital</v>
      </c>
      <c r="AU238" s="79" t="s">
        <v>172</v>
      </c>
      <c r="AV238" s="79"/>
      <c r="AW238" s="79"/>
      <c r="AX238" s="79"/>
      <c r="AY238" s="79"/>
      <c r="AZ238" s="79"/>
      <c r="BA238" s="80" t="str">
        <f t="shared" si="109"/>
        <v>Distrital</v>
      </c>
      <c r="BB238" s="79" t="s">
        <v>172</v>
      </c>
      <c r="BC238" s="79"/>
      <c r="BD238" s="79"/>
      <c r="BE238" s="79"/>
      <c r="BF238" s="79"/>
      <c r="BG238" s="79"/>
      <c r="BH238" s="80" t="str">
        <f t="shared" si="110"/>
        <v>Distrital</v>
      </c>
      <c r="BI238" s="79" t="s">
        <v>172</v>
      </c>
      <c r="BJ238" s="79"/>
      <c r="BK238" s="79"/>
      <c r="BL238" s="79"/>
      <c r="BM238" s="79"/>
      <c r="BN238" s="79"/>
      <c r="BO238" s="79"/>
      <c r="BP238" s="79"/>
      <c r="BQ238" s="79"/>
      <c r="BR238" s="79"/>
      <c r="BS238" s="80" t="s">
        <v>288</v>
      </c>
      <c r="BT238" s="80" t="s">
        <v>1242</v>
      </c>
      <c r="BU238" s="80" t="s">
        <v>978</v>
      </c>
      <c r="BV238" s="71"/>
      <c r="BW238" s="79" t="s">
        <v>153</v>
      </c>
      <c r="BX238" s="79" t="s">
        <v>607</v>
      </c>
      <c r="BY238" s="71"/>
      <c r="BZ238" s="79">
        <v>52</v>
      </c>
      <c r="CA238" s="79">
        <v>4</v>
      </c>
      <c r="CB238" s="79">
        <f t="shared" si="25"/>
        <v>56</v>
      </c>
      <c r="CC238" s="79" t="str">
        <f t="shared" si="139"/>
        <v>No Aplica</v>
      </c>
      <c r="CD238" s="79" t="s">
        <v>177</v>
      </c>
      <c r="CE238" s="79"/>
      <c r="CF238" s="79"/>
      <c r="CG238" s="83" t="s">
        <v>1841</v>
      </c>
      <c r="CH238" s="41"/>
      <c r="CI238" s="79" t="s">
        <v>153</v>
      </c>
      <c r="CJ238" s="71"/>
      <c r="CK238" s="79">
        <f t="shared" si="38"/>
        <v>0</v>
      </c>
      <c r="CL238" s="79"/>
      <c r="CM238" s="79"/>
      <c r="CN238" s="79"/>
      <c r="CO238" s="79"/>
      <c r="CP238" s="79"/>
      <c r="CQ238" s="79"/>
      <c r="CR238" s="83"/>
      <c r="CS238" s="83"/>
      <c r="CT238" s="83"/>
      <c r="CU238" s="83"/>
      <c r="CV238" s="83"/>
      <c r="CW238" s="83"/>
      <c r="CX238" s="79"/>
      <c r="CY238" s="79">
        <f t="shared" si="120"/>
        <v>0</v>
      </c>
      <c r="CZ238" s="79">
        <v>0</v>
      </c>
      <c r="DA238" s="79">
        <f t="shared" si="121"/>
        <v>0</v>
      </c>
      <c r="DB238" s="84" t="str">
        <f t="shared" si="122"/>
        <v/>
      </c>
      <c r="DC238" s="41"/>
      <c r="DD238" s="79"/>
      <c r="DE238" s="71"/>
      <c r="DF238" s="85" t="s">
        <v>1842</v>
      </c>
      <c r="DG238" s="79">
        <v>228</v>
      </c>
      <c r="DH238" s="86">
        <f t="shared" si="124"/>
        <v>45391</v>
      </c>
      <c r="DI238" s="79" t="s">
        <v>1246</v>
      </c>
      <c r="DJ238" s="79"/>
      <c r="DK238" s="79"/>
      <c r="DL238" s="79">
        <v>0</v>
      </c>
      <c r="DM238" s="79">
        <v>0</v>
      </c>
      <c r="DN238" s="79"/>
      <c r="DO238" s="79"/>
      <c r="DP238" s="79"/>
      <c r="DQ238" s="79"/>
      <c r="DR238" s="75" t="str">
        <f t="shared" si="111"/>
        <v>No aplica</v>
      </c>
      <c r="DS238" s="79"/>
      <c r="DT238" s="79"/>
      <c r="DU238" s="75" t="str">
        <f t="shared" si="112"/>
        <v>No aplica</v>
      </c>
      <c r="DV238" s="79" t="s">
        <v>182</v>
      </c>
      <c r="DW238" s="79"/>
      <c r="DX238" s="79"/>
      <c r="DY238" s="79"/>
      <c r="DZ238" s="79"/>
      <c r="EA238" s="79" t="s">
        <v>179</v>
      </c>
      <c r="EB238" s="79"/>
      <c r="EC238" s="79"/>
      <c r="ED238" s="79" t="s">
        <v>1843</v>
      </c>
      <c r="EE238" s="79" t="str">
        <f t="shared" si="135"/>
        <v>Por Completar</v>
      </c>
      <c r="EF238" s="41"/>
      <c r="EG238" s="79" t="s">
        <v>152</v>
      </c>
      <c r="EH238" s="71"/>
      <c r="EI238" s="80"/>
      <c r="EJ238" s="71"/>
      <c r="EK238" s="79" t="s">
        <v>179</v>
      </c>
      <c r="EL238" s="76" t="str">
        <f t="shared" si="113"/>
        <v>No requiere</v>
      </c>
      <c r="EM238" s="76" t="str">
        <f t="shared" si="114"/>
        <v>No requiere</v>
      </c>
      <c r="EN238" s="76" t="str">
        <f t="shared" si="140"/>
        <v>No requiere</v>
      </c>
      <c r="EO238" s="71"/>
      <c r="EP238" s="73" t="str">
        <f t="shared" si="115"/>
        <v>No requiere</v>
      </c>
      <c r="EQ238" s="77" t="str">
        <f t="shared" si="116"/>
        <v>No requiere</v>
      </c>
      <c r="ER238" s="71"/>
      <c r="ES238" s="79" t="s">
        <v>179</v>
      </c>
      <c r="ET238" s="73" t="str">
        <f t="shared" si="117"/>
        <v>No requiere</v>
      </c>
      <c r="EU238" s="73" t="str">
        <f t="shared" si="141"/>
        <v>No requiere</v>
      </c>
      <c r="EV238" s="73" t="str">
        <f t="shared" si="118"/>
        <v>No requiere</v>
      </c>
      <c r="EW238" s="73" t="str">
        <f t="shared" si="119"/>
        <v>No requiere</v>
      </c>
      <c r="EX238" s="78"/>
      <c r="EY238" s="78"/>
    </row>
    <row r="239" spans="1:155" ht="46.5" customHeight="1">
      <c r="A239" s="79">
        <v>235</v>
      </c>
      <c r="B239" s="80" t="s">
        <v>1844</v>
      </c>
      <c r="C239" s="81">
        <v>45388</v>
      </c>
      <c r="D239" s="82">
        <v>0.375</v>
      </c>
      <c r="E239" s="79" t="s">
        <v>151</v>
      </c>
      <c r="F239" s="79" t="s">
        <v>153</v>
      </c>
      <c r="G239" s="79" t="s">
        <v>153</v>
      </c>
      <c r="H239" s="79" t="s">
        <v>153</v>
      </c>
      <c r="I239" s="79" t="s">
        <v>152</v>
      </c>
      <c r="J239" s="79" t="s">
        <v>154</v>
      </c>
      <c r="K239" s="79" t="s">
        <v>155</v>
      </c>
      <c r="L239" s="80" t="s">
        <v>600</v>
      </c>
      <c r="M239" s="80" t="s">
        <v>303</v>
      </c>
      <c r="N239" s="79" t="s">
        <v>645</v>
      </c>
      <c r="O239" s="80" t="str">
        <f t="shared" si="107"/>
        <v>Ana María Ulloa, William Jair Gil, Valentina González Pontón, Nicolas Esteban Hernández, Mónica Lyzeth Cantor, Joan Sebastian García, Laura Sofia Morales, Camilo Andrés Vásquez</v>
      </c>
      <c r="P239" s="79" t="s">
        <v>522</v>
      </c>
      <c r="Q239" s="79" t="s">
        <v>862</v>
      </c>
      <c r="R239" s="79" t="s">
        <v>329</v>
      </c>
      <c r="S239" s="79" t="s">
        <v>645</v>
      </c>
      <c r="T239" s="79" t="s">
        <v>346</v>
      </c>
      <c r="U239" s="79" t="s">
        <v>728</v>
      </c>
      <c r="V239" s="79" t="s">
        <v>506</v>
      </c>
      <c r="W239" s="79" t="s">
        <v>373</v>
      </c>
      <c r="X239" s="79"/>
      <c r="Y239" s="79"/>
      <c r="Z239" s="79"/>
      <c r="AA239" s="79"/>
      <c r="AB239" s="79"/>
      <c r="AC239" s="79"/>
      <c r="AD239" s="79"/>
      <c r="AE239" s="79"/>
      <c r="AF239" s="79"/>
      <c r="AG239" s="79"/>
      <c r="AH239" s="79"/>
      <c r="AI239" s="79"/>
      <c r="AJ239" s="79"/>
      <c r="AK239" s="79"/>
      <c r="AL239" s="79"/>
      <c r="AM239" s="79"/>
      <c r="AN239" s="79"/>
      <c r="AO239" s="79" t="s">
        <v>304</v>
      </c>
      <c r="AP239" s="79"/>
      <c r="AQ239" s="80" t="s">
        <v>171</v>
      </c>
      <c r="AR239" s="80" t="s">
        <v>171</v>
      </c>
      <c r="AS239" s="80" t="s">
        <v>171</v>
      </c>
      <c r="AT239" s="80" t="str">
        <f t="shared" si="108"/>
        <v>Usme, Ciudad Bolívar</v>
      </c>
      <c r="AU239" s="79" t="s">
        <v>1009</v>
      </c>
      <c r="AV239" s="79" t="s">
        <v>217</v>
      </c>
      <c r="AW239" s="79"/>
      <c r="AX239" s="79"/>
      <c r="AY239" s="79"/>
      <c r="AZ239" s="79"/>
      <c r="BA239" s="80" t="str">
        <f t="shared" si="109"/>
        <v>Ruralidad</v>
      </c>
      <c r="BB239" s="79" t="s">
        <v>219</v>
      </c>
      <c r="BC239" s="79"/>
      <c r="BD239" s="79"/>
      <c r="BE239" s="79"/>
      <c r="BF239" s="79"/>
      <c r="BG239" s="79"/>
      <c r="BH239" s="80" t="str">
        <f t="shared" si="110"/>
        <v>Cuenca del Tunjuelo</v>
      </c>
      <c r="BI239" s="79" t="s">
        <v>222</v>
      </c>
      <c r="BJ239" s="79"/>
      <c r="BK239" s="79"/>
      <c r="BL239" s="79"/>
      <c r="BM239" s="79"/>
      <c r="BN239" s="79"/>
      <c r="BO239" s="79"/>
      <c r="BP239" s="79"/>
      <c r="BQ239" s="79"/>
      <c r="BR239" s="79"/>
      <c r="BS239" s="80" t="s">
        <v>288</v>
      </c>
      <c r="BT239" s="80" t="s">
        <v>605</v>
      </c>
      <c r="BU239" s="80" t="s">
        <v>978</v>
      </c>
      <c r="BV239" s="71"/>
      <c r="BW239" s="79" t="s">
        <v>153</v>
      </c>
      <c r="BX239" s="79" t="s">
        <v>607</v>
      </c>
      <c r="BY239" s="71"/>
      <c r="BZ239" s="79">
        <v>52</v>
      </c>
      <c r="CA239" s="79">
        <v>13</v>
      </c>
      <c r="CB239" s="79">
        <f>BZ239+CA239</f>
        <v>65</v>
      </c>
      <c r="CC239" s="79" t="str">
        <f t="shared" si="139"/>
        <v>Ninguna</v>
      </c>
      <c r="CD239" s="79" t="s">
        <v>174</v>
      </c>
      <c r="CE239" s="79"/>
      <c r="CF239" s="79"/>
      <c r="CG239" s="83" t="s">
        <v>1845</v>
      </c>
      <c r="CH239" s="41"/>
      <c r="CI239" s="79" t="s">
        <v>153</v>
      </c>
      <c r="CJ239" s="71"/>
      <c r="CK239" s="79">
        <f>COUNTIF(CL239:CQ239,"*")</f>
        <v>1</v>
      </c>
      <c r="CL239" s="79" t="s">
        <v>1214</v>
      </c>
      <c r="CM239" s="79"/>
      <c r="CN239" s="79"/>
      <c r="CO239" s="79"/>
      <c r="CP239" s="79"/>
      <c r="CQ239" s="79"/>
      <c r="CR239" s="83" t="s">
        <v>390</v>
      </c>
      <c r="CS239" s="83"/>
      <c r="CT239" s="83"/>
      <c r="CU239" s="83"/>
      <c r="CV239" s="83"/>
      <c r="CW239" s="83"/>
      <c r="CX239" s="79" t="s">
        <v>153</v>
      </c>
      <c r="CY239" s="79">
        <f>SUM(COUNTIF(CR239:CW239,"Realizado y Devuelto a la Ciudadanía"),COUNTIF(CR239:CW239,"Realizado y Trasladado por competencia"), COUNTIF(CR239:CW239,"Realizado y Gestionado"))</f>
        <v>1</v>
      </c>
      <c r="CZ239" s="79">
        <v>1</v>
      </c>
      <c r="DA239" s="79">
        <f>COUNTIF(CR239:CW239,"Realizado y Devuelto a la Ciudadanía")</f>
        <v>1</v>
      </c>
      <c r="DB239" s="84">
        <f>IFERROR(CY239/CK239,"")</f>
        <v>1</v>
      </c>
      <c r="DC239" s="41"/>
      <c r="DD239" s="79" t="s">
        <v>153</v>
      </c>
      <c r="DE239" s="71"/>
      <c r="DF239" s="85" t="s">
        <v>1846</v>
      </c>
      <c r="DG239" s="79">
        <v>229</v>
      </c>
      <c r="DH239" s="86" t="str">
        <f t="shared" si="124"/>
        <v>Completo</v>
      </c>
      <c r="DI239" s="79" t="s">
        <v>181</v>
      </c>
      <c r="DJ239" s="79" t="s">
        <v>182</v>
      </c>
      <c r="DK239" s="79" t="s">
        <v>153</v>
      </c>
      <c r="DL239" s="79">
        <v>0</v>
      </c>
      <c r="DM239" s="79">
        <v>0</v>
      </c>
      <c r="DN239" s="79" t="s">
        <v>182</v>
      </c>
      <c r="DO239" s="79">
        <v>6179</v>
      </c>
      <c r="DP239" s="79" t="s">
        <v>182</v>
      </c>
      <c r="DQ239" s="79">
        <v>20</v>
      </c>
      <c r="DR239" s="75">
        <f t="shared" si="111"/>
        <v>1.2820512820512822</v>
      </c>
      <c r="DS239" s="79" t="s">
        <v>182</v>
      </c>
      <c r="DT239" s="79">
        <v>35</v>
      </c>
      <c r="DU239" s="75">
        <f t="shared" si="112"/>
        <v>1.9230769230769231</v>
      </c>
      <c r="DV239" s="79" t="s">
        <v>182</v>
      </c>
      <c r="DW239" s="79" t="s">
        <v>182</v>
      </c>
      <c r="DX239" s="79">
        <v>4</v>
      </c>
      <c r="DY239" s="79">
        <v>1</v>
      </c>
      <c r="DZ239" s="79" t="s">
        <v>1847</v>
      </c>
      <c r="EA239" s="79">
        <v>6179</v>
      </c>
      <c r="EB239" s="79" t="s">
        <v>182</v>
      </c>
      <c r="EC239" s="79" t="s">
        <v>1848</v>
      </c>
      <c r="ED239" s="79" t="s">
        <v>184</v>
      </c>
      <c r="EE239" s="79" t="str">
        <f>IF(DI239="Subsanado","Completo","Por Completar")</f>
        <v>Completo</v>
      </c>
      <c r="EF239" s="41"/>
      <c r="EG239" s="79" t="s">
        <v>153</v>
      </c>
      <c r="EH239" s="71"/>
      <c r="EI239" s="89" t="s">
        <v>1849</v>
      </c>
      <c r="EJ239" s="71"/>
      <c r="EK239" s="79" t="s">
        <v>393</v>
      </c>
      <c r="EL239" s="76" t="str">
        <f t="shared" si="113"/>
        <v>Sí</v>
      </c>
      <c r="EM239" s="76" t="str">
        <f t="shared" si="114"/>
        <v>Sí</v>
      </c>
      <c r="EN239" s="76" t="str">
        <f t="shared" si="140"/>
        <v>No</v>
      </c>
      <c r="EO239" s="71"/>
      <c r="EP239" s="73" t="str">
        <f t="shared" si="115"/>
        <v>No aplica</v>
      </c>
      <c r="EQ239" s="77">
        <f t="shared" si="116"/>
        <v>1.9230769230769231</v>
      </c>
      <c r="ER239" s="71"/>
      <c r="ES239" s="79" t="s">
        <v>393</v>
      </c>
      <c r="ET239" s="73">
        <f t="shared" si="117"/>
        <v>1</v>
      </c>
      <c r="EU239" s="73">
        <f t="shared" si="141"/>
        <v>1</v>
      </c>
      <c r="EV239" s="73">
        <f t="shared" si="118"/>
        <v>1</v>
      </c>
      <c r="EW239" s="73">
        <f t="shared" si="119"/>
        <v>1</v>
      </c>
      <c r="EX239" s="78"/>
      <c r="EY239" s="78"/>
    </row>
    <row r="240" spans="1:155" ht="46.5" customHeight="1">
      <c r="A240" s="79">
        <v>236</v>
      </c>
      <c r="B240" s="80" t="s">
        <v>1850</v>
      </c>
      <c r="C240" s="81">
        <v>45388</v>
      </c>
      <c r="D240" s="82">
        <v>0.875</v>
      </c>
      <c r="E240" s="79" t="s">
        <v>151</v>
      </c>
      <c r="F240" s="79" t="s">
        <v>153</v>
      </c>
      <c r="G240" s="79" t="s">
        <v>153</v>
      </c>
      <c r="H240" s="79" t="s">
        <v>152</v>
      </c>
      <c r="I240" s="79" t="s">
        <v>152</v>
      </c>
      <c r="J240" s="79" t="s">
        <v>154</v>
      </c>
      <c r="K240" s="79" t="s">
        <v>155</v>
      </c>
      <c r="L240" s="80" t="s">
        <v>600</v>
      </c>
      <c r="M240" s="80" t="s">
        <v>327</v>
      </c>
      <c r="N240" s="79" t="s">
        <v>525</v>
      </c>
      <c r="O240" s="80" t="str">
        <f t="shared" si="107"/>
        <v>Mario Herrera, César Augusto Barrantes, Manuel Fernando Vergara, Andres Castro Latorre, Nicolás Enrique Moncaleano, Nicolás Esteban Flórez, Reinaldo Terrios Andrade, Yeiker Guerra Sarmiento, Carlos Eduardo Escandón</v>
      </c>
      <c r="P240" s="79" t="s">
        <v>631</v>
      </c>
      <c r="Q240" s="79" t="s">
        <v>729</v>
      </c>
      <c r="R240" s="79" t="s">
        <v>820</v>
      </c>
      <c r="S240" s="79" t="s">
        <v>749</v>
      </c>
      <c r="T240" s="79" t="s">
        <v>966</v>
      </c>
      <c r="U240" s="79" t="s">
        <v>472</v>
      </c>
      <c r="V240" s="79" t="s">
        <v>675</v>
      </c>
      <c r="W240" s="79" t="s">
        <v>163</v>
      </c>
      <c r="X240" s="79" t="s">
        <v>819</v>
      </c>
      <c r="Y240" s="79"/>
      <c r="Z240" s="79"/>
      <c r="AA240" s="79"/>
      <c r="AB240" s="79"/>
      <c r="AC240" s="79"/>
      <c r="AD240" s="79"/>
      <c r="AE240" s="79"/>
      <c r="AF240" s="79"/>
      <c r="AG240" s="79"/>
      <c r="AH240" s="79"/>
      <c r="AI240" s="79"/>
      <c r="AJ240" s="79"/>
      <c r="AK240" s="79"/>
      <c r="AL240" s="79"/>
      <c r="AM240" s="79"/>
      <c r="AN240" s="79"/>
      <c r="AO240" s="79" t="s">
        <v>304</v>
      </c>
      <c r="AP240" s="79"/>
      <c r="AQ240" s="80" t="s">
        <v>1851</v>
      </c>
      <c r="AR240" s="80">
        <v>3105653173</v>
      </c>
      <c r="AS240" s="80" t="s">
        <v>171</v>
      </c>
      <c r="AT240" s="80" t="str">
        <f t="shared" si="108"/>
        <v>Chapinero</v>
      </c>
      <c r="AU240" s="79" t="s">
        <v>360</v>
      </c>
      <c r="AV240" s="79"/>
      <c r="AW240" s="79"/>
      <c r="AX240" s="79"/>
      <c r="AY240" s="79"/>
      <c r="AZ240" s="79"/>
      <c r="BA240" s="80" t="str">
        <f t="shared" si="109"/>
        <v>Centro Ampliado</v>
      </c>
      <c r="BB240" s="79" t="s">
        <v>636</v>
      </c>
      <c r="BC240" s="79"/>
      <c r="BD240" s="79"/>
      <c r="BE240" s="79"/>
      <c r="BF240" s="79"/>
      <c r="BG240" s="79"/>
      <c r="BH240" s="80" t="str">
        <f t="shared" si="110"/>
        <v>Chapinero</v>
      </c>
      <c r="BI240" s="79" t="s">
        <v>360</v>
      </c>
      <c r="BJ240" s="79"/>
      <c r="BK240" s="79"/>
      <c r="BL240" s="79"/>
      <c r="BM240" s="79"/>
      <c r="BN240" s="79"/>
      <c r="BO240" s="79"/>
      <c r="BP240" s="79"/>
      <c r="BQ240" s="79"/>
      <c r="BR240" s="79"/>
      <c r="BS240" s="80" t="s">
        <v>288</v>
      </c>
      <c r="BT240" s="80" t="s">
        <v>174</v>
      </c>
      <c r="BU240" s="80" t="s">
        <v>1852</v>
      </c>
      <c r="BV240" s="71"/>
      <c r="BW240" s="79" t="s">
        <v>153</v>
      </c>
      <c r="BX240" s="79" t="s">
        <v>607</v>
      </c>
      <c r="BY240" s="71"/>
      <c r="BZ240" s="79">
        <v>217</v>
      </c>
      <c r="CA240" s="79">
        <v>10</v>
      </c>
      <c r="CB240" s="79">
        <f>BZ240+CA240</f>
        <v>227</v>
      </c>
      <c r="CC240" s="79" t="str">
        <f t="shared" si="139"/>
        <v>Horarios Acordes</v>
      </c>
      <c r="CD240" s="79" t="s">
        <v>351</v>
      </c>
      <c r="CE240" s="79"/>
      <c r="CF240" s="79"/>
      <c r="CG240" s="83" t="s">
        <v>600</v>
      </c>
      <c r="CH240" s="41"/>
      <c r="CI240" s="79" t="s">
        <v>153</v>
      </c>
      <c r="CJ240" s="71"/>
      <c r="CK240" s="79">
        <f>COUNTIF(CL240:CQ240,"*")</f>
        <v>0</v>
      </c>
      <c r="CL240" s="79"/>
      <c r="CM240" s="79"/>
      <c r="CN240" s="79"/>
      <c r="CO240" s="79"/>
      <c r="CP240" s="79"/>
      <c r="CQ240" s="79"/>
      <c r="CR240" s="83" t="s">
        <v>179</v>
      </c>
      <c r="CS240" s="83" t="s">
        <v>179</v>
      </c>
      <c r="CT240" s="83" t="s">
        <v>179</v>
      </c>
      <c r="CU240" s="83" t="s">
        <v>179</v>
      </c>
      <c r="CV240" s="83" t="s">
        <v>179</v>
      </c>
      <c r="CW240" s="83" t="s">
        <v>179</v>
      </c>
      <c r="CX240" s="79" t="s">
        <v>153</v>
      </c>
      <c r="CY240" s="79">
        <f>SUM(COUNTIF(CR240:CW240,"Realizado y Devuelto a la Ciudadanía"),COUNTIF(CR240:CW240,"Realizado y Trasladado por competencia"), COUNTIF(CR240:CW240,"Realizado y Gestionado"))</f>
        <v>0</v>
      </c>
      <c r="CZ240" s="79">
        <v>0</v>
      </c>
      <c r="DA240" s="79">
        <f>COUNTIF(CR240:CW240,"Realizado y Devuelto a la Ciudadanía")</f>
        <v>0</v>
      </c>
      <c r="DB240" s="84" t="str">
        <f>IFERROR(CY240/CK240,"")</f>
        <v/>
      </c>
      <c r="DC240" s="41"/>
      <c r="DD240" s="79" t="s">
        <v>153</v>
      </c>
      <c r="DE240" s="71"/>
      <c r="DF240" s="85" t="s">
        <v>1853</v>
      </c>
      <c r="DG240" s="79">
        <v>230</v>
      </c>
      <c r="DH240" s="86" t="str">
        <f t="shared" si="124"/>
        <v>Completo</v>
      </c>
      <c r="DI240" s="79" t="s">
        <v>181</v>
      </c>
      <c r="DJ240" s="79" t="s">
        <v>182</v>
      </c>
      <c r="DK240" s="79"/>
      <c r="DL240" s="79">
        <v>0</v>
      </c>
      <c r="DM240" s="79">
        <v>0</v>
      </c>
      <c r="DN240" s="79" t="s">
        <v>182</v>
      </c>
      <c r="DO240" s="79"/>
      <c r="DP240" s="79"/>
      <c r="DQ240" s="79"/>
      <c r="DR240" s="75" t="str">
        <f t="shared" si="111"/>
        <v>No aplica</v>
      </c>
      <c r="DS240" s="79"/>
      <c r="DT240" s="79"/>
      <c r="DU240" s="75" t="str">
        <f t="shared" si="112"/>
        <v>No aplica</v>
      </c>
      <c r="DV240" s="79" t="s">
        <v>182</v>
      </c>
      <c r="DW240" s="79"/>
      <c r="DX240" s="79"/>
      <c r="DY240" s="79"/>
      <c r="DZ240" s="79"/>
      <c r="EA240" s="79"/>
      <c r="EB240" s="79" t="s">
        <v>182</v>
      </c>
      <c r="EC240" s="79" t="s">
        <v>1854</v>
      </c>
      <c r="ED240" s="79" t="s">
        <v>184</v>
      </c>
      <c r="EE240" s="79" t="str">
        <f>IF(DI240="Subsanado","Completo","Por Completar")</f>
        <v>Completo</v>
      </c>
      <c r="EF240" s="41"/>
      <c r="EG240" s="79" t="s">
        <v>153</v>
      </c>
      <c r="EH240" s="71"/>
      <c r="EI240" s="80"/>
      <c r="EJ240" s="71"/>
      <c r="EK240" s="79"/>
      <c r="EL240" s="76" t="str">
        <f t="shared" si="113"/>
        <v>No requiere</v>
      </c>
      <c r="EM240" s="76" t="str">
        <f t="shared" si="114"/>
        <v>No requiere</v>
      </c>
      <c r="EN240" s="76" t="str">
        <f t="shared" si="140"/>
        <v>No requiere</v>
      </c>
      <c r="EO240" s="71"/>
      <c r="EP240" s="73" t="str">
        <f t="shared" si="115"/>
        <v>No requiere</v>
      </c>
      <c r="EQ240" s="77" t="str">
        <f t="shared" si="116"/>
        <v>No requiere</v>
      </c>
      <c r="ER240" s="71"/>
      <c r="ES240" s="79"/>
      <c r="ET240" s="73" t="str">
        <f t="shared" si="117"/>
        <v>No requiere</v>
      </c>
      <c r="EU240" s="73" t="str">
        <f t="shared" si="141"/>
        <v>No requiere</v>
      </c>
      <c r="EV240" s="73" t="str">
        <f t="shared" si="118"/>
        <v>No requiere</v>
      </c>
      <c r="EW240" s="73" t="str">
        <f t="shared" si="119"/>
        <v>No requiere</v>
      </c>
      <c r="EX240" s="78"/>
      <c r="EY240" s="78"/>
    </row>
    <row r="241" spans="1:155" ht="46.5" customHeight="1">
      <c r="A241" s="79">
        <v>237</v>
      </c>
      <c r="B241" s="80" t="s">
        <v>1855</v>
      </c>
      <c r="C241" s="81">
        <v>45388</v>
      </c>
      <c r="D241" s="82">
        <v>0.77083333333333337</v>
      </c>
      <c r="E241" s="79" t="s">
        <v>151</v>
      </c>
      <c r="F241" s="79" t="s">
        <v>153</v>
      </c>
      <c r="G241" s="79" t="s">
        <v>153</v>
      </c>
      <c r="H241" s="79" t="s">
        <v>152</v>
      </c>
      <c r="I241" s="79" t="s">
        <v>152</v>
      </c>
      <c r="J241" s="79" t="s">
        <v>154</v>
      </c>
      <c r="K241" s="79" t="s">
        <v>202</v>
      </c>
      <c r="L241" s="80" t="s">
        <v>1856</v>
      </c>
      <c r="M241" s="80" t="s">
        <v>303</v>
      </c>
      <c r="N241" s="79" t="s">
        <v>721</v>
      </c>
      <c r="O241" s="80" t="str">
        <f t="shared" si="107"/>
        <v>Aida Vanessa Rocha</v>
      </c>
      <c r="P241" s="79" t="s">
        <v>801</v>
      </c>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t="s">
        <v>230</v>
      </c>
      <c r="AP241" s="79" t="s">
        <v>356</v>
      </c>
      <c r="AQ241" s="80"/>
      <c r="AR241" s="80"/>
      <c r="AS241" s="80"/>
      <c r="AT241" s="80" t="str">
        <f t="shared" si="108"/>
        <v>Usaquén</v>
      </c>
      <c r="AU241" s="79" t="s">
        <v>661</v>
      </c>
      <c r="AV241" s="79"/>
      <c r="AW241" s="79"/>
      <c r="AX241" s="79"/>
      <c r="AY241" s="79"/>
      <c r="AZ241" s="79"/>
      <c r="BA241" s="80" t="str">
        <f t="shared" si="109"/>
        <v>Norte, Ruralidad</v>
      </c>
      <c r="BB241" s="79" t="s">
        <v>662</v>
      </c>
      <c r="BC241" s="79" t="s">
        <v>219</v>
      </c>
      <c r="BD241" s="79"/>
      <c r="BE241" s="79"/>
      <c r="BF241" s="79"/>
      <c r="BG241" s="79"/>
      <c r="BH241" s="80" t="str">
        <f t="shared" si="110"/>
        <v>Usaquén, Toberín, Cerros Orientales</v>
      </c>
      <c r="BI241" s="79" t="s">
        <v>661</v>
      </c>
      <c r="BJ241" s="79" t="s">
        <v>804</v>
      </c>
      <c r="BK241" s="79" t="s">
        <v>361</v>
      </c>
      <c r="BL241" s="79"/>
      <c r="BM241" s="79"/>
      <c r="BN241" s="79"/>
      <c r="BO241" s="79"/>
      <c r="BP241" s="79"/>
      <c r="BQ241" s="79"/>
      <c r="BR241" s="79"/>
      <c r="BS241" s="80" t="s">
        <v>288</v>
      </c>
      <c r="BT241" s="80" t="s">
        <v>174</v>
      </c>
      <c r="BU241" s="89" t="s">
        <v>1857</v>
      </c>
      <c r="BV241" s="71"/>
      <c r="BW241" s="79" t="s">
        <v>153</v>
      </c>
      <c r="BX241" s="79" t="s">
        <v>607</v>
      </c>
      <c r="BY241" s="71"/>
      <c r="BZ241" s="79">
        <v>9</v>
      </c>
      <c r="CA241" s="79">
        <v>2</v>
      </c>
      <c r="CB241" s="79">
        <f t="shared" si="25"/>
        <v>11</v>
      </c>
      <c r="CC241" s="79" t="str">
        <f t="shared" si="139"/>
        <v>Horarios Acordes</v>
      </c>
      <c r="CD241" s="79" t="s">
        <v>351</v>
      </c>
      <c r="CE241" s="79"/>
      <c r="CF241" s="79"/>
      <c r="CG241" s="83" t="s">
        <v>1858</v>
      </c>
      <c r="CH241" s="41"/>
      <c r="CI241" s="79" t="s">
        <v>153</v>
      </c>
      <c r="CJ241" s="71"/>
      <c r="CK241" s="79">
        <f t="shared" si="38"/>
        <v>0</v>
      </c>
      <c r="CL241" s="79"/>
      <c r="CM241" s="79"/>
      <c r="CN241" s="79"/>
      <c r="CO241" s="79"/>
      <c r="CP241" s="79"/>
      <c r="CQ241" s="79"/>
      <c r="CR241" s="83" t="s">
        <v>179</v>
      </c>
      <c r="CS241" s="83" t="s">
        <v>179</v>
      </c>
      <c r="CT241" s="83" t="s">
        <v>179</v>
      </c>
      <c r="CU241" s="83" t="s">
        <v>179</v>
      </c>
      <c r="CV241" s="83" t="s">
        <v>179</v>
      </c>
      <c r="CW241" s="83" t="s">
        <v>179</v>
      </c>
      <c r="CX241" s="79" t="s">
        <v>153</v>
      </c>
      <c r="CY241" s="79">
        <f t="shared" si="120"/>
        <v>0</v>
      </c>
      <c r="CZ241" s="79">
        <v>0</v>
      </c>
      <c r="DA241" s="79">
        <f t="shared" si="121"/>
        <v>0</v>
      </c>
      <c r="DB241" s="84" t="str">
        <f t="shared" si="122"/>
        <v/>
      </c>
      <c r="DC241" s="41"/>
      <c r="DD241" s="79" t="s">
        <v>153</v>
      </c>
      <c r="DE241" s="71"/>
      <c r="DF241" s="85" t="s">
        <v>1859</v>
      </c>
      <c r="DG241" s="79">
        <v>231</v>
      </c>
      <c r="DH241" s="86">
        <f t="shared" si="124"/>
        <v>45391</v>
      </c>
      <c r="DI241" s="79" t="s">
        <v>181</v>
      </c>
      <c r="DJ241" s="79" t="s">
        <v>182</v>
      </c>
      <c r="DK241" s="79"/>
      <c r="DL241" s="79">
        <v>0</v>
      </c>
      <c r="DM241" s="79">
        <v>0</v>
      </c>
      <c r="DN241" s="79" t="s">
        <v>182</v>
      </c>
      <c r="DO241" s="79"/>
      <c r="DP241" s="79"/>
      <c r="DQ241" s="79"/>
      <c r="DR241" s="75" t="str">
        <f t="shared" si="111"/>
        <v>No aplica</v>
      </c>
      <c r="DS241" s="79"/>
      <c r="DT241" s="79"/>
      <c r="DU241" s="75" t="str">
        <f t="shared" si="112"/>
        <v>No aplica</v>
      </c>
      <c r="DV241" s="79" t="s">
        <v>182</v>
      </c>
      <c r="DW241" s="79" t="s">
        <v>182</v>
      </c>
      <c r="DX241" s="79"/>
      <c r="DY241" s="79"/>
      <c r="DZ241" s="79" t="s">
        <v>1860</v>
      </c>
      <c r="EA241" s="79"/>
      <c r="EB241" s="79"/>
      <c r="EC241" s="79"/>
      <c r="ED241" s="79" t="s">
        <v>184</v>
      </c>
      <c r="EE241" s="79" t="s">
        <v>621</v>
      </c>
      <c r="EF241" s="41"/>
      <c r="EG241" s="79" t="s">
        <v>153</v>
      </c>
      <c r="EH241" s="71"/>
      <c r="EI241" s="80"/>
      <c r="EJ241" s="71"/>
      <c r="EK241" s="79" t="s">
        <v>179</v>
      </c>
      <c r="EL241" s="76" t="str">
        <f t="shared" si="113"/>
        <v>No requiere</v>
      </c>
      <c r="EM241" s="76" t="str">
        <f t="shared" si="114"/>
        <v>No requiere</v>
      </c>
      <c r="EN241" s="76" t="str">
        <f t="shared" si="140"/>
        <v>No requiere</v>
      </c>
      <c r="EO241" s="71"/>
      <c r="EP241" s="73" t="str">
        <f t="shared" si="115"/>
        <v>No requiere</v>
      </c>
      <c r="EQ241" s="77" t="str">
        <f t="shared" si="116"/>
        <v>No requiere</v>
      </c>
      <c r="ER241" s="71"/>
      <c r="ES241" s="79" t="s">
        <v>179</v>
      </c>
      <c r="ET241" s="73" t="str">
        <f t="shared" si="117"/>
        <v>No requiere</v>
      </c>
      <c r="EU241" s="73" t="str">
        <f t="shared" si="141"/>
        <v>No requiere</v>
      </c>
      <c r="EV241" s="73" t="str">
        <f t="shared" si="118"/>
        <v>No requiere</v>
      </c>
      <c r="EW241" s="73" t="str">
        <f t="shared" si="119"/>
        <v>No requiere</v>
      </c>
      <c r="EX241" s="78"/>
      <c r="EY241" s="78"/>
    </row>
    <row r="242" spans="1:155" ht="46.5" customHeight="1">
      <c r="A242" s="79">
        <v>238</v>
      </c>
      <c r="B242" s="80" t="s">
        <v>1861</v>
      </c>
      <c r="C242" s="81">
        <v>45389</v>
      </c>
      <c r="D242" s="82">
        <v>0.375</v>
      </c>
      <c r="E242" s="79" t="s">
        <v>151</v>
      </c>
      <c r="F242" s="79" t="s">
        <v>153</v>
      </c>
      <c r="G242" s="79" t="s">
        <v>153</v>
      </c>
      <c r="H242" s="79" t="s">
        <v>153</v>
      </c>
      <c r="I242" s="79" t="s">
        <v>152</v>
      </c>
      <c r="J242" s="79" t="s">
        <v>154</v>
      </c>
      <c r="K242" s="79" t="s">
        <v>155</v>
      </c>
      <c r="L242" s="80" t="s">
        <v>1315</v>
      </c>
      <c r="M242" s="80" t="s">
        <v>303</v>
      </c>
      <c r="N242" s="79" t="s">
        <v>328</v>
      </c>
      <c r="O242" s="80" t="str">
        <f t="shared" si="107"/>
        <v>Claudia Fernanda Pineda, Maria Angélica Higuera, Paola Andrea González, Sebastian Potes Buitrago</v>
      </c>
      <c r="P242" s="79" t="s">
        <v>546</v>
      </c>
      <c r="Q242" s="79" t="s">
        <v>328</v>
      </c>
      <c r="R242" s="79" t="s">
        <v>924</v>
      </c>
      <c r="S242" s="79" t="s">
        <v>545</v>
      </c>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t="s">
        <v>304</v>
      </c>
      <c r="AP242" s="79"/>
      <c r="AQ242" s="80" t="s">
        <v>1862</v>
      </c>
      <c r="AR242" s="80">
        <v>3124783871</v>
      </c>
      <c r="AS242" s="80" t="s">
        <v>171</v>
      </c>
      <c r="AT242" s="80" t="str">
        <f t="shared" si="108"/>
        <v>Usaquén</v>
      </c>
      <c r="AU242" s="79" t="s">
        <v>661</v>
      </c>
      <c r="AV242" s="79"/>
      <c r="AW242" s="79"/>
      <c r="AX242" s="79"/>
      <c r="AY242" s="79"/>
      <c r="AZ242" s="79"/>
      <c r="BA242" s="80" t="str">
        <f t="shared" si="109"/>
        <v>Ruralidad</v>
      </c>
      <c r="BB242" s="79" t="s">
        <v>219</v>
      </c>
      <c r="BC242" s="79"/>
      <c r="BD242" s="79"/>
      <c r="BE242" s="79"/>
      <c r="BF242" s="79"/>
      <c r="BG242" s="79"/>
      <c r="BH242" s="80" t="str">
        <f t="shared" si="110"/>
        <v>Cerros Orientales</v>
      </c>
      <c r="BI242" s="79" t="s">
        <v>361</v>
      </c>
      <c r="BJ242" s="79"/>
      <c r="BK242" s="79"/>
      <c r="BL242" s="79"/>
      <c r="BM242" s="79"/>
      <c r="BN242" s="79"/>
      <c r="BO242" s="79"/>
      <c r="BP242" s="79"/>
      <c r="BQ242" s="79"/>
      <c r="BR242" s="79"/>
      <c r="BS242" s="80" t="s">
        <v>1863</v>
      </c>
      <c r="BT242" s="80" t="s">
        <v>1798</v>
      </c>
      <c r="BU242" s="80" t="s">
        <v>1864</v>
      </c>
      <c r="BV242" s="71"/>
      <c r="BW242" s="79" t="s">
        <v>153</v>
      </c>
      <c r="BX242" s="79" t="s">
        <v>607</v>
      </c>
      <c r="BY242" s="71"/>
      <c r="BZ242" s="79">
        <v>20</v>
      </c>
      <c r="CA242" s="79">
        <v>9</v>
      </c>
      <c r="CB242" s="79">
        <f t="shared" si="25"/>
        <v>29</v>
      </c>
      <c r="CC242" s="79" t="str">
        <f t="shared" si="139"/>
        <v>Horarios Acordes</v>
      </c>
      <c r="CD242" s="79" t="s">
        <v>351</v>
      </c>
      <c r="CE242" s="79"/>
      <c r="CF242" s="79"/>
      <c r="CG242" s="83" t="s">
        <v>1865</v>
      </c>
      <c r="CH242" s="41"/>
      <c r="CI242" s="79" t="s">
        <v>153</v>
      </c>
      <c r="CJ242" s="71"/>
      <c r="CK242" s="79">
        <f t="shared" si="38"/>
        <v>1</v>
      </c>
      <c r="CL242" s="93" t="s">
        <v>1779</v>
      </c>
      <c r="CM242" s="79"/>
      <c r="CN242" s="79"/>
      <c r="CO242" s="79"/>
      <c r="CP242" s="79"/>
      <c r="CQ242" s="79"/>
      <c r="CR242" s="83" t="s">
        <v>390</v>
      </c>
      <c r="CS242" s="83" t="s">
        <v>179</v>
      </c>
      <c r="CT242" s="83" t="s">
        <v>179</v>
      </c>
      <c r="CU242" s="83" t="s">
        <v>179</v>
      </c>
      <c r="CV242" s="83" t="s">
        <v>179</v>
      </c>
      <c r="CW242" s="83" t="s">
        <v>179</v>
      </c>
      <c r="CX242" s="79" t="s">
        <v>153</v>
      </c>
      <c r="CY242" s="79">
        <f t="shared" si="120"/>
        <v>1</v>
      </c>
      <c r="CZ242" s="79">
        <v>1</v>
      </c>
      <c r="DA242" s="79">
        <f t="shared" si="121"/>
        <v>1</v>
      </c>
      <c r="DB242" s="84">
        <f t="shared" si="122"/>
        <v>1</v>
      </c>
      <c r="DC242" s="41"/>
      <c r="DD242" s="79" t="s">
        <v>153</v>
      </c>
      <c r="DE242" s="71"/>
      <c r="DF242" s="85" t="s">
        <v>1866</v>
      </c>
      <c r="DG242" s="79">
        <v>232</v>
      </c>
      <c r="DH242" s="86" t="str">
        <f t="shared" si="124"/>
        <v>Completo</v>
      </c>
      <c r="DI242" s="79" t="s">
        <v>181</v>
      </c>
      <c r="DJ242" s="79" t="s">
        <v>182</v>
      </c>
      <c r="DK242" s="79" t="s">
        <v>153</v>
      </c>
      <c r="DL242" s="79">
        <v>0</v>
      </c>
      <c r="DM242" s="79">
        <v>0</v>
      </c>
      <c r="DN242" s="79" t="s">
        <v>182</v>
      </c>
      <c r="DO242" s="79">
        <v>2800</v>
      </c>
      <c r="DP242" s="79" t="s">
        <v>182</v>
      </c>
      <c r="DQ242" s="79">
        <v>7</v>
      </c>
      <c r="DR242" s="75">
        <f t="shared" si="111"/>
        <v>1.1666666666666667</v>
      </c>
      <c r="DS242" s="79" t="s">
        <v>182</v>
      </c>
      <c r="DT242" s="79">
        <v>22</v>
      </c>
      <c r="DU242" s="75">
        <f t="shared" si="112"/>
        <v>3.1428571428571428</v>
      </c>
      <c r="DV242" s="79" t="s">
        <v>182</v>
      </c>
      <c r="DW242" s="79" t="s">
        <v>182</v>
      </c>
      <c r="DX242" s="79">
        <v>3</v>
      </c>
      <c r="DY242" s="79">
        <v>1</v>
      </c>
      <c r="DZ242" s="79" t="s">
        <v>1867</v>
      </c>
      <c r="EA242" s="79">
        <v>10322</v>
      </c>
      <c r="EB242" s="79" t="s">
        <v>182</v>
      </c>
      <c r="EC242" s="79" t="s">
        <v>1868</v>
      </c>
      <c r="ED242" s="79" t="s">
        <v>184</v>
      </c>
      <c r="EE242" s="79" t="str">
        <f t="shared" ref="EE242:EE244" si="142">IF(DI242="Subsanado","Completo","Por Completar")</f>
        <v>Completo</v>
      </c>
      <c r="EF242" s="41"/>
      <c r="EG242" s="79" t="s">
        <v>153</v>
      </c>
      <c r="EH242" s="71"/>
      <c r="EI242" s="89" t="s">
        <v>1869</v>
      </c>
      <c r="EJ242" s="71"/>
      <c r="EK242" s="79" t="s">
        <v>409</v>
      </c>
      <c r="EL242" s="76" t="str">
        <f t="shared" si="113"/>
        <v>Sí</v>
      </c>
      <c r="EM242" s="76" t="str">
        <f t="shared" si="114"/>
        <v>Sí</v>
      </c>
      <c r="EN242" s="76" t="str">
        <f t="shared" si="140"/>
        <v>Sí</v>
      </c>
      <c r="EO242" s="71"/>
      <c r="EP242" s="73" t="str">
        <f t="shared" si="115"/>
        <v>No aplica</v>
      </c>
      <c r="EQ242" s="77">
        <f t="shared" si="116"/>
        <v>3.1428571428571428</v>
      </c>
      <c r="ER242" s="71"/>
      <c r="ES242" s="79" t="s">
        <v>393</v>
      </c>
      <c r="ET242" s="73">
        <f t="shared" si="117"/>
        <v>1</v>
      </c>
      <c r="EU242" s="73">
        <f t="shared" si="141"/>
        <v>1</v>
      </c>
      <c r="EV242" s="73">
        <f t="shared" si="118"/>
        <v>1</v>
      </c>
      <c r="EW242" s="73">
        <f t="shared" si="119"/>
        <v>0.27126525867080026</v>
      </c>
      <c r="EX242" s="78"/>
      <c r="EY242" s="78"/>
    </row>
    <row r="243" spans="1:155" ht="46.5" customHeight="1">
      <c r="A243" s="79">
        <v>239</v>
      </c>
      <c r="B243" s="80" t="s">
        <v>1870</v>
      </c>
      <c r="C243" s="81">
        <v>45389</v>
      </c>
      <c r="D243" s="82">
        <v>0.375</v>
      </c>
      <c r="E243" s="79" t="s">
        <v>151</v>
      </c>
      <c r="F243" s="79" t="s">
        <v>153</v>
      </c>
      <c r="G243" s="79" t="s">
        <v>153</v>
      </c>
      <c r="H243" s="79" t="s">
        <v>153</v>
      </c>
      <c r="I243" s="79" t="s">
        <v>152</v>
      </c>
      <c r="J243" s="79" t="s">
        <v>154</v>
      </c>
      <c r="K243" s="79" t="s">
        <v>155</v>
      </c>
      <c r="L243" s="80" t="s">
        <v>1315</v>
      </c>
      <c r="M243" s="80" t="s">
        <v>303</v>
      </c>
      <c r="N243" s="79" t="s">
        <v>422</v>
      </c>
      <c r="O243" s="80" t="str">
        <f t="shared" si="107"/>
        <v>Johanna Catherine Gamez, Daniela Velasco Vega, Renata Rengifo Moyano, Sarah Lucia Triviño</v>
      </c>
      <c r="P243" s="79" t="s">
        <v>213</v>
      </c>
      <c r="Q243" s="79" t="s">
        <v>660</v>
      </c>
      <c r="R243" s="79" t="s">
        <v>1066</v>
      </c>
      <c r="S243" s="79" t="s">
        <v>499</v>
      </c>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t="s">
        <v>304</v>
      </c>
      <c r="AP243" s="79"/>
      <c r="AQ243" s="80" t="s">
        <v>1871</v>
      </c>
      <c r="AR243" s="80">
        <v>3142993840</v>
      </c>
      <c r="AS243" s="80" t="s">
        <v>171</v>
      </c>
      <c r="AT243" s="80" t="str">
        <f t="shared" si="108"/>
        <v>San Cristóbal</v>
      </c>
      <c r="AU243" s="79" t="s">
        <v>570</v>
      </c>
      <c r="AV243" s="79"/>
      <c r="AW243" s="79"/>
      <c r="AX243" s="79"/>
      <c r="AY243" s="79"/>
      <c r="AZ243" s="79"/>
      <c r="BA243" s="80" t="str">
        <f t="shared" si="109"/>
        <v>Ruralidad</v>
      </c>
      <c r="BB243" s="79" t="s">
        <v>219</v>
      </c>
      <c r="BC243" s="79"/>
      <c r="BD243" s="79"/>
      <c r="BE243" s="79"/>
      <c r="BF243" s="79"/>
      <c r="BG243" s="79"/>
      <c r="BH243" s="80" t="str">
        <f t="shared" si="110"/>
        <v>Cerros Orientales</v>
      </c>
      <c r="BI243" s="79" t="s">
        <v>361</v>
      </c>
      <c r="BJ243" s="79"/>
      <c r="BK243" s="79"/>
      <c r="BL243" s="79"/>
      <c r="BM243" s="79"/>
      <c r="BN243" s="79"/>
      <c r="BO243" s="79"/>
      <c r="BP243" s="79"/>
      <c r="BQ243" s="79"/>
      <c r="BR243" s="79"/>
      <c r="BS243" s="80" t="s">
        <v>1872</v>
      </c>
      <c r="BT243" s="80" t="s">
        <v>1798</v>
      </c>
      <c r="BU243" s="80" t="s">
        <v>1873</v>
      </c>
      <c r="BV243" s="71"/>
      <c r="BW243" s="79" t="s">
        <v>153</v>
      </c>
      <c r="BX243" s="79" t="s">
        <v>607</v>
      </c>
      <c r="BY243" s="71"/>
      <c r="BZ243" s="79">
        <v>36</v>
      </c>
      <c r="CA243" s="79">
        <v>8</v>
      </c>
      <c r="CB243" s="79">
        <f t="shared" si="25"/>
        <v>44</v>
      </c>
      <c r="CC243" s="79" t="str">
        <f t="shared" si="139"/>
        <v>Horarios Acordes, Contenidos adaptados</v>
      </c>
      <c r="CD243" s="79" t="s">
        <v>351</v>
      </c>
      <c r="CE243" s="79" t="s">
        <v>350</v>
      </c>
      <c r="CF243" s="79"/>
      <c r="CG243" s="83" t="s">
        <v>1874</v>
      </c>
      <c r="CH243" s="41"/>
      <c r="CI243" s="79" t="s">
        <v>153</v>
      </c>
      <c r="CJ243" s="71"/>
      <c r="CK243" s="79">
        <f t="shared" si="38"/>
        <v>1</v>
      </c>
      <c r="CL243" s="93" t="s">
        <v>1779</v>
      </c>
      <c r="CM243" s="79"/>
      <c r="CN243" s="79"/>
      <c r="CO243" s="79"/>
      <c r="CP243" s="79"/>
      <c r="CQ243" s="79"/>
      <c r="CR243" s="83" t="s">
        <v>390</v>
      </c>
      <c r="CS243" s="83" t="s">
        <v>179</v>
      </c>
      <c r="CT243" s="83" t="s">
        <v>179</v>
      </c>
      <c r="CU243" s="83" t="s">
        <v>179</v>
      </c>
      <c r="CV243" s="83" t="s">
        <v>179</v>
      </c>
      <c r="CW243" s="83" t="s">
        <v>179</v>
      </c>
      <c r="CX243" s="79" t="s">
        <v>153</v>
      </c>
      <c r="CY243" s="79">
        <f t="shared" si="120"/>
        <v>1</v>
      </c>
      <c r="CZ243" s="79">
        <v>1</v>
      </c>
      <c r="DA243" s="79">
        <f t="shared" si="121"/>
        <v>1</v>
      </c>
      <c r="DB243" s="84">
        <f t="shared" si="122"/>
        <v>1</v>
      </c>
      <c r="DC243" s="41"/>
      <c r="DD243" s="79" t="s">
        <v>153</v>
      </c>
      <c r="DE243" s="71"/>
      <c r="DF243" s="85" t="s">
        <v>1875</v>
      </c>
      <c r="DG243" s="79">
        <v>233</v>
      </c>
      <c r="DH243" s="86" t="str">
        <f t="shared" si="124"/>
        <v>Completo</v>
      </c>
      <c r="DI243" s="79" t="s">
        <v>181</v>
      </c>
      <c r="DJ243" s="79" t="s">
        <v>182</v>
      </c>
      <c r="DK243" s="79" t="s">
        <v>153</v>
      </c>
      <c r="DL243" s="79">
        <v>0</v>
      </c>
      <c r="DM243" s="79">
        <v>0</v>
      </c>
      <c r="DN243" s="79" t="s">
        <v>182</v>
      </c>
      <c r="DO243" s="79">
        <v>0</v>
      </c>
      <c r="DP243" s="79" t="s">
        <v>182</v>
      </c>
      <c r="DQ243" s="79">
        <v>12</v>
      </c>
      <c r="DR243" s="75">
        <f t="shared" si="111"/>
        <v>1.1111111111111112</v>
      </c>
      <c r="DS243" s="79" t="s">
        <v>182</v>
      </c>
      <c r="DT243" s="79">
        <v>54</v>
      </c>
      <c r="DU243" s="75">
        <f t="shared" si="112"/>
        <v>4.2857142857142856</v>
      </c>
      <c r="DV243" s="79" t="s">
        <v>182</v>
      </c>
      <c r="DW243" s="79" t="s">
        <v>182</v>
      </c>
      <c r="DX243" s="79">
        <v>3</v>
      </c>
      <c r="DY243" s="79">
        <v>1</v>
      </c>
      <c r="DZ243" s="79" t="s">
        <v>1867</v>
      </c>
      <c r="EA243" s="79">
        <v>10322</v>
      </c>
      <c r="EB243" s="79" t="s">
        <v>182</v>
      </c>
      <c r="EC243" s="79" t="s">
        <v>1868</v>
      </c>
      <c r="ED243" s="79" t="s">
        <v>184</v>
      </c>
      <c r="EE243" s="79" t="str">
        <f t="shared" si="142"/>
        <v>Completo</v>
      </c>
      <c r="EF243" s="41"/>
      <c r="EG243" s="79" t="s">
        <v>153</v>
      </c>
      <c r="EH243" s="71"/>
      <c r="EI243" s="89" t="s">
        <v>1876</v>
      </c>
      <c r="EJ243" s="71"/>
      <c r="EK243" s="79" t="s">
        <v>409</v>
      </c>
      <c r="EL243" s="76" t="str">
        <f t="shared" si="113"/>
        <v>Sí</v>
      </c>
      <c r="EM243" s="76" t="str">
        <f t="shared" si="114"/>
        <v>Sí</v>
      </c>
      <c r="EN243" s="76" t="str">
        <f t="shared" si="140"/>
        <v>Sí</v>
      </c>
      <c r="EO243" s="71"/>
      <c r="EP243" s="73" t="str">
        <f t="shared" si="115"/>
        <v>No aplica</v>
      </c>
      <c r="EQ243" s="77">
        <f t="shared" si="116"/>
        <v>4.2857142857142856</v>
      </c>
      <c r="ER243" s="71"/>
      <c r="ES243" s="79" t="s">
        <v>409</v>
      </c>
      <c r="ET243" s="73">
        <f t="shared" si="117"/>
        <v>1</v>
      </c>
      <c r="EU243" s="73">
        <f t="shared" si="141"/>
        <v>1</v>
      </c>
      <c r="EV243" s="73">
        <f t="shared" si="118"/>
        <v>1</v>
      </c>
      <c r="EW243" s="73">
        <f t="shared" si="119"/>
        <v>0</v>
      </c>
      <c r="EX243" s="78"/>
      <c r="EY243" s="78"/>
    </row>
    <row r="244" spans="1:155" ht="46.5" customHeight="1">
      <c r="A244" s="79">
        <v>240</v>
      </c>
      <c r="B244" s="80" t="s">
        <v>1877</v>
      </c>
      <c r="C244" s="81">
        <v>45389</v>
      </c>
      <c r="D244" s="82">
        <v>0.54166666666666663</v>
      </c>
      <c r="E244" s="79" t="s">
        <v>151</v>
      </c>
      <c r="F244" s="79" t="s">
        <v>153</v>
      </c>
      <c r="G244" s="79" t="s">
        <v>153</v>
      </c>
      <c r="H244" s="79" t="s">
        <v>152</v>
      </c>
      <c r="I244" s="79" t="s">
        <v>152</v>
      </c>
      <c r="J244" s="79" t="s">
        <v>154</v>
      </c>
      <c r="K244" s="79" t="s">
        <v>155</v>
      </c>
      <c r="L244" s="80" t="s">
        <v>600</v>
      </c>
      <c r="M244" s="80" t="s">
        <v>327</v>
      </c>
      <c r="N244" s="79" t="s">
        <v>818</v>
      </c>
      <c r="O244" s="80" t="str">
        <f t="shared" si="107"/>
        <v>Diego Nicolás Gutiérrez, Jimmy Alejandro Osorio, Maria Alejandra Castañeda, Michael Cruz Roa, Nestor Jecfrid Sánchez, Derly Adriana Castillo</v>
      </c>
      <c r="P244" s="79" t="s">
        <v>888</v>
      </c>
      <c r="Q244" s="79" t="s">
        <v>549</v>
      </c>
      <c r="R244" s="79" t="s">
        <v>494</v>
      </c>
      <c r="S244" s="79" t="s">
        <v>265</v>
      </c>
      <c r="T244" s="79" t="s">
        <v>965</v>
      </c>
      <c r="U244" s="79" t="s">
        <v>526</v>
      </c>
      <c r="V244" s="79"/>
      <c r="W244" s="79"/>
      <c r="X244" s="79"/>
      <c r="Y244" s="79"/>
      <c r="Z244" s="79"/>
      <c r="AA244" s="79"/>
      <c r="AB244" s="79"/>
      <c r="AC244" s="79"/>
      <c r="AD244" s="79"/>
      <c r="AE244" s="79"/>
      <c r="AF244" s="79"/>
      <c r="AG244" s="79"/>
      <c r="AH244" s="79"/>
      <c r="AI244" s="79"/>
      <c r="AJ244" s="79"/>
      <c r="AK244" s="79"/>
      <c r="AL244" s="79"/>
      <c r="AM244" s="79"/>
      <c r="AN244" s="79"/>
      <c r="AO244" s="79" t="s">
        <v>304</v>
      </c>
      <c r="AP244" s="79"/>
      <c r="AQ244" s="80" t="s">
        <v>171</v>
      </c>
      <c r="AR244" s="80" t="s">
        <v>171</v>
      </c>
      <c r="AS244" s="80" t="s">
        <v>171</v>
      </c>
      <c r="AT244" s="80" t="str">
        <f t="shared" si="108"/>
        <v>Teusaquillo</v>
      </c>
      <c r="AU244" s="79" t="s">
        <v>1004</v>
      </c>
      <c r="AV244" s="79"/>
      <c r="AW244" s="79"/>
      <c r="AX244" s="79"/>
      <c r="AY244" s="79"/>
      <c r="AZ244" s="79"/>
      <c r="BA244" s="80" t="str">
        <f t="shared" si="109"/>
        <v>Centro Ampliado</v>
      </c>
      <c r="BB244" s="79" t="s">
        <v>636</v>
      </c>
      <c r="BC244" s="79"/>
      <c r="BD244" s="79"/>
      <c r="BE244" s="79"/>
      <c r="BF244" s="79"/>
      <c r="BG244" s="79"/>
      <c r="BH244" s="80" t="str">
        <f t="shared" si="110"/>
        <v>Teusaquillo</v>
      </c>
      <c r="BI244" s="79" t="s">
        <v>1004</v>
      </c>
      <c r="BJ244" s="79"/>
      <c r="BK244" s="79"/>
      <c r="BL244" s="79"/>
      <c r="BM244" s="79"/>
      <c r="BN244" s="79"/>
      <c r="BO244" s="79"/>
      <c r="BP244" s="79"/>
      <c r="BQ244" s="79"/>
      <c r="BR244" s="79"/>
      <c r="BS244" s="80" t="s">
        <v>1878</v>
      </c>
      <c r="BT244" s="80" t="s">
        <v>1879</v>
      </c>
      <c r="BU244" s="80" t="s">
        <v>1880</v>
      </c>
      <c r="BV244" s="71"/>
      <c r="BW244" s="79" t="s">
        <v>153</v>
      </c>
      <c r="BX244" s="79" t="s">
        <v>607</v>
      </c>
      <c r="BY244" s="71"/>
      <c r="BZ244" s="79">
        <v>45</v>
      </c>
      <c r="CA244" s="79">
        <v>8</v>
      </c>
      <c r="CB244" s="79">
        <f t="shared" si="25"/>
        <v>53</v>
      </c>
      <c r="CC244" s="79" t="str">
        <f t="shared" si="139"/>
        <v>Accesibilidad Universal, Horarios Acordes</v>
      </c>
      <c r="CD244" s="79" t="s">
        <v>397</v>
      </c>
      <c r="CE244" s="79" t="s">
        <v>351</v>
      </c>
      <c r="CF244" s="79"/>
      <c r="CG244" s="83" t="s">
        <v>600</v>
      </c>
      <c r="CH244" s="41"/>
      <c r="CI244" s="79" t="s">
        <v>153</v>
      </c>
      <c r="CJ244" s="71"/>
      <c r="CK244" s="79">
        <f t="shared" si="38"/>
        <v>0</v>
      </c>
      <c r="CL244" s="79"/>
      <c r="CM244" s="79"/>
      <c r="CN244" s="79"/>
      <c r="CO244" s="79"/>
      <c r="CP244" s="79"/>
      <c r="CQ244" s="79"/>
      <c r="CR244" s="83" t="s">
        <v>179</v>
      </c>
      <c r="CS244" s="83" t="s">
        <v>179</v>
      </c>
      <c r="CT244" s="83" t="s">
        <v>179</v>
      </c>
      <c r="CU244" s="83" t="s">
        <v>179</v>
      </c>
      <c r="CV244" s="83" t="s">
        <v>179</v>
      </c>
      <c r="CW244" s="83" t="s">
        <v>179</v>
      </c>
      <c r="CX244" s="79" t="s">
        <v>153</v>
      </c>
      <c r="CY244" s="79">
        <f t="shared" si="120"/>
        <v>0</v>
      </c>
      <c r="CZ244" s="79">
        <v>0</v>
      </c>
      <c r="DA244" s="79">
        <f t="shared" si="121"/>
        <v>0</v>
      </c>
      <c r="DB244" s="84" t="str">
        <f t="shared" si="122"/>
        <v/>
      </c>
      <c r="DC244" s="41"/>
      <c r="DD244" s="79" t="s">
        <v>153</v>
      </c>
      <c r="DE244" s="71"/>
      <c r="DF244" s="85" t="s">
        <v>1881</v>
      </c>
      <c r="DG244" s="79">
        <v>234</v>
      </c>
      <c r="DH244" s="86" t="str">
        <f t="shared" si="124"/>
        <v>Completo</v>
      </c>
      <c r="DI244" s="79" t="s">
        <v>181</v>
      </c>
      <c r="DJ244" s="79" t="s">
        <v>182</v>
      </c>
      <c r="DK244" s="79"/>
      <c r="DL244" s="79"/>
      <c r="DM244" s="79"/>
      <c r="DN244" s="79" t="s">
        <v>182</v>
      </c>
      <c r="DO244" s="79"/>
      <c r="DP244" s="79"/>
      <c r="DQ244" s="79"/>
      <c r="DR244" s="75" t="str">
        <f t="shared" si="111"/>
        <v>No aplica</v>
      </c>
      <c r="DS244" s="79"/>
      <c r="DT244" s="79"/>
      <c r="DU244" s="75" t="str">
        <f t="shared" si="112"/>
        <v>No aplica</v>
      </c>
      <c r="DV244" s="79" t="s">
        <v>182</v>
      </c>
      <c r="DW244" s="79" t="s">
        <v>182</v>
      </c>
      <c r="DX244" s="79"/>
      <c r="DY244" s="79"/>
      <c r="DZ244" s="79"/>
      <c r="EA244" s="79"/>
      <c r="EB244" s="79" t="s">
        <v>182</v>
      </c>
      <c r="EC244" s="79" t="s">
        <v>1882</v>
      </c>
      <c r="ED244" s="79" t="s">
        <v>184</v>
      </c>
      <c r="EE244" s="79" t="str">
        <f t="shared" si="142"/>
        <v>Completo</v>
      </c>
      <c r="EF244" s="41"/>
      <c r="EG244" s="79" t="s">
        <v>153</v>
      </c>
      <c r="EH244" s="71"/>
      <c r="EI244" s="80"/>
      <c r="EJ244" s="71"/>
      <c r="EK244" s="79" t="s">
        <v>179</v>
      </c>
      <c r="EL244" s="76" t="str">
        <f t="shared" si="113"/>
        <v>No requiere</v>
      </c>
      <c r="EM244" s="76" t="str">
        <f t="shared" si="114"/>
        <v>No requiere</v>
      </c>
      <c r="EN244" s="76" t="str">
        <f t="shared" si="140"/>
        <v>No requiere</v>
      </c>
      <c r="EO244" s="71"/>
      <c r="EP244" s="73" t="str">
        <f t="shared" si="115"/>
        <v>No requiere</v>
      </c>
      <c r="EQ244" s="77" t="str">
        <f t="shared" si="116"/>
        <v>No requiere</v>
      </c>
      <c r="ER244" s="71"/>
      <c r="ES244" s="79" t="s">
        <v>179</v>
      </c>
      <c r="ET244" s="73" t="str">
        <f t="shared" si="117"/>
        <v>No requiere</v>
      </c>
      <c r="EU244" s="73" t="str">
        <f t="shared" si="141"/>
        <v>No requiere</v>
      </c>
      <c r="EV244" s="73" t="str">
        <f t="shared" si="118"/>
        <v>No requiere</v>
      </c>
      <c r="EW244" s="73" t="str">
        <f t="shared" si="119"/>
        <v>No requiere</v>
      </c>
      <c r="EX244" s="78"/>
      <c r="EY244" s="78"/>
    </row>
    <row r="245" spans="1:155" ht="46.5" customHeight="1">
      <c r="A245" s="79">
        <v>241</v>
      </c>
      <c r="B245" s="80" t="s">
        <v>1883</v>
      </c>
      <c r="C245" s="81">
        <v>45390</v>
      </c>
      <c r="D245" s="82">
        <v>0.33333333333333331</v>
      </c>
      <c r="E245" s="79" t="s">
        <v>151</v>
      </c>
      <c r="F245" s="79" t="s">
        <v>153</v>
      </c>
      <c r="G245" s="79" t="s">
        <v>153</v>
      </c>
      <c r="H245" s="79" t="s">
        <v>153</v>
      </c>
      <c r="I245" s="79" t="s">
        <v>152</v>
      </c>
      <c r="J245" s="79" t="s">
        <v>154</v>
      </c>
      <c r="K245" s="79" t="s">
        <v>155</v>
      </c>
      <c r="L245" s="80" t="s">
        <v>1884</v>
      </c>
      <c r="M245" s="80" t="s">
        <v>303</v>
      </c>
      <c r="N245" s="79" t="s">
        <v>645</v>
      </c>
      <c r="O245" s="80" t="str">
        <f t="shared" si="107"/>
        <v>Humberto Díaz Acosta, Diana Carolina Aristizábal, Johanna Catherine Gamez, Julián Camilo Taylor</v>
      </c>
      <c r="P245" s="79" t="s">
        <v>253</v>
      </c>
      <c r="Q245" s="79" t="s">
        <v>165</v>
      </c>
      <c r="R245" s="79" t="s">
        <v>213</v>
      </c>
      <c r="S245" s="79" t="s">
        <v>886</v>
      </c>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t="s">
        <v>304</v>
      </c>
      <c r="AP245" s="79"/>
      <c r="AQ245" s="80" t="s">
        <v>1750</v>
      </c>
      <c r="AR245" s="80" t="s">
        <v>1751</v>
      </c>
      <c r="AS245" s="80" t="s">
        <v>1752</v>
      </c>
      <c r="AT245" s="80" t="str">
        <f t="shared" si="108"/>
        <v>Distrital</v>
      </c>
      <c r="AU245" s="79" t="s">
        <v>172</v>
      </c>
      <c r="AV245" s="79"/>
      <c r="AW245" s="79"/>
      <c r="AX245" s="79"/>
      <c r="AY245" s="79"/>
      <c r="AZ245" s="79"/>
      <c r="BA245" s="80" t="str">
        <f t="shared" si="109"/>
        <v>Distrital</v>
      </c>
      <c r="BB245" s="79" t="s">
        <v>172</v>
      </c>
      <c r="BC245" s="79"/>
      <c r="BD245" s="79"/>
      <c r="BE245" s="79"/>
      <c r="BF245" s="79"/>
      <c r="BG245" s="79"/>
      <c r="BH245" s="80" t="str">
        <f t="shared" si="110"/>
        <v>Distrital</v>
      </c>
      <c r="BI245" s="79" t="s">
        <v>172</v>
      </c>
      <c r="BJ245" s="79"/>
      <c r="BK245" s="79"/>
      <c r="BL245" s="79"/>
      <c r="BM245" s="79"/>
      <c r="BN245" s="79"/>
      <c r="BO245" s="79"/>
      <c r="BP245" s="79"/>
      <c r="BQ245" s="79"/>
      <c r="BR245" s="79"/>
      <c r="BS245" s="80" t="s">
        <v>288</v>
      </c>
      <c r="BT245" s="80" t="s">
        <v>174</v>
      </c>
      <c r="BU245" s="80" t="s">
        <v>1885</v>
      </c>
      <c r="BV245" s="71"/>
      <c r="BW245" s="79" t="s">
        <v>153</v>
      </c>
      <c r="BX245" s="79" t="s">
        <v>607</v>
      </c>
      <c r="BY245" s="71"/>
      <c r="BZ245" s="79">
        <v>10</v>
      </c>
      <c r="CA245" s="79">
        <v>5</v>
      </c>
      <c r="CB245" s="79">
        <f t="shared" si="25"/>
        <v>15</v>
      </c>
      <c r="CC245" s="79" t="str">
        <f t="shared" si="139"/>
        <v>Ninguna</v>
      </c>
      <c r="CD245" s="79" t="s">
        <v>174</v>
      </c>
      <c r="CE245" s="79"/>
      <c r="CF245" s="79"/>
      <c r="CG245" s="83" t="s">
        <v>1886</v>
      </c>
      <c r="CH245" s="41"/>
      <c r="CI245" s="79" t="s">
        <v>153</v>
      </c>
      <c r="CJ245" s="71"/>
      <c r="CK245" s="79">
        <f t="shared" si="38"/>
        <v>1</v>
      </c>
      <c r="CL245" s="79" t="s">
        <v>389</v>
      </c>
      <c r="CM245" s="79"/>
      <c r="CN245" s="79"/>
      <c r="CO245" s="79"/>
      <c r="CP245" s="79"/>
      <c r="CQ245" s="79"/>
      <c r="CR245" s="83" t="s">
        <v>390</v>
      </c>
      <c r="CS245" s="83"/>
      <c r="CT245" s="83"/>
      <c r="CU245" s="83"/>
      <c r="CV245" s="83"/>
      <c r="CW245" s="83"/>
      <c r="CX245" s="79" t="s">
        <v>153</v>
      </c>
      <c r="CY245" s="79">
        <f t="shared" si="120"/>
        <v>1</v>
      </c>
      <c r="CZ245" s="79">
        <v>1</v>
      </c>
      <c r="DA245" s="79">
        <f t="shared" si="121"/>
        <v>1</v>
      </c>
      <c r="DB245" s="84">
        <f t="shared" si="122"/>
        <v>1</v>
      </c>
      <c r="DC245" s="41"/>
      <c r="DD245" s="79" t="s">
        <v>153</v>
      </c>
      <c r="DE245" s="71"/>
      <c r="DF245" s="85" t="s">
        <v>1887</v>
      </c>
      <c r="DG245" s="79">
        <v>235</v>
      </c>
      <c r="DH245" s="86">
        <f t="shared" si="124"/>
        <v>45393</v>
      </c>
      <c r="DI245" s="79" t="s">
        <v>181</v>
      </c>
      <c r="DJ245" s="79" t="s">
        <v>182</v>
      </c>
      <c r="DK245" s="79" t="s">
        <v>153</v>
      </c>
      <c r="DL245" s="79">
        <v>0</v>
      </c>
      <c r="DM245" s="79">
        <v>0</v>
      </c>
      <c r="DN245" s="79" t="s">
        <v>182</v>
      </c>
      <c r="DO245" s="79">
        <v>0</v>
      </c>
      <c r="DP245" s="79" t="s">
        <v>182</v>
      </c>
      <c r="DQ245" s="79">
        <v>5</v>
      </c>
      <c r="DR245" s="75">
        <f t="shared" si="111"/>
        <v>1.6666666666666667</v>
      </c>
      <c r="DS245" s="79" t="s">
        <v>182</v>
      </c>
      <c r="DT245" s="79">
        <v>17</v>
      </c>
      <c r="DU245" s="75">
        <f t="shared" si="112"/>
        <v>4.8571428571428568</v>
      </c>
      <c r="DV245" s="79" t="s">
        <v>182</v>
      </c>
      <c r="DW245" s="79" t="s">
        <v>182</v>
      </c>
      <c r="DX245" s="79" t="s">
        <v>179</v>
      </c>
      <c r="DY245" s="79"/>
      <c r="DZ245" s="79"/>
      <c r="EA245" s="79" t="s">
        <v>179</v>
      </c>
      <c r="EB245" s="79" t="s">
        <v>182</v>
      </c>
      <c r="EC245" s="79" t="s">
        <v>1888</v>
      </c>
      <c r="ED245" s="79" t="s">
        <v>184</v>
      </c>
      <c r="EE245" s="79" t="s">
        <v>621</v>
      </c>
      <c r="EF245" s="41"/>
      <c r="EG245" s="79" t="s">
        <v>153</v>
      </c>
      <c r="EH245" s="71"/>
      <c r="EI245" s="89" t="s">
        <v>1889</v>
      </c>
      <c r="EJ245" s="71"/>
      <c r="EK245" s="79" t="s">
        <v>409</v>
      </c>
      <c r="EL245" s="76" t="str">
        <f t="shared" si="113"/>
        <v>No aplica</v>
      </c>
      <c r="EM245" s="76" t="str">
        <f t="shared" si="114"/>
        <v>No</v>
      </c>
      <c r="EN245" s="76" t="str">
        <f t="shared" si="140"/>
        <v>No</v>
      </c>
      <c r="EO245" s="71"/>
      <c r="EP245" s="73" t="str">
        <f t="shared" si="115"/>
        <v>No aplica</v>
      </c>
      <c r="EQ245" s="77">
        <f t="shared" si="116"/>
        <v>4.8571428571428568</v>
      </c>
      <c r="ER245" s="71"/>
      <c r="ES245" s="79" t="s">
        <v>393</v>
      </c>
      <c r="ET245" s="73">
        <f t="shared" si="117"/>
        <v>1</v>
      </c>
      <c r="EU245" s="73">
        <f t="shared" si="141"/>
        <v>1</v>
      </c>
      <c r="EV245" s="73">
        <f t="shared" si="118"/>
        <v>1</v>
      </c>
      <c r="EW245" s="73" t="str">
        <f t="shared" si="119"/>
        <v>No aplica</v>
      </c>
      <c r="EX245" s="78"/>
      <c r="EY245" s="78"/>
    </row>
    <row r="246" spans="1:155" ht="46.5" customHeight="1">
      <c r="A246" s="79">
        <v>242</v>
      </c>
      <c r="B246" s="80" t="s">
        <v>1890</v>
      </c>
      <c r="C246" s="81">
        <v>45390</v>
      </c>
      <c r="D246" s="82">
        <v>0.33333333333333331</v>
      </c>
      <c r="E246" s="79" t="s">
        <v>151</v>
      </c>
      <c r="F246" s="79" t="s">
        <v>153</v>
      </c>
      <c r="G246" s="79" t="s">
        <v>152</v>
      </c>
      <c r="H246" s="79" t="s">
        <v>152</v>
      </c>
      <c r="I246" s="79" t="s">
        <v>152</v>
      </c>
      <c r="J246" s="79" t="s">
        <v>251</v>
      </c>
      <c r="K246" s="79" t="s">
        <v>202</v>
      </c>
      <c r="L246" s="80" t="s">
        <v>1891</v>
      </c>
      <c r="M246" s="80" t="s">
        <v>229</v>
      </c>
      <c r="N246" s="79" t="s">
        <v>158</v>
      </c>
      <c r="O246" s="80" t="str">
        <f t="shared" si="107"/>
        <v/>
      </c>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t="s">
        <v>169</v>
      </c>
      <c r="AP246" s="79" t="s">
        <v>170</v>
      </c>
      <c r="AQ246" s="80" t="s">
        <v>457</v>
      </c>
      <c r="AR246" s="80" t="s">
        <v>458</v>
      </c>
      <c r="AS246" s="80" t="s">
        <v>459</v>
      </c>
      <c r="AT246" s="80" t="str">
        <f t="shared" si="108"/>
        <v>Distrital</v>
      </c>
      <c r="AU246" s="79" t="s">
        <v>172</v>
      </c>
      <c r="AV246" s="79"/>
      <c r="AW246" s="79"/>
      <c r="AX246" s="79"/>
      <c r="AY246" s="79"/>
      <c r="AZ246" s="79"/>
      <c r="BA246" s="80" t="str">
        <f t="shared" si="109"/>
        <v>Distrital</v>
      </c>
      <c r="BB246" s="79" t="s">
        <v>172</v>
      </c>
      <c r="BC246" s="79"/>
      <c r="BD246" s="79"/>
      <c r="BE246" s="79"/>
      <c r="BF246" s="79"/>
      <c r="BG246" s="79"/>
      <c r="BH246" s="80" t="str">
        <f t="shared" si="110"/>
        <v>Distrital</v>
      </c>
      <c r="BI246" s="79" t="s">
        <v>172</v>
      </c>
      <c r="BJ246" s="79"/>
      <c r="BK246" s="79"/>
      <c r="BL246" s="79"/>
      <c r="BM246" s="79"/>
      <c r="BN246" s="79"/>
      <c r="BO246" s="79"/>
      <c r="BP246" s="79"/>
      <c r="BQ246" s="79"/>
      <c r="BR246" s="79"/>
      <c r="BS246" s="80" t="s">
        <v>288</v>
      </c>
      <c r="BT246" s="80" t="s">
        <v>1892</v>
      </c>
      <c r="BU246" s="89" t="s">
        <v>1893</v>
      </c>
      <c r="BV246" s="71"/>
      <c r="BW246" s="79" t="s">
        <v>152</v>
      </c>
      <c r="BX246" s="79" t="s">
        <v>179</v>
      </c>
      <c r="BY246" s="71"/>
      <c r="BZ246" s="79">
        <v>0</v>
      </c>
      <c r="CA246" s="79">
        <v>4</v>
      </c>
      <c r="CB246" s="79">
        <f t="shared" si="25"/>
        <v>4</v>
      </c>
      <c r="CC246" s="79" t="str">
        <f t="shared" si="139"/>
        <v>No Aplica</v>
      </c>
      <c r="CD246" s="79" t="s">
        <v>177</v>
      </c>
      <c r="CE246" s="79"/>
      <c r="CF246" s="79"/>
      <c r="CG246" s="83" t="s">
        <v>1894</v>
      </c>
      <c r="CH246" s="41"/>
      <c r="CI246" s="79" t="s">
        <v>153</v>
      </c>
      <c r="CJ246" s="71"/>
      <c r="CK246" s="79">
        <f t="shared" si="38"/>
        <v>0</v>
      </c>
      <c r="CL246" s="79"/>
      <c r="CM246" s="79"/>
      <c r="CN246" s="79"/>
      <c r="CO246" s="79"/>
      <c r="CP246" s="79"/>
      <c r="CQ246" s="79"/>
      <c r="CR246" s="83" t="s">
        <v>179</v>
      </c>
      <c r="CS246" s="83" t="s">
        <v>179</v>
      </c>
      <c r="CT246" s="83" t="s">
        <v>179</v>
      </c>
      <c r="CU246" s="83" t="s">
        <v>179</v>
      </c>
      <c r="CV246" s="83" t="s">
        <v>179</v>
      </c>
      <c r="CW246" s="83" t="s">
        <v>179</v>
      </c>
      <c r="CX246" s="79" t="s">
        <v>153</v>
      </c>
      <c r="CY246" s="79">
        <f t="shared" si="120"/>
        <v>0</v>
      </c>
      <c r="CZ246" s="79">
        <v>0</v>
      </c>
      <c r="DA246" s="79">
        <f t="shared" si="121"/>
        <v>0</v>
      </c>
      <c r="DB246" s="84" t="str">
        <f t="shared" si="122"/>
        <v/>
      </c>
      <c r="DC246" s="41"/>
      <c r="DD246" s="79" t="s">
        <v>153</v>
      </c>
      <c r="DE246" s="71"/>
      <c r="DF246" s="85" t="s">
        <v>1895</v>
      </c>
      <c r="DG246" s="79">
        <v>236</v>
      </c>
      <c r="DH246" s="86">
        <f t="shared" si="124"/>
        <v>45393</v>
      </c>
      <c r="DI246" s="79" t="s">
        <v>181</v>
      </c>
      <c r="DJ246" s="79" t="s">
        <v>182</v>
      </c>
      <c r="DK246" s="79"/>
      <c r="DL246" s="79">
        <v>0</v>
      </c>
      <c r="DM246" s="79">
        <v>0</v>
      </c>
      <c r="DN246" s="79" t="s">
        <v>182</v>
      </c>
      <c r="DO246" s="79"/>
      <c r="DP246" s="79"/>
      <c r="DQ246" s="79"/>
      <c r="DR246" s="75" t="str">
        <f t="shared" si="111"/>
        <v>No aplica</v>
      </c>
      <c r="DS246" s="79"/>
      <c r="DT246" s="79"/>
      <c r="DU246" s="75" t="str">
        <f t="shared" si="112"/>
        <v>No aplica</v>
      </c>
      <c r="DV246" s="79" t="s">
        <v>182</v>
      </c>
      <c r="DW246" s="79" t="s">
        <v>182</v>
      </c>
      <c r="DX246" s="79"/>
      <c r="DY246" s="79"/>
      <c r="DZ246" s="79"/>
      <c r="EA246" s="79"/>
      <c r="EB246" s="79"/>
      <c r="EC246" s="79"/>
      <c r="ED246" s="79" t="s">
        <v>184</v>
      </c>
      <c r="EE246" s="79" t="s">
        <v>621</v>
      </c>
      <c r="EF246" s="41"/>
      <c r="EG246" s="79" t="s">
        <v>153</v>
      </c>
      <c r="EH246" s="71"/>
      <c r="EI246" s="80"/>
      <c r="EJ246" s="71"/>
      <c r="EK246" s="79" t="s">
        <v>179</v>
      </c>
      <c r="EL246" s="76" t="str">
        <f t="shared" si="113"/>
        <v>No requiere</v>
      </c>
      <c r="EM246" s="76" t="str">
        <f t="shared" si="114"/>
        <v>No requiere</v>
      </c>
      <c r="EN246" s="76" t="str">
        <f t="shared" si="140"/>
        <v>No requiere</v>
      </c>
      <c r="EO246" s="71"/>
      <c r="EP246" s="73" t="str">
        <f t="shared" si="115"/>
        <v>No requiere</v>
      </c>
      <c r="EQ246" s="77" t="str">
        <f t="shared" si="116"/>
        <v>No requiere</v>
      </c>
      <c r="ER246" s="71"/>
      <c r="ES246" s="79" t="s">
        <v>179</v>
      </c>
      <c r="ET246" s="73" t="str">
        <f t="shared" si="117"/>
        <v>No requiere</v>
      </c>
      <c r="EU246" s="73" t="str">
        <f t="shared" si="141"/>
        <v>No requiere</v>
      </c>
      <c r="EV246" s="73" t="str">
        <f t="shared" si="118"/>
        <v>No requiere</v>
      </c>
      <c r="EW246" s="73" t="str">
        <f t="shared" si="119"/>
        <v>No requiere</v>
      </c>
      <c r="EX246" s="78"/>
      <c r="EY246" s="78"/>
    </row>
    <row r="247" spans="1:155" ht="46.5" customHeight="1">
      <c r="A247" s="79">
        <v>243</v>
      </c>
      <c r="B247" s="80" t="s">
        <v>1896</v>
      </c>
      <c r="C247" s="81">
        <v>45390</v>
      </c>
      <c r="D247" s="82">
        <v>0.375</v>
      </c>
      <c r="E247" s="79" t="s">
        <v>151</v>
      </c>
      <c r="F247" s="79" t="s">
        <v>153</v>
      </c>
      <c r="G247" s="79" t="s">
        <v>153</v>
      </c>
      <c r="H247" s="79" t="s">
        <v>152</v>
      </c>
      <c r="I247" s="79" t="s">
        <v>152</v>
      </c>
      <c r="J247" s="79" t="s">
        <v>154</v>
      </c>
      <c r="K247" s="79" t="s">
        <v>155</v>
      </c>
      <c r="L247" s="80" t="s">
        <v>600</v>
      </c>
      <c r="M247" s="80" t="s">
        <v>327</v>
      </c>
      <c r="N247" s="79" t="s">
        <v>820</v>
      </c>
      <c r="O247" s="80" t="str">
        <f t="shared" si="107"/>
        <v>Ana María Gualy, Maria Alejandra Castañeda, Mateo López Narváez, Derly Adriana Castillo, Camilo Andrés Vásquez, David Reinaldo Jojoa, Laura Camila Bechara, Yohan David Díaz, Valentina González Pontón</v>
      </c>
      <c r="P247" s="79" t="s">
        <v>821</v>
      </c>
      <c r="Q247" s="79" t="s">
        <v>494</v>
      </c>
      <c r="R247" s="79" t="s">
        <v>523</v>
      </c>
      <c r="S247" s="79" t="s">
        <v>526</v>
      </c>
      <c r="T247" s="79" t="s">
        <v>373</v>
      </c>
      <c r="U247" s="79" t="s">
        <v>548</v>
      </c>
      <c r="V247" s="79" t="s">
        <v>887</v>
      </c>
      <c r="W247" s="79" t="s">
        <v>164</v>
      </c>
      <c r="X247" s="79" t="s">
        <v>329</v>
      </c>
      <c r="Y247" s="79"/>
      <c r="Z247" s="79"/>
      <c r="AA247" s="79"/>
      <c r="AB247" s="79"/>
      <c r="AC247" s="79"/>
      <c r="AD247" s="79"/>
      <c r="AE247" s="79"/>
      <c r="AF247" s="79"/>
      <c r="AG247" s="79"/>
      <c r="AH247" s="79"/>
      <c r="AI247" s="79"/>
      <c r="AJ247" s="79"/>
      <c r="AK247" s="79"/>
      <c r="AL247" s="79"/>
      <c r="AM247" s="79"/>
      <c r="AN247" s="79"/>
      <c r="AO247" s="79" t="s">
        <v>304</v>
      </c>
      <c r="AP247" s="79"/>
      <c r="AQ247" s="80" t="s">
        <v>1897</v>
      </c>
      <c r="AR247" s="80">
        <v>3176983081</v>
      </c>
      <c r="AS247" s="80" t="s">
        <v>171</v>
      </c>
      <c r="AT247" s="80" t="str">
        <f t="shared" si="108"/>
        <v>Teusaquillo</v>
      </c>
      <c r="AU247" s="79" t="s">
        <v>1004</v>
      </c>
      <c r="AV247" s="79"/>
      <c r="AW247" s="79"/>
      <c r="AX247" s="79"/>
      <c r="AY247" s="79"/>
      <c r="AZ247" s="79"/>
      <c r="BA247" s="80" t="str">
        <f t="shared" si="109"/>
        <v>Centro Ampliado</v>
      </c>
      <c r="BB247" s="79" t="s">
        <v>636</v>
      </c>
      <c r="BC247" s="79"/>
      <c r="BD247" s="79"/>
      <c r="BE247" s="79"/>
      <c r="BF247" s="79"/>
      <c r="BG247" s="79"/>
      <c r="BH247" s="80" t="str">
        <f t="shared" si="110"/>
        <v>Teusaquillo</v>
      </c>
      <c r="BI247" s="79" t="s">
        <v>1004</v>
      </c>
      <c r="BJ247" s="79"/>
      <c r="BK247" s="79"/>
      <c r="BL247" s="79"/>
      <c r="BM247" s="79"/>
      <c r="BN247" s="79"/>
      <c r="BO247" s="79"/>
      <c r="BP247" s="79"/>
      <c r="BQ247" s="79"/>
      <c r="BR247" s="79"/>
      <c r="BS247" s="80" t="s">
        <v>288</v>
      </c>
      <c r="BT247" s="80" t="s">
        <v>174</v>
      </c>
      <c r="BU247" s="80" t="s">
        <v>1898</v>
      </c>
      <c r="BV247" s="71"/>
      <c r="BW247" s="79" t="s">
        <v>153</v>
      </c>
      <c r="BX247" s="79" t="s">
        <v>607</v>
      </c>
      <c r="BY247" s="71"/>
      <c r="BZ247" s="79">
        <v>74</v>
      </c>
      <c r="CA247" s="79">
        <v>10</v>
      </c>
      <c r="CB247" s="79">
        <f t="shared" si="25"/>
        <v>84</v>
      </c>
      <c r="CC247" s="79" t="str">
        <f t="shared" si="139"/>
        <v>No Aplica</v>
      </c>
      <c r="CD247" s="79" t="s">
        <v>177</v>
      </c>
      <c r="CE247" s="79"/>
      <c r="CF247" s="79"/>
      <c r="CG247" s="83" t="s">
        <v>1899</v>
      </c>
      <c r="CH247" s="41"/>
      <c r="CI247" s="79" t="s">
        <v>153</v>
      </c>
      <c r="CJ247" s="71"/>
      <c r="CK247" s="79">
        <f t="shared" si="38"/>
        <v>0</v>
      </c>
      <c r="CL247" s="79"/>
      <c r="CM247" s="79"/>
      <c r="CN247" s="79"/>
      <c r="CO247" s="79"/>
      <c r="CP247" s="79"/>
      <c r="CQ247" s="79"/>
      <c r="CR247" s="83" t="s">
        <v>179</v>
      </c>
      <c r="CS247" s="83" t="s">
        <v>179</v>
      </c>
      <c r="CT247" s="83" t="s">
        <v>179</v>
      </c>
      <c r="CU247" s="83" t="s">
        <v>179</v>
      </c>
      <c r="CV247" s="83" t="s">
        <v>179</v>
      </c>
      <c r="CW247" s="83" t="s">
        <v>179</v>
      </c>
      <c r="CX247" s="79" t="s">
        <v>153</v>
      </c>
      <c r="CY247" s="79">
        <f t="shared" si="120"/>
        <v>0</v>
      </c>
      <c r="CZ247" s="79">
        <v>0</v>
      </c>
      <c r="DA247" s="79">
        <f t="shared" si="121"/>
        <v>0</v>
      </c>
      <c r="DB247" s="84" t="str">
        <f t="shared" si="122"/>
        <v/>
      </c>
      <c r="DC247" s="41"/>
      <c r="DD247" s="79" t="s">
        <v>153</v>
      </c>
      <c r="DE247" s="71"/>
      <c r="DF247" s="85" t="s">
        <v>1900</v>
      </c>
      <c r="DG247" s="79">
        <v>237</v>
      </c>
      <c r="DH247" s="86" t="str">
        <f t="shared" si="124"/>
        <v>Completo</v>
      </c>
      <c r="DI247" s="79" t="s">
        <v>181</v>
      </c>
      <c r="DJ247" s="79" t="s">
        <v>182</v>
      </c>
      <c r="DK247" s="79"/>
      <c r="DL247" s="79"/>
      <c r="DM247" s="79"/>
      <c r="DN247" s="79"/>
      <c r="DO247" s="79"/>
      <c r="DP247" s="79"/>
      <c r="DQ247" s="79"/>
      <c r="DR247" s="75" t="str">
        <f t="shared" si="111"/>
        <v>No aplica</v>
      </c>
      <c r="DS247" s="79"/>
      <c r="DT247" s="79"/>
      <c r="DU247" s="75" t="str">
        <f t="shared" si="112"/>
        <v>No aplica</v>
      </c>
      <c r="DV247" s="79" t="s">
        <v>182</v>
      </c>
      <c r="DW247" s="79" t="s">
        <v>182</v>
      </c>
      <c r="DX247" s="79"/>
      <c r="DY247" s="79"/>
      <c r="DZ247" s="79"/>
      <c r="EA247" s="79"/>
      <c r="EB247" s="79" t="s">
        <v>182</v>
      </c>
      <c r="EC247" s="79" t="s">
        <v>1901</v>
      </c>
      <c r="ED247" s="79" t="s">
        <v>184</v>
      </c>
      <c r="EE247" s="79" t="str">
        <f>IF(DI247="Subsanado","Completo","Por Completar")</f>
        <v>Completo</v>
      </c>
      <c r="EF247" s="41"/>
      <c r="EG247" s="79" t="s">
        <v>153</v>
      </c>
      <c r="EH247" s="71"/>
      <c r="EI247" s="80"/>
      <c r="EJ247" s="71"/>
      <c r="EK247" s="79" t="s">
        <v>179</v>
      </c>
      <c r="EL247" s="76" t="str">
        <f t="shared" si="113"/>
        <v>No requiere</v>
      </c>
      <c r="EM247" s="76" t="str">
        <f t="shared" si="114"/>
        <v>No requiere</v>
      </c>
      <c r="EN247" s="76" t="str">
        <f t="shared" si="140"/>
        <v>No requiere</v>
      </c>
      <c r="EO247" s="71"/>
      <c r="EP247" s="73" t="str">
        <f t="shared" si="115"/>
        <v>No requiere</v>
      </c>
      <c r="EQ247" s="77" t="str">
        <f t="shared" si="116"/>
        <v>No requiere</v>
      </c>
      <c r="ER247" s="71"/>
      <c r="ES247" s="79" t="s">
        <v>179</v>
      </c>
      <c r="ET247" s="73" t="str">
        <f t="shared" si="117"/>
        <v>No requiere</v>
      </c>
      <c r="EU247" s="73" t="str">
        <f t="shared" si="141"/>
        <v>No requiere</v>
      </c>
      <c r="EV247" s="73" t="str">
        <f t="shared" si="118"/>
        <v>No requiere</v>
      </c>
      <c r="EW247" s="73" t="str">
        <f t="shared" si="119"/>
        <v>No requiere</v>
      </c>
      <c r="EX247" s="78"/>
      <c r="EY247" s="78"/>
    </row>
    <row r="248" spans="1:155" ht="46.5" customHeight="1">
      <c r="A248" s="79">
        <v>244</v>
      </c>
      <c r="B248" s="80" t="s">
        <v>1902</v>
      </c>
      <c r="C248" s="81">
        <v>45390</v>
      </c>
      <c r="D248" s="82">
        <v>0.375</v>
      </c>
      <c r="E248" s="79" t="s">
        <v>151</v>
      </c>
      <c r="F248" s="79" t="s">
        <v>153</v>
      </c>
      <c r="G248" s="79" t="s">
        <v>153</v>
      </c>
      <c r="H248" s="79" t="s">
        <v>152</v>
      </c>
      <c r="I248" s="79" t="s">
        <v>152</v>
      </c>
      <c r="J248" s="79" t="s">
        <v>154</v>
      </c>
      <c r="K248" s="79" t="s">
        <v>155</v>
      </c>
      <c r="L248" s="80" t="s">
        <v>1903</v>
      </c>
      <c r="M248" s="80" t="s">
        <v>303</v>
      </c>
      <c r="N248" s="79" t="s">
        <v>422</v>
      </c>
      <c r="O248" s="80" t="str">
        <f t="shared" si="107"/>
        <v/>
      </c>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t="s">
        <v>230</v>
      </c>
      <c r="AP248" s="79"/>
      <c r="AQ248" s="80" t="s">
        <v>1904</v>
      </c>
      <c r="AR248" s="83" t="s">
        <v>1905</v>
      </c>
      <c r="AS248" s="80" t="s">
        <v>1906</v>
      </c>
      <c r="AT248" s="80" t="str">
        <f t="shared" si="108"/>
        <v>Distrital</v>
      </c>
      <c r="AU248" s="79" t="s">
        <v>172</v>
      </c>
      <c r="AV248" s="79"/>
      <c r="AW248" s="79"/>
      <c r="AX248" s="79"/>
      <c r="AY248" s="79"/>
      <c r="AZ248" s="79"/>
      <c r="BA248" s="80" t="str">
        <f t="shared" si="109"/>
        <v>Distrital</v>
      </c>
      <c r="BB248" s="79" t="s">
        <v>172</v>
      </c>
      <c r="BC248" s="79"/>
      <c r="BD248" s="79"/>
      <c r="BE248" s="79"/>
      <c r="BF248" s="79"/>
      <c r="BG248" s="79"/>
      <c r="BH248" s="80" t="str">
        <f t="shared" si="110"/>
        <v>Distrital</v>
      </c>
      <c r="BI248" s="79" t="s">
        <v>172</v>
      </c>
      <c r="BJ248" s="79"/>
      <c r="BK248" s="79"/>
      <c r="BL248" s="79"/>
      <c r="BM248" s="79"/>
      <c r="BN248" s="79"/>
      <c r="BO248" s="79"/>
      <c r="BP248" s="79"/>
      <c r="BQ248" s="79"/>
      <c r="BR248" s="79"/>
      <c r="BS248" s="80" t="s">
        <v>288</v>
      </c>
      <c r="BT248" s="80" t="s">
        <v>174</v>
      </c>
      <c r="BU248" s="80" t="s">
        <v>1907</v>
      </c>
      <c r="BV248" s="71"/>
      <c r="BW248" s="79" t="s">
        <v>153</v>
      </c>
      <c r="BX248" s="79" t="s">
        <v>607</v>
      </c>
      <c r="BY248" s="71"/>
      <c r="BZ248" s="79">
        <v>15</v>
      </c>
      <c r="CA248" s="79">
        <v>1</v>
      </c>
      <c r="CB248" s="79">
        <f t="shared" si="25"/>
        <v>16</v>
      </c>
      <c r="CC248" s="79" t="str">
        <f t="shared" si="139"/>
        <v>Horarios Acordes</v>
      </c>
      <c r="CD248" s="79" t="s">
        <v>351</v>
      </c>
      <c r="CE248" s="79"/>
      <c r="CF248" s="79"/>
      <c r="CG248" s="83" t="s">
        <v>1908</v>
      </c>
      <c r="CH248" s="41"/>
      <c r="CI248" s="79" t="s">
        <v>153</v>
      </c>
      <c r="CJ248" s="71"/>
      <c r="CK248" s="79">
        <f t="shared" si="38"/>
        <v>0</v>
      </c>
      <c r="CL248" s="79"/>
      <c r="CM248" s="79"/>
      <c r="CN248" s="79"/>
      <c r="CO248" s="79"/>
      <c r="CP248" s="79"/>
      <c r="CQ248" s="79"/>
      <c r="CR248" s="83" t="s">
        <v>179</v>
      </c>
      <c r="CS248" s="83" t="s">
        <v>179</v>
      </c>
      <c r="CT248" s="83" t="s">
        <v>179</v>
      </c>
      <c r="CU248" s="83" t="s">
        <v>179</v>
      </c>
      <c r="CV248" s="83" t="s">
        <v>179</v>
      </c>
      <c r="CW248" s="83" t="s">
        <v>179</v>
      </c>
      <c r="CX248" s="79" t="s">
        <v>153</v>
      </c>
      <c r="CY248" s="79">
        <v>0</v>
      </c>
      <c r="CZ248" s="79">
        <v>0</v>
      </c>
      <c r="DA248" s="79">
        <v>0</v>
      </c>
      <c r="DB248" s="84" t="s">
        <v>316</v>
      </c>
      <c r="DC248" s="41"/>
      <c r="DD248" s="79" t="s">
        <v>153</v>
      </c>
      <c r="DE248" s="71"/>
      <c r="DF248" s="85" t="s">
        <v>1909</v>
      </c>
      <c r="DG248" s="79">
        <v>238</v>
      </c>
      <c r="DH248" s="86">
        <f t="shared" si="124"/>
        <v>45393</v>
      </c>
      <c r="DI248" s="79" t="s">
        <v>181</v>
      </c>
      <c r="DJ248" s="79" t="s">
        <v>182</v>
      </c>
      <c r="DK248" s="79"/>
      <c r="DL248" s="79">
        <v>0</v>
      </c>
      <c r="DM248" s="79">
        <v>0</v>
      </c>
      <c r="DN248" s="79" t="s">
        <v>182</v>
      </c>
      <c r="DO248" s="79"/>
      <c r="DP248" s="79"/>
      <c r="DQ248" s="79"/>
      <c r="DR248" s="75" t="str">
        <f t="shared" si="111"/>
        <v>No aplica</v>
      </c>
      <c r="DS248" s="79"/>
      <c r="DT248" s="79"/>
      <c r="DU248" s="75" t="str">
        <f t="shared" si="112"/>
        <v>No aplica</v>
      </c>
      <c r="DV248" s="79" t="s">
        <v>182</v>
      </c>
      <c r="DW248" s="79" t="s">
        <v>182</v>
      </c>
      <c r="DX248" s="79"/>
      <c r="DY248" s="79"/>
      <c r="DZ248" s="79" t="s">
        <v>1910</v>
      </c>
      <c r="EA248" s="79"/>
      <c r="EB248" s="79"/>
      <c r="EC248" s="79"/>
      <c r="ED248" s="79" t="s">
        <v>184</v>
      </c>
      <c r="EE248" s="79" t="s">
        <v>621</v>
      </c>
      <c r="EF248" s="41"/>
      <c r="EG248" s="79" t="s">
        <v>153</v>
      </c>
      <c r="EH248" s="71"/>
      <c r="EI248" s="80"/>
      <c r="EJ248" s="71"/>
      <c r="EK248" s="79"/>
      <c r="EL248" s="76" t="str">
        <f t="shared" si="113"/>
        <v>No requiere</v>
      </c>
      <c r="EM248" s="76" t="str">
        <f t="shared" si="114"/>
        <v>No requiere</v>
      </c>
      <c r="EN248" s="76" t="str">
        <f t="shared" si="140"/>
        <v>No requiere</v>
      </c>
      <c r="EO248" s="71"/>
      <c r="EP248" s="73" t="str">
        <f t="shared" si="115"/>
        <v>No requiere</v>
      </c>
      <c r="EQ248" s="77" t="str">
        <f t="shared" si="116"/>
        <v>No requiere</v>
      </c>
      <c r="ER248" s="71"/>
      <c r="ES248" s="79"/>
      <c r="ET248" s="73" t="str">
        <f t="shared" si="117"/>
        <v>No requiere</v>
      </c>
      <c r="EU248" s="73" t="str">
        <f t="shared" si="141"/>
        <v>No requiere</v>
      </c>
      <c r="EV248" s="73" t="str">
        <f t="shared" si="118"/>
        <v>No requiere</v>
      </c>
      <c r="EW248" s="73" t="str">
        <f t="shared" si="119"/>
        <v>No requiere</v>
      </c>
      <c r="EX248" s="78"/>
      <c r="EY248" s="78"/>
    </row>
    <row r="249" spans="1:155" ht="46.5" customHeight="1">
      <c r="A249" s="79">
        <v>245</v>
      </c>
      <c r="B249" s="80" t="s">
        <v>1911</v>
      </c>
      <c r="C249" s="81">
        <v>45390</v>
      </c>
      <c r="D249" s="82">
        <v>0.58333333333333337</v>
      </c>
      <c r="E249" s="79" t="s">
        <v>151</v>
      </c>
      <c r="F249" s="79" t="s">
        <v>153</v>
      </c>
      <c r="G249" s="79" t="s">
        <v>152</v>
      </c>
      <c r="H249" s="79" t="s">
        <v>152</v>
      </c>
      <c r="I249" s="79" t="s">
        <v>152</v>
      </c>
      <c r="J249" s="79" t="s">
        <v>154</v>
      </c>
      <c r="K249" s="79" t="s">
        <v>155</v>
      </c>
      <c r="L249" s="80" t="s">
        <v>1912</v>
      </c>
      <c r="M249" s="80" t="s">
        <v>229</v>
      </c>
      <c r="N249" s="79" t="s">
        <v>163</v>
      </c>
      <c r="O249" s="80" t="str">
        <f t="shared" si="107"/>
        <v>Yeiker Guerra Sarmiento, Juan Carlos Prieto</v>
      </c>
      <c r="P249" s="79" t="s">
        <v>163</v>
      </c>
      <c r="Q249" s="79" t="s">
        <v>474</v>
      </c>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t="s">
        <v>169</v>
      </c>
      <c r="AP249" s="79"/>
      <c r="AQ249" s="80" t="s">
        <v>830</v>
      </c>
      <c r="AR249" s="83">
        <v>3204288455</v>
      </c>
      <c r="AS249" s="80" t="s">
        <v>831</v>
      </c>
      <c r="AT249" s="80" t="str">
        <f t="shared" si="108"/>
        <v>Distrital</v>
      </c>
      <c r="AU249" s="79" t="s">
        <v>172</v>
      </c>
      <c r="AV249" s="79"/>
      <c r="AW249" s="79"/>
      <c r="AX249" s="79"/>
      <c r="AY249" s="79"/>
      <c r="AZ249" s="79"/>
      <c r="BA249" s="80" t="str">
        <f t="shared" si="109"/>
        <v>Distrital</v>
      </c>
      <c r="BB249" s="79" t="s">
        <v>172</v>
      </c>
      <c r="BC249" s="79"/>
      <c r="BD249" s="79"/>
      <c r="BE249" s="79"/>
      <c r="BF249" s="79"/>
      <c r="BG249" s="79"/>
      <c r="BH249" s="80" t="str">
        <f t="shared" si="110"/>
        <v>Distrital</v>
      </c>
      <c r="BI249" s="79" t="s">
        <v>172</v>
      </c>
      <c r="BJ249" s="79"/>
      <c r="BK249" s="79"/>
      <c r="BL249" s="79"/>
      <c r="BM249" s="79"/>
      <c r="BN249" s="79"/>
      <c r="BO249" s="79"/>
      <c r="BP249" s="79"/>
      <c r="BQ249" s="79"/>
      <c r="BR249" s="79"/>
      <c r="BS249" s="80" t="s">
        <v>288</v>
      </c>
      <c r="BT249" s="80" t="s">
        <v>174</v>
      </c>
      <c r="BU249" s="80" t="s">
        <v>1913</v>
      </c>
      <c r="BV249" s="71"/>
      <c r="BW249" s="79" t="s">
        <v>153</v>
      </c>
      <c r="BX249" s="79" t="s">
        <v>176</v>
      </c>
      <c r="BY249" s="71"/>
      <c r="BZ249" s="79">
        <v>5</v>
      </c>
      <c r="CA249" s="79">
        <v>3</v>
      </c>
      <c r="CB249" s="79">
        <f t="shared" si="25"/>
        <v>8</v>
      </c>
      <c r="CC249" s="79" t="str">
        <f t="shared" si="139"/>
        <v>No Aplica</v>
      </c>
      <c r="CD249" s="79" t="s">
        <v>177</v>
      </c>
      <c r="CE249" s="79"/>
      <c r="CF249" s="79"/>
      <c r="CG249" s="83" t="s">
        <v>1914</v>
      </c>
      <c r="CH249" s="41"/>
      <c r="CI249" s="79" t="s">
        <v>153</v>
      </c>
      <c r="CJ249" s="71"/>
      <c r="CK249" s="79">
        <f t="shared" si="38"/>
        <v>0</v>
      </c>
      <c r="CL249" s="79"/>
      <c r="CM249" s="79"/>
      <c r="CN249" s="79"/>
      <c r="CO249" s="79"/>
      <c r="CP249" s="79"/>
      <c r="CQ249" s="79"/>
      <c r="CR249" s="83" t="s">
        <v>179</v>
      </c>
      <c r="CS249" s="83" t="s">
        <v>179</v>
      </c>
      <c r="CT249" s="83" t="s">
        <v>179</v>
      </c>
      <c r="CU249" s="83" t="s">
        <v>179</v>
      </c>
      <c r="CV249" s="83" t="s">
        <v>179</v>
      </c>
      <c r="CW249" s="83" t="s">
        <v>179</v>
      </c>
      <c r="CX249" s="79" t="s">
        <v>153</v>
      </c>
      <c r="CY249" s="79">
        <f>SUM(COUNTIF(CR249:CW249,"Realizado y Devuelto a la Ciudadanía"),COUNTIF(CR249:CW249,"Realizado y Trasladado por competencia"), COUNTIF(CR249:CW249,"Realizado y Gestionado"))</f>
        <v>0</v>
      </c>
      <c r="CZ249" s="79">
        <v>0</v>
      </c>
      <c r="DA249" s="79">
        <f>COUNTIF(CR249:CW249,"Realizado y Devuelto a la Ciudadanía")</f>
        <v>0</v>
      </c>
      <c r="DB249" s="84" t="str">
        <f>IFERROR(CY249/CK249,"")</f>
        <v/>
      </c>
      <c r="DC249" s="41"/>
      <c r="DD249" s="79" t="s">
        <v>153</v>
      </c>
      <c r="DE249" s="71"/>
      <c r="DF249" s="85" t="s">
        <v>1915</v>
      </c>
      <c r="DG249" s="79">
        <v>239</v>
      </c>
      <c r="DH249" s="86" t="str">
        <f t="shared" si="124"/>
        <v>Completo</v>
      </c>
      <c r="DI249" s="79" t="s">
        <v>181</v>
      </c>
      <c r="DJ249" s="79" t="s">
        <v>182</v>
      </c>
      <c r="DK249" s="79"/>
      <c r="DL249" s="79">
        <v>0</v>
      </c>
      <c r="DM249" s="79">
        <v>0</v>
      </c>
      <c r="DN249" s="79"/>
      <c r="DO249" s="79"/>
      <c r="DP249" s="79"/>
      <c r="DQ249" s="79"/>
      <c r="DR249" s="75" t="str">
        <f t="shared" si="111"/>
        <v>No aplica</v>
      </c>
      <c r="DS249" s="79"/>
      <c r="DT249" s="79"/>
      <c r="DU249" s="75" t="str">
        <f t="shared" si="112"/>
        <v>No aplica</v>
      </c>
      <c r="DV249" s="79" t="s">
        <v>182</v>
      </c>
      <c r="DW249" s="79"/>
      <c r="DX249" s="79"/>
      <c r="DY249" s="79"/>
      <c r="DZ249" s="79"/>
      <c r="EA249" s="79"/>
      <c r="EB249" s="79" t="s">
        <v>182</v>
      </c>
      <c r="EC249" s="79" t="s">
        <v>1916</v>
      </c>
      <c r="ED249" s="79" t="s">
        <v>1917</v>
      </c>
      <c r="EE249" s="79" t="str">
        <f>IF(DI249="Subsanado","Completo","Por Completar")</f>
        <v>Completo</v>
      </c>
      <c r="EF249" s="41"/>
      <c r="EG249" s="79" t="s">
        <v>153</v>
      </c>
      <c r="EH249" s="71"/>
      <c r="EI249" s="80"/>
      <c r="EJ249" s="71"/>
      <c r="EK249" s="79" t="s">
        <v>179</v>
      </c>
      <c r="EL249" s="76" t="str">
        <f t="shared" si="113"/>
        <v>No requiere</v>
      </c>
      <c r="EM249" s="76" t="str">
        <f t="shared" si="114"/>
        <v>No requiere</v>
      </c>
      <c r="EN249" s="76" t="str">
        <f t="shared" si="140"/>
        <v>No requiere</v>
      </c>
      <c r="EO249" s="71"/>
      <c r="EP249" s="73" t="str">
        <f t="shared" si="115"/>
        <v>No requiere</v>
      </c>
      <c r="EQ249" s="77" t="str">
        <f t="shared" si="116"/>
        <v>No requiere</v>
      </c>
      <c r="ER249" s="71"/>
      <c r="ES249" s="79" t="s">
        <v>179</v>
      </c>
      <c r="ET249" s="73" t="str">
        <f t="shared" si="117"/>
        <v>No requiere</v>
      </c>
      <c r="EU249" s="73" t="str">
        <f t="shared" si="141"/>
        <v>No requiere</v>
      </c>
      <c r="EV249" s="73" t="str">
        <f t="shared" si="118"/>
        <v>No requiere</v>
      </c>
      <c r="EW249" s="73" t="str">
        <f t="shared" si="119"/>
        <v>No requiere</v>
      </c>
      <c r="EX249" s="78"/>
      <c r="EY249" s="78"/>
    </row>
    <row r="250" spans="1:155" ht="46.5" customHeight="1">
      <c r="A250" s="79">
        <v>246</v>
      </c>
      <c r="B250" s="80" t="s">
        <v>1918</v>
      </c>
      <c r="C250" s="81">
        <v>45390</v>
      </c>
      <c r="D250" s="82">
        <v>0.66666666666666663</v>
      </c>
      <c r="E250" s="79" t="s">
        <v>151</v>
      </c>
      <c r="F250" s="79" t="s">
        <v>153</v>
      </c>
      <c r="G250" s="79" t="s">
        <v>152</v>
      </c>
      <c r="H250" s="79" t="s">
        <v>152</v>
      </c>
      <c r="I250" s="79" t="s">
        <v>152</v>
      </c>
      <c r="J250" s="79" t="s">
        <v>154</v>
      </c>
      <c r="K250" s="79" t="s">
        <v>202</v>
      </c>
      <c r="L250" s="80" t="s">
        <v>1919</v>
      </c>
      <c r="M250" s="80" t="s">
        <v>157</v>
      </c>
      <c r="N250" s="79" t="s">
        <v>167</v>
      </c>
      <c r="O250" s="80" t="str">
        <f t="shared" si="107"/>
        <v>Luz Maritza Acero, Laura Camila Bechara</v>
      </c>
      <c r="P250" s="79" t="s">
        <v>167</v>
      </c>
      <c r="Q250" s="79" t="s">
        <v>887</v>
      </c>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t="s">
        <v>230</v>
      </c>
      <c r="AP250" s="79" t="s">
        <v>347</v>
      </c>
      <c r="AQ250" s="80" t="s">
        <v>1920</v>
      </c>
      <c r="AR250" s="80">
        <v>3188153382</v>
      </c>
      <c r="AS250" s="80" t="s">
        <v>1921</v>
      </c>
      <c r="AT250" s="80" t="str">
        <f t="shared" si="108"/>
        <v>Distrital</v>
      </c>
      <c r="AU250" s="79" t="s">
        <v>172</v>
      </c>
      <c r="AV250" s="79"/>
      <c r="AW250" s="79"/>
      <c r="AX250" s="79"/>
      <c r="AY250" s="79"/>
      <c r="AZ250" s="79"/>
      <c r="BA250" s="80" t="str">
        <f t="shared" si="109"/>
        <v>Distrital</v>
      </c>
      <c r="BB250" s="79" t="s">
        <v>172</v>
      </c>
      <c r="BC250" s="79"/>
      <c r="BD250" s="79"/>
      <c r="BE250" s="79"/>
      <c r="BF250" s="79"/>
      <c r="BG250" s="79"/>
      <c r="BH250" s="80" t="str">
        <f t="shared" si="110"/>
        <v>Distrital</v>
      </c>
      <c r="BI250" s="79" t="s">
        <v>172</v>
      </c>
      <c r="BJ250" s="79"/>
      <c r="BK250" s="79"/>
      <c r="BL250" s="79"/>
      <c r="BM250" s="79"/>
      <c r="BN250" s="79"/>
      <c r="BO250" s="79"/>
      <c r="BP250" s="79"/>
      <c r="BQ250" s="79"/>
      <c r="BR250" s="79"/>
      <c r="BS250" s="80" t="s">
        <v>288</v>
      </c>
      <c r="BT250" s="80" t="s">
        <v>174</v>
      </c>
      <c r="BU250" s="89" t="s">
        <v>1692</v>
      </c>
      <c r="BV250" s="71"/>
      <c r="BW250" s="79" t="s">
        <v>153</v>
      </c>
      <c r="BX250" s="79" t="s">
        <v>176</v>
      </c>
      <c r="BY250" s="71"/>
      <c r="BZ250" s="79">
        <v>190</v>
      </c>
      <c r="CA250" s="79">
        <v>6</v>
      </c>
      <c r="CB250" s="79">
        <f t="shared" si="25"/>
        <v>196</v>
      </c>
      <c r="CC250" s="79" t="str">
        <f t="shared" si="139"/>
        <v>No Aplica</v>
      </c>
      <c r="CD250" s="79" t="s">
        <v>177</v>
      </c>
      <c r="CE250" s="79"/>
      <c r="CF250" s="79"/>
      <c r="CG250" s="83" t="s">
        <v>1922</v>
      </c>
      <c r="CH250" s="41"/>
      <c r="CI250" s="79" t="s">
        <v>153</v>
      </c>
      <c r="CJ250" s="71"/>
      <c r="CK250" s="79">
        <f t="shared" si="38"/>
        <v>0</v>
      </c>
      <c r="CL250" s="79"/>
      <c r="CM250" s="79"/>
      <c r="CN250" s="79"/>
      <c r="CO250" s="79"/>
      <c r="CP250" s="79"/>
      <c r="CQ250" s="79"/>
      <c r="CR250" s="83"/>
      <c r="CS250" s="83"/>
      <c r="CT250" s="83"/>
      <c r="CU250" s="83"/>
      <c r="CV250" s="83"/>
      <c r="CW250" s="83"/>
      <c r="CX250" s="79"/>
      <c r="CY250" s="79">
        <v>0</v>
      </c>
      <c r="CZ250" s="79">
        <v>0</v>
      </c>
      <c r="DA250" s="79">
        <v>0</v>
      </c>
      <c r="DB250" s="84" t="s">
        <v>316</v>
      </c>
      <c r="DC250" s="41"/>
      <c r="DD250" s="79" t="s">
        <v>153</v>
      </c>
      <c r="DE250" s="71"/>
      <c r="DF250" s="85" t="s">
        <v>1923</v>
      </c>
      <c r="DG250" s="79">
        <v>240</v>
      </c>
      <c r="DH250" s="86">
        <f t="shared" si="124"/>
        <v>45393</v>
      </c>
      <c r="DI250" s="79" t="s">
        <v>181</v>
      </c>
      <c r="DJ250" s="79" t="s">
        <v>182</v>
      </c>
      <c r="DK250" s="79"/>
      <c r="DL250" s="79">
        <v>0</v>
      </c>
      <c r="DM250" s="79">
        <v>0</v>
      </c>
      <c r="DN250" s="79"/>
      <c r="DO250" s="79"/>
      <c r="DP250" s="79"/>
      <c r="DQ250" s="79"/>
      <c r="DR250" s="75" t="str">
        <f t="shared" si="111"/>
        <v>No aplica</v>
      </c>
      <c r="DS250" s="79"/>
      <c r="DT250" s="79"/>
      <c r="DU250" s="75" t="str">
        <f t="shared" si="112"/>
        <v>No aplica</v>
      </c>
      <c r="DV250" s="79" t="s">
        <v>179</v>
      </c>
      <c r="DW250" s="79" t="s">
        <v>182</v>
      </c>
      <c r="DX250" s="79"/>
      <c r="DY250" s="79"/>
      <c r="DZ250" s="79"/>
      <c r="EA250" s="79"/>
      <c r="EB250" s="79" t="s">
        <v>182</v>
      </c>
      <c r="EC250" s="79" t="s">
        <v>1924</v>
      </c>
      <c r="ED250" s="79" t="s">
        <v>184</v>
      </c>
      <c r="EE250" s="79" t="s">
        <v>621</v>
      </c>
      <c r="EF250" s="41"/>
      <c r="EG250" s="79" t="s">
        <v>153</v>
      </c>
      <c r="EH250" s="71"/>
      <c r="EI250" s="80"/>
      <c r="EJ250" s="71"/>
      <c r="EK250" s="79"/>
      <c r="EL250" s="76" t="str">
        <f t="shared" si="113"/>
        <v>No requiere</v>
      </c>
      <c r="EM250" s="76" t="str">
        <f t="shared" si="114"/>
        <v>No requiere</v>
      </c>
      <c r="EN250" s="76" t="str">
        <f t="shared" si="140"/>
        <v>No requiere</v>
      </c>
      <c r="EO250" s="71"/>
      <c r="EP250" s="73" t="str">
        <f t="shared" si="115"/>
        <v>No requiere</v>
      </c>
      <c r="EQ250" s="77" t="str">
        <f t="shared" si="116"/>
        <v>No requiere</v>
      </c>
      <c r="ER250" s="71"/>
      <c r="ES250" s="79"/>
      <c r="ET250" s="73" t="str">
        <f t="shared" si="117"/>
        <v>No requiere</v>
      </c>
      <c r="EU250" s="73" t="str">
        <f t="shared" si="141"/>
        <v>No requiere</v>
      </c>
      <c r="EV250" s="73" t="str">
        <f t="shared" si="118"/>
        <v>No requiere</v>
      </c>
      <c r="EW250" s="73" t="str">
        <f t="shared" si="119"/>
        <v>No requiere</v>
      </c>
      <c r="EX250" s="78"/>
      <c r="EY250" s="78"/>
    </row>
    <row r="251" spans="1:155" ht="46.5" customHeight="1">
      <c r="A251" s="79">
        <v>247</v>
      </c>
      <c r="B251" s="80" t="s">
        <v>1925</v>
      </c>
      <c r="C251" s="81">
        <v>45390</v>
      </c>
      <c r="D251" s="82">
        <v>0.70833333333333337</v>
      </c>
      <c r="E251" s="79" t="s">
        <v>151</v>
      </c>
      <c r="F251" s="79" t="s">
        <v>153</v>
      </c>
      <c r="G251" s="79" t="s">
        <v>153</v>
      </c>
      <c r="H251" s="79" t="s">
        <v>153</v>
      </c>
      <c r="I251" s="79" t="s">
        <v>152</v>
      </c>
      <c r="J251" s="79" t="s">
        <v>154</v>
      </c>
      <c r="K251" s="79" t="s">
        <v>155</v>
      </c>
      <c r="L251" s="80" t="s">
        <v>1315</v>
      </c>
      <c r="M251" s="80" t="s">
        <v>303</v>
      </c>
      <c r="N251" s="79" t="s">
        <v>801</v>
      </c>
      <c r="O251" s="80" t="str">
        <f t="shared" si="107"/>
        <v>Paula Andrea González, César Augusto Barrantes, Aida Vanessa Rocha, Diana Marcela Fernández, Andres Castro Latorre, Nancy Stella Villa , Carlos Eduardo Escandón, Nathalia Guzmán Martínez, James Fernando Núñez, Norberto Muñoz Morera, Manuel Fernando Vergara, Camila María Santana, Armando Alberto Montañez, Germán Ramón Jacome</v>
      </c>
      <c r="P251" s="79" t="s">
        <v>158</v>
      </c>
      <c r="Q251" s="79" t="s">
        <v>729</v>
      </c>
      <c r="R251" s="79" t="s">
        <v>801</v>
      </c>
      <c r="S251" s="79" t="s">
        <v>473</v>
      </c>
      <c r="T251" s="79" t="s">
        <v>749</v>
      </c>
      <c r="U251" s="79" t="s">
        <v>1611</v>
      </c>
      <c r="V251" s="79" t="s">
        <v>819</v>
      </c>
      <c r="W251" s="79" t="s">
        <v>166</v>
      </c>
      <c r="X251" s="79" t="s">
        <v>632</v>
      </c>
      <c r="Y251" s="79" t="s">
        <v>161</v>
      </c>
      <c r="Z251" s="79" t="s">
        <v>820</v>
      </c>
      <c r="AA251" s="79" t="s">
        <v>861</v>
      </c>
      <c r="AB251" s="79" t="s">
        <v>1387</v>
      </c>
      <c r="AC251" s="79" t="s">
        <v>525</v>
      </c>
      <c r="AD251" s="79"/>
      <c r="AE251" s="79"/>
      <c r="AF251" s="79"/>
      <c r="AG251" s="79"/>
      <c r="AH251" s="79"/>
      <c r="AI251" s="79"/>
      <c r="AJ251" s="79"/>
      <c r="AK251" s="79"/>
      <c r="AL251" s="79"/>
      <c r="AM251" s="79"/>
      <c r="AN251" s="79"/>
      <c r="AO251" s="79" t="s">
        <v>304</v>
      </c>
      <c r="AP251" s="79"/>
      <c r="AQ251" s="80" t="s">
        <v>1926</v>
      </c>
      <c r="AR251" s="80">
        <v>3108772660</v>
      </c>
      <c r="AS251" s="80" t="s">
        <v>1927</v>
      </c>
      <c r="AT251" s="80" t="str">
        <f t="shared" si="108"/>
        <v>Usaquén</v>
      </c>
      <c r="AU251" s="79" t="s">
        <v>661</v>
      </c>
      <c r="AV251" s="79"/>
      <c r="AW251" s="79"/>
      <c r="AX251" s="79"/>
      <c r="AY251" s="79"/>
      <c r="AZ251" s="79"/>
      <c r="BA251" s="80" t="str">
        <f t="shared" si="109"/>
        <v>Norte</v>
      </c>
      <c r="BB251" s="79" t="s">
        <v>662</v>
      </c>
      <c r="BC251" s="79"/>
      <c r="BD251" s="79"/>
      <c r="BE251" s="79"/>
      <c r="BF251" s="79"/>
      <c r="BG251" s="79"/>
      <c r="BH251" s="80" t="str">
        <f t="shared" si="110"/>
        <v>Usaquén</v>
      </c>
      <c r="BI251" s="79" t="s">
        <v>661</v>
      </c>
      <c r="BJ251" s="79"/>
      <c r="BK251" s="79"/>
      <c r="BL251" s="79"/>
      <c r="BM251" s="79"/>
      <c r="BN251" s="79"/>
      <c r="BO251" s="79"/>
      <c r="BP251" s="79"/>
      <c r="BQ251" s="79"/>
      <c r="BR251" s="79"/>
      <c r="BS251" s="80" t="s">
        <v>1928</v>
      </c>
      <c r="BT251" s="80" t="s">
        <v>605</v>
      </c>
      <c r="BU251" s="80" t="s">
        <v>1929</v>
      </c>
      <c r="BV251" s="71"/>
      <c r="BW251" s="79" t="s">
        <v>153</v>
      </c>
      <c r="BX251" s="79" t="s">
        <v>607</v>
      </c>
      <c r="BY251" s="71"/>
      <c r="BZ251" s="79">
        <v>51</v>
      </c>
      <c r="CA251" s="79">
        <v>13</v>
      </c>
      <c r="CB251" s="79">
        <f t="shared" si="25"/>
        <v>64</v>
      </c>
      <c r="CC251" s="79" t="str">
        <f t="shared" si="139"/>
        <v>Ninguna</v>
      </c>
      <c r="CD251" s="79" t="s">
        <v>174</v>
      </c>
      <c r="CE251" s="79"/>
      <c r="CF251" s="79"/>
      <c r="CG251" s="83" t="s">
        <v>1930</v>
      </c>
      <c r="CH251" s="41"/>
      <c r="CI251" s="79" t="s">
        <v>153</v>
      </c>
      <c r="CJ251" s="71"/>
      <c r="CK251" s="79">
        <f t="shared" si="38"/>
        <v>1</v>
      </c>
      <c r="CL251" s="93" t="s">
        <v>1931</v>
      </c>
      <c r="CM251" s="79"/>
      <c r="CN251" s="79"/>
      <c r="CO251" s="79"/>
      <c r="CP251" s="79"/>
      <c r="CQ251" s="79"/>
      <c r="CR251" s="83" t="s">
        <v>390</v>
      </c>
      <c r="CS251" s="83" t="s">
        <v>179</v>
      </c>
      <c r="CT251" s="83" t="s">
        <v>179</v>
      </c>
      <c r="CU251" s="83" t="s">
        <v>179</v>
      </c>
      <c r="CV251" s="83" t="s">
        <v>179</v>
      </c>
      <c r="CW251" s="83" t="s">
        <v>179</v>
      </c>
      <c r="CX251" s="79" t="s">
        <v>153</v>
      </c>
      <c r="CY251" s="79">
        <f t="shared" ref="CY251:CY252" si="143">SUM(COUNTIF(CR251:CW251,"Realizado y Devuelto a la Ciudadanía"),COUNTIF(CR251:CW251,"Realizado y Trasladado por competencia"), COUNTIF(CR251:CW251,"Realizado y Gestionado"))</f>
        <v>1</v>
      </c>
      <c r="CZ251" s="79">
        <v>1</v>
      </c>
      <c r="DA251" s="79">
        <f t="shared" ref="DA251:DA252" si="144">COUNTIF(CR251:CW251,"Realizado y Devuelto a la Ciudadanía")</f>
        <v>1</v>
      </c>
      <c r="DB251" s="84">
        <f t="shared" ref="DB251:DB252" si="145">IFERROR(CY251/CK251,"")</f>
        <v>1</v>
      </c>
      <c r="DC251" s="41"/>
      <c r="DD251" s="79" t="s">
        <v>153</v>
      </c>
      <c r="DE251" s="71"/>
      <c r="DF251" s="85" t="s">
        <v>1932</v>
      </c>
      <c r="DG251" s="79">
        <v>241</v>
      </c>
      <c r="DH251" s="86" t="str">
        <f t="shared" si="124"/>
        <v>Completo</v>
      </c>
      <c r="DI251" s="79" t="s">
        <v>181</v>
      </c>
      <c r="DJ251" s="79" t="s">
        <v>182</v>
      </c>
      <c r="DK251" s="79" t="s">
        <v>153</v>
      </c>
      <c r="DL251" s="79">
        <v>0</v>
      </c>
      <c r="DM251" s="79">
        <v>0</v>
      </c>
      <c r="DN251" s="79" t="s">
        <v>182</v>
      </c>
      <c r="DO251" s="79">
        <v>0</v>
      </c>
      <c r="DP251" s="79" t="s">
        <v>182</v>
      </c>
      <c r="DQ251" s="79">
        <v>21</v>
      </c>
      <c r="DR251" s="75">
        <f t="shared" si="111"/>
        <v>1.3725490196078431</v>
      </c>
      <c r="DS251" s="79" t="s">
        <v>182</v>
      </c>
      <c r="DT251" s="79">
        <v>52</v>
      </c>
      <c r="DU251" s="75">
        <f t="shared" si="112"/>
        <v>2.9131652661064429</v>
      </c>
      <c r="DV251" s="79" t="s">
        <v>182</v>
      </c>
      <c r="DW251" s="79" t="s">
        <v>182</v>
      </c>
      <c r="DX251" s="79">
        <v>4</v>
      </c>
      <c r="DY251" s="79">
        <v>1</v>
      </c>
      <c r="DZ251" s="79" t="s">
        <v>1933</v>
      </c>
      <c r="EA251" s="79">
        <v>3172</v>
      </c>
      <c r="EB251" s="79" t="s">
        <v>182</v>
      </c>
      <c r="EC251" s="79" t="s">
        <v>1934</v>
      </c>
      <c r="ED251" s="79" t="s">
        <v>184</v>
      </c>
      <c r="EE251" s="79" t="str">
        <f t="shared" ref="EE251:EE252" si="146">IF(DI251="Subsanado","Completo","Por Completar")</f>
        <v>Completo</v>
      </c>
      <c r="EF251" s="41"/>
      <c r="EG251" s="79" t="s">
        <v>153</v>
      </c>
      <c r="EH251" s="71"/>
      <c r="EI251" s="89" t="s">
        <v>1935</v>
      </c>
      <c r="EJ251" s="71"/>
      <c r="EK251" s="79" t="s">
        <v>409</v>
      </c>
      <c r="EL251" s="76" t="str">
        <f t="shared" si="113"/>
        <v>Sí</v>
      </c>
      <c r="EM251" s="76" t="str">
        <f t="shared" si="114"/>
        <v>Sí</v>
      </c>
      <c r="EN251" s="76" t="str">
        <f t="shared" si="140"/>
        <v>No</v>
      </c>
      <c r="EO251" s="71"/>
      <c r="EP251" s="73" t="str">
        <f t="shared" si="115"/>
        <v>No aplica</v>
      </c>
      <c r="EQ251" s="77">
        <f t="shared" si="116"/>
        <v>2.9131652661064429</v>
      </c>
      <c r="ER251" s="71"/>
      <c r="ES251" s="79" t="s">
        <v>409</v>
      </c>
      <c r="ET251" s="73">
        <f t="shared" si="117"/>
        <v>1</v>
      </c>
      <c r="EU251" s="73">
        <f t="shared" si="141"/>
        <v>1</v>
      </c>
      <c r="EV251" s="73">
        <f t="shared" si="118"/>
        <v>1</v>
      </c>
      <c r="EW251" s="73">
        <f t="shared" si="119"/>
        <v>0</v>
      </c>
      <c r="EX251" s="78"/>
      <c r="EY251" s="78"/>
    </row>
    <row r="252" spans="1:155" ht="46.5" customHeight="1">
      <c r="A252" s="79">
        <v>248</v>
      </c>
      <c r="B252" s="80" t="s">
        <v>1936</v>
      </c>
      <c r="C252" s="81">
        <v>45390</v>
      </c>
      <c r="D252" s="82">
        <v>0.72916666666666663</v>
      </c>
      <c r="E252" s="79" t="s">
        <v>151</v>
      </c>
      <c r="F252" s="79" t="s">
        <v>153</v>
      </c>
      <c r="G252" s="79" t="s">
        <v>153</v>
      </c>
      <c r="H252" s="79" t="s">
        <v>153</v>
      </c>
      <c r="I252" s="79" t="s">
        <v>152</v>
      </c>
      <c r="J252" s="79" t="s">
        <v>154</v>
      </c>
      <c r="K252" s="79" t="s">
        <v>155</v>
      </c>
      <c r="L252" s="80" t="s">
        <v>600</v>
      </c>
      <c r="M252" s="80" t="s">
        <v>303</v>
      </c>
      <c r="N252" s="79" t="s">
        <v>660</v>
      </c>
      <c r="O252" s="80" t="str">
        <f t="shared" si="107"/>
        <v>Erika Lizeth Rueda, Joan Sebastian García, Daniela Velasco Vega, Disney Sánchez, Renata Rengifo Moyano, Claudia Fernanda Pineda, Laura Sofia Morales, Nicolás Esteban Flórez, Luis Fernando Barreto , Nestor Jecfrid Sánchez, William Jair Gil, Reinaldo Terrios Andrade, Nicolas Esteban Hernández, Nixon Sandoval Mateus</v>
      </c>
      <c r="P252" s="79" t="s">
        <v>556</v>
      </c>
      <c r="Q252" s="79" t="s">
        <v>728</v>
      </c>
      <c r="R252" s="79" t="s">
        <v>660</v>
      </c>
      <c r="S252" s="79" t="s">
        <v>721</v>
      </c>
      <c r="T252" s="79" t="s">
        <v>1066</v>
      </c>
      <c r="U252" s="79" t="s">
        <v>546</v>
      </c>
      <c r="V252" s="79" t="s">
        <v>506</v>
      </c>
      <c r="W252" s="79" t="s">
        <v>472</v>
      </c>
      <c r="X252" s="79" t="s">
        <v>720</v>
      </c>
      <c r="Y252" s="79" t="s">
        <v>965</v>
      </c>
      <c r="Z252" s="79" t="s">
        <v>862</v>
      </c>
      <c r="AA252" s="79" t="s">
        <v>675</v>
      </c>
      <c r="AB252" s="79" t="s">
        <v>645</v>
      </c>
      <c r="AC252" s="79" t="s">
        <v>644</v>
      </c>
      <c r="AD252" s="79"/>
      <c r="AE252" s="79"/>
      <c r="AF252" s="79"/>
      <c r="AG252" s="79"/>
      <c r="AH252" s="79"/>
      <c r="AI252" s="79"/>
      <c r="AJ252" s="79"/>
      <c r="AK252" s="79"/>
      <c r="AL252" s="79"/>
      <c r="AM252" s="79"/>
      <c r="AN252" s="79"/>
      <c r="AO252" s="79" t="s">
        <v>304</v>
      </c>
      <c r="AP252" s="79"/>
      <c r="AQ252" s="80" t="s">
        <v>171</v>
      </c>
      <c r="AR252" s="80" t="s">
        <v>171</v>
      </c>
      <c r="AS252" s="80" t="s">
        <v>171</v>
      </c>
      <c r="AT252" s="80" t="str">
        <f t="shared" si="108"/>
        <v>Kennedy</v>
      </c>
      <c r="AU252" s="79" t="s">
        <v>731</v>
      </c>
      <c r="AV252" s="79"/>
      <c r="AW252" s="79"/>
      <c r="AX252" s="79"/>
      <c r="AY252" s="79"/>
      <c r="AZ252" s="79"/>
      <c r="BA252" s="80" t="str">
        <f t="shared" si="109"/>
        <v>Suroccidente</v>
      </c>
      <c r="BB252" s="79" t="s">
        <v>732</v>
      </c>
      <c r="BC252" s="79"/>
      <c r="BD252" s="79"/>
      <c r="BE252" s="79"/>
      <c r="BF252" s="79"/>
      <c r="BG252" s="79"/>
      <c r="BH252" s="80" t="str">
        <f t="shared" si="110"/>
        <v>Tintal</v>
      </c>
      <c r="BI252" s="79" t="s">
        <v>1697</v>
      </c>
      <c r="BJ252" s="79"/>
      <c r="BK252" s="79"/>
      <c r="BL252" s="79"/>
      <c r="BM252" s="79"/>
      <c r="BN252" s="79"/>
      <c r="BO252" s="79"/>
      <c r="BP252" s="79"/>
      <c r="BQ252" s="79"/>
      <c r="BR252" s="79"/>
      <c r="BS252" s="80" t="s">
        <v>288</v>
      </c>
      <c r="BT252" s="80" t="s">
        <v>605</v>
      </c>
      <c r="BU252" s="80" t="s">
        <v>1937</v>
      </c>
      <c r="BV252" s="71"/>
      <c r="BW252" s="79" t="s">
        <v>153</v>
      </c>
      <c r="BX252" s="79" t="s">
        <v>607</v>
      </c>
      <c r="BY252" s="71"/>
      <c r="BZ252" s="79">
        <v>60</v>
      </c>
      <c r="CA252" s="79">
        <v>17</v>
      </c>
      <c r="CB252" s="79">
        <f t="shared" si="25"/>
        <v>77</v>
      </c>
      <c r="CC252" s="79" t="str">
        <f t="shared" si="139"/>
        <v>Ninguna</v>
      </c>
      <c r="CD252" s="79" t="s">
        <v>174</v>
      </c>
      <c r="CE252" s="79"/>
      <c r="CF252" s="79"/>
      <c r="CG252" s="83" t="s">
        <v>1938</v>
      </c>
      <c r="CH252" s="41"/>
      <c r="CI252" s="79" t="s">
        <v>153</v>
      </c>
      <c r="CJ252" s="71"/>
      <c r="CK252" s="79">
        <f t="shared" si="38"/>
        <v>1</v>
      </c>
      <c r="CL252" s="93" t="s">
        <v>1931</v>
      </c>
      <c r="CM252" s="79"/>
      <c r="CN252" s="79"/>
      <c r="CO252" s="79"/>
      <c r="CP252" s="79"/>
      <c r="CQ252" s="79"/>
      <c r="CR252" s="83" t="s">
        <v>390</v>
      </c>
      <c r="CS252" s="83" t="s">
        <v>179</v>
      </c>
      <c r="CT252" s="83" t="s">
        <v>179</v>
      </c>
      <c r="CU252" s="83" t="s">
        <v>179</v>
      </c>
      <c r="CV252" s="83" t="s">
        <v>179</v>
      </c>
      <c r="CW252" s="83" t="s">
        <v>179</v>
      </c>
      <c r="CX252" s="79" t="s">
        <v>153</v>
      </c>
      <c r="CY252" s="79">
        <f t="shared" si="143"/>
        <v>1</v>
      </c>
      <c r="CZ252" s="79">
        <v>1</v>
      </c>
      <c r="DA252" s="79">
        <f t="shared" si="144"/>
        <v>1</v>
      </c>
      <c r="DB252" s="84">
        <f t="shared" si="145"/>
        <v>1</v>
      </c>
      <c r="DC252" s="41"/>
      <c r="DD252" s="79" t="s">
        <v>153</v>
      </c>
      <c r="DE252" s="71"/>
      <c r="DF252" s="85" t="s">
        <v>1939</v>
      </c>
      <c r="DG252" s="79">
        <v>242</v>
      </c>
      <c r="DH252" s="86" t="str">
        <f t="shared" si="124"/>
        <v>Completo</v>
      </c>
      <c r="DI252" s="79" t="s">
        <v>181</v>
      </c>
      <c r="DJ252" s="79" t="s">
        <v>182</v>
      </c>
      <c r="DK252" s="79" t="s">
        <v>153</v>
      </c>
      <c r="DL252" s="79">
        <v>0</v>
      </c>
      <c r="DM252" s="79">
        <v>0</v>
      </c>
      <c r="DN252" s="79" t="s">
        <v>182</v>
      </c>
      <c r="DO252" s="79">
        <v>5560</v>
      </c>
      <c r="DP252" s="79" t="s">
        <v>182</v>
      </c>
      <c r="DQ252" s="79">
        <v>21</v>
      </c>
      <c r="DR252" s="75">
        <f t="shared" si="111"/>
        <v>1.1666666666666667</v>
      </c>
      <c r="DS252" s="79" t="s">
        <v>182</v>
      </c>
      <c r="DT252" s="79">
        <v>63</v>
      </c>
      <c r="DU252" s="75">
        <f t="shared" si="112"/>
        <v>3</v>
      </c>
      <c r="DV252" s="79" t="s">
        <v>182</v>
      </c>
      <c r="DW252" s="79" t="s">
        <v>182</v>
      </c>
      <c r="DX252" s="79">
        <v>6</v>
      </c>
      <c r="DY252" s="79">
        <v>1</v>
      </c>
      <c r="DZ252" s="79" t="s">
        <v>1940</v>
      </c>
      <c r="EA252" s="79">
        <v>5561</v>
      </c>
      <c r="EB252" s="79" t="s">
        <v>182</v>
      </c>
      <c r="EC252" s="79" t="s">
        <v>1941</v>
      </c>
      <c r="ED252" s="79" t="s">
        <v>184</v>
      </c>
      <c r="EE252" s="79" t="str">
        <f t="shared" si="146"/>
        <v>Completo</v>
      </c>
      <c r="EF252" s="41"/>
      <c r="EG252" s="79" t="s">
        <v>153</v>
      </c>
      <c r="EH252" s="71"/>
      <c r="EI252" s="89" t="s">
        <v>1942</v>
      </c>
      <c r="EJ252" s="71"/>
      <c r="EK252" s="79" t="s">
        <v>409</v>
      </c>
      <c r="EL252" s="76" t="str">
        <f t="shared" si="113"/>
        <v>Sí</v>
      </c>
      <c r="EM252" s="76" t="str">
        <f t="shared" si="114"/>
        <v>Sí</v>
      </c>
      <c r="EN252" s="76" t="str">
        <f t="shared" si="140"/>
        <v>No</v>
      </c>
      <c r="EO252" s="71"/>
      <c r="EP252" s="73" t="str">
        <f t="shared" si="115"/>
        <v>No aplica</v>
      </c>
      <c r="EQ252" s="77">
        <f t="shared" si="116"/>
        <v>3</v>
      </c>
      <c r="ER252" s="71"/>
      <c r="ES252" s="79" t="s">
        <v>409</v>
      </c>
      <c r="ET252" s="73">
        <f t="shared" si="117"/>
        <v>1</v>
      </c>
      <c r="EU252" s="73">
        <f t="shared" si="141"/>
        <v>1</v>
      </c>
      <c r="EV252" s="73">
        <f t="shared" si="118"/>
        <v>1</v>
      </c>
      <c r="EW252" s="73">
        <f t="shared" si="119"/>
        <v>0.99982017622729724</v>
      </c>
      <c r="EX252" s="78"/>
      <c r="EY252" s="78"/>
    </row>
    <row r="253" spans="1:155" ht="46.5" customHeight="1">
      <c r="A253" s="79">
        <v>249</v>
      </c>
      <c r="B253" s="80" t="s">
        <v>1943</v>
      </c>
      <c r="C253" s="81">
        <v>45390</v>
      </c>
      <c r="D253" s="82">
        <v>0.75</v>
      </c>
      <c r="E253" s="79" t="s">
        <v>200</v>
      </c>
      <c r="F253" s="79" t="s">
        <v>153</v>
      </c>
      <c r="G253" s="79" t="s">
        <v>152</v>
      </c>
      <c r="H253" s="79" t="s">
        <v>152</v>
      </c>
      <c r="I253" s="79" t="s">
        <v>152</v>
      </c>
      <c r="J253" s="79" t="s">
        <v>211</v>
      </c>
      <c r="K253" s="79" t="s">
        <v>202</v>
      </c>
      <c r="L253" s="80" t="s">
        <v>1944</v>
      </c>
      <c r="M253" s="80" t="s">
        <v>624</v>
      </c>
      <c r="N253" s="79" t="s">
        <v>213</v>
      </c>
      <c r="O253" s="80" t="str">
        <f t="shared" si="107"/>
        <v/>
      </c>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t="s">
        <v>230</v>
      </c>
      <c r="AP253" s="79" t="s">
        <v>242</v>
      </c>
      <c r="AQ253" s="80" t="s">
        <v>1945</v>
      </c>
      <c r="AR253" s="80">
        <v>3108148740</v>
      </c>
      <c r="AS253" s="80" t="s">
        <v>682</v>
      </c>
      <c r="AT253" s="80" t="str">
        <f t="shared" si="108"/>
        <v>Distrital</v>
      </c>
      <c r="AU253" s="79" t="s">
        <v>172</v>
      </c>
      <c r="AV253" s="79"/>
      <c r="AW253" s="79"/>
      <c r="AX253" s="79"/>
      <c r="AY253" s="79"/>
      <c r="AZ253" s="79"/>
      <c r="BA253" s="80" t="str">
        <f t="shared" si="109"/>
        <v>Distrital</v>
      </c>
      <c r="BB253" s="79" t="s">
        <v>172</v>
      </c>
      <c r="BC253" s="79"/>
      <c r="BD253" s="79"/>
      <c r="BE253" s="79"/>
      <c r="BF253" s="79"/>
      <c r="BG253" s="79"/>
      <c r="BH253" s="80" t="str">
        <f t="shared" si="110"/>
        <v>Distrital</v>
      </c>
      <c r="BI253" s="79" t="s">
        <v>172</v>
      </c>
      <c r="BJ253" s="79"/>
      <c r="BK253" s="79"/>
      <c r="BL253" s="79"/>
      <c r="BM253" s="79"/>
      <c r="BN253" s="79"/>
      <c r="BO253" s="79"/>
      <c r="BP253" s="79"/>
      <c r="BQ253" s="79"/>
      <c r="BR253" s="79"/>
      <c r="BS253" s="80" t="s">
        <v>288</v>
      </c>
      <c r="BT253" s="80" t="s">
        <v>174</v>
      </c>
      <c r="BU253" s="89" t="s">
        <v>1946</v>
      </c>
      <c r="BV253" s="71"/>
      <c r="BW253" s="79" t="s">
        <v>152</v>
      </c>
      <c r="BX253" s="79" t="s">
        <v>179</v>
      </c>
      <c r="BY253" s="71"/>
      <c r="BZ253" s="79">
        <v>3</v>
      </c>
      <c r="CA253" s="79">
        <v>1</v>
      </c>
      <c r="CB253" s="79">
        <f t="shared" si="25"/>
        <v>4</v>
      </c>
      <c r="CC253" s="79" t="str">
        <f t="shared" si="139"/>
        <v>No Aplica</v>
      </c>
      <c r="CD253" s="79" t="s">
        <v>177</v>
      </c>
      <c r="CE253" s="79"/>
      <c r="CF253" s="79"/>
      <c r="CG253" s="83" t="s">
        <v>1947</v>
      </c>
      <c r="CH253" s="41"/>
      <c r="CI253" s="79" t="s">
        <v>153</v>
      </c>
      <c r="CJ253" s="71"/>
      <c r="CK253" s="79">
        <f t="shared" si="38"/>
        <v>0</v>
      </c>
      <c r="CL253" s="79"/>
      <c r="CM253" s="79"/>
      <c r="CN253" s="79"/>
      <c r="CO253" s="79"/>
      <c r="CP253" s="79"/>
      <c r="CQ253" s="79"/>
      <c r="CR253" s="83" t="s">
        <v>179</v>
      </c>
      <c r="CS253" s="83" t="s">
        <v>179</v>
      </c>
      <c r="CT253" s="83" t="s">
        <v>179</v>
      </c>
      <c r="CU253" s="83" t="s">
        <v>179</v>
      </c>
      <c r="CV253" s="83" t="s">
        <v>179</v>
      </c>
      <c r="CW253" s="83" t="s">
        <v>179</v>
      </c>
      <c r="CX253" s="79" t="s">
        <v>153</v>
      </c>
      <c r="CY253" s="79">
        <v>0</v>
      </c>
      <c r="CZ253" s="79">
        <v>0</v>
      </c>
      <c r="DA253" s="79">
        <v>0</v>
      </c>
      <c r="DB253" s="84" t="s">
        <v>316</v>
      </c>
      <c r="DC253" s="41"/>
      <c r="DD253" s="79" t="s">
        <v>153</v>
      </c>
      <c r="DE253" s="71"/>
      <c r="DF253" s="85" t="s">
        <v>1948</v>
      </c>
      <c r="DG253" s="79">
        <v>243</v>
      </c>
      <c r="DH253" s="86">
        <f t="shared" si="124"/>
        <v>45393</v>
      </c>
      <c r="DI253" s="79" t="s">
        <v>181</v>
      </c>
      <c r="DJ253" s="79" t="s">
        <v>182</v>
      </c>
      <c r="DK253" s="79"/>
      <c r="DL253" s="79">
        <v>0</v>
      </c>
      <c r="DM253" s="79">
        <v>0</v>
      </c>
      <c r="DN253" s="79" t="s">
        <v>182</v>
      </c>
      <c r="DO253" s="79"/>
      <c r="DP253" s="79"/>
      <c r="DQ253" s="79"/>
      <c r="DR253" s="75" t="str">
        <f t="shared" si="111"/>
        <v>No aplica</v>
      </c>
      <c r="DS253" s="79"/>
      <c r="DT253" s="79"/>
      <c r="DU253" s="75" t="str">
        <f t="shared" si="112"/>
        <v>No aplica</v>
      </c>
      <c r="DV253" s="79" t="s">
        <v>182</v>
      </c>
      <c r="DW253" s="79" t="s">
        <v>182</v>
      </c>
      <c r="DX253" s="79"/>
      <c r="DY253" s="79"/>
      <c r="DZ253" s="79"/>
      <c r="EA253" s="79"/>
      <c r="EB253" s="79" t="s">
        <v>182</v>
      </c>
      <c r="EC253" s="79" t="s">
        <v>1359</v>
      </c>
      <c r="ED253" s="79" t="s">
        <v>184</v>
      </c>
      <c r="EE253" s="79" t="s">
        <v>621</v>
      </c>
      <c r="EF253" s="41"/>
      <c r="EG253" s="79" t="s">
        <v>153</v>
      </c>
      <c r="EH253" s="71"/>
      <c r="EI253" s="80"/>
      <c r="EJ253" s="71"/>
      <c r="EK253" s="79"/>
      <c r="EL253" s="76" t="str">
        <f t="shared" si="113"/>
        <v>No requiere</v>
      </c>
      <c r="EM253" s="76" t="str">
        <f t="shared" si="114"/>
        <v>No requiere</v>
      </c>
      <c r="EN253" s="76" t="str">
        <f t="shared" si="140"/>
        <v>No requiere</v>
      </c>
      <c r="EO253" s="71"/>
      <c r="EP253" s="73" t="str">
        <f t="shared" si="115"/>
        <v>No requiere</v>
      </c>
      <c r="EQ253" s="77" t="str">
        <f t="shared" si="116"/>
        <v>No requiere</v>
      </c>
      <c r="ER253" s="71"/>
      <c r="ES253" s="79"/>
      <c r="ET253" s="73" t="str">
        <f t="shared" si="117"/>
        <v>No requiere</v>
      </c>
      <c r="EU253" s="73" t="str">
        <f t="shared" si="141"/>
        <v>No requiere</v>
      </c>
      <c r="EV253" s="73" t="str">
        <f t="shared" si="118"/>
        <v>No requiere</v>
      </c>
      <c r="EW253" s="73" t="str">
        <f t="shared" si="119"/>
        <v>No requiere</v>
      </c>
      <c r="EX253" s="78"/>
      <c r="EY253" s="78"/>
    </row>
    <row r="254" spans="1:155" ht="46.5" customHeight="1">
      <c r="A254" s="79">
        <v>250</v>
      </c>
      <c r="B254" s="80" t="s">
        <v>1949</v>
      </c>
      <c r="C254" s="81">
        <v>45390</v>
      </c>
      <c r="D254" s="82">
        <v>0.8125</v>
      </c>
      <c r="E254" s="79" t="s">
        <v>151</v>
      </c>
      <c r="F254" s="79" t="s">
        <v>153</v>
      </c>
      <c r="G254" s="79" t="s">
        <v>152</v>
      </c>
      <c r="H254" s="79" t="s">
        <v>152</v>
      </c>
      <c r="I254" s="79" t="s">
        <v>152</v>
      </c>
      <c r="J254" s="79" t="s">
        <v>154</v>
      </c>
      <c r="K254" s="79" t="s">
        <v>202</v>
      </c>
      <c r="L254" s="80" t="s">
        <v>1950</v>
      </c>
      <c r="M254" s="80" t="s">
        <v>303</v>
      </c>
      <c r="N254" s="79" t="s">
        <v>253</v>
      </c>
      <c r="O254" s="80" t="str">
        <f t="shared" si="107"/>
        <v/>
      </c>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t="s">
        <v>304</v>
      </c>
      <c r="AP254" s="79"/>
      <c r="AQ254" s="80" t="s">
        <v>1951</v>
      </c>
      <c r="AR254" s="80">
        <v>3188799909</v>
      </c>
      <c r="AS254" s="80" t="s">
        <v>171</v>
      </c>
      <c r="AT254" s="80" t="str">
        <f t="shared" si="108"/>
        <v>Distrital</v>
      </c>
      <c r="AU254" s="79" t="s">
        <v>172</v>
      </c>
      <c r="AV254" s="79"/>
      <c r="AW254" s="79"/>
      <c r="AX254" s="79"/>
      <c r="AY254" s="79"/>
      <c r="AZ254" s="79"/>
      <c r="BA254" s="80" t="str">
        <f t="shared" si="109"/>
        <v>Distrital</v>
      </c>
      <c r="BB254" s="79" t="s">
        <v>172</v>
      </c>
      <c r="BC254" s="79"/>
      <c r="BD254" s="79"/>
      <c r="BE254" s="79"/>
      <c r="BF254" s="79"/>
      <c r="BG254" s="79"/>
      <c r="BH254" s="80" t="str">
        <f t="shared" si="110"/>
        <v>Distrital</v>
      </c>
      <c r="BI254" s="79" t="s">
        <v>172</v>
      </c>
      <c r="BJ254" s="79"/>
      <c r="BK254" s="79"/>
      <c r="BL254" s="79"/>
      <c r="BM254" s="79"/>
      <c r="BN254" s="79"/>
      <c r="BO254" s="79"/>
      <c r="BP254" s="79"/>
      <c r="BQ254" s="79"/>
      <c r="BR254" s="79"/>
      <c r="BS254" s="80" t="s">
        <v>288</v>
      </c>
      <c r="BT254" s="80" t="s">
        <v>174</v>
      </c>
      <c r="BU254" s="89" t="s">
        <v>1952</v>
      </c>
      <c r="BV254" s="71"/>
      <c r="BW254" s="79" t="s">
        <v>153</v>
      </c>
      <c r="BX254" s="79" t="s">
        <v>607</v>
      </c>
      <c r="BY254" s="71"/>
      <c r="BZ254" s="79">
        <v>4</v>
      </c>
      <c r="CA254" s="79">
        <v>3</v>
      </c>
      <c r="CB254" s="79">
        <f t="shared" si="25"/>
        <v>7</v>
      </c>
      <c r="CC254" s="79" t="str">
        <f t="shared" si="139"/>
        <v>No Aplica</v>
      </c>
      <c r="CD254" s="79" t="s">
        <v>177</v>
      </c>
      <c r="CE254" s="79"/>
      <c r="CF254" s="79"/>
      <c r="CG254" s="83" t="s">
        <v>1953</v>
      </c>
      <c r="CH254" s="41"/>
      <c r="CI254" s="79" t="s">
        <v>153</v>
      </c>
      <c r="CJ254" s="71"/>
      <c r="CK254" s="79">
        <f t="shared" si="38"/>
        <v>0</v>
      </c>
      <c r="CL254" s="79"/>
      <c r="CM254" s="79"/>
      <c r="CN254" s="79"/>
      <c r="CO254" s="79"/>
      <c r="CP254" s="79"/>
      <c r="CQ254" s="79"/>
      <c r="CR254" s="83" t="s">
        <v>179</v>
      </c>
      <c r="CS254" s="83" t="s">
        <v>179</v>
      </c>
      <c r="CT254" s="83" t="s">
        <v>179</v>
      </c>
      <c r="CU254" s="83" t="s">
        <v>179</v>
      </c>
      <c r="CV254" s="83" t="s">
        <v>179</v>
      </c>
      <c r="CW254" s="83" t="s">
        <v>179</v>
      </c>
      <c r="CX254" s="79" t="s">
        <v>153</v>
      </c>
      <c r="CY254" s="79">
        <v>0</v>
      </c>
      <c r="CZ254" s="79">
        <v>0</v>
      </c>
      <c r="DA254" s="79">
        <v>0</v>
      </c>
      <c r="DB254" s="84" t="s">
        <v>316</v>
      </c>
      <c r="DC254" s="41"/>
      <c r="DD254" s="79" t="s">
        <v>153</v>
      </c>
      <c r="DE254" s="71"/>
      <c r="DF254" s="85" t="s">
        <v>1954</v>
      </c>
      <c r="DG254" s="79">
        <v>244</v>
      </c>
      <c r="DH254" s="86" t="str">
        <f t="shared" si="124"/>
        <v>Completo</v>
      </c>
      <c r="DI254" s="79" t="s">
        <v>181</v>
      </c>
      <c r="DJ254" s="79" t="s">
        <v>182</v>
      </c>
      <c r="DK254" s="79"/>
      <c r="DL254" s="79">
        <v>0</v>
      </c>
      <c r="DM254" s="79">
        <v>0</v>
      </c>
      <c r="DN254" s="79" t="s">
        <v>182</v>
      </c>
      <c r="DO254" s="79"/>
      <c r="DP254" s="79"/>
      <c r="DQ254" s="79"/>
      <c r="DR254" s="75" t="str">
        <f t="shared" si="111"/>
        <v>No aplica</v>
      </c>
      <c r="DS254" s="79"/>
      <c r="DT254" s="79"/>
      <c r="DU254" s="75" t="str">
        <f t="shared" si="112"/>
        <v>No aplica</v>
      </c>
      <c r="DV254" s="79" t="s">
        <v>182</v>
      </c>
      <c r="DW254" s="79" t="s">
        <v>182</v>
      </c>
      <c r="DX254" s="79"/>
      <c r="DY254" s="79"/>
      <c r="DZ254" s="79"/>
      <c r="EA254" s="79"/>
      <c r="EB254" s="79" t="s">
        <v>182</v>
      </c>
      <c r="EC254" s="79" t="s">
        <v>1955</v>
      </c>
      <c r="ED254" s="79" t="s">
        <v>184</v>
      </c>
      <c r="EE254" s="79" t="str">
        <f t="shared" ref="EE254" si="147">IF(DI254="Subsanado","Completo","Por Completar")</f>
        <v>Completo</v>
      </c>
      <c r="EF254" s="41"/>
      <c r="EG254" s="79" t="s">
        <v>153</v>
      </c>
      <c r="EH254" s="71"/>
      <c r="EI254" s="80"/>
      <c r="EJ254" s="71"/>
      <c r="EK254" s="79"/>
      <c r="EL254" s="76" t="str">
        <f t="shared" si="113"/>
        <v>No requiere</v>
      </c>
      <c r="EM254" s="76" t="str">
        <f t="shared" si="114"/>
        <v>No requiere</v>
      </c>
      <c r="EN254" s="76" t="str">
        <f t="shared" si="140"/>
        <v>No requiere</v>
      </c>
      <c r="EO254" s="71"/>
      <c r="EP254" s="73" t="str">
        <f t="shared" si="115"/>
        <v>No requiere</v>
      </c>
      <c r="EQ254" s="77" t="str">
        <f t="shared" si="116"/>
        <v>No requiere</v>
      </c>
      <c r="ER254" s="71"/>
      <c r="ES254" s="79"/>
      <c r="ET254" s="73" t="str">
        <f t="shared" si="117"/>
        <v>No requiere</v>
      </c>
      <c r="EU254" s="73" t="str">
        <f t="shared" si="141"/>
        <v>No requiere</v>
      </c>
      <c r="EV254" s="73" t="str">
        <f t="shared" si="118"/>
        <v>No requiere</v>
      </c>
      <c r="EW254" s="73" t="str">
        <f t="shared" si="119"/>
        <v>No requiere</v>
      </c>
      <c r="EX254" s="78"/>
      <c r="EY254" s="78"/>
    </row>
    <row r="255" spans="1:155" ht="46.5" customHeight="1">
      <c r="A255" s="79">
        <v>251</v>
      </c>
      <c r="B255" s="80" t="s">
        <v>1956</v>
      </c>
      <c r="C255" s="81">
        <v>45391</v>
      </c>
      <c r="D255" s="82">
        <v>0.375</v>
      </c>
      <c r="E255" s="79" t="s">
        <v>151</v>
      </c>
      <c r="F255" s="79" t="s">
        <v>153</v>
      </c>
      <c r="G255" s="79" t="s">
        <v>153</v>
      </c>
      <c r="H255" s="79" t="s">
        <v>152</v>
      </c>
      <c r="I255" s="79" t="s">
        <v>152</v>
      </c>
      <c r="J255" s="79" t="s">
        <v>154</v>
      </c>
      <c r="K255" s="79" t="s">
        <v>155</v>
      </c>
      <c r="L255" s="80" t="s">
        <v>1315</v>
      </c>
      <c r="M255" s="80" t="s">
        <v>327</v>
      </c>
      <c r="N255" s="79" t="s">
        <v>818</v>
      </c>
      <c r="O255" s="80" t="str">
        <f t="shared" si="107"/>
        <v>Nixon Sandoval Mateus, Germán Ramón Jacome, Carlos Eduardo Escandón, Nicolás Enrique Moncaleano, Mario Herrera, Sebastian Potes Buitrago, David Reinaldo Jojoa, PENDIENTE, PENDIENTE, PENDIENTE, PENDIENTE, PENDIENTE, PENDIENTE, PENDIENTE, PENDIENTE</v>
      </c>
      <c r="P255" s="79" t="s">
        <v>644</v>
      </c>
      <c r="Q255" s="79" t="s">
        <v>525</v>
      </c>
      <c r="R255" s="79" t="s">
        <v>819</v>
      </c>
      <c r="S255" s="79" t="s">
        <v>966</v>
      </c>
      <c r="T255" s="79" t="s">
        <v>631</v>
      </c>
      <c r="U255" s="79" t="s">
        <v>545</v>
      </c>
      <c r="V255" s="79" t="s">
        <v>548</v>
      </c>
      <c r="W255" s="79"/>
      <c r="X255" s="79"/>
      <c r="Y255" s="79"/>
      <c r="Z255" s="79" t="s">
        <v>196</v>
      </c>
      <c r="AA255" s="79" t="s">
        <v>196</v>
      </c>
      <c r="AB255" s="79" t="s">
        <v>196</v>
      </c>
      <c r="AC255" s="79" t="s">
        <v>196</v>
      </c>
      <c r="AD255" s="79" t="s">
        <v>196</v>
      </c>
      <c r="AE255" s="79" t="s">
        <v>196</v>
      </c>
      <c r="AF255" s="79" t="s">
        <v>196</v>
      </c>
      <c r="AG255" s="79" t="s">
        <v>196</v>
      </c>
      <c r="AH255" s="79"/>
      <c r="AI255" s="79"/>
      <c r="AJ255" s="79"/>
      <c r="AK255" s="79"/>
      <c r="AL255" s="79"/>
      <c r="AM255" s="79"/>
      <c r="AN255" s="79"/>
      <c r="AO255" s="79" t="s">
        <v>304</v>
      </c>
      <c r="AP255" s="79"/>
      <c r="AQ255" s="80" t="s">
        <v>171</v>
      </c>
      <c r="AR255" s="80" t="s">
        <v>171</v>
      </c>
      <c r="AS255" s="80" t="s">
        <v>171</v>
      </c>
      <c r="AT255" s="80" t="str">
        <f t="shared" si="108"/>
        <v>Teusaquillo</v>
      </c>
      <c r="AU255" s="79" t="s">
        <v>1004</v>
      </c>
      <c r="AV255" s="79"/>
      <c r="AW255" s="79"/>
      <c r="AX255" s="79"/>
      <c r="AY255" s="79"/>
      <c r="AZ255" s="79"/>
      <c r="BA255" s="80" t="str">
        <f t="shared" si="109"/>
        <v>Centro Ampliado</v>
      </c>
      <c r="BB255" s="79" t="s">
        <v>636</v>
      </c>
      <c r="BC255" s="79"/>
      <c r="BD255" s="79"/>
      <c r="BE255" s="79"/>
      <c r="BF255" s="79"/>
      <c r="BG255" s="79"/>
      <c r="BH255" s="80" t="str">
        <f t="shared" si="110"/>
        <v>Teusaquillo</v>
      </c>
      <c r="BI255" s="79" t="s">
        <v>1004</v>
      </c>
      <c r="BJ255" s="79"/>
      <c r="BK255" s="79"/>
      <c r="BL255" s="79"/>
      <c r="BM255" s="79"/>
      <c r="BN255" s="79"/>
      <c r="BO255" s="79"/>
      <c r="BP255" s="79"/>
      <c r="BQ255" s="79"/>
      <c r="BR255" s="79"/>
      <c r="BS255" s="80" t="s">
        <v>1957</v>
      </c>
      <c r="BT255" s="80" t="s">
        <v>174</v>
      </c>
      <c r="BU255" s="80" t="s">
        <v>1958</v>
      </c>
      <c r="BV255" s="71"/>
      <c r="BW255" s="79" t="s">
        <v>153</v>
      </c>
      <c r="BX255" s="79" t="s">
        <v>607</v>
      </c>
      <c r="BY255" s="71"/>
      <c r="BZ255" s="79">
        <v>51</v>
      </c>
      <c r="CA255" s="79">
        <v>9</v>
      </c>
      <c r="CB255" s="79">
        <f t="shared" si="25"/>
        <v>60</v>
      </c>
      <c r="CC255" s="79" t="str">
        <f t="shared" si="139"/>
        <v>Accesibilidad Universal, Horarios Acordes, Contenidos adaptados</v>
      </c>
      <c r="CD255" s="79" t="s">
        <v>397</v>
      </c>
      <c r="CE255" s="79" t="s">
        <v>351</v>
      </c>
      <c r="CF255" s="79" t="s">
        <v>350</v>
      </c>
      <c r="CG255" s="83" t="s">
        <v>1959</v>
      </c>
      <c r="CH255" s="41"/>
      <c r="CI255" s="79" t="s">
        <v>153</v>
      </c>
      <c r="CJ255" s="71"/>
      <c r="CK255" s="79">
        <f t="shared" si="38"/>
        <v>0</v>
      </c>
      <c r="CL255" s="79"/>
      <c r="CM255" s="79"/>
      <c r="CN255" s="79"/>
      <c r="CO255" s="79"/>
      <c r="CP255" s="79"/>
      <c r="CQ255" s="79"/>
      <c r="CR255" s="83" t="s">
        <v>179</v>
      </c>
      <c r="CS255" s="83" t="s">
        <v>179</v>
      </c>
      <c r="CT255" s="83" t="s">
        <v>179</v>
      </c>
      <c r="CU255" s="83" t="s">
        <v>179</v>
      </c>
      <c r="CV255" s="83" t="s">
        <v>179</v>
      </c>
      <c r="CW255" s="83" t="s">
        <v>179</v>
      </c>
      <c r="CX255" s="79" t="s">
        <v>153</v>
      </c>
      <c r="CY255" s="79">
        <f t="shared" ref="CY255:CY257" si="148">SUM(COUNTIF(CR255:CW255,"Realizado y Devuelto a la Ciudadanía"),COUNTIF(CR255:CW255,"Realizado y Trasladado por competencia"), COUNTIF(CR255:CW255,"Realizado y Gestionado"))</f>
        <v>0</v>
      </c>
      <c r="CZ255" s="79">
        <v>0</v>
      </c>
      <c r="DA255" s="79">
        <f t="shared" ref="DA255:DA257" si="149">COUNTIF(CR255:CW255,"Realizado y Devuelto a la Ciudadanía")</f>
        <v>0</v>
      </c>
      <c r="DB255" s="84" t="str">
        <f t="shared" ref="DB255:DB257" si="150">IFERROR(CY255/CK255,"")</f>
        <v/>
      </c>
      <c r="DC255" s="41"/>
      <c r="DD255" s="79" t="s">
        <v>153</v>
      </c>
      <c r="DE255" s="71"/>
      <c r="DF255" s="85" t="s">
        <v>1960</v>
      </c>
      <c r="DG255" s="79">
        <v>245</v>
      </c>
      <c r="DH255" s="86" t="str">
        <f t="shared" si="124"/>
        <v>Completo</v>
      </c>
      <c r="DI255" s="79" t="s">
        <v>181</v>
      </c>
      <c r="DJ255" s="79" t="s">
        <v>182</v>
      </c>
      <c r="DK255" s="79"/>
      <c r="DL255" s="79"/>
      <c r="DM255" s="79"/>
      <c r="DN255" s="79" t="s">
        <v>182</v>
      </c>
      <c r="DO255" s="79"/>
      <c r="DP255" s="79"/>
      <c r="DQ255" s="79"/>
      <c r="DR255" s="75" t="str">
        <f t="shared" si="111"/>
        <v>No aplica</v>
      </c>
      <c r="DS255" s="79"/>
      <c r="DT255" s="79"/>
      <c r="DU255" s="75" t="str">
        <f t="shared" si="112"/>
        <v>No aplica</v>
      </c>
      <c r="DV255" s="79" t="s">
        <v>182</v>
      </c>
      <c r="DW255" s="79" t="s">
        <v>182</v>
      </c>
      <c r="DX255" s="79"/>
      <c r="DY255" s="79"/>
      <c r="DZ255" s="79"/>
      <c r="EA255" s="79"/>
      <c r="EB255" s="79" t="s">
        <v>182</v>
      </c>
      <c r="EC255" s="79" t="s">
        <v>1961</v>
      </c>
      <c r="ED255" s="79" t="s">
        <v>184</v>
      </c>
      <c r="EE255" s="79" t="str">
        <f t="shared" ref="EE255:EE257" si="151">IF(DI255="Subsanado","Completo","Por Completar")</f>
        <v>Completo</v>
      </c>
      <c r="EF255" s="41"/>
      <c r="EG255" s="79" t="s">
        <v>153</v>
      </c>
      <c r="EH255" s="71"/>
      <c r="EI255" s="80"/>
      <c r="EJ255" s="71"/>
      <c r="EK255" s="79" t="s">
        <v>179</v>
      </c>
      <c r="EL255" s="76" t="str">
        <f t="shared" si="113"/>
        <v>No requiere</v>
      </c>
      <c r="EM255" s="76" t="str">
        <f t="shared" si="114"/>
        <v>No requiere</v>
      </c>
      <c r="EN255" s="76" t="str">
        <f t="shared" si="140"/>
        <v>No requiere</v>
      </c>
      <c r="EO255" s="71"/>
      <c r="EP255" s="73" t="str">
        <f t="shared" si="115"/>
        <v>No requiere</v>
      </c>
      <c r="EQ255" s="77" t="str">
        <f t="shared" si="116"/>
        <v>No requiere</v>
      </c>
      <c r="ER255" s="71"/>
      <c r="ES255" s="79" t="s">
        <v>179</v>
      </c>
      <c r="ET255" s="73" t="str">
        <f t="shared" si="117"/>
        <v>No requiere</v>
      </c>
      <c r="EU255" s="73" t="str">
        <f t="shared" si="141"/>
        <v>No requiere</v>
      </c>
      <c r="EV255" s="73" t="str">
        <f t="shared" si="118"/>
        <v>No requiere</v>
      </c>
      <c r="EW255" s="73" t="str">
        <f t="shared" si="119"/>
        <v>No requiere</v>
      </c>
      <c r="EX255" s="78"/>
      <c r="EY255" s="78"/>
    </row>
    <row r="256" spans="1:155" ht="46.5" customHeight="1">
      <c r="A256" s="79">
        <v>252</v>
      </c>
      <c r="B256" s="80" t="s">
        <v>1962</v>
      </c>
      <c r="C256" s="81">
        <v>45391</v>
      </c>
      <c r="D256" s="82">
        <v>0.375</v>
      </c>
      <c r="E256" s="79" t="s">
        <v>151</v>
      </c>
      <c r="F256" s="79" t="s">
        <v>153</v>
      </c>
      <c r="G256" s="79" t="s">
        <v>153</v>
      </c>
      <c r="H256" s="79" t="s">
        <v>152</v>
      </c>
      <c r="I256" s="79" t="s">
        <v>152</v>
      </c>
      <c r="J256" s="79" t="s">
        <v>154</v>
      </c>
      <c r="K256" s="79" t="s">
        <v>155</v>
      </c>
      <c r="L256" s="80" t="s">
        <v>1315</v>
      </c>
      <c r="M256" s="80" t="s">
        <v>327</v>
      </c>
      <c r="N256" s="79" t="s">
        <v>158</v>
      </c>
      <c r="O256" s="80" t="str">
        <f t="shared" si="107"/>
        <v>Camila María Santana, Ana María Gualy, Manuel Fernando Vergara, César Augusto Barrantes, Zuly Marcela Mesa, Jimmy Alejandro Osorio, Diego Alejandro Camacho</v>
      </c>
      <c r="P256" s="79" t="s">
        <v>861</v>
      </c>
      <c r="Q256" s="79" t="s">
        <v>821</v>
      </c>
      <c r="R256" s="79" t="s">
        <v>820</v>
      </c>
      <c r="S256" s="79" t="s">
        <v>729</v>
      </c>
      <c r="T256" s="79" t="s">
        <v>547</v>
      </c>
      <c r="U256" s="79" t="s">
        <v>549</v>
      </c>
      <c r="V256" s="79" t="s">
        <v>422</v>
      </c>
      <c r="W256" s="79"/>
      <c r="X256" s="79"/>
      <c r="Y256" s="79"/>
      <c r="Z256" s="79"/>
      <c r="AA256" s="79"/>
      <c r="AB256" s="79"/>
      <c r="AC256" s="79"/>
      <c r="AD256" s="79"/>
      <c r="AE256" s="79"/>
      <c r="AF256" s="79"/>
      <c r="AG256" s="79"/>
      <c r="AH256" s="79"/>
      <c r="AI256" s="79"/>
      <c r="AJ256" s="79"/>
      <c r="AK256" s="79"/>
      <c r="AL256" s="79"/>
      <c r="AM256" s="79"/>
      <c r="AN256" s="79"/>
      <c r="AO256" s="79" t="s">
        <v>304</v>
      </c>
      <c r="AP256" s="79"/>
      <c r="AQ256" s="80" t="s">
        <v>1963</v>
      </c>
      <c r="AR256" s="80">
        <v>6043443700</v>
      </c>
      <c r="AS256" s="80" t="s">
        <v>1964</v>
      </c>
      <c r="AT256" s="80" t="str">
        <f t="shared" si="108"/>
        <v>Antonio Nariño</v>
      </c>
      <c r="AU256" s="79" t="s">
        <v>634</v>
      </c>
      <c r="AV256" s="79"/>
      <c r="AW256" s="79"/>
      <c r="AX256" s="79"/>
      <c r="AY256" s="79"/>
      <c r="AZ256" s="79"/>
      <c r="BA256" s="80" t="str">
        <f t="shared" si="109"/>
        <v>Centro Ampliado</v>
      </c>
      <c r="BB256" s="79" t="s">
        <v>636</v>
      </c>
      <c r="BC256" s="79"/>
      <c r="BD256" s="79"/>
      <c r="BE256" s="79"/>
      <c r="BF256" s="79"/>
      <c r="BG256" s="79"/>
      <c r="BH256" s="80" t="str">
        <f t="shared" si="110"/>
        <v>Restrepo</v>
      </c>
      <c r="BI256" s="79" t="s">
        <v>637</v>
      </c>
      <c r="BJ256" s="79"/>
      <c r="BK256" s="79"/>
      <c r="BL256" s="79"/>
      <c r="BM256" s="79"/>
      <c r="BN256" s="79"/>
      <c r="BO256" s="79"/>
      <c r="BP256" s="79"/>
      <c r="BQ256" s="79"/>
      <c r="BR256" s="79"/>
      <c r="BS256" s="80" t="s">
        <v>637</v>
      </c>
      <c r="BT256" s="80" t="s">
        <v>174</v>
      </c>
      <c r="BU256" s="80" t="s">
        <v>1965</v>
      </c>
      <c r="BV256" s="71"/>
      <c r="BW256" s="79" t="s">
        <v>153</v>
      </c>
      <c r="BX256" s="79" t="s">
        <v>607</v>
      </c>
      <c r="BY256" s="71"/>
      <c r="BZ256" s="79">
        <v>50</v>
      </c>
      <c r="CA256" s="79">
        <v>8</v>
      </c>
      <c r="CB256" s="79">
        <f t="shared" si="25"/>
        <v>58</v>
      </c>
      <c r="CC256" s="79" t="str">
        <f t="shared" si="139"/>
        <v>Accesibilidad Universal, Horarios Acordes</v>
      </c>
      <c r="CD256" s="79" t="s">
        <v>397</v>
      </c>
      <c r="CE256" s="79" t="s">
        <v>351</v>
      </c>
      <c r="CF256" s="79"/>
      <c r="CG256" s="83" t="s">
        <v>1966</v>
      </c>
      <c r="CH256" s="41"/>
      <c r="CI256" s="79" t="s">
        <v>153</v>
      </c>
      <c r="CJ256" s="71"/>
      <c r="CK256" s="79">
        <f t="shared" si="38"/>
        <v>0</v>
      </c>
      <c r="CL256" s="79"/>
      <c r="CM256" s="79"/>
      <c r="CN256" s="79"/>
      <c r="CO256" s="79"/>
      <c r="CP256" s="79"/>
      <c r="CQ256" s="79"/>
      <c r="CR256" s="83" t="s">
        <v>179</v>
      </c>
      <c r="CS256" s="83" t="s">
        <v>179</v>
      </c>
      <c r="CT256" s="83" t="s">
        <v>179</v>
      </c>
      <c r="CU256" s="83" t="s">
        <v>179</v>
      </c>
      <c r="CV256" s="83" t="s">
        <v>179</v>
      </c>
      <c r="CW256" s="83" t="s">
        <v>179</v>
      </c>
      <c r="CX256" s="79" t="s">
        <v>153</v>
      </c>
      <c r="CY256" s="79">
        <f t="shared" si="148"/>
        <v>0</v>
      </c>
      <c r="CZ256" s="79">
        <v>0</v>
      </c>
      <c r="DA256" s="79">
        <f t="shared" si="149"/>
        <v>0</v>
      </c>
      <c r="DB256" s="84" t="str">
        <f t="shared" si="150"/>
        <v/>
      </c>
      <c r="DC256" s="41"/>
      <c r="DD256" s="79" t="s">
        <v>153</v>
      </c>
      <c r="DE256" s="71"/>
      <c r="DF256" s="85" t="s">
        <v>1967</v>
      </c>
      <c r="DG256" s="79">
        <v>246</v>
      </c>
      <c r="DH256" s="86" t="str">
        <f t="shared" si="124"/>
        <v>Completo</v>
      </c>
      <c r="DI256" s="79" t="s">
        <v>181</v>
      </c>
      <c r="DJ256" s="79" t="s">
        <v>182</v>
      </c>
      <c r="DK256" s="79"/>
      <c r="DL256" s="79"/>
      <c r="DM256" s="79"/>
      <c r="DN256" s="79" t="s">
        <v>182</v>
      </c>
      <c r="DO256" s="79"/>
      <c r="DP256" s="79"/>
      <c r="DQ256" s="79"/>
      <c r="DR256" s="75" t="str">
        <f t="shared" si="111"/>
        <v>No aplica</v>
      </c>
      <c r="DS256" s="79"/>
      <c r="DT256" s="79"/>
      <c r="DU256" s="75" t="str">
        <f t="shared" si="112"/>
        <v>No aplica</v>
      </c>
      <c r="DV256" s="79" t="s">
        <v>182</v>
      </c>
      <c r="DW256" s="79" t="s">
        <v>182</v>
      </c>
      <c r="DX256" s="79"/>
      <c r="DY256" s="79"/>
      <c r="DZ256" s="79"/>
      <c r="EA256" s="79"/>
      <c r="EB256" s="79" t="s">
        <v>182</v>
      </c>
      <c r="EC256" s="79" t="s">
        <v>1968</v>
      </c>
      <c r="ED256" s="79" t="s">
        <v>184</v>
      </c>
      <c r="EE256" s="79" t="str">
        <f t="shared" si="151"/>
        <v>Completo</v>
      </c>
      <c r="EF256" s="41"/>
      <c r="EG256" s="79" t="s">
        <v>153</v>
      </c>
      <c r="EH256" s="71"/>
      <c r="EI256" s="80"/>
      <c r="EJ256" s="71"/>
      <c r="EK256" s="79" t="s">
        <v>179</v>
      </c>
      <c r="EL256" s="76" t="str">
        <f t="shared" si="113"/>
        <v>No requiere</v>
      </c>
      <c r="EM256" s="76" t="str">
        <f t="shared" si="114"/>
        <v>No requiere</v>
      </c>
      <c r="EN256" s="76" t="str">
        <f t="shared" si="140"/>
        <v>No requiere</v>
      </c>
      <c r="EO256" s="71"/>
      <c r="EP256" s="73" t="str">
        <f t="shared" si="115"/>
        <v>No requiere</v>
      </c>
      <c r="EQ256" s="77" t="str">
        <f t="shared" si="116"/>
        <v>No requiere</v>
      </c>
      <c r="ER256" s="71"/>
      <c r="ES256" s="79" t="s">
        <v>179</v>
      </c>
      <c r="ET256" s="73" t="str">
        <f t="shared" si="117"/>
        <v>No requiere</v>
      </c>
      <c r="EU256" s="73" t="str">
        <f t="shared" si="141"/>
        <v>No requiere</v>
      </c>
      <c r="EV256" s="73" t="str">
        <f t="shared" si="118"/>
        <v>No requiere</v>
      </c>
      <c r="EW256" s="73" t="str">
        <f t="shared" si="119"/>
        <v>No requiere</v>
      </c>
      <c r="EX256" s="78"/>
      <c r="EY256" s="78"/>
    </row>
    <row r="257" spans="1:155" ht="46.5" customHeight="1">
      <c r="A257" s="79">
        <v>253</v>
      </c>
      <c r="B257" s="80" t="s">
        <v>1969</v>
      </c>
      <c r="C257" s="81">
        <v>45391</v>
      </c>
      <c r="D257" s="82">
        <v>0.375</v>
      </c>
      <c r="E257" s="79" t="s">
        <v>151</v>
      </c>
      <c r="F257" s="79" t="s">
        <v>153</v>
      </c>
      <c r="G257" s="79" t="s">
        <v>153</v>
      </c>
      <c r="H257" s="79" t="s">
        <v>152</v>
      </c>
      <c r="I257" s="79" t="s">
        <v>152</v>
      </c>
      <c r="J257" s="79" t="s">
        <v>154</v>
      </c>
      <c r="K257" s="79" t="s">
        <v>155</v>
      </c>
      <c r="L257" s="80" t="s">
        <v>1970</v>
      </c>
      <c r="M257" s="80" t="s">
        <v>303</v>
      </c>
      <c r="N257" s="79" t="s">
        <v>887</v>
      </c>
      <c r="O257" s="80" t="str">
        <f t="shared" si="107"/>
        <v>Yeiker Guerra Sarmiento, Luz Maritza Acero, Paola Andrea González</v>
      </c>
      <c r="P257" s="79" t="s">
        <v>163</v>
      </c>
      <c r="Q257" s="79" t="s">
        <v>167</v>
      </c>
      <c r="R257" s="79" t="s">
        <v>924</v>
      </c>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t="s">
        <v>230</v>
      </c>
      <c r="AP257" s="79" t="s">
        <v>347</v>
      </c>
      <c r="AQ257" s="80" t="s">
        <v>1603</v>
      </c>
      <c r="AR257" s="80">
        <v>3125641672</v>
      </c>
      <c r="AS257" s="80" t="s">
        <v>1971</v>
      </c>
      <c r="AT257" s="80" t="str">
        <f t="shared" si="108"/>
        <v>Distrital</v>
      </c>
      <c r="AU257" s="79" t="s">
        <v>172</v>
      </c>
      <c r="AV257" s="79"/>
      <c r="AW257" s="79"/>
      <c r="AX257" s="79"/>
      <c r="AY257" s="79"/>
      <c r="AZ257" s="79"/>
      <c r="BA257" s="80" t="str">
        <f t="shared" si="109"/>
        <v>Distrital</v>
      </c>
      <c r="BB257" s="79" t="s">
        <v>172</v>
      </c>
      <c r="BC257" s="79"/>
      <c r="BD257" s="79"/>
      <c r="BE257" s="79"/>
      <c r="BF257" s="79"/>
      <c r="BG257" s="79"/>
      <c r="BH257" s="80" t="str">
        <f t="shared" si="110"/>
        <v>Distrital</v>
      </c>
      <c r="BI257" s="79" t="s">
        <v>172</v>
      </c>
      <c r="BJ257" s="79"/>
      <c r="BK257" s="79"/>
      <c r="BL257" s="79"/>
      <c r="BM257" s="79"/>
      <c r="BN257" s="79"/>
      <c r="BO257" s="79"/>
      <c r="BP257" s="79"/>
      <c r="BQ257" s="79"/>
      <c r="BR257" s="79"/>
      <c r="BS257" s="80" t="s">
        <v>288</v>
      </c>
      <c r="BT257" s="80" t="s">
        <v>538</v>
      </c>
      <c r="BU257" s="80" t="s">
        <v>1972</v>
      </c>
      <c r="BV257" s="71"/>
      <c r="BW257" s="79" t="s">
        <v>153</v>
      </c>
      <c r="BX257" s="79" t="s">
        <v>607</v>
      </c>
      <c r="BY257" s="71"/>
      <c r="BZ257" s="79">
        <v>15</v>
      </c>
      <c r="CA257" s="79">
        <v>4</v>
      </c>
      <c r="CB257" s="79">
        <f t="shared" si="25"/>
        <v>19</v>
      </c>
      <c r="CC257" s="79" t="str">
        <f t="shared" si="139"/>
        <v>Ninguna</v>
      </c>
      <c r="CD257" s="79" t="s">
        <v>174</v>
      </c>
      <c r="CE257" s="79"/>
      <c r="CF257" s="79"/>
      <c r="CG257" s="83" t="s">
        <v>1973</v>
      </c>
      <c r="CH257" s="41"/>
      <c r="CI257" s="79" t="s">
        <v>153</v>
      </c>
      <c r="CJ257" s="71"/>
      <c r="CK257" s="79">
        <v>1</v>
      </c>
      <c r="CL257" s="93" t="s">
        <v>1974</v>
      </c>
      <c r="CM257" s="79"/>
      <c r="CN257" s="79"/>
      <c r="CO257" s="79"/>
      <c r="CP257" s="79"/>
      <c r="CQ257" s="79"/>
      <c r="CR257" s="83" t="s">
        <v>920</v>
      </c>
      <c r="CS257" s="83"/>
      <c r="CT257" s="83"/>
      <c r="CU257" s="83"/>
      <c r="CV257" s="83"/>
      <c r="CW257" s="83"/>
      <c r="CX257" s="79" t="s">
        <v>153</v>
      </c>
      <c r="CY257" s="79">
        <f t="shared" si="148"/>
        <v>1</v>
      </c>
      <c r="CZ257" s="79">
        <v>0</v>
      </c>
      <c r="DA257" s="79">
        <f t="shared" si="149"/>
        <v>0</v>
      </c>
      <c r="DB257" s="84">
        <f t="shared" si="150"/>
        <v>1</v>
      </c>
      <c r="DC257" s="41"/>
      <c r="DD257" s="79" t="s">
        <v>153</v>
      </c>
      <c r="DE257" s="71"/>
      <c r="DF257" s="85" t="s">
        <v>1975</v>
      </c>
      <c r="DG257" s="79">
        <v>247</v>
      </c>
      <c r="DH257" s="86" t="str">
        <f t="shared" si="124"/>
        <v>Completo</v>
      </c>
      <c r="DI257" s="79" t="s">
        <v>181</v>
      </c>
      <c r="DJ257" s="79" t="s">
        <v>182</v>
      </c>
      <c r="DK257" s="79"/>
      <c r="DL257" s="79">
        <v>0</v>
      </c>
      <c r="DM257" s="79">
        <v>0</v>
      </c>
      <c r="DN257" s="79" t="s">
        <v>182</v>
      </c>
      <c r="DO257" s="79"/>
      <c r="DP257" s="79"/>
      <c r="DQ257" s="79"/>
      <c r="DR257" s="75" t="str">
        <f t="shared" si="111"/>
        <v>No aplica</v>
      </c>
      <c r="DS257" s="79"/>
      <c r="DT257" s="79"/>
      <c r="DU257" s="75" t="str">
        <f t="shared" si="112"/>
        <v>No aplica</v>
      </c>
      <c r="DV257" s="79" t="s">
        <v>182</v>
      </c>
      <c r="DW257" s="79" t="s">
        <v>182</v>
      </c>
      <c r="DX257" s="79"/>
      <c r="DY257" s="79"/>
      <c r="DZ257" s="79"/>
      <c r="EA257" s="79"/>
      <c r="EB257" s="79"/>
      <c r="EC257" s="79"/>
      <c r="ED257" s="79" t="s">
        <v>249</v>
      </c>
      <c r="EE257" s="79" t="str">
        <f t="shared" si="151"/>
        <v>Completo</v>
      </c>
      <c r="EF257" s="41"/>
      <c r="EG257" s="79" t="s">
        <v>153</v>
      </c>
      <c r="EH257" s="71"/>
      <c r="EI257" s="80"/>
      <c r="EJ257" s="71"/>
      <c r="EK257" s="79"/>
      <c r="EL257" s="76" t="str">
        <f t="shared" si="113"/>
        <v>No requiere</v>
      </c>
      <c r="EM257" s="76" t="str">
        <f t="shared" si="114"/>
        <v>No requiere</v>
      </c>
      <c r="EN257" s="76" t="str">
        <f t="shared" si="140"/>
        <v>No requiere</v>
      </c>
      <c r="EO257" s="71"/>
      <c r="EP257" s="73" t="str">
        <f t="shared" si="115"/>
        <v>No requiere</v>
      </c>
      <c r="EQ257" s="77" t="str">
        <f t="shared" si="116"/>
        <v>No requiere</v>
      </c>
      <c r="ER257" s="71"/>
      <c r="ES257" s="79"/>
      <c r="ET257" s="73" t="str">
        <f t="shared" si="117"/>
        <v>No requiere</v>
      </c>
      <c r="EU257" s="73" t="str">
        <f t="shared" si="141"/>
        <v>No requiere</v>
      </c>
      <c r="EV257" s="73" t="str">
        <f t="shared" si="118"/>
        <v>No requiere</v>
      </c>
      <c r="EW257" s="73" t="str">
        <f t="shared" si="119"/>
        <v>No requiere</v>
      </c>
      <c r="EX257" s="78"/>
      <c r="EY257" s="78"/>
    </row>
    <row r="258" spans="1:155" ht="46.5" customHeight="1">
      <c r="A258" s="79">
        <v>254</v>
      </c>
      <c r="B258" s="80" t="s">
        <v>1976</v>
      </c>
      <c r="C258" s="81">
        <v>45391</v>
      </c>
      <c r="D258" s="82">
        <v>0.39583333333333331</v>
      </c>
      <c r="E258" s="79" t="s">
        <v>151</v>
      </c>
      <c r="F258" s="79" t="s">
        <v>153</v>
      </c>
      <c r="G258" s="79" t="s">
        <v>153</v>
      </c>
      <c r="H258" s="79" t="s">
        <v>152</v>
      </c>
      <c r="I258" s="79" t="s">
        <v>152</v>
      </c>
      <c r="J258" s="79" t="s">
        <v>154</v>
      </c>
      <c r="K258" s="79" t="s">
        <v>155</v>
      </c>
      <c r="L258" s="80" t="s">
        <v>1977</v>
      </c>
      <c r="M258" s="80" t="s">
        <v>327</v>
      </c>
      <c r="N258" s="79" t="s">
        <v>801</v>
      </c>
      <c r="O258" s="80" t="str">
        <f t="shared" si="107"/>
        <v xml:space="preserve">Nancy Stella Villa </v>
      </c>
      <c r="P258" s="79" t="s">
        <v>1611</v>
      </c>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t="s">
        <v>230</v>
      </c>
      <c r="AP258" s="79" t="s">
        <v>214</v>
      </c>
      <c r="AQ258" s="80" t="s">
        <v>1978</v>
      </c>
      <c r="AR258" s="80">
        <v>3214169223</v>
      </c>
      <c r="AS258" s="80" t="s">
        <v>1979</v>
      </c>
      <c r="AT258" s="80" t="str">
        <f t="shared" si="108"/>
        <v>Usaquén</v>
      </c>
      <c r="AU258" s="79" t="s">
        <v>661</v>
      </c>
      <c r="AV258" s="79"/>
      <c r="AW258" s="79"/>
      <c r="AX258" s="79"/>
      <c r="AY258" s="79"/>
      <c r="AZ258" s="79"/>
      <c r="BA258" s="80" t="str">
        <f t="shared" si="109"/>
        <v>Norte</v>
      </c>
      <c r="BB258" s="79" t="s">
        <v>662</v>
      </c>
      <c r="BC258" s="79"/>
      <c r="BD258" s="79"/>
      <c r="BE258" s="79"/>
      <c r="BF258" s="79"/>
      <c r="BG258" s="79"/>
      <c r="BH258" s="80" t="str">
        <f t="shared" si="110"/>
        <v>Usaquén</v>
      </c>
      <c r="BI258" s="79" t="s">
        <v>661</v>
      </c>
      <c r="BJ258" s="79"/>
      <c r="BK258" s="79"/>
      <c r="BL258" s="79"/>
      <c r="BM258" s="79"/>
      <c r="BN258" s="79"/>
      <c r="BO258" s="79"/>
      <c r="BP258" s="79"/>
      <c r="BQ258" s="79"/>
      <c r="BR258" s="79"/>
      <c r="BS258" s="80" t="s">
        <v>661</v>
      </c>
      <c r="BT258" s="80" t="s">
        <v>174</v>
      </c>
      <c r="BU258" s="80" t="s">
        <v>1980</v>
      </c>
      <c r="BV258" s="71"/>
      <c r="BW258" s="79" t="s">
        <v>153</v>
      </c>
      <c r="BX258" s="79" t="s">
        <v>176</v>
      </c>
      <c r="BY258" s="71"/>
      <c r="BZ258" s="79">
        <v>10</v>
      </c>
      <c r="CA258" s="79">
        <v>2</v>
      </c>
      <c r="CB258" s="79">
        <f t="shared" si="25"/>
        <v>12</v>
      </c>
      <c r="CC258" s="79" t="str">
        <f t="shared" si="139"/>
        <v>No Aplica</v>
      </c>
      <c r="CD258" s="79" t="s">
        <v>177</v>
      </c>
      <c r="CE258" s="79"/>
      <c r="CF258" s="79"/>
      <c r="CG258" s="83" t="s">
        <v>1981</v>
      </c>
      <c r="CH258" s="41"/>
      <c r="CI258" s="79" t="s">
        <v>153</v>
      </c>
      <c r="CJ258" s="71"/>
      <c r="CK258" s="79">
        <f t="shared" ref="CK258:CK273" si="152">COUNTIF(CL258:CQ258,"*")</f>
        <v>2</v>
      </c>
      <c r="CL258" s="79" t="s">
        <v>1982</v>
      </c>
      <c r="CM258" s="79" t="s">
        <v>1983</v>
      </c>
      <c r="CN258" s="79"/>
      <c r="CO258" s="79"/>
      <c r="CP258" s="79"/>
      <c r="CQ258" s="79"/>
      <c r="CR258" s="83" t="s">
        <v>390</v>
      </c>
      <c r="CS258" s="83" t="s">
        <v>390</v>
      </c>
      <c r="CT258" s="83" t="s">
        <v>179</v>
      </c>
      <c r="CU258" s="83" t="s">
        <v>179</v>
      </c>
      <c r="CV258" s="83" t="s">
        <v>179</v>
      </c>
      <c r="CW258" s="83" t="s">
        <v>179</v>
      </c>
      <c r="CX258" s="79" t="s">
        <v>153</v>
      </c>
      <c r="CY258" s="79">
        <v>0</v>
      </c>
      <c r="CZ258" s="79">
        <v>2</v>
      </c>
      <c r="DA258" s="79">
        <v>0</v>
      </c>
      <c r="DB258" s="84" t="s">
        <v>316</v>
      </c>
      <c r="DC258" s="41"/>
      <c r="DD258" s="79" t="s">
        <v>153</v>
      </c>
      <c r="DE258" s="71"/>
      <c r="DF258" s="85" t="s">
        <v>1984</v>
      </c>
      <c r="DG258" s="79">
        <v>248</v>
      </c>
      <c r="DH258" s="86">
        <f t="shared" si="124"/>
        <v>45394</v>
      </c>
      <c r="DI258" s="79" t="s">
        <v>181</v>
      </c>
      <c r="DJ258" s="79" t="s">
        <v>182</v>
      </c>
      <c r="DK258" s="79"/>
      <c r="DL258" s="79">
        <v>0</v>
      </c>
      <c r="DM258" s="79">
        <v>0</v>
      </c>
      <c r="DN258" s="79" t="s">
        <v>182</v>
      </c>
      <c r="DO258" s="79"/>
      <c r="DP258" s="79"/>
      <c r="DQ258" s="79"/>
      <c r="DR258" s="75" t="str">
        <f t="shared" si="111"/>
        <v>No aplica</v>
      </c>
      <c r="DS258" s="79"/>
      <c r="DT258" s="79"/>
      <c r="DU258" s="75" t="str">
        <f t="shared" si="112"/>
        <v>No aplica</v>
      </c>
      <c r="DV258" s="79" t="s">
        <v>182</v>
      </c>
      <c r="DW258" s="79" t="s">
        <v>182</v>
      </c>
      <c r="DX258" s="79"/>
      <c r="DY258" s="79"/>
      <c r="DZ258" s="79"/>
      <c r="EA258" s="79"/>
      <c r="EB258" s="79" t="s">
        <v>182</v>
      </c>
      <c r="EC258" s="79" t="s">
        <v>1985</v>
      </c>
      <c r="ED258" s="79" t="s">
        <v>184</v>
      </c>
      <c r="EE258" s="79" t="s">
        <v>621</v>
      </c>
      <c r="EF258" s="41"/>
      <c r="EG258" s="79" t="s">
        <v>153</v>
      </c>
      <c r="EH258" s="71"/>
      <c r="EI258" s="80"/>
      <c r="EJ258" s="71"/>
      <c r="EK258" s="79"/>
      <c r="EL258" s="76" t="str">
        <f t="shared" si="113"/>
        <v>No requiere</v>
      </c>
      <c r="EM258" s="76" t="str">
        <f t="shared" si="114"/>
        <v>No requiere</v>
      </c>
      <c r="EN258" s="76" t="str">
        <f t="shared" si="140"/>
        <v>No requiere</v>
      </c>
      <c r="EO258" s="71"/>
      <c r="EP258" s="73" t="str">
        <f t="shared" si="115"/>
        <v>No requiere</v>
      </c>
      <c r="EQ258" s="77" t="str">
        <f t="shared" si="116"/>
        <v>No requiere</v>
      </c>
      <c r="ER258" s="71"/>
      <c r="ES258" s="79"/>
      <c r="ET258" s="73" t="str">
        <f t="shared" si="117"/>
        <v>No requiere</v>
      </c>
      <c r="EU258" s="73" t="str">
        <f t="shared" si="141"/>
        <v>No requiere</v>
      </c>
      <c r="EV258" s="73" t="str">
        <f t="shared" si="118"/>
        <v>No requiere</v>
      </c>
      <c r="EW258" s="73" t="str">
        <f t="shared" si="119"/>
        <v>No requiere</v>
      </c>
      <c r="EX258" s="78"/>
      <c r="EY258" s="78"/>
    </row>
    <row r="259" spans="1:155" ht="46.5" customHeight="1">
      <c r="A259" s="79">
        <v>255</v>
      </c>
      <c r="B259" s="80" t="s">
        <v>1986</v>
      </c>
      <c r="C259" s="81">
        <v>45391</v>
      </c>
      <c r="D259" s="82">
        <v>0.39583333333333331</v>
      </c>
      <c r="E259" s="79" t="s">
        <v>151</v>
      </c>
      <c r="F259" s="79" t="s">
        <v>153</v>
      </c>
      <c r="G259" s="79" t="s">
        <v>153</v>
      </c>
      <c r="H259" s="79" t="s">
        <v>152</v>
      </c>
      <c r="I259" s="79" t="s">
        <v>152</v>
      </c>
      <c r="J259" s="79" t="s">
        <v>154</v>
      </c>
      <c r="K259" s="79" t="s">
        <v>155</v>
      </c>
      <c r="L259" s="80" t="s">
        <v>1987</v>
      </c>
      <c r="M259" s="80" t="s">
        <v>327</v>
      </c>
      <c r="N259" s="79" t="s">
        <v>965</v>
      </c>
      <c r="O259" s="80" t="str">
        <f t="shared" si="107"/>
        <v/>
      </c>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t="s">
        <v>230</v>
      </c>
      <c r="AP259" s="79" t="s">
        <v>214</v>
      </c>
      <c r="AQ259" s="80" t="s">
        <v>1988</v>
      </c>
      <c r="AR259" s="80" t="s">
        <v>1989</v>
      </c>
      <c r="AS259" s="80" t="s">
        <v>1990</v>
      </c>
      <c r="AT259" s="80" t="str">
        <f t="shared" si="108"/>
        <v>Kennedy</v>
      </c>
      <c r="AU259" s="79" t="s">
        <v>731</v>
      </c>
      <c r="AV259" s="79"/>
      <c r="AW259" s="79"/>
      <c r="AX259" s="79"/>
      <c r="AY259" s="79"/>
      <c r="AZ259" s="79"/>
      <c r="BA259" s="80" t="str">
        <f t="shared" si="109"/>
        <v>Suroccidente</v>
      </c>
      <c r="BB259" s="79" t="s">
        <v>732</v>
      </c>
      <c r="BC259" s="79"/>
      <c r="BD259" s="79"/>
      <c r="BE259" s="79"/>
      <c r="BF259" s="79"/>
      <c r="BG259" s="79"/>
      <c r="BH259" s="80" t="str">
        <f t="shared" si="110"/>
        <v>Kennedy, Edén, Patio Bonito, Tintal</v>
      </c>
      <c r="BI259" s="79" t="s">
        <v>731</v>
      </c>
      <c r="BJ259" s="79" t="s">
        <v>1057</v>
      </c>
      <c r="BK259" s="79" t="s">
        <v>967</v>
      </c>
      <c r="BL259" s="79" t="s">
        <v>1697</v>
      </c>
      <c r="BM259" s="79"/>
      <c r="BN259" s="79"/>
      <c r="BO259" s="79"/>
      <c r="BP259" s="79"/>
      <c r="BQ259" s="79"/>
      <c r="BR259" s="79"/>
      <c r="BS259" s="80" t="s">
        <v>731</v>
      </c>
      <c r="BT259" s="80" t="s">
        <v>174</v>
      </c>
      <c r="BU259" s="80" t="s">
        <v>1991</v>
      </c>
      <c r="BV259" s="71"/>
      <c r="BW259" s="79" t="s">
        <v>153</v>
      </c>
      <c r="BX259" s="79" t="s">
        <v>176</v>
      </c>
      <c r="BY259" s="71"/>
      <c r="BZ259" s="79">
        <v>10</v>
      </c>
      <c r="CA259" s="79">
        <v>1</v>
      </c>
      <c r="CB259" s="79">
        <f t="shared" si="25"/>
        <v>11</v>
      </c>
      <c r="CC259" s="79" t="str">
        <f t="shared" si="139"/>
        <v>Accesibilidad Universal, Horarios Acordes</v>
      </c>
      <c r="CD259" s="79" t="s">
        <v>397</v>
      </c>
      <c r="CE259" s="79" t="s">
        <v>351</v>
      </c>
      <c r="CF259" s="79"/>
      <c r="CG259" s="83" t="s">
        <v>1992</v>
      </c>
      <c r="CH259" s="41"/>
      <c r="CI259" s="79" t="s">
        <v>153</v>
      </c>
      <c r="CJ259" s="71"/>
      <c r="CK259" s="79">
        <f t="shared" si="152"/>
        <v>1</v>
      </c>
      <c r="CL259" s="93" t="s">
        <v>1993</v>
      </c>
      <c r="CM259" s="79"/>
      <c r="CN259" s="79"/>
      <c r="CO259" s="79"/>
      <c r="CP259" s="79"/>
      <c r="CQ259" s="79"/>
      <c r="CR259" s="83" t="s">
        <v>179</v>
      </c>
      <c r="CS259" s="83" t="s">
        <v>179</v>
      </c>
      <c r="CT259" s="83" t="s">
        <v>179</v>
      </c>
      <c r="CU259" s="83" t="s">
        <v>179</v>
      </c>
      <c r="CV259" s="83" t="s">
        <v>179</v>
      </c>
      <c r="CW259" s="83" t="s">
        <v>179</v>
      </c>
      <c r="CX259" s="79" t="s">
        <v>153</v>
      </c>
      <c r="CY259" s="79">
        <v>0</v>
      </c>
      <c r="CZ259" s="79">
        <v>0</v>
      </c>
      <c r="DA259" s="79">
        <v>0</v>
      </c>
      <c r="DB259" s="84" t="s">
        <v>316</v>
      </c>
      <c r="DC259" s="41"/>
      <c r="DD259" s="79" t="s">
        <v>153</v>
      </c>
      <c r="DE259" s="71"/>
      <c r="DF259" s="85" t="s">
        <v>1994</v>
      </c>
      <c r="DG259" s="79">
        <v>249</v>
      </c>
      <c r="DH259" s="86">
        <f t="shared" si="124"/>
        <v>45394</v>
      </c>
      <c r="DI259" s="79" t="s">
        <v>181</v>
      </c>
      <c r="DJ259" s="79" t="s">
        <v>182</v>
      </c>
      <c r="DK259" s="79"/>
      <c r="DL259" s="79">
        <v>0</v>
      </c>
      <c r="DM259" s="79">
        <v>0</v>
      </c>
      <c r="DN259" s="79" t="s">
        <v>191</v>
      </c>
      <c r="DO259" s="79"/>
      <c r="DP259" s="79"/>
      <c r="DQ259" s="79"/>
      <c r="DR259" s="75" t="str">
        <f t="shared" si="111"/>
        <v>No aplica</v>
      </c>
      <c r="DS259" s="79"/>
      <c r="DT259" s="79"/>
      <c r="DU259" s="75" t="str">
        <f t="shared" si="112"/>
        <v>No aplica</v>
      </c>
      <c r="DV259" s="79" t="s">
        <v>182</v>
      </c>
      <c r="DW259" s="79" t="s">
        <v>182</v>
      </c>
      <c r="DX259" s="79"/>
      <c r="DY259" s="79"/>
      <c r="DZ259" s="79"/>
      <c r="EA259" s="79"/>
      <c r="EB259" s="79"/>
      <c r="EC259" s="79"/>
      <c r="ED259" s="79" t="s">
        <v>184</v>
      </c>
      <c r="EE259" s="79" t="s">
        <v>621</v>
      </c>
      <c r="EF259" s="41"/>
      <c r="EG259" s="79" t="s">
        <v>153</v>
      </c>
      <c r="EH259" s="71"/>
      <c r="EI259" s="80"/>
      <c r="EJ259" s="71"/>
      <c r="EK259" s="79"/>
      <c r="EL259" s="76" t="str">
        <f t="shared" si="113"/>
        <v>No requiere</v>
      </c>
      <c r="EM259" s="76" t="str">
        <f t="shared" si="114"/>
        <v>No requiere</v>
      </c>
      <c r="EN259" s="76" t="str">
        <f t="shared" si="140"/>
        <v>No requiere</v>
      </c>
      <c r="EO259" s="71"/>
      <c r="EP259" s="73" t="str">
        <f t="shared" si="115"/>
        <v>No requiere</v>
      </c>
      <c r="EQ259" s="77" t="str">
        <f t="shared" si="116"/>
        <v>No requiere</v>
      </c>
      <c r="ER259" s="71"/>
      <c r="ES259" s="79"/>
      <c r="ET259" s="73" t="str">
        <f t="shared" si="117"/>
        <v>No requiere</v>
      </c>
      <c r="EU259" s="73" t="str">
        <f t="shared" si="141"/>
        <v>No requiere</v>
      </c>
      <c r="EV259" s="73" t="str">
        <f t="shared" si="118"/>
        <v>No requiere</v>
      </c>
      <c r="EW259" s="73" t="str">
        <f t="shared" si="119"/>
        <v>No requiere</v>
      </c>
      <c r="EX259" s="78"/>
      <c r="EY259" s="78"/>
    </row>
    <row r="260" spans="1:155" ht="46.5" customHeight="1">
      <c r="A260" s="79">
        <v>256</v>
      </c>
      <c r="B260" s="80" t="s">
        <v>1995</v>
      </c>
      <c r="C260" s="81">
        <v>45391</v>
      </c>
      <c r="D260" s="82">
        <v>0.58333333333333337</v>
      </c>
      <c r="E260" s="79" t="s">
        <v>151</v>
      </c>
      <c r="F260" s="79" t="s">
        <v>153</v>
      </c>
      <c r="G260" s="79" t="s">
        <v>153</v>
      </c>
      <c r="H260" s="79" t="s">
        <v>153</v>
      </c>
      <c r="I260" s="79" t="s">
        <v>152</v>
      </c>
      <c r="J260" s="79" t="s">
        <v>154</v>
      </c>
      <c r="K260" s="79" t="s">
        <v>155</v>
      </c>
      <c r="L260" s="80" t="s">
        <v>1315</v>
      </c>
      <c r="M260" s="80" t="s">
        <v>303</v>
      </c>
      <c r="N260" s="79" t="s">
        <v>168</v>
      </c>
      <c r="O260" s="80" t="str">
        <f t="shared" si="107"/>
        <v>Nicolas Esteban Hernández, Johanna Catherine Gamez, Andres Castro Latorre, Norberto Muñoz Morera, Nancy Stella Villa , James Fernando Núñez, Diana Marcela Fernández, Laura Sofia Morales, Maria Angélica Higuera</v>
      </c>
      <c r="P260" s="79" t="s">
        <v>645</v>
      </c>
      <c r="Q260" s="79" t="s">
        <v>213</v>
      </c>
      <c r="R260" s="79" t="s">
        <v>749</v>
      </c>
      <c r="S260" s="79" t="s">
        <v>161</v>
      </c>
      <c r="T260" s="79" t="s">
        <v>1611</v>
      </c>
      <c r="U260" s="79" t="s">
        <v>632</v>
      </c>
      <c r="V260" s="79" t="s">
        <v>473</v>
      </c>
      <c r="W260" s="79" t="s">
        <v>506</v>
      </c>
      <c r="X260" s="79" t="s">
        <v>328</v>
      </c>
      <c r="Y260" s="79"/>
      <c r="Z260" s="79"/>
      <c r="AA260" s="79"/>
      <c r="AB260" s="79"/>
      <c r="AC260" s="79"/>
      <c r="AD260" s="79"/>
      <c r="AE260" s="79"/>
      <c r="AF260" s="79"/>
      <c r="AG260" s="79"/>
      <c r="AH260" s="79"/>
      <c r="AI260" s="79"/>
      <c r="AJ260" s="79"/>
      <c r="AK260" s="79"/>
      <c r="AL260" s="79"/>
      <c r="AM260" s="79"/>
      <c r="AN260" s="79"/>
      <c r="AO260" s="79" t="s">
        <v>169</v>
      </c>
      <c r="AP260" s="79" t="s">
        <v>1996</v>
      </c>
      <c r="AQ260" s="80" t="s">
        <v>205</v>
      </c>
      <c r="AR260" s="80" t="s">
        <v>171</v>
      </c>
      <c r="AS260" s="80" t="s">
        <v>206</v>
      </c>
      <c r="AT260" s="80" t="str">
        <f t="shared" si="108"/>
        <v>Distrital</v>
      </c>
      <c r="AU260" s="79" t="s">
        <v>172</v>
      </c>
      <c r="AV260" s="79"/>
      <c r="AW260" s="79"/>
      <c r="AX260" s="79"/>
      <c r="AY260" s="79"/>
      <c r="AZ260" s="79"/>
      <c r="BA260" s="80" t="str">
        <f t="shared" si="109"/>
        <v>Distrital</v>
      </c>
      <c r="BB260" s="79" t="s">
        <v>172</v>
      </c>
      <c r="BC260" s="79"/>
      <c r="BD260" s="79"/>
      <c r="BE260" s="79"/>
      <c r="BF260" s="79"/>
      <c r="BG260" s="79"/>
      <c r="BH260" s="80" t="str">
        <f t="shared" si="110"/>
        <v>Distrital</v>
      </c>
      <c r="BI260" s="79" t="s">
        <v>172</v>
      </c>
      <c r="BJ260" s="79"/>
      <c r="BK260" s="79"/>
      <c r="BL260" s="79"/>
      <c r="BM260" s="79"/>
      <c r="BN260" s="79"/>
      <c r="BO260" s="79"/>
      <c r="BP260" s="79"/>
      <c r="BQ260" s="79"/>
      <c r="BR260" s="79"/>
      <c r="BS260" s="80" t="s">
        <v>288</v>
      </c>
      <c r="BT260" s="80" t="s">
        <v>174</v>
      </c>
      <c r="BU260" s="80" t="s">
        <v>1997</v>
      </c>
      <c r="BV260" s="71"/>
      <c r="BW260" s="79" t="s">
        <v>153</v>
      </c>
      <c r="BX260" s="79" t="s">
        <v>607</v>
      </c>
      <c r="BY260" s="71"/>
      <c r="BZ260" s="79">
        <v>25</v>
      </c>
      <c r="CA260" s="79">
        <v>10</v>
      </c>
      <c r="CB260" s="79">
        <f t="shared" si="25"/>
        <v>35</v>
      </c>
      <c r="CC260" s="79" t="str">
        <f t="shared" si="139"/>
        <v>Ninguna</v>
      </c>
      <c r="CD260" s="79" t="s">
        <v>174</v>
      </c>
      <c r="CE260" s="79"/>
      <c r="CF260" s="79"/>
      <c r="CG260" s="83" t="s">
        <v>1998</v>
      </c>
      <c r="CH260" s="41"/>
      <c r="CI260" s="79" t="s">
        <v>153</v>
      </c>
      <c r="CJ260" s="71"/>
      <c r="CK260" s="79">
        <f t="shared" si="152"/>
        <v>0</v>
      </c>
      <c r="CL260" s="93"/>
      <c r="CM260" s="79"/>
      <c r="CN260" s="79"/>
      <c r="CO260" s="79"/>
      <c r="CP260" s="79"/>
      <c r="CQ260" s="79"/>
      <c r="CR260" s="83" t="s">
        <v>390</v>
      </c>
      <c r="CS260" s="83" t="s">
        <v>179</v>
      </c>
      <c r="CT260" s="83" t="s">
        <v>179</v>
      </c>
      <c r="CU260" s="83" t="s">
        <v>179</v>
      </c>
      <c r="CV260" s="83" t="s">
        <v>179</v>
      </c>
      <c r="CW260" s="83" t="s">
        <v>179</v>
      </c>
      <c r="CX260" s="79" t="s">
        <v>153</v>
      </c>
      <c r="CY260" s="79">
        <f t="shared" ref="CY260:CY261" si="153">SUM(COUNTIF(CR260:CW260,"Realizado y Devuelto a la Ciudadanía"),COUNTIF(CR260:CW260,"Realizado y Trasladado por competencia"), COUNTIF(CR260:CW260,"Realizado y Gestionado"))</f>
        <v>1</v>
      </c>
      <c r="CZ260" s="79">
        <v>1</v>
      </c>
      <c r="DA260" s="79">
        <f t="shared" ref="DA260:DA261" si="154">COUNTIF(CR260:CW260,"Realizado y Devuelto a la Ciudadanía")</f>
        <v>1</v>
      </c>
      <c r="DB260" s="84" t="str">
        <f t="shared" ref="DB260:DB261" si="155">IFERROR(CY260/CK260,"")</f>
        <v/>
      </c>
      <c r="DC260" s="41"/>
      <c r="DD260" s="79" t="s">
        <v>153</v>
      </c>
      <c r="DE260" s="71"/>
      <c r="DF260" s="85" t="s">
        <v>1999</v>
      </c>
      <c r="DG260" s="79">
        <v>250</v>
      </c>
      <c r="DH260" s="86" t="str">
        <f t="shared" si="124"/>
        <v>Completo</v>
      </c>
      <c r="DI260" s="79" t="s">
        <v>181</v>
      </c>
      <c r="DJ260" s="79" t="s">
        <v>182</v>
      </c>
      <c r="DK260" s="79" t="s">
        <v>153</v>
      </c>
      <c r="DL260" s="79">
        <v>0</v>
      </c>
      <c r="DM260" s="79">
        <v>0</v>
      </c>
      <c r="DN260" s="79" t="s">
        <v>182</v>
      </c>
      <c r="DO260" s="79"/>
      <c r="DP260" s="79" t="s">
        <v>182</v>
      </c>
      <c r="DQ260" s="79">
        <v>9</v>
      </c>
      <c r="DR260" s="75">
        <f t="shared" si="111"/>
        <v>1.2</v>
      </c>
      <c r="DS260" s="79" t="s">
        <v>182</v>
      </c>
      <c r="DT260" s="79">
        <v>69</v>
      </c>
      <c r="DU260" s="75">
        <f t="shared" si="112"/>
        <v>7.8857142857142861</v>
      </c>
      <c r="DV260" s="79" t="s">
        <v>182</v>
      </c>
      <c r="DW260" s="79" t="s">
        <v>182</v>
      </c>
      <c r="DX260" s="79">
        <v>2</v>
      </c>
      <c r="DY260" s="79">
        <v>0</v>
      </c>
      <c r="DZ260" s="79" t="s">
        <v>2000</v>
      </c>
      <c r="EA260" s="79" t="s">
        <v>179</v>
      </c>
      <c r="EB260" s="79" t="s">
        <v>182</v>
      </c>
      <c r="EC260" s="79" t="s">
        <v>2001</v>
      </c>
      <c r="ED260" s="79" t="s">
        <v>184</v>
      </c>
      <c r="EE260" s="79" t="str">
        <f t="shared" ref="EE260:EE261" si="156">IF(DI260="Subsanado","Completo","Por Completar")</f>
        <v>Completo</v>
      </c>
      <c r="EF260" s="41"/>
      <c r="EG260" s="79" t="s">
        <v>153</v>
      </c>
      <c r="EH260" s="71"/>
      <c r="EI260" s="89" t="s">
        <v>2002</v>
      </c>
      <c r="EJ260" s="71"/>
      <c r="EK260" s="79" t="s">
        <v>409</v>
      </c>
      <c r="EL260" s="76" t="str">
        <f t="shared" si="113"/>
        <v>Sí</v>
      </c>
      <c r="EM260" s="76" t="str">
        <f t="shared" si="114"/>
        <v>No</v>
      </c>
      <c r="EN260" s="76" t="str">
        <f t="shared" si="140"/>
        <v>No</v>
      </c>
      <c r="EO260" s="71"/>
      <c r="EP260" s="73" t="str">
        <f t="shared" si="115"/>
        <v>No aplica</v>
      </c>
      <c r="EQ260" s="77">
        <f t="shared" si="116"/>
        <v>7.8857142857142861</v>
      </c>
      <c r="ER260" s="71"/>
      <c r="ES260" s="79" t="s">
        <v>409</v>
      </c>
      <c r="ET260" s="73">
        <f t="shared" si="117"/>
        <v>1</v>
      </c>
      <c r="EU260" s="73" t="str">
        <f t="shared" si="141"/>
        <v>Sin compromisos</v>
      </c>
      <c r="EV260" s="73" t="str">
        <f t="shared" si="118"/>
        <v>No aplica</v>
      </c>
      <c r="EW260" s="73" t="str">
        <f t="shared" si="119"/>
        <v>No aplica</v>
      </c>
      <c r="EX260" s="78"/>
      <c r="EY260" s="78"/>
    </row>
    <row r="261" spans="1:155" ht="46.5" customHeight="1">
      <c r="A261" s="79">
        <v>257</v>
      </c>
      <c r="B261" s="80" t="s">
        <v>2003</v>
      </c>
      <c r="C261" s="81">
        <v>45391</v>
      </c>
      <c r="D261" s="82">
        <v>0.72916666666666663</v>
      </c>
      <c r="E261" s="79" t="s">
        <v>151</v>
      </c>
      <c r="F261" s="79" t="s">
        <v>153</v>
      </c>
      <c r="G261" s="79" t="s">
        <v>153</v>
      </c>
      <c r="H261" s="79" t="s">
        <v>153</v>
      </c>
      <c r="I261" s="79" t="s">
        <v>152</v>
      </c>
      <c r="J261" s="79" t="s">
        <v>154</v>
      </c>
      <c r="K261" s="79" t="s">
        <v>155</v>
      </c>
      <c r="L261" s="80" t="s">
        <v>1315</v>
      </c>
      <c r="M261" s="80" t="s">
        <v>303</v>
      </c>
      <c r="N261" s="79" t="s">
        <v>546</v>
      </c>
      <c r="O261" s="80" t="str">
        <f t="shared" ref="O261:O324" si="157">_xlfn.TEXTJOIN(", ",TRUE,P261:AN261)</f>
        <v>Renata Rengifo Moyano, Luis Fernando Barreto , Valentina González Pontón, Humberto Díaz Acosta, Daniela Velasco Vega, Mónica Lyzeth Cantor, Armando Alberto Montañez, Reinaldo Terrios Andrade, Julián Camilo Taylor, Diana Carolina Aristizábal, Julio César Martínez, Joan Sebastian García, Nestor Jecfrid Sánchez, Sarah Lucia Triviño</v>
      </c>
      <c r="P261" s="79" t="s">
        <v>1066</v>
      </c>
      <c r="Q261" s="79" t="s">
        <v>720</v>
      </c>
      <c r="R261" s="79" t="s">
        <v>329</v>
      </c>
      <c r="S261" s="79" t="s">
        <v>253</v>
      </c>
      <c r="T261" s="79" t="s">
        <v>660</v>
      </c>
      <c r="U261" s="79" t="s">
        <v>346</v>
      </c>
      <c r="V261" s="79" t="s">
        <v>1387</v>
      </c>
      <c r="W261" s="79" t="s">
        <v>675</v>
      </c>
      <c r="X261" s="79" t="s">
        <v>886</v>
      </c>
      <c r="Y261" s="79" t="s">
        <v>165</v>
      </c>
      <c r="Z261" s="79" t="s">
        <v>601</v>
      </c>
      <c r="AA261" s="79" t="s">
        <v>728</v>
      </c>
      <c r="AB261" s="79" t="s">
        <v>965</v>
      </c>
      <c r="AC261" s="79" t="s">
        <v>499</v>
      </c>
      <c r="AD261" s="79"/>
      <c r="AE261" s="79"/>
      <c r="AF261" s="79"/>
      <c r="AG261" s="79"/>
      <c r="AH261" s="79"/>
      <c r="AI261" s="79"/>
      <c r="AJ261" s="79"/>
      <c r="AK261" s="79"/>
      <c r="AL261" s="79"/>
      <c r="AM261" s="79"/>
      <c r="AN261" s="79"/>
      <c r="AO261" s="79" t="s">
        <v>304</v>
      </c>
      <c r="AP261" s="79"/>
      <c r="AQ261" s="80" t="s">
        <v>1988</v>
      </c>
      <c r="AR261" s="83" t="s">
        <v>1989</v>
      </c>
      <c r="AS261" s="80" t="s">
        <v>1988</v>
      </c>
      <c r="AT261" s="80" t="str">
        <f t="shared" ref="AT261:AT324" si="158">_xlfn.TEXTJOIN(", ",TRUE,$AU261:$AY261)</f>
        <v>Rafael Uribe Uribe, San Cristóbal</v>
      </c>
      <c r="AU261" s="79" t="s">
        <v>635</v>
      </c>
      <c r="AV261" s="79" t="s">
        <v>570</v>
      </c>
      <c r="AW261" s="79"/>
      <c r="AX261" s="79"/>
      <c r="AY261" s="79"/>
      <c r="AZ261" s="79"/>
      <c r="BA261" s="80" t="str">
        <f t="shared" ref="BA261:BA324" si="159">_xlfn.TEXTJOIN(", ",TRUE,$BB261:$BG261)</f>
        <v>Suroriente</v>
      </c>
      <c r="BB261" s="79" t="s">
        <v>218</v>
      </c>
      <c r="BC261" s="79"/>
      <c r="BD261" s="79"/>
      <c r="BE261" s="79"/>
      <c r="BF261" s="79"/>
      <c r="BG261" s="79"/>
      <c r="BH261" s="80" t="str">
        <f t="shared" ref="BH261:BH324" si="160">_xlfn.TEXTJOIN(", ",TRUE,$BI261:$BR261)</f>
        <v>San Cristobal</v>
      </c>
      <c r="BI261" s="79" t="s">
        <v>571</v>
      </c>
      <c r="BJ261" s="79"/>
      <c r="BK261" s="79"/>
      <c r="BL261" s="79"/>
      <c r="BM261" s="79"/>
      <c r="BN261" s="79"/>
      <c r="BO261" s="79"/>
      <c r="BP261" s="79"/>
      <c r="BQ261" s="79"/>
      <c r="BR261" s="79"/>
      <c r="BS261" s="80" t="s">
        <v>2004</v>
      </c>
      <c r="BT261" s="80" t="s">
        <v>174</v>
      </c>
      <c r="BU261" s="80" t="s">
        <v>2005</v>
      </c>
      <c r="BV261" s="71"/>
      <c r="BW261" s="79" t="s">
        <v>153</v>
      </c>
      <c r="BX261" s="79" t="s">
        <v>607</v>
      </c>
      <c r="BY261" s="71"/>
      <c r="BZ261" s="79">
        <v>51</v>
      </c>
      <c r="CA261" s="79">
        <v>15</v>
      </c>
      <c r="CB261" s="79">
        <f t="shared" si="25"/>
        <v>66</v>
      </c>
      <c r="CC261" s="79" t="str">
        <f t="shared" si="139"/>
        <v>Accesibilidad Universal</v>
      </c>
      <c r="CD261" s="79" t="s">
        <v>397</v>
      </c>
      <c r="CE261" s="79"/>
      <c r="CF261" s="79"/>
      <c r="CG261" s="83" t="s">
        <v>1899</v>
      </c>
      <c r="CH261" s="41"/>
      <c r="CI261" s="79" t="s">
        <v>153</v>
      </c>
      <c r="CJ261" s="71"/>
      <c r="CK261" s="79">
        <f t="shared" si="152"/>
        <v>1</v>
      </c>
      <c r="CL261" s="93" t="s">
        <v>1931</v>
      </c>
      <c r="CM261" s="79"/>
      <c r="CN261" s="79"/>
      <c r="CO261" s="79"/>
      <c r="CP261" s="79"/>
      <c r="CQ261" s="79"/>
      <c r="CR261" s="83" t="s">
        <v>390</v>
      </c>
      <c r="CS261" s="83" t="s">
        <v>179</v>
      </c>
      <c r="CT261" s="83" t="s">
        <v>179</v>
      </c>
      <c r="CU261" s="83" t="s">
        <v>179</v>
      </c>
      <c r="CV261" s="83" t="s">
        <v>179</v>
      </c>
      <c r="CW261" s="83" t="s">
        <v>179</v>
      </c>
      <c r="CX261" s="79" t="s">
        <v>153</v>
      </c>
      <c r="CY261" s="79">
        <f t="shared" si="153"/>
        <v>1</v>
      </c>
      <c r="CZ261" s="79">
        <v>1</v>
      </c>
      <c r="DA261" s="79">
        <f t="shared" si="154"/>
        <v>1</v>
      </c>
      <c r="DB261" s="84">
        <f t="shared" si="155"/>
        <v>1</v>
      </c>
      <c r="DC261" s="41"/>
      <c r="DD261" s="79" t="s">
        <v>153</v>
      </c>
      <c r="DE261" s="71"/>
      <c r="DF261" s="85" t="s">
        <v>2006</v>
      </c>
      <c r="DG261" s="79">
        <v>251</v>
      </c>
      <c r="DH261" s="86" t="str">
        <f t="shared" si="124"/>
        <v>Completo</v>
      </c>
      <c r="DI261" s="79" t="s">
        <v>181</v>
      </c>
      <c r="DJ261" s="79" t="s">
        <v>182</v>
      </c>
      <c r="DK261" s="79" t="s">
        <v>153</v>
      </c>
      <c r="DL261" s="79">
        <v>0</v>
      </c>
      <c r="DM261" s="79">
        <v>0</v>
      </c>
      <c r="DN261" s="79" t="s">
        <v>182</v>
      </c>
      <c r="DO261" s="79">
        <v>2500</v>
      </c>
      <c r="DP261" s="79" t="s">
        <v>182</v>
      </c>
      <c r="DQ261" s="79">
        <v>18</v>
      </c>
      <c r="DR261" s="75">
        <f t="shared" ref="DR261:DR324" si="161">IF(H261="SÍ", (DQ261/(BZ261*0.3)), "No aplica")</f>
        <v>1.1764705882352942</v>
      </c>
      <c r="DS261" s="79" t="s">
        <v>182</v>
      </c>
      <c r="DT261" s="79">
        <v>87</v>
      </c>
      <c r="DU261" s="75">
        <f t="shared" ref="DU261:DU324" si="162">IF(H261="SÍ", (DT261/(BZ261*0.35)), "No aplica")</f>
        <v>4.8739495798319332</v>
      </c>
      <c r="DV261" s="79" t="s">
        <v>182</v>
      </c>
      <c r="DW261" s="79" t="s">
        <v>182</v>
      </c>
      <c r="DX261" s="79">
        <v>3</v>
      </c>
      <c r="DY261" s="79">
        <v>1</v>
      </c>
      <c r="DZ261" s="79" t="s">
        <v>2007</v>
      </c>
      <c r="EA261" s="79">
        <v>2661</v>
      </c>
      <c r="EB261" s="79" t="s">
        <v>182</v>
      </c>
      <c r="EC261" s="79" t="s">
        <v>2001</v>
      </c>
      <c r="ED261" s="79" t="s">
        <v>184</v>
      </c>
      <c r="EE261" s="79" t="str">
        <f t="shared" si="156"/>
        <v>Completo</v>
      </c>
      <c r="EF261" s="41"/>
      <c r="EG261" s="79" t="s">
        <v>153</v>
      </c>
      <c r="EH261" s="71"/>
      <c r="EI261" s="89" t="s">
        <v>2008</v>
      </c>
      <c r="EJ261" s="71"/>
      <c r="EK261" s="79" t="s">
        <v>409</v>
      </c>
      <c r="EL261" s="76" t="str">
        <f t="shared" ref="EL261:EL324" si="163">IF(F261="NO","No requiere",IF(H261="No","No requiere",IF(DW261="","",IF(DW261&lt;&gt;"No aplica",IF(DX261&lt;&gt;"No aplica",IF(DX261&gt;=2,"Sí","No"),"No aplica"),"No aplica"))))</f>
        <v>Sí</v>
      </c>
      <c r="EM261" s="76" t="str">
        <f t="shared" ref="EM261:EM324" si="164">IF(F261="NO","No requiere",IF(H261="No","No requiere",IF(DW261="","",IF(DW261&lt;&gt;"No aplica",IF(DY261&lt;&gt;"No aplica",IF(DY261&gt;=1,"Sí","No"),"No aplica"),"No aplica"))))</f>
        <v>Sí</v>
      </c>
      <c r="EN261" s="76" t="str">
        <f t="shared" si="140"/>
        <v>Sí</v>
      </c>
      <c r="EO261" s="71"/>
      <c r="EP261" s="73" t="str">
        <f t="shared" ref="EP261:EP324" si="165">IF(F261="NO","No requiere",IF(H261="No","No requiere",IF(DL261="","",IF(DL261&gt;=1,DM261/DL261,"No aplica"))))</f>
        <v>No aplica</v>
      </c>
      <c r="EQ261" s="77">
        <f t="shared" ref="EQ261:EQ324" si="166">IFERROR(IF(F261="NO","No requiere",IF(H261="No","No requiere",DU261)),"")</f>
        <v>4.8739495798319332</v>
      </c>
      <c r="ER261" s="71"/>
      <c r="ES261" s="79" t="s">
        <v>409</v>
      </c>
      <c r="ET261" s="73">
        <f t="shared" ref="ET261:ET324" si="167">IF(F261="NO","No requiere",IF(H261="No","No requiere",IFERROR(COUNTIF(DJ261:DW261,"Completo")/SUM(COUNTIF(DJ261:DW261,"Completo"),COUNTIF(DJ261:DW261,"Incompleto"),COUNTIF(DJ261:DW261,"No subido"),COUNTIF(DJ261:DW261,"No existente"),COUNTIF(DJ261:DW261,"Pendiente")),"")))</f>
        <v>1</v>
      </c>
      <c r="EU261" s="73">
        <f t="shared" si="141"/>
        <v>1</v>
      </c>
      <c r="EV261" s="73">
        <f t="shared" ref="EV261:EV324" si="168">IF(EU261="Por verificar","Por verificar",IF(F261="NO","No requiere",IF(H261="No","No requiere",IFERROR(IF(EU261="","",IF(CK261&gt;=1,DA261/CZ261,"No aplica")),"No aplica"))))</f>
        <v>1</v>
      </c>
      <c r="EW261" s="73">
        <f t="shared" ref="EW261:EW324" si="169">IF(F261="NO","No requiere",IF(H261="No","No requiere",IFERROR(IF(BZ261="","",IF(EA261&lt;&gt;"No aplica",IF(EA261&gt;=1,DO261/EA261,"0%"),"No aplica")),"")))</f>
        <v>0.9394964299135663</v>
      </c>
      <c r="EX261" s="78"/>
      <c r="EY261" s="78"/>
    </row>
    <row r="262" spans="1:155" ht="46.5" customHeight="1">
      <c r="A262" s="79">
        <v>258</v>
      </c>
      <c r="B262" s="80" t="s">
        <v>2009</v>
      </c>
      <c r="C262" s="81">
        <v>45391</v>
      </c>
      <c r="D262" s="82">
        <v>0.72916666666666663</v>
      </c>
      <c r="E262" s="79" t="s">
        <v>151</v>
      </c>
      <c r="F262" s="79" t="s">
        <v>153</v>
      </c>
      <c r="G262" s="79" t="s">
        <v>153</v>
      </c>
      <c r="H262" s="79" t="s">
        <v>152</v>
      </c>
      <c r="I262" s="79" t="s">
        <v>152</v>
      </c>
      <c r="J262" s="79" t="s">
        <v>154</v>
      </c>
      <c r="K262" s="79" t="s">
        <v>202</v>
      </c>
      <c r="L262" s="80" t="s">
        <v>2010</v>
      </c>
      <c r="M262" s="80" t="s">
        <v>229</v>
      </c>
      <c r="N262" s="79" t="s">
        <v>158</v>
      </c>
      <c r="O262" s="80" t="str">
        <f t="shared" si="157"/>
        <v/>
      </c>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t="s">
        <v>304</v>
      </c>
      <c r="AP262" s="79"/>
      <c r="AQ262" s="80" t="s">
        <v>2011</v>
      </c>
      <c r="AR262" s="83">
        <v>3105655186</v>
      </c>
      <c r="AS262" s="80" t="s">
        <v>2012</v>
      </c>
      <c r="AT262" s="80" t="str">
        <f t="shared" si="158"/>
        <v>Distrital</v>
      </c>
      <c r="AU262" s="79" t="s">
        <v>172</v>
      </c>
      <c r="AV262" s="79"/>
      <c r="AW262" s="79"/>
      <c r="AX262" s="79"/>
      <c r="AY262" s="79"/>
      <c r="AZ262" s="79"/>
      <c r="BA262" s="80" t="str">
        <f t="shared" si="159"/>
        <v>Distrital</v>
      </c>
      <c r="BB262" s="79" t="s">
        <v>172</v>
      </c>
      <c r="BC262" s="79"/>
      <c r="BD262" s="79"/>
      <c r="BE262" s="79"/>
      <c r="BF262" s="79"/>
      <c r="BG262" s="79"/>
      <c r="BH262" s="80" t="str">
        <f t="shared" si="160"/>
        <v>Distrital</v>
      </c>
      <c r="BI262" s="79" t="s">
        <v>172</v>
      </c>
      <c r="BJ262" s="79"/>
      <c r="BK262" s="79"/>
      <c r="BL262" s="79"/>
      <c r="BM262" s="79"/>
      <c r="BN262" s="79"/>
      <c r="BO262" s="79"/>
      <c r="BP262" s="79"/>
      <c r="BQ262" s="79"/>
      <c r="BR262" s="79"/>
      <c r="BS262" s="80" t="s">
        <v>288</v>
      </c>
      <c r="BT262" s="80" t="s">
        <v>174</v>
      </c>
      <c r="BU262" s="89" t="s">
        <v>2013</v>
      </c>
      <c r="BV262" s="71"/>
      <c r="BW262" s="79" t="s">
        <v>153</v>
      </c>
      <c r="BX262" s="79" t="s">
        <v>176</v>
      </c>
      <c r="BY262" s="71"/>
      <c r="BZ262" s="79">
        <v>7</v>
      </c>
      <c r="CA262" s="79">
        <v>30</v>
      </c>
      <c r="CB262" s="79">
        <f t="shared" si="25"/>
        <v>37</v>
      </c>
      <c r="CC262" s="79" t="str">
        <f t="shared" si="139"/>
        <v>Contenidos adaptados</v>
      </c>
      <c r="CD262" s="79" t="s">
        <v>350</v>
      </c>
      <c r="CE262" s="79"/>
      <c r="CF262" s="79"/>
      <c r="CG262" s="83" t="s">
        <v>2014</v>
      </c>
      <c r="CH262" s="41"/>
      <c r="CI262" s="79" t="s">
        <v>153</v>
      </c>
      <c r="CJ262" s="71"/>
      <c r="CK262" s="79">
        <f t="shared" si="152"/>
        <v>0</v>
      </c>
      <c r="CL262" s="79"/>
      <c r="CM262" s="79"/>
      <c r="CN262" s="79"/>
      <c r="CO262" s="79"/>
      <c r="CP262" s="79"/>
      <c r="CQ262" s="79"/>
      <c r="CR262" s="83" t="s">
        <v>179</v>
      </c>
      <c r="CS262" s="83" t="s">
        <v>179</v>
      </c>
      <c r="CT262" s="83" t="s">
        <v>179</v>
      </c>
      <c r="CU262" s="83" t="s">
        <v>179</v>
      </c>
      <c r="CV262" s="83" t="s">
        <v>179</v>
      </c>
      <c r="CW262" s="83" t="s">
        <v>179</v>
      </c>
      <c r="CX262" s="79" t="s">
        <v>153</v>
      </c>
      <c r="CY262" s="79">
        <v>0</v>
      </c>
      <c r="CZ262" s="79">
        <v>0</v>
      </c>
      <c r="DA262" s="79">
        <v>0</v>
      </c>
      <c r="DB262" s="84" t="s">
        <v>316</v>
      </c>
      <c r="DC262" s="41"/>
      <c r="DD262" s="79" t="s">
        <v>153</v>
      </c>
      <c r="DE262" s="71"/>
      <c r="DF262" s="85" t="s">
        <v>2015</v>
      </c>
      <c r="DG262" s="79">
        <v>252</v>
      </c>
      <c r="DH262" s="86">
        <f t="shared" si="124"/>
        <v>45394</v>
      </c>
      <c r="DI262" s="79" t="s">
        <v>181</v>
      </c>
      <c r="DJ262" s="79" t="s">
        <v>182</v>
      </c>
      <c r="DK262" s="79"/>
      <c r="DL262" s="79">
        <v>0</v>
      </c>
      <c r="DM262" s="79">
        <v>0</v>
      </c>
      <c r="DN262" s="79" t="s">
        <v>182</v>
      </c>
      <c r="DO262" s="79"/>
      <c r="DP262" s="79"/>
      <c r="DQ262" s="79"/>
      <c r="DR262" s="75" t="str">
        <f t="shared" si="161"/>
        <v>No aplica</v>
      </c>
      <c r="DS262" s="79"/>
      <c r="DT262" s="79"/>
      <c r="DU262" s="75" t="str">
        <f t="shared" si="162"/>
        <v>No aplica</v>
      </c>
      <c r="DV262" s="79" t="s">
        <v>182</v>
      </c>
      <c r="DW262" s="79" t="s">
        <v>182</v>
      </c>
      <c r="DX262" s="79"/>
      <c r="DY262" s="79"/>
      <c r="DZ262" s="79"/>
      <c r="EA262" s="79"/>
      <c r="EB262" s="79"/>
      <c r="EC262" s="79"/>
      <c r="ED262" s="79" t="s">
        <v>184</v>
      </c>
      <c r="EE262" s="79" t="s">
        <v>621</v>
      </c>
      <c r="EF262" s="41"/>
      <c r="EG262" s="79" t="s">
        <v>153</v>
      </c>
      <c r="EH262" s="71"/>
      <c r="EI262" s="80"/>
      <c r="EJ262" s="71"/>
      <c r="EK262" s="79"/>
      <c r="EL262" s="76" t="str">
        <f t="shared" si="163"/>
        <v>No requiere</v>
      </c>
      <c r="EM262" s="76" t="str">
        <f t="shared" si="164"/>
        <v>No requiere</v>
      </c>
      <c r="EN262" s="76" t="str">
        <f t="shared" si="140"/>
        <v>No requiere</v>
      </c>
      <c r="EO262" s="71"/>
      <c r="EP262" s="73" t="str">
        <f t="shared" si="165"/>
        <v>No requiere</v>
      </c>
      <c r="EQ262" s="77" t="str">
        <f t="shared" si="166"/>
        <v>No requiere</v>
      </c>
      <c r="ER262" s="71"/>
      <c r="ES262" s="79"/>
      <c r="ET262" s="73" t="str">
        <f t="shared" si="167"/>
        <v>No requiere</v>
      </c>
      <c r="EU262" s="73" t="str">
        <f t="shared" si="141"/>
        <v>No requiere</v>
      </c>
      <c r="EV262" s="73" t="str">
        <f t="shared" si="168"/>
        <v>No requiere</v>
      </c>
      <c r="EW262" s="73" t="str">
        <f t="shared" si="169"/>
        <v>No requiere</v>
      </c>
      <c r="EX262" s="78"/>
      <c r="EY262" s="78"/>
    </row>
    <row r="263" spans="1:155" ht="46.5" customHeight="1">
      <c r="A263" s="79">
        <v>259</v>
      </c>
      <c r="B263" s="80" t="s">
        <v>1000</v>
      </c>
      <c r="C263" s="81">
        <v>45392</v>
      </c>
      <c r="D263" s="82">
        <v>0.35416666666666669</v>
      </c>
      <c r="E263" s="79" t="s">
        <v>200</v>
      </c>
      <c r="F263" s="79" t="s">
        <v>153</v>
      </c>
      <c r="G263" s="79" t="s">
        <v>152</v>
      </c>
      <c r="H263" s="79" t="s">
        <v>152</v>
      </c>
      <c r="I263" s="79" t="s">
        <v>152</v>
      </c>
      <c r="J263" s="79" t="s">
        <v>504</v>
      </c>
      <c r="K263" s="79" t="s">
        <v>155</v>
      </c>
      <c r="L263" s="80" t="s">
        <v>1001</v>
      </c>
      <c r="M263" s="80" t="s">
        <v>157</v>
      </c>
      <c r="N263" s="79" t="s">
        <v>1387</v>
      </c>
      <c r="O263" s="80" t="str">
        <f t="shared" si="157"/>
        <v/>
      </c>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t="s">
        <v>169</v>
      </c>
      <c r="AP263" s="79" t="s">
        <v>507</v>
      </c>
      <c r="AQ263" s="80" t="s">
        <v>2016</v>
      </c>
      <c r="AR263" s="83">
        <v>3163896199</v>
      </c>
      <c r="AS263" s="80" t="s">
        <v>2017</v>
      </c>
      <c r="AT263" s="80" t="str">
        <f t="shared" si="158"/>
        <v>Teusaquillo</v>
      </c>
      <c r="AU263" s="79" t="s">
        <v>1004</v>
      </c>
      <c r="AV263" s="79"/>
      <c r="AW263" s="79"/>
      <c r="AX263" s="79"/>
      <c r="AY263" s="79"/>
      <c r="AZ263" s="79"/>
      <c r="BA263" s="80" t="str">
        <f t="shared" si="159"/>
        <v>Centro Ampliado</v>
      </c>
      <c r="BB263" s="79" t="s">
        <v>636</v>
      </c>
      <c r="BC263" s="79"/>
      <c r="BD263" s="79"/>
      <c r="BE263" s="79"/>
      <c r="BF263" s="79"/>
      <c r="BG263" s="79"/>
      <c r="BH263" s="80" t="str">
        <f t="shared" si="160"/>
        <v>Teusaquillo</v>
      </c>
      <c r="BI263" s="79" t="s">
        <v>1004</v>
      </c>
      <c r="BJ263" s="79"/>
      <c r="BK263" s="79"/>
      <c r="BL263" s="79"/>
      <c r="BM263" s="79"/>
      <c r="BN263" s="79"/>
      <c r="BO263" s="79"/>
      <c r="BP263" s="79"/>
      <c r="BQ263" s="79"/>
      <c r="BR263" s="79"/>
      <c r="BS263" s="80" t="s">
        <v>2018</v>
      </c>
      <c r="BT263" s="80" t="s">
        <v>174</v>
      </c>
      <c r="BU263" s="80" t="s">
        <v>2019</v>
      </c>
      <c r="BV263" s="71"/>
      <c r="BW263" s="79" t="s">
        <v>152</v>
      </c>
      <c r="BX263" s="79" t="s">
        <v>179</v>
      </c>
      <c r="BY263" s="71"/>
      <c r="BZ263" s="79">
        <v>16</v>
      </c>
      <c r="CA263" s="79">
        <v>1</v>
      </c>
      <c r="CB263" s="79">
        <f t="shared" si="25"/>
        <v>17</v>
      </c>
      <c r="CC263" s="79" t="str">
        <f t="shared" si="139"/>
        <v>Ninguna</v>
      </c>
      <c r="CD263" s="79" t="s">
        <v>174</v>
      </c>
      <c r="CE263" s="79"/>
      <c r="CF263" s="79"/>
      <c r="CG263" s="83" t="s">
        <v>2020</v>
      </c>
      <c r="CH263" s="41"/>
      <c r="CI263" s="79" t="s">
        <v>153</v>
      </c>
      <c r="CJ263" s="71"/>
      <c r="CK263" s="79">
        <f t="shared" si="152"/>
        <v>0</v>
      </c>
      <c r="CL263" s="79"/>
      <c r="CM263" s="79"/>
      <c r="CN263" s="79"/>
      <c r="CO263" s="79"/>
      <c r="CP263" s="79"/>
      <c r="CQ263" s="79"/>
      <c r="CR263" s="83" t="s">
        <v>179</v>
      </c>
      <c r="CS263" s="83" t="s">
        <v>179</v>
      </c>
      <c r="CT263" s="83" t="s">
        <v>179</v>
      </c>
      <c r="CU263" s="83" t="s">
        <v>179</v>
      </c>
      <c r="CV263" s="83" t="s">
        <v>179</v>
      </c>
      <c r="CW263" s="83" t="s">
        <v>179</v>
      </c>
      <c r="CX263" s="79" t="s">
        <v>153</v>
      </c>
      <c r="CY263" s="79">
        <v>0</v>
      </c>
      <c r="CZ263" s="79">
        <v>0</v>
      </c>
      <c r="DA263" s="79">
        <v>0</v>
      </c>
      <c r="DB263" s="84" t="s">
        <v>316</v>
      </c>
      <c r="DC263" s="41"/>
      <c r="DD263" s="79" t="s">
        <v>153</v>
      </c>
      <c r="DE263" s="71"/>
      <c r="DF263" s="85" t="s">
        <v>2021</v>
      </c>
      <c r="DG263" s="79">
        <v>253</v>
      </c>
      <c r="DH263" s="86">
        <f t="shared" si="124"/>
        <v>45395</v>
      </c>
      <c r="DI263" s="79" t="s">
        <v>181</v>
      </c>
      <c r="DJ263" s="79" t="s">
        <v>182</v>
      </c>
      <c r="DK263" s="79"/>
      <c r="DL263" s="79">
        <v>0</v>
      </c>
      <c r="DM263" s="79">
        <v>0</v>
      </c>
      <c r="DN263" s="79"/>
      <c r="DO263" s="79"/>
      <c r="DP263" s="79"/>
      <c r="DQ263" s="79"/>
      <c r="DR263" s="75" t="str">
        <f t="shared" si="161"/>
        <v>No aplica</v>
      </c>
      <c r="DS263" s="79"/>
      <c r="DT263" s="79"/>
      <c r="DU263" s="75" t="str">
        <f t="shared" si="162"/>
        <v>No aplica</v>
      </c>
      <c r="DV263" s="79" t="s">
        <v>182</v>
      </c>
      <c r="DW263" s="79" t="s">
        <v>182</v>
      </c>
      <c r="DX263" s="79"/>
      <c r="DY263" s="79"/>
      <c r="DZ263" s="79"/>
      <c r="EA263" s="79"/>
      <c r="EB263" s="79" t="s">
        <v>182</v>
      </c>
      <c r="EC263" s="79" t="s">
        <v>2022</v>
      </c>
      <c r="ED263" s="79" t="s">
        <v>184</v>
      </c>
      <c r="EE263" s="79" t="s">
        <v>621</v>
      </c>
      <c r="EF263" s="41"/>
      <c r="EG263" s="79" t="s">
        <v>153</v>
      </c>
      <c r="EH263" s="71"/>
      <c r="EI263" s="80"/>
      <c r="EJ263" s="71"/>
      <c r="EK263" s="79"/>
      <c r="EL263" s="76" t="str">
        <f t="shared" si="163"/>
        <v>No requiere</v>
      </c>
      <c r="EM263" s="76" t="str">
        <f t="shared" si="164"/>
        <v>No requiere</v>
      </c>
      <c r="EN263" s="76" t="str">
        <f t="shared" si="140"/>
        <v>No requiere</v>
      </c>
      <c r="EO263" s="71"/>
      <c r="EP263" s="73" t="str">
        <f t="shared" si="165"/>
        <v>No requiere</v>
      </c>
      <c r="EQ263" s="77" t="str">
        <f t="shared" si="166"/>
        <v>No requiere</v>
      </c>
      <c r="ER263" s="71"/>
      <c r="ES263" s="79"/>
      <c r="ET263" s="73" t="str">
        <f t="shared" si="167"/>
        <v>No requiere</v>
      </c>
      <c r="EU263" s="73" t="str">
        <f t="shared" si="141"/>
        <v>No requiere</v>
      </c>
      <c r="EV263" s="73" t="str">
        <f t="shared" si="168"/>
        <v>No requiere</v>
      </c>
      <c r="EW263" s="73" t="str">
        <f t="shared" si="169"/>
        <v>No requiere</v>
      </c>
      <c r="EX263" s="78"/>
      <c r="EY263" s="78"/>
    </row>
    <row r="264" spans="1:155" ht="46.5" customHeight="1">
      <c r="A264" s="79">
        <v>260</v>
      </c>
      <c r="B264" s="80" t="s">
        <v>2023</v>
      </c>
      <c r="C264" s="81">
        <v>45392</v>
      </c>
      <c r="D264" s="82">
        <v>0.41666666666666669</v>
      </c>
      <c r="E264" s="79" t="s">
        <v>151</v>
      </c>
      <c r="F264" s="79" t="s">
        <v>153</v>
      </c>
      <c r="G264" s="79" t="s">
        <v>153</v>
      </c>
      <c r="H264" s="79" t="s">
        <v>152</v>
      </c>
      <c r="I264" s="79" t="s">
        <v>152</v>
      </c>
      <c r="J264" s="79" t="s">
        <v>154</v>
      </c>
      <c r="K264" s="79" t="s">
        <v>155</v>
      </c>
      <c r="L264" s="80" t="s">
        <v>1315</v>
      </c>
      <c r="M264" s="80" t="s">
        <v>327</v>
      </c>
      <c r="N264" s="79" t="s">
        <v>168</v>
      </c>
      <c r="O264" s="80" t="str">
        <f t="shared" si="157"/>
        <v>Maria Alejandra Castañeda, William Jair Gil, Yohan David Díaz, Nicolas Esteban Hernández, Nicolás Enrique Moncaleano, Nixon Sandoval Mateus, Germán Ramón Jacome, Diego Alejandro Camacho, Laura Camila Bechara, César Augusto Barrantes, Mónica Lyzeth Cantor, Nancy Stella Villa , Nestor Jecfrid Sánchez, Paola Andrea González, Sarah Lucia Triviño, Sebastian Potes Buitrago, Sarah Lucia Triviño</v>
      </c>
      <c r="P264" s="79" t="s">
        <v>494</v>
      </c>
      <c r="Q264" s="79" t="s">
        <v>862</v>
      </c>
      <c r="R264" s="79" t="s">
        <v>164</v>
      </c>
      <c r="S264" s="79" t="s">
        <v>645</v>
      </c>
      <c r="T264" s="79" t="s">
        <v>966</v>
      </c>
      <c r="U264" s="79" t="s">
        <v>644</v>
      </c>
      <c r="V264" s="79" t="s">
        <v>525</v>
      </c>
      <c r="W264" s="79" t="s">
        <v>422</v>
      </c>
      <c r="X264" s="79" t="s">
        <v>887</v>
      </c>
      <c r="Y264" s="79" t="s">
        <v>729</v>
      </c>
      <c r="Z264" s="79" t="s">
        <v>346</v>
      </c>
      <c r="AA264" s="79" t="s">
        <v>1611</v>
      </c>
      <c r="AB264" s="79" t="s">
        <v>965</v>
      </c>
      <c r="AC264" s="79" t="s">
        <v>924</v>
      </c>
      <c r="AD264" s="79" t="s">
        <v>499</v>
      </c>
      <c r="AE264" s="79" t="s">
        <v>545</v>
      </c>
      <c r="AF264" s="79" t="s">
        <v>499</v>
      </c>
      <c r="AG264" s="79"/>
      <c r="AH264" s="79"/>
      <c r="AI264" s="79"/>
      <c r="AJ264" s="79"/>
      <c r="AK264" s="79"/>
      <c r="AL264" s="79"/>
      <c r="AM264" s="79"/>
      <c r="AN264" s="79"/>
      <c r="AO264" s="79" t="s">
        <v>304</v>
      </c>
      <c r="AP264" s="79"/>
      <c r="AQ264" s="80"/>
      <c r="AR264" s="83"/>
      <c r="AS264" s="80"/>
      <c r="AT264" s="80" t="str">
        <f t="shared" si="158"/>
        <v>Chapinero</v>
      </c>
      <c r="AU264" s="79" t="s">
        <v>360</v>
      </c>
      <c r="AV264" s="79"/>
      <c r="AW264" s="79"/>
      <c r="AX264" s="79"/>
      <c r="AY264" s="79"/>
      <c r="AZ264" s="79"/>
      <c r="BA264" s="80" t="str">
        <f t="shared" si="159"/>
        <v>Distrital</v>
      </c>
      <c r="BB264" s="79" t="s">
        <v>172</v>
      </c>
      <c r="BC264" s="79"/>
      <c r="BD264" s="79"/>
      <c r="BE264" s="79"/>
      <c r="BF264" s="79"/>
      <c r="BG264" s="79"/>
      <c r="BH264" s="80" t="str">
        <f t="shared" si="160"/>
        <v>Chapinero</v>
      </c>
      <c r="BI264" s="79" t="s">
        <v>360</v>
      </c>
      <c r="BJ264" s="79"/>
      <c r="BK264" s="79"/>
      <c r="BL264" s="79"/>
      <c r="BM264" s="79"/>
      <c r="BN264" s="79"/>
      <c r="BO264" s="79"/>
      <c r="BP264" s="79"/>
      <c r="BQ264" s="79"/>
      <c r="BR264" s="79"/>
      <c r="BS264" s="80" t="s">
        <v>288</v>
      </c>
      <c r="BT264" s="80" t="s">
        <v>2024</v>
      </c>
      <c r="BU264" s="80" t="s">
        <v>2025</v>
      </c>
      <c r="BV264" s="71"/>
      <c r="BW264" s="79" t="s">
        <v>153</v>
      </c>
      <c r="BX264" s="79" t="s">
        <v>607</v>
      </c>
      <c r="BY264" s="71"/>
      <c r="BZ264" s="79">
        <v>145</v>
      </c>
      <c r="CA264" s="79">
        <v>18</v>
      </c>
      <c r="CB264" s="79">
        <f t="shared" si="25"/>
        <v>163</v>
      </c>
      <c r="CC264" s="79" t="str">
        <f t="shared" si="139"/>
        <v>No Aplica</v>
      </c>
      <c r="CD264" s="79" t="s">
        <v>177</v>
      </c>
      <c r="CE264" s="79"/>
      <c r="CF264" s="79"/>
      <c r="CG264" s="83" t="s">
        <v>2026</v>
      </c>
      <c r="CH264" s="41"/>
      <c r="CI264" s="79"/>
      <c r="CJ264" s="71"/>
      <c r="CK264" s="79">
        <f t="shared" si="152"/>
        <v>0</v>
      </c>
      <c r="CL264" s="79"/>
      <c r="CM264" s="79"/>
      <c r="CN264" s="79"/>
      <c r="CO264" s="79"/>
      <c r="CP264" s="79"/>
      <c r="CQ264" s="79"/>
      <c r="CR264" s="83" t="s">
        <v>179</v>
      </c>
      <c r="CS264" s="83" t="s">
        <v>179</v>
      </c>
      <c r="CT264" s="83" t="s">
        <v>179</v>
      </c>
      <c r="CU264" s="83" t="s">
        <v>179</v>
      </c>
      <c r="CV264" s="83" t="s">
        <v>179</v>
      </c>
      <c r="CW264" s="83" t="s">
        <v>179</v>
      </c>
      <c r="CX264" s="79" t="s">
        <v>153</v>
      </c>
      <c r="CY264" s="79">
        <f t="shared" ref="CY264:CY265" si="170">SUM(COUNTIF(CR264:CW264,"Realizado y Devuelto a la Ciudadanía"),COUNTIF(CR264:CW264,"Realizado y Trasladado por competencia"), COUNTIF(CR264:CW264,"Realizado y Gestionado"))</f>
        <v>0</v>
      </c>
      <c r="CZ264" s="79">
        <v>0</v>
      </c>
      <c r="DA264" s="79">
        <f t="shared" ref="DA264:DA265" si="171">COUNTIF(CR264:CW264,"Realizado y Devuelto a la Ciudadanía")</f>
        <v>0</v>
      </c>
      <c r="DB264" s="84" t="str">
        <f t="shared" ref="DB264:DB265" si="172">IFERROR(CY264/CK264,"")</f>
        <v/>
      </c>
      <c r="DC264" s="41"/>
      <c r="DD264" s="79" t="s">
        <v>153</v>
      </c>
      <c r="DE264" s="71"/>
      <c r="DF264" s="85" t="s">
        <v>2027</v>
      </c>
      <c r="DG264" s="79">
        <v>254</v>
      </c>
      <c r="DH264" s="86" t="str">
        <f t="shared" si="124"/>
        <v>Completo</v>
      </c>
      <c r="DI264" s="79" t="s">
        <v>181</v>
      </c>
      <c r="DJ264" s="79" t="s">
        <v>182</v>
      </c>
      <c r="DK264" s="79"/>
      <c r="DL264" s="79">
        <v>0</v>
      </c>
      <c r="DM264" s="79">
        <v>0</v>
      </c>
      <c r="DN264" s="79" t="s">
        <v>182</v>
      </c>
      <c r="DO264" s="79"/>
      <c r="DP264" s="79"/>
      <c r="DQ264" s="79"/>
      <c r="DR264" s="75" t="str">
        <f t="shared" si="161"/>
        <v>No aplica</v>
      </c>
      <c r="DS264" s="79"/>
      <c r="DT264" s="79"/>
      <c r="DU264" s="75" t="str">
        <f t="shared" si="162"/>
        <v>No aplica</v>
      </c>
      <c r="DV264" s="79" t="s">
        <v>182</v>
      </c>
      <c r="DW264" s="79" t="s">
        <v>182</v>
      </c>
      <c r="DX264" s="79"/>
      <c r="DY264" s="79"/>
      <c r="DZ264" s="79"/>
      <c r="EA264" s="79"/>
      <c r="EB264" s="79" t="s">
        <v>182</v>
      </c>
      <c r="EC264" s="79" t="s">
        <v>2028</v>
      </c>
      <c r="ED264" s="79" t="s">
        <v>184</v>
      </c>
      <c r="EE264" s="79" t="str">
        <f t="shared" ref="EE264:EE265" si="173">IF(DI264="Subsanado","Completo","Por Completar")</f>
        <v>Completo</v>
      </c>
      <c r="EF264" s="41"/>
      <c r="EG264" s="79" t="s">
        <v>153</v>
      </c>
      <c r="EH264" s="71"/>
      <c r="EI264" s="80"/>
      <c r="EJ264" s="71"/>
      <c r="EK264" s="79" t="s">
        <v>179</v>
      </c>
      <c r="EL264" s="76" t="str">
        <f t="shared" si="163"/>
        <v>No requiere</v>
      </c>
      <c r="EM264" s="76" t="str">
        <f t="shared" si="164"/>
        <v>No requiere</v>
      </c>
      <c r="EN264" s="76" t="str">
        <f t="shared" si="140"/>
        <v>No requiere</v>
      </c>
      <c r="EO264" s="71"/>
      <c r="EP264" s="73" t="str">
        <f t="shared" si="165"/>
        <v>No requiere</v>
      </c>
      <c r="EQ264" s="77" t="str">
        <f t="shared" si="166"/>
        <v>No requiere</v>
      </c>
      <c r="ER264" s="71"/>
      <c r="ES264" s="79" t="s">
        <v>179</v>
      </c>
      <c r="ET264" s="73" t="str">
        <f t="shared" si="167"/>
        <v>No requiere</v>
      </c>
      <c r="EU264" s="73" t="str">
        <f t="shared" si="141"/>
        <v>No requiere</v>
      </c>
      <c r="EV264" s="73" t="str">
        <f t="shared" si="168"/>
        <v>No requiere</v>
      </c>
      <c r="EW264" s="73" t="str">
        <f t="shared" si="169"/>
        <v>No requiere</v>
      </c>
      <c r="EX264" s="78"/>
      <c r="EY264" s="78"/>
    </row>
    <row r="265" spans="1:155" ht="46.5" customHeight="1">
      <c r="A265" s="79">
        <v>261</v>
      </c>
      <c r="B265" s="80" t="s">
        <v>2029</v>
      </c>
      <c r="C265" s="81">
        <v>45392</v>
      </c>
      <c r="D265" s="82">
        <v>0.58333333333333337</v>
      </c>
      <c r="E265" s="79" t="s">
        <v>151</v>
      </c>
      <c r="F265" s="79" t="s">
        <v>153</v>
      </c>
      <c r="G265" s="79" t="s">
        <v>153</v>
      </c>
      <c r="H265" s="79" t="s">
        <v>152</v>
      </c>
      <c r="I265" s="79" t="s">
        <v>152</v>
      </c>
      <c r="J265" s="79" t="s">
        <v>2030</v>
      </c>
      <c r="K265" s="79" t="s">
        <v>155</v>
      </c>
      <c r="L265" s="80" t="s">
        <v>2031</v>
      </c>
      <c r="M265" s="80" t="s">
        <v>327</v>
      </c>
      <c r="N265" s="79" t="s">
        <v>168</v>
      </c>
      <c r="O265" s="80" t="str">
        <f t="shared" si="157"/>
        <v>Melina Julieta Solano, Jimmy Alejandro Osorio, Nathalia Guzmán Martínez, Michael Cruz Roa</v>
      </c>
      <c r="P265" s="79" t="s">
        <v>168</v>
      </c>
      <c r="Q265" s="79" t="s">
        <v>549</v>
      </c>
      <c r="R265" s="79" t="s">
        <v>166</v>
      </c>
      <c r="S265" s="79" t="s">
        <v>265</v>
      </c>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t="s">
        <v>304</v>
      </c>
      <c r="AP265" s="79"/>
      <c r="AQ265" s="80" t="s">
        <v>2032</v>
      </c>
      <c r="AR265" s="83">
        <v>3052388060</v>
      </c>
      <c r="AS265" s="80" t="s">
        <v>2033</v>
      </c>
      <c r="AT265" s="80" t="str">
        <f t="shared" si="158"/>
        <v>Distrital</v>
      </c>
      <c r="AU265" s="79" t="s">
        <v>172</v>
      </c>
      <c r="AV265" s="79"/>
      <c r="AW265" s="79"/>
      <c r="AX265" s="79"/>
      <c r="AY265" s="79"/>
      <c r="AZ265" s="79"/>
      <c r="BA265" s="80" t="str">
        <f t="shared" si="159"/>
        <v>Distrital</v>
      </c>
      <c r="BB265" s="79" t="s">
        <v>172</v>
      </c>
      <c r="BC265" s="79"/>
      <c r="BD265" s="79"/>
      <c r="BE265" s="79"/>
      <c r="BF265" s="79"/>
      <c r="BG265" s="79"/>
      <c r="BH265" s="80" t="str">
        <f t="shared" si="160"/>
        <v>Distrital</v>
      </c>
      <c r="BI265" s="79" t="s">
        <v>172</v>
      </c>
      <c r="BJ265" s="79"/>
      <c r="BK265" s="79"/>
      <c r="BL265" s="79"/>
      <c r="BM265" s="79"/>
      <c r="BN265" s="79"/>
      <c r="BO265" s="79"/>
      <c r="BP265" s="79"/>
      <c r="BQ265" s="79"/>
      <c r="BR265" s="79"/>
      <c r="BS265" s="80" t="s">
        <v>288</v>
      </c>
      <c r="BT265" s="80" t="s">
        <v>174</v>
      </c>
      <c r="BU265" s="80" t="s">
        <v>2034</v>
      </c>
      <c r="BV265" s="71"/>
      <c r="BW265" s="79" t="s">
        <v>153</v>
      </c>
      <c r="BX265" s="79" t="s">
        <v>607</v>
      </c>
      <c r="BY265" s="71"/>
      <c r="BZ265" s="79">
        <v>0</v>
      </c>
      <c r="CA265" s="79">
        <v>5</v>
      </c>
      <c r="CB265" s="79">
        <f t="shared" si="25"/>
        <v>5</v>
      </c>
      <c r="CC265" s="79" t="str">
        <f t="shared" si="139"/>
        <v>Ninguna</v>
      </c>
      <c r="CD265" s="79" t="s">
        <v>174</v>
      </c>
      <c r="CE265" s="79"/>
      <c r="CF265" s="79"/>
      <c r="CG265" s="83" t="s">
        <v>2035</v>
      </c>
      <c r="CH265" s="41"/>
      <c r="CI265" s="79" t="s">
        <v>153</v>
      </c>
      <c r="CJ265" s="71"/>
      <c r="CK265" s="79">
        <f t="shared" si="152"/>
        <v>0</v>
      </c>
      <c r="CL265" s="79"/>
      <c r="CM265" s="79"/>
      <c r="CN265" s="79"/>
      <c r="CO265" s="79"/>
      <c r="CP265" s="79"/>
      <c r="CQ265" s="79"/>
      <c r="CR265" s="83" t="s">
        <v>179</v>
      </c>
      <c r="CS265" s="83" t="s">
        <v>179</v>
      </c>
      <c r="CT265" s="83" t="s">
        <v>179</v>
      </c>
      <c r="CU265" s="83" t="s">
        <v>179</v>
      </c>
      <c r="CV265" s="83" t="s">
        <v>179</v>
      </c>
      <c r="CW265" s="83" t="s">
        <v>179</v>
      </c>
      <c r="CX265" s="79" t="s">
        <v>153</v>
      </c>
      <c r="CY265" s="79">
        <f t="shared" si="170"/>
        <v>0</v>
      </c>
      <c r="CZ265" s="79">
        <v>0</v>
      </c>
      <c r="DA265" s="79">
        <f t="shared" si="171"/>
        <v>0</v>
      </c>
      <c r="DB265" s="84" t="str">
        <f t="shared" si="172"/>
        <v/>
      </c>
      <c r="DC265" s="41"/>
      <c r="DD265" s="79" t="s">
        <v>153</v>
      </c>
      <c r="DE265" s="71"/>
      <c r="DF265" s="85" t="s">
        <v>2036</v>
      </c>
      <c r="DG265" s="79">
        <v>255</v>
      </c>
      <c r="DH265" s="86" t="str">
        <f t="shared" si="124"/>
        <v>Completo</v>
      </c>
      <c r="DI265" s="79" t="s">
        <v>181</v>
      </c>
      <c r="DJ265" s="79" t="s">
        <v>182</v>
      </c>
      <c r="DK265" s="79"/>
      <c r="DL265" s="79"/>
      <c r="DM265" s="79"/>
      <c r="DN265" s="79" t="s">
        <v>191</v>
      </c>
      <c r="DO265" s="79"/>
      <c r="DP265" s="79"/>
      <c r="DQ265" s="79"/>
      <c r="DR265" s="75" t="str">
        <f t="shared" si="161"/>
        <v>No aplica</v>
      </c>
      <c r="DS265" s="79"/>
      <c r="DT265" s="79"/>
      <c r="DU265" s="75" t="str">
        <f t="shared" si="162"/>
        <v>No aplica</v>
      </c>
      <c r="DV265" s="79" t="s">
        <v>182</v>
      </c>
      <c r="DW265" s="79" t="s">
        <v>182</v>
      </c>
      <c r="DX265" s="79"/>
      <c r="DY265" s="79"/>
      <c r="DZ265" s="79"/>
      <c r="EA265" s="79"/>
      <c r="EB265" s="79" t="s">
        <v>182</v>
      </c>
      <c r="EC265" s="79" t="s">
        <v>2037</v>
      </c>
      <c r="ED265" s="79" t="s">
        <v>184</v>
      </c>
      <c r="EE265" s="79" t="str">
        <f t="shared" si="173"/>
        <v>Completo</v>
      </c>
      <c r="EF265" s="41"/>
      <c r="EG265" s="79" t="s">
        <v>153</v>
      </c>
      <c r="EH265" s="71"/>
      <c r="EI265" s="80"/>
      <c r="EJ265" s="71"/>
      <c r="EK265" s="79" t="s">
        <v>179</v>
      </c>
      <c r="EL265" s="76" t="str">
        <f t="shared" si="163"/>
        <v>No requiere</v>
      </c>
      <c r="EM265" s="76" t="str">
        <f t="shared" si="164"/>
        <v>No requiere</v>
      </c>
      <c r="EN265" s="76" t="str">
        <f t="shared" si="140"/>
        <v>No requiere</v>
      </c>
      <c r="EO265" s="71"/>
      <c r="EP265" s="73" t="str">
        <f t="shared" si="165"/>
        <v>No requiere</v>
      </c>
      <c r="EQ265" s="77" t="str">
        <f t="shared" si="166"/>
        <v>No requiere</v>
      </c>
      <c r="ER265" s="71"/>
      <c r="ES265" s="79" t="s">
        <v>179</v>
      </c>
      <c r="ET265" s="73" t="str">
        <f t="shared" si="167"/>
        <v>No requiere</v>
      </c>
      <c r="EU265" s="73" t="str">
        <f t="shared" si="141"/>
        <v>No requiere</v>
      </c>
      <c r="EV265" s="73" t="str">
        <f t="shared" si="168"/>
        <v>No requiere</v>
      </c>
      <c r="EW265" s="73" t="str">
        <f t="shared" si="169"/>
        <v>No requiere</v>
      </c>
      <c r="EX265" s="78"/>
      <c r="EY265" s="78"/>
    </row>
    <row r="266" spans="1:155" ht="46.5" customHeight="1">
      <c r="A266" s="79">
        <v>262</v>
      </c>
      <c r="B266" s="80" t="s">
        <v>2038</v>
      </c>
      <c r="C266" s="81">
        <v>45392</v>
      </c>
      <c r="D266" s="82">
        <v>0.375</v>
      </c>
      <c r="E266" s="79" t="s">
        <v>200</v>
      </c>
      <c r="F266" s="79" t="s">
        <v>153</v>
      </c>
      <c r="G266" s="79" t="s">
        <v>152</v>
      </c>
      <c r="H266" s="79" t="s">
        <v>152</v>
      </c>
      <c r="I266" s="79" t="s">
        <v>152</v>
      </c>
      <c r="J266" s="79" t="s">
        <v>211</v>
      </c>
      <c r="K266" s="79" t="s">
        <v>155</v>
      </c>
      <c r="L266" s="80" t="s">
        <v>2039</v>
      </c>
      <c r="M266" s="80" t="s">
        <v>624</v>
      </c>
      <c r="N266" s="79" t="s">
        <v>213</v>
      </c>
      <c r="O266" s="80" t="str">
        <f t="shared" si="157"/>
        <v>PENDIENTE, PENDIENTE, PENDIENTE</v>
      </c>
      <c r="P266" s="79" t="s">
        <v>196</v>
      </c>
      <c r="Q266" s="79" t="s">
        <v>196</v>
      </c>
      <c r="R266" s="79" t="s">
        <v>196</v>
      </c>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t="s">
        <v>230</v>
      </c>
      <c r="AP266" s="79" t="s">
        <v>242</v>
      </c>
      <c r="AQ266" s="80" t="s">
        <v>625</v>
      </c>
      <c r="AR266" s="83">
        <v>3188799909</v>
      </c>
      <c r="AS266" s="80" t="s">
        <v>2040</v>
      </c>
      <c r="AT266" s="80" t="str">
        <f t="shared" si="158"/>
        <v>Distrital</v>
      </c>
      <c r="AU266" s="79" t="s">
        <v>172</v>
      </c>
      <c r="AV266" s="79"/>
      <c r="AW266" s="79"/>
      <c r="AX266" s="79"/>
      <c r="AY266" s="79"/>
      <c r="AZ266" s="79"/>
      <c r="BA266" s="80" t="str">
        <f t="shared" si="159"/>
        <v>Distrital</v>
      </c>
      <c r="BB266" s="79" t="s">
        <v>172</v>
      </c>
      <c r="BC266" s="79"/>
      <c r="BD266" s="79"/>
      <c r="BE266" s="79"/>
      <c r="BF266" s="79"/>
      <c r="BG266" s="79"/>
      <c r="BH266" s="80" t="str">
        <f t="shared" si="160"/>
        <v>Distrital</v>
      </c>
      <c r="BI266" s="79" t="s">
        <v>172</v>
      </c>
      <c r="BJ266" s="79"/>
      <c r="BK266" s="79"/>
      <c r="BL266" s="79"/>
      <c r="BM266" s="79"/>
      <c r="BN266" s="79"/>
      <c r="BO266" s="79"/>
      <c r="BP266" s="79"/>
      <c r="BQ266" s="79"/>
      <c r="BR266" s="79"/>
      <c r="BS266" s="80" t="s">
        <v>288</v>
      </c>
      <c r="BT266" s="80" t="s">
        <v>174</v>
      </c>
      <c r="BU266" s="80" t="s">
        <v>2041</v>
      </c>
      <c r="BV266" s="71"/>
      <c r="BW266" s="79" t="s">
        <v>152</v>
      </c>
      <c r="BX266" s="79" t="s">
        <v>179</v>
      </c>
      <c r="BY266" s="71"/>
      <c r="BZ266" s="79">
        <v>5</v>
      </c>
      <c r="CA266" s="79">
        <v>7</v>
      </c>
      <c r="CB266" s="79">
        <f t="shared" si="25"/>
        <v>12</v>
      </c>
      <c r="CC266" s="79" t="str">
        <f t="shared" si="139"/>
        <v>Ninguna</v>
      </c>
      <c r="CD266" s="79" t="s">
        <v>174</v>
      </c>
      <c r="CE266" s="79"/>
      <c r="CF266" s="79"/>
      <c r="CG266" s="83" t="s">
        <v>2042</v>
      </c>
      <c r="CH266" s="41"/>
      <c r="CI266" s="79" t="s">
        <v>153</v>
      </c>
      <c r="CJ266" s="71"/>
      <c r="CK266" s="79">
        <f t="shared" si="152"/>
        <v>0</v>
      </c>
      <c r="CL266" s="79"/>
      <c r="CM266" s="79"/>
      <c r="CN266" s="79"/>
      <c r="CO266" s="79"/>
      <c r="CP266" s="79"/>
      <c r="CQ266" s="79"/>
      <c r="CR266" s="83" t="s">
        <v>179</v>
      </c>
      <c r="CS266" s="83" t="s">
        <v>179</v>
      </c>
      <c r="CT266" s="83" t="s">
        <v>179</v>
      </c>
      <c r="CU266" s="83" t="s">
        <v>179</v>
      </c>
      <c r="CV266" s="83" t="s">
        <v>179</v>
      </c>
      <c r="CW266" s="83" t="s">
        <v>179</v>
      </c>
      <c r="CX266" s="79" t="s">
        <v>153</v>
      </c>
      <c r="CY266" s="79">
        <v>0</v>
      </c>
      <c r="CZ266" s="79">
        <v>0</v>
      </c>
      <c r="DA266" s="79">
        <v>0</v>
      </c>
      <c r="DB266" s="84" t="s">
        <v>316</v>
      </c>
      <c r="DC266" s="41"/>
      <c r="DD266" s="79" t="s">
        <v>153</v>
      </c>
      <c r="DE266" s="71"/>
      <c r="DF266" s="85" t="s">
        <v>2043</v>
      </c>
      <c r="DG266" s="79">
        <v>256</v>
      </c>
      <c r="DH266" s="86">
        <f t="shared" si="124"/>
        <v>45395</v>
      </c>
      <c r="DI266" s="79" t="s">
        <v>181</v>
      </c>
      <c r="DJ266" s="79" t="s">
        <v>182</v>
      </c>
      <c r="DK266" s="79"/>
      <c r="DL266" s="79">
        <v>0</v>
      </c>
      <c r="DM266" s="79">
        <v>0</v>
      </c>
      <c r="DN266" s="79" t="s">
        <v>182</v>
      </c>
      <c r="DO266" s="79"/>
      <c r="DP266" s="79"/>
      <c r="DQ266" s="79"/>
      <c r="DR266" s="75" t="str">
        <f t="shared" si="161"/>
        <v>No aplica</v>
      </c>
      <c r="DS266" s="79"/>
      <c r="DT266" s="79"/>
      <c r="DU266" s="75" t="str">
        <f t="shared" si="162"/>
        <v>No aplica</v>
      </c>
      <c r="DV266" s="79" t="s">
        <v>182</v>
      </c>
      <c r="DW266" s="79" t="s">
        <v>182</v>
      </c>
      <c r="DX266" s="79"/>
      <c r="DY266" s="79"/>
      <c r="DZ266" s="79"/>
      <c r="EA266" s="79"/>
      <c r="EB266" s="79" t="s">
        <v>182</v>
      </c>
      <c r="EC266" s="79" t="s">
        <v>2044</v>
      </c>
      <c r="ED266" s="79" t="s">
        <v>184</v>
      </c>
      <c r="EE266" s="79" t="s">
        <v>621</v>
      </c>
      <c r="EF266" s="41"/>
      <c r="EG266" s="79" t="s">
        <v>153</v>
      </c>
      <c r="EH266" s="71"/>
      <c r="EI266" s="80"/>
      <c r="EJ266" s="71"/>
      <c r="EK266" s="79"/>
      <c r="EL266" s="76" t="str">
        <f t="shared" si="163"/>
        <v>No requiere</v>
      </c>
      <c r="EM266" s="76" t="str">
        <f t="shared" si="164"/>
        <v>No requiere</v>
      </c>
      <c r="EN266" s="76" t="str">
        <f t="shared" si="140"/>
        <v>No requiere</v>
      </c>
      <c r="EO266" s="71"/>
      <c r="EP266" s="73" t="str">
        <f t="shared" si="165"/>
        <v>No requiere</v>
      </c>
      <c r="EQ266" s="77" t="str">
        <f t="shared" si="166"/>
        <v>No requiere</v>
      </c>
      <c r="ER266" s="71"/>
      <c r="ES266" s="79"/>
      <c r="ET266" s="73" t="str">
        <f t="shared" si="167"/>
        <v>No requiere</v>
      </c>
      <c r="EU266" s="73" t="str">
        <f t="shared" si="141"/>
        <v>No requiere</v>
      </c>
      <c r="EV266" s="73" t="str">
        <f t="shared" si="168"/>
        <v>No requiere</v>
      </c>
      <c r="EW266" s="73" t="str">
        <f t="shared" si="169"/>
        <v>No requiere</v>
      </c>
      <c r="EX266" s="78"/>
      <c r="EY266" s="78"/>
    </row>
    <row r="267" spans="1:155" ht="46.5" customHeight="1">
      <c r="A267" s="79">
        <v>263</v>
      </c>
      <c r="B267" s="80" t="s">
        <v>2045</v>
      </c>
      <c r="C267" s="81">
        <v>45392</v>
      </c>
      <c r="D267" s="82">
        <v>0.35416666666666669</v>
      </c>
      <c r="E267" s="79" t="s">
        <v>151</v>
      </c>
      <c r="F267" s="79" t="s">
        <v>153</v>
      </c>
      <c r="G267" s="79" t="s">
        <v>153</v>
      </c>
      <c r="H267" s="79" t="s">
        <v>153</v>
      </c>
      <c r="I267" s="79" t="s">
        <v>152</v>
      </c>
      <c r="J267" s="79" t="s">
        <v>154</v>
      </c>
      <c r="K267" s="79" t="s">
        <v>155</v>
      </c>
      <c r="L267" s="80" t="s">
        <v>2046</v>
      </c>
      <c r="M267" s="80" t="s">
        <v>303</v>
      </c>
      <c r="N267" s="79" t="s">
        <v>163</v>
      </c>
      <c r="O267" s="80" t="str">
        <f t="shared" si="157"/>
        <v>Maria Angélica Higuera</v>
      </c>
      <c r="P267" s="79" t="s">
        <v>328</v>
      </c>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t="s">
        <v>230</v>
      </c>
      <c r="AP267" s="79" t="s">
        <v>925</v>
      </c>
      <c r="AQ267" s="80" t="s">
        <v>1759</v>
      </c>
      <c r="AR267" s="83">
        <v>3228806919</v>
      </c>
      <c r="AS267" s="80" t="s">
        <v>1397</v>
      </c>
      <c r="AT267" s="80" t="str">
        <f t="shared" si="158"/>
        <v>Ciudad Bolívar</v>
      </c>
      <c r="AU267" s="79" t="s">
        <v>217</v>
      </c>
      <c r="AV267" s="79"/>
      <c r="AW267" s="79"/>
      <c r="AX267" s="79"/>
      <c r="AY267" s="79"/>
      <c r="AZ267" s="79"/>
      <c r="BA267" s="80" t="str">
        <f t="shared" si="159"/>
        <v>Suroriente</v>
      </c>
      <c r="BB267" s="79" t="s">
        <v>218</v>
      </c>
      <c r="BC267" s="79"/>
      <c r="BD267" s="79"/>
      <c r="BE267" s="79"/>
      <c r="BF267" s="79"/>
      <c r="BG267" s="79"/>
      <c r="BH267" s="80" t="str">
        <f t="shared" si="160"/>
        <v>Lucero, Arborizadora</v>
      </c>
      <c r="BI267" s="79" t="s">
        <v>221</v>
      </c>
      <c r="BJ267" s="79" t="s">
        <v>220</v>
      </c>
      <c r="BK267" s="79"/>
      <c r="BL267" s="79"/>
      <c r="BM267" s="79"/>
      <c r="BN267" s="79"/>
      <c r="BO267" s="79"/>
      <c r="BP267" s="79"/>
      <c r="BQ267" s="79"/>
      <c r="BR267" s="79"/>
      <c r="BS267" s="80" t="s">
        <v>2047</v>
      </c>
      <c r="BT267" s="80" t="s">
        <v>174</v>
      </c>
      <c r="BU267" s="80" t="s">
        <v>2048</v>
      </c>
      <c r="BV267" s="71"/>
      <c r="BW267" s="79" t="s">
        <v>153</v>
      </c>
      <c r="BX267" s="79" t="s">
        <v>607</v>
      </c>
      <c r="BY267" s="71"/>
      <c r="BZ267" s="79">
        <v>24</v>
      </c>
      <c r="CA267" s="79">
        <v>2</v>
      </c>
      <c r="CB267" s="79">
        <f t="shared" si="25"/>
        <v>26</v>
      </c>
      <c r="CC267" s="79" t="str">
        <f t="shared" si="139"/>
        <v>Ninguna</v>
      </c>
      <c r="CD267" s="79" t="s">
        <v>174</v>
      </c>
      <c r="CE267" s="79"/>
      <c r="CF267" s="79"/>
      <c r="CG267" s="83" t="s">
        <v>2049</v>
      </c>
      <c r="CH267" s="41"/>
      <c r="CI267" s="79" t="s">
        <v>153</v>
      </c>
      <c r="CJ267" s="71"/>
      <c r="CK267" s="79">
        <f t="shared" si="152"/>
        <v>1</v>
      </c>
      <c r="CL267" s="93" t="s">
        <v>389</v>
      </c>
      <c r="CM267" s="79"/>
      <c r="CN267" s="79"/>
      <c r="CO267" s="79"/>
      <c r="CP267" s="79"/>
      <c r="CQ267" s="79"/>
      <c r="CR267" s="83" t="s">
        <v>390</v>
      </c>
      <c r="CS267" s="83"/>
      <c r="CT267" s="83"/>
      <c r="CU267" s="83"/>
      <c r="CV267" s="83"/>
      <c r="CW267" s="83"/>
      <c r="CX267" s="79" t="s">
        <v>153</v>
      </c>
      <c r="CY267" s="79">
        <v>0</v>
      </c>
      <c r="CZ267" s="79">
        <v>1</v>
      </c>
      <c r="DA267" s="79">
        <v>0</v>
      </c>
      <c r="DB267" s="84" t="s">
        <v>316</v>
      </c>
      <c r="DC267" s="41"/>
      <c r="DD267" s="79" t="s">
        <v>153</v>
      </c>
      <c r="DE267" s="71"/>
      <c r="DF267" s="85" t="s">
        <v>2050</v>
      </c>
      <c r="DG267" s="79">
        <v>257</v>
      </c>
      <c r="DH267" s="86">
        <f t="shared" si="124"/>
        <v>45395</v>
      </c>
      <c r="DI267" s="79" t="s">
        <v>181</v>
      </c>
      <c r="DJ267" s="79" t="s">
        <v>182</v>
      </c>
      <c r="DK267" s="79" t="s">
        <v>153</v>
      </c>
      <c r="DL267" s="79">
        <v>0</v>
      </c>
      <c r="DM267" s="79">
        <v>0</v>
      </c>
      <c r="DN267" s="79" t="s">
        <v>182</v>
      </c>
      <c r="DO267" s="79"/>
      <c r="DP267" s="79" t="s">
        <v>182</v>
      </c>
      <c r="DQ267" s="79">
        <v>11</v>
      </c>
      <c r="DR267" s="75">
        <f t="shared" si="161"/>
        <v>1.5277777777777779</v>
      </c>
      <c r="DS267" s="79" t="s">
        <v>191</v>
      </c>
      <c r="DT267" s="79"/>
      <c r="DU267" s="75">
        <f t="shared" si="162"/>
        <v>0</v>
      </c>
      <c r="DV267" s="79" t="s">
        <v>182</v>
      </c>
      <c r="DW267" s="79" t="s">
        <v>182</v>
      </c>
      <c r="DX267" s="79" t="s">
        <v>179</v>
      </c>
      <c r="DY267" s="79" t="s">
        <v>179</v>
      </c>
      <c r="DZ267" s="79" t="s">
        <v>1545</v>
      </c>
      <c r="EA267" s="79" t="s">
        <v>179</v>
      </c>
      <c r="EB267" s="79" t="s">
        <v>182</v>
      </c>
      <c r="EC267" s="79" t="s">
        <v>2051</v>
      </c>
      <c r="ED267" s="79" t="s">
        <v>1743</v>
      </c>
      <c r="EE267" s="79" t="s">
        <v>621</v>
      </c>
      <c r="EF267" s="41"/>
      <c r="EG267" s="79" t="s">
        <v>153</v>
      </c>
      <c r="EH267" s="71"/>
      <c r="EI267" s="89" t="s">
        <v>2052</v>
      </c>
      <c r="EJ267" s="71"/>
      <c r="EK267" s="79" t="s">
        <v>409</v>
      </c>
      <c r="EL267" s="76" t="str">
        <f t="shared" si="163"/>
        <v>No aplica</v>
      </c>
      <c r="EM267" s="76" t="str">
        <f t="shared" si="164"/>
        <v>No aplica</v>
      </c>
      <c r="EN267" s="76" t="str">
        <f t="shared" si="140"/>
        <v>No</v>
      </c>
      <c r="EO267" s="71"/>
      <c r="EP267" s="73" t="str">
        <f t="shared" si="165"/>
        <v>No aplica</v>
      </c>
      <c r="EQ267" s="77">
        <f t="shared" si="166"/>
        <v>0</v>
      </c>
      <c r="ER267" s="71"/>
      <c r="ES267" s="79" t="s">
        <v>409</v>
      </c>
      <c r="ET267" s="73">
        <f t="shared" si="167"/>
        <v>0.83333333333333337</v>
      </c>
      <c r="EU267" s="73">
        <f t="shared" si="141"/>
        <v>0</v>
      </c>
      <c r="EV267" s="73">
        <f t="shared" si="168"/>
        <v>0</v>
      </c>
      <c r="EW267" s="73" t="str">
        <f t="shared" si="169"/>
        <v>No aplica</v>
      </c>
      <c r="EX267" s="78"/>
      <c r="EY267" s="78"/>
    </row>
    <row r="268" spans="1:155" ht="46.5" customHeight="1">
      <c r="A268" s="79">
        <v>264</v>
      </c>
      <c r="B268" s="80" t="s">
        <v>993</v>
      </c>
      <c r="C268" s="81">
        <v>45392</v>
      </c>
      <c r="D268" s="82">
        <v>0.41666666666666669</v>
      </c>
      <c r="E268" s="79" t="s">
        <v>200</v>
      </c>
      <c r="F268" s="79" t="s">
        <v>153</v>
      </c>
      <c r="G268" s="79" t="s">
        <v>152</v>
      </c>
      <c r="H268" s="79" t="s">
        <v>152</v>
      </c>
      <c r="I268" s="79" t="s">
        <v>152</v>
      </c>
      <c r="J268" s="79" t="s">
        <v>504</v>
      </c>
      <c r="K268" s="79" t="s">
        <v>155</v>
      </c>
      <c r="L268" s="80" t="s">
        <v>2053</v>
      </c>
      <c r="M268" s="80" t="s">
        <v>157</v>
      </c>
      <c r="N268" s="79" t="s">
        <v>818</v>
      </c>
      <c r="O268" s="80" t="str">
        <f t="shared" si="157"/>
        <v/>
      </c>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t="s">
        <v>169</v>
      </c>
      <c r="AP268" s="79" t="s">
        <v>507</v>
      </c>
      <c r="AQ268" s="80" t="s">
        <v>995</v>
      </c>
      <c r="AR268" s="83">
        <v>3002578468</v>
      </c>
      <c r="AS268" s="80" t="s">
        <v>1989</v>
      </c>
      <c r="AT268" s="80" t="str">
        <f t="shared" si="158"/>
        <v>Antonio Nariño</v>
      </c>
      <c r="AU268" s="79" t="s">
        <v>634</v>
      </c>
      <c r="AV268" s="79"/>
      <c r="AW268" s="79"/>
      <c r="AX268" s="79"/>
      <c r="AY268" s="79"/>
      <c r="AZ268" s="79"/>
      <c r="BA268" s="80" t="str">
        <f t="shared" si="159"/>
        <v>Centro Ampliado</v>
      </c>
      <c r="BB268" s="79" t="s">
        <v>636</v>
      </c>
      <c r="BC268" s="79"/>
      <c r="BD268" s="79"/>
      <c r="BE268" s="79"/>
      <c r="BF268" s="79"/>
      <c r="BG268" s="79"/>
      <c r="BH268" s="80" t="str">
        <f t="shared" si="160"/>
        <v>Restrepo</v>
      </c>
      <c r="BI268" s="79" t="s">
        <v>637</v>
      </c>
      <c r="BJ268" s="79"/>
      <c r="BK268" s="79"/>
      <c r="BL268" s="79"/>
      <c r="BM268" s="79"/>
      <c r="BN268" s="79"/>
      <c r="BO268" s="79"/>
      <c r="BP268" s="79"/>
      <c r="BQ268" s="79"/>
      <c r="BR268" s="79"/>
      <c r="BS268" s="80" t="s">
        <v>634</v>
      </c>
      <c r="BT268" s="80" t="s">
        <v>174</v>
      </c>
      <c r="BU268" s="80" t="s">
        <v>2054</v>
      </c>
      <c r="BV268" s="71"/>
      <c r="BW268" s="79" t="s">
        <v>152</v>
      </c>
      <c r="BX268" s="79" t="s">
        <v>179</v>
      </c>
      <c r="BY268" s="71"/>
      <c r="BZ268" s="79">
        <v>21</v>
      </c>
      <c r="CA268" s="79">
        <v>1</v>
      </c>
      <c r="CB268" s="79">
        <f t="shared" si="25"/>
        <v>22</v>
      </c>
      <c r="CC268" s="79" t="str">
        <f t="shared" si="139"/>
        <v>Accesibilidad Universal, Horarios Acordes, Contenidos adaptados</v>
      </c>
      <c r="CD268" s="79" t="s">
        <v>397</v>
      </c>
      <c r="CE268" s="79" t="s">
        <v>351</v>
      </c>
      <c r="CF268" s="79" t="s">
        <v>350</v>
      </c>
      <c r="CG268" s="83" t="s">
        <v>2055</v>
      </c>
      <c r="CH268" s="41"/>
      <c r="CI268" s="79" t="s">
        <v>153</v>
      </c>
      <c r="CJ268" s="71"/>
      <c r="CK268" s="79">
        <f t="shared" si="152"/>
        <v>0</v>
      </c>
      <c r="CL268" s="79"/>
      <c r="CM268" s="79"/>
      <c r="CN268" s="79"/>
      <c r="CO268" s="79"/>
      <c r="CP268" s="79"/>
      <c r="CQ268" s="79"/>
      <c r="CR268" s="83" t="s">
        <v>179</v>
      </c>
      <c r="CS268" s="83" t="s">
        <v>179</v>
      </c>
      <c r="CT268" s="83" t="s">
        <v>179</v>
      </c>
      <c r="CU268" s="83" t="s">
        <v>179</v>
      </c>
      <c r="CV268" s="83" t="s">
        <v>179</v>
      </c>
      <c r="CW268" s="83" t="s">
        <v>179</v>
      </c>
      <c r="CX268" s="79" t="s">
        <v>153</v>
      </c>
      <c r="CY268" s="79">
        <f>SUM(COUNTIF(CR268:CW268,"Realizado y Devuelto a la Ciudadanía"),COUNTIF(CR268:CW268,"Realizado y Trasladado por competencia"), COUNTIF(CR268:CW268,"Realizado y Gestionado"))</f>
        <v>0</v>
      </c>
      <c r="CZ268" s="79">
        <v>0</v>
      </c>
      <c r="DA268" s="79">
        <f>COUNTIF(CR268:CW268,"Realizado y Devuelto a la Ciudadanía")</f>
        <v>0</v>
      </c>
      <c r="DB268" s="84" t="str">
        <f>IFERROR(CY268/CK268,"")</f>
        <v/>
      </c>
      <c r="DC268" s="41"/>
      <c r="DD268" s="79" t="s">
        <v>153</v>
      </c>
      <c r="DE268" s="71"/>
      <c r="DF268" s="85" t="s">
        <v>2021</v>
      </c>
      <c r="DG268" s="79">
        <v>258</v>
      </c>
      <c r="DH268" s="86">
        <f t="shared" si="124"/>
        <v>45395</v>
      </c>
      <c r="DI268" s="79" t="s">
        <v>181</v>
      </c>
      <c r="DJ268" s="79" t="s">
        <v>182</v>
      </c>
      <c r="DK268" s="79"/>
      <c r="DL268" s="79">
        <v>0</v>
      </c>
      <c r="DM268" s="79">
        <v>0</v>
      </c>
      <c r="DN268" s="79" t="s">
        <v>182</v>
      </c>
      <c r="DO268" s="79"/>
      <c r="DP268" s="79"/>
      <c r="DQ268" s="79"/>
      <c r="DR268" s="75" t="str">
        <f t="shared" si="161"/>
        <v>No aplica</v>
      </c>
      <c r="DS268" s="79"/>
      <c r="DT268" s="79"/>
      <c r="DU268" s="75" t="str">
        <f t="shared" si="162"/>
        <v>No aplica</v>
      </c>
      <c r="DV268" s="79" t="s">
        <v>182</v>
      </c>
      <c r="DW268" s="79" t="s">
        <v>182</v>
      </c>
      <c r="DX268" s="79"/>
      <c r="DY268" s="79"/>
      <c r="DZ268" s="79"/>
      <c r="EA268" s="79"/>
      <c r="EB268" s="79" t="s">
        <v>182</v>
      </c>
      <c r="EC268" s="79" t="s">
        <v>2056</v>
      </c>
      <c r="ED268" s="79" t="s">
        <v>184</v>
      </c>
      <c r="EE268" s="79" t="s">
        <v>621</v>
      </c>
      <c r="EF268" s="41"/>
      <c r="EG268" s="79" t="s">
        <v>153</v>
      </c>
      <c r="EH268" s="71"/>
      <c r="EI268" s="80"/>
      <c r="EJ268" s="71"/>
      <c r="EK268" s="79" t="s">
        <v>179</v>
      </c>
      <c r="EL268" s="76" t="str">
        <f t="shared" si="163"/>
        <v>No requiere</v>
      </c>
      <c r="EM268" s="76" t="str">
        <f t="shared" si="164"/>
        <v>No requiere</v>
      </c>
      <c r="EN268" s="76" t="str">
        <f t="shared" si="140"/>
        <v>No requiere</v>
      </c>
      <c r="EO268" s="71"/>
      <c r="EP268" s="73" t="str">
        <f t="shared" si="165"/>
        <v>No requiere</v>
      </c>
      <c r="EQ268" s="77" t="str">
        <f t="shared" si="166"/>
        <v>No requiere</v>
      </c>
      <c r="ER268" s="71"/>
      <c r="ES268" s="79" t="s">
        <v>179</v>
      </c>
      <c r="ET268" s="73" t="str">
        <f t="shared" si="167"/>
        <v>No requiere</v>
      </c>
      <c r="EU268" s="73" t="str">
        <f t="shared" si="141"/>
        <v>No requiere</v>
      </c>
      <c r="EV268" s="73" t="str">
        <f t="shared" si="168"/>
        <v>No requiere</v>
      </c>
      <c r="EW268" s="73" t="str">
        <f t="shared" si="169"/>
        <v>No requiere</v>
      </c>
      <c r="EX268" s="78"/>
      <c r="EY268" s="78"/>
    </row>
    <row r="269" spans="1:155" ht="46.5" customHeight="1">
      <c r="A269" s="79">
        <v>265</v>
      </c>
      <c r="B269" s="80" t="s">
        <v>907</v>
      </c>
      <c r="C269" s="81">
        <v>45392</v>
      </c>
      <c r="D269" s="82">
        <v>0.58333333333333337</v>
      </c>
      <c r="E269" s="79" t="s">
        <v>200</v>
      </c>
      <c r="F269" s="79" t="s">
        <v>153</v>
      </c>
      <c r="G269" s="79" t="s">
        <v>152</v>
      </c>
      <c r="H269" s="79" t="s">
        <v>152</v>
      </c>
      <c r="I269" s="79" t="s">
        <v>152</v>
      </c>
      <c r="J269" s="79" t="s">
        <v>504</v>
      </c>
      <c r="K269" s="79" t="s">
        <v>155</v>
      </c>
      <c r="L269" s="80" t="s">
        <v>2057</v>
      </c>
      <c r="M269" s="80" t="s">
        <v>157</v>
      </c>
      <c r="N269" s="79" t="s">
        <v>720</v>
      </c>
      <c r="O269" s="80" t="str">
        <f t="shared" si="157"/>
        <v/>
      </c>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t="s">
        <v>169</v>
      </c>
      <c r="AP269" s="79" t="s">
        <v>507</v>
      </c>
      <c r="AQ269" s="80" t="s">
        <v>2058</v>
      </c>
      <c r="AR269" s="83">
        <v>3112444732</v>
      </c>
      <c r="AS269" s="80" t="s">
        <v>1683</v>
      </c>
      <c r="AT269" s="80" t="str">
        <f t="shared" si="158"/>
        <v>Rafael Uribe Uribe</v>
      </c>
      <c r="AU269" s="79" t="s">
        <v>635</v>
      </c>
      <c r="AV269" s="79"/>
      <c r="AW269" s="79"/>
      <c r="AX269" s="79"/>
      <c r="AY269" s="79"/>
      <c r="AZ269" s="79"/>
      <c r="BA269" s="80" t="str">
        <f t="shared" si="159"/>
        <v>Suroriente</v>
      </c>
      <c r="BB269" s="79" t="s">
        <v>218</v>
      </c>
      <c r="BC269" s="79"/>
      <c r="BD269" s="79"/>
      <c r="BE269" s="79"/>
      <c r="BF269" s="79"/>
      <c r="BG269" s="79"/>
      <c r="BH269" s="80" t="str">
        <f t="shared" si="160"/>
        <v>Restrepo, Rafael Uribe, San Cristobal</v>
      </c>
      <c r="BI269" s="79" t="s">
        <v>637</v>
      </c>
      <c r="BJ269" s="79" t="s">
        <v>723</v>
      </c>
      <c r="BK269" s="79" t="s">
        <v>571</v>
      </c>
      <c r="BL269" s="79"/>
      <c r="BM269" s="79"/>
      <c r="BN269" s="79"/>
      <c r="BO269" s="79"/>
      <c r="BP269" s="79"/>
      <c r="BQ269" s="79"/>
      <c r="BR269" s="79"/>
      <c r="BS269" s="80" t="s">
        <v>2059</v>
      </c>
      <c r="BT269" s="80" t="s">
        <v>174</v>
      </c>
      <c r="BU269" s="80" t="s">
        <v>2060</v>
      </c>
      <c r="BV269" s="71"/>
      <c r="BW269" s="79" t="s">
        <v>152</v>
      </c>
      <c r="BX269" s="79" t="s">
        <v>179</v>
      </c>
      <c r="BY269" s="71"/>
      <c r="BZ269" s="79">
        <v>8</v>
      </c>
      <c r="CA269" s="79">
        <v>1</v>
      </c>
      <c r="CB269" s="79">
        <f t="shared" si="25"/>
        <v>9</v>
      </c>
      <c r="CC269" s="79" t="str">
        <f t="shared" si="139"/>
        <v>Ninguna</v>
      </c>
      <c r="CD269" s="79" t="s">
        <v>174</v>
      </c>
      <c r="CE269" s="79"/>
      <c r="CF269" s="79"/>
      <c r="CG269" s="83" t="s">
        <v>2061</v>
      </c>
      <c r="CH269" s="41"/>
      <c r="CI269" s="79" t="s">
        <v>153</v>
      </c>
      <c r="CJ269" s="71"/>
      <c r="CK269" s="79">
        <f t="shared" si="152"/>
        <v>0</v>
      </c>
      <c r="CL269" s="79"/>
      <c r="CM269" s="79"/>
      <c r="CN269" s="79"/>
      <c r="CO269" s="79"/>
      <c r="CP269" s="79"/>
      <c r="CQ269" s="79"/>
      <c r="CR269" s="83" t="s">
        <v>179</v>
      </c>
      <c r="CS269" s="83" t="s">
        <v>179</v>
      </c>
      <c r="CT269" s="83" t="s">
        <v>179</v>
      </c>
      <c r="CU269" s="83" t="s">
        <v>179</v>
      </c>
      <c r="CV269" s="83" t="s">
        <v>179</v>
      </c>
      <c r="CW269" s="83" t="s">
        <v>179</v>
      </c>
      <c r="CX269" s="79" t="s">
        <v>153</v>
      </c>
      <c r="CY269" s="79">
        <v>0</v>
      </c>
      <c r="CZ269" s="79">
        <v>0</v>
      </c>
      <c r="DA269" s="79">
        <v>0</v>
      </c>
      <c r="DB269" s="84"/>
      <c r="DC269" s="41"/>
      <c r="DD269" s="79" t="s">
        <v>153</v>
      </c>
      <c r="DE269" s="71"/>
      <c r="DF269" s="85" t="s">
        <v>2062</v>
      </c>
      <c r="DG269" s="79">
        <v>259</v>
      </c>
      <c r="DH269" s="86">
        <f t="shared" si="124"/>
        <v>45395</v>
      </c>
      <c r="DI269" s="79" t="s">
        <v>181</v>
      </c>
      <c r="DJ269" s="79" t="s">
        <v>182</v>
      </c>
      <c r="DK269" s="79"/>
      <c r="DL269" s="79"/>
      <c r="DM269" s="79"/>
      <c r="DN269" s="79" t="s">
        <v>182</v>
      </c>
      <c r="DO269" s="79"/>
      <c r="DP269" s="79"/>
      <c r="DQ269" s="79"/>
      <c r="DR269" s="75" t="str">
        <f t="shared" si="161"/>
        <v>No aplica</v>
      </c>
      <c r="DS269" s="79"/>
      <c r="DT269" s="79"/>
      <c r="DU269" s="75" t="str">
        <f t="shared" si="162"/>
        <v>No aplica</v>
      </c>
      <c r="DV269" s="79" t="s">
        <v>182</v>
      </c>
      <c r="DW269" s="79" t="s">
        <v>182</v>
      </c>
      <c r="DX269" s="79"/>
      <c r="DY269" s="79"/>
      <c r="DZ269" s="79"/>
      <c r="EA269" s="79"/>
      <c r="EB269" s="79"/>
      <c r="EC269" s="79"/>
      <c r="ED269" s="79" t="s">
        <v>184</v>
      </c>
      <c r="EE269" s="79" t="s">
        <v>621</v>
      </c>
      <c r="EF269" s="41"/>
      <c r="EG269" s="79" t="s">
        <v>153</v>
      </c>
      <c r="EH269" s="71"/>
      <c r="EI269" s="80"/>
      <c r="EJ269" s="71"/>
      <c r="EK269" s="79"/>
      <c r="EL269" s="76" t="str">
        <f t="shared" si="163"/>
        <v>No requiere</v>
      </c>
      <c r="EM269" s="76" t="str">
        <f t="shared" si="164"/>
        <v>No requiere</v>
      </c>
      <c r="EN269" s="76" t="str">
        <f t="shared" si="140"/>
        <v>No requiere</v>
      </c>
      <c r="EO269" s="71"/>
      <c r="EP269" s="73" t="str">
        <f t="shared" si="165"/>
        <v>No requiere</v>
      </c>
      <c r="EQ269" s="77" t="str">
        <f t="shared" si="166"/>
        <v>No requiere</v>
      </c>
      <c r="ER269" s="71"/>
      <c r="ES269" s="79"/>
      <c r="ET269" s="73" t="str">
        <f t="shared" si="167"/>
        <v>No requiere</v>
      </c>
      <c r="EU269" s="73" t="str">
        <f t="shared" si="141"/>
        <v>No requiere</v>
      </c>
      <c r="EV269" s="73" t="str">
        <f t="shared" si="168"/>
        <v>No requiere</v>
      </c>
      <c r="EW269" s="73" t="str">
        <f t="shared" si="169"/>
        <v>No requiere</v>
      </c>
      <c r="EX269" s="78"/>
      <c r="EY269" s="78"/>
    </row>
    <row r="270" spans="1:155" ht="46.5" customHeight="1">
      <c r="A270" s="79">
        <v>266</v>
      </c>
      <c r="B270" s="80" t="s">
        <v>2063</v>
      </c>
      <c r="C270" s="81">
        <v>45392</v>
      </c>
      <c r="D270" s="82">
        <v>0.625</v>
      </c>
      <c r="E270" s="79" t="s">
        <v>151</v>
      </c>
      <c r="F270" s="79" t="s">
        <v>153</v>
      </c>
      <c r="G270" s="79" t="s">
        <v>152</v>
      </c>
      <c r="H270" s="79" t="s">
        <v>152</v>
      </c>
      <c r="I270" s="79" t="s">
        <v>152</v>
      </c>
      <c r="J270" s="79" t="s">
        <v>154</v>
      </c>
      <c r="K270" s="79" t="s">
        <v>155</v>
      </c>
      <c r="L270" s="80" t="s">
        <v>2064</v>
      </c>
      <c r="M270" s="80" t="s">
        <v>229</v>
      </c>
      <c r="N270" s="79" t="s">
        <v>373</v>
      </c>
      <c r="O270" s="80" t="str">
        <f t="shared" si="157"/>
        <v/>
      </c>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t="s">
        <v>230</v>
      </c>
      <c r="AP270" s="79" t="s">
        <v>2065</v>
      </c>
      <c r="AQ270" s="80" t="s">
        <v>2066</v>
      </c>
      <c r="AR270" s="83" t="s">
        <v>1989</v>
      </c>
      <c r="AS270" s="80" t="s">
        <v>1988</v>
      </c>
      <c r="AT270" s="80" t="str">
        <f t="shared" si="158"/>
        <v>Suba</v>
      </c>
      <c r="AU270" s="79" t="s">
        <v>602</v>
      </c>
      <c r="AV270" s="79"/>
      <c r="AW270" s="79"/>
      <c r="AX270" s="79"/>
      <c r="AY270" s="79"/>
      <c r="AZ270" s="79"/>
      <c r="BA270" s="80" t="str">
        <f t="shared" si="159"/>
        <v>Noroccidente</v>
      </c>
      <c r="BB270" s="79" t="s">
        <v>603</v>
      </c>
      <c r="BC270" s="79"/>
      <c r="BD270" s="79"/>
      <c r="BE270" s="79"/>
      <c r="BF270" s="79"/>
      <c r="BG270" s="79"/>
      <c r="BH270" s="80" t="str">
        <f t="shared" si="160"/>
        <v>Suba</v>
      </c>
      <c r="BI270" s="79" t="s">
        <v>602</v>
      </c>
      <c r="BJ270" s="79"/>
      <c r="BK270" s="79"/>
      <c r="BL270" s="79"/>
      <c r="BM270" s="79"/>
      <c r="BN270" s="79"/>
      <c r="BO270" s="79"/>
      <c r="BP270" s="79"/>
      <c r="BQ270" s="79"/>
      <c r="BR270" s="79"/>
      <c r="BS270" s="80" t="s">
        <v>602</v>
      </c>
      <c r="BT270" s="80" t="s">
        <v>174</v>
      </c>
      <c r="BU270" s="80" t="s">
        <v>2067</v>
      </c>
      <c r="BV270" s="71"/>
      <c r="BW270" s="79" t="s">
        <v>153</v>
      </c>
      <c r="BX270" s="79" t="s">
        <v>176</v>
      </c>
      <c r="BY270" s="71"/>
      <c r="BZ270" s="79">
        <v>14</v>
      </c>
      <c r="CA270" s="79">
        <v>1</v>
      </c>
      <c r="CB270" s="79">
        <f t="shared" si="25"/>
        <v>15</v>
      </c>
      <c r="CC270" s="79" t="str">
        <f t="shared" si="139"/>
        <v>Ninguna</v>
      </c>
      <c r="CD270" s="79" t="s">
        <v>174</v>
      </c>
      <c r="CE270" s="79"/>
      <c r="CF270" s="79"/>
      <c r="CG270" s="83" t="s">
        <v>2068</v>
      </c>
      <c r="CH270" s="41"/>
      <c r="CI270" s="79" t="s">
        <v>153</v>
      </c>
      <c r="CJ270" s="71"/>
      <c r="CK270" s="79">
        <f t="shared" si="152"/>
        <v>0</v>
      </c>
      <c r="CL270" s="79"/>
      <c r="CM270" s="79"/>
      <c r="CN270" s="79"/>
      <c r="CO270" s="79"/>
      <c r="CP270" s="79"/>
      <c r="CQ270" s="79"/>
      <c r="CR270" s="83" t="s">
        <v>179</v>
      </c>
      <c r="CS270" s="83" t="s">
        <v>179</v>
      </c>
      <c r="CT270" s="83" t="s">
        <v>179</v>
      </c>
      <c r="CU270" s="83" t="s">
        <v>179</v>
      </c>
      <c r="CV270" s="83" t="s">
        <v>179</v>
      </c>
      <c r="CW270" s="83" t="s">
        <v>179</v>
      </c>
      <c r="CX270" s="79" t="s">
        <v>153</v>
      </c>
      <c r="CY270" s="79">
        <v>0</v>
      </c>
      <c r="CZ270" s="79">
        <v>0</v>
      </c>
      <c r="DA270" s="79">
        <v>0</v>
      </c>
      <c r="DB270" s="84" t="s">
        <v>316</v>
      </c>
      <c r="DC270" s="41"/>
      <c r="DD270" s="79" t="s">
        <v>153</v>
      </c>
      <c r="DE270" s="71"/>
      <c r="DF270" s="85" t="s">
        <v>2069</v>
      </c>
      <c r="DG270" s="79">
        <v>260</v>
      </c>
      <c r="DH270" s="86">
        <f t="shared" si="124"/>
        <v>45395</v>
      </c>
      <c r="DI270" s="79" t="s">
        <v>181</v>
      </c>
      <c r="DJ270" s="79" t="s">
        <v>182</v>
      </c>
      <c r="DK270" s="79"/>
      <c r="DL270" s="79">
        <v>0</v>
      </c>
      <c r="DM270" s="79">
        <v>0</v>
      </c>
      <c r="DN270" s="79" t="s">
        <v>182</v>
      </c>
      <c r="DO270" s="79"/>
      <c r="DP270" s="79"/>
      <c r="DQ270" s="79"/>
      <c r="DR270" s="75" t="str">
        <f t="shared" si="161"/>
        <v>No aplica</v>
      </c>
      <c r="DS270" s="79"/>
      <c r="DT270" s="79"/>
      <c r="DU270" s="75" t="str">
        <f t="shared" si="162"/>
        <v>No aplica</v>
      </c>
      <c r="DV270" s="79" t="s">
        <v>182</v>
      </c>
      <c r="DW270" s="79" t="s">
        <v>191</v>
      </c>
      <c r="DX270" s="79"/>
      <c r="DY270" s="79"/>
      <c r="DZ270" s="79"/>
      <c r="EA270" s="79"/>
      <c r="EB270" s="79" t="s">
        <v>182</v>
      </c>
      <c r="EC270" s="79" t="s">
        <v>769</v>
      </c>
      <c r="ED270" s="79" t="s">
        <v>184</v>
      </c>
      <c r="EE270" s="79" t="s">
        <v>621</v>
      </c>
      <c r="EF270" s="41"/>
      <c r="EG270" s="79" t="s">
        <v>153</v>
      </c>
      <c r="EH270" s="71"/>
      <c r="EI270" s="80"/>
      <c r="EJ270" s="71"/>
      <c r="EK270" s="79"/>
      <c r="EL270" s="76" t="str">
        <f t="shared" si="163"/>
        <v>No requiere</v>
      </c>
      <c r="EM270" s="76" t="str">
        <f t="shared" si="164"/>
        <v>No requiere</v>
      </c>
      <c r="EN270" s="76" t="str">
        <f t="shared" si="140"/>
        <v>No requiere</v>
      </c>
      <c r="EO270" s="71"/>
      <c r="EP270" s="73" t="str">
        <f t="shared" si="165"/>
        <v>No requiere</v>
      </c>
      <c r="EQ270" s="77" t="str">
        <f t="shared" si="166"/>
        <v>No requiere</v>
      </c>
      <c r="ER270" s="71"/>
      <c r="ES270" s="79"/>
      <c r="ET270" s="73" t="str">
        <f t="shared" si="167"/>
        <v>No requiere</v>
      </c>
      <c r="EU270" s="73" t="str">
        <f t="shared" si="141"/>
        <v>No requiere</v>
      </c>
      <c r="EV270" s="73" t="str">
        <f t="shared" si="168"/>
        <v>No requiere</v>
      </c>
      <c r="EW270" s="73" t="str">
        <f t="shared" si="169"/>
        <v>No requiere</v>
      </c>
      <c r="EX270" s="78"/>
      <c r="EY270" s="78"/>
    </row>
    <row r="271" spans="1:155" ht="46.5" customHeight="1">
      <c r="A271" s="79">
        <v>267</v>
      </c>
      <c r="B271" s="80" t="s">
        <v>1052</v>
      </c>
      <c r="C271" s="81">
        <v>45393</v>
      </c>
      <c r="D271" s="82">
        <v>0.35416666666666669</v>
      </c>
      <c r="E271" s="79" t="s">
        <v>200</v>
      </c>
      <c r="F271" s="79" t="s">
        <v>153</v>
      </c>
      <c r="G271" s="79" t="s">
        <v>152</v>
      </c>
      <c r="H271" s="79" t="s">
        <v>152</v>
      </c>
      <c r="I271" s="79" t="s">
        <v>152</v>
      </c>
      <c r="J271" s="79" t="s">
        <v>504</v>
      </c>
      <c r="K271" s="79" t="s">
        <v>155</v>
      </c>
      <c r="L271" s="80" t="s">
        <v>2070</v>
      </c>
      <c r="M271" s="80" t="s">
        <v>157</v>
      </c>
      <c r="N271" s="79" t="s">
        <v>675</v>
      </c>
      <c r="O271" s="80" t="str">
        <f t="shared" si="157"/>
        <v/>
      </c>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t="s">
        <v>169</v>
      </c>
      <c r="AP271" s="79" t="s">
        <v>507</v>
      </c>
      <c r="AQ271" s="80" t="s">
        <v>2071</v>
      </c>
      <c r="AR271" s="83">
        <v>3132133446</v>
      </c>
      <c r="AS271" s="80" t="s">
        <v>1056</v>
      </c>
      <c r="AT271" s="80" t="str">
        <f t="shared" si="158"/>
        <v>Bosa</v>
      </c>
      <c r="AU271" s="79" t="s">
        <v>730</v>
      </c>
      <c r="AV271" s="79"/>
      <c r="AW271" s="79"/>
      <c r="AX271" s="79"/>
      <c r="AY271" s="79"/>
      <c r="AZ271" s="79"/>
      <c r="BA271" s="80" t="str">
        <f t="shared" si="159"/>
        <v>Suroccidente</v>
      </c>
      <c r="BB271" s="79" t="s">
        <v>732</v>
      </c>
      <c r="BC271" s="79"/>
      <c r="BD271" s="79"/>
      <c r="BE271" s="79"/>
      <c r="BF271" s="79"/>
      <c r="BG271" s="79"/>
      <c r="BH271" s="80" t="str">
        <f t="shared" si="160"/>
        <v>Bosa, Edén, Porvenir</v>
      </c>
      <c r="BI271" s="79" t="s">
        <v>730</v>
      </c>
      <c r="BJ271" s="79" t="s">
        <v>1057</v>
      </c>
      <c r="BK271" s="79" t="s">
        <v>1058</v>
      </c>
      <c r="BL271" s="79"/>
      <c r="BM271" s="79"/>
      <c r="BN271" s="79"/>
      <c r="BO271" s="79"/>
      <c r="BP271" s="79"/>
      <c r="BQ271" s="79"/>
      <c r="BR271" s="79"/>
      <c r="BS271" s="80" t="s">
        <v>2072</v>
      </c>
      <c r="BT271" s="80" t="s">
        <v>174</v>
      </c>
      <c r="BU271" s="80" t="s">
        <v>2073</v>
      </c>
      <c r="BV271" s="71"/>
      <c r="BW271" s="79" t="s">
        <v>152</v>
      </c>
      <c r="BX271" s="79" t="s">
        <v>179</v>
      </c>
      <c r="BY271" s="71"/>
      <c r="BZ271" s="79">
        <v>16</v>
      </c>
      <c r="CA271" s="79">
        <v>1</v>
      </c>
      <c r="CB271" s="79">
        <f t="shared" si="25"/>
        <v>17</v>
      </c>
      <c r="CC271" s="79" t="str">
        <f t="shared" si="139"/>
        <v>Ninguna</v>
      </c>
      <c r="CD271" s="79" t="s">
        <v>174</v>
      </c>
      <c r="CE271" s="79"/>
      <c r="CF271" s="79"/>
      <c r="CG271" s="83" t="s">
        <v>2074</v>
      </c>
      <c r="CH271" s="41"/>
      <c r="CI271" s="79" t="s">
        <v>153</v>
      </c>
      <c r="CJ271" s="71"/>
      <c r="CK271" s="79">
        <f t="shared" si="152"/>
        <v>0</v>
      </c>
      <c r="CL271" s="79"/>
      <c r="CM271" s="79"/>
      <c r="CN271" s="79"/>
      <c r="CO271" s="79"/>
      <c r="CP271" s="79"/>
      <c r="CQ271" s="79"/>
      <c r="CR271" s="83" t="s">
        <v>179</v>
      </c>
      <c r="CS271" s="83" t="s">
        <v>179</v>
      </c>
      <c r="CT271" s="83" t="s">
        <v>179</v>
      </c>
      <c r="CU271" s="83" t="s">
        <v>179</v>
      </c>
      <c r="CV271" s="83" t="s">
        <v>179</v>
      </c>
      <c r="CW271" s="83" t="s">
        <v>179</v>
      </c>
      <c r="CX271" s="79" t="s">
        <v>153</v>
      </c>
      <c r="CY271" s="79">
        <f t="shared" ref="CY271:CY274" si="174">SUM(COUNTIF(CR271:CW271,"Realizado y Devuelto a la Ciudadanía"),COUNTIF(CR271:CW271,"Realizado y Trasladado por competencia"), COUNTIF(CR271:CW271,"Realizado y Gestionado"))</f>
        <v>0</v>
      </c>
      <c r="CZ271" s="79">
        <v>0</v>
      </c>
      <c r="DA271" s="79">
        <f t="shared" ref="DA271:DA274" si="175">COUNTIF(CR271:CW271,"Realizado y Devuelto a la Ciudadanía")</f>
        <v>0</v>
      </c>
      <c r="DB271" s="84" t="str">
        <f>IFERROR(CY271/CK271,"")</f>
        <v/>
      </c>
      <c r="DC271" s="41"/>
      <c r="DD271" s="79" t="s">
        <v>153</v>
      </c>
      <c r="DE271" s="71"/>
      <c r="DF271" s="85" t="s">
        <v>2075</v>
      </c>
      <c r="DG271" s="79">
        <v>261</v>
      </c>
      <c r="DH271" s="86">
        <f t="shared" si="124"/>
        <v>45396</v>
      </c>
      <c r="DI271" s="79" t="s">
        <v>181</v>
      </c>
      <c r="DJ271" s="79" t="s">
        <v>182</v>
      </c>
      <c r="DK271" s="79"/>
      <c r="DL271" s="79"/>
      <c r="DM271" s="79"/>
      <c r="DN271" s="79" t="s">
        <v>182</v>
      </c>
      <c r="DO271" s="79"/>
      <c r="DP271" s="79"/>
      <c r="DQ271" s="79"/>
      <c r="DR271" s="75" t="str">
        <f t="shared" si="161"/>
        <v>No aplica</v>
      </c>
      <c r="DS271" s="79"/>
      <c r="DT271" s="79"/>
      <c r="DU271" s="75" t="str">
        <f t="shared" si="162"/>
        <v>No aplica</v>
      </c>
      <c r="DV271" s="79" t="s">
        <v>182</v>
      </c>
      <c r="DW271" s="79" t="s">
        <v>182</v>
      </c>
      <c r="DX271" s="79"/>
      <c r="DY271" s="79"/>
      <c r="DZ271" s="79"/>
      <c r="EA271" s="79"/>
      <c r="EB271" s="79"/>
      <c r="EC271" s="79"/>
      <c r="ED271" s="79" t="s">
        <v>184</v>
      </c>
      <c r="EE271" s="79" t="s">
        <v>621</v>
      </c>
      <c r="EF271" s="41"/>
      <c r="EG271" s="79" t="s">
        <v>153</v>
      </c>
      <c r="EH271" s="71"/>
      <c r="EI271" s="80"/>
      <c r="EJ271" s="71"/>
      <c r="EK271" s="79" t="s">
        <v>179</v>
      </c>
      <c r="EL271" s="76" t="str">
        <f t="shared" si="163"/>
        <v>No requiere</v>
      </c>
      <c r="EM271" s="76" t="str">
        <f t="shared" si="164"/>
        <v>No requiere</v>
      </c>
      <c r="EN271" s="76" t="str">
        <f t="shared" si="140"/>
        <v>No requiere</v>
      </c>
      <c r="EO271" s="71"/>
      <c r="EP271" s="73" t="str">
        <f t="shared" si="165"/>
        <v>No requiere</v>
      </c>
      <c r="EQ271" s="77" t="str">
        <f t="shared" si="166"/>
        <v>No requiere</v>
      </c>
      <c r="ER271" s="71"/>
      <c r="ES271" s="79" t="s">
        <v>179</v>
      </c>
      <c r="ET271" s="73" t="str">
        <f t="shared" si="167"/>
        <v>No requiere</v>
      </c>
      <c r="EU271" s="73" t="str">
        <f t="shared" si="141"/>
        <v>No requiere</v>
      </c>
      <c r="EV271" s="73" t="str">
        <f t="shared" si="168"/>
        <v>No requiere</v>
      </c>
      <c r="EW271" s="73" t="str">
        <f t="shared" si="169"/>
        <v>No requiere</v>
      </c>
      <c r="EX271" s="78"/>
      <c r="EY271" s="78"/>
    </row>
    <row r="272" spans="1:155" ht="46.5" customHeight="1">
      <c r="A272" s="79" t="str">
        <v/>
      </c>
      <c r="B272" s="80" t="s">
        <v>2076</v>
      </c>
      <c r="C272" s="81">
        <v>45393</v>
      </c>
      <c r="D272" s="94">
        <v>0.375</v>
      </c>
      <c r="E272" s="79" t="s">
        <v>151</v>
      </c>
      <c r="F272" s="79" t="s">
        <v>152</v>
      </c>
      <c r="G272" s="79" t="s">
        <v>153</v>
      </c>
      <c r="H272" s="79" t="s">
        <v>152</v>
      </c>
      <c r="I272" s="79" t="s">
        <v>152</v>
      </c>
      <c r="J272" s="79" t="s">
        <v>251</v>
      </c>
      <c r="K272" s="79" t="s">
        <v>202</v>
      </c>
      <c r="L272" s="80" t="s">
        <v>2077</v>
      </c>
      <c r="M272" s="80" t="s">
        <v>157</v>
      </c>
      <c r="N272" s="79" t="s">
        <v>195</v>
      </c>
      <c r="O272" s="80" t="str">
        <f t="shared" si="157"/>
        <v>Yohan David Díaz</v>
      </c>
      <c r="P272" s="79" t="s">
        <v>164</v>
      </c>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t="s">
        <v>169</v>
      </c>
      <c r="AP272" s="79" t="s">
        <v>170</v>
      </c>
      <c r="AQ272" s="80" t="s">
        <v>171</v>
      </c>
      <c r="AR272" s="83" t="s">
        <v>171</v>
      </c>
      <c r="AS272" s="80" t="s">
        <v>171</v>
      </c>
      <c r="AT272" s="80" t="str">
        <f t="shared" si="158"/>
        <v>Distrital</v>
      </c>
      <c r="AU272" s="79" t="s">
        <v>172</v>
      </c>
      <c r="AV272" s="79"/>
      <c r="AW272" s="79"/>
      <c r="AX272" s="79"/>
      <c r="AY272" s="79"/>
      <c r="AZ272" s="79"/>
      <c r="BA272" s="80" t="str">
        <f t="shared" si="159"/>
        <v>Distrital</v>
      </c>
      <c r="BB272" s="79" t="s">
        <v>172</v>
      </c>
      <c r="BC272" s="79"/>
      <c r="BD272" s="79"/>
      <c r="BE272" s="79"/>
      <c r="BF272" s="79"/>
      <c r="BG272" s="79"/>
      <c r="BH272" s="80" t="str">
        <f t="shared" si="160"/>
        <v>Distrital</v>
      </c>
      <c r="BI272" s="79" t="s">
        <v>172</v>
      </c>
      <c r="BJ272" s="79"/>
      <c r="BK272" s="79"/>
      <c r="BL272" s="79"/>
      <c r="BM272" s="79"/>
      <c r="BN272" s="79"/>
      <c r="BO272" s="79"/>
      <c r="BP272" s="79"/>
      <c r="BQ272" s="79"/>
      <c r="BR272" s="79"/>
      <c r="BS272" s="80" t="s">
        <v>179</v>
      </c>
      <c r="BT272" s="80" t="s">
        <v>174</v>
      </c>
      <c r="BU272" s="89" t="s">
        <v>2078</v>
      </c>
      <c r="BV272" s="71"/>
      <c r="BW272" s="79" t="s">
        <v>153</v>
      </c>
      <c r="BX272" s="79" t="s">
        <v>176</v>
      </c>
      <c r="BY272" s="71"/>
      <c r="BZ272" s="79">
        <v>1</v>
      </c>
      <c r="CA272" s="79">
        <v>3</v>
      </c>
      <c r="CB272" s="79">
        <f t="shared" si="25"/>
        <v>4</v>
      </c>
      <c r="CC272" s="79" t="str">
        <f t="shared" si="139"/>
        <v>Ninguna</v>
      </c>
      <c r="CD272" s="79" t="s">
        <v>174</v>
      </c>
      <c r="CE272" s="79"/>
      <c r="CF272" s="79"/>
      <c r="CG272" s="83" t="s">
        <v>2079</v>
      </c>
      <c r="CH272" s="41"/>
      <c r="CI272" s="79" t="s">
        <v>153</v>
      </c>
      <c r="CJ272" s="71"/>
      <c r="CK272" s="79">
        <f t="shared" si="152"/>
        <v>0</v>
      </c>
      <c r="CL272" s="79"/>
      <c r="CM272" s="79"/>
      <c r="CN272" s="79"/>
      <c r="CO272" s="79"/>
      <c r="CP272" s="79"/>
      <c r="CQ272" s="79"/>
      <c r="CR272" s="83" t="s">
        <v>179</v>
      </c>
      <c r="CS272" s="83" t="s">
        <v>179</v>
      </c>
      <c r="CT272" s="83" t="s">
        <v>179</v>
      </c>
      <c r="CU272" s="83" t="s">
        <v>179</v>
      </c>
      <c r="CV272" s="83" t="s">
        <v>179</v>
      </c>
      <c r="CW272" s="83" t="s">
        <v>179</v>
      </c>
      <c r="CX272" s="79" t="s">
        <v>153</v>
      </c>
      <c r="CY272" s="79">
        <f t="shared" si="174"/>
        <v>0</v>
      </c>
      <c r="CZ272" s="79">
        <v>0</v>
      </c>
      <c r="DA272" s="79">
        <f t="shared" si="175"/>
        <v>0</v>
      </c>
      <c r="DB272" s="84"/>
      <c r="DC272" s="41"/>
      <c r="DD272" s="79" t="s">
        <v>153</v>
      </c>
      <c r="DE272" s="71"/>
      <c r="DF272" s="85" t="s">
        <v>2080</v>
      </c>
      <c r="DG272" s="79">
        <v>262</v>
      </c>
      <c r="DH272" s="86" t="str">
        <f t="shared" si="124"/>
        <v>Completo</v>
      </c>
      <c r="DI272" s="79" t="s">
        <v>181</v>
      </c>
      <c r="DJ272" s="79" t="s">
        <v>182</v>
      </c>
      <c r="DK272" s="79"/>
      <c r="DL272" s="79">
        <v>0</v>
      </c>
      <c r="DM272" s="79">
        <v>0</v>
      </c>
      <c r="DN272" s="79" t="s">
        <v>182</v>
      </c>
      <c r="DO272" s="79"/>
      <c r="DP272" s="79"/>
      <c r="DQ272" s="79"/>
      <c r="DR272" s="75" t="str">
        <f t="shared" si="161"/>
        <v>No aplica</v>
      </c>
      <c r="DS272" s="79"/>
      <c r="DT272" s="79"/>
      <c r="DU272" s="75" t="str">
        <f t="shared" si="162"/>
        <v>No aplica</v>
      </c>
      <c r="DV272" s="79" t="s">
        <v>182</v>
      </c>
      <c r="DW272" s="79" t="s">
        <v>182</v>
      </c>
      <c r="DX272" s="79"/>
      <c r="DY272" s="79"/>
      <c r="DZ272" s="79"/>
      <c r="EA272" s="79"/>
      <c r="EB272" s="79"/>
      <c r="EC272" s="79"/>
      <c r="ED272" s="79" t="s">
        <v>184</v>
      </c>
      <c r="EE272" s="79" t="str">
        <f t="shared" ref="EE272:EE273" si="176">IF(DI272="Subsanado","Completo","Por Completar")</f>
        <v>Completo</v>
      </c>
      <c r="EF272" s="41"/>
      <c r="EG272" s="79" t="s">
        <v>153</v>
      </c>
      <c r="EH272" s="71"/>
      <c r="EI272" s="80"/>
      <c r="EJ272" s="71"/>
      <c r="EK272" s="79"/>
      <c r="EL272" s="76" t="str">
        <f t="shared" si="163"/>
        <v>No requiere</v>
      </c>
      <c r="EM272" s="76" t="str">
        <f t="shared" si="164"/>
        <v>No requiere</v>
      </c>
      <c r="EN272" s="76" t="str">
        <f t="shared" si="140"/>
        <v>No requiere</v>
      </c>
      <c r="EO272" s="71"/>
      <c r="EP272" s="73" t="str">
        <f t="shared" si="165"/>
        <v>No requiere</v>
      </c>
      <c r="EQ272" s="77" t="str">
        <f t="shared" si="166"/>
        <v>No requiere</v>
      </c>
      <c r="ER272" s="71"/>
      <c r="ES272" s="79"/>
      <c r="ET272" s="73" t="str">
        <f t="shared" si="167"/>
        <v>No requiere</v>
      </c>
      <c r="EU272" s="73" t="str">
        <f t="shared" si="141"/>
        <v>No requiere</v>
      </c>
      <c r="EV272" s="73" t="str">
        <f t="shared" si="168"/>
        <v>No requiere</v>
      </c>
      <c r="EW272" s="73" t="str">
        <f t="shared" si="169"/>
        <v>No requiere</v>
      </c>
      <c r="EX272" s="78"/>
      <c r="EY272" s="78"/>
    </row>
    <row r="273" spans="1:155" ht="46.5" customHeight="1">
      <c r="A273" s="79">
        <v>269</v>
      </c>
      <c r="B273" s="80" t="s">
        <v>2081</v>
      </c>
      <c r="C273" s="81">
        <v>45393</v>
      </c>
      <c r="D273" s="82">
        <v>0.625</v>
      </c>
      <c r="E273" s="79" t="s">
        <v>151</v>
      </c>
      <c r="F273" s="79" t="s">
        <v>153</v>
      </c>
      <c r="G273" s="79" t="s">
        <v>152</v>
      </c>
      <c r="H273" s="79" t="s">
        <v>152</v>
      </c>
      <c r="I273" s="79" t="s">
        <v>153</v>
      </c>
      <c r="J273" s="79" t="s">
        <v>227</v>
      </c>
      <c r="K273" s="79" t="s">
        <v>155</v>
      </c>
      <c r="L273" s="80" t="s">
        <v>2082</v>
      </c>
      <c r="M273" s="80" t="s">
        <v>229</v>
      </c>
      <c r="N273" s="79" t="s">
        <v>373</v>
      </c>
      <c r="O273" s="80" t="str">
        <f t="shared" si="157"/>
        <v/>
      </c>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t="s">
        <v>230</v>
      </c>
      <c r="AP273" s="79" t="s">
        <v>231</v>
      </c>
      <c r="AQ273" s="80" t="s">
        <v>2083</v>
      </c>
      <c r="AR273" s="83">
        <v>3113406771</v>
      </c>
      <c r="AS273" s="80" t="s">
        <v>2084</v>
      </c>
      <c r="AT273" s="80" t="str">
        <f t="shared" si="158"/>
        <v>Engativá</v>
      </c>
      <c r="AU273" s="79" t="s">
        <v>234</v>
      </c>
      <c r="AV273" s="79"/>
      <c r="AW273" s="79"/>
      <c r="AX273" s="79"/>
      <c r="AY273" s="79"/>
      <c r="AZ273" s="79"/>
      <c r="BA273" s="80" t="str">
        <f t="shared" si="159"/>
        <v>Occidente</v>
      </c>
      <c r="BB273" s="79" t="s">
        <v>235</v>
      </c>
      <c r="BC273" s="79"/>
      <c r="BD273" s="79"/>
      <c r="BE273" s="79"/>
      <c r="BF273" s="79"/>
      <c r="BG273" s="79"/>
      <c r="BH273" s="80" t="str">
        <f t="shared" si="160"/>
        <v>Engativá</v>
      </c>
      <c r="BI273" s="79" t="s">
        <v>234</v>
      </c>
      <c r="BJ273" s="79"/>
      <c r="BK273" s="79"/>
      <c r="BL273" s="79"/>
      <c r="BM273" s="79"/>
      <c r="BN273" s="79"/>
      <c r="BO273" s="79"/>
      <c r="BP273" s="79"/>
      <c r="BQ273" s="79"/>
      <c r="BR273" s="79"/>
      <c r="BS273" s="80" t="s">
        <v>2085</v>
      </c>
      <c r="BT273" s="80"/>
      <c r="BU273" s="80" t="s">
        <v>2085</v>
      </c>
      <c r="BV273" s="71"/>
      <c r="BW273" s="79" t="s">
        <v>152</v>
      </c>
      <c r="BX273" s="79" t="s">
        <v>179</v>
      </c>
      <c r="BY273" s="71"/>
      <c r="BZ273" s="79">
        <v>15</v>
      </c>
      <c r="CA273" s="79">
        <v>2</v>
      </c>
      <c r="CB273" s="79">
        <f t="shared" si="25"/>
        <v>17</v>
      </c>
      <c r="CC273" s="79" t="str">
        <f t="shared" si="139"/>
        <v>Ninguna</v>
      </c>
      <c r="CD273" s="79" t="s">
        <v>174</v>
      </c>
      <c r="CE273" s="79"/>
      <c r="CF273" s="79"/>
      <c r="CG273" s="83" t="s">
        <v>2086</v>
      </c>
      <c r="CH273" s="41"/>
      <c r="CI273" s="79" t="s">
        <v>153</v>
      </c>
      <c r="CJ273" s="71"/>
      <c r="CK273" s="79">
        <f t="shared" si="152"/>
        <v>0</v>
      </c>
      <c r="CL273" s="79"/>
      <c r="CM273" s="79"/>
      <c r="CN273" s="79"/>
      <c r="CO273" s="79"/>
      <c r="CP273" s="79"/>
      <c r="CQ273" s="79"/>
      <c r="CR273" s="83" t="s">
        <v>179</v>
      </c>
      <c r="CS273" s="83" t="s">
        <v>179</v>
      </c>
      <c r="CT273" s="83" t="s">
        <v>179</v>
      </c>
      <c r="CU273" s="83" t="s">
        <v>179</v>
      </c>
      <c r="CV273" s="83" t="s">
        <v>179</v>
      </c>
      <c r="CW273" s="83" t="s">
        <v>179</v>
      </c>
      <c r="CX273" s="79" t="s">
        <v>153</v>
      </c>
      <c r="CY273" s="79">
        <f t="shared" si="174"/>
        <v>0</v>
      </c>
      <c r="CZ273" s="79">
        <v>0</v>
      </c>
      <c r="DA273" s="79">
        <f t="shared" si="175"/>
        <v>0</v>
      </c>
      <c r="DB273" s="84" t="str">
        <f>IFERROR(CY273/CK273,"")</f>
        <v/>
      </c>
      <c r="DC273" s="41"/>
      <c r="DD273" s="79" t="s">
        <v>153</v>
      </c>
      <c r="DE273" s="71"/>
      <c r="DF273" s="85" t="s">
        <v>2087</v>
      </c>
      <c r="DG273" s="79">
        <v>263</v>
      </c>
      <c r="DH273" s="86" t="str">
        <f t="shared" si="124"/>
        <v>Completo</v>
      </c>
      <c r="DI273" s="79" t="s">
        <v>181</v>
      </c>
      <c r="DJ273" s="79" t="s">
        <v>182</v>
      </c>
      <c r="DK273" s="79"/>
      <c r="DL273" s="79">
        <v>0</v>
      </c>
      <c r="DM273" s="79">
        <v>0</v>
      </c>
      <c r="DN273" s="79" t="s">
        <v>182</v>
      </c>
      <c r="DO273" s="79"/>
      <c r="DP273" s="79"/>
      <c r="DQ273" s="79"/>
      <c r="DR273" s="75" t="str">
        <f t="shared" si="161"/>
        <v>No aplica</v>
      </c>
      <c r="DS273" s="79"/>
      <c r="DT273" s="79"/>
      <c r="DU273" s="75" t="str">
        <f t="shared" si="162"/>
        <v>No aplica</v>
      </c>
      <c r="DV273" s="79" t="s">
        <v>182</v>
      </c>
      <c r="DW273" s="79"/>
      <c r="DX273" s="79"/>
      <c r="DY273" s="79"/>
      <c r="DZ273" s="79"/>
      <c r="EA273" s="79"/>
      <c r="EB273" s="79" t="s">
        <v>182</v>
      </c>
      <c r="EC273" s="79" t="s">
        <v>2088</v>
      </c>
      <c r="ED273" s="79" t="s">
        <v>184</v>
      </c>
      <c r="EE273" s="79" t="str">
        <f t="shared" si="176"/>
        <v>Completo</v>
      </c>
      <c r="EF273" s="41"/>
      <c r="EG273" s="79" t="s">
        <v>153</v>
      </c>
      <c r="EH273" s="71"/>
      <c r="EI273" s="80"/>
      <c r="EJ273" s="71"/>
      <c r="EK273" s="79"/>
      <c r="EL273" s="76" t="str">
        <f t="shared" si="163"/>
        <v>No requiere</v>
      </c>
      <c r="EM273" s="76" t="str">
        <f t="shared" si="164"/>
        <v>No requiere</v>
      </c>
      <c r="EN273" s="76" t="str">
        <f t="shared" si="140"/>
        <v>No requiere</v>
      </c>
      <c r="EO273" s="71"/>
      <c r="EP273" s="73" t="str">
        <f t="shared" si="165"/>
        <v>No requiere</v>
      </c>
      <c r="EQ273" s="77" t="str">
        <f t="shared" si="166"/>
        <v>No requiere</v>
      </c>
      <c r="ER273" s="71"/>
      <c r="ES273" s="79"/>
      <c r="ET273" s="73" t="str">
        <f t="shared" si="167"/>
        <v>No requiere</v>
      </c>
      <c r="EU273" s="73" t="str">
        <f t="shared" si="141"/>
        <v>No requiere</v>
      </c>
      <c r="EV273" s="73" t="str">
        <f t="shared" si="168"/>
        <v>No requiere</v>
      </c>
      <c r="EW273" s="73" t="str">
        <f t="shared" si="169"/>
        <v>No requiere</v>
      </c>
      <c r="EX273" s="78"/>
      <c r="EY273" s="78"/>
    </row>
    <row r="274" spans="1:155" ht="46.5" customHeight="1">
      <c r="A274" s="79">
        <v>270</v>
      </c>
      <c r="B274" s="80" t="s">
        <v>2089</v>
      </c>
      <c r="C274" s="81">
        <v>45393</v>
      </c>
      <c r="D274" s="82">
        <v>0.58333333333333337</v>
      </c>
      <c r="E274" s="79" t="s">
        <v>151</v>
      </c>
      <c r="F274" s="79" t="s">
        <v>153</v>
      </c>
      <c r="G274" s="79" t="s">
        <v>153</v>
      </c>
      <c r="H274" s="79" t="s">
        <v>153</v>
      </c>
      <c r="I274" s="79" t="s">
        <v>152</v>
      </c>
      <c r="J274" s="79" t="s">
        <v>154</v>
      </c>
      <c r="K274" s="79" t="s">
        <v>155</v>
      </c>
      <c r="L274" s="80" t="s">
        <v>2090</v>
      </c>
      <c r="M274" s="80" t="s">
        <v>303</v>
      </c>
      <c r="N274" s="79" t="s">
        <v>163</v>
      </c>
      <c r="O274" s="80" t="str">
        <f t="shared" si="157"/>
        <v>Paula Andrea González, Diego Alejandro Camacho</v>
      </c>
      <c r="P274" s="79" t="s">
        <v>158</v>
      </c>
      <c r="Q274" s="79" t="s">
        <v>422</v>
      </c>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t="s">
        <v>230</v>
      </c>
      <c r="AP274" s="79"/>
      <c r="AQ274" s="80" t="s">
        <v>1759</v>
      </c>
      <c r="AR274" s="83">
        <v>3228806919</v>
      </c>
      <c r="AS274" s="80" t="s">
        <v>2091</v>
      </c>
      <c r="AT274" s="80" t="str">
        <f t="shared" si="158"/>
        <v>Distrital</v>
      </c>
      <c r="AU274" s="79" t="s">
        <v>172</v>
      </c>
      <c r="AV274" s="79"/>
      <c r="AW274" s="79"/>
      <c r="AX274" s="79"/>
      <c r="AY274" s="79"/>
      <c r="AZ274" s="79"/>
      <c r="BA274" s="80" t="str">
        <f t="shared" si="159"/>
        <v>Distrital</v>
      </c>
      <c r="BB274" s="79" t="s">
        <v>172</v>
      </c>
      <c r="BC274" s="79"/>
      <c r="BD274" s="79"/>
      <c r="BE274" s="79"/>
      <c r="BF274" s="79"/>
      <c r="BG274" s="79"/>
      <c r="BH274" s="80" t="str">
        <f t="shared" si="160"/>
        <v>Distrital</v>
      </c>
      <c r="BI274" s="79" t="s">
        <v>172</v>
      </c>
      <c r="BJ274" s="79"/>
      <c r="BK274" s="79"/>
      <c r="BL274" s="79"/>
      <c r="BM274" s="79"/>
      <c r="BN274" s="79"/>
      <c r="BO274" s="79"/>
      <c r="BP274" s="79"/>
      <c r="BQ274" s="79"/>
      <c r="BR274" s="79"/>
      <c r="BS274" s="80" t="s">
        <v>288</v>
      </c>
      <c r="BT274" s="80" t="s">
        <v>376</v>
      </c>
      <c r="BU274" s="80" t="s">
        <v>2092</v>
      </c>
      <c r="BV274" s="71"/>
      <c r="BW274" s="79" t="s">
        <v>153</v>
      </c>
      <c r="BX274" s="79" t="s">
        <v>607</v>
      </c>
      <c r="BY274" s="71"/>
      <c r="BZ274" s="79">
        <v>10</v>
      </c>
      <c r="CA274" s="79">
        <v>2</v>
      </c>
      <c r="CB274" s="79">
        <f t="shared" si="25"/>
        <v>12</v>
      </c>
      <c r="CC274" s="79" t="str">
        <f t="shared" si="139"/>
        <v>Ninguna</v>
      </c>
      <c r="CD274" s="79" t="s">
        <v>174</v>
      </c>
      <c r="CE274" s="79"/>
      <c r="CF274" s="79"/>
      <c r="CG274" s="83" t="s">
        <v>2093</v>
      </c>
      <c r="CH274" s="41"/>
      <c r="CI274" s="79" t="s">
        <v>153</v>
      </c>
      <c r="CJ274" s="71"/>
      <c r="CK274" s="79">
        <v>0</v>
      </c>
      <c r="CL274" s="79" t="s">
        <v>389</v>
      </c>
      <c r="CM274" s="79"/>
      <c r="CN274" s="79"/>
      <c r="CO274" s="79"/>
      <c r="CP274" s="79"/>
      <c r="CQ274" s="79"/>
      <c r="CR274" s="83" t="s">
        <v>390</v>
      </c>
      <c r="CS274" s="83" t="s">
        <v>179</v>
      </c>
      <c r="CT274" s="83" t="s">
        <v>179</v>
      </c>
      <c r="CU274" s="83" t="s">
        <v>179</v>
      </c>
      <c r="CV274" s="83" t="s">
        <v>179</v>
      </c>
      <c r="CW274" s="83"/>
      <c r="CX274" s="79" t="s">
        <v>153</v>
      </c>
      <c r="CY274" s="79">
        <f t="shared" si="174"/>
        <v>1</v>
      </c>
      <c r="CZ274" s="79">
        <v>1</v>
      </c>
      <c r="DA274" s="79">
        <f t="shared" si="175"/>
        <v>1</v>
      </c>
      <c r="DB274" s="84" t="s">
        <v>316</v>
      </c>
      <c r="DC274" s="41"/>
      <c r="DD274" s="79" t="s">
        <v>153</v>
      </c>
      <c r="DE274" s="71"/>
      <c r="DF274" s="85" t="s">
        <v>2094</v>
      </c>
      <c r="DG274" s="79">
        <v>264</v>
      </c>
      <c r="DH274" s="86">
        <f t="shared" si="124"/>
        <v>45396</v>
      </c>
      <c r="DI274" s="79" t="s">
        <v>181</v>
      </c>
      <c r="DJ274" s="79" t="s">
        <v>182</v>
      </c>
      <c r="DK274" s="79" t="s">
        <v>153</v>
      </c>
      <c r="DL274" s="79">
        <v>0</v>
      </c>
      <c r="DM274" s="79">
        <v>0</v>
      </c>
      <c r="DN274" s="79" t="s">
        <v>182</v>
      </c>
      <c r="DO274" s="79"/>
      <c r="DP274" s="79" t="s">
        <v>182</v>
      </c>
      <c r="DQ274" s="79">
        <v>3</v>
      </c>
      <c r="DR274" s="75">
        <f t="shared" si="161"/>
        <v>1</v>
      </c>
      <c r="DS274" s="79" t="s">
        <v>182</v>
      </c>
      <c r="DT274" s="79">
        <v>2</v>
      </c>
      <c r="DU274" s="75">
        <f t="shared" si="162"/>
        <v>0.5714285714285714</v>
      </c>
      <c r="DV274" s="79" t="s">
        <v>182</v>
      </c>
      <c r="DW274" s="79" t="s">
        <v>182</v>
      </c>
      <c r="DX274" s="79">
        <v>1</v>
      </c>
      <c r="DY274" s="79">
        <v>2</v>
      </c>
      <c r="DZ274" s="79" t="s">
        <v>2095</v>
      </c>
      <c r="EA274" s="79" t="s">
        <v>179</v>
      </c>
      <c r="EB274" s="79"/>
      <c r="EC274" s="79"/>
      <c r="ED274" s="79" t="s">
        <v>184</v>
      </c>
      <c r="EE274" s="79" t="s">
        <v>621</v>
      </c>
      <c r="EF274" s="41"/>
      <c r="EG274" s="79" t="s">
        <v>153</v>
      </c>
      <c r="EH274" s="71"/>
      <c r="EI274" s="89" t="s">
        <v>2096</v>
      </c>
      <c r="EJ274" s="71"/>
      <c r="EK274" s="79" t="s">
        <v>409</v>
      </c>
      <c r="EL274" s="76" t="str">
        <f t="shared" si="163"/>
        <v>No</v>
      </c>
      <c r="EM274" s="76" t="str">
        <f t="shared" si="164"/>
        <v>Sí</v>
      </c>
      <c r="EN274" s="76" t="str">
        <f t="shared" si="140"/>
        <v>No</v>
      </c>
      <c r="EO274" s="71"/>
      <c r="EP274" s="73" t="str">
        <f t="shared" si="165"/>
        <v>No aplica</v>
      </c>
      <c r="EQ274" s="77">
        <f t="shared" si="166"/>
        <v>0.5714285714285714</v>
      </c>
      <c r="ER274" s="71"/>
      <c r="ES274" s="79" t="s">
        <v>393</v>
      </c>
      <c r="ET274" s="73">
        <f t="shared" si="167"/>
        <v>1</v>
      </c>
      <c r="EU274" s="73" t="str">
        <f t="shared" si="141"/>
        <v>Sin compromisos</v>
      </c>
      <c r="EV274" s="73" t="str">
        <f t="shared" si="168"/>
        <v>No aplica</v>
      </c>
      <c r="EW274" s="73" t="str">
        <f t="shared" si="169"/>
        <v>No aplica</v>
      </c>
      <c r="EX274" s="78"/>
      <c r="EY274" s="78"/>
    </row>
    <row r="275" spans="1:155" ht="46.5" customHeight="1">
      <c r="A275" s="79">
        <v>271</v>
      </c>
      <c r="B275" s="80" t="s">
        <v>2097</v>
      </c>
      <c r="C275" s="81">
        <v>45393</v>
      </c>
      <c r="D275" s="82">
        <v>0.58333333333333337</v>
      </c>
      <c r="E275" s="79" t="s">
        <v>151</v>
      </c>
      <c r="F275" s="79" t="s">
        <v>153</v>
      </c>
      <c r="G275" s="79" t="s">
        <v>153</v>
      </c>
      <c r="H275" s="79" t="s">
        <v>152</v>
      </c>
      <c r="I275" s="79" t="s">
        <v>152</v>
      </c>
      <c r="J275" s="79" t="s">
        <v>154</v>
      </c>
      <c r="K275" s="79" t="s">
        <v>155</v>
      </c>
      <c r="L275" s="80" t="s">
        <v>2098</v>
      </c>
      <c r="M275" s="80" t="s">
        <v>303</v>
      </c>
      <c r="N275" s="79" t="s">
        <v>887</v>
      </c>
      <c r="O275" s="80" t="str">
        <f t="shared" si="157"/>
        <v>Yeiker Guerra Sarmiento, Luz Maritza Acero</v>
      </c>
      <c r="P275" s="79" t="s">
        <v>163</v>
      </c>
      <c r="Q275" s="79" t="s">
        <v>167</v>
      </c>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t="s">
        <v>230</v>
      </c>
      <c r="AP275" s="79" t="s">
        <v>347</v>
      </c>
      <c r="AQ275" s="80" t="s">
        <v>1603</v>
      </c>
      <c r="AR275" s="83">
        <v>3125641672</v>
      </c>
      <c r="AS275" s="80" t="s">
        <v>1971</v>
      </c>
      <c r="AT275" s="80" t="str">
        <f t="shared" si="158"/>
        <v>Distrital</v>
      </c>
      <c r="AU275" s="79" t="s">
        <v>172</v>
      </c>
      <c r="AV275" s="79"/>
      <c r="AW275" s="79"/>
      <c r="AX275" s="79"/>
      <c r="AY275" s="79"/>
      <c r="AZ275" s="79"/>
      <c r="BA275" s="80" t="str">
        <f t="shared" si="159"/>
        <v>Distrital</v>
      </c>
      <c r="BB275" s="79" t="s">
        <v>172</v>
      </c>
      <c r="BC275" s="79"/>
      <c r="BD275" s="79"/>
      <c r="BE275" s="79"/>
      <c r="BF275" s="79"/>
      <c r="BG275" s="79"/>
      <c r="BH275" s="80" t="str">
        <f t="shared" si="160"/>
        <v>Distrital</v>
      </c>
      <c r="BI275" s="79" t="s">
        <v>172</v>
      </c>
      <c r="BJ275" s="79"/>
      <c r="BK275" s="79"/>
      <c r="BL275" s="79"/>
      <c r="BM275" s="79"/>
      <c r="BN275" s="79"/>
      <c r="BO275" s="79"/>
      <c r="BP275" s="79"/>
      <c r="BQ275" s="79"/>
      <c r="BR275" s="79"/>
      <c r="BS275" s="80" t="s">
        <v>288</v>
      </c>
      <c r="BT275" s="80" t="s">
        <v>174</v>
      </c>
      <c r="BU275" s="80" t="s">
        <v>2099</v>
      </c>
      <c r="BV275" s="71"/>
      <c r="BW275" s="79" t="s">
        <v>153</v>
      </c>
      <c r="BX275" s="79" t="s">
        <v>607</v>
      </c>
      <c r="BY275" s="71"/>
      <c r="BZ275" s="79">
        <v>19</v>
      </c>
      <c r="CA275" s="79">
        <v>2</v>
      </c>
      <c r="CB275" s="79">
        <f t="shared" si="25"/>
        <v>21</v>
      </c>
      <c r="CC275" s="79" t="str">
        <f t="shared" si="139"/>
        <v>Ninguna</v>
      </c>
      <c r="CD275" s="79" t="s">
        <v>174</v>
      </c>
      <c r="CE275" s="79"/>
      <c r="CF275" s="79"/>
      <c r="CG275" s="83" t="s">
        <v>2100</v>
      </c>
      <c r="CH275" s="41"/>
      <c r="CI275" s="79" t="s">
        <v>153</v>
      </c>
      <c r="CJ275" s="71"/>
      <c r="CK275" s="79">
        <f t="shared" ref="CK275:CK402" si="177">COUNTIF(CL275:CQ275,"*")</f>
        <v>0</v>
      </c>
      <c r="CL275" s="79"/>
      <c r="CM275" s="79"/>
      <c r="CN275" s="79"/>
      <c r="CO275" s="79"/>
      <c r="CP275" s="79"/>
      <c r="CQ275" s="79"/>
      <c r="CR275" s="83" t="s">
        <v>179</v>
      </c>
      <c r="CS275" s="83" t="s">
        <v>179</v>
      </c>
      <c r="CT275" s="83" t="s">
        <v>179</v>
      </c>
      <c r="CU275" s="83" t="s">
        <v>179</v>
      </c>
      <c r="CV275" s="83" t="s">
        <v>179</v>
      </c>
      <c r="CW275" s="83" t="s">
        <v>179</v>
      </c>
      <c r="CX275" s="79" t="s">
        <v>153</v>
      </c>
      <c r="CY275" s="79">
        <v>0</v>
      </c>
      <c r="CZ275" s="79">
        <v>0</v>
      </c>
      <c r="DA275" s="79">
        <v>0</v>
      </c>
      <c r="DB275" s="84" t="s">
        <v>316</v>
      </c>
      <c r="DC275" s="41"/>
      <c r="DD275" s="79" t="s">
        <v>153</v>
      </c>
      <c r="DE275" s="71"/>
      <c r="DF275" s="85" t="s">
        <v>2101</v>
      </c>
      <c r="DG275" s="79">
        <v>265</v>
      </c>
      <c r="DH275" s="86" t="str">
        <f t="shared" si="124"/>
        <v>Completo</v>
      </c>
      <c r="DI275" s="79" t="s">
        <v>181</v>
      </c>
      <c r="DJ275" s="79" t="s">
        <v>182</v>
      </c>
      <c r="DK275" s="79"/>
      <c r="DL275" s="79">
        <v>0</v>
      </c>
      <c r="DM275" s="79">
        <v>0</v>
      </c>
      <c r="DN275" s="79" t="s">
        <v>182</v>
      </c>
      <c r="DO275" s="79"/>
      <c r="DP275" s="79"/>
      <c r="DQ275" s="79"/>
      <c r="DR275" s="75" t="str">
        <f t="shared" si="161"/>
        <v>No aplica</v>
      </c>
      <c r="DS275" s="79"/>
      <c r="DT275" s="79"/>
      <c r="DU275" s="75" t="str">
        <f t="shared" si="162"/>
        <v>No aplica</v>
      </c>
      <c r="DV275" s="79" t="s">
        <v>182</v>
      </c>
      <c r="DW275" s="79" t="s">
        <v>182</v>
      </c>
      <c r="DX275" s="79"/>
      <c r="DY275" s="79"/>
      <c r="DZ275" s="79"/>
      <c r="EA275" s="79"/>
      <c r="EB275" s="79"/>
      <c r="EC275" s="79"/>
      <c r="ED275" s="79" t="s">
        <v>184</v>
      </c>
      <c r="EE275" s="79" t="str">
        <f>IF(DI275="Subsanado","Completo","Por Completar")</f>
        <v>Completo</v>
      </c>
      <c r="EF275" s="41"/>
      <c r="EG275" s="79" t="s">
        <v>153</v>
      </c>
      <c r="EH275" s="71"/>
      <c r="EI275" s="80"/>
      <c r="EJ275" s="71"/>
      <c r="EK275" s="79"/>
      <c r="EL275" s="76" t="str">
        <f t="shared" si="163"/>
        <v>No requiere</v>
      </c>
      <c r="EM275" s="76" t="str">
        <f t="shared" si="164"/>
        <v>No requiere</v>
      </c>
      <c r="EN275" s="76" t="str">
        <f t="shared" si="140"/>
        <v>No requiere</v>
      </c>
      <c r="EO275" s="71"/>
      <c r="EP275" s="73" t="str">
        <f t="shared" si="165"/>
        <v>No requiere</v>
      </c>
      <c r="EQ275" s="77" t="str">
        <f t="shared" si="166"/>
        <v>No requiere</v>
      </c>
      <c r="ER275" s="71"/>
      <c r="ES275" s="79"/>
      <c r="ET275" s="73" t="str">
        <f t="shared" si="167"/>
        <v>No requiere</v>
      </c>
      <c r="EU275" s="73" t="str">
        <f t="shared" si="141"/>
        <v>No requiere</v>
      </c>
      <c r="EV275" s="73" t="str">
        <f t="shared" si="168"/>
        <v>No requiere</v>
      </c>
      <c r="EW275" s="73" t="str">
        <f t="shared" si="169"/>
        <v>No requiere</v>
      </c>
      <c r="EX275" s="78"/>
      <c r="EY275" s="78"/>
    </row>
    <row r="276" spans="1:155" ht="46.5" customHeight="1">
      <c r="A276" s="79">
        <v>272</v>
      </c>
      <c r="B276" s="80" t="s">
        <v>2102</v>
      </c>
      <c r="C276" s="81">
        <v>45393</v>
      </c>
      <c r="D276" s="82">
        <v>0.70833333333333337</v>
      </c>
      <c r="E276" s="79" t="s">
        <v>200</v>
      </c>
      <c r="F276" s="79" t="s">
        <v>153</v>
      </c>
      <c r="G276" s="79" t="s">
        <v>152</v>
      </c>
      <c r="H276" s="79" t="s">
        <v>152</v>
      </c>
      <c r="I276" s="79" t="s">
        <v>152</v>
      </c>
      <c r="J276" s="79" t="s">
        <v>211</v>
      </c>
      <c r="K276" s="79" t="s">
        <v>202</v>
      </c>
      <c r="L276" s="80" t="s">
        <v>2103</v>
      </c>
      <c r="M276" s="80" t="s">
        <v>624</v>
      </c>
      <c r="N276" s="79" t="s">
        <v>213</v>
      </c>
      <c r="O276" s="80" t="str">
        <f t="shared" si="157"/>
        <v/>
      </c>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t="s">
        <v>230</v>
      </c>
      <c r="AP276" s="79" t="s">
        <v>242</v>
      </c>
      <c r="AQ276" s="80" t="s">
        <v>1945</v>
      </c>
      <c r="AR276" s="83">
        <v>3108148740</v>
      </c>
      <c r="AS276" s="80" t="s">
        <v>682</v>
      </c>
      <c r="AT276" s="80" t="str">
        <f t="shared" si="158"/>
        <v>Distrital</v>
      </c>
      <c r="AU276" s="79" t="s">
        <v>172</v>
      </c>
      <c r="AV276" s="79"/>
      <c r="AW276" s="79"/>
      <c r="AX276" s="79"/>
      <c r="AY276" s="79"/>
      <c r="AZ276" s="79"/>
      <c r="BA276" s="80" t="str">
        <f t="shared" si="159"/>
        <v>Distrital</v>
      </c>
      <c r="BB276" s="79" t="s">
        <v>172</v>
      </c>
      <c r="BC276" s="79"/>
      <c r="BD276" s="79"/>
      <c r="BE276" s="79"/>
      <c r="BF276" s="79"/>
      <c r="BG276" s="79"/>
      <c r="BH276" s="80" t="str">
        <f t="shared" si="160"/>
        <v>Distrital</v>
      </c>
      <c r="BI276" s="79" t="s">
        <v>172</v>
      </c>
      <c r="BJ276" s="79"/>
      <c r="BK276" s="79"/>
      <c r="BL276" s="79"/>
      <c r="BM276" s="79"/>
      <c r="BN276" s="79"/>
      <c r="BO276" s="79"/>
      <c r="BP276" s="79"/>
      <c r="BQ276" s="79"/>
      <c r="BR276" s="79"/>
      <c r="BS276" s="80" t="s">
        <v>288</v>
      </c>
      <c r="BT276" s="80" t="s">
        <v>174</v>
      </c>
      <c r="BU276" s="89" t="s">
        <v>2104</v>
      </c>
      <c r="BV276" s="71"/>
      <c r="BW276" s="79" t="s">
        <v>152</v>
      </c>
      <c r="BX276" s="79" t="s">
        <v>179</v>
      </c>
      <c r="BY276" s="71"/>
      <c r="BZ276" s="79">
        <v>33</v>
      </c>
      <c r="CA276" s="79">
        <v>2</v>
      </c>
      <c r="CB276" s="79">
        <f t="shared" si="25"/>
        <v>35</v>
      </c>
      <c r="CC276" s="79" t="str">
        <f t="shared" si="139"/>
        <v>Ninguna</v>
      </c>
      <c r="CD276" s="79" t="s">
        <v>174</v>
      </c>
      <c r="CE276" s="79"/>
      <c r="CF276" s="79"/>
      <c r="CG276" s="83" t="s">
        <v>2105</v>
      </c>
      <c r="CH276" s="41"/>
      <c r="CI276" s="79" t="s">
        <v>153</v>
      </c>
      <c r="CJ276" s="71"/>
      <c r="CK276" s="79">
        <f t="shared" si="177"/>
        <v>0</v>
      </c>
      <c r="CL276" s="79"/>
      <c r="CM276" s="79"/>
      <c r="CN276" s="79"/>
      <c r="CO276" s="79"/>
      <c r="CP276" s="79"/>
      <c r="CQ276" s="79"/>
      <c r="CR276" s="83" t="s">
        <v>179</v>
      </c>
      <c r="CS276" s="83" t="s">
        <v>179</v>
      </c>
      <c r="CT276" s="83" t="s">
        <v>179</v>
      </c>
      <c r="CU276" s="83" t="s">
        <v>179</v>
      </c>
      <c r="CV276" s="83" t="s">
        <v>179</v>
      </c>
      <c r="CW276" s="83" t="s">
        <v>179</v>
      </c>
      <c r="CX276" s="79" t="s">
        <v>153</v>
      </c>
      <c r="CY276" s="79"/>
      <c r="CZ276" s="79"/>
      <c r="DA276" s="79"/>
      <c r="DB276" s="84"/>
      <c r="DC276" s="41"/>
      <c r="DD276" s="79" t="s">
        <v>153</v>
      </c>
      <c r="DE276" s="71"/>
      <c r="DF276" s="85" t="s">
        <v>2106</v>
      </c>
      <c r="DG276" s="79">
        <v>266</v>
      </c>
      <c r="DH276" s="86">
        <f t="shared" si="124"/>
        <v>45396</v>
      </c>
      <c r="DI276" s="79" t="s">
        <v>181</v>
      </c>
      <c r="DJ276" s="79" t="s">
        <v>182</v>
      </c>
      <c r="DK276" s="79"/>
      <c r="DL276" s="79">
        <v>0</v>
      </c>
      <c r="DM276" s="79">
        <v>0</v>
      </c>
      <c r="DN276" s="79" t="s">
        <v>182</v>
      </c>
      <c r="DO276" s="79"/>
      <c r="DP276" s="79"/>
      <c r="DQ276" s="79"/>
      <c r="DR276" s="75" t="str">
        <f t="shared" si="161"/>
        <v>No aplica</v>
      </c>
      <c r="DS276" s="79"/>
      <c r="DT276" s="79"/>
      <c r="DU276" s="75" t="str">
        <f t="shared" si="162"/>
        <v>No aplica</v>
      </c>
      <c r="DV276" s="79" t="s">
        <v>182</v>
      </c>
      <c r="DW276" s="79" t="s">
        <v>182</v>
      </c>
      <c r="DX276" s="79"/>
      <c r="DY276" s="79"/>
      <c r="DZ276" s="79"/>
      <c r="EA276" s="79"/>
      <c r="EB276" s="79" t="s">
        <v>182</v>
      </c>
      <c r="EC276" s="79" t="s">
        <v>2107</v>
      </c>
      <c r="ED276" s="79" t="s">
        <v>184</v>
      </c>
      <c r="EE276" s="79" t="s">
        <v>621</v>
      </c>
      <c r="EF276" s="41"/>
      <c r="EG276" s="79" t="s">
        <v>153</v>
      </c>
      <c r="EH276" s="71"/>
      <c r="EI276" s="80"/>
      <c r="EJ276" s="71"/>
      <c r="EK276" s="79"/>
      <c r="EL276" s="76" t="str">
        <f t="shared" si="163"/>
        <v>No requiere</v>
      </c>
      <c r="EM276" s="76" t="str">
        <f t="shared" si="164"/>
        <v>No requiere</v>
      </c>
      <c r="EN276" s="76" t="str">
        <f t="shared" si="140"/>
        <v>No requiere</v>
      </c>
      <c r="EO276" s="71"/>
      <c r="EP276" s="73" t="str">
        <f t="shared" si="165"/>
        <v>No requiere</v>
      </c>
      <c r="EQ276" s="77" t="str">
        <f t="shared" si="166"/>
        <v>No requiere</v>
      </c>
      <c r="ER276" s="71"/>
      <c r="ES276" s="79"/>
      <c r="ET276" s="73" t="str">
        <f t="shared" si="167"/>
        <v>No requiere</v>
      </c>
      <c r="EU276" s="73" t="str">
        <f t="shared" si="141"/>
        <v>No requiere</v>
      </c>
      <c r="EV276" s="73" t="str">
        <f t="shared" si="168"/>
        <v>No requiere</v>
      </c>
      <c r="EW276" s="73" t="str">
        <f t="shared" si="169"/>
        <v>No requiere</v>
      </c>
      <c r="EX276" s="78"/>
      <c r="EY276" s="78"/>
    </row>
    <row r="277" spans="1:155" ht="46.5" customHeight="1">
      <c r="A277" s="79">
        <v>273</v>
      </c>
      <c r="B277" s="80" t="s">
        <v>2108</v>
      </c>
      <c r="C277" s="81">
        <v>45394</v>
      </c>
      <c r="D277" s="82">
        <v>0.375</v>
      </c>
      <c r="E277" s="79" t="s">
        <v>151</v>
      </c>
      <c r="F277" s="79" t="s">
        <v>153</v>
      </c>
      <c r="G277" s="79" t="s">
        <v>153</v>
      </c>
      <c r="H277" s="79" t="s">
        <v>152</v>
      </c>
      <c r="I277" s="79" t="s">
        <v>152</v>
      </c>
      <c r="J277" s="79" t="s">
        <v>154</v>
      </c>
      <c r="K277" s="79" t="s">
        <v>155</v>
      </c>
      <c r="L277" s="80" t="s">
        <v>1315</v>
      </c>
      <c r="M277" s="80" t="s">
        <v>327</v>
      </c>
      <c r="N277" s="79" t="s">
        <v>801</v>
      </c>
      <c r="O277" s="80" t="str">
        <f t="shared" si="157"/>
        <v>Diego Nicolás Gutiérrez, Julián Camilo Taylor, Humberto Díaz Acosta, Diana Carolina Aristizábal, Nathalia Guzmán Martínez, Joan Sebastian García</v>
      </c>
      <c r="P277" s="79" t="s">
        <v>888</v>
      </c>
      <c r="Q277" s="79" t="s">
        <v>886</v>
      </c>
      <c r="R277" s="79" t="s">
        <v>253</v>
      </c>
      <c r="S277" s="79" t="s">
        <v>165</v>
      </c>
      <c r="T277" s="79" t="s">
        <v>166</v>
      </c>
      <c r="U277" s="79" t="s">
        <v>728</v>
      </c>
      <c r="V277" s="79"/>
      <c r="W277" s="79"/>
      <c r="X277" s="79"/>
      <c r="Y277" s="79"/>
      <c r="Z277" s="79"/>
      <c r="AA277" s="79"/>
      <c r="AB277" s="79"/>
      <c r="AC277" s="79"/>
      <c r="AD277" s="79"/>
      <c r="AE277" s="79"/>
      <c r="AF277" s="79"/>
      <c r="AG277" s="79"/>
      <c r="AH277" s="79"/>
      <c r="AI277" s="79"/>
      <c r="AJ277" s="79"/>
      <c r="AK277" s="79"/>
      <c r="AL277" s="79"/>
      <c r="AM277" s="79"/>
      <c r="AN277" s="79"/>
      <c r="AO277" s="79" t="s">
        <v>304</v>
      </c>
      <c r="AP277" s="79"/>
      <c r="AQ277" s="80" t="s">
        <v>2109</v>
      </c>
      <c r="AR277" s="83" t="s">
        <v>179</v>
      </c>
      <c r="AS277" s="80" t="s">
        <v>2110</v>
      </c>
      <c r="AT277" s="80" t="str">
        <f t="shared" si="158"/>
        <v>Teusaquillo</v>
      </c>
      <c r="AU277" s="79" t="s">
        <v>1004</v>
      </c>
      <c r="AV277" s="79"/>
      <c r="AW277" s="79"/>
      <c r="AX277" s="79"/>
      <c r="AY277" s="79"/>
      <c r="AZ277" s="79"/>
      <c r="BA277" s="80" t="str">
        <f t="shared" si="159"/>
        <v>Centro Ampliado</v>
      </c>
      <c r="BB277" s="79" t="s">
        <v>636</v>
      </c>
      <c r="BC277" s="79"/>
      <c r="BD277" s="79"/>
      <c r="BE277" s="79"/>
      <c r="BF277" s="79"/>
      <c r="BG277" s="79"/>
      <c r="BH277" s="80" t="str">
        <f t="shared" si="160"/>
        <v>Teusaquillo</v>
      </c>
      <c r="BI277" s="79" t="s">
        <v>1004</v>
      </c>
      <c r="BJ277" s="79"/>
      <c r="BK277" s="79"/>
      <c r="BL277" s="79"/>
      <c r="BM277" s="79"/>
      <c r="BN277" s="79"/>
      <c r="BO277" s="79"/>
      <c r="BP277" s="79"/>
      <c r="BQ277" s="79"/>
      <c r="BR277" s="79"/>
      <c r="BS277" s="80" t="s">
        <v>288</v>
      </c>
      <c r="BT277" s="80" t="s">
        <v>174</v>
      </c>
      <c r="BU277" s="80" t="s">
        <v>2111</v>
      </c>
      <c r="BV277" s="71"/>
      <c r="BW277" s="79" t="s">
        <v>153</v>
      </c>
      <c r="BX277" s="79" t="s">
        <v>607</v>
      </c>
      <c r="BY277" s="71"/>
      <c r="BZ277" s="79">
        <v>43</v>
      </c>
      <c r="CA277" s="79">
        <v>7</v>
      </c>
      <c r="CB277" s="79">
        <f t="shared" si="25"/>
        <v>50</v>
      </c>
      <c r="CC277" s="79" t="str">
        <f t="shared" si="139"/>
        <v>No Aplica</v>
      </c>
      <c r="CD277" s="79" t="s">
        <v>177</v>
      </c>
      <c r="CE277" s="79"/>
      <c r="CF277" s="79"/>
      <c r="CG277" s="83" t="s">
        <v>2112</v>
      </c>
      <c r="CH277" s="41"/>
      <c r="CI277" s="79" t="s">
        <v>153</v>
      </c>
      <c r="CJ277" s="71"/>
      <c r="CK277" s="79">
        <f t="shared" si="177"/>
        <v>0</v>
      </c>
      <c r="CL277" s="79"/>
      <c r="CM277" s="79"/>
      <c r="CN277" s="79"/>
      <c r="CO277" s="79"/>
      <c r="CP277" s="79"/>
      <c r="CQ277" s="79"/>
      <c r="CR277" s="83" t="s">
        <v>179</v>
      </c>
      <c r="CS277" s="83" t="s">
        <v>179</v>
      </c>
      <c r="CT277" s="83" t="s">
        <v>179</v>
      </c>
      <c r="CU277" s="83" t="s">
        <v>179</v>
      </c>
      <c r="CV277" s="83" t="s">
        <v>179</v>
      </c>
      <c r="CW277" s="83" t="s">
        <v>179</v>
      </c>
      <c r="CX277" s="79" t="s">
        <v>153</v>
      </c>
      <c r="CY277" s="79">
        <v>0</v>
      </c>
      <c r="CZ277" s="79">
        <v>0</v>
      </c>
      <c r="DA277" s="79">
        <v>0</v>
      </c>
      <c r="DB277" s="84" t="s">
        <v>316</v>
      </c>
      <c r="DC277" s="41"/>
      <c r="DD277" s="79" t="s">
        <v>153</v>
      </c>
      <c r="DE277" s="71"/>
      <c r="DF277" s="85" t="s">
        <v>2113</v>
      </c>
      <c r="DG277" s="79">
        <v>267</v>
      </c>
      <c r="DH277" s="86">
        <f t="shared" si="124"/>
        <v>45397</v>
      </c>
      <c r="DI277" s="79" t="s">
        <v>181</v>
      </c>
      <c r="DJ277" s="79" t="s">
        <v>182</v>
      </c>
      <c r="DK277" s="79"/>
      <c r="DL277" s="79">
        <v>0</v>
      </c>
      <c r="DM277" s="79">
        <v>0</v>
      </c>
      <c r="DN277" s="79" t="s">
        <v>182</v>
      </c>
      <c r="DO277" s="79"/>
      <c r="DP277" s="79"/>
      <c r="DQ277" s="79"/>
      <c r="DR277" s="75" t="str">
        <f t="shared" si="161"/>
        <v>No aplica</v>
      </c>
      <c r="DS277" s="79"/>
      <c r="DT277" s="79"/>
      <c r="DU277" s="75" t="str">
        <f t="shared" si="162"/>
        <v>No aplica</v>
      </c>
      <c r="DV277" s="79" t="s">
        <v>182</v>
      </c>
      <c r="DW277" s="79"/>
      <c r="DX277" s="79"/>
      <c r="DY277" s="79"/>
      <c r="DZ277" s="79"/>
      <c r="EA277" s="79"/>
      <c r="EB277" s="79" t="s">
        <v>182</v>
      </c>
      <c r="EC277" s="79"/>
      <c r="ED277" s="79" t="s">
        <v>184</v>
      </c>
      <c r="EE277" s="79" t="s">
        <v>621</v>
      </c>
      <c r="EF277" s="41"/>
      <c r="EG277" s="79" t="s">
        <v>153</v>
      </c>
      <c r="EH277" s="71"/>
      <c r="EI277" s="80"/>
      <c r="EJ277" s="71"/>
      <c r="EK277" s="79"/>
      <c r="EL277" s="76" t="str">
        <f t="shared" si="163"/>
        <v>No requiere</v>
      </c>
      <c r="EM277" s="76" t="str">
        <f t="shared" si="164"/>
        <v>No requiere</v>
      </c>
      <c r="EN277" s="76" t="str">
        <f t="shared" si="140"/>
        <v>No requiere</v>
      </c>
      <c r="EO277" s="71"/>
      <c r="EP277" s="73" t="str">
        <f t="shared" si="165"/>
        <v>No requiere</v>
      </c>
      <c r="EQ277" s="77" t="str">
        <f t="shared" si="166"/>
        <v>No requiere</v>
      </c>
      <c r="ER277" s="71"/>
      <c r="ES277" s="79"/>
      <c r="ET277" s="73" t="str">
        <f t="shared" si="167"/>
        <v>No requiere</v>
      </c>
      <c r="EU277" s="73" t="str">
        <f t="shared" si="141"/>
        <v>No requiere</v>
      </c>
      <c r="EV277" s="73" t="str">
        <f t="shared" si="168"/>
        <v>No requiere</v>
      </c>
      <c r="EW277" s="73" t="str">
        <f t="shared" si="169"/>
        <v>No requiere</v>
      </c>
      <c r="EX277" s="78"/>
      <c r="EY277" s="78"/>
    </row>
    <row r="278" spans="1:155" ht="46.5" customHeight="1">
      <c r="A278" s="79">
        <v>274</v>
      </c>
      <c r="B278" s="80" t="s">
        <v>2114</v>
      </c>
      <c r="C278" s="81">
        <v>45394</v>
      </c>
      <c r="D278" s="82">
        <v>0.375</v>
      </c>
      <c r="E278" s="79" t="s">
        <v>151</v>
      </c>
      <c r="F278" s="79" t="s">
        <v>153</v>
      </c>
      <c r="G278" s="79" t="s">
        <v>152</v>
      </c>
      <c r="H278" s="79" t="s">
        <v>152</v>
      </c>
      <c r="I278" s="79" t="s">
        <v>152</v>
      </c>
      <c r="J278" s="79" t="s">
        <v>154</v>
      </c>
      <c r="K278" s="79" t="s">
        <v>155</v>
      </c>
      <c r="L278" s="80" t="s">
        <v>1315</v>
      </c>
      <c r="M278" s="80" t="s">
        <v>327</v>
      </c>
      <c r="N278" s="79" t="s">
        <v>161</v>
      </c>
      <c r="O278" s="80" t="str">
        <f t="shared" si="157"/>
        <v>James Fernando Núñez, Andres Castro Latorre, Juan Pablo Serna, Armando Alberto Montañez, César Augusto Barrantes, Claudia Fernanda Pineda</v>
      </c>
      <c r="P278" s="79" t="s">
        <v>632</v>
      </c>
      <c r="Q278" s="79" t="s">
        <v>749</v>
      </c>
      <c r="R278" s="79" t="s">
        <v>818</v>
      </c>
      <c r="S278" s="79" t="s">
        <v>1387</v>
      </c>
      <c r="T278" s="79" t="s">
        <v>729</v>
      </c>
      <c r="U278" s="79" t="s">
        <v>546</v>
      </c>
      <c r="V278" s="79"/>
      <c r="W278" s="79"/>
      <c r="X278" s="79"/>
      <c r="Y278" s="79"/>
      <c r="Z278" s="79"/>
      <c r="AA278" s="79"/>
      <c r="AB278" s="79"/>
      <c r="AC278" s="79"/>
      <c r="AD278" s="79"/>
      <c r="AE278" s="79"/>
      <c r="AF278" s="79"/>
      <c r="AG278" s="79"/>
      <c r="AH278" s="79"/>
      <c r="AI278" s="79"/>
      <c r="AJ278" s="79"/>
      <c r="AK278" s="79"/>
      <c r="AL278" s="79"/>
      <c r="AM278" s="79"/>
      <c r="AN278" s="79"/>
      <c r="AO278" s="79" t="s">
        <v>304</v>
      </c>
      <c r="AP278" s="79"/>
      <c r="AQ278" s="80" t="s">
        <v>1988</v>
      </c>
      <c r="AR278" s="83" t="s">
        <v>1988</v>
      </c>
      <c r="AS278" s="80" t="s">
        <v>1988</v>
      </c>
      <c r="AT278" s="80" t="str">
        <f t="shared" si="158"/>
        <v>Teusaquillo</v>
      </c>
      <c r="AU278" s="79" t="s">
        <v>1004</v>
      </c>
      <c r="AV278" s="79"/>
      <c r="AW278" s="79"/>
      <c r="AX278" s="79"/>
      <c r="AY278" s="79"/>
      <c r="AZ278" s="79"/>
      <c r="BA278" s="80" t="str">
        <f t="shared" si="159"/>
        <v>Centro Ampliado</v>
      </c>
      <c r="BB278" s="79" t="s">
        <v>636</v>
      </c>
      <c r="BC278" s="79"/>
      <c r="BD278" s="79"/>
      <c r="BE278" s="79"/>
      <c r="BF278" s="79"/>
      <c r="BG278" s="79"/>
      <c r="BH278" s="80" t="str">
        <f t="shared" si="160"/>
        <v>Teusaquillo</v>
      </c>
      <c r="BI278" s="79" t="s">
        <v>1004</v>
      </c>
      <c r="BJ278" s="79"/>
      <c r="BK278" s="79"/>
      <c r="BL278" s="79"/>
      <c r="BM278" s="79"/>
      <c r="BN278" s="79"/>
      <c r="BO278" s="79"/>
      <c r="BP278" s="79"/>
      <c r="BQ278" s="79"/>
      <c r="BR278" s="79"/>
      <c r="BS278" s="80" t="s">
        <v>1004</v>
      </c>
      <c r="BT278" s="80" t="s">
        <v>174</v>
      </c>
      <c r="BU278" s="80" t="s">
        <v>2115</v>
      </c>
      <c r="BV278" s="71"/>
      <c r="BW278" s="79" t="s">
        <v>153</v>
      </c>
      <c r="BX278" s="79" t="s">
        <v>607</v>
      </c>
      <c r="BY278" s="71"/>
      <c r="BZ278" s="79">
        <v>60</v>
      </c>
      <c r="CA278" s="79">
        <v>7</v>
      </c>
      <c r="CB278" s="79">
        <f t="shared" si="25"/>
        <v>67</v>
      </c>
      <c r="CC278" s="79" t="str">
        <f t="shared" si="139"/>
        <v>Ninguna</v>
      </c>
      <c r="CD278" s="79" t="s">
        <v>174</v>
      </c>
      <c r="CE278" s="79"/>
      <c r="CF278" s="79"/>
      <c r="CG278" s="83" t="s">
        <v>2116</v>
      </c>
      <c r="CH278" s="41"/>
      <c r="CI278" s="79" t="s">
        <v>153</v>
      </c>
      <c r="CJ278" s="71"/>
      <c r="CK278" s="79">
        <f t="shared" si="177"/>
        <v>0</v>
      </c>
      <c r="CL278" s="79"/>
      <c r="CM278" s="79"/>
      <c r="CN278" s="79"/>
      <c r="CO278" s="79"/>
      <c r="CP278" s="79"/>
      <c r="CQ278" s="79"/>
      <c r="CR278" s="83" t="s">
        <v>179</v>
      </c>
      <c r="CS278" s="83" t="s">
        <v>179</v>
      </c>
      <c r="CT278" s="83" t="s">
        <v>179</v>
      </c>
      <c r="CU278" s="83" t="s">
        <v>179</v>
      </c>
      <c r="CV278" s="83" t="s">
        <v>179</v>
      </c>
      <c r="CW278" s="83" t="s">
        <v>179</v>
      </c>
      <c r="CX278" s="79" t="s">
        <v>153</v>
      </c>
      <c r="CY278" s="79"/>
      <c r="CZ278" s="79"/>
      <c r="DA278" s="79"/>
      <c r="DB278" s="84"/>
      <c r="DC278" s="41"/>
      <c r="DD278" s="79" t="s">
        <v>153</v>
      </c>
      <c r="DE278" s="71"/>
      <c r="DF278" s="85" t="s">
        <v>2117</v>
      </c>
      <c r="DG278" s="79">
        <v>268</v>
      </c>
      <c r="DH278" s="86">
        <f t="shared" si="124"/>
        <v>45397</v>
      </c>
      <c r="DI278" s="79" t="s">
        <v>181</v>
      </c>
      <c r="DJ278" s="79" t="s">
        <v>182</v>
      </c>
      <c r="DK278" s="79"/>
      <c r="DL278" s="79"/>
      <c r="DM278" s="79"/>
      <c r="DN278" s="79" t="s">
        <v>182</v>
      </c>
      <c r="DO278" s="79"/>
      <c r="DP278" s="79"/>
      <c r="DQ278" s="79"/>
      <c r="DR278" s="75" t="str">
        <f t="shared" si="161"/>
        <v>No aplica</v>
      </c>
      <c r="DS278" s="79"/>
      <c r="DT278" s="79"/>
      <c r="DU278" s="75" t="str">
        <f t="shared" si="162"/>
        <v>No aplica</v>
      </c>
      <c r="DV278" s="79" t="s">
        <v>182</v>
      </c>
      <c r="DW278" s="79"/>
      <c r="DX278" s="79"/>
      <c r="DY278" s="79"/>
      <c r="DZ278" s="79"/>
      <c r="EA278" s="79"/>
      <c r="EB278" s="79" t="s">
        <v>182</v>
      </c>
      <c r="EC278" s="79" t="s">
        <v>2118</v>
      </c>
      <c r="ED278" s="79" t="s">
        <v>184</v>
      </c>
      <c r="EE278" s="79" t="s">
        <v>621</v>
      </c>
      <c r="EF278" s="41"/>
      <c r="EG278" s="79" t="s">
        <v>153</v>
      </c>
      <c r="EH278" s="71"/>
      <c r="EI278" s="80"/>
      <c r="EJ278" s="71"/>
      <c r="EK278" s="79"/>
      <c r="EL278" s="76" t="str">
        <f t="shared" si="163"/>
        <v>No requiere</v>
      </c>
      <c r="EM278" s="76" t="str">
        <f t="shared" si="164"/>
        <v>No requiere</v>
      </c>
      <c r="EN278" s="76" t="str">
        <f t="shared" si="140"/>
        <v>No requiere</v>
      </c>
      <c r="EO278" s="71"/>
      <c r="EP278" s="73" t="str">
        <f t="shared" si="165"/>
        <v>No requiere</v>
      </c>
      <c r="EQ278" s="77" t="str">
        <f t="shared" si="166"/>
        <v>No requiere</v>
      </c>
      <c r="ER278" s="71"/>
      <c r="ES278" s="79"/>
      <c r="ET278" s="73" t="str">
        <f t="shared" si="167"/>
        <v>No requiere</v>
      </c>
      <c r="EU278" s="73" t="str">
        <f t="shared" si="141"/>
        <v>No requiere</v>
      </c>
      <c r="EV278" s="73" t="str">
        <f t="shared" si="168"/>
        <v>No requiere</v>
      </c>
      <c r="EW278" s="73" t="str">
        <f t="shared" si="169"/>
        <v>No requiere</v>
      </c>
      <c r="EX278" s="78"/>
      <c r="EY278" s="78"/>
    </row>
    <row r="279" spans="1:155" ht="46.5" customHeight="1">
      <c r="A279" s="79">
        <v>275</v>
      </c>
      <c r="B279" s="80" t="s">
        <v>2119</v>
      </c>
      <c r="C279" s="81">
        <v>45394</v>
      </c>
      <c r="D279" s="82">
        <v>0.66666666666666663</v>
      </c>
      <c r="E279" s="79" t="s">
        <v>151</v>
      </c>
      <c r="F279" s="79" t="s">
        <v>153</v>
      </c>
      <c r="G279" s="79" t="s">
        <v>153</v>
      </c>
      <c r="H279" s="79" t="s">
        <v>152</v>
      </c>
      <c r="I279" s="79" t="s">
        <v>152</v>
      </c>
      <c r="J279" s="79" t="s">
        <v>154</v>
      </c>
      <c r="K279" s="79" t="s">
        <v>155</v>
      </c>
      <c r="L279" s="80" t="s">
        <v>600</v>
      </c>
      <c r="M279" s="80" t="s">
        <v>327</v>
      </c>
      <c r="N279" s="79" t="s">
        <v>862</v>
      </c>
      <c r="O279" s="80" t="str">
        <f t="shared" si="157"/>
        <v>Reinaldo Terrios Andrade, Nicolás Enrique Moncaleano, Germán Ramón Jacome, Manuel Fernando Vergara, Carlos Eduardo Escandón, Nestor Jecfrid Sánchez</v>
      </c>
      <c r="P279" s="79" t="s">
        <v>675</v>
      </c>
      <c r="Q279" s="79" t="s">
        <v>966</v>
      </c>
      <c r="R279" s="79" t="s">
        <v>525</v>
      </c>
      <c r="S279" s="79" t="s">
        <v>820</v>
      </c>
      <c r="T279" s="79" t="s">
        <v>819</v>
      </c>
      <c r="U279" s="79" t="s">
        <v>965</v>
      </c>
      <c r="V279" s="79"/>
      <c r="W279" s="79"/>
      <c r="X279" s="79"/>
      <c r="Y279" s="79"/>
      <c r="Z279" s="79"/>
      <c r="AA279" s="79"/>
      <c r="AB279" s="79"/>
      <c r="AC279" s="79"/>
      <c r="AD279" s="79"/>
      <c r="AE279" s="79"/>
      <c r="AF279" s="79"/>
      <c r="AG279" s="79"/>
      <c r="AH279" s="79"/>
      <c r="AI279" s="79"/>
      <c r="AJ279" s="79"/>
      <c r="AK279" s="79"/>
      <c r="AL279" s="79"/>
      <c r="AM279" s="79"/>
      <c r="AN279" s="79"/>
      <c r="AO279" s="79" t="s">
        <v>304</v>
      </c>
      <c r="AP279" s="79"/>
      <c r="AQ279" s="80" t="s">
        <v>2120</v>
      </c>
      <c r="AR279" s="83">
        <v>3114524563</v>
      </c>
      <c r="AS279" s="80" t="s">
        <v>2121</v>
      </c>
      <c r="AT279" s="80" t="str">
        <f t="shared" si="158"/>
        <v>Teusaquillo</v>
      </c>
      <c r="AU279" s="79" t="s">
        <v>1004</v>
      </c>
      <c r="AV279" s="79"/>
      <c r="AW279" s="79"/>
      <c r="AX279" s="79"/>
      <c r="AY279" s="79"/>
      <c r="AZ279" s="79"/>
      <c r="BA279" s="80" t="str">
        <f t="shared" si="159"/>
        <v>Centro Ampliado</v>
      </c>
      <c r="BB279" s="79" t="s">
        <v>636</v>
      </c>
      <c r="BC279" s="79"/>
      <c r="BD279" s="79"/>
      <c r="BE279" s="79"/>
      <c r="BF279" s="79"/>
      <c r="BG279" s="79"/>
      <c r="BH279" s="80" t="str">
        <f t="shared" si="160"/>
        <v>Teusaquillo</v>
      </c>
      <c r="BI279" s="79" t="s">
        <v>1004</v>
      </c>
      <c r="BJ279" s="79"/>
      <c r="BK279" s="79"/>
      <c r="BL279" s="79"/>
      <c r="BM279" s="79"/>
      <c r="BN279" s="79"/>
      <c r="BO279" s="79"/>
      <c r="BP279" s="79"/>
      <c r="BQ279" s="79"/>
      <c r="BR279" s="79"/>
      <c r="BS279" s="80" t="s">
        <v>288</v>
      </c>
      <c r="BT279" s="80" t="s">
        <v>174</v>
      </c>
      <c r="BU279" s="80" t="s">
        <v>2122</v>
      </c>
      <c r="BV279" s="71"/>
      <c r="BW279" s="79" t="s">
        <v>153</v>
      </c>
      <c r="BX279" s="79" t="s">
        <v>607</v>
      </c>
      <c r="BY279" s="71"/>
      <c r="BZ279" s="79">
        <v>41</v>
      </c>
      <c r="CA279" s="79">
        <v>7</v>
      </c>
      <c r="CB279" s="79">
        <f t="shared" si="25"/>
        <v>48</v>
      </c>
      <c r="CC279" s="79" t="str">
        <f t="shared" si="139"/>
        <v>No Aplica</v>
      </c>
      <c r="CD279" s="79" t="s">
        <v>177</v>
      </c>
      <c r="CE279" s="79"/>
      <c r="CF279" s="79"/>
      <c r="CG279" s="83" t="s">
        <v>2123</v>
      </c>
      <c r="CH279" s="41"/>
      <c r="CI279" s="79" t="s">
        <v>153</v>
      </c>
      <c r="CJ279" s="71"/>
      <c r="CK279" s="79">
        <f t="shared" si="177"/>
        <v>0</v>
      </c>
      <c r="CL279" s="79"/>
      <c r="CM279" s="79"/>
      <c r="CN279" s="79"/>
      <c r="CO279" s="79"/>
      <c r="CP279" s="79"/>
      <c r="CQ279" s="79"/>
      <c r="CR279" s="83" t="s">
        <v>179</v>
      </c>
      <c r="CS279" s="83" t="s">
        <v>179</v>
      </c>
      <c r="CT279" s="83" t="s">
        <v>179</v>
      </c>
      <c r="CU279" s="83" t="s">
        <v>179</v>
      </c>
      <c r="CV279" s="83" t="s">
        <v>179</v>
      </c>
      <c r="CW279" s="83" t="s">
        <v>179</v>
      </c>
      <c r="CX279" s="79" t="s">
        <v>153</v>
      </c>
      <c r="CY279" s="79"/>
      <c r="CZ279" s="79"/>
      <c r="DA279" s="79"/>
      <c r="DB279" s="84"/>
      <c r="DC279" s="41"/>
      <c r="DD279" s="79" t="s">
        <v>153</v>
      </c>
      <c r="DE279" s="71"/>
      <c r="DF279" s="85" t="s">
        <v>2124</v>
      </c>
      <c r="DG279" s="79">
        <v>269</v>
      </c>
      <c r="DH279" s="86">
        <f t="shared" si="124"/>
        <v>45397</v>
      </c>
      <c r="DI279" s="79" t="s">
        <v>181</v>
      </c>
      <c r="DJ279" s="79" t="s">
        <v>182</v>
      </c>
      <c r="DK279" s="79"/>
      <c r="DL279" s="79"/>
      <c r="DM279" s="79"/>
      <c r="DN279" s="79" t="s">
        <v>182</v>
      </c>
      <c r="DO279" s="79"/>
      <c r="DP279" s="79"/>
      <c r="DQ279" s="79"/>
      <c r="DR279" s="75" t="str">
        <f t="shared" si="161"/>
        <v>No aplica</v>
      </c>
      <c r="DS279" s="79"/>
      <c r="DT279" s="79"/>
      <c r="DU279" s="75" t="str">
        <f t="shared" si="162"/>
        <v>No aplica</v>
      </c>
      <c r="DV279" s="79" t="s">
        <v>182</v>
      </c>
      <c r="DW279" s="79" t="s">
        <v>191</v>
      </c>
      <c r="DX279" s="79"/>
      <c r="DY279" s="79"/>
      <c r="DZ279" s="79"/>
      <c r="EA279" s="79"/>
      <c r="EB279" s="79" t="s">
        <v>182</v>
      </c>
      <c r="EC279" s="79" t="s">
        <v>2118</v>
      </c>
      <c r="ED279" s="79" t="s">
        <v>184</v>
      </c>
      <c r="EE279" s="79" t="s">
        <v>621</v>
      </c>
      <c r="EF279" s="41"/>
      <c r="EG279" s="79" t="s">
        <v>153</v>
      </c>
      <c r="EH279" s="71"/>
      <c r="EI279" s="80"/>
      <c r="EJ279" s="71"/>
      <c r="EK279" s="79"/>
      <c r="EL279" s="76" t="str">
        <f t="shared" si="163"/>
        <v>No requiere</v>
      </c>
      <c r="EM279" s="76" t="str">
        <f t="shared" si="164"/>
        <v>No requiere</v>
      </c>
      <c r="EN279" s="76" t="str">
        <f t="shared" si="140"/>
        <v>No requiere</v>
      </c>
      <c r="EO279" s="71"/>
      <c r="EP279" s="73" t="str">
        <f t="shared" si="165"/>
        <v>No requiere</v>
      </c>
      <c r="EQ279" s="77" t="str">
        <f t="shared" si="166"/>
        <v>No requiere</v>
      </c>
      <c r="ER279" s="71"/>
      <c r="ES279" s="79"/>
      <c r="ET279" s="73" t="str">
        <f t="shared" si="167"/>
        <v>No requiere</v>
      </c>
      <c r="EU279" s="73" t="str">
        <f t="shared" si="141"/>
        <v>No requiere</v>
      </c>
      <c r="EV279" s="73" t="str">
        <f t="shared" si="168"/>
        <v>No requiere</v>
      </c>
      <c r="EW279" s="73" t="str">
        <f t="shared" si="169"/>
        <v>No requiere</v>
      </c>
      <c r="EX279" s="78"/>
      <c r="EY279" s="78"/>
    </row>
    <row r="280" spans="1:155" ht="46.5" customHeight="1">
      <c r="A280" s="79">
        <v>276</v>
      </c>
      <c r="B280" s="80" t="s">
        <v>2125</v>
      </c>
      <c r="C280" s="81">
        <v>45394</v>
      </c>
      <c r="D280" s="82">
        <v>0.41666666666666669</v>
      </c>
      <c r="E280" s="79" t="s">
        <v>151</v>
      </c>
      <c r="F280" s="79" t="s">
        <v>153</v>
      </c>
      <c r="G280" s="79" t="s">
        <v>153</v>
      </c>
      <c r="H280" s="79" t="s">
        <v>152</v>
      </c>
      <c r="I280" s="79" t="s">
        <v>152</v>
      </c>
      <c r="J280" s="79" t="s">
        <v>154</v>
      </c>
      <c r="K280" s="79" t="s">
        <v>155</v>
      </c>
      <c r="L280" s="80" t="s">
        <v>1315</v>
      </c>
      <c r="M280" s="80" t="s">
        <v>327</v>
      </c>
      <c r="N280" s="79" t="s">
        <v>1611</v>
      </c>
      <c r="O280" s="80" t="str">
        <f t="shared" si="157"/>
        <v>Nixon Sandoval Mateus, Sebastian Potes Buitrago, Sarah Lucia Triviño, Yohan David Díaz, Valentina González Pontón, Laura Sofia Morales</v>
      </c>
      <c r="P280" s="79" t="s">
        <v>644</v>
      </c>
      <c r="Q280" s="79" t="s">
        <v>545</v>
      </c>
      <c r="R280" s="79" t="s">
        <v>499</v>
      </c>
      <c r="S280" s="79" t="s">
        <v>164</v>
      </c>
      <c r="T280" s="79" t="s">
        <v>329</v>
      </c>
      <c r="U280" s="79" t="s">
        <v>506</v>
      </c>
      <c r="V280" s="79"/>
      <c r="W280" s="79"/>
      <c r="X280" s="79"/>
      <c r="Y280" s="79"/>
      <c r="Z280" s="79"/>
      <c r="AA280" s="79"/>
      <c r="AB280" s="79"/>
      <c r="AC280" s="79"/>
      <c r="AD280" s="79"/>
      <c r="AE280" s="79"/>
      <c r="AF280" s="79"/>
      <c r="AG280" s="79"/>
      <c r="AH280" s="79"/>
      <c r="AI280" s="79"/>
      <c r="AJ280" s="79"/>
      <c r="AK280" s="79"/>
      <c r="AL280" s="79"/>
      <c r="AM280" s="79"/>
      <c r="AN280" s="79"/>
      <c r="AO280" s="79" t="s">
        <v>304</v>
      </c>
      <c r="AP280" s="79"/>
      <c r="AQ280" s="80" t="s">
        <v>2126</v>
      </c>
      <c r="AR280" s="83" t="s">
        <v>2127</v>
      </c>
      <c r="AS280" s="80" t="s">
        <v>2128</v>
      </c>
      <c r="AT280" s="80" t="str">
        <f t="shared" si="158"/>
        <v>Teusaquillo</v>
      </c>
      <c r="AU280" s="79" t="s">
        <v>1004</v>
      </c>
      <c r="AV280" s="79"/>
      <c r="AW280" s="79"/>
      <c r="AX280" s="79"/>
      <c r="AY280" s="79"/>
      <c r="AZ280" s="79"/>
      <c r="BA280" s="80" t="str">
        <f t="shared" si="159"/>
        <v>Distrital</v>
      </c>
      <c r="BB280" s="79" t="s">
        <v>172</v>
      </c>
      <c r="BC280" s="79"/>
      <c r="BD280" s="79"/>
      <c r="BE280" s="79"/>
      <c r="BF280" s="79"/>
      <c r="BG280" s="79"/>
      <c r="BH280" s="80" t="str">
        <f t="shared" si="160"/>
        <v>Distrital</v>
      </c>
      <c r="BI280" s="79" t="s">
        <v>172</v>
      </c>
      <c r="BJ280" s="79"/>
      <c r="BK280" s="79"/>
      <c r="BL280" s="79"/>
      <c r="BM280" s="79"/>
      <c r="BN280" s="79"/>
      <c r="BO280" s="79"/>
      <c r="BP280" s="79"/>
      <c r="BQ280" s="79"/>
      <c r="BR280" s="79"/>
      <c r="BS280" s="80" t="s">
        <v>288</v>
      </c>
      <c r="BT280" s="80" t="s">
        <v>174</v>
      </c>
      <c r="BU280" s="80" t="s">
        <v>2129</v>
      </c>
      <c r="BV280" s="71"/>
      <c r="BW280" s="79" t="s">
        <v>153</v>
      </c>
      <c r="BX280" s="79" t="s">
        <v>607</v>
      </c>
      <c r="BY280" s="71"/>
      <c r="BZ280" s="79">
        <v>74</v>
      </c>
      <c r="CA280" s="79">
        <v>7</v>
      </c>
      <c r="CB280" s="79">
        <f t="shared" si="25"/>
        <v>81</v>
      </c>
      <c r="CC280" s="79" t="str">
        <f t="shared" si="139"/>
        <v>Ninguna</v>
      </c>
      <c r="CD280" s="79" t="s">
        <v>174</v>
      </c>
      <c r="CE280" s="79"/>
      <c r="CF280" s="79"/>
      <c r="CG280" s="83" t="s">
        <v>2130</v>
      </c>
      <c r="CH280" s="41"/>
      <c r="CI280" s="79" t="s">
        <v>153</v>
      </c>
      <c r="CJ280" s="71"/>
      <c r="CK280" s="79">
        <f t="shared" si="177"/>
        <v>0</v>
      </c>
      <c r="CL280" s="79"/>
      <c r="CM280" s="79"/>
      <c r="CN280" s="79"/>
      <c r="CO280" s="79"/>
      <c r="CP280" s="79"/>
      <c r="CQ280" s="79"/>
      <c r="CR280" s="83" t="s">
        <v>179</v>
      </c>
      <c r="CS280" s="83" t="s">
        <v>179</v>
      </c>
      <c r="CT280" s="83" t="s">
        <v>179</v>
      </c>
      <c r="CU280" s="83" t="s">
        <v>179</v>
      </c>
      <c r="CV280" s="83" t="s">
        <v>179</v>
      </c>
      <c r="CW280" s="83" t="s">
        <v>179</v>
      </c>
      <c r="CX280" s="79" t="s">
        <v>153</v>
      </c>
      <c r="CY280" s="79">
        <v>0</v>
      </c>
      <c r="CZ280" s="79">
        <v>0</v>
      </c>
      <c r="DA280" s="79">
        <v>0</v>
      </c>
      <c r="DB280" s="84" t="s">
        <v>316</v>
      </c>
      <c r="DC280" s="41"/>
      <c r="DD280" s="79" t="s">
        <v>153</v>
      </c>
      <c r="DE280" s="71"/>
      <c r="DF280" s="85" t="s">
        <v>2131</v>
      </c>
      <c r="DG280" s="79">
        <v>270</v>
      </c>
      <c r="DH280" s="86">
        <v>45399</v>
      </c>
      <c r="DI280" s="79" t="s">
        <v>181</v>
      </c>
      <c r="DJ280" s="79" t="s">
        <v>182</v>
      </c>
      <c r="DK280" s="79"/>
      <c r="DL280" s="79">
        <v>0</v>
      </c>
      <c r="DM280" s="79">
        <v>0</v>
      </c>
      <c r="DN280" s="79" t="s">
        <v>182</v>
      </c>
      <c r="DO280" s="79"/>
      <c r="DP280" s="79"/>
      <c r="DQ280" s="79"/>
      <c r="DR280" s="75" t="str">
        <f t="shared" si="161"/>
        <v>No aplica</v>
      </c>
      <c r="DS280" s="79"/>
      <c r="DT280" s="79"/>
      <c r="DU280" s="75" t="str">
        <f t="shared" si="162"/>
        <v>No aplica</v>
      </c>
      <c r="DV280" s="79" t="s">
        <v>182</v>
      </c>
      <c r="DW280" s="79"/>
      <c r="DX280" s="79"/>
      <c r="DY280" s="79"/>
      <c r="DZ280" s="79"/>
      <c r="EA280" s="79"/>
      <c r="EB280" s="79" t="s">
        <v>182</v>
      </c>
      <c r="EC280" s="79" t="s">
        <v>2118</v>
      </c>
      <c r="ED280" s="79" t="s">
        <v>184</v>
      </c>
      <c r="EE280" s="79" t="s">
        <v>621</v>
      </c>
      <c r="EF280" s="41"/>
      <c r="EG280" s="79" t="s">
        <v>153</v>
      </c>
      <c r="EH280" s="71"/>
      <c r="EI280" s="80"/>
      <c r="EJ280" s="71"/>
      <c r="EK280" s="79"/>
      <c r="EL280" s="76" t="str">
        <f t="shared" si="163"/>
        <v>No requiere</v>
      </c>
      <c r="EM280" s="76" t="str">
        <f t="shared" si="164"/>
        <v>No requiere</v>
      </c>
      <c r="EN280" s="76" t="str">
        <f t="shared" si="140"/>
        <v>No requiere</v>
      </c>
      <c r="EO280" s="71"/>
      <c r="EP280" s="73" t="str">
        <f t="shared" si="165"/>
        <v>No requiere</v>
      </c>
      <c r="EQ280" s="77" t="str">
        <f t="shared" si="166"/>
        <v>No requiere</v>
      </c>
      <c r="ER280" s="71"/>
      <c r="ES280" s="79"/>
      <c r="ET280" s="73" t="str">
        <f t="shared" si="167"/>
        <v>No requiere</v>
      </c>
      <c r="EU280" s="73" t="str">
        <f t="shared" si="141"/>
        <v>No requiere</v>
      </c>
      <c r="EV280" s="73" t="str">
        <f t="shared" si="168"/>
        <v>No requiere</v>
      </c>
      <c r="EW280" s="73" t="str">
        <f t="shared" si="169"/>
        <v>No requiere</v>
      </c>
      <c r="EX280" s="78"/>
      <c r="EY280" s="78"/>
    </row>
    <row r="281" spans="1:155" ht="46.5" customHeight="1">
      <c r="A281" s="79">
        <v>277</v>
      </c>
      <c r="B281" s="80" t="s">
        <v>434</v>
      </c>
      <c r="C281" s="81">
        <v>45394</v>
      </c>
      <c r="D281" s="82">
        <v>0.33333333333333331</v>
      </c>
      <c r="E281" s="79" t="s">
        <v>151</v>
      </c>
      <c r="F281" s="79" t="s">
        <v>153</v>
      </c>
      <c r="G281" s="79" t="s">
        <v>153</v>
      </c>
      <c r="H281" s="79" t="s">
        <v>152</v>
      </c>
      <c r="I281" s="79" t="s">
        <v>152</v>
      </c>
      <c r="J281" s="79" t="s">
        <v>154</v>
      </c>
      <c r="K281" s="79" t="s">
        <v>202</v>
      </c>
      <c r="L281" s="80" t="s">
        <v>2132</v>
      </c>
      <c r="M281" s="80" t="s">
        <v>229</v>
      </c>
      <c r="N281" s="79" t="s">
        <v>195</v>
      </c>
      <c r="O281" s="80" t="str">
        <f t="shared" si="157"/>
        <v>Yohan David Díaz, Valentina González Pontón</v>
      </c>
      <c r="P281" s="79" t="s">
        <v>164</v>
      </c>
      <c r="Q281" s="79" t="s">
        <v>329</v>
      </c>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t="s">
        <v>169</v>
      </c>
      <c r="AP281" s="79" t="s">
        <v>170</v>
      </c>
      <c r="AQ281" s="80" t="s">
        <v>171</v>
      </c>
      <c r="AR281" s="83" t="s">
        <v>171</v>
      </c>
      <c r="AS281" s="80" t="s">
        <v>171</v>
      </c>
      <c r="AT281" s="80" t="str">
        <f t="shared" si="158"/>
        <v>Distrital</v>
      </c>
      <c r="AU281" s="79" t="s">
        <v>172</v>
      </c>
      <c r="AV281" s="79"/>
      <c r="AW281" s="79"/>
      <c r="AX281" s="79"/>
      <c r="AY281" s="79"/>
      <c r="AZ281" s="79"/>
      <c r="BA281" s="80" t="str">
        <f t="shared" si="159"/>
        <v>Distrital</v>
      </c>
      <c r="BB281" s="79" t="s">
        <v>172</v>
      </c>
      <c r="BC281" s="79"/>
      <c r="BD281" s="79"/>
      <c r="BE281" s="79"/>
      <c r="BF281" s="79"/>
      <c r="BG281" s="79"/>
      <c r="BH281" s="80" t="str">
        <f t="shared" si="160"/>
        <v>Distrital</v>
      </c>
      <c r="BI281" s="79" t="s">
        <v>172</v>
      </c>
      <c r="BJ281" s="79"/>
      <c r="BK281" s="79"/>
      <c r="BL281" s="79"/>
      <c r="BM281" s="79"/>
      <c r="BN281" s="79"/>
      <c r="BO281" s="79"/>
      <c r="BP281" s="79"/>
      <c r="BQ281" s="79"/>
      <c r="BR281" s="79"/>
      <c r="BS281" s="80" t="s">
        <v>288</v>
      </c>
      <c r="BT281" s="80" t="s">
        <v>174</v>
      </c>
      <c r="BU281" s="80" t="s">
        <v>2133</v>
      </c>
      <c r="BV281" s="71"/>
      <c r="BW281" s="79" t="s">
        <v>153</v>
      </c>
      <c r="BX281" s="79" t="s">
        <v>176</v>
      </c>
      <c r="BY281" s="71"/>
      <c r="BZ281" s="79">
        <v>17</v>
      </c>
      <c r="CA281" s="79">
        <v>12</v>
      </c>
      <c r="CB281" s="79">
        <f t="shared" si="25"/>
        <v>29</v>
      </c>
      <c r="CC281" s="79" t="str">
        <f t="shared" si="139"/>
        <v>Ninguna</v>
      </c>
      <c r="CD281" s="79" t="s">
        <v>174</v>
      </c>
      <c r="CE281" s="79"/>
      <c r="CF281" s="79"/>
      <c r="CG281" s="83" t="s">
        <v>2134</v>
      </c>
      <c r="CH281" s="41"/>
      <c r="CI281" s="79" t="s">
        <v>153</v>
      </c>
      <c r="CJ281" s="71"/>
      <c r="CK281" s="79">
        <f t="shared" si="177"/>
        <v>0</v>
      </c>
      <c r="CL281" s="79"/>
      <c r="CM281" s="79"/>
      <c r="CN281" s="79"/>
      <c r="CO281" s="79"/>
      <c r="CP281" s="79"/>
      <c r="CQ281" s="79"/>
      <c r="CR281" s="83" t="s">
        <v>179</v>
      </c>
      <c r="CS281" s="83" t="s">
        <v>179</v>
      </c>
      <c r="CT281" s="83" t="s">
        <v>179</v>
      </c>
      <c r="CU281" s="83" t="s">
        <v>179</v>
      </c>
      <c r="CV281" s="83" t="s">
        <v>179</v>
      </c>
      <c r="CW281" s="83" t="s">
        <v>179</v>
      </c>
      <c r="CX281" s="79" t="s">
        <v>153</v>
      </c>
      <c r="CY281" s="79">
        <v>0</v>
      </c>
      <c r="CZ281" s="79">
        <v>0</v>
      </c>
      <c r="DA281" s="79">
        <v>0</v>
      </c>
      <c r="DB281" s="84" t="s">
        <v>316</v>
      </c>
      <c r="DC281" s="41"/>
      <c r="DD281" s="79" t="s">
        <v>153</v>
      </c>
      <c r="DE281" s="71"/>
      <c r="DF281" s="85" t="s">
        <v>2135</v>
      </c>
      <c r="DG281" s="79">
        <v>271</v>
      </c>
      <c r="DH281" s="86">
        <v>45397</v>
      </c>
      <c r="DI281" s="79" t="s">
        <v>181</v>
      </c>
      <c r="DJ281" s="79" t="s">
        <v>182</v>
      </c>
      <c r="DK281" s="79"/>
      <c r="DL281" s="79">
        <v>0</v>
      </c>
      <c r="DM281" s="79">
        <v>0</v>
      </c>
      <c r="DN281" s="79" t="s">
        <v>182</v>
      </c>
      <c r="DO281" s="79"/>
      <c r="DP281" s="79"/>
      <c r="DQ281" s="79"/>
      <c r="DR281" s="75" t="str">
        <f t="shared" si="161"/>
        <v>No aplica</v>
      </c>
      <c r="DS281" s="79"/>
      <c r="DT281" s="79"/>
      <c r="DU281" s="75" t="str">
        <f t="shared" si="162"/>
        <v>No aplica</v>
      </c>
      <c r="DV281" s="79" t="s">
        <v>182</v>
      </c>
      <c r="DW281" s="79" t="s">
        <v>182</v>
      </c>
      <c r="DX281" s="79"/>
      <c r="DY281" s="79"/>
      <c r="DZ281" s="79"/>
      <c r="EA281" s="79"/>
      <c r="EB281" s="79"/>
      <c r="EC281" s="79"/>
      <c r="ED281" s="79" t="s">
        <v>184</v>
      </c>
      <c r="EE281" s="79" t="s">
        <v>621</v>
      </c>
      <c r="EF281" s="41"/>
      <c r="EG281" s="79" t="s">
        <v>153</v>
      </c>
      <c r="EH281" s="71"/>
      <c r="EI281" s="80"/>
      <c r="EJ281" s="71"/>
      <c r="EK281" s="79"/>
      <c r="EL281" s="76" t="str">
        <f t="shared" si="163"/>
        <v>No requiere</v>
      </c>
      <c r="EM281" s="76" t="str">
        <f t="shared" si="164"/>
        <v>No requiere</v>
      </c>
      <c r="EN281" s="76" t="str">
        <f t="shared" si="140"/>
        <v>No requiere</v>
      </c>
      <c r="EO281" s="71"/>
      <c r="EP281" s="73" t="str">
        <f t="shared" si="165"/>
        <v>No requiere</v>
      </c>
      <c r="EQ281" s="77" t="str">
        <f t="shared" si="166"/>
        <v>No requiere</v>
      </c>
      <c r="ER281" s="71"/>
      <c r="ES281" s="79"/>
      <c r="ET281" s="73" t="str">
        <f t="shared" si="167"/>
        <v>No requiere</v>
      </c>
      <c r="EU281" s="73" t="str">
        <f t="shared" si="141"/>
        <v>No requiere</v>
      </c>
      <c r="EV281" s="73" t="str">
        <f t="shared" si="168"/>
        <v>No requiere</v>
      </c>
      <c r="EW281" s="73" t="str">
        <f t="shared" si="169"/>
        <v>No requiere</v>
      </c>
      <c r="EX281" s="78"/>
      <c r="EY281" s="78"/>
    </row>
    <row r="282" spans="1:155" ht="46.5" customHeight="1">
      <c r="A282" s="79">
        <v>278</v>
      </c>
      <c r="B282" s="80" t="s">
        <v>2136</v>
      </c>
      <c r="C282" s="81">
        <v>45394</v>
      </c>
      <c r="D282" s="82">
        <v>0.375</v>
      </c>
      <c r="E282" s="79" t="s">
        <v>151</v>
      </c>
      <c r="F282" s="79" t="s">
        <v>153</v>
      </c>
      <c r="G282" s="79" t="s">
        <v>152</v>
      </c>
      <c r="H282" s="79" t="s">
        <v>152</v>
      </c>
      <c r="I282" s="79" t="s">
        <v>152</v>
      </c>
      <c r="J282" s="79" t="s">
        <v>154</v>
      </c>
      <c r="K282" s="79" t="s">
        <v>155</v>
      </c>
      <c r="L282" s="80" t="s">
        <v>2137</v>
      </c>
      <c r="M282" s="80" t="s">
        <v>327</v>
      </c>
      <c r="N282" s="79" t="s">
        <v>924</v>
      </c>
      <c r="O282" s="80" t="str">
        <f t="shared" si="157"/>
        <v>Nicolás Esteban Flórez</v>
      </c>
      <c r="P282" s="79" t="s">
        <v>472</v>
      </c>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t="s">
        <v>304</v>
      </c>
      <c r="AP282" s="79"/>
      <c r="AQ282" s="80" t="s">
        <v>2138</v>
      </c>
      <c r="AR282" s="83">
        <v>3017902221</v>
      </c>
      <c r="AS282" s="80" t="s">
        <v>1989</v>
      </c>
      <c r="AT282" s="80" t="str">
        <f t="shared" si="158"/>
        <v>Kennedy</v>
      </c>
      <c r="AU282" s="79" t="s">
        <v>731</v>
      </c>
      <c r="AV282" s="79"/>
      <c r="AW282" s="79"/>
      <c r="AX282" s="79"/>
      <c r="AY282" s="79"/>
      <c r="AZ282" s="79"/>
      <c r="BA282" s="80" t="str">
        <f t="shared" si="159"/>
        <v>Suroccidente</v>
      </c>
      <c r="BB282" s="79" t="s">
        <v>732</v>
      </c>
      <c r="BC282" s="79"/>
      <c r="BD282" s="79"/>
      <c r="BE282" s="79"/>
      <c r="BF282" s="79"/>
      <c r="BG282" s="79"/>
      <c r="BH282" s="80" t="str">
        <f t="shared" si="160"/>
        <v>Kennedy</v>
      </c>
      <c r="BI282" s="79" t="s">
        <v>731</v>
      </c>
      <c r="BJ282" s="79"/>
      <c r="BK282" s="79"/>
      <c r="BL282" s="79"/>
      <c r="BM282" s="79"/>
      <c r="BN282" s="79"/>
      <c r="BO282" s="79"/>
      <c r="BP282" s="79"/>
      <c r="BQ282" s="79"/>
      <c r="BR282" s="79"/>
      <c r="BS282" s="80" t="s">
        <v>2139</v>
      </c>
      <c r="BT282" s="80" t="s">
        <v>174</v>
      </c>
      <c r="BU282" s="80" t="s">
        <v>2140</v>
      </c>
      <c r="BV282" s="71"/>
      <c r="BW282" s="79" t="s">
        <v>153</v>
      </c>
      <c r="BX282" s="79" t="s">
        <v>607</v>
      </c>
      <c r="BY282" s="71"/>
      <c r="BZ282" s="79">
        <v>150</v>
      </c>
      <c r="CA282" s="79">
        <v>2</v>
      </c>
      <c r="CB282" s="79">
        <f t="shared" ref="CB282:CB350" si="178">BZ282+CA282</f>
        <v>152</v>
      </c>
      <c r="CC282" s="79" t="str">
        <f t="shared" si="139"/>
        <v>Lenguaje de señas</v>
      </c>
      <c r="CD282" s="79" t="s">
        <v>349</v>
      </c>
      <c r="CE282" s="79"/>
      <c r="CF282" s="79"/>
      <c r="CG282" s="83" t="s">
        <v>2141</v>
      </c>
      <c r="CH282" s="41"/>
      <c r="CI282" s="79" t="s">
        <v>153</v>
      </c>
      <c r="CJ282" s="71"/>
      <c r="CK282" s="79">
        <f t="shared" si="177"/>
        <v>0</v>
      </c>
      <c r="CL282" s="79"/>
      <c r="CM282" s="79"/>
      <c r="CN282" s="79"/>
      <c r="CO282" s="79"/>
      <c r="CP282" s="79"/>
      <c r="CQ282" s="79"/>
      <c r="CR282" s="83" t="s">
        <v>179</v>
      </c>
      <c r="CS282" s="83" t="s">
        <v>179</v>
      </c>
      <c r="CT282" s="83" t="s">
        <v>179</v>
      </c>
      <c r="CU282" s="83" t="s">
        <v>179</v>
      </c>
      <c r="CV282" s="83" t="s">
        <v>179</v>
      </c>
      <c r="CW282" s="83" t="s">
        <v>179</v>
      </c>
      <c r="CX282" s="79" t="s">
        <v>153</v>
      </c>
      <c r="CY282" s="79">
        <v>0</v>
      </c>
      <c r="CZ282" s="79">
        <v>0</v>
      </c>
      <c r="DA282" s="79">
        <v>0</v>
      </c>
      <c r="DB282" s="84" t="s">
        <v>316</v>
      </c>
      <c r="DC282" s="41"/>
      <c r="DD282" s="79" t="s">
        <v>153</v>
      </c>
      <c r="DE282" s="71"/>
      <c r="DF282" s="85" t="s">
        <v>2142</v>
      </c>
      <c r="DG282" s="79">
        <v>272</v>
      </c>
      <c r="DH282" s="86">
        <v>45398</v>
      </c>
      <c r="DI282" s="79" t="s">
        <v>181</v>
      </c>
      <c r="DJ282" s="79" t="s">
        <v>182</v>
      </c>
      <c r="DK282" s="79"/>
      <c r="DL282" s="79">
        <v>0</v>
      </c>
      <c r="DM282" s="79">
        <v>0</v>
      </c>
      <c r="DN282" s="79" t="s">
        <v>191</v>
      </c>
      <c r="DO282" s="79"/>
      <c r="DP282" s="79"/>
      <c r="DQ282" s="79"/>
      <c r="DR282" s="75" t="str">
        <f t="shared" si="161"/>
        <v>No aplica</v>
      </c>
      <c r="DS282" s="79"/>
      <c r="DT282" s="79"/>
      <c r="DU282" s="75" t="str">
        <f t="shared" si="162"/>
        <v>No aplica</v>
      </c>
      <c r="DV282" s="79" t="s">
        <v>182</v>
      </c>
      <c r="DW282" s="79" t="s">
        <v>182</v>
      </c>
      <c r="DX282" s="79"/>
      <c r="DY282" s="79"/>
      <c r="DZ282" s="79"/>
      <c r="EA282" s="79"/>
      <c r="EB282" s="79"/>
      <c r="EC282" s="79"/>
      <c r="ED282" s="79" t="s">
        <v>184</v>
      </c>
      <c r="EE282" s="79" t="s">
        <v>621</v>
      </c>
      <c r="EF282" s="41"/>
      <c r="EG282" s="79" t="s">
        <v>153</v>
      </c>
      <c r="EH282" s="71"/>
      <c r="EI282" s="80"/>
      <c r="EJ282" s="71"/>
      <c r="EK282" s="79"/>
      <c r="EL282" s="76" t="str">
        <f t="shared" si="163"/>
        <v>No requiere</v>
      </c>
      <c r="EM282" s="76" t="str">
        <f t="shared" si="164"/>
        <v>No requiere</v>
      </c>
      <c r="EN282" s="76" t="str">
        <f t="shared" si="140"/>
        <v>No requiere</v>
      </c>
      <c r="EO282" s="71"/>
      <c r="EP282" s="73" t="str">
        <f t="shared" si="165"/>
        <v>No requiere</v>
      </c>
      <c r="EQ282" s="77" t="str">
        <f t="shared" si="166"/>
        <v>No requiere</v>
      </c>
      <c r="ER282" s="71"/>
      <c r="ES282" s="79"/>
      <c r="ET282" s="73" t="str">
        <f t="shared" si="167"/>
        <v>No requiere</v>
      </c>
      <c r="EU282" s="73" t="str">
        <f t="shared" si="141"/>
        <v>No requiere</v>
      </c>
      <c r="EV282" s="73" t="str">
        <f t="shared" si="168"/>
        <v>No requiere</v>
      </c>
      <c r="EW282" s="73" t="str">
        <f t="shared" si="169"/>
        <v>No requiere</v>
      </c>
      <c r="EX282" s="78"/>
      <c r="EY282" s="78"/>
    </row>
    <row r="283" spans="1:155" ht="46.5" customHeight="1">
      <c r="A283" s="79">
        <v>279</v>
      </c>
      <c r="B283" s="80" t="s">
        <v>2143</v>
      </c>
      <c r="C283" s="81">
        <v>45394</v>
      </c>
      <c r="D283" s="82">
        <v>0.375</v>
      </c>
      <c r="E283" s="79" t="s">
        <v>151</v>
      </c>
      <c r="F283" s="79" t="s">
        <v>153</v>
      </c>
      <c r="G283" s="79" t="s">
        <v>152</v>
      </c>
      <c r="H283" s="79" t="s">
        <v>152</v>
      </c>
      <c r="I283" s="79" t="s">
        <v>152</v>
      </c>
      <c r="J283" s="79" t="s">
        <v>154</v>
      </c>
      <c r="K283" s="79" t="s">
        <v>155</v>
      </c>
      <c r="L283" s="80" t="s">
        <v>2144</v>
      </c>
      <c r="M283" s="80" t="s">
        <v>303</v>
      </c>
      <c r="N283" s="79" t="s">
        <v>887</v>
      </c>
      <c r="O283" s="80" t="str">
        <f t="shared" si="157"/>
        <v>Yeiker Guerra Sarmiento</v>
      </c>
      <c r="P283" s="79" t="s">
        <v>163</v>
      </c>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t="s">
        <v>230</v>
      </c>
      <c r="AP283" s="79" t="s">
        <v>925</v>
      </c>
      <c r="AQ283" s="80" t="s">
        <v>2145</v>
      </c>
      <c r="AR283" s="83">
        <v>3007852431</v>
      </c>
      <c r="AS283" s="80" t="s">
        <v>2146</v>
      </c>
      <c r="AT283" s="80" t="str">
        <f t="shared" si="158"/>
        <v>Distrital</v>
      </c>
      <c r="AU283" s="79" t="s">
        <v>172</v>
      </c>
      <c r="AV283" s="79"/>
      <c r="AW283" s="79"/>
      <c r="AX283" s="79"/>
      <c r="AY283" s="79"/>
      <c r="AZ283" s="79"/>
      <c r="BA283" s="80" t="str">
        <f t="shared" si="159"/>
        <v>Distrital</v>
      </c>
      <c r="BB283" s="79" t="s">
        <v>172</v>
      </c>
      <c r="BC283" s="79"/>
      <c r="BD283" s="79"/>
      <c r="BE283" s="79"/>
      <c r="BF283" s="79"/>
      <c r="BG283" s="79"/>
      <c r="BH283" s="80" t="str">
        <f t="shared" si="160"/>
        <v>Distrital</v>
      </c>
      <c r="BI283" s="79" t="s">
        <v>172</v>
      </c>
      <c r="BJ283" s="79"/>
      <c r="BK283" s="79"/>
      <c r="BL283" s="79"/>
      <c r="BM283" s="79"/>
      <c r="BN283" s="79"/>
      <c r="BO283" s="79"/>
      <c r="BP283" s="79"/>
      <c r="BQ283" s="79"/>
      <c r="BR283" s="79"/>
      <c r="BS283" s="80" t="s">
        <v>2147</v>
      </c>
      <c r="BT283" s="80" t="s">
        <v>174</v>
      </c>
      <c r="BU283" s="80" t="s">
        <v>2148</v>
      </c>
      <c r="BV283" s="71"/>
      <c r="BW283" s="79" t="s">
        <v>153</v>
      </c>
      <c r="BX283" s="79" t="s">
        <v>607</v>
      </c>
      <c r="BY283" s="71"/>
      <c r="BZ283" s="79">
        <v>14</v>
      </c>
      <c r="CA283" s="79">
        <v>2</v>
      </c>
      <c r="CB283" s="79">
        <f t="shared" si="178"/>
        <v>16</v>
      </c>
      <c r="CC283" s="79" t="str">
        <f t="shared" si="139"/>
        <v>No Aplica</v>
      </c>
      <c r="CD283" s="79" t="s">
        <v>177</v>
      </c>
      <c r="CE283" s="79"/>
      <c r="CF283" s="79"/>
      <c r="CG283" s="83" t="s">
        <v>2149</v>
      </c>
      <c r="CH283" s="41"/>
      <c r="CI283" s="79" t="s">
        <v>153</v>
      </c>
      <c r="CJ283" s="71"/>
      <c r="CK283" s="79">
        <f t="shared" si="177"/>
        <v>0</v>
      </c>
      <c r="CL283" s="79"/>
      <c r="CM283" s="79"/>
      <c r="CN283" s="79"/>
      <c r="CO283" s="79"/>
      <c r="CP283" s="79"/>
      <c r="CQ283" s="79"/>
      <c r="CR283" s="83" t="s">
        <v>179</v>
      </c>
      <c r="CS283" s="83" t="s">
        <v>179</v>
      </c>
      <c r="CT283" s="83" t="s">
        <v>179</v>
      </c>
      <c r="CU283" s="83" t="s">
        <v>179</v>
      </c>
      <c r="CV283" s="83" t="s">
        <v>179</v>
      </c>
      <c r="CW283" s="83" t="s">
        <v>179</v>
      </c>
      <c r="CX283" s="79" t="s">
        <v>153</v>
      </c>
      <c r="CY283" s="79"/>
      <c r="CZ283" s="79"/>
      <c r="DA283" s="79"/>
      <c r="DB283" s="84"/>
      <c r="DC283" s="41"/>
      <c r="DD283" s="79" t="s">
        <v>153</v>
      </c>
      <c r="DE283" s="71"/>
      <c r="DF283" s="85" t="s">
        <v>2150</v>
      </c>
      <c r="DG283" s="79">
        <v>273</v>
      </c>
      <c r="DH283" s="86">
        <v>45399</v>
      </c>
      <c r="DI283" s="79" t="s">
        <v>181</v>
      </c>
      <c r="DJ283" s="79" t="s">
        <v>182</v>
      </c>
      <c r="DK283" s="79"/>
      <c r="DL283" s="79"/>
      <c r="DM283" s="79"/>
      <c r="DN283" s="79" t="s">
        <v>182</v>
      </c>
      <c r="DO283" s="79"/>
      <c r="DP283" s="79"/>
      <c r="DQ283" s="79"/>
      <c r="DR283" s="75" t="str">
        <f t="shared" si="161"/>
        <v>No aplica</v>
      </c>
      <c r="DS283" s="79"/>
      <c r="DT283" s="79"/>
      <c r="DU283" s="75" t="str">
        <f t="shared" si="162"/>
        <v>No aplica</v>
      </c>
      <c r="DV283" s="79" t="s">
        <v>182</v>
      </c>
      <c r="DW283" s="79"/>
      <c r="DX283" s="79"/>
      <c r="DY283" s="79"/>
      <c r="DZ283" s="79"/>
      <c r="EA283" s="79"/>
      <c r="EB283" s="79"/>
      <c r="EC283" s="79"/>
      <c r="ED283" s="79" t="s">
        <v>2151</v>
      </c>
      <c r="EE283" s="79" t="s">
        <v>621</v>
      </c>
      <c r="EF283" s="41"/>
      <c r="EG283" s="79" t="s">
        <v>153</v>
      </c>
      <c r="EH283" s="71"/>
      <c r="EI283" s="80"/>
      <c r="EJ283" s="71"/>
      <c r="EK283" s="79"/>
      <c r="EL283" s="76" t="str">
        <f t="shared" si="163"/>
        <v>No requiere</v>
      </c>
      <c r="EM283" s="76" t="str">
        <f t="shared" si="164"/>
        <v>No requiere</v>
      </c>
      <c r="EN283" s="76" t="str">
        <f t="shared" si="140"/>
        <v>No requiere</v>
      </c>
      <c r="EO283" s="71"/>
      <c r="EP283" s="73" t="str">
        <f t="shared" si="165"/>
        <v>No requiere</v>
      </c>
      <c r="EQ283" s="77" t="str">
        <f t="shared" si="166"/>
        <v>No requiere</v>
      </c>
      <c r="ER283" s="71"/>
      <c r="ES283" s="79"/>
      <c r="ET283" s="73" t="str">
        <f t="shared" si="167"/>
        <v>No requiere</v>
      </c>
      <c r="EU283" s="73" t="str">
        <f t="shared" si="141"/>
        <v>No requiere</v>
      </c>
      <c r="EV283" s="73" t="str">
        <f t="shared" si="168"/>
        <v>No requiere</v>
      </c>
      <c r="EW283" s="73" t="str">
        <f t="shared" si="169"/>
        <v>No requiere</v>
      </c>
      <c r="EX283" s="78"/>
      <c r="EY283" s="78"/>
    </row>
    <row r="284" spans="1:155" ht="46.5" customHeight="1">
      <c r="A284" s="79" t="str">
        <v/>
      </c>
      <c r="B284" s="80" t="s">
        <v>2152</v>
      </c>
      <c r="C284" s="81">
        <v>45394</v>
      </c>
      <c r="D284" s="82">
        <v>0.45833333333333331</v>
      </c>
      <c r="E284" s="79" t="s">
        <v>151</v>
      </c>
      <c r="F284" s="79" t="s">
        <v>152</v>
      </c>
      <c r="G284" s="79" t="s">
        <v>152</v>
      </c>
      <c r="H284" s="79" t="s">
        <v>152</v>
      </c>
      <c r="I284" s="79" t="s">
        <v>152</v>
      </c>
      <c r="J284" s="79" t="s">
        <v>2153</v>
      </c>
      <c r="K284" s="79" t="s">
        <v>202</v>
      </c>
      <c r="L284" s="80" t="s">
        <v>2154</v>
      </c>
      <c r="M284" s="80" t="s">
        <v>157</v>
      </c>
      <c r="N284" s="79" t="s">
        <v>346</v>
      </c>
      <c r="O284" s="80" t="str">
        <f t="shared" si="157"/>
        <v>Michael Cruz Roa</v>
      </c>
      <c r="P284" s="79" t="s">
        <v>265</v>
      </c>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t="s">
        <v>304</v>
      </c>
      <c r="AP284" s="79"/>
      <c r="AQ284" s="80" t="s">
        <v>2155</v>
      </c>
      <c r="AR284" s="83">
        <v>3208382088</v>
      </c>
      <c r="AS284" s="80" t="s">
        <v>2156</v>
      </c>
      <c r="AT284" s="80" t="str">
        <f t="shared" si="158"/>
        <v>Distrital</v>
      </c>
      <c r="AU284" s="79" t="s">
        <v>172</v>
      </c>
      <c r="AV284" s="79"/>
      <c r="AW284" s="79"/>
      <c r="AX284" s="79"/>
      <c r="AY284" s="79"/>
      <c r="AZ284" s="79"/>
      <c r="BA284" s="80" t="str">
        <f t="shared" si="159"/>
        <v>Distrital</v>
      </c>
      <c r="BB284" s="79" t="s">
        <v>172</v>
      </c>
      <c r="BC284" s="79"/>
      <c r="BD284" s="79"/>
      <c r="BE284" s="79"/>
      <c r="BF284" s="79"/>
      <c r="BG284" s="79"/>
      <c r="BH284" s="80" t="str">
        <f t="shared" si="160"/>
        <v>Distrital</v>
      </c>
      <c r="BI284" s="79" t="s">
        <v>172</v>
      </c>
      <c r="BJ284" s="79"/>
      <c r="BK284" s="79"/>
      <c r="BL284" s="79"/>
      <c r="BM284" s="79"/>
      <c r="BN284" s="79"/>
      <c r="BO284" s="79"/>
      <c r="BP284" s="79"/>
      <c r="BQ284" s="79"/>
      <c r="BR284" s="79"/>
      <c r="BS284" s="80" t="s">
        <v>288</v>
      </c>
      <c r="BT284" s="80" t="s">
        <v>174</v>
      </c>
      <c r="BU284" s="89" t="s">
        <v>2157</v>
      </c>
      <c r="BV284" s="71"/>
      <c r="BW284" s="79" t="s">
        <v>152</v>
      </c>
      <c r="BX284" s="79" t="s">
        <v>179</v>
      </c>
      <c r="BY284" s="71"/>
      <c r="BZ284" s="79">
        <v>9</v>
      </c>
      <c r="CA284" s="79">
        <v>4</v>
      </c>
      <c r="CB284" s="79">
        <f t="shared" si="178"/>
        <v>13</v>
      </c>
      <c r="CC284" s="79" t="str">
        <f t="shared" si="139"/>
        <v>No Aplica</v>
      </c>
      <c r="CD284" s="79" t="s">
        <v>177</v>
      </c>
      <c r="CE284" s="79"/>
      <c r="CF284" s="79"/>
      <c r="CG284" s="83" t="s">
        <v>2158</v>
      </c>
      <c r="CH284" s="41"/>
      <c r="CI284" s="79" t="s">
        <v>153</v>
      </c>
      <c r="CJ284" s="71"/>
      <c r="CK284" s="79">
        <f t="shared" si="177"/>
        <v>0</v>
      </c>
      <c r="CL284" s="79"/>
      <c r="CM284" s="79"/>
      <c r="CN284" s="79"/>
      <c r="CO284" s="79"/>
      <c r="CP284" s="79"/>
      <c r="CQ284" s="79"/>
      <c r="CR284" s="83" t="s">
        <v>179</v>
      </c>
      <c r="CS284" s="83" t="s">
        <v>179</v>
      </c>
      <c r="CT284" s="83" t="s">
        <v>179</v>
      </c>
      <c r="CU284" s="83" t="s">
        <v>179</v>
      </c>
      <c r="CV284" s="83" t="s">
        <v>179</v>
      </c>
      <c r="CW284" s="83" t="s">
        <v>179</v>
      </c>
      <c r="CX284" s="79" t="s">
        <v>153</v>
      </c>
      <c r="CY284" s="79">
        <v>0</v>
      </c>
      <c r="CZ284" s="79">
        <v>0</v>
      </c>
      <c r="DA284" s="79">
        <v>0</v>
      </c>
      <c r="DB284" s="84"/>
      <c r="DC284" s="41"/>
      <c r="DD284" s="79" t="s">
        <v>153</v>
      </c>
      <c r="DE284" s="71"/>
      <c r="DF284" s="85" t="s">
        <v>2159</v>
      </c>
      <c r="DG284" s="79">
        <v>274</v>
      </c>
      <c r="DH284" s="86">
        <v>45399</v>
      </c>
      <c r="DI284" s="79" t="s">
        <v>181</v>
      </c>
      <c r="DJ284" s="79" t="s">
        <v>182</v>
      </c>
      <c r="DK284" s="79"/>
      <c r="DL284" s="79">
        <v>0</v>
      </c>
      <c r="DM284" s="79">
        <v>0</v>
      </c>
      <c r="DN284" s="79"/>
      <c r="DO284" s="79"/>
      <c r="DP284" s="79"/>
      <c r="DQ284" s="79"/>
      <c r="DR284" s="75" t="str">
        <f t="shared" si="161"/>
        <v>No aplica</v>
      </c>
      <c r="DS284" s="79"/>
      <c r="DT284" s="79"/>
      <c r="DU284" s="75" t="str">
        <f t="shared" si="162"/>
        <v>No aplica</v>
      </c>
      <c r="DV284" s="79" t="s">
        <v>182</v>
      </c>
      <c r="DW284" s="79" t="s">
        <v>182</v>
      </c>
      <c r="DX284" s="79"/>
      <c r="DY284" s="79"/>
      <c r="DZ284" s="79"/>
      <c r="EA284" s="79"/>
      <c r="EB284" s="79"/>
      <c r="EC284" s="79"/>
      <c r="ED284" s="79" t="s">
        <v>2160</v>
      </c>
      <c r="EE284" s="79" t="s">
        <v>621</v>
      </c>
      <c r="EF284" s="41"/>
      <c r="EG284" s="79" t="s">
        <v>153</v>
      </c>
      <c r="EH284" s="71"/>
      <c r="EI284" s="80"/>
      <c r="EJ284" s="71"/>
      <c r="EK284" s="79"/>
      <c r="EL284" s="76" t="str">
        <f t="shared" si="163"/>
        <v>No requiere</v>
      </c>
      <c r="EM284" s="76" t="str">
        <f t="shared" si="164"/>
        <v>No requiere</v>
      </c>
      <c r="EN284" s="76" t="str">
        <f t="shared" si="140"/>
        <v>No requiere</v>
      </c>
      <c r="EO284" s="71"/>
      <c r="EP284" s="73" t="str">
        <f t="shared" si="165"/>
        <v>No requiere</v>
      </c>
      <c r="EQ284" s="77" t="str">
        <f t="shared" si="166"/>
        <v>No requiere</v>
      </c>
      <c r="ER284" s="71"/>
      <c r="ES284" s="79"/>
      <c r="ET284" s="73" t="str">
        <f t="shared" si="167"/>
        <v>No requiere</v>
      </c>
      <c r="EU284" s="73" t="str">
        <f t="shared" si="141"/>
        <v>No requiere</v>
      </c>
      <c r="EV284" s="73" t="str">
        <f t="shared" si="168"/>
        <v>No requiere</v>
      </c>
      <c r="EW284" s="73" t="str">
        <f t="shared" si="169"/>
        <v>No requiere</v>
      </c>
      <c r="EX284" s="78"/>
      <c r="EY284" s="78"/>
    </row>
    <row r="285" spans="1:155" ht="46.5" customHeight="1">
      <c r="A285" s="79">
        <v>281</v>
      </c>
      <c r="B285" s="80" t="s">
        <v>680</v>
      </c>
      <c r="C285" s="81">
        <v>45394</v>
      </c>
      <c r="D285" s="82">
        <v>0.70833333333333337</v>
      </c>
      <c r="E285" s="79" t="s">
        <v>200</v>
      </c>
      <c r="F285" s="79" t="s">
        <v>153</v>
      </c>
      <c r="G285" s="79" t="s">
        <v>152</v>
      </c>
      <c r="H285" s="79" t="s">
        <v>152</v>
      </c>
      <c r="I285" s="79" t="s">
        <v>152</v>
      </c>
      <c r="J285" s="79" t="s">
        <v>211</v>
      </c>
      <c r="K285" s="79" t="s">
        <v>155</v>
      </c>
      <c r="L285" s="80" t="s">
        <v>2161</v>
      </c>
      <c r="M285" s="80" t="s">
        <v>624</v>
      </c>
      <c r="N285" s="79" t="s">
        <v>253</v>
      </c>
      <c r="O285" s="80" t="str">
        <f t="shared" si="157"/>
        <v>PENDIENTE</v>
      </c>
      <c r="P285" s="79" t="s">
        <v>196</v>
      </c>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t="s">
        <v>230</v>
      </c>
      <c r="AP285" s="79" t="s">
        <v>242</v>
      </c>
      <c r="AQ285" s="80" t="s">
        <v>625</v>
      </c>
      <c r="AR285" s="83">
        <v>3188799909</v>
      </c>
      <c r="AS285" s="80" t="s">
        <v>2040</v>
      </c>
      <c r="AT285" s="80" t="str">
        <f t="shared" si="158"/>
        <v>Distrital</v>
      </c>
      <c r="AU285" s="79" t="s">
        <v>172</v>
      </c>
      <c r="AV285" s="79"/>
      <c r="AW285" s="79"/>
      <c r="AX285" s="79"/>
      <c r="AY285" s="79"/>
      <c r="AZ285" s="79"/>
      <c r="BA285" s="80" t="str">
        <f t="shared" si="159"/>
        <v>Distrital</v>
      </c>
      <c r="BB285" s="79" t="s">
        <v>172</v>
      </c>
      <c r="BC285" s="79"/>
      <c r="BD285" s="79"/>
      <c r="BE285" s="79"/>
      <c r="BF285" s="79"/>
      <c r="BG285" s="79"/>
      <c r="BH285" s="80" t="str">
        <f t="shared" si="160"/>
        <v>Distrital</v>
      </c>
      <c r="BI285" s="79" t="s">
        <v>172</v>
      </c>
      <c r="BJ285" s="79"/>
      <c r="BK285" s="79"/>
      <c r="BL285" s="79"/>
      <c r="BM285" s="79"/>
      <c r="BN285" s="79"/>
      <c r="BO285" s="79"/>
      <c r="BP285" s="79"/>
      <c r="BQ285" s="79"/>
      <c r="BR285" s="79"/>
      <c r="BS285" s="80" t="s">
        <v>288</v>
      </c>
      <c r="BT285" s="80" t="s">
        <v>174</v>
      </c>
      <c r="BU285" s="80" t="s">
        <v>2041</v>
      </c>
      <c r="BV285" s="71"/>
      <c r="BW285" s="79" t="s">
        <v>153</v>
      </c>
      <c r="BX285" s="79" t="s">
        <v>176</v>
      </c>
      <c r="BY285" s="71"/>
      <c r="BZ285" s="79">
        <v>73</v>
      </c>
      <c r="CA285" s="79">
        <v>1</v>
      </c>
      <c r="CB285" s="79">
        <f t="shared" si="178"/>
        <v>74</v>
      </c>
      <c r="CC285" s="79" t="str">
        <f t="shared" si="139"/>
        <v>Ninguna</v>
      </c>
      <c r="CD285" s="79" t="s">
        <v>174</v>
      </c>
      <c r="CE285" s="79"/>
      <c r="CF285" s="79"/>
      <c r="CG285" s="83" t="s">
        <v>2162</v>
      </c>
      <c r="CH285" s="41"/>
      <c r="CI285" s="79" t="s">
        <v>153</v>
      </c>
      <c r="CJ285" s="71"/>
      <c r="CK285" s="79">
        <f t="shared" si="177"/>
        <v>0</v>
      </c>
      <c r="CL285" s="79"/>
      <c r="CM285" s="79"/>
      <c r="CN285" s="79"/>
      <c r="CO285" s="79"/>
      <c r="CP285" s="79"/>
      <c r="CQ285" s="79"/>
      <c r="CR285" s="83" t="s">
        <v>179</v>
      </c>
      <c r="CS285" s="83" t="s">
        <v>179</v>
      </c>
      <c r="CT285" s="83" t="s">
        <v>179</v>
      </c>
      <c r="CU285" s="83" t="s">
        <v>179</v>
      </c>
      <c r="CV285" s="83" t="s">
        <v>179</v>
      </c>
      <c r="CW285" s="83"/>
      <c r="CX285" s="79" t="s">
        <v>153</v>
      </c>
      <c r="CY285" s="79">
        <v>0</v>
      </c>
      <c r="CZ285" s="79">
        <v>0</v>
      </c>
      <c r="DA285" s="79">
        <v>0</v>
      </c>
      <c r="DB285" s="84" t="s">
        <v>316</v>
      </c>
      <c r="DC285" s="41"/>
      <c r="DD285" s="79" t="s">
        <v>153</v>
      </c>
      <c r="DE285" s="71"/>
      <c r="DF285" s="85" t="s">
        <v>2163</v>
      </c>
      <c r="DG285" s="79">
        <v>275</v>
      </c>
      <c r="DH285" s="86">
        <v>45399</v>
      </c>
      <c r="DI285" s="79" t="s">
        <v>181</v>
      </c>
      <c r="DJ285" s="79" t="s">
        <v>182</v>
      </c>
      <c r="DK285" s="79"/>
      <c r="DL285" s="79">
        <v>0</v>
      </c>
      <c r="DM285" s="79">
        <v>0</v>
      </c>
      <c r="DN285" s="79" t="s">
        <v>182</v>
      </c>
      <c r="DO285" s="79"/>
      <c r="DP285" s="79"/>
      <c r="DQ285" s="79"/>
      <c r="DR285" s="75" t="str">
        <f t="shared" si="161"/>
        <v>No aplica</v>
      </c>
      <c r="DS285" s="79"/>
      <c r="DT285" s="79"/>
      <c r="DU285" s="75" t="str">
        <f t="shared" si="162"/>
        <v>No aplica</v>
      </c>
      <c r="DV285" s="79" t="s">
        <v>182</v>
      </c>
      <c r="DW285" s="79" t="s">
        <v>182</v>
      </c>
      <c r="DX285" s="79"/>
      <c r="DY285" s="79"/>
      <c r="DZ285" s="79"/>
      <c r="EA285" s="79"/>
      <c r="EB285" s="79" t="s">
        <v>182</v>
      </c>
      <c r="EC285" s="79" t="s">
        <v>1578</v>
      </c>
      <c r="ED285" s="79" t="s">
        <v>2164</v>
      </c>
      <c r="EE285" s="79" t="s">
        <v>182</v>
      </c>
      <c r="EF285" s="41"/>
      <c r="EG285" s="79" t="s">
        <v>153</v>
      </c>
      <c r="EH285" s="71"/>
      <c r="EI285" s="80"/>
      <c r="EJ285" s="71"/>
      <c r="EK285" s="79"/>
      <c r="EL285" s="76" t="str">
        <f t="shared" si="163"/>
        <v>No requiere</v>
      </c>
      <c r="EM285" s="76" t="str">
        <f t="shared" si="164"/>
        <v>No requiere</v>
      </c>
      <c r="EN285" s="76" t="str">
        <f t="shared" si="140"/>
        <v>No requiere</v>
      </c>
      <c r="EO285" s="71"/>
      <c r="EP285" s="73" t="str">
        <f t="shared" si="165"/>
        <v>No requiere</v>
      </c>
      <c r="EQ285" s="77" t="str">
        <f t="shared" si="166"/>
        <v>No requiere</v>
      </c>
      <c r="ER285" s="71"/>
      <c r="ES285" s="79"/>
      <c r="ET285" s="73" t="str">
        <f t="shared" si="167"/>
        <v>No requiere</v>
      </c>
      <c r="EU285" s="73" t="str">
        <f t="shared" si="141"/>
        <v>No requiere</v>
      </c>
      <c r="EV285" s="73" t="str">
        <f t="shared" si="168"/>
        <v>No requiere</v>
      </c>
      <c r="EW285" s="73" t="str">
        <f t="shared" si="169"/>
        <v>No requiere</v>
      </c>
      <c r="EX285" s="78"/>
      <c r="EY285" s="78"/>
    </row>
    <row r="286" spans="1:155" ht="46.5" customHeight="1">
      <c r="A286" s="79">
        <v>282</v>
      </c>
      <c r="B286" s="80" t="s">
        <v>2165</v>
      </c>
      <c r="C286" s="81">
        <v>45396</v>
      </c>
      <c r="D286" s="82">
        <v>0.375</v>
      </c>
      <c r="E286" s="79" t="s">
        <v>151</v>
      </c>
      <c r="F286" s="79" t="s">
        <v>153</v>
      </c>
      <c r="G286" s="79" t="s">
        <v>152</v>
      </c>
      <c r="H286" s="79" t="s">
        <v>152</v>
      </c>
      <c r="I286" s="79" t="s">
        <v>152</v>
      </c>
      <c r="J286" s="79" t="s">
        <v>154</v>
      </c>
      <c r="K286" s="79" t="s">
        <v>155</v>
      </c>
      <c r="L286" s="80" t="s">
        <v>2166</v>
      </c>
      <c r="M286" s="80" t="s">
        <v>327</v>
      </c>
      <c r="N286" s="79" t="s">
        <v>720</v>
      </c>
      <c r="O286" s="80" t="str">
        <f t="shared" si="157"/>
        <v/>
      </c>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t="s">
        <v>304</v>
      </c>
      <c r="AP286" s="79"/>
      <c r="AQ286" s="80" t="s">
        <v>2167</v>
      </c>
      <c r="AR286" s="83" t="s">
        <v>2168</v>
      </c>
      <c r="AS286" s="80" t="s">
        <v>2169</v>
      </c>
      <c r="AT286" s="80" t="str">
        <f t="shared" si="158"/>
        <v>Rafael Uribe Uribe</v>
      </c>
      <c r="AU286" s="79" t="s">
        <v>635</v>
      </c>
      <c r="AV286" s="79"/>
      <c r="AW286" s="79"/>
      <c r="AX286" s="79"/>
      <c r="AY286" s="79"/>
      <c r="AZ286" s="79"/>
      <c r="BA286" s="80" t="str">
        <f t="shared" si="159"/>
        <v>Suroriente</v>
      </c>
      <c r="BB286" s="79" t="s">
        <v>218</v>
      </c>
      <c r="BC286" s="79"/>
      <c r="BD286" s="79"/>
      <c r="BE286" s="79"/>
      <c r="BF286" s="79"/>
      <c r="BG286" s="79"/>
      <c r="BH286" s="80" t="str">
        <f t="shared" si="160"/>
        <v>Restrepo, Rafael Uribe, San Cristobal</v>
      </c>
      <c r="BI286" s="79" t="s">
        <v>637</v>
      </c>
      <c r="BJ286" s="79" t="s">
        <v>723</v>
      </c>
      <c r="BK286" s="79" t="s">
        <v>571</v>
      </c>
      <c r="BL286" s="79"/>
      <c r="BM286" s="79"/>
      <c r="BN286" s="79"/>
      <c r="BO286" s="79"/>
      <c r="BP286" s="79"/>
      <c r="BQ286" s="79"/>
      <c r="BR286" s="79"/>
      <c r="BS286" s="80" t="s">
        <v>288</v>
      </c>
      <c r="BT286" s="80" t="s">
        <v>174</v>
      </c>
      <c r="BU286" s="80" t="s">
        <v>2170</v>
      </c>
      <c r="BV286" s="71"/>
      <c r="BW286" s="79" t="s">
        <v>153</v>
      </c>
      <c r="BX286" s="79" t="s">
        <v>607</v>
      </c>
      <c r="BY286" s="71"/>
      <c r="BZ286" s="79">
        <v>100</v>
      </c>
      <c r="CA286" s="79">
        <v>2</v>
      </c>
      <c r="CB286" s="79">
        <f t="shared" si="178"/>
        <v>102</v>
      </c>
      <c r="CC286" s="79" t="str">
        <f t="shared" si="139"/>
        <v>No Aplica</v>
      </c>
      <c r="CD286" s="79" t="s">
        <v>177</v>
      </c>
      <c r="CE286" s="79"/>
      <c r="CF286" s="79"/>
      <c r="CG286" s="83" t="s">
        <v>2171</v>
      </c>
      <c r="CH286" s="41"/>
      <c r="CI286" s="79" t="s">
        <v>153</v>
      </c>
      <c r="CJ286" s="71"/>
      <c r="CK286" s="79">
        <f t="shared" si="177"/>
        <v>0</v>
      </c>
      <c r="CL286" s="79"/>
      <c r="CM286" s="79"/>
      <c r="CN286" s="79"/>
      <c r="CO286" s="79"/>
      <c r="CP286" s="79"/>
      <c r="CQ286" s="79"/>
      <c r="CR286" s="83" t="s">
        <v>179</v>
      </c>
      <c r="CS286" s="83" t="s">
        <v>179</v>
      </c>
      <c r="CT286" s="83" t="s">
        <v>179</v>
      </c>
      <c r="CU286" s="83" t="s">
        <v>179</v>
      </c>
      <c r="CV286" s="83" t="s">
        <v>179</v>
      </c>
      <c r="CW286" s="83" t="s">
        <v>179</v>
      </c>
      <c r="CX286" s="79" t="s">
        <v>153</v>
      </c>
      <c r="CY286" s="79">
        <f t="shared" ref="CY286:CY287" si="179">SUM(COUNTIF(CR286:CW286,"Realizado y Devuelto a la Ciudadanía"),COUNTIF(CR286:CW286,"Realizado y Trasladado por competencia"), COUNTIF(CR286:CW286,"Realizado y Gestionado"))</f>
        <v>0</v>
      </c>
      <c r="CZ286" s="79">
        <v>0</v>
      </c>
      <c r="DA286" s="79">
        <f t="shared" ref="DA286:DA287" si="180">COUNTIF(CR286:CW286,"Realizado y Devuelto a la Ciudadanía")</f>
        <v>0</v>
      </c>
      <c r="DB286" s="84" t="str">
        <f t="shared" ref="DB286:DB287" si="181">IFERROR(CY286/CK286,"")</f>
        <v/>
      </c>
      <c r="DC286" s="41"/>
      <c r="DD286" s="79" t="s">
        <v>153</v>
      </c>
      <c r="DE286" s="71"/>
      <c r="DF286" s="85" t="s">
        <v>2172</v>
      </c>
      <c r="DG286" s="79">
        <v>276</v>
      </c>
      <c r="DH286" s="86" t="str">
        <f t="shared" ref="DH286:DH292" si="182">IF(EE286="Por completar",C286+3,"Completo")</f>
        <v>Completo</v>
      </c>
      <c r="DI286" s="79" t="s">
        <v>181</v>
      </c>
      <c r="DJ286" s="79" t="s">
        <v>182</v>
      </c>
      <c r="DK286" s="79"/>
      <c r="DL286" s="79">
        <v>0</v>
      </c>
      <c r="DM286" s="79">
        <v>0</v>
      </c>
      <c r="DN286" s="79" t="s">
        <v>182</v>
      </c>
      <c r="DO286" s="79"/>
      <c r="DP286" s="79"/>
      <c r="DQ286" s="79"/>
      <c r="DR286" s="75" t="str">
        <f t="shared" si="161"/>
        <v>No aplica</v>
      </c>
      <c r="DS286" s="79"/>
      <c r="DT286" s="79"/>
      <c r="DU286" s="75" t="str">
        <f t="shared" si="162"/>
        <v>No aplica</v>
      </c>
      <c r="DV286" s="79" t="s">
        <v>182</v>
      </c>
      <c r="DW286" s="79"/>
      <c r="DX286" s="79"/>
      <c r="DY286" s="79"/>
      <c r="DZ286" s="79"/>
      <c r="EA286" s="79"/>
      <c r="EB286" s="79" t="s">
        <v>182</v>
      </c>
      <c r="EC286" s="79" t="s">
        <v>2173</v>
      </c>
      <c r="ED286" s="79" t="s">
        <v>184</v>
      </c>
      <c r="EE286" s="79" t="str">
        <f t="shared" ref="EE286:EE287" si="183">IF(DI286="Subsanado","Completo","Por Completar")</f>
        <v>Completo</v>
      </c>
      <c r="EF286" s="41"/>
      <c r="EG286" s="79" t="s">
        <v>153</v>
      </c>
      <c r="EH286" s="71"/>
      <c r="EI286" s="80"/>
      <c r="EJ286" s="71"/>
      <c r="EK286" s="79"/>
      <c r="EL286" s="76" t="str">
        <f t="shared" si="163"/>
        <v>No requiere</v>
      </c>
      <c r="EM286" s="76" t="str">
        <f t="shared" si="164"/>
        <v>No requiere</v>
      </c>
      <c r="EN286" s="76" t="str">
        <f t="shared" si="140"/>
        <v>No requiere</v>
      </c>
      <c r="EO286" s="71"/>
      <c r="EP286" s="73" t="str">
        <f t="shared" si="165"/>
        <v>No requiere</v>
      </c>
      <c r="EQ286" s="77" t="str">
        <f t="shared" si="166"/>
        <v>No requiere</v>
      </c>
      <c r="ER286" s="71"/>
      <c r="ES286" s="79"/>
      <c r="ET286" s="73" t="str">
        <f t="shared" si="167"/>
        <v>No requiere</v>
      </c>
      <c r="EU286" s="73" t="str">
        <f t="shared" si="141"/>
        <v>No requiere</v>
      </c>
      <c r="EV286" s="73" t="str">
        <f t="shared" si="168"/>
        <v>No requiere</v>
      </c>
      <c r="EW286" s="73" t="str">
        <f t="shared" si="169"/>
        <v>No requiere</v>
      </c>
      <c r="EX286" s="78"/>
      <c r="EY286" s="78"/>
    </row>
    <row r="287" spans="1:155" ht="46.5" customHeight="1">
      <c r="A287" s="79">
        <v>283</v>
      </c>
      <c r="B287" s="80" t="s">
        <v>2174</v>
      </c>
      <c r="C287" s="81">
        <v>45397</v>
      </c>
      <c r="D287" s="82">
        <v>0.375</v>
      </c>
      <c r="E287" s="79" t="s">
        <v>200</v>
      </c>
      <c r="F287" s="79" t="s">
        <v>153</v>
      </c>
      <c r="G287" s="79" t="s">
        <v>152</v>
      </c>
      <c r="H287" s="79" t="s">
        <v>152</v>
      </c>
      <c r="I287" s="79" t="s">
        <v>152</v>
      </c>
      <c r="J287" s="79" t="s">
        <v>211</v>
      </c>
      <c r="K287" s="79" t="s">
        <v>155</v>
      </c>
      <c r="L287" s="80" t="s">
        <v>2175</v>
      </c>
      <c r="M287" s="80" t="s">
        <v>624</v>
      </c>
      <c r="N287" s="79" t="s">
        <v>522</v>
      </c>
      <c r="O287" s="80" t="str">
        <f t="shared" si="157"/>
        <v>PENDIENTE</v>
      </c>
      <c r="P287" s="79" t="s">
        <v>196</v>
      </c>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t="s">
        <v>230</v>
      </c>
      <c r="AP287" s="79" t="s">
        <v>242</v>
      </c>
      <c r="AQ287" s="80" t="s">
        <v>2176</v>
      </c>
      <c r="AR287" s="83">
        <v>3013090210</v>
      </c>
      <c r="AS287" s="80" t="s">
        <v>1042</v>
      </c>
      <c r="AT287" s="80" t="str">
        <f t="shared" si="158"/>
        <v>Distrital</v>
      </c>
      <c r="AU287" s="79" t="s">
        <v>172</v>
      </c>
      <c r="AV287" s="79"/>
      <c r="AW287" s="79"/>
      <c r="AX287" s="79"/>
      <c r="AY287" s="79"/>
      <c r="AZ287" s="79"/>
      <c r="BA287" s="80" t="str">
        <f t="shared" si="159"/>
        <v>Distrital</v>
      </c>
      <c r="BB287" s="79" t="s">
        <v>172</v>
      </c>
      <c r="BC287" s="79"/>
      <c r="BD287" s="79"/>
      <c r="BE287" s="79"/>
      <c r="BF287" s="79"/>
      <c r="BG287" s="79"/>
      <c r="BH287" s="80" t="str">
        <f t="shared" si="160"/>
        <v>Distrital</v>
      </c>
      <c r="BI287" s="79" t="s">
        <v>172</v>
      </c>
      <c r="BJ287" s="79"/>
      <c r="BK287" s="79"/>
      <c r="BL287" s="79"/>
      <c r="BM287" s="79"/>
      <c r="BN287" s="79"/>
      <c r="BO287" s="79"/>
      <c r="BP287" s="79"/>
      <c r="BQ287" s="79"/>
      <c r="BR287" s="79"/>
      <c r="BS287" s="80" t="s">
        <v>288</v>
      </c>
      <c r="BT287" s="80" t="s">
        <v>174</v>
      </c>
      <c r="BU287" s="80" t="s">
        <v>2177</v>
      </c>
      <c r="BV287" s="71"/>
      <c r="BW287" s="79" t="s">
        <v>153</v>
      </c>
      <c r="BX287" s="79" t="s">
        <v>176</v>
      </c>
      <c r="BY287" s="71"/>
      <c r="BZ287" s="79">
        <v>15</v>
      </c>
      <c r="CA287" s="79">
        <v>9</v>
      </c>
      <c r="CB287" s="79">
        <f t="shared" si="178"/>
        <v>24</v>
      </c>
      <c r="CC287" s="79" t="str">
        <f t="shared" si="139"/>
        <v>No Aplica</v>
      </c>
      <c r="CD287" s="79" t="s">
        <v>177</v>
      </c>
      <c r="CE287" s="79"/>
      <c r="CF287" s="79"/>
      <c r="CG287" s="83" t="s">
        <v>2178</v>
      </c>
      <c r="CH287" s="41"/>
      <c r="CI287" s="79" t="s">
        <v>153</v>
      </c>
      <c r="CJ287" s="71"/>
      <c r="CK287" s="79">
        <f t="shared" si="177"/>
        <v>0</v>
      </c>
      <c r="CL287" s="79"/>
      <c r="CM287" s="79"/>
      <c r="CN287" s="79"/>
      <c r="CO287" s="79"/>
      <c r="CP287" s="79"/>
      <c r="CQ287" s="79"/>
      <c r="CR287" s="83" t="s">
        <v>179</v>
      </c>
      <c r="CS287" s="83" t="s">
        <v>179</v>
      </c>
      <c r="CT287" s="83" t="s">
        <v>179</v>
      </c>
      <c r="CU287" s="83" t="s">
        <v>179</v>
      </c>
      <c r="CV287" s="83" t="s">
        <v>179</v>
      </c>
      <c r="CW287" s="83" t="s">
        <v>179</v>
      </c>
      <c r="CX287" s="79" t="s">
        <v>153</v>
      </c>
      <c r="CY287" s="79">
        <f t="shared" si="179"/>
        <v>0</v>
      </c>
      <c r="CZ287" s="79">
        <v>0</v>
      </c>
      <c r="DA287" s="79">
        <f t="shared" si="180"/>
        <v>0</v>
      </c>
      <c r="DB287" s="84" t="str">
        <f t="shared" si="181"/>
        <v/>
      </c>
      <c r="DC287" s="41"/>
      <c r="DD287" s="79" t="s">
        <v>153</v>
      </c>
      <c r="DE287" s="71"/>
      <c r="DF287" s="85" t="s">
        <v>2179</v>
      </c>
      <c r="DG287" s="79">
        <v>277</v>
      </c>
      <c r="DH287" s="86" t="str">
        <f t="shared" si="182"/>
        <v>Completo</v>
      </c>
      <c r="DI287" s="79" t="s">
        <v>181</v>
      </c>
      <c r="DJ287" s="79" t="s">
        <v>182</v>
      </c>
      <c r="DK287" s="79"/>
      <c r="DL287" s="79">
        <v>0</v>
      </c>
      <c r="DM287" s="79">
        <v>0</v>
      </c>
      <c r="DN287" s="79" t="s">
        <v>182</v>
      </c>
      <c r="DO287" s="79"/>
      <c r="DP287" s="79"/>
      <c r="DQ287" s="79"/>
      <c r="DR287" s="75" t="str">
        <f t="shared" si="161"/>
        <v>No aplica</v>
      </c>
      <c r="DS287" s="79"/>
      <c r="DT287" s="79"/>
      <c r="DU287" s="75" t="str">
        <f t="shared" si="162"/>
        <v>No aplica</v>
      </c>
      <c r="DV287" s="79" t="s">
        <v>182</v>
      </c>
      <c r="DW287" s="79" t="s">
        <v>182</v>
      </c>
      <c r="DX287" s="79"/>
      <c r="DY287" s="79"/>
      <c r="DZ287" s="79"/>
      <c r="EA287" s="79"/>
      <c r="EB287" s="79"/>
      <c r="EC287" s="79"/>
      <c r="ED287" s="79" t="s">
        <v>184</v>
      </c>
      <c r="EE287" s="79" t="str">
        <f t="shared" si="183"/>
        <v>Completo</v>
      </c>
      <c r="EF287" s="41"/>
      <c r="EG287" s="79" t="s">
        <v>153</v>
      </c>
      <c r="EH287" s="71"/>
      <c r="EI287" s="80"/>
      <c r="EJ287" s="71"/>
      <c r="EK287" s="79"/>
      <c r="EL287" s="76" t="str">
        <f t="shared" si="163"/>
        <v>No requiere</v>
      </c>
      <c r="EM287" s="76" t="str">
        <f t="shared" si="164"/>
        <v>No requiere</v>
      </c>
      <c r="EN287" s="76" t="str">
        <f t="shared" si="140"/>
        <v>No requiere</v>
      </c>
      <c r="EO287" s="71"/>
      <c r="EP287" s="73" t="str">
        <f t="shared" si="165"/>
        <v>No requiere</v>
      </c>
      <c r="EQ287" s="77" t="str">
        <f t="shared" si="166"/>
        <v>No requiere</v>
      </c>
      <c r="ER287" s="71"/>
      <c r="ES287" s="79"/>
      <c r="ET287" s="73" t="str">
        <f t="shared" si="167"/>
        <v>No requiere</v>
      </c>
      <c r="EU287" s="73" t="str">
        <f t="shared" si="141"/>
        <v>No requiere</v>
      </c>
      <c r="EV287" s="73" t="str">
        <f t="shared" si="168"/>
        <v>No requiere</v>
      </c>
      <c r="EW287" s="73" t="str">
        <f t="shared" si="169"/>
        <v>No requiere</v>
      </c>
      <c r="EX287" s="78"/>
      <c r="EY287" s="78"/>
    </row>
    <row r="288" spans="1:155" ht="46.5" customHeight="1">
      <c r="A288" s="79">
        <v>284</v>
      </c>
      <c r="B288" s="80" t="s">
        <v>2108</v>
      </c>
      <c r="C288" s="81">
        <v>45397</v>
      </c>
      <c r="D288" s="82">
        <v>0.375</v>
      </c>
      <c r="E288" s="79" t="s">
        <v>151</v>
      </c>
      <c r="F288" s="79" t="s">
        <v>153</v>
      </c>
      <c r="G288" s="79" t="s">
        <v>153</v>
      </c>
      <c r="H288" s="79" t="s">
        <v>152</v>
      </c>
      <c r="I288" s="79" t="s">
        <v>152</v>
      </c>
      <c r="J288" s="79" t="s">
        <v>154</v>
      </c>
      <c r="K288" s="79" t="s">
        <v>155</v>
      </c>
      <c r="L288" s="80" t="s">
        <v>2180</v>
      </c>
      <c r="M288" s="80" t="s">
        <v>327</v>
      </c>
      <c r="N288" s="79" t="s">
        <v>158</v>
      </c>
      <c r="O288" s="80" t="str">
        <f t="shared" si="157"/>
        <v>Valentina González Pontón, Nicolás Enrique Moncaleano, Germán Ramón Jacome, Manuel Fernando Vergara, Carlos Eduardo Escandón, Nestor Jecfrid Sánchez, Nixon Sandoval Mateus, Andres Castro Latorre, Nathalia Guzmán Martínez, Reinaldo Terrios Andrade</v>
      </c>
      <c r="P288" s="79" t="s">
        <v>329</v>
      </c>
      <c r="Q288" s="79" t="s">
        <v>966</v>
      </c>
      <c r="R288" s="79" t="s">
        <v>525</v>
      </c>
      <c r="S288" s="79" t="s">
        <v>820</v>
      </c>
      <c r="T288" s="79" t="s">
        <v>819</v>
      </c>
      <c r="U288" s="79" t="s">
        <v>965</v>
      </c>
      <c r="V288" s="79" t="s">
        <v>644</v>
      </c>
      <c r="W288" s="79" t="s">
        <v>749</v>
      </c>
      <c r="X288" s="79" t="s">
        <v>166</v>
      </c>
      <c r="Y288" s="79" t="s">
        <v>675</v>
      </c>
      <c r="Z288" s="79"/>
      <c r="AA288" s="79"/>
      <c r="AB288" s="79"/>
      <c r="AC288" s="79"/>
      <c r="AD288" s="79"/>
      <c r="AE288" s="79"/>
      <c r="AF288" s="79"/>
      <c r="AG288" s="79"/>
      <c r="AH288" s="79"/>
      <c r="AI288" s="79"/>
      <c r="AJ288" s="79"/>
      <c r="AK288" s="79"/>
      <c r="AL288" s="79"/>
      <c r="AM288" s="79"/>
      <c r="AN288" s="79"/>
      <c r="AO288" s="79" t="s">
        <v>304</v>
      </c>
      <c r="AP288" s="79"/>
      <c r="AQ288" s="80" t="s">
        <v>2181</v>
      </c>
      <c r="AR288" s="83" t="s">
        <v>179</v>
      </c>
      <c r="AS288" s="80" t="s">
        <v>2110</v>
      </c>
      <c r="AT288" s="80" t="str">
        <f t="shared" si="158"/>
        <v>Teusaquillo</v>
      </c>
      <c r="AU288" s="79" t="s">
        <v>1004</v>
      </c>
      <c r="AV288" s="79"/>
      <c r="AW288" s="79"/>
      <c r="AX288" s="79"/>
      <c r="AY288" s="79"/>
      <c r="AZ288" s="79"/>
      <c r="BA288" s="80" t="str">
        <f t="shared" si="159"/>
        <v>Distrital</v>
      </c>
      <c r="BB288" s="79" t="s">
        <v>172</v>
      </c>
      <c r="BC288" s="79"/>
      <c r="BD288" s="79"/>
      <c r="BE288" s="79"/>
      <c r="BF288" s="79"/>
      <c r="BG288" s="79"/>
      <c r="BH288" s="80" t="str">
        <f t="shared" si="160"/>
        <v>Distrital</v>
      </c>
      <c r="BI288" s="79" t="s">
        <v>172</v>
      </c>
      <c r="BJ288" s="79"/>
      <c r="BK288" s="79"/>
      <c r="BL288" s="79"/>
      <c r="BM288" s="79"/>
      <c r="BN288" s="79"/>
      <c r="BO288" s="79"/>
      <c r="BP288" s="79"/>
      <c r="BQ288" s="79"/>
      <c r="BR288" s="79"/>
      <c r="BS288" s="80" t="s">
        <v>288</v>
      </c>
      <c r="BT288" s="80" t="s">
        <v>174</v>
      </c>
      <c r="BU288" s="80" t="s">
        <v>2182</v>
      </c>
      <c r="BV288" s="71"/>
      <c r="BW288" s="79" t="s">
        <v>153</v>
      </c>
      <c r="BX288" s="79" t="s">
        <v>607</v>
      </c>
      <c r="BY288" s="71"/>
      <c r="BZ288" s="79">
        <v>65</v>
      </c>
      <c r="CA288" s="79">
        <v>11</v>
      </c>
      <c r="CB288" s="79">
        <f t="shared" si="178"/>
        <v>76</v>
      </c>
      <c r="CC288" s="79" t="str">
        <f t="shared" si="139"/>
        <v>Horarios Acordes, Contenidos adaptados</v>
      </c>
      <c r="CD288" s="79" t="s">
        <v>351</v>
      </c>
      <c r="CE288" s="79" t="s">
        <v>350</v>
      </c>
      <c r="CF288" s="79"/>
      <c r="CG288" s="83" t="s">
        <v>2183</v>
      </c>
      <c r="CH288" s="41"/>
      <c r="CI288" s="79"/>
      <c r="CJ288" s="71"/>
      <c r="CK288" s="79">
        <f t="shared" si="177"/>
        <v>0</v>
      </c>
      <c r="CL288" s="79"/>
      <c r="CM288" s="79"/>
      <c r="CN288" s="79"/>
      <c r="CO288" s="79"/>
      <c r="CP288" s="79"/>
      <c r="CQ288" s="79"/>
      <c r="CR288" s="83" t="s">
        <v>179</v>
      </c>
      <c r="CS288" s="83" t="s">
        <v>179</v>
      </c>
      <c r="CT288" s="83" t="s">
        <v>179</v>
      </c>
      <c r="CU288" s="83" t="s">
        <v>179</v>
      </c>
      <c r="CV288" s="83" t="s">
        <v>179</v>
      </c>
      <c r="CW288" s="83" t="s">
        <v>179</v>
      </c>
      <c r="CX288" s="79" t="s">
        <v>153</v>
      </c>
      <c r="CY288" s="79">
        <v>0</v>
      </c>
      <c r="CZ288" s="79">
        <v>0</v>
      </c>
      <c r="DA288" s="79">
        <v>0</v>
      </c>
      <c r="DB288" s="84" t="s">
        <v>316</v>
      </c>
      <c r="DC288" s="41"/>
      <c r="DD288" s="79" t="s">
        <v>153</v>
      </c>
      <c r="DE288" s="71"/>
      <c r="DF288" s="85" t="s">
        <v>2184</v>
      </c>
      <c r="DG288" s="79">
        <v>278</v>
      </c>
      <c r="DH288" s="86">
        <f t="shared" si="182"/>
        <v>45400</v>
      </c>
      <c r="DI288" s="79" t="s">
        <v>181</v>
      </c>
      <c r="DJ288" s="79" t="s">
        <v>182</v>
      </c>
      <c r="DK288" s="79"/>
      <c r="DL288" s="79">
        <v>0</v>
      </c>
      <c r="DM288" s="79">
        <v>0</v>
      </c>
      <c r="DN288" s="79" t="s">
        <v>182</v>
      </c>
      <c r="DO288" s="79"/>
      <c r="DP288" s="79"/>
      <c r="DQ288" s="79"/>
      <c r="DR288" s="75" t="str">
        <f t="shared" si="161"/>
        <v>No aplica</v>
      </c>
      <c r="DS288" s="79"/>
      <c r="DT288" s="79"/>
      <c r="DU288" s="75" t="str">
        <f t="shared" si="162"/>
        <v>No aplica</v>
      </c>
      <c r="DV288" s="79" t="s">
        <v>182</v>
      </c>
      <c r="DW288" s="79" t="s">
        <v>191</v>
      </c>
      <c r="DX288" s="79"/>
      <c r="DY288" s="79"/>
      <c r="DZ288" s="79"/>
      <c r="EA288" s="79"/>
      <c r="EB288" s="79" t="s">
        <v>182</v>
      </c>
      <c r="EC288" s="79" t="s">
        <v>2185</v>
      </c>
      <c r="ED288" s="79" t="s">
        <v>184</v>
      </c>
      <c r="EE288" s="79" t="s">
        <v>621</v>
      </c>
      <c r="EF288" s="41"/>
      <c r="EG288" s="79" t="s">
        <v>153</v>
      </c>
      <c r="EH288" s="71"/>
      <c r="EI288" s="80"/>
      <c r="EJ288" s="71"/>
      <c r="EK288" s="79"/>
      <c r="EL288" s="76" t="str">
        <f t="shared" si="163"/>
        <v>No requiere</v>
      </c>
      <c r="EM288" s="76" t="str">
        <f t="shared" si="164"/>
        <v>No requiere</v>
      </c>
      <c r="EN288" s="76" t="str">
        <f t="shared" si="140"/>
        <v>No requiere</v>
      </c>
      <c r="EO288" s="71"/>
      <c r="EP288" s="73" t="str">
        <f t="shared" si="165"/>
        <v>No requiere</v>
      </c>
      <c r="EQ288" s="77" t="str">
        <f t="shared" si="166"/>
        <v>No requiere</v>
      </c>
      <c r="ER288" s="71"/>
      <c r="ES288" s="79"/>
      <c r="ET288" s="73" t="str">
        <f t="shared" si="167"/>
        <v>No requiere</v>
      </c>
      <c r="EU288" s="73" t="str">
        <f t="shared" si="141"/>
        <v>No requiere</v>
      </c>
      <c r="EV288" s="73" t="str">
        <f t="shared" si="168"/>
        <v>No requiere</v>
      </c>
      <c r="EW288" s="73" t="str">
        <f t="shared" si="169"/>
        <v>No requiere</v>
      </c>
      <c r="EX288" s="78"/>
      <c r="EY288" s="78"/>
    </row>
    <row r="289" spans="1:155" ht="46.5" customHeight="1">
      <c r="A289" s="79">
        <v>285</v>
      </c>
      <c r="B289" s="80" t="s">
        <v>2186</v>
      </c>
      <c r="C289" s="81">
        <v>45397</v>
      </c>
      <c r="D289" s="82">
        <v>0.41666666666666669</v>
      </c>
      <c r="E289" s="79" t="s">
        <v>151</v>
      </c>
      <c r="F289" s="79" t="s">
        <v>153</v>
      </c>
      <c r="G289" s="79" t="s">
        <v>153</v>
      </c>
      <c r="H289" s="79" t="s">
        <v>152</v>
      </c>
      <c r="I289" s="79" t="s">
        <v>152</v>
      </c>
      <c r="J289" s="79" t="s">
        <v>154</v>
      </c>
      <c r="K289" s="79" t="s">
        <v>155</v>
      </c>
      <c r="L289" s="80" t="s">
        <v>2187</v>
      </c>
      <c r="M289" s="80" t="s">
        <v>327</v>
      </c>
      <c r="N289" s="79" t="s">
        <v>924</v>
      </c>
      <c r="O289" s="80" t="str">
        <f t="shared" si="157"/>
        <v>Jimmy Alejandro Osorio, James Fernando Núñez, Claudia Fernanda Pineda, Nicolas Esteban Hernández</v>
      </c>
      <c r="P289" s="79" t="s">
        <v>549</v>
      </c>
      <c r="Q289" s="79" t="s">
        <v>632</v>
      </c>
      <c r="R289" s="79" t="s">
        <v>546</v>
      </c>
      <c r="S289" s="79" t="s">
        <v>645</v>
      </c>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t="s">
        <v>230</v>
      </c>
      <c r="AP289" s="79" t="s">
        <v>925</v>
      </c>
      <c r="AQ289" s="80" t="s">
        <v>1989</v>
      </c>
      <c r="AR289" s="83" t="s">
        <v>171</v>
      </c>
      <c r="AS289" s="80" t="s">
        <v>171</v>
      </c>
      <c r="AT289" s="80" t="str">
        <f t="shared" si="158"/>
        <v>Distrital</v>
      </c>
      <c r="AU289" s="79" t="s">
        <v>172</v>
      </c>
      <c r="AV289" s="79"/>
      <c r="AW289" s="79"/>
      <c r="AX289" s="79"/>
      <c r="AY289" s="79"/>
      <c r="AZ289" s="79"/>
      <c r="BA289" s="80" t="str">
        <f t="shared" si="159"/>
        <v>Distrital</v>
      </c>
      <c r="BB289" s="79" t="s">
        <v>172</v>
      </c>
      <c r="BC289" s="79"/>
      <c r="BD289" s="79"/>
      <c r="BE289" s="79"/>
      <c r="BF289" s="79"/>
      <c r="BG289" s="79"/>
      <c r="BH289" s="80" t="str">
        <f t="shared" si="160"/>
        <v>Distrital</v>
      </c>
      <c r="BI289" s="79" t="s">
        <v>172</v>
      </c>
      <c r="BJ289" s="79"/>
      <c r="BK289" s="79"/>
      <c r="BL289" s="79"/>
      <c r="BM289" s="79"/>
      <c r="BN289" s="79"/>
      <c r="BO289" s="79"/>
      <c r="BP289" s="79"/>
      <c r="BQ289" s="79"/>
      <c r="BR289" s="79"/>
      <c r="BS289" s="80" t="s">
        <v>288</v>
      </c>
      <c r="BT289" s="80" t="s">
        <v>174</v>
      </c>
      <c r="BU289" s="80" t="s">
        <v>2188</v>
      </c>
      <c r="BV289" s="71"/>
      <c r="BW289" s="79" t="s">
        <v>153</v>
      </c>
      <c r="BX289" s="79" t="s">
        <v>607</v>
      </c>
      <c r="BY289" s="71"/>
      <c r="BZ289" s="79">
        <v>6</v>
      </c>
      <c r="CA289" s="79">
        <v>5</v>
      </c>
      <c r="CB289" s="79">
        <f t="shared" si="178"/>
        <v>11</v>
      </c>
      <c r="CC289" s="79" t="str">
        <f t="shared" si="139"/>
        <v>Contenidos adaptados</v>
      </c>
      <c r="CD289" s="79" t="s">
        <v>350</v>
      </c>
      <c r="CE289" s="79"/>
      <c r="CF289" s="79"/>
      <c r="CG289" s="83" t="s">
        <v>2189</v>
      </c>
      <c r="CH289" s="41"/>
      <c r="CI289" s="79" t="s">
        <v>153</v>
      </c>
      <c r="CJ289" s="71"/>
      <c r="CK289" s="79">
        <f t="shared" si="177"/>
        <v>0</v>
      </c>
      <c r="CL289" s="79"/>
      <c r="CM289" s="79"/>
      <c r="CN289" s="79"/>
      <c r="CO289" s="79"/>
      <c r="CP289" s="79"/>
      <c r="CQ289" s="79"/>
      <c r="CR289" s="83" t="s">
        <v>179</v>
      </c>
      <c r="CS289" s="83" t="s">
        <v>179</v>
      </c>
      <c r="CT289" s="83" t="s">
        <v>179</v>
      </c>
      <c r="CU289" s="83" t="s">
        <v>179</v>
      </c>
      <c r="CV289" s="83" t="s">
        <v>179</v>
      </c>
      <c r="CW289" s="83" t="s">
        <v>179</v>
      </c>
      <c r="CX289" s="79" t="s">
        <v>153</v>
      </c>
      <c r="CY289" s="79">
        <v>0</v>
      </c>
      <c r="CZ289" s="79">
        <v>0</v>
      </c>
      <c r="DA289" s="79">
        <v>0</v>
      </c>
      <c r="DB289" s="84"/>
      <c r="DC289" s="41"/>
      <c r="DD289" s="79" t="s">
        <v>153</v>
      </c>
      <c r="DE289" s="71"/>
      <c r="DF289" s="85" t="s">
        <v>2190</v>
      </c>
      <c r="DG289" s="79">
        <v>279</v>
      </c>
      <c r="DH289" s="86">
        <f t="shared" si="182"/>
        <v>45400</v>
      </c>
      <c r="DI289" s="79" t="s">
        <v>181</v>
      </c>
      <c r="DJ289" s="79" t="s">
        <v>182</v>
      </c>
      <c r="DK289" s="79"/>
      <c r="DL289" s="79"/>
      <c r="DM289" s="79"/>
      <c r="DN289" s="79" t="s">
        <v>182</v>
      </c>
      <c r="DO289" s="79"/>
      <c r="DP289" s="79"/>
      <c r="DQ289" s="79"/>
      <c r="DR289" s="75" t="str">
        <f t="shared" si="161"/>
        <v>No aplica</v>
      </c>
      <c r="DS289" s="79"/>
      <c r="DT289" s="79"/>
      <c r="DU289" s="75" t="str">
        <f t="shared" si="162"/>
        <v>No aplica</v>
      </c>
      <c r="DV289" s="79" t="s">
        <v>182</v>
      </c>
      <c r="DW289" s="79" t="s">
        <v>182</v>
      </c>
      <c r="DX289" s="79"/>
      <c r="DY289" s="79"/>
      <c r="DZ289" s="79"/>
      <c r="EA289" s="79"/>
      <c r="EB289" s="79" t="s">
        <v>182</v>
      </c>
      <c r="EC289" s="79" t="s">
        <v>2191</v>
      </c>
      <c r="ED289" s="79" t="s">
        <v>184</v>
      </c>
      <c r="EE289" s="79" t="s">
        <v>621</v>
      </c>
      <c r="EF289" s="41"/>
      <c r="EG289" s="79" t="s">
        <v>153</v>
      </c>
      <c r="EH289" s="71"/>
      <c r="EI289" s="80"/>
      <c r="EJ289" s="71"/>
      <c r="EK289" s="79"/>
      <c r="EL289" s="76" t="str">
        <f t="shared" si="163"/>
        <v>No requiere</v>
      </c>
      <c r="EM289" s="76" t="str">
        <f t="shared" si="164"/>
        <v>No requiere</v>
      </c>
      <c r="EN289" s="76" t="str">
        <f t="shared" si="140"/>
        <v>No requiere</v>
      </c>
      <c r="EO289" s="71"/>
      <c r="EP289" s="73" t="str">
        <f t="shared" si="165"/>
        <v>No requiere</v>
      </c>
      <c r="EQ289" s="77" t="str">
        <f t="shared" si="166"/>
        <v>No requiere</v>
      </c>
      <c r="ER289" s="71"/>
      <c r="ES289" s="79"/>
      <c r="ET289" s="73" t="str">
        <f t="shared" si="167"/>
        <v>No requiere</v>
      </c>
      <c r="EU289" s="73" t="str">
        <f t="shared" si="141"/>
        <v>No requiere</v>
      </c>
      <c r="EV289" s="73" t="str">
        <f t="shared" si="168"/>
        <v>No requiere</v>
      </c>
      <c r="EW289" s="73" t="str">
        <f t="shared" si="169"/>
        <v>No requiere</v>
      </c>
      <c r="EX289" s="78"/>
      <c r="EY289" s="78"/>
    </row>
    <row r="290" spans="1:155" ht="46.5" customHeight="1">
      <c r="A290" s="79">
        <v>286</v>
      </c>
      <c r="B290" s="80" t="s">
        <v>2192</v>
      </c>
      <c r="C290" s="81">
        <v>45397</v>
      </c>
      <c r="D290" s="82">
        <v>0.625</v>
      </c>
      <c r="E290" s="79" t="s">
        <v>151</v>
      </c>
      <c r="F290" s="79" t="s">
        <v>153</v>
      </c>
      <c r="G290" s="79" t="s">
        <v>152</v>
      </c>
      <c r="H290" s="79" t="s">
        <v>152</v>
      </c>
      <c r="I290" s="79" t="s">
        <v>152</v>
      </c>
      <c r="J290" s="79" t="s">
        <v>154</v>
      </c>
      <c r="K290" s="79" t="s">
        <v>155</v>
      </c>
      <c r="L290" s="80" t="s">
        <v>2193</v>
      </c>
      <c r="M290" s="80" t="s">
        <v>327</v>
      </c>
      <c r="N290" s="79" t="s">
        <v>887</v>
      </c>
      <c r="O290" s="80" t="str">
        <f t="shared" si="157"/>
        <v>Yeiker Guerra Sarmiento, Luz Maritza Acero, Mónica Lyzeth Cantor</v>
      </c>
      <c r="P290" s="79" t="s">
        <v>163</v>
      </c>
      <c r="Q290" s="79" t="s">
        <v>167</v>
      </c>
      <c r="R290" s="79" t="s">
        <v>346</v>
      </c>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t="s">
        <v>304</v>
      </c>
      <c r="AP290" s="79"/>
      <c r="AQ290" s="80" t="s">
        <v>2194</v>
      </c>
      <c r="AR290" s="83">
        <v>3112654181</v>
      </c>
      <c r="AS290" s="80" t="s">
        <v>2195</v>
      </c>
      <c r="AT290" s="80" t="str">
        <f t="shared" si="158"/>
        <v>Distrital</v>
      </c>
      <c r="AU290" s="79" t="s">
        <v>172</v>
      </c>
      <c r="AV290" s="79"/>
      <c r="AW290" s="79"/>
      <c r="AX290" s="79"/>
      <c r="AY290" s="79"/>
      <c r="AZ290" s="79"/>
      <c r="BA290" s="80" t="str">
        <f t="shared" si="159"/>
        <v>Distrital</v>
      </c>
      <c r="BB290" s="79" t="s">
        <v>172</v>
      </c>
      <c r="BC290" s="79"/>
      <c r="BD290" s="79"/>
      <c r="BE290" s="79"/>
      <c r="BF290" s="79"/>
      <c r="BG290" s="79"/>
      <c r="BH290" s="80" t="str">
        <f t="shared" si="160"/>
        <v>Distrital</v>
      </c>
      <c r="BI290" s="79" t="s">
        <v>172</v>
      </c>
      <c r="BJ290" s="79"/>
      <c r="BK290" s="79"/>
      <c r="BL290" s="79"/>
      <c r="BM290" s="79"/>
      <c r="BN290" s="79"/>
      <c r="BO290" s="79"/>
      <c r="BP290" s="79"/>
      <c r="BQ290" s="79"/>
      <c r="BR290" s="79"/>
      <c r="BS290" s="80" t="s">
        <v>288</v>
      </c>
      <c r="BT290" s="80" t="s">
        <v>174</v>
      </c>
      <c r="BU290" s="80" t="s">
        <v>2196</v>
      </c>
      <c r="BV290" s="71"/>
      <c r="BW290" s="79" t="s">
        <v>153</v>
      </c>
      <c r="BX290" s="79" t="s">
        <v>176</v>
      </c>
      <c r="BY290" s="71"/>
      <c r="BZ290" s="79">
        <v>22</v>
      </c>
      <c r="CA290" s="79">
        <v>2</v>
      </c>
      <c r="CB290" s="79">
        <f t="shared" si="178"/>
        <v>24</v>
      </c>
      <c r="CC290" s="79" t="str">
        <f t="shared" si="139"/>
        <v>No Aplica</v>
      </c>
      <c r="CD290" s="79" t="s">
        <v>177</v>
      </c>
      <c r="CE290" s="79"/>
      <c r="CF290" s="79"/>
      <c r="CG290" s="83" t="s">
        <v>2197</v>
      </c>
      <c r="CH290" s="41"/>
      <c r="CI290" s="79" t="s">
        <v>153</v>
      </c>
      <c r="CJ290" s="71"/>
      <c r="CK290" s="79">
        <f t="shared" si="177"/>
        <v>0</v>
      </c>
      <c r="CL290" s="79"/>
      <c r="CM290" s="79"/>
      <c r="CN290" s="79"/>
      <c r="CO290" s="79"/>
      <c r="CP290" s="79"/>
      <c r="CQ290" s="79"/>
      <c r="CR290" s="83" t="s">
        <v>179</v>
      </c>
      <c r="CS290" s="83" t="s">
        <v>179</v>
      </c>
      <c r="CT290" s="83" t="s">
        <v>179</v>
      </c>
      <c r="CU290" s="83" t="s">
        <v>179</v>
      </c>
      <c r="CV290" s="83" t="s">
        <v>179</v>
      </c>
      <c r="CW290" s="83" t="s">
        <v>179</v>
      </c>
      <c r="CX290" s="79" t="s">
        <v>153</v>
      </c>
      <c r="CY290" s="79">
        <f t="shared" ref="CY290:CY292" si="184">SUM(COUNTIF(CR290:CW290,"Realizado y Devuelto a la Ciudadanía"),COUNTIF(CR290:CW290,"Realizado y Trasladado por competencia"), COUNTIF(CR290:CW290,"Realizado y Gestionado"))</f>
        <v>0</v>
      </c>
      <c r="CZ290" s="79">
        <v>0</v>
      </c>
      <c r="DA290" s="79">
        <f t="shared" ref="DA290:DA292" si="185">COUNTIF(CR290:CW290,"Realizado y Devuelto a la Ciudadanía")</f>
        <v>0</v>
      </c>
      <c r="DB290" s="84" t="str">
        <f t="shared" ref="DB290:DB292" si="186">IFERROR(CY290/CK290,"")</f>
        <v/>
      </c>
      <c r="DC290" s="41"/>
      <c r="DD290" s="79" t="s">
        <v>153</v>
      </c>
      <c r="DE290" s="71"/>
      <c r="DF290" s="85" t="s">
        <v>2198</v>
      </c>
      <c r="DG290" s="79">
        <v>280</v>
      </c>
      <c r="DH290" s="86">
        <f t="shared" si="182"/>
        <v>45400</v>
      </c>
      <c r="DI290" s="79" t="s">
        <v>181</v>
      </c>
      <c r="DJ290" s="79" t="s">
        <v>182</v>
      </c>
      <c r="DK290" s="79"/>
      <c r="DL290" s="79">
        <v>0</v>
      </c>
      <c r="DM290" s="79">
        <v>0</v>
      </c>
      <c r="DN290" s="79" t="s">
        <v>182</v>
      </c>
      <c r="DO290" s="79"/>
      <c r="DP290" s="79"/>
      <c r="DQ290" s="79"/>
      <c r="DR290" s="75" t="str">
        <f t="shared" si="161"/>
        <v>No aplica</v>
      </c>
      <c r="DS290" s="79"/>
      <c r="DT290" s="79"/>
      <c r="DU290" s="75" t="str">
        <f t="shared" si="162"/>
        <v>No aplica</v>
      </c>
      <c r="DV290" s="79" t="s">
        <v>182</v>
      </c>
      <c r="DW290" s="79" t="s">
        <v>182</v>
      </c>
      <c r="DX290" s="79"/>
      <c r="DY290" s="79"/>
      <c r="DZ290" s="79"/>
      <c r="EA290" s="79"/>
      <c r="EB290" s="79"/>
      <c r="EC290" s="79"/>
      <c r="ED290" s="79" t="s">
        <v>2199</v>
      </c>
      <c r="EE290" s="79" t="s">
        <v>621</v>
      </c>
      <c r="EF290" s="41"/>
      <c r="EG290" s="79" t="s">
        <v>153</v>
      </c>
      <c r="EH290" s="71"/>
      <c r="EI290" s="80"/>
      <c r="EJ290" s="71"/>
      <c r="EK290" s="79"/>
      <c r="EL290" s="76" t="str">
        <f t="shared" si="163"/>
        <v>No requiere</v>
      </c>
      <c r="EM290" s="76" t="str">
        <f t="shared" si="164"/>
        <v>No requiere</v>
      </c>
      <c r="EN290" s="76" t="str">
        <f t="shared" si="140"/>
        <v>No requiere</v>
      </c>
      <c r="EO290" s="71"/>
      <c r="EP290" s="73" t="str">
        <f t="shared" si="165"/>
        <v>No requiere</v>
      </c>
      <c r="EQ290" s="77" t="str">
        <f t="shared" si="166"/>
        <v>No requiere</v>
      </c>
      <c r="ER290" s="71"/>
      <c r="ES290" s="79"/>
      <c r="ET290" s="73" t="str">
        <f t="shared" si="167"/>
        <v>No requiere</v>
      </c>
      <c r="EU290" s="73" t="str">
        <f t="shared" si="141"/>
        <v>No requiere</v>
      </c>
      <c r="EV290" s="73" t="str">
        <f t="shared" si="168"/>
        <v>No requiere</v>
      </c>
      <c r="EW290" s="73" t="str">
        <f t="shared" si="169"/>
        <v>No requiere</v>
      </c>
      <c r="EX290" s="78"/>
      <c r="EY290" s="78"/>
    </row>
    <row r="291" spans="1:155" ht="46.5" customHeight="1">
      <c r="A291" s="79">
        <v>287</v>
      </c>
      <c r="B291" s="80" t="s">
        <v>2200</v>
      </c>
      <c r="C291" s="81">
        <v>45397</v>
      </c>
      <c r="D291" s="82">
        <v>0.125</v>
      </c>
      <c r="E291" s="79" t="s">
        <v>151</v>
      </c>
      <c r="F291" s="79" t="s">
        <v>153</v>
      </c>
      <c r="G291" s="79" t="s">
        <v>153</v>
      </c>
      <c r="H291" s="79" t="s">
        <v>152</v>
      </c>
      <c r="I291" s="79" t="s">
        <v>152</v>
      </c>
      <c r="J291" s="79" t="s">
        <v>2201</v>
      </c>
      <c r="K291" s="79" t="s">
        <v>155</v>
      </c>
      <c r="L291" s="80" t="s">
        <v>2202</v>
      </c>
      <c r="M291" s="80" t="s">
        <v>157</v>
      </c>
      <c r="N291" s="79" t="s">
        <v>1066</v>
      </c>
      <c r="O291" s="80" t="str">
        <f t="shared" si="157"/>
        <v/>
      </c>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t="s">
        <v>230</v>
      </c>
      <c r="AP291" s="79"/>
      <c r="AQ291" s="80" t="s">
        <v>2203</v>
      </c>
      <c r="AR291" s="83">
        <v>3157991240</v>
      </c>
      <c r="AS291" s="80" t="s">
        <v>2204</v>
      </c>
      <c r="AT291" s="80" t="str">
        <f t="shared" si="158"/>
        <v>Distrital</v>
      </c>
      <c r="AU291" s="79" t="s">
        <v>172</v>
      </c>
      <c r="AV291" s="79"/>
      <c r="AW291" s="79"/>
      <c r="AX291" s="79"/>
      <c r="AY291" s="79"/>
      <c r="AZ291" s="79"/>
      <c r="BA291" s="80" t="str">
        <f t="shared" si="159"/>
        <v>Distrital</v>
      </c>
      <c r="BB291" s="79" t="s">
        <v>172</v>
      </c>
      <c r="BC291" s="79"/>
      <c r="BD291" s="79"/>
      <c r="BE291" s="79"/>
      <c r="BF291" s="79"/>
      <c r="BG291" s="79"/>
      <c r="BH291" s="80" t="str">
        <f t="shared" si="160"/>
        <v>Distrital</v>
      </c>
      <c r="BI291" s="79" t="s">
        <v>172</v>
      </c>
      <c r="BJ291" s="79"/>
      <c r="BK291" s="79"/>
      <c r="BL291" s="79"/>
      <c r="BM291" s="79"/>
      <c r="BN291" s="79"/>
      <c r="BO291" s="79"/>
      <c r="BP291" s="79"/>
      <c r="BQ291" s="79"/>
      <c r="BR291" s="79"/>
      <c r="BS291" s="80" t="s">
        <v>288</v>
      </c>
      <c r="BT291" s="80" t="s">
        <v>174</v>
      </c>
      <c r="BU291" s="80" t="s">
        <v>2205</v>
      </c>
      <c r="BV291" s="71"/>
      <c r="BW291" s="79" t="s">
        <v>152</v>
      </c>
      <c r="BX291" s="79" t="s">
        <v>179</v>
      </c>
      <c r="BY291" s="71"/>
      <c r="BZ291" s="79">
        <v>3</v>
      </c>
      <c r="CA291" s="79">
        <v>2</v>
      </c>
      <c r="CB291" s="79">
        <f t="shared" si="178"/>
        <v>5</v>
      </c>
      <c r="CC291" s="79" t="str">
        <f t="shared" si="139"/>
        <v>No Aplica</v>
      </c>
      <c r="CD291" s="79" t="s">
        <v>177</v>
      </c>
      <c r="CE291" s="79"/>
      <c r="CF291" s="79"/>
      <c r="CG291" s="83" t="s">
        <v>2206</v>
      </c>
      <c r="CH291" s="41"/>
      <c r="CI291" s="79" t="s">
        <v>153</v>
      </c>
      <c r="CJ291" s="71"/>
      <c r="CK291" s="79">
        <f t="shared" si="177"/>
        <v>0</v>
      </c>
      <c r="CL291" s="79"/>
      <c r="CM291" s="79"/>
      <c r="CN291" s="79"/>
      <c r="CO291" s="79"/>
      <c r="CP291" s="79"/>
      <c r="CQ291" s="79"/>
      <c r="CR291" s="83" t="s">
        <v>179</v>
      </c>
      <c r="CS291" s="83" t="s">
        <v>179</v>
      </c>
      <c r="CT291" s="83" t="s">
        <v>179</v>
      </c>
      <c r="CU291" s="83" t="s">
        <v>179</v>
      </c>
      <c r="CV291" s="83" t="s">
        <v>179</v>
      </c>
      <c r="CW291" s="83" t="s">
        <v>179</v>
      </c>
      <c r="CX291" s="79" t="s">
        <v>153</v>
      </c>
      <c r="CY291" s="79">
        <f t="shared" si="184"/>
        <v>0</v>
      </c>
      <c r="CZ291" s="79">
        <v>0</v>
      </c>
      <c r="DA291" s="79">
        <f t="shared" si="185"/>
        <v>0</v>
      </c>
      <c r="DB291" s="84" t="str">
        <f t="shared" si="186"/>
        <v/>
      </c>
      <c r="DC291" s="41"/>
      <c r="DD291" s="79" t="s">
        <v>153</v>
      </c>
      <c r="DE291" s="71"/>
      <c r="DF291" s="85" t="s">
        <v>2207</v>
      </c>
      <c r="DG291" s="79">
        <v>281</v>
      </c>
      <c r="DH291" s="86" t="str">
        <f t="shared" si="182"/>
        <v>Completo</v>
      </c>
      <c r="DI291" s="79" t="s">
        <v>181</v>
      </c>
      <c r="DJ291" s="79" t="s">
        <v>182</v>
      </c>
      <c r="DK291" s="79"/>
      <c r="DL291" s="79">
        <v>0</v>
      </c>
      <c r="DM291" s="79">
        <v>0</v>
      </c>
      <c r="DN291" s="79" t="s">
        <v>182</v>
      </c>
      <c r="DO291" s="79"/>
      <c r="DP291" s="79"/>
      <c r="DQ291" s="79"/>
      <c r="DR291" s="75" t="str">
        <f t="shared" si="161"/>
        <v>No aplica</v>
      </c>
      <c r="DS291" s="79"/>
      <c r="DT291" s="79"/>
      <c r="DU291" s="75" t="str">
        <f t="shared" si="162"/>
        <v>No aplica</v>
      </c>
      <c r="DV291" s="79" t="s">
        <v>182</v>
      </c>
      <c r="DW291" s="79" t="s">
        <v>182</v>
      </c>
      <c r="DX291" s="79"/>
      <c r="DY291" s="79"/>
      <c r="DZ291" s="79"/>
      <c r="EA291" s="79"/>
      <c r="EB291" s="79"/>
      <c r="EC291" s="79"/>
      <c r="ED291" s="79" t="s">
        <v>184</v>
      </c>
      <c r="EE291" s="79" t="str">
        <f t="shared" ref="EE291:EE292" si="187">IF(DI291="Subsanado","Completo","Por Completar")</f>
        <v>Completo</v>
      </c>
      <c r="EF291" s="41"/>
      <c r="EG291" s="79" t="s">
        <v>153</v>
      </c>
      <c r="EH291" s="71"/>
      <c r="EI291" s="80"/>
      <c r="EJ291" s="71"/>
      <c r="EK291" s="79"/>
      <c r="EL291" s="76" t="str">
        <f t="shared" si="163"/>
        <v>No requiere</v>
      </c>
      <c r="EM291" s="76" t="str">
        <f t="shared" si="164"/>
        <v>No requiere</v>
      </c>
      <c r="EN291" s="76" t="str">
        <f t="shared" si="140"/>
        <v>No requiere</v>
      </c>
      <c r="EO291" s="71"/>
      <c r="EP291" s="73" t="str">
        <f t="shared" si="165"/>
        <v>No requiere</v>
      </c>
      <c r="EQ291" s="77" t="str">
        <f t="shared" si="166"/>
        <v>No requiere</v>
      </c>
      <c r="ER291" s="71"/>
      <c r="ES291" s="79"/>
      <c r="ET291" s="73" t="str">
        <f t="shared" si="167"/>
        <v>No requiere</v>
      </c>
      <c r="EU291" s="73" t="str">
        <f t="shared" si="141"/>
        <v>No requiere</v>
      </c>
      <c r="EV291" s="73" t="str">
        <f t="shared" si="168"/>
        <v>No requiere</v>
      </c>
      <c r="EW291" s="73" t="str">
        <f t="shared" si="169"/>
        <v>No requiere</v>
      </c>
      <c r="EX291" s="78"/>
      <c r="EY291" s="78"/>
    </row>
    <row r="292" spans="1:155" ht="46.5" customHeight="1">
      <c r="A292" s="79" t="str">
        <v/>
      </c>
      <c r="B292" s="80" t="s">
        <v>2208</v>
      </c>
      <c r="C292" s="81">
        <v>45397</v>
      </c>
      <c r="D292" s="82">
        <v>0.66666666666666663</v>
      </c>
      <c r="E292" s="79" t="s">
        <v>151</v>
      </c>
      <c r="F292" s="79" t="s">
        <v>152</v>
      </c>
      <c r="G292" s="79" t="s">
        <v>153</v>
      </c>
      <c r="H292" s="79" t="s">
        <v>152</v>
      </c>
      <c r="I292" s="79" t="s">
        <v>152</v>
      </c>
      <c r="J292" s="79" t="s">
        <v>154</v>
      </c>
      <c r="K292" s="79" t="s">
        <v>202</v>
      </c>
      <c r="L292" s="80" t="s">
        <v>2209</v>
      </c>
      <c r="M292" s="80" t="s">
        <v>229</v>
      </c>
      <c r="N292" s="79" t="s">
        <v>346</v>
      </c>
      <c r="O292" s="80" t="str">
        <f t="shared" si="157"/>
        <v>PENDIENTE, PENDIENTE</v>
      </c>
      <c r="P292" s="79" t="s">
        <v>196</v>
      </c>
      <c r="Q292" s="79" t="s">
        <v>196</v>
      </c>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t="s">
        <v>169</v>
      </c>
      <c r="AP292" s="79" t="s">
        <v>170</v>
      </c>
      <c r="AQ292" s="80" t="s">
        <v>1989</v>
      </c>
      <c r="AR292" s="83" t="s">
        <v>171</v>
      </c>
      <c r="AS292" s="80" t="s">
        <v>171</v>
      </c>
      <c r="AT292" s="80" t="str">
        <f t="shared" si="158"/>
        <v>Distrital</v>
      </c>
      <c r="AU292" s="79" t="s">
        <v>172</v>
      </c>
      <c r="AV292" s="79"/>
      <c r="AW292" s="79"/>
      <c r="AX292" s="79"/>
      <c r="AY292" s="79"/>
      <c r="AZ292" s="79"/>
      <c r="BA292" s="80" t="str">
        <f t="shared" si="159"/>
        <v>Distrital</v>
      </c>
      <c r="BB292" s="79" t="s">
        <v>172</v>
      </c>
      <c r="BC292" s="79"/>
      <c r="BD292" s="79"/>
      <c r="BE292" s="79"/>
      <c r="BF292" s="79"/>
      <c r="BG292" s="79"/>
      <c r="BH292" s="80" t="str">
        <f t="shared" si="160"/>
        <v>Distrital</v>
      </c>
      <c r="BI292" s="79" t="s">
        <v>172</v>
      </c>
      <c r="BJ292" s="79"/>
      <c r="BK292" s="79"/>
      <c r="BL292" s="79"/>
      <c r="BM292" s="79"/>
      <c r="BN292" s="79"/>
      <c r="BO292" s="79"/>
      <c r="BP292" s="79"/>
      <c r="BQ292" s="79"/>
      <c r="BR292" s="79"/>
      <c r="BS292" s="80" t="s">
        <v>288</v>
      </c>
      <c r="BT292" s="80" t="s">
        <v>174</v>
      </c>
      <c r="BU292" s="89" t="s">
        <v>2210</v>
      </c>
      <c r="BV292" s="71"/>
      <c r="BW292" s="79" t="s">
        <v>153</v>
      </c>
      <c r="BX292" s="79" t="s">
        <v>176</v>
      </c>
      <c r="BY292" s="71"/>
      <c r="BZ292" s="79">
        <v>36</v>
      </c>
      <c r="CA292" s="79">
        <v>42</v>
      </c>
      <c r="CB292" s="79">
        <f t="shared" si="178"/>
        <v>78</v>
      </c>
      <c r="CC292" s="79" t="str">
        <f t="shared" si="139"/>
        <v>No Aplica</v>
      </c>
      <c r="CD292" s="79" t="s">
        <v>177</v>
      </c>
      <c r="CE292" s="79"/>
      <c r="CF292" s="79"/>
      <c r="CG292" s="83" t="s">
        <v>2211</v>
      </c>
      <c r="CH292" s="41"/>
      <c r="CI292" s="79"/>
      <c r="CJ292" s="71"/>
      <c r="CK292" s="79">
        <f t="shared" si="177"/>
        <v>0</v>
      </c>
      <c r="CL292" s="79"/>
      <c r="CM292" s="79"/>
      <c r="CN292" s="79"/>
      <c r="CO292" s="79"/>
      <c r="CP292" s="79"/>
      <c r="CQ292" s="79"/>
      <c r="CR292" s="83" t="s">
        <v>179</v>
      </c>
      <c r="CS292" s="83" t="s">
        <v>179</v>
      </c>
      <c r="CT292" s="83" t="s">
        <v>179</v>
      </c>
      <c r="CU292" s="83" t="s">
        <v>179</v>
      </c>
      <c r="CV292" s="83" t="s">
        <v>179</v>
      </c>
      <c r="CW292" s="83" t="s">
        <v>179</v>
      </c>
      <c r="CX292" s="79" t="s">
        <v>153</v>
      </c>
      <c r="CY292" s="79">
        <f t="shared" si="184"/>
        <v>0</v>
      </c>
      <c r="CZ292" s="79">
        <v>0</v>
      </c>
      <c r="DA292" s="79">
        <f t="shared" si="185"/>
        <v>0</v>
      </c>
      <c r="DB292" s="84" t="str">
        <f t="shared" si="186"/>
        <v/>
      </c>
      <c r="DC292" s="41"/>
      <c r="DD292" s="79" t="s">
        <v>153</v>
      </c>
      <c r="DE292" s="71"/>
      <c r="DF292" s="85" t="s">
        <v>2212</v>
      </c>
      <c r="DG292" s="79">
        <v>282</v>
      </c>
      <c r="DH292" s="86" t="str">
        <f t="shared" si="182"/>
        <v>Completo</v>
      </c>
      <c r="DI292" s="79" t="s">
        <v>181</v>
      </c>
      <c r="DJ292" s="79" t="s">
        <v>182</v>
      </c>
      <c r="DK292" s="79"/>
      <c r="DL292" s="79">
        <v>0</v>
      </c>
      <c r="DM292" s="79">
        <v>0</v>
      </c>
      <c r="DN292" s="79" t="s">
        <v>182</v>
      </c>
      <c r="DO292" s="79"/>
      <c r="DP292" s="79"/>
      <c r="DQ292" s="79"/>
      <c r="DR292" s="75" t="str">
        <f t="shared" si="161"/>
        <v>No aplica</v>
      </c>
      <c r="DS292" s="79"/>
      <c r="DT292" s="79"/>
      <c r="DU292" s="75" t="str">
        <f t="shared" si="162"/>
        <v>No aplica</v>
      </c>
      <c r="DV292" s="79" t="s">
        <v>182</v>
      </c>
      <c r="DW292" s="79" t="s">
        <v>182</v>
      </c>
      <c r="DX292" s="79"/>
      <c r="DY292" s="79"/>
      <c r="DZ292" s="79"/>
      <c r="EA292" s="79"/>
      <c r="EB292" s="79" t="s">
        <v>182</v>
      </c>
      <c r="EC292" s="79" t="s">
        <v>2213</v>
      </c>
      <c r="ED292" s="79" t="s">
        <v>249</v>
      </c>
      <c r="EE292" s="79" t="str">
        <f t="shared" si="187"/>
        <v>Completo</v>
      </c>
      <c r="EF292" s="41"/>
      <c r="EG292" s="79" t="s">
        <v>153</v>
      </c>
      <c r="EH292" s="71"/>
      <c r="EI292" s="80"/>
      <c r="EJ292" s="71"/>
      <c r="EK292" s="79"/>
      <c r="EL292" s="76" t="str">
        <f t="shared" si="163"/>
        <v>No requiere</v>
      </c>
      <c r="EM292" s="76" t="str">
        <f t="shared" si="164"/>
        <v>No requiere</v>
      </c>
      <c r="EN292" s="76" t="str">
        <f t="shared" si="140"/>
        <v>No requiere</v>
      </c>
      <c r="EO292" s="71"/>
      <c r="EP292" s="73" t="str">
        <f t="shared" si="165"/>
        <v>No requiere</v>
      </c>
      <c r="EQ292" s="77" t="str">
        <f t="shared" si="166"/>
        <v>No requiere</v>
      </c>
      <c r="ER292" s="71"/>
      <c r="ES292" s="79"/>
      <c r="ET292" s="73" t="str">
        <f t="shared" si="167"/>
        <v>No requiere</v>
      </c>
      <c r="EU292" s="73" t="str">
        <f t="shared" si="141"/>
        <v>No requiere</v>
      </c>
      <c r="EV292" s="73" t="str">
        <f t="shared" si="168"/>
        <v>No requiere</v>
      </c>
      <c r="EW292" s="73" t="str">
        <f t="shared" si="169"/>
        <v>No requiere</v>
      </c>
      <c r="EX292" s="78"/>
      <c r="EY292" s="78"/>
    </row>
    <row r="293" spans="1:155" ht="46.5" customHeight="1">
      <c r="A293" s="79">
        <v>289</v>
      </c>
      <c r="B293" s="80" t="s">
        <v>2214</v>
      </c>
      <c r="C293" s="81">
        <v>45398</v>
      </c>
      <c r="D293" s="82">
        <v>0.375</v>
      </c>
      <c r="E293" s="79" t="s">
        <v>200</v>
      </c>
      <c r="F293" s="79" t="s">
        <v>153</v>
      </c>
      <c r="G293" s="79" t="s">
        <v>152</v>
      </c>
      <c r="H293" s="79" t="s">
        <v>152</v>
      </c>
      <c r="I293" s="79" t="s">
        <v>152</v>
      </c>
      <c r="J293" s="79" t="s">
        <v>504</v>
      </c>
      <c r="K293" s="79" t="s">
        <v>155</v>
      </c>
      <c r="L293" s="80" t="s">
        <v>1232</v>
      </c>
      <c r="M293" s="80" t="s">
        <v>157</v>
      </c>
      <c r="N293" s="79" t="s">
        <v>749</v>
      </c>
      <c r="O293" s="80" t="str">
        <f t="shared" si="157"/>
        <v/>
      </c>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t="s">
        <v>169</v>
      </c>
      <c r="AP293" s="79" t="s">
        <v>507</v>
      </c>
      <c r="AQ293" s="80" t="s">
        <v>1233</v>
      </c>
      <c r="AR293" s="83" t="s">
        <v>1234</v>
      </c>
      <c r="AS293" s="80" t="s">
        <v>1989</v>
      </c>
      <c r="AT293" s="80" t="str">
        <f t="shared" si="158"/>
        <v>Puente Aranda</v>
      </c>
      <c r="AU293" s="79" t="s">
        <v>1235</v>
      </c>
      <c r="AV293" s="79"/>
      <c r="AW293" s="79"/>
      <c r="AX293" s="79"/>
      <c r="AY293" s="79"/>
      <c r="AZ293" s="79"/>
      <c r="BA293" s="80" t="str">
        <f t="shared" si="159"/>
        <v>Centro Ampliado</v>
      </c>
      <c r="BB293" s="79" t="s">
        <v>636</v>
      </c>
      <c r="BC293" s="79"/>
      <c r="BD293" s="79"/>
      <c r="BE293" s="79"/>
      <c r="BF293" s="79"/>
      <c r="BG293" s="79"/>
      <c r="BH293" s="80" t="str">
        <f t="shared" si="160"/>
        <v>Puente Aranda</v>
      </c>
      <c r="BI293" s="79" t="s">
        <v>1235</v>
      </c>
      <c r="BJ293" s="79"/>
      <c r="BK293" s="79"/>
      <c r="BL293" s="79"/>
      <c r="BM293" s="79"/>
      <c r="BN293" s="79"/>
      <c r="BO293" s="79"/>
      <c r="BP293" s="79"/>
      <c r="BQ293" s="79"/>
      <c r="BR293" s="79"/>
      <c r="BS293" s="80" t="s">
        <v>288</v>
      </c>
      <c r="BT293" s="80" t="s">
        <v>174</v>
      </c>
      <c r="BU293" s="80" t="s">
        <v>2215</v>
      </c>
      <c r="BV293" s="71"/>
      <c r="BW293" s="79" t="s">
        <v>152</v>
      </c>
      <c r="BX293" s="79" t="s">
        <v>179</v>
      </c>
      <c r="BY293" s="71"/>
      <c r="BZ293" s="79">
        <v>16</v>
      </c>
      <c r="CA293" s="79">
        <v>1</v>
      </c>
      <c r="CB293" s="79">
        <f t="shared" si="178"/>
        <v>17</v>
      </c>
      <c r="CC293" s="79" t="str">
        <f t="shared" si="139"/>
        <v>No Aplica</v>
      </c>
      <c r="CD293" s="79" t="s">
        <v>177</v>
      </c>
      <c r="CE293" s="79"/>
      <c r="CF293" s="79"/>
      <c r="CG293" s="83" t="s">
        <v>2216</v>
      </c>
      <c r="CH293" s="41"/>
      <c r="CI293" s="79" t="s">
        <v>153</v>
      </c>
      <c r="CJ293" s="71"/>
      <c r="CK293" s="79">
        <f t="shared" si="177"/>
        <v>0</v>
      </c>
      <c r="CL293" s="79"/>
      <c r="CM293" s="79"/>
      <c r="CN293" s="79"/>
      <c r="CO293" s="79"/>
      <c r="CP293" s="79"/>
      <c r="CQ293" s="79"/>
      <c r="CR293" s="83" t="s">
        <v>179</v>
      </c>
      <c r="CS293" s="83" t="s">
        <v>179</v>
      </c>
      <c r="CT293" s="83" t="s">
        <v>179</v>
      </c>
      <c r="CU293" s="83" t="s">
        <v>179</v>
      </c>
      <c r="CV293" s="83" t="s">
        <v>179</v>
      </c>
      <c r="CW293" s="83" t="s">
        <v>179</v>
      </c>
      <c r="CX293" s="79" t="s">
        <v>153</v>
      </c>
      <c r="CY293" s="79">
        <v>0</v>
      </c>
      <c r="CZ293" s="79">
        <v>0</v>
      </c>
      <c r="DA293" s="79">
        <v>0</v>
      </c>
      <c r="DB293" s="84"/>
      <c r="DC293" s="41"/>
      <c r="DD293" s="79" t="s">
        <v>153</v>
      </c>
      <c r="DE293" s="71"/>
      <c r="DF293" s="85" t="s">
        <v>2217</v>
      </c>
      <c r="DG293" s="79">
        <v>283</v>
      </c>
      <c r="DH293" s="86">
        <v>45399</v>
      </c>
      <c r="DI293" s="79" t="s">
        <v>181</v>
      </c>
      <c r="DJ293" s="79" t="s">
        <v>182</v>
      </c>
      <c r="DK293" s="79"/>
      <c r="DL293" s="79">
        <v>0</v>
      </c>
      <c r="DM293" s="79">
        <v>0</v>
      </c>
      <c r="DN293" s="79" t="s">
        <v>182</v>
      </c>
      <c r="DO293" s="79"/>
      <c r="DP293" s="79"/>
      <c r="DQ293" s="79"/>
      <c r="DR293" s="75" t="str">
        <f t="shared" si="161"/>
        <v>No aplica</v>
      </c>
      <c r="DS293" s="79"/>
      <c r="DT293" s="79"/>
      <c r="DU293" s="75" t="str">
        <f t="shared" si="162"/>
        <v>No aplica</v>
      </c>
      <c r="DV293" s="79" t="s">
        <v>182</v>
      </c>
      <c r="DW293" s="79" t="s">
        <v>182</v>
      </c>
      <c r="DX293" s="79"/>
      <c r="DY293" s="79"/>
      <c r="DZ293" s="79"/>
      <c r="EA293" s="79"/>
      <c r="EB293" s="79"/>
      <c r="EC293" s="79"/>
      <c r="ED293" s="79" t="s">
        <v>184</v>
      </c>
      <c r="EE293" s="79" t="s">
        <v>621</v>
      </c>
      <c r="EF293" s="41"/>
      <c r="EG293" s="79" t="s">
        <v>153</v>
      </c>
      <c r="EH293" s="71"/>
      <c r="EI293" s="80"/>
      <c r="EJ293" s="71"/>
      <c r="EK293" s="79"/>
      <c r="EL293" s="76" t="str">
        <f t="shared" si="163"/>
        <v>No requiere</v>
      </c>
      <c r="EM293" s="76" t="str">
        <f t="shared" si="164"/>
        <v>No requiere</v>
      </c>
      <c r="EN293" s="76" t="str">
        <f t="shared" si="140"/>
        <v>No requiere</v>
      </c>
      <c r="EO293" s="71"/>
      <c r="EP293" s="73" t="str">
        <f t="shared" si="165"/>
        <v>No requiere</v>
      </c>
      <c r="EQ293" s="77" t="str">
        <f t="shared" si="166"/>
        <v>No requiere</v>
      </c>
      <c r="ER293" s="71"/>
      <c r="ES293" s="79"/>
      <c r="ET293" s="73" t="str">
        <f t="shared" si="167"/>
        <v>No requiere</v>
      </c>
      <c r="EU293" s="73" t="str">
        <f t="shared" si="141"/>
        <v>No requiere</v>
      </c>
      <c r="EV293" s="73" t="str">
        <f t="shared" si="168"/>
        <v>No requiere</v>
      </c>
      <c r="EW293" s="73" t="str">
        <f t="shared" si="169"/>
        <v>No requiere</v>
      </c>
      <c r="EX293" s="78"/>
      <c r="EY293" s="78"/>
    </row>
    <row r="294" spans="1:155" ht="46.5" customHeight="1">
      <c r="A294" s="79" t="str">
        <v/>
      </c>
      <c r="B294" s="80" t="s">
        <v>2218</v>
      </c>
      <c r="C294" s="81">
        <v>45399</v>
      </c>
      <c r="D294" s="82">
        <v>0.29166666666666669</v>
      </c>
      <c r="E294" s="79" t="s">
        <v>151</v>
      </c>
      <c r="F294" s="79" t="s">
        <v>152</v>
      </c>
      <c r="G294" s="79" t="s">
        <v>153</v>
      </c>
      <c r="H294" s="79" t="s">
        <v>152</v>
      </c>
      <c r="I294" s="79" t="s">
        <v>152</v>
      </c>
      <c r="J294" s="79" t="s">
        <v>251</v>
      </c>
      <c r="K294" s="79" t="s">
        <v>202</v>
      </c>
      <c r="L294" s="80" t="s">
        <v>2219</v>
      </c>
      <c r="M294" s="80" t="s">
        <v>157</v>
      </c>
      <c r="N294" s="79" t="s">
        <v>506</v>
      </c>
      <c r="O294" s="80" t="str">
        <f t="shared" si="157"/>
        <v/>
      </c>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t="s">
        <v>169</v>
      </c>
      <c r="AP294" s="79" t="s">
        <v>507</v>
      </c>
      <c r="AQ294" s="80" t="s">
        <v>1989</v>
      </c>
      <c r="AR294" s="83" t="s">
        <v>171</v>
      </c>
      <c r="AS294" s="80" t="s">
        <v>171</v>
      </c>
      <c r="AT294" s="80" t="str">
        <f t="shared" si="158"/>
        <v>Sumapaz</v>
      </c>
      <c r="AU294" s="79" t="s">
        <v>510</v>
      </c>
      <c r="AV294" s="79"/>
      <c r="AW294" s="79"/>
      <c r="AX294" s="79"/>
      <c r="AY294" s="79"/>
      <c r="AZ294" s="79"/>
      <c r="BA294" s="80" t="str">
        <f t="shared" si="159"/>
        <v>Ruralidad</v>
      </c>
      <c r="BB294" s="79" t="s">
        <v>219</v>
      </c>
      <c r="BC294" s="79"/>
      <c r="BD294" s="79"/>
      <c r="BE294" s="79"/>
      <c r="BF294" s="79"/>
      <c r="BG294" s="79"/>
      <c r="BH294" s="80" t="str">
        <f t="shared" si="160"/>
        <v>Sumapaz</v>
      </c>
      <c r="BI294" s="79" t="s">
        <v>510</v>
      </c>
      <c r="BJ294" s="79"/>
      <c r="BK294" s="79"/>
      <c r="BL294" s="79"/>
      <c r="BM294" s="79"/>
      <c r="BN294" s="79"/>
      <c r="BO294" s="79"/>
      <c r="BP294" s="79"/>
      <c r="BQ294" s="79"/>
      <c r="BR294" s="79"/>
      <c r="BS294" s="80" t="s">
        <v>288</v>
      </c>
      <c r="BT294" s="80" t="s">
        <v>2220</v>
      </c>
      <c r="BU294" s="89" t="s">
        <v>2221</v>
      </c>
      <c r="BV294" s="71"/>
      <c r="BW294" s="79" t="s">
        <v>153</v>
      </c>
      <c r="BX294" s="79" t="s">
        <v>176</v>
      </c>
      <c r="BY294" s="71"/>
      <c r="BZ294" s="79">
        <v>4</v>
      </c>
      <c r="CA294" s="79">
        <v>10</v>
      </c>
      <c r="CB294" s="79">
        <f t="shared" si="178"/>
        <v>14</v>
      </c>
      <c r="CC294" s="79" t="str">
        <f t="shared" si="139"/>
        <v>No Aplica</v>
      </c>
      <c r="CD294" s="79" t="s">
        <v>177</v>
      </c>
      <c r="CE294" s="79"/>
      <c r="CF294" s="79"/>
      <c r="CG294" s="83" t="s">
        <v>2222</v>
      </c>
      <c r="CH294" s="41"/>
      <c r="CI294" s="79" t="s">
        <v>153</v>
      </c>
      <c r="CJ294" s="71"/>
      <c r="CK294" s="79">
        <f t="shared" si="177"/>
        <v>0</v>
      </c>
      <c r="CL294" s="79"/>
      <c r="CM294" s="79"/>
      <c r="CN294" s="79"/>
      <c r="CO294" s="79"/>
      <c r="CP294" s="79"/>
      <c r="CQ294" s="79"/>
      <c r="CR294" s="83" t="s">
        <v>179</v>
      </c>
      <c r="CS294" s="83" t="s">
        <v>179</v>
      </c>
      <c r="CT294" s="83" t="s">
        <v>179</v>
      </c>
      <c r="CU294" s="83" t="s">
        <v>179</v>
      </c>
      <c r="CV294" s="83" t="s">
        <v>179</v>
      </c>
      <c r="CW294" s="83" t="s">
        <v>179</v>
      </c>
      <c r="CX294" s="79" t="s">
        <v>153</v>
      </c>
      <c r="CY294" s="79">
        <f t="shared" ref="CY294:CY307" si="188">SUM(COUNTIF(CR294:CW294,"Realizado y Devuelto a la Ciudadanía"),COUNTIF(CR294:CW294,"Realizado y Trasladado por competencia"), COUNTIF(CR294:CW294,"Realizado y Gestionado"))</f>
        <v>0</v>
      </c>
      <c r="CZ294" s="79">
        <v>0</v>
      </c>
      <c r="DA294" s="79">
        <f t="shared" ref="DA294:DA307" si="189">COUNTIF(CR294:CW294,"Realizado y Devuelto a la Ciudadanía")</f>
        <v>0</v>
      </c>
      <c r="DB294" s="84" t="str">
        <f t="shared" ref="DB294:DB307" si="190">IFERROR(CY294/CK294,"")</f>
        <v/>
      </c>
      <c r="DC294" s="41"/>
      <c r="DD294" s="79" t="s">
        <v>153</v>
      </c>
      <c r="DE294" s="71"/>
      <c r="DF294" s="85" t="s">
        <v>2223</v>
      </c>
      <c r="DG294" s="79">
        <v>284</v>
      </c>
      <c r="DH294" s="86" t="str">
        <f t="shared" ref="DH294:DH325" si="191">IF(EE294="Por completar",C294+3,"Completo")</f>
        <v>Completo</v>
      </c>
      <c r="DI294" s="79" t="s">
        <v>181</v>
      </c>
      <c r="DJ294" s="79" t="s">
        <v>182</v>
      </c>
      <c r="DK294" s="79"/>
      <c r="DL294" s="79">
        <v>0</v>
      </c>
      <c r="DM294" s="79">
        <v>0</v>
      </c>
      <c r="DN294" s="79"/>
      <c r="DO294" s="79"/>
      <c r="DP294" s="79"/>
      <c r="DQ294" s="79"/>
      <c r="DR294" s="75" t="str">
        <f t="shared" si="161"/>
        <v>No aplica</v>
      </c>
      <c r="DS294" s="79"/>
      <c r="DT294" s="79"/>
      <c r="DU294" s="75" t="str">
        <f t="shared" si="162"/>
        <v>No aplica</v>
      </c>
      <c r="DV294" s="79" t="s">
        <v>182</v>
      </c>
      <c r="DW294" s="79"/>
      <c r="DX294" s="79"/>
      <c r="DY294" s="79"/>
      <c r="DZ294" s="79"/>
      <c r="EA294" s="79"/>
      <c r="EB294" s="79"/>
      <c r="EC294" s="79"/>
      <c r="ED294" s="79" t="s">
        <v>2224</v>
      </c>
      <c r="EE294" s="79" t="str">
        <f t="shared" ref="EE294:EE297" si="192">IF(DI294="Subsanado","Completo","Por Completar")</f>
        <v>Completo</v>
      </c>
      <c r="EF294" s="41"/>
      <c r="EG294" s="79" t="s">
        <v>153</v>
      </c>
      <c r="EH294" s="71"/>
      <c r="EI294" s="80"/>
      <c r="EJ294" s="71"/>
      <c r="EK294" s="79"/>
      <c r="EL294" s="76" t="str">
        <f t="shared" si="163"/>
        <v>No requiere</v>
      </c>
      <c r="EM294" s="76" t="str">
        <f t="shared" si="164"/>
        <v>No requiere</v>
      </c>
      <c r="EN294" s="76" t="str">
        <f t="shared" si="140"/>
        <v>No requiere</v>
      </c>
      <c r="EO294" s="71"/>
      <c r="EP294" s="73" t="str">
        <f t="shared" si="165"/>
        <v>No requiere</v>
      </c>
      <c r="EQ294" s="77" t="str">
        <f t="shared" si="166"/>
        <v>No requiere</v>
      </c>
      <c r="ER294" s="71"/>
      <c r="ES294" s="79"/>
      <c r="ET294" s="73" t="str">
        <f t="shared" si="167"/>
        <v>No requiere</v>
      </c>
      <c r="EU294" s="73" t="str">
        <f t="shared" si="141"/>
        <v>No requiere</v>
      </c>
      <c r="EV294" s="73" t="str">
        <f t="shared" si="168"/>
        <v>No requiere</v>
      </c>
      <c r="EW294" s="73" t="str">
        <f t="shared" si="169"/>
        <v>No requiere</v>
      </c>
      <c r="EX294" s="78"/>
      <c r="EY294" s="78"/>
    </row>
    <row r="295" spans="1:155" ht="46.5" customHeight="1">
      <c r="A295" s="79" t="str">
        <v/>
      </c>
      <c r="B295" s="80" t="s">
        <v>2225</v>
      </c>
      <c r="C295" s="81">
        <v>45399</v>
      </c>
      <c r="D295" s="82">
        <v>0.29166666666666669</v>
      </c>
      <c r="E295" s="79" t="s">
        <v>151</v>
      </c>
      <c r="F295" s="79" t="s">
        <v>152</v>
      </c>
      <c r="G295" s="79" t="s">
        <v>153</v>
      </c>
      <c r="H295" s="79" t="s">
        <v>152</v>
      </c>
      <c r="I295" s="79" t="s">
        <v>152</v>
      </c>
      <c r="J295" s="79" t="s">
        <v>251</v>
      </c>
      <c r="K295" s="79" t="s">
        <v>202</v>
      </c>
      <c r="L295" s="80" t="s">
        <v>2226</v>
      </c>
      <c r="M295" s="80" t="s">
        <v>157</v>
      </c>
      <c r="N295" s="79" t="s">
        <v>966</v>
      </c>
      <c r="O295" s="80" t="str">
        <f t="shared" si="157"/>
        <v/>
      </c>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t="s">
        <v>169</v>
      </c>
      <c r="AP295" s="79" t="s">
        <v>507</v>
      </c>
      <c r="AQ295" s="80" t="s">
        <v>1989</v>
      </c>
      <c r="AR295" s="83" t="s">
        <v>171</v>
      </c>
      <c r="AS295" s="80" t="s">
        <v>171</v>
      </c>
      <c r="AT295" s="80" t="str">
        <f t="shared" si="158"/>
        <v>Sumapaz</v>
      </c>
      <c r="AU295" s="79" t="s">
        <v>510</v>
      </c>
      <c r="AV295" s="79"/>
      <c r="AW295" s="79"/>
      <c r="AX295" s="79"/>
      <c r="AY295" s="79"/>
      <c r="AZ295" s="79"/>
      <c r="BA295" s="80" t="str">
        <f t="shared" si="159"/>
        <v>Ruralidad</v>
      </c>
      <c r="BB295" s="79" t="s">
        <v>219</v>
      </c>
      <c r="BC295" s="79"/>
      <c r="BD295" s="79"/>
      <c r="BE295" s="79"/>
      <c r="BF295" s="79"/>
      <c r="BG295" s="79"/>
      <c r="BH295" s="80" t="str">
        <f t="shared" si="160"/>
        <v>Sumapaz</v>
      </c>
      <c r="BI295" s="79" t="s">
        <v>510</v>
      </c>
      <c r="BJ295" s="79"/>
      <c r="BK295" s="79"/>
      <c r="BL295" s="79"/>
      <c r="BM295" s="79"/>
      <c r="BN295" s="79"/>
      <c r="BO295" s="79"/>
      <c r="BP295" s="79"/>
      <c r="BQ295" s="79"/>
      <c r="BR295" s="79"/>
      <c r="BS295" s="80" t="s">
        <v>288</v>
      </c>
      <c r="BT295" s="80" t="s">
        <v>174</v>
      </c>
      <c r="BU295" s="89" t="s">
        <v>2221</v>
      </c>
      <c r="BV295" s="71"/>
      <c r="BW295" s="79" t="s">
        <v>153</v>
      </c>
      <c r="BX295" s="79" t="s">
        <v>176</v>
      </c>
      <c r="BY295" s="71"/>
      <c r="BZ295" s="79">
        <v>4</v>
      </c>
      <c r="CA295" s="79">
        <v>10</v>
      </c>
      <c r="CB295" s="79">
        <f t="shared" si="178"/>
        <v>14</v>
      </c>
      <c r="CC295" s="79" t="str">
        <f t="shared" si="139"/>
        <v>No Aplica</v>
      </c>
      <c r="CD295" s="79" t="s">
        <v>177</v>
      </c>
      <c r="CE295" s="79"/>
      <c r="CF295" s="79"/>
      <c r="CG295" s="83" t="s">
        <v>2227</v>
      </c>
      <c r="CH295" s="41"/>
      <c r="CI295" s="79" t="s">
        <v>153</v>
      </c>
      <c r="CJ295" s="71"/>
      <c r="CK295" s="79">
        <f t="shared" si="177"/>
        <v>0</v>
      </c>
      <c r="CL295" s="79"/>
      <c r="CM295" s="79"/>
      <c r="CN295" s="79"/>
      <c r="CO295" s="79"/>
      <c r="CP295" s="79"/>
      <c r="CQ295" s="79"/>
      <c r="CR295" s="83" t="s">
        <v>179</v>
      </c>
      <c r="CS295" s="83" t="s">
        <v>179</v>
      </c>
      <c r="CT295" s="83" t="s">
        <v>179</v>
      </c>
      <c r="CU295" s="83" t="s">
        <v>179</v>
      </c>
      <c r="CV295" s="83" t="s">
        <v>179</v>
      </c>
      <c r="CW295" s="83" t="s">
        <v>179</v>
      </c>
      <c r="CX295" s="79" t="s">
        <v>153</v>
      </c>
      <c r="CY295" s="79">
        <f t="shared" si="188"/>
        <v>0</v>
      </c>
      <c r="CZ295" s="79">
        <v>0</v>
      </c>
      <c r="DA295" s="79">
        <f t="shared" si="189"/>
        <v>0</v>
      </c>
      <c r="DB295" s="84" t="str">
        <f t="shared" si="190"/>
        <v/>
      </c>
      <c r="DC295" s="41"/>
      <c r="DD295" s="79" t="s">
        <v>153</v>
      </c>
      <c r="DE295" s="71"/>
      <c r="DF295" s="85" t="s">
        <v>2228</v>
      </c>
      <c r="DG295" s="79">
        <v>285</v>
      </c>
      <c r="DH295" s="86" t="str">
        <f t="shared" si="191"/>
        <v>Completo</v>
      </c>
      <c r="DI295" s="79" t="s">
        <v>181</v>
      </c>
      <c r="DJ295" s="79" t="s">
        <v>182</v>
      </c>
      <c r="DK295" s="79"/>
      <c r="DL295" s="79">
        <v>0</v>
      </c>
      <c r="DM295" s="79">
        <v>0</v>
      </c>
      <c r="DN295" s="79"/>
      <c r="DO295" s="79"/>
      <c r="DP295" s="79"/>
      <c r="DQ295" s="79"/>
      <c r="DR295" s="75" t="str">
        <f t="shared" si="161"/>
        <v>No aplica</v>
      </c>
      <c r="DS295" s="79"/>
      <c r="DT295" s="79"/>
      <c r="DU295" s="75" t="str">
        <f t="shared" si="162"/>
        <v>No aplica</v>
      </c>
      <c r="DV295" s="79" t="s">
        <v>182</v>
      </c>
      <c r="DW295" s="79"/>
      <c r="DX295" s="79"/>
      <c r="DY295" s="79"/>
      <c r="DZ295" s="79"/>
      <c r="EA295" s="79"/>
      <c r="EB295" s="79"/>
      <c r="EC295" s="79"/>
      <c r="ED295" s="79" t="s">
        <v>2224</v>
      </c>
      <c r="EE295" s="79" t="str">
        <f t="shared" si="192"/>
        <v>Completo</v>
      </c>
      <c r="EF295" s="41"/>
      <c r="EG295" s="79" t="s">
        <v>153</v>
      </c>
      <c r="EH295" s="71"/>
      <c r="EI295" s="80"/>
      <c r="EJ295" s="71"/>
      <c r="EK295" s="79"/>
      <c r="EL295" s="76" t="str">
        <f t="shared" si="163"/>
        <v>No requiere</v>
      </c>
      <c r="EM295" s="76" t="str">
        <f t="shared" si="164"/>
        <v>No requiere</v>
      </c>
      <c r="EN295" s="76" t="str">
        <f t="shared" si="140"/>
        <v>No requiere</v>
      </c>
      <c r="EO295" s="71"/>
      <c r="EP295" s="73" t="str">
        <f t="shared" si="165"/>
        <v>No requiere</v>
      </c>
      <c r="EQ295" s="77" t="str">
        <f t="shared" si="166"/>
        <v>No requiere</v>
      </c>
      <c r="ER295" s="71"/>
      <c r="ES295" s="79"/>
      <c r="ET295" s="73" t="str">
        <f t="shared" si="167"/>
        <v>No requiere</v>
      </c>
      <c r="EU295" s="73" t="str">
        <f t="shared" si="141"/>
        <v>No requiere</v>
      </c>
      <c r="EV295" s="73" t="str">
        <f t="shared" si="168"/>
        <v>No requiere</v>
      </c>
      <c r="EW295" s="73" t="str">
        <f t="shared" si="169"/>
        <v>No requiere</v>
      </c>
      <c r="EX295" s="78"/>
      <c r="EY295" s="78"/>
    </row>
    <row r="296" spans="1:155" ht="46.5" customHeight="1">
      <c r="A296" s="79" t="str">
        <v/>
      </c>
      <c r="B296" s="80" t="s">
        <v>2229</v>
      </c>
      <c r="C296" s="81">
        <v>45399</v>
      </c>
      <c r="D296" s="82">
        <v>0.33333333333333331</v>
      </c>
      <c r="E296" s="79" t="s">
        <v>151</v>
      </c>
      <c r="F296" s="79" t="s">
        <v>152</v>
      </c>
      <c r="G296" s="79" t="s">
        <v>153</v>
      </c>
      <c r="H296" s="79" t="s">
        <v>152</v>
      </c>
      <c r="I296" s="79" t="s">
        <v>152</v>
      </c>
      <c r="J296" s="79" t="s">
        <v>251</v>
      </c>
      <c r="K296" s="79" t="s">
        <v>202</v>
      </c>
      <c r="L296" s="80" t="s">
        <v>2230</v>
      </c>
      <c r="M296" s="80" t="s">
        <v>157</v>
      </c>
      <c r="N296" s="79" t="s">
        <v>861</v>
      </c>
      <c r="O296" s="80" t="str">
        <f t="shared" si="157"/>
        <v/>
      </c>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t="s">
        <v>169</v>
      </c>
      <c r="AP296" s="79" t="s">
        <v>170</v>
      </c>
      <c r="AQ296" s="80" t="s">
        <v>2231</v>
      </c>
      <c r="AR296" s="83" t="s">
        <v>2232</v>
      </c>
      <c r="AS296" s="80" t="s">
        <v>171</v>
      </c>
      <c r="AT296" s="80" t="str">
        <f t="shared" si="158"/>
        <v>Suba</v>
      </c>
      <c r="AU296" s="79" t="s">
        <v>602</v>
      </c>
      <c r="AV296" s="79"/>
      <c r="AW296" s="79"/>
      <c r="AX296" s="79"/>
      <c r="AY296" s="79"/>
      <c r="AZ296" s="79"/>
      <c r="BA296" s="80" t="str">
        <f t="shared" si="159"/>
        <v>Noroccidente</v>
      </c>
      <c r="BB296" s="79" t="s">
        <v>603</v>
      </c>
      <c r="BC296" s="79"/>
      <c r="BD296" s="79"/>
      <c r="BE296" s="79"/>
      <c r="BF296" s="79"/>
      <c r="BG296" s="79"/>
      <c r="BH296" s="80" t="str">
        <f t="shared" si="160"/>
        <v>Suba, Suba Rincón, Tibabuyes</v>
      </c>
      <c r="BI296" s="79" t="s">
        <v>602</v>
      </c>
      <c r="BJ296" s="79" t="s">
        <v>604</v>
      </c>
      <c r="BK296" s="79" t="s">
        <v>1378</v>
      </c>
      <c r="BL296" s="79"/>
      <c r="BM296" s="79"/>
      <c r="BN296" s="79"/>
      <c r="BO296" s="79"/>
      <c r="BP296" s="79"/>
      <c r="BQ296" s="79"/>
      <c r="BR296" s="79"/>
      <c r="BS296" s="80" t="s">
        <v>288</v>
      </c>
      <c r="BT296" s="80" t="s">
        <v>174</v>
      </c>
      <c r="BU296" s="89" t="s">
        <v>2233</v>
      </c>
      <c r="BV296" s="71"/>
      <c r="BW296" s="79" t="s">
        <v>153</v>
      </c>
      <c r="BX296" s="79" t="s">
        <v>176</v>
      </c>
      <c r="BY296" s="71"/>
      <c r="BZ296" s="79">
        <v>3</v>
      </c>
      <c r="CA296" s="79">
        <v>4</v>
      </c>
      <c r="CB296" s="79">
        <f t="shared" si="178"/>
        <v>7</v>
      </c>
      <c r="CC296" s="79" t="str">
        <f t="shared" si="139"/>
        <v>No Aplica</v>
      </c>
      <c r="CD296" s="79" t="s">
        <v>177</v>
      </c>
      <c r="CE296" s="79"/>
      <c r="CF296" s="79"/>
      <c r="CG296" s="83" t="s">
        <v>2234</v>
      </c>
      <c r="CH296" s="41"/>
      <c r="CI296" s="79" t="s">
        <v>153</v>
      </c>
      <c r="CJ296" s="71"/>
      <c r="CK296" s="79">
        <f t="shared" si="177"/>
        <v>0</v>
      </c>
      <c r="CL296" s="79"/>
      <c r="CM296" s="79"/>
      <c r="CN296" s="79"/>
      <c r="CO296" s="79"/>
      <c r="CP296" s="79"/>
      <c r="CQ296" s="79"/>
      <c r="CR296" s="83" t="s">
        <v>179</v>
      </c>
      <c r="CS296" s="83" t="s">
        <v>179</v>
      </c>
      <c r="CT296" s="83" t="s">
        <v>179</v>
      </c>
      <c r="CU296" s="83" t="s">
        <v>179</v>
      </c>
      <c r="CV296" s="83" t="s">
        <v>179</v>
      </c>
      <c r="CW296" s="83" t="s">
        <v>179</v>
      </c>
      <c r="CX296" s="79" t="s">
        <v>153</v>
      </c>
      <c r="CY296" s="79">
        <f t="shared" si="188"/>
        <v>0</v>
      </c>
      <c r="CZ296" s="79">
        <v>0</v>
      </c>
      <c r="DA296" s="79">
        <f t="shared" si="189"/>
        <v>0</v>
      </c>
      <c r="DB296" s="84" t="str">
        <f t="shared" si="190"/>
        <v/>
      </c>
      <c r="DC296" s="41"/>
      <c r="DD296" s="79" t="s">
        <v>153</v>
      </c>
      <c r="DE296" s="71"/>
      <c r="DF296" s="85" t="s">
        <v>2235</v>
      </c>
      <c r="DG296" s="79">
        <v>286</v>
      </c>
      <c r="DH296" s="86" t="str">
        <f t="shared" si="191"/>
        <v>Completo</v>
      </c>
      <c r="DI296" s="79" t="s">
        <v>181</v>
      </c>
      <c r="DJ296" s="79" t="s">
        <v>182</v>
      </c>
      <c r="DK296" s="79"/>
      <c r="DL296" s="79">
        <v>0</v>
      </c>
      <c r="DM296" s="79">
        <v>0</v>
      </c>
      <c r="DN296" s="79"/>
      <c r="DO296" s="79"/>
      <c r="DP296" s="79"/>
      <c r="DQ296" s="79"/>
      <c r="DR296" s="75" t="str">
        <f t="shared" si="161"/>
        <v>No aplica</v>
      </c>
      <c r="DS296" s="79"/>
      <c r="DT296" s="79"/>
      <c r="DU296" s="75" t="str">
        <f t="shared" si="162"/>
        <v>No aplica</v>
      </c>
      <c r="DV296" s="79"/>
      <c r="DW296" s="79" t="s">
        <v>182</v>
      </c>
      <c r="DX296" s="79"/>
      <c r="DY296" s="79"/>
      <c r="DZ296" s="79"/>
      <c r="EA296" s="79"/>
      <c r="EB296" s="79"/>
      <c r="EC296" s="79"/>
      <c r="ED296" s="79" t="s">
        <v>2236</v>
      </c>
      <c r="EE296" s="79" t="str">
        <f t="shared" si="192"/>
        <v>Completo</v>
      </c>
      <c r="EF296" s="41"/>
      <c r="EG296" s="79" t="s">
        <v>153</v>
      </c>
      <c r="EH296" s="71"/>
      <c r="EI296" s="80"/>
      <c r="EJ296" s="71"/>
      <c r="EK296" s="79"/>
      <c r="EL296" s="76" t="str">
        <f t="shared" si="163"/>
        <v>No requiere</v>
      </c>
      <c r="EM296" s="76" t="str">
        <f t="shared" si="164"/>
        <v>No requiere</v>
      </c>
      <c r="EN296" s="76" t="str">
        <f t="shared" si="140"/>
        <v>No requiere</v>
      </c>
      <c r="EO296" s="71"/>
      <c r="EP296" s="73" t="str">
        <f t="shared" si="165"/>
        <v>No requiere</v>
      </c>
      <c r="EQ296" s="77" t="str">
        <f t="shared" si="166"/>
        <v>No requiere</v>
      </c>
      <c r="ER296" s="71"/>
      <c r="ES296" s="79"/>
      <c r="ET296" s="73" t="str">
        <f t="shared" si="167"/>
        <v>No requiere</v>
      </c>
      <c r="EU296" s="73" t="str">
        <f t="shared" si="141"/>
        <v>No requiere</v>
      </c>
      <c r="EV296" s="73" t="str">
        <f t="shared" si="168"/>
        <v>No requiere</v>
      </c>
      <c r="EW296" s="73" t="str">
        <f t="shared" si="169"/>
        <v>No requiere</v>
      </c>
      <c r="EX296" s="78"/>
      <c r="EY296" s="78"/>
    </row>
    <row r="297" spans="1:155" ht="46.5" customHeight="1">
      <c r="A297" s="79" t="str">
        <v/>
      </c>
      <c r="B297" s="80" t="s">
        <v>2237</v>
      </c>
      <c r="C297" s="81">
        <v>45399</v>
      </c>
      <c r="D297" s="82">
        <v>0.33333333333333331</v>
      </c>
      <c r="E297" s="79" t="s">
        <v>151</v>
      </c>
      <c r="F297" s="79" t="s">
        <v>152</v>
      </c>
      <c r="G297" s="79" t="s">
        <v>153</v>
      </c>
      <c r="H297" s="79" t="s">
        <v>152</v>
      </c>
      <c r="I297" s="79" t="s">
        <v>152</v>
      </c>
      <c r="J297" s="79" t="s">
        <v>251</v>
      </c>
      <c r="K297" s="79" t="s">
        <v>202</v>
      </c>
      <c r="L297" s="80" t="s">
        <v>2238</v>
      </c>
      <c r="M297" s="80" t="s">
        <v>157</v>
      </c>
      <c r="N297" s="79" t="s">
        <v>328</v>
      </c>
      <c r="O297" s="80" t="str">
        <f t="shared" si="157"/>
        <v/>
      </c>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t="s">
        <v>169</v>
      </c>
      <c r="AP297" s="79" t="s">
        <v>170</v>
      </c>
      <c r="AQ297" s="80" t="s">
        <v>2239</v>
      </c>
      <c r="AR297" s="83" t="s">
        <v>2240</v>
      </c>
      <c r="AS297" s="80" t="s">
        <v>2241</v>
      </c>
      <c r="AT297" s="80" t="str">
        <f t="shared" si="158"/>
        <v>Ciudad Bolívar</v>
      </c>
      <c r="AU297" s="79" t="s">
        <v>217</v>
      </c>
      <c r="AV297" s="79"/>
      <c r="AW297" s="79"/>
      <c r="AX297" s="79"/>
      <c r="AY297" s="79"/>
      <c r="AZ297" s="79"/>
      <c r="BA297" s="80" t="str">
        <f t="shared" si="159"/>
        <v>Suroriente</v>
      </c>
      <c r="BB297" s="79" t="s">
        <v>218</v>
      </c>
      <c r="BC297" s="79"/>
      <c r="BD297" s="79"/>
      <c r="BE297" s="79"/>
      <c r="BF297" s="79"/>
      <c r="BG297" s="79"/>
      <c r="BH297" s="80" t="str">
        <f t="shared" si="160"/>
        <v>Lucero, Arborizadora</v>
      </c>
      <c r="BI297" s="79" t="s">
        <v>221</v>
      </c>
      <c r="BJ297" s="79" t="s">
        <v>220</v>
      </c>
      <c r="BK297" s="79"/>
      <c r="BL297" s="79"/>
      <c r="BM297" s="79"/>
      <c r="BN297" s="79"/>
      <c r="BO297" s="79"/>
      <c r="BP297" s="79"/>
      <c r="BQ297" s="79"/>
      <c r="BR297" s="79"/>
      <c r="BS297" s="80" t="s">
        <v>288</v>
      </c>
      <c r="BT297" s="80" t="s">
        <v>2242</v>
      </c>
      <c r="BU297" s="89" t="s">
        <v>2243</v>
      </c>
      <c r="BV297" s="71"/>
      <c r="BW297" s="79" t="s">
        <v>153</v>
      </c>
      <c r="BX297" s="79" t="s">
        <v>176</v>
      </c>
      <c r="BY297" s="71"/>
      <c r="BZ297" s="79">
        <v>2</v>
      </c>
      <c r="CA297" s="79">
        <v>6</v>
      </c>
      <c r="CB297" s="79">
        <f t="shared" si="178"/>
        <v>8</v>
      </c>
      <c r="CC297" s="79" t="str">
        <f t="shared" si="139"/>
        <v>No Aplica</v>
      </c>
      <c r="CD297" s="79" t="s">
        <v>177</v>
      </c>
      <c r="CE297" s="79"/>
      <c r="CF297" s="79"/>
      <c r="CG297" s="83" t="s">
        <v>2244</v>
      </c>
      <c r="CH297" s="41"/>
      <c r="CI297" s="79" t="s">
        <v>153</v>
      </c>
      <c r="CJ297" s="71"/>
      <c r="CK297" s="79">
        <f t="shared" si="177"/>
        <v>0</v>
      </c>
      <c r="CL297" s="79"/>
      <c r="CM297" s="79"/>
      <c r="CN297" s="79"/>
      <c r="CO297" s="79"/>
      <c r="CP297" s="79"/>
      <c r="CQ297" s="79"/>
      <c r="CR297" s="83" t="s">
        <v>179</v>
      </c>
      <c r="CS297" s="83" t="s">
        <v>179</v>
      </c>
      <c r="CT297" s="83" t="s">
        <v>179</v>
      </c>
      <c r="CU297" s="83" t="s">
        <v>179</v>
      </c>
      <c r="CV297" s="83" t="s">
        <v>179</v>
      </c>
      <c r="CW297" s="83" t="s">
        <v>179</v>
      </c>
      <c r="CX297" s="79" t="s">
        <v>153</v>
      </c>
      <c r="CY297" s="79">
        <f t="shared" si="188"/>
        <v>0</v>
      </c>
      <c r="CZ297" s="79">
        <v>0</v>
      </c>
      <c r="DA297" s="79">
        <f t="shared" si="189"/>
        <v>0</v>
      </c>
      <c r="DB297" s="84" t="str">
        <f t="shared" si="190"/>
        <v/>
      </c>
      <c r="DC297" s="41"/>
      <c r="DD297" s="79" t="s">
        <v>153</v>
      </c>
      <c r="DE297" s="71"/>
      <c r="DF297" s="85" t="s">
        <v>2245</v>
      </c>
      <c r="DG297" s="79">
        <v>287</v>
      </c>
      <c r="DH297" s="86" t="str">
        <f t="shared" si="191"/>
        <v>Completo</v>
      </c>
      <c r="DI297" s="79" t="s">
        <v>181</v>
      </c>
      <c r="DJ297" s="79" t="s">
        <v>182</v>
      </c>
      <c r="DK297" s="79"/>
      <c r="DL297" s="79">
        <v>0</v>
      </c>
      <c r="DM297" s="79">
        <v>0</v>
      </c>
      <c r="DN297" s="79"/>
      <c r="DO297" s="79"/>
      <c r="DP297" s="79"/>
      <c r="DQ297" s="79"/>
      <c r="DR297" s="75" t="str">
        <f t="shared" si="161"/>
        <v>No aplica</v>
      </c>
      <c r="DS297" s="79"/>
      <c r="DT297" s="79"/>
      <c r="DU297" s="75" t="str">
        <f t="shared" si="162"/>
        <v>No aplica</v>
      </c>
      <c r="DV297" s="79" t="s">
        <v>182</v>
      </c>
      <c r="DW297" s="79" t="s">
        <v>182</v>
      </c>
      <c r="DX297" s="79"/>
      <c r="DY297" s="79"/>
      <c r="DZ297" s="79"/>
      <c r="EA297" s="79"/>
      <c r="EB297" s="79"/>
      <c r="EC297" s="79"/>
      <c r="ED297" s="79" t="s">
        <v>2246</v>
      </c>
      <c r="EE297" s="79" t="str">
        <f t="shared" si="192"/>
        <v>Completo</v>
      </c>
      <c r="EF297" s="41"/>
      <c r="EG297" s="79" t="s">
        <v>153</v>
      </c>
      <c r="EH297" s="71"/>
      <c r="EI297" s="80"/>
      <c r="EJ297" s="71"/>
      <c r="EK297" s="79"/>
      <c r="EL297" s="76" t="str">
        <f t="shared" si="163"/>
        <v>No requiere</v>
      </c>
      <c r="EM297" s="76" t="str">
        <f t="shared" si="164"/>
        <v>No requiere</v>
      </c>
      <c r="EN297" s="76" t="str">
        <f t="shared" si="140"/>
        <v>No requiere</v>
      </c>
      <c r="EO297" s="71"/>
      <c r="EP297" s="73" t="str">
        <f t="shared" si="165"/>
        <v>No requiere</v>
      </c>
      <c r="EQ297" s="77" t="str">
        <f t="shared" si="166"/>
        <v>No requiere</v>
      </c>
      <c r="ER297" s="71"/>
      <c r="ES297" s="79"/>
      <c r="ET297" s="73" t="str">
        <f t="shared" si="167"/>
        <v>No requiere</v>
      </c>
      <c r="EU297" s="73" t="str">
        <f t="shared" si="141"/>
        <v>No requiere</v>
      </c>
      <c r="EV297" s="73" t="str">
        <f t="shared" si="168"/>
        <v>No requiere</v>
      </c>
      <c r="EW297" s="73" t="str">
        <f t="shared" si="169"/>
        <v>No requiere</v>
      </c>
      <c r="EX297" s="78"/>
      <c r="EY297" s="78"/>
    </row>
    <row r="298" spans="1:155" ht="46.5" customHeight="1">
      <c r="A298" s="79" t="str">
        <v/>
      </c>
      <c r="B298" s="80" t="s">
        <v>2247</v>
      </c>
      <c r="C298" s="81">
        <v>45399</v>
      </c>
      <c r="D298" s="82">
        <v>0.33333333333333331</v>
      </c>
      <c r="E298" s="79" t="s">
        <v>151</v>
      </c>
      <c r="F298" s="79" t="s">
        <v>152</v>
      </c>
      <c r="G298" s="79" t="s">
        <v>153</v>
      </c>
      <c r="H298" s="79" t="s">
        <v>152</v>
      </c>
      <c r="I298" s="79" t="s">
        <v>152</v>
      </c>
      <c r="J298" s="79" t="s">
        <v>251</v>
      </c>
      <c r="K298" s="79" t="s">
        <v>202</v>
      </c>
      <c r="L298" s="80" t="s">
        <v>2248</v>
      </c>
      <c r="M298" s="80" t="s">
        <v>157</v>
      </c>
      <c r="N298" s="79" t="s">
        <v>965</v>
      </c>
      <c r="O298" s="80" t="str">
        <f t="shared" si="157"/>
        <v/>
      </c>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t="s">
        <v>169</v>
      </c>
      <c r="AP298" s="79" t="s">
        <v>170</v>
      </c>
      <c r="AQ298" s="80" t="s">
        <v>1989</v>
      </c>
      <c r="AR298" s="83" t="s">
        <v>171</v>
      </c>
      <c r="AS298" s="80" t="s">
        <v>171</v>
      </c>
      <c r="AT298" s="80" t="str">
        <f t="shared" si="158"/>
        <v>Puente Aranda</v>
      </c>
      <c r="AU298" s="79" t="s">
        <v>1235</v>
      </c>
      <c r="AV298" s="79"/>
      <c r="AW298" s="79"/>
      <c r="AX298" s="79"/>
      <c r="AY298" s="79"/>
      <c r="AZ298" s="79"/>
      <c r="BA298" s="80" t="str">
        <f t="shared" si="159"/>
        <v>Centro Ampliado</v>
      </c>
      <c r="BB298" s="79" t="s">
        <v>636</v>
      </c>
      <c r="BC298" s="79"/>
      <c r="BD298" s="79"/>
      <c r="BE298" s="79"/>
      <c r="BF298" s="79"/>
      <c r="BG298" s="79"/>
      <c r="BH298" s="80" t="str">
        <f t="shared" si="160"/>
        <v>Puente Aranda</v>
      </c>
      <c r="BI298" s="79" t="s">
        <v>1235</v>
      </c>
      <c r="BJ298" s="79"/>
      <c r="BK298" s="79"/>
      <c r="BL298" s="79"/>
      <c r="BM298" s="79"/>
      <c r="BN298" s="79"/>
      <c r="BO298" s="79"/>
      <c r="BP298" s="79"/>
      <c r="BQ298" s="79"/>
      <c r="BR298" s="79"/>
      <c r="BS298" s="80" t="s">
        <v>288</v>
      </c>
      <c r="BT298" s="80" t="s">
        <v>174</v>
      </c>
      <c r="BU298" s="89" t="s">
        <v>2249</v>
      </c>
      <c r="BV298" s="71"/>
      <c r="BW298" s="79" t="s">
        <v>153</v>
      </c>
      <c r="BX298" s="79" t="s">
        <v>176</v>
      </c>
      <c r="BY298" s="71"/>
      <c r="BZ298" s="79">
        <v>3</v>
      </c>
      <c r="CA298" s="79">
        <v>3</v>
      </c>
      <c r="CB298" s="79">
        <f t="shared" si="178"/>
        <v>6</v>
      </c>
      <c r="CC298" s="79" t="str">
        <f t="shared" si="139"/>
        <v>No Aplica</v>
      </c>
      <c r="CD298" s="79" t="s">
        <v>177</v>
      </c>
      <c r="CE298" s="79"/>
      <c r="CF298" s="79"/>
      <c r="CG298" s="83" t="s">
        <v>2250</v>
      </c>
      <c r="CH298" s="41"/>
      <c r="CI298" s="79" t="s">
        <v>153</v>
      </c>
      <c r="CJ298" s="71"/>
      <c r="CK298" s="79">
        <f t="shared" si="177"/>
        <v>0</v>
      </c>
      <c r="CL298" s="79"/>
      <c r="CM298" s="79"/>
      <c r="CN298" s="79"/>
      <c r="CO298" s="79"/>
      <c r="CP298" s="79"/>
      <c r="CQ298" s="79"/>
      <c r="CR298" s="83" t="s">
        <v>179</v>
      </c>
      <c r="CS298" s="83" t="s">
        <v>179</v>
      </c>
      <c r="CT298" s="83" t="s">
        <v>179</v>
      </c>
      <c r="CU298" s="83" t="s">
        <v>179</v>
      </c>
      <c r="CV298" s="83" t="s">
        <v>179</v>
      </c>
      <c r="CW298" s="83" t="s">
        <v>179</v>
      </c>
      <c r="CX298" s="79" t="s">
        <v>153</v>
      </c>
      <c r="CY298" s="79">
        <f t="shared" si="188"/>
        <v>0</v>
      </c>
      <c r="CZ298" s="79">
        <v>0</v>
      </c>
      <c r="DA298" s="79">
        <f t="shared" si="189"/>
        <v>0</v>
      </c>
      <c r="DB298" s="84" t="str">
        <f t="shared" si="190"/>
        <v/>
      </c>
      <c r="DC298" s="41"/>
      <c r="DD298" s="79" t="s">
        <v>153</v>
      </c>
      <c r="DE298" s="71"/>
      <c r="DF298" s="85" t="s">
        <v>2251</v>
      </c>
      <c r="DG298" s="79">
        <v>288</v>
      </c>
      <c r="DH298" s="86">
        <f t="shared" si="191"/>
        <v>45402</v>
      </c>
      <c r="DI298" s="79" t="s">
        <v>181</v>
      </c>
      <c r="DJ298" s="79" t="s">
        <v>182</v>
      </c>
      <c r="DK298" s="79"/>
      <c r="DL298" s="79">
        <v>0</v>
      </c>
      <c r="DM298" s="79">
        <v>0</v>
      </c>
      <c r="DN298" s="79"/>
      <c r="DO298" s="79"/>
      <c r="DP298" s="79"/>
      <c r="DQ298" s="79"/>
      <c r="DR298" s="75" t="str">
        <f t="shared" si="161"/>
        <v>No aplica</v>
      </c>
      <c r="DS298" s="79"/>
      <c r="DT298" s="79"/>
      <c r="DU298" s="75" t="str">
        <f t="shared" si="162"/>
        <v>No aplica</v>
      </c>
      <c r="DV298" s="79" t="s">
        <v>182</v>
      </c>
      <c r="DW298" s="79" t="s">
        <v>182</v>
      </c>
      <c r="DX298" s="79"/>
      <c r="DY298" s="79"/>
      <c r="DZ298" s="79"/>
      <c r="EA298" s="79"/>
      <c r="EB298" s="79" t="s">
        <v>182</v>
      </c>
      <c r="EC298" s="79" t="s">
        <v>2252</v>
      </c>
      <c r="ED298" s="79" t="s">
        <v>2253</v>
      </c>
      <c r="EE298" s="79" t="s">
        <v>621</v>
      </c>
      <c r="EF298" s="41"/>
      <c r="EG298" s="79" t="s">
        <v>153</v>
      </c>
      <c r="EH298" s="71"/>
      <c r="EI298" s="80"/>
      <c r="EJ298" s="71"/>
      <c r="EK298" s="79"/>
      <c r="EL298" s="76" t="str">
        <f t="shared" si="163"/>
        <v>No requiere</v>
      </c>
      <c r="EM298" s="76" t="str">
        <f t="shared" si="164"/>
        <v>No requiere</v>
      </c>
      <c r="EN298" s="76" t="str">
        <f t="shared" si="140"/>
        <v>No requiere</v>
      </c>
      <c r="EO298" s="71"/>
      <c r="EP298" s="73" t="str">
        <f t="shared" si="165"/>
        <v>No requiere</v>
      </c>
      <c r="EQ298" s="77" t="str">
        <f t="shared" si="166"/>
        <v>No requiere</v>
      </c>
      <c r="ER298" s="71"/>
      <c r="ES298" s="79"/>
      <c r="ET298" s="73" t="str">
        <f t="shared" si="167"/>
        <v>No requiere</v>
      </c>
      <c r="EU298" s="73" t="str">
        <f t="shared" si="141"/>
        <v>No requiere</v>
      </c>
      <c r="EV298" s="73" t="str">
        <f t="shared" si="168"/>
        <v>No requiere</v>
      </c>
      <c r="EW298" s="73" t="str">
        <f t="shared" si="169"/>
        <v>No requiere</v>
      </c>
      <c r="EX298" s="78"/>
      <c r="EY298" s="78"/>
    </row>
    <row r="299" spans="1:155" ht="46.5" customHeight="1">
      <c r="A299" s="79" t="str">
        <v/>
      </c>
      <c r="B299" s="80" t="s">
        <v>2254</v>
      </c>
      <c r="C299" s="81">
        <v>45399</v>
      </c>
      <c r="D299" s="82">
        <v>0.375</v>
      </c>
      <c r="E299" s="79" t="s">
        <v>151</v>
      </c>
      <c r="F299" s="79" t="s">
        <v>152</v>
      </c>
      <c r="G299" s="79" t="s">
        <v>153</v>
      </c>
      <c r="H299" s="79" t="s">
        <v>152</v>
      </c>
      <c r="I299" s="79" t="s">
        <v>152</v>
      </c>
      <c r="J299" s="79" t="s">
        <v>251</v>
      </c>
      <c r="K299" s="79" t="s">
        <v>202</v>
      </c>
      <c r="L299" s="80" t="s">
        <v>2255</v>
      </c>
      <c r="M299" s="80" t="s">
        <v>157</v>
      </c>
      <c r="N299" s="79" t="s">
        <v>924</v>
      </c>
      <c r="O299" s="80" t="str">
        <f t="shared" si="157"/>
        <v>Melina Julieta Solano, Erika Lizeth Rueda</v>
      </c>
      <c r="P299" s="79" t="s">
        <v>168</v>
      </c>
      <c r="Q299" s="79" t="s">
        <v>556</v>
      </c>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t="s">
        <v>169</v>
      </c>
      <c r="AP299" s="79" t="s">
        <v>170</v>
      </c>
      <c r="AQ299" s="80" t="s">
        <v>1989</v>
      </c>
      <c r="AR299" s="83" t="s">
        <v>171</v>
      </c>
      <c r="AS299" s="80" t="s">
        <v>171</v>
      </c>
      <c r="AT299" s="80" t="str">
        <f t="shared" si="158"/>
        <v>Kennedy</v>
      </c>
      <c r="AU299" s="79" t="s">
        <v>731</v>
      </c>
      <c r="AV299" s="79"/>
      <c r="AW299" s="79"/>
      <c r="AX299" s="79"/>
      <c r="AY299" s="79"/>
      <c r="AZ299" s="79"/>
      <c r="BA299" s="80" t="str">
        <f t="shared" si="159"/>
        <v>Suroccidente</v>
      </c>
      <c r="BB299" s="79" t="s">
        <v>732</v>
      </c>
      <c r="BC299" s="79"/>
      <c r="BD299" s="79"/>
      <c r="BE299" s="79"/>
      <c r="BF299" s="79"/>
      <c r="BG299" s="79"/>
      <c r="BH299" s="80" t="str">
        <f t="shared" si="160"/>
        <v>Kennedy, Tintal, Patio Bonito, Edén, Bosa, Porvenir</v>
      </c>
      <c r="BI299" s="79" t="s">
        <v>731</v>
      </c>
      <c r="BJ299" s="79" t="s">
        <v>1697</v>
      </c>
      <c r="BK299" s="79" t="s">
        <v>967</v>
      </c>
      <c r="BL299" s="79" t="s">
        <v>1057</v>
      </c>
      <c r="BM299" s="79" t="s">
        <v>730</v>
      </c>
      <c r="BN299" s="79" t="s">
        <v>1058</v>
      </c>
      <c r="BO299" s="79"/>
      <c r="BP299" s="79"/>
      <c r="BQ299" s="79"/>
      <c r="BR299" s="79"/>
      <c r="BS299" s="80" t="s">
        <v>288</v>
      </c>
      <c r="BT299" s="80" t="s">
        <v>174</v>
      </c>
      <c r="BU299" s="89" t="s">
        <v>2256</v>
      </c>
      <c r="BV299" s="71"/>
      <c r="BW299" s="79" t="s">
        <v>153</v>
      </c>
      <c r="BX299" s="79" t="s">
        <v>176</v>
      </c>
      <c r="BY299" s="71"/>
      <c r="BZ299" s="79">
        <v>5</v>
      </c>
      <c r="CA299" s="79">
        <v>2</v>
      </c>
      <c r="CB299" s="79">
        <f t="shared" si="178"/>
        <v>7</v>
      </c>
      <c r="CC299" s="79" t="str">
        <f t="shared" si="139"/>
        <v>No Aplica</v>
      </c>
      <c r="CD299" s="79" t="s">
        <v>177</v>
      </c>
      <c r="CE299" s="79"/>
      <c r="CF299" s="79"/>
      <c r="CG299" s="83" t="s">
        <v>2257</v>
      </c>
      <c r="CH299" s="41"/>
      <c r="CI299" s="79" t="s">
        <v>153</v>
      </c>
      <c r="CJ299" s="71"/>
      <c r="CK299" s="79">
        <f t="shared" si="177"/>
        <v>0</v>
      </c>
      <c r="CL299" s="79"/>
      <c r="CM299" s="79"/>
      <c r="CN299" s="79"/>
      <c r="CO299" s="79"/>
      <c r="CP299" s="79"/>
      <c r="CQ299" s="79"/>
      <c r="CR299" s="83" t="s">
        <v>179</v>
      </c>
      <c r="CS299" s="83" t="s">
        <v>179</v>
      </c>
      <c r="CT299" s="83" t="s">
        <v>179</v>
      </c>
      <c r="CU299" s="83" t="s">
        <v>179</v>
      </c>
      <c r="CV299" s="83" t="s">
        <v>179</v>
      </c>
      <c r="CW299" s="83" t="s">
        <v>179</v>
      </c>
      <c r="CX299" s="79" t="s">
        <v>153</v>
      </c>
      <c r="CY299" s="79">
        <f t="shared" si="188"/>
        <v>0</v>
      </c>
      <c r="CZ299" s="79">
        <v>0</v>
      </c>
      <c r="DA299" s="79">
        <f t="shared" si="189"/>
        <v>0</v>
      </c>
      <c r="DB299" s="84" t="str">
        <f t="shared" si="190"/>
        <v/>
      </c>
      <c r="DC299" s="41"/>
      <c r="DD299" s="79" t="s">
        <v>153</v>
      </c>
      <c r="DE299" s="71"/>
      <c r="DF299" s="85" t="s">
        <v>2258</v>
      </c>
      <c r="DG299" s="79">
        <v>289</v>
      </c>
      <c r="DH299" s="86" t="str">
        <f t="shared" si="191"/>
        <v>Completo</v>
      </c>
      <c r="DI299" s="79" t="s">
        <v>181</v>
      </c>
      <c r="DJ299" s="79" t="s">
        <v>182</v>
      </c>
      <c r="DK299" s="79"/>
      <c r="DL299" s="79">
        <v>0</v>
      </c>
      <c r="DM299" s="79">
        <v>0</v>
      </c>
      <c r="DN299" s="79"/>
      <c r="DO299" s="79"/>
      <c r="DP299" s="79"/>
      <c r="DQ299" s="79"/>
      <c r="DR299" s="75" t="str">
        <f t="shared" si="161"/>
        <v>No aplica</v>
      </c>
      <c r="DS299" s="79"/>
      <c r="DT299" s="79"/>
      <c r="DU299" s="75" t="str">
        <f t="shared" si="162"/>
        <v>No aplica</v>
      </c>
      <c r="DV299" s="79" t="s">
        <v>182</v>
      </c>
      <c r="DW299" s="79" t="s">
        <v>182</v>
      </c>
      <c r="DX299" s="79"/>
      <c r="DY299" s="79"/>
      <c r="DZ299" s="79"/>
      <c r="EA299" s="79"/>
      <c r="EB299" s="79" t="s">
        <v>182</v>
      </c>
      <c r="EC299" s="79" t="s">
        <v>2259</v>
      </c>
      <c r="ED299" s="79" t="s">
        <v>2260</v>
      </c>
      <c r="EE299" s="79" t="str">
        <f t="shared" ref="EE299:EE302" si="193">IF(DI299="Subsanado","Completo","Por Completar")</f>
        <v>Completo</v>
      </c>
      <c r="EF299" s="41"/>
      <c r="EG299" s="79" t="s">
        <v>153</v>
      </c>
      <c r="EH299" s="71"/>
      <c r="EI299" s="80"/>
      <c r="EJ299" s="71"/>
      <c r="EK299" s="79"/>
      <c r="EL299" s="76" t="str">
        <f t="shared" si="163"/>
        <v>No requiere</v>
      </c>
      <c r="EM299" s="76" t="str">
        <f t="shared" si="164"/>
        <v>No requiere</v>
      </c>
      <c r="EN299" s="76" t="str">
        <f t="shared" si="140"/>
        <v>No requiere</v>
      </c>
      <c r="EO299" s="71"/>
      <c r="EP299" s="73" t="str">
        <f t="shared" si="165"/>
        <v>No requiere</v>
      </c>
      <c r="EQ299" s="77" t="str">
        <f t="shared" si="166"/>
        <v>No requiere</v>
      </c>
      <c r="ER299" s="71"/>
      <c r="ES299" s="79"/>
      <c r="ET299" s="73" t="str">
        <f t="shared" si="167"/>
        <v>No requiere</v>
      </c>
      <c r="EU299" s="73" t="str">
        <f t="shared" si="141"/>
        <v>No requiere</v>
      </c>
      <c r="EV299" s="73" t="str">
        <f t="shared" si="168"/>
        <v>No requiere</v>
      </c>
      <c r="EW299" s="73" t="str">
        <f t="shared" si="169"/>
        <v>No requiere</v>
      </c>
      <c r="EX299" s="78"/>
      <c r="EY299" s="78"/>
    </row>
    <row r="300" spans="1:155" ht="46.5" customHeight="1">
      <c r="A300" s="79" t="str">
        <v/>
      </c>
      <c r="B300" s="80" t="s">
        <v>2261</v>
      </c>
      <c r="C300" s="81">
        <v>45399</v>
      </c>
      <c r="D300" s="82">
        <v>0.375</v>
      </c>
      <c r="E300" s="79" t="s">
        <v>151</v>
      </c>
      <c r="F300" s="79" t="s">
        <v>152</v>
      </c>
      <c r="G300" s="79" t="s">
        <v>153</v>
      </c>
      <c r="H300" s="79" t="s">
        <v>152</v>
      </c>
      <c r="I300" s="79" t="s">
        <v>152</v>
      </c>
      <c r="J300" s="79" t="s">
        <v>251</v>
      </c>
      <c r="K300" s="79" t="s">
        <v>202</v>
      </c>
      <c r="L300" s="80" t="s">
        <v>2262</v>
      </c>
      <c r="M300" s="80" t="s">
        <v>157</v>
      </c>
      <c r="N300" s="79" t="s">
        <v>644</v>
      </c>
      <c r="O300" s="80" t="str">
        <f t="shared" si="157"/>
        <v>Nathalia Guzmán Martínez</v>
      </c>
      <c r="P300" s="79" t="s">
        <v>166</v>
      </c>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t="s">
        <v>169</v>
      </c>
      <c r="AP300" s="79" t="s">
        <v>170</v>
      </c>
      <c r="AQ300" s="80" t="s">
        <v>2083</v>
      </c>
      <c r="AR300" s="83">
        <v>3113406771</v>
      </c>
      <c r="AS300" s="80" t="s">
        <v>2084</v>
      </c>
      <c r="AT300" s="80" t="str">
        <f t="shared" si="158"/>
        <v>Engativá</v>
      </c>
      <c r="AU300" s="79" t="s">
        <v>234</v>
      </c>
      <c r="AV300" s="79"/>
      <c r="AW300" s="79"/>
      <c r="AX300" s="79"/>
      <c r="AY300" s="79"/>
      <c r="AZ300" s="79"/>
      <c r="BA300" s="80" t="str">
        <f t="shared" si="159"/>
        <v>Occidente</v>
      </c>
      <c r="BB300" s="79" t="s">
        <v>235</v>
      </c>
      <c r="BC300" s="79"/>
      <c r="BD300" s="79"/>
      <c r="BE300" s="79"/>
      <c r="BF300" s="79"/>
      <c r="BG300" s="79"/>
      <c r="BH300" s="80" t="str">
        <f t="shared" si="160"/>
        <v>Tabora, Engativá, Salitre</v>
      </c>
      <c r="BI300" s="79" t="s">
        <v>414</v>
      </c>
      <c r="BJ300" s="79" t="s">
        <v>234</v>
      </c>
      <c r="BK300" s="79" t="s">
        <v>415</v>
      </c>
      <c r="BL300" s="79"/>
      <c r="BM300" s="79"/>
      <c r="BN300" s="79"/>
      <c r="BO300" s="79"/>
      <c r="BP300" s="79"/>
      <c r="BQ300" s="79"/>
      <c r="BR300" s="79"/>
      <c r="BS300" s="80" t="s">
        <v>234</v>
      </c>
      <c r="BT300" s="80" t="s">
        <v>236</v>
      </c>
      <c r="BU300" s="89" t="s">
        <v>2263</v>
      </c>
      <c r="BV300" s="71"/>
      <c r="BW300" s="79" t="s">
        <v>153</v>
      </c>
      <c r="BX300" s="79" t="s">
        <v>176</v>
      </c>
      <c r="BY300" s="71"/>
      <c r="BZ300" s="79">
        <v>2</v>
      </c>
      <c r="CA300" s="79">
        <v>5</v>
      </c>
      <c r="CB300" s="79">
        <f t="shared" si="178"/>
        <v>7</v>
      </c>
      <c r="CC300" s="79" t="str">
        <f t="shared" si="139"/>
        <v>No Aplica</v>
      </c>
      <c r="CD300" s="79" t="s">
        <v>177</v>
      </c>
      <c r="CE300" s="79"/>
      <c r="CF300" s="79"/>
      <c r="CG300" s="83" t="s">
        <v>2264</v>
      </c>
      <c r="CH300" s="41"/>
      <c r="CI300" s="79" t="s">
        <v>153</v>
      </c>
      <c r="CJ300" s="71"/>
      <c r="CK300" s="79">
        <f t="shared" si="177"/>
        <v>0</v>
      </c>
      <c r="CL300" s="79"/>
      <c r="CM300" s="79"/>
      <c r="CN300" s="79"/>
      <c r="CO300" s="79"/>
      <c r="CP300" s="79"/>
      <c r="CQ300" s="79"/>
      <c r="CR300" s="83" t="s">
        <v>179</v>
      </c>
      <c r="CS300" s="83" t="s">
        <v>179</v>
      </c>
      <c r="CT300" s="83" t="s">
        <v>179</v>
      </c>
      <c r="CU300" s="83" t="s">
        <v>179</v>
      </c>
      <c r="CV300" s="83" t="s">
        <v>179</v>
      </c>
      <c r="CW300" s="83" t="s">
        <v>179</v>
      </c>
      <c r="CX300" s="79" t="s">
        <v>153</v>
      </c>
      <c r="CY300" s="79">
        <f t="shared" si="188"/>
        <v>0</v>
      </c>
      <c r="CZ300" s="79">
        <v>0</v>
      </c>
      <c r="DA300" s="79">
        <f t="shared" si="189"/>
        <v>0</v>
      </c>
      <c r="DB300" s="84" t="str">
        <f t="shared" si="190"/>
        <v/>
      </c>
      <c r="DC300" s="41"/>
      <c r="DD300" s="79" t="s">
        <v>153</v>
      </c>
      <c r="DE300" s="71"/>
      <c r="DF300" s="85" t="s">
        <v>2265</v>
      </c>
      <c r="DG300" s="79">
        <v>290</v>
      </c>
      <c r="DH300" s="86" t="str">
        <f t="shared" si="191"/>
        <v>Completo</v>
      </c>
      <c r="DI300" s="79" t="s">
        <v>181</v>
      </c>
      <c r="DJ300" s="79" t="s">
        <v>182</v>
      </c>
      <c r="DK300" s="79"/>
      <c r="DL300" s="79">
        <v>0</v>
      </c>
      <c r="DM300" s="79">
        <v>0</v>
      </c>
      <c r="DN300" s="79"/>
      <c r="DO300" s="79"/>
      <c r="DP300" s="79"/>
      <c r="DQ300" s="79"/>
      <c r="DR300" s="75" t="str">
        <f t="shared" si="161"/>
        <v>No aplica</v>
      </c>
      <c r="DS300" s="79"/>
      <c r="DT300" s="79"/>
      <c r="DU300" s="75" t="str">
        <f t="shared" si="162"/>
        <v>No aplica</v>
      </c>
      <c r="DV300" s="79" t="s">
        <v>182</v>
      </c>
      <c r="DW300" s="79"/>
      <c r="DX300" s="79"/>
      <c r="DY300" s="79"/>
      <c r="DZ300" s="79"/>
      <c r="EA300" s="79"/>
      <c r="EB300" s="79" t="s">
        <v>182</v>
      </c>
      <c r="EC300" s="79" t="s">
        <v>2259</v>
      </c>
      <c r="ED300" s="79" t="s">
        <v>2266</v>
      </c>
      <c r="EE300" s="79" t="str">
        <f t="shared" si="193"/>
        <v>Completo</v>
      </c>
      <c r="EF300" s="41"/>
      <c r="EG300" s="79" t="s">
        <v>153</v>
      </c>
      <c r="EH300" s="71"/>
      <c r="EI300" s="80"/>
      <c r="EJ300" s="71"/>
      <c r="EK300" s="79"/>
      <c r="EL300" s="76" t="str">
        <f t="shared" si="163"/>
        <v>No requiere</v>
      </c>
      <c r="EM300" s="76" t="str">
        <f t="shared" si="164"/>
        <v>No requiere</v>
      </c>
      <c r="EN300" s="76" t="str">
        <f t="shared" si="140"/>
        <v>No requiere</v>
      </c>
      <c r="EO300" s="71"/>
      <c r="EP300" s="73" t="str">
        <f t="shared" si="165"/>
        <v>No requiere</v>
      </c>
      <c r="EQ300" s="77" t="str">
        <f t="shared" si="166"/>
        <v>No requiere</v>
      </c>
      <c r="ER300" s="71"/>
      <c r="ES300" s="79"/>
      <c r="ET300" s="73" t="str">
        <f t="shared" si="167"/>
        <v>No requiere</v>
      </c>
      <c r="EU300" s="73" t="str">
        <f t="shared" si="141"/>
        <v>No requiere</v>
      </c>
      <c r="EV300" s="73" t="str">
        <f t="shared" si="168"/>
        <v>No requiere</v>
      </c>
      <c r="EW300" s="73" t="str">
        <f t="shared" si="169"/>
        <v>No requiere</v>
      </c>
      <c r="EX300" s="78"/>
      <c r="EY300" s="78"/>
    </row>
    <row r="301" spans="1:155" ht="46.5" customHeight="1">
      <c r="A301" s="79" t="str">
        <v/>
      </c>
      <c r="B301" s="80" t="s">
        <v>2267</v>
      </c>
      <c r="C301" s="81">
        <v>45399</v>
      </c>
      <c r="D301" s="82">
        <v>0.41666666666666669</v>
      </c>
      <c r="E301" s="79" t="s">
        <v>151</v>
      </c>
      <c r="F301" s="79" t="s">
        <v>152</v>
      </c>
      <c r="G301" s="79" t="s">
        <v>153</v>
      </c>
      <c r="H301" s="79" t="s">
        <v>152</v>
      </c>
      <c r="I301" s="79" t="s">
        <v>152</v>
      </c>
      <c r="J301" s="79" t="s">
        <v>251</v>
      </c>
      <c r="K301" s="79" t="s">
        <v>202</v>
      </c>
      <c r="L301" s="80" t="s">
        <v>2268</v>
      </c>
      <c r="M301" s="80" t="s">
        <v>157</v>
      </c>
      <c r="N301" s="79" t="s">
        <v>373</v>
      </c>
      <c r="O301" s="80" t="str">
        <f t="shared" si="157"/>
        <v/>
      </c>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t="s">
        <v>169</v>
      </c>
      <c r="AP301" s="79" t="s">
        <v>170</v>
      </c>
      <c r="AQ301" s="80" t="s">
        <v>2269</v>
      </c>
      <c r="AR301" s="83">
        <v>3005735987</v>
      </c>
      <c r="AS301" s="80" t="s">
        <v>2270</v>
      </c>
      <c r="AT301" s="80" t="str">
        <f t="shared" si="158"/>
        <v>Rafael Uribe Uribe</v>
      </c>
      <c r="AU301" s="79" t="s">
        <v>635</v>
      </c>
      <c r="AV301" s="79"/>
      <c r="AW301" s="79"/>
      <c r="AX301" s="79"/>
      <c r="AY301" s="79"/>
      <c r="AZ301" s="79"/>
      <c r="BA301" s="80" t="str">
        <f t="shared" si="159"/>
        <v>Suroriente</v>
      </c>
      <c r="BB301" s="79" t="s">
        <v>218</v>
      </c>
      <c r="BC301" s="79"/>
      <c r="BD301" s="79"/>
      <c r="BE301" s="79"/>
      <c r="BF301" s="79"/>
      <c r="BG301" s="79"/>
      <c r="BH301" s="80" t="str">
        <f t="shared" si="160"/>
        <v>Rafael Uribe, San Cristobal</v>
      </c>
      <c r="BI301" s="79" t="s">
        <v>723</v>
      </c>
      <c r="BJ301" s="79" t="s">
        <v>571</v>
      </c>
      <c r="BK301" s="79"/>
      <c r="BL301" s="79"/>
      <c r="BM301" s="79"/>
      <c r="BN301" s="79"/>
      <c r="BO301" s="79"/>
      <c r="BP301" s="79"/>
      <c r="BQ301" s="79"/>
      <c r="BR301" s="79"/>
      <c r="BS301" s="80" t="s">
        <v>288</v>
      </c>
      <c r="BT301" s="80" t="s">
        <v>174</v>
      </c>
      <c r="BU301" s="89" t="s">
        <v>2271</v>
      </c>
      <c r="BV301" s="71"/>
      <c r="BW301" s="79" t="s">
        <v>153</v>
      </c>
      <c r="BX301" s="79" t="s">
        <v>176</v>
      </c>
      <c r="BY301" s="71"/>
      <c r="BZ301" s="79">
        <v>1</v>
      </c>
      <c r="CA301" s="79">
        <v>3</v>
      </c>
      <c r="CB301" s="79">
        <f t="shared" si="178"/>
        <v>4</v>
      </c>
      <c r="CC301" s="79" t="str">
        <f t="shared" ref="CC301:CC364" si="194">_xlfn.TEXTJOIN(", ",TRUE,$CD301:$CF301)</f>
        <v>No Aplica</v>
      </c>
      <c r="CD301" s="79" t="s">
        <v>177</v>
      </c>
      <c r="CE301" s="79"/>
      <c r="CF301" s="79"/>
      <c r="CG301" s="83" t="s">
        <v>2272</v>
      </c>
      <c r="CH301" s="41"/>
      <c r="CI301" s="79" t="s">
        <v>153</v>
      </c>
      <c r="CJ301" s="71"/>
      <c r="CK301" s="79">
        <f t="shared" si="177"/>
        <v>0</v>
      </c>
      <c r="CL301" s="79"/>
      <c r="CM301" s="79"/>
      <c r="CN301" s="79"/>
      <c r="CO301" s="79"/>
      <c r="CP301" s="79"/>
      <c r="CQ301" s="79"/>
      <c r="CR301" s="83" t="s">
        <v>179</v>
      </c>
      <c r="CS301" s="83" t="s">
        <v>179</v>
      </c>
      <c r="CT301" s="83" t="s">
        <v>179</v>
      </c>
      <c r="CU301" s="83" t="s">
        <v>179</v>
      </c>
      <c r="CV301" s="83" t="s">
        <v>179</v>
      </c>
      <c r="CW301" s="83" t="s">
        <v>179</v>
      </c>
      <c r="CX301" s="79" t="s">
        <v>153</v>
      </c>
      <c r="CY301" s="79">
        <f t="shared" si="188"/>
        <v>0</v>
      </c>
      <c r="CZ301" s="79">
        <v>0</v>
      </c>
      <c r="DA301" s="79">
        <f t="shared" si="189"/>
        <v>0</v>
      </c>
      <c r="DB301" s="84" t="str">
        <f t="shared" si="190"/>
        <v/>
      </c>
      <c r="DC301" s="41"/>
      <c r="DD301" s="79" t="s">
        <v>153</v>
      </c>
      <c r="DE301" s="71"/>
      <c r="DF301" s="85" t="s">
        <v>2273</v>
      </c>
      <c r="DG301" s="79">
        <v>291</v>
      </c>
      <c r="DH301" s="86" t="str">
        <f t="shared" si="191"/>
        <v>Completo</v>
      </c>
      <c r="DI301" s="79" t="s">
        <v>181</v>
      </c>
      <c r="DJ301" s="79" t="s">
        <v>182</v>
      </c>
      <c r="DK301" s="79"/>
      <c r="DL301" s="79">
        <v>0</v>
      </c>
      <c r="DM301" s="79">
        <v>0</v>
      </c>
      <c r="DN301" s="79"/>
      <c r="DO301" s="79"/>
      <c r="DP301" s="79"/>
      <c r="DQ301" s="79"/>
      <c r="DR301" s="75" t="str">
        <f t="shared" si="161"/>
        <v>No aplica</v>
      </c>
      <c r="DS301" s="79"/>
      <c r="DT301" s="79"/>
      <c r="DU301" s="75" t="str">
        <f t="shared" si="162"/>
        <v>No aplica</v>
      </c>
      <c r="DV301" s="79"/>
      <c r="DW301" s="79"/>
      <c r="DX301" s="79"/>
      <c r="DY301" s="79"/>
      <c r="DZ301" s="79"/>
      <c r="EA301" s="79"/>
      <c r="EB301" s="79" t="s">
        <v>182</v>
      </c>
      <c r="EC301" s="79" t="s">
        <v>2259</v>
      </c>
      <c r="ED301" s="79" t="s">
        <v>2274</v>
      </c>
      <c r="EE301" s="79" t="str">
        <f t="shared" si="193"/>
        <v>Completo</v>
      </c>
      <c r="EF301" s="41"/>
      <c r="EG301" s="79" t="s">
        <v>153</v>
      </c>
      <c r="EH301" s="71"/>
      <c r="EI301" s="80"/>
      <c r="EJ301" s="71"/>
      <c r="EK301" s="79"/>
      <c r="EL301" s="76" t="str">
        <f t="shared" si="163"/>
        <v>No requiere</v>
      </c>
      <c r="EM301" s="76" t="str">
        <f t="shared" si="164"/>
        <v>No requiere</v>
      </c>
      <c r="EN301" s="76" t="str">
        <f t="shared" ref="EN301:EN364" si="195">IF(F301="NO","No requiere",IF(H301="No","No requiere",IF(CC301="","",IF(CD301&lt;&gt;"No aplica",IF(CD301&lt;&gt;"Ninguna",IF(COUNTIF(CD301:CF301,"*")&gt;=1,"Sí","No"),"No"),"No aplica"))))</f>
        <v>No requiere</v>
      </c>
      <c r="EO301" s="71"/>
      <c r="EP301" s="73" t="str">
        <f t="shared" si="165"/>
        <v>No requiere</v>
      </c>
      <c r="EQ301" s="77" t="str">
        <f t="shared" si="166"/>
        <v>No requiere</v>
      </c>
      <c r="ER301" s="71"/>
      <c r="ES301" s="79"/>
      <c r="ET301" s="73" t="str">
        <f t="shared" si="167"/>
        <v>No requiere</v>
      </c>
      <c r="EU301" s="73" t="str">
        <f t="shared" ref="EU301:EU364" si="196">IF(F301="NO","No requiere",IF(H301="No","No requiere",IF(B301="","",IF(CX301="SÍ",IF(CK301&gt;=1,CY301/CK301,"Sin compromisos"),"Por verificar"))))</f>
        <v>No requiere</v>
      </c>
      <c r="EV301" s="73" t="str">
        <f t="shared" si="168"/>
        <v>No requiere</v>
      </c>
      <c r="EW301" s="73" t="str">
        <f t="shared" si="169"/>
        <v>No requiere</v>
      </c>
      <c r="EX301" s="78"/>
      <c r="EY301" s="78"/>
    </row>
    <row r="302" spans="1:155" ht="46.5" customHeight="1">
      <c r="A302" s="79" t="str">
        <v/>
      </c>
      <c r="B302" s="80" t="s">
        <v>2275</v>
      </c>
      <c r="C302" s="81">
        <v>45399</v>
      </c>
      <c r="D302" s="82">
        <v>0.45833333333333331</v>
      </c>
      <c r="E302" s="79" t="s">
        <v>151</v>
      </c>
      <c r="F302" s="79" t="s">
        <v>152</v>
      </c>
      <c r="G302" s="79" t="s">
        <v>153</v>
      </c>
      <c r="H302" s="79" t="s">
        <v>152</v>
      </c>
      <c r="I302" s="79" t="s">
        <v>152</v>
      </c>
      <c r="J302" s="79" t="s">
        <v>251</v>
      </c>
      <c r="K302" s="79" t="s">
        <v>202</v>
      </c>
      <c r="L302" s="80" t="s">
        <v>2276</v>
      </c>
      <c r="M302" s="80" t="s">
        <v>157</v>
      </c>
      <c r="N302" s="79" t="s">
        <v>556</v>
      </c>
      <c r="O302" s="80" t="str">
        <f t="shared" si="157"/>
        <v>PENDIENTE</v>
      </c>
      <c r="P302" s="79" t="s">
        <v>196</v>
      </c>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t="s">
        <v>169</v>
      </c>
      <c r="AP302" s="79" t="s">
        <v>170</v>
      </c>
      <c r="AQ302" s="80" t="s">
        <v>2277</v>
      </c>
      <c r="AR302" s="83">
        <v>3124693701</v>
      </c>
      <c r="AS302" s="80" t="s">
        <v>1989</v>
      </c>
      <c r="AT302" s="80" t="str">
        <f t="shared" si="158"/>
        <v>Antonio Nariño</v>
      </c>
      <c r="AU302" s="79" t="s">
        <v>634</v>
      </c>
      <c r="AV302" s="79"/>
      <c r="AW302" s="79"/>
      <c r="AX302" s="79"/>
      <c r="AY302" s="79"/>
      <c r="AZ302" s="79"/>
      <c r="BA302" s="80" t="str">
        <f t="shared" si="159"/>
        <v>Centro Ampliado</v>
      </c>
      <c r="BB302" s="79" t="s">
        <v>636</v>
      </c>
      <c r="BC302" s="79"/>
      <c r="BD302" s="79"/>
      <c r="BE302" s="79"/>
      <c r="BF302" s="79"/>
      <c r="BG302" s="79"/>
      <c r="BH302" s="80" t="str">
        <f t="shared" si="160"/>
        <v>Restrepo</v>
      </c>
      <c r="BI302" s="79" t="s">
        <v>637</v>
      </c>
      <c r="BJ302" s="79"/>
      <c r="BK302" s="79"/>
      <c r="BL302" s="79"/>
      <c r="BM302" s="79"/>
      <c r="BN302" s="79"/>
      <c r="BO302" s="79"/>
      <c r="BP302" s="79"/>
      <c r="BQ302" s="79"/>
      <c r="BR302" s="79"/>
      <c r="BS302" s="80" t="s">
        <v>637</v>
      </c>
      <c r="BT302" s="80" t="s">
        <v>2278</v>
      </c>
      <c r="BU302" s="89" t="s">
        <v>2279</v>
      </c>
      <c r="BV302" s="71"/>
      <c r="BW302" s="79" t="s">
        <v>153</v>
      </c>
      <c r="BX302" s="79" t="s">
        <v>176</v>
      </c>
      <c r="BY302" s="71"/>
      <c r="BZ302" s="79">
        <v>4</v>
      </c>
      <c r="CA302" s="79">
        <v>4</v>
      </c>
      <c r="CB302" s="79">
        <f t="shared" si="178"/>
        <v>8</v>
      </c>
      <c r="CC302" s="79" t="str">
        <f t="shared" si="194"/>
        <v>No Aplica</v>
      </c>
      <c r="CD302" s="79" t="s">
        <v>177</v>
      </c>
      <c r="CE302" s="79"/>
      <c r="CF302" s="79"/>
      <c r="CG302" s="83" t="s">
        <v>2280</v>
      </c>
      <c r="CH302" s="41"/>
      <c r="CI302" s="79" t="s">
        <v>153</v>
      </c>
      <c r="CJ302" s="71"/>
      <c r="CK302" s="79">
        <f t="shared" si="177"/>
        <v>0</v>
      </c>
      <c r="CL302" s="79"/>
      <c r="CM302" s="79"/>
      <c r="CN302" s="79"/>
      <c r="CO302" s="79"/>
      <c r="CP302" s="79"/>
      <c r="CQ302" s="79"/>
      <c r="CR302" s="83" t="s">
        <v>179</v>
      </c>
      <c r="CS302" s="83" t="s">
        <v>179</v>
      </c>
      <c r="CT302" s="83" t="s">
        <v>179</v>
      </c>
      <c r="CU302" s="83" t="s">
        <v>179</v>
      </c>
      <c r="CV302" s="83" t="s">
        <v>179</v>
      </c>
      <c r="CW302" s="83" t="s">
        <v>179</v>
      </c>
      <c r="CX302" s="79" t="s">
        <v>153</v>
      </c>
      <c r="CY302" s="79">
        <f t="shared" si="188"/>
        <v>0</v>
      </c>
      <c r="CZ302" s="79">
        <v>0</v>
      </c>
      <c r="DA302" s="79">
        <f t="shared" si="189"/>
        <v>0</v>
      </c>
      <c r="DB302" s="84" t="str">
        <f t="shared" si="190"/>
        <v/>
      </c>
      <c r="DC302" s="41"/>
      <c r="DD302" s="79" t="s">
        <v>153</v>
      </c>
      <c r="DE302" s="71"/>
      <c r="DF302" s="85" t="s">
        <v>2281</v>
      </c>
      <c r="DG302" s="79">
        <v>292</v>
      </c>
      <c r="DH302" s="86" t="str">
        <f t="shared" si="191"/>
        <v>Completo</v>
      </c>
      <c r="DI302" s="79" t="s">
        <v>181</v>
      </c>
      <c r="DJ302" s="79" t="s">
        <v>182</v>
      </c>
      <c r="DK302" s="79"/>
      <c r="DL302" s="79">
        <v>0</v>
      </c>
      <c r="DM302" s="79">
        <v>0</v>
      </c>
      <c r="DN302" s="79"/>
      <c r="DO302" s="79"/>
      <c r="DP302" s="79"/>
      <c r="DQ302" s="79"/>
      <c r="DR302" s="75" t="str">
        <f t="shared" si="161"/>
        <v>No aplica</v>
      </c>
      <c r="DS302" s="79"/>
      <c r="DT302" s="79"/>
      <c r="DU302" s="75" t="str">
        <f t="shared" si="162"/>
        <v>No aplica</v>
      </c>
      <c r="DV302" s="79"/>
      <c r="DW302" s="79" t="s">
        <v>182</v>
      </c>
      <c r="DX302" s="79"/>
      <c r="DY302" s="79"/>
      <c r="DZ302" s="79"/>
      <c r="EA302" s="79"/>
      <c r="EB302" s="79"/>
      <c r="EC302" s="79"/>
      <c r="ED302" s="79" t="s">
        <v>2282</v>
      </c>
      <c r="EE302" s="79" t="str">
        <f t="shared" si="193"/>
        <v>Completo</v>
      </c>
      <c r="EF302" s="41"/>
      <c r="EG302" s="79" t="s">
        <v>153</v>
      </c>
      <c r="EH302" s="71"/>
      <c r="EI302" s="80"/>
      <c r="EJ302" s="71"/>
      <c r="EK302" s="79"/>
      <c r="EL302" s="76" t="str">
        <f t="shared" si="163"/>
        <v>No requiere</v>
      </c>
      <c r="EM302" s="76" t="str">
        <f t="shared" si="164"/>
        <v>No requiere</v>
      </c>
      <c r="EN302" s="76" t="str">
        <f t="shared" si="195"/>
        <v>No requiere</v>
      </c>
      <c r="EO302" s="71"/>
      <c r="EP302" s="73" t="str">
        <f t="shared" si="165"/>
        <v>No requiere</v>
      </c>
      <c r="EQ302" s="77" t="str">
        <f t="shared" si="166"/>
        <v>No requiere</v>
      </c>
      <c r="ER302" s="71"/>
      <c r="ES302" s="79"/>
      <c r="ET302" s="73" t="str">
        <f t="shared" si="167"/>
        <v>No requiere</v>
      </c>
      <c r="EU302" s="73" t="str">
        <f t="shared" si="196"/>
        <v>No requiere</v>
      </c>
      <c r="EV302" s="73" t="str">
        <f t="shared" si="168"/>
        <v>No requiere</v>
      </c>
      <c r="EW302" s="73" t="str">
        <f t="shared" si="169"/>
        <v>No requiere</v>
      </c>
      <c r="EX302" s="78"/>
      <c r="EY302" s="78"/>
    </row>
    <row r="303" spans="1:155" ht="46.5" customHeight="1">
      <c r="A303" s="79" t="str">
        <v/>
      </c>
      <c r="B303" s="80" t="s">
        <v>2283</v>
      </c>
      <c r="C303" s="81">
        <v>45399</v>
      </c>
      <c r="D303" s="82">
        <v>0.45833333333333331</v>
      </c>
      <c r="E303" s="79" t="s">
        <v>151</v>
      </c>
      <c r="F303" s="79" t="s">
        <v>152</v>
      </c>
      <c r="G303" s="79" t="s">
        <v>153</v>
      </c>
      <c r="H303" s="79" t="s">
        <v>152</v>
      </c>
      <c r="I303" s="79" t="s">
        <v>152</v>
      </c>
      <c r="J303" s="79" t="s">
        <v>251</v>
      </c>
      <c r="K303" s="79" t="s">
        <v>202</v>
      </c>
      <c r="L303" s="80" t="s">
        <v>2284</v>
      </c>
      <c r="M303" s="80" t="s">
        <v>157</v>
      </c>
      <c r="N303" s="79" t="s">
        <v>161</v>
      </c>
      <c r="O303" s="80" t="str">
        <f t="shared" si="157"/>
        <v/>
      </c>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t="s">
        <v>169</v>
      </c>
      <c r="AP303" s="79" t="s">
        <v>170</v>
      </c>
      <c r="AQ303" s="80" t="s">
        <v>1989</v>
      </c>
      <c r="AR303" s="83" t="s">
        <v>171</v>
      </c>
      <c r="AS303" s="83" t="s">
        <v>171</v>
      </c>
      <c r="AT303" s="80" t="str">
        <f t="shared" si="158"/>
        <v>Fontibón</v>
      </c>
      <c r="AU303" s="79" t="s">
        <v>646</v>
      </c>
      <c r="AV303" s="79"/>
      <c r="AW303" s="79"/>
      <c r="AX303" s="79"/>
      <c r="AY303" s="79"/>
      <c r="AZ303" s="79"/>
      <c r="BA303" s="80" t="str">
        <f t="shared" si="159"/>
        <v>Occidente</v>
      </c>
      <c r="BB303" s="79" t="s">
        <v>235</v>
      </c>
      <c r="BC303" s="79"/>
      <c r="BD303" s="79"/>
      <c r="BE303" s="79"/>
      <c r="BF303" s="79"/>
      <c r="BG303" s="79"/>
      <c r="BH303" s="80" t="str">
        <f t="shared" si="160"/>
        <v>Fontibón, Salitre</v>
      </c>
      <c r="BI303" s="79" t="s">
        <v>646</v>
      </c>
      <c r="BJ303" s="79" t="s">
        <v>415</v>
      </c>
      <c r="BK303" s="79"/>
      <c r="BL303" s="79"/>
      <c r="BM303" s="79"/>
      <c r="BN303" s="79"/>
      <c r="BO303" s="79"/>
      <c r="BP303" s="79"/>
      <c r="BQ303" s="79"/>
      <c r="BR303" s="79"/>
      <c r="BS303" s="80" t="s">
        <v>288</v>
      </c>
      <c r="BT303" s="80" t="s">
        <v>174</v>
      </c>
      <c r="BU303" s="89" t="s">
        <v>2285</v>
      </c>
      <c r="BV303" s="71"/>
      <c r="BW303" s="79" t="s">
        <v>153</v>
      </c>
      <c r="BX303" s="79" t="s">
        <v>176</v>
      </c>
      <c r="BY303" s="71"/>
      <c r="BZ303" s="79">
        <v>2</v>
      </c>
      <c r="CA303" s="79">
        <v>4</v>
      </c>
      <c r="CB303" s="79">
        <f t="shared" si="178"/>
        <v>6</v>
      </c>
      <c r="CC303" s="79" t="str">
        <f t="shared" si="194"/>
        <v>No Aplica</v>
      </c>
      <c r="CD303" s="79" t="s">
        <v>177</v>
      </c>
      <c r="CE303" s="79"/>
      <c r="CF303" s="79"/>
      <c r="CG303" s="83" t="s">
        <v>2286</v>
      </c>
      <c r="CH303" s="41"/>
      <c r="CI303" s="79" t="s">
        <v>153</v>
      </c>
      <c r="CJ303" s="71"/>
      <c r="CK303" s="79">
        <f t="shared" si="177"/>
        <v>0</v>
      </c>
      <c r="CL303" s="79"/>
      <c r="CM303" s="79"/>
      <c r="CN303" s="79"/>
      <c r="CO303" s="79"/>
      <c r="CP303" s="79"/>
      <c r="CQ303" s="79"/>
      <c r="CR303" s="83" t="s">
        <v>179</v>
      </c>
      <c r="CS303" s="83" t="s">
        <v>179</v>
      </c>
      <c r="CT303" s="83" t="s">
        <v>179</v>
      </c>
      <c r="CU303" s="83" t="s">
        <v>179</v>
      </c>
      <c r="CV303" s="83" t="s">
        <v>179</v>
      </c>
      <c r="CW303" s="83" t="s">
        <v>179</v>
      </c>
      <c r="CX303" s="79" t="s">
        <v>153</v>
      </c>
      <c r="CY303" s="79">
        <f t="shared" si="188"/>
        <v>0</v>
      </c>
      <c r="CZ303" s="79">
        <v>0</v>
      </c>
      <c r="DA303" s="79">
        <f t="shared" si="189"/>
        <v>0</v>
      </c>
      <c r="DB303" s="84" t="str">
        <f t="shared" si="190"/>
        <v/>
      </c>
      <c r="DC303" s="41"/>
      <c r="DD303" s="79" t="s">
        <v>153</v>
      </c>
      <c r="DE303" s="71"/>
      <c r="DF303" s="85" t="s">
        <v>2287</v>
      </c>
      <c r="DG303" s="79">
        <v>293</v>
      </c>
      <c r="DH303" s="86">
        <f t="shared" si="191"/>
        <v>45402</v>
      </c>
      <c r="DI303" s="79" t="s">
        <v>181</v>
      </c>
      <c r="DJ303" s="79" t="s">
        <v>182</v>
      </c>
      <c r="DK303" s="79"/>
      <c r="DL303" s="79">
        <v>0</v>
      </c>
      <c r="DM303" s="79">
        <v>0</v>
      </c>
      <c r="DN303" s="79"/>
      <c r="DO303" s="79"/>
      <c r="DP303" s="79"/>
      <c r="DQ303" s="79"/>
      <c r="DR303" s="75" t="str">
        <f t="shared" si="161"/>
        <v>No aplica</v>
      </c>
      <c r="DS303" s="79"/>
      <c r="DT303" s="79"/>
      <c r="DU303" s="75" t="str">
        <f t="shared" si="162"/>
        <v>No aplica</v>
      </c>
      <c r="DV303" s="79"/>
      <c r="DW303" s="79" t="s">
        <v>182</v>
      </c>
      <c r="DX303" s="79"/>
      <c r="DY303" s="79"/>
      <c r="DZ303" s="79"/>
      <c r="EA303" s="79"/>
      <c r="EB303" s="79"/>
      <c r="EC303" s="79"/>
      <c r="ED303" s="79" t="s">
        <v>2282</v>
      </c>
      <c r="EE303" s="79" t="s">
        <v>621</v>
      </c>
      <c r="EF303" s="41"/>
      <c r="EG303" s="79" t="s">
        <v>153</v>
      </c>
      <c r="EH303" s="71"/>
      <c r="EI303" s="80"/>
      <c r="EJ303" s="71"/>
      <c r="EK303" s="79"/>
      <c r="EL303" s="76" t="str">
        <f t="shared" si="163"/>
        <v>No requiere</v>
      </c>
      <c r="EM303" s="76" t="str">
        <f t="shared" si="164"/>
        <v>No requiere</v>
      </c>
      <c r="EN303" s="76" t="str">
        <f t="shared" si="195"/>
        <v>No requiere</v>
      </c>
      <c r="EO303" s="71"/>
      <c r="EP303" s="73" t="str">
        <f t="shared" si="165"/>
        <v>No requiere</v>
      </c>
      <c r="EQ303" s="77" t="str">
        <f t="shared" si="166"/>
        <v>No requiere</v>
      </c>
      <c r="ER303" s="71"/>
      <c r="ES303" s="79"/>
      <c r="ET303" s="73" t="str">
        <f t="shared" si="167"/>
        <v>No requiere</v>
      </c>
      <c r="EU303" s="73" t="str">
        <f t="shared" si="196"/>
        <v>No requiere</v>
      </c>
      <c r="EV303" s="73" t="str">
        <f t="shared" si="168"/>
        <v>No requiere</v>
      </c>
      <c r="EW303" s="73" t="str">
        <f t="shared" si="169"/>
        <v>No requiere</v>
      </c>
      <c r="EX303" s="78"/>
      <c r="EY303" s="78"/>
    </row>
    <row r="304" spans="1:155" ht="46.5" customHeight="1">
      <c r="A304" s="79" t="str">
        <v/>
      </c>
      <c r="B304" s="80" t="s">
        <v>2288</v>
      </c>
      <c r="C304" s="81">
        <v>45399</v>
      </c>
      <c r="D304" s="82">
        <v>0.45833333333333331</v>
      </c>
      <c r="E304" s="79" t="s">
        <v>151</v>
      </c>
      <c r="F304" s="79" t="s">
        <v>152</v>
      </c>
      <c r="G304" s="79" t="s">
        <v>153</v>
      </c>
      <c r="H304" s="79" t="s">
        <v>152</v>
      </c>
      <c r="I304" s="79" t="s">
        <v>152</v>
      </c>
      <c r="J304" s="79" t="s">
        <v>251</v>
      </c>
      <c r="K304" s="79" t="s">
        <v>202</v>
      </c>
      <c r="L304" s="80" t="s">
        <v>2289</v>
      </c>
      <c r="M304" s="80" t="s">
        <v>157</v>
      </c>
      <c r="N304" s="79" t="s">
        <v>862</v>
      </c>
      <c r="O304" s="80" t="str">
        <f t="shared" si="157"/>
        <v>PENDIENTE, PENDIENTE</v>
      </c>
      <c r="P304" s="79" t="s">
        <v>196</v>
      </c>
      <c r="Q304" s="79" t="s">
        <v>196</v>
      </c>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t="s">
        <v>169</v>
      </c>
      <c r="AP304" s="79" t="s">
        <v>170</v>
      </c>
      <c r="AQ304" s="80" t="s">
        <v>2290</v>
      </c>
      <c r="AR304" s="83">
        <v>3168772899</v>
      </c>
      <c r="AS304" s="80" t="s">
        <v>2291</v>
      </c>
      <c r="AT304" s="80" t="str">
        <f t="shared" si="158"/>
        <v>Tunjuelito</v>
      </c>
      <c r="AU304" s="79" t="s">
        <v>937</v>
      </c>
      <c r="AV304" s="79"/>
      <c r="AW304" s="79"/>
      <c r="AX304" s="79"/>
      <c r="AY304" s="79"/>
      <c r="AZ304" s="79"/>
      <c r="BA304" s="80" t="str">
        <f t="shared" si="159"/>
        <v>Suroriente</v>
      </c>
      <c r="BB304" s="79" t="s">
        <v>218</v>
      </c>
      <c r="BC304" s="79"/>
      <c r="BD304" s="79"/>
      <c r="BE304" s="79"/>
      <c r="BF304" s="79"/>
      <c r="BG304" s="79"/>
      <c r="BH304" s="80" t="str">
        <f t="shared" si="160"/>
        <v>Tunjuelito, Arborizadora</v>
      </c>
      <c r="BI304" s="79" t="s">
        <v>937</v>
      </c>
      <c r="BJ304" s="79" t="s">
        <v>220</v>
      </c>
      <c r="BK304" s="79"/>
      <c r="BL304" s="79"/>
      <c r="BM304" s="79"/>
      <c r="BN304" s="79"/>
      <c r="BO304" s="79"/>
      <c r="BP304" s="79"/>
      <c r="BQ304" s="79"/>
      <c r="BR304" s="79"/>
      <c r="BS304" s="80" t="s">
        <v>937</v>
      </c>
      <c r="BT304" s="80" t="s">
        <v>174</v>
      </c>
      <c r="BU304" s="89" t="s">
        <v>2292</v>
      </c>
      <c r="BV304" s="71"/>
      <c r="BW304" s="79" t="s">
        <v>153</v>
      </c>
      <c r="BX304" s="79" t="s">
        <v>176</v>
      </c>
      <c r="BY304" s="71"/>
      <c r="BZ304" s="79">
        <v>3</v>
      </c>
      <c r="CA304" s="79">
        <v>2</v>
      </c>
      <c r="CB304" s="79">
        <f t="shared" si="178"/>
        <v>5</v>
      </c>
      <c r="CC304" s="79" t="str">
        <f t="shared" si="194"/>
        <v>No Aplica</v>
      </c>
      <c r="CD304" s="79" t="s">
        <v>177</v>
      </c>
      <c r="CE304" s="79"/>
      <c r="CF304" s="79"/>
      <c r="CG304" s="83" t="s">
        <v>2293</v>
      </c>
      <c r="CH304" s="41"/>
      <c r="CI304" s="79" t="s">
        <v>153</v>
      </c>
      <c r="CJ304" s="71"/>
      <c r="CK304" s="79">
        <f t="shared" si="177"/>
        <v>0</v>
      </c>
      <c r="CL304" s="79"/>
      <c r="CM304" s="79"/>
      <c r="CN304" s="79"/>
      <c r="CO304" s="79"/>
      <c r="CP304" s="79"/>
      <c r="CQ304" s="79"/>
      <c r="CR304" s="83" t="s">
        <v>179</v>
      </c>
      <c r="CS304" s="83" t="s">
        <v>179</v>
      </c>
      <c r="CT304" s="83" t="s">
        <v>179</v>
      </c>
      <c r="CU304" s="83" t="s">
        <v>179</v>
      </c>
      <c r="CV304" s="83" t="s">
        <v>179</v>
      </c>
      <c r="CW304" s="83" t="s">
        <v>179</v>
      </c>
      <c r="CX304" s="79" t="s">
        <v>153</v>
      </c>
      <c r="CY304" s="79">
        <f t="shared" si="188"/>
        <v>0</v>
      </c>
      <c r="CZ304" s="79">
        <v>0</v>
      </c>
      <c r="DA304" s="79">
        <f t="shared" si="189"/>
        <v>0</v>
      </c>
      <c r="DB304" s="84" t="str">
        <f t="shared" si="190"/>
        <v/>
      </c>
      <c r="DC304" s="41"/>
      <c r="DD304" s="79" t="s">
        <v>153</v>
      </c>
      <c r="DE304" s="71"/>
      <c r="DF304" s="85" t="s">
        <v>2294</v>
      </c>
      <c r="DG304" s="79">
        <v>294</v>
      </c>
      <c r="DH304" s="86" t="str">
        <f t="shared" si="191"/>
        <v>Completo</v>
      </c>
      <c r="DI304" s="79" t="s">
        <v>181</v>
      </c>
      <c r="DJ304" s="79" t="s">
        <v>182</v>
      </c>
      <c r="DK304" s="79"/>
      <c r="DL304" s="79">
        <v>0</v>
      </c>
      <c r="DM304" s="79">
        <v>0</v>
      </c>
      <c r="DN304" s="79"/>
      <c r="DO304" s="79"/>
      <c r="DP304" s="79"/>
      <c r="DQ304" s="79"/>
      <c r="DR304" s="75" t="str">
        <f t="shared" si="161"/>
        <v>No aplica</v>
      </c>
      <c r="DS304" s="79"/>
      <c r="DT304" s="79"/>
      <c r="DU304" s="75" t="str">
        <f t="shared" si="162"/>
        <v>No aplica</v>
      </c>
      <c r="DV304" s="79" t="s">
        <v>182</v>
      </c>
      <c r="DW304" s="79"/>
      <c r="DX304" s="79"/>
      <c r="DY304" s="79"/>
      <c r="DZ304" s="79"/>
      <c r="EA304" s="79"/>
      <c r="EB304" s="79" t="s">
        <v>182</v>
      </c>
      <c r="EC304" s="79" t="s">
        <v>2295</v>
      </c>
      <c r="ED304" s="79" t="s">
        <v>2296</v>
      </c>
      <c r="EE304" s="79" t="str">
        <f t="shared" ref="EE304:EE307" si="197">IF(DI304="Subsanado","Completo","Por Completar")</f>
        <v>Completo</v>
      </c>
      <c r="EF304" s="41"/>
      <c r="EG304" s="79" t="s">
        <v>153</v>
      </c>
      <c r="EH304" s="71"/>
      <c r="EI304" s="80"/>
      <c r="EJ304" s="71"/>
      <c r="EK304" s="79"/>
      <c r="EL304" s="76" t="str">
        <f t="shared" si="163"/>
        <v>No requiere</v>
      </c>
      <c r="EM304" s="76" t="str">
        <f t="shared" si="164"/>
        <v>No requiere</v>
      </c>
      <c r="EN304" s="76" t="str">
        <f t="shared" si="195"/>
        <v>No requiere</v>
      </c>
      <c r="EO304" s="71"/>
      <c r="EP304" s="73" t="str">
        <f t="shared" si="165"/>
        <v>No requiere</v>
      </c>
      <c r="EQ304" s="77" t="str">
        <f t="shared" si="166"/>
        <v>No requiere</v>
      </c>
      <c r="ER304" s="71"/>
      <c r="ES304" s="79"/>
      <c r="ET304" s="73" t="str">
        <f t="shared" si="167"/>
        <v>No requiere</v>
      </c>
      <c r="EU304" s="73" t="str">
        <f t="shared" si="196"/>
        <v>No requiere</v>
      </c>
      <c r="EV304" s="73" t="str">
        <f t="shared" si="168"/>
        <v>No requiere</v>
      </c>
      <c r="EW304" s="73" t="str">
        <f t="shared" si="169"/>
        <v>No requiere</v>
      </c>
      <c r="EX304" s="78"/>
      <c r="EY304" s="78"/>
    </row>
    <row r="305" spans="1:155" ht="46.5" customHeight="1">
      <c r="A305" s="79" t="str">
        <v/>
      </c>
      <c r="B305" s="80" t="s">
        <v>2297</v>
      </c>
      <c r="C305" s="81">
        <v>45399</v>
      </c>
      <c r="D305" s="82">
        <v>0.5</v>
      </c>
      <c r="E305" s="79" t="s">
        <v>151</v>
      </c>
      <c r="F305" s="79" t="s">
        <v>152</v>
      </c>
      <c r="G305" s="79" t="s">
        <v>153</v>
      </c>
      <c r="H305" s="79" t="s">
        <v>152</v>
      </c>
      <c r="I305" s="79" t="s">
        <v>152</v>
      </c>
      <c r="J305" s="79" t="s">
        <v>251</v>
      </c>
      <c r="K305" s="79" t="s">
        <v>202</v>
      </c>
      <c r="L305" s="80" t="s">
        <v>2298</v>
      </c>
      <c r="M305" s="80" t="s">
        <v>157</v>
      </c>
      <c r="N305" s="79" t="s">
        <v>675</v>
      </c>
      <c r="O305" s="80" t="str">
        <f t="shared" si="157"/>
        <v>PENDIENTE, PENDIENTE, PENDIENTE</v>
      </c>
      <c r="P305" s="79" t="s">
        <v>196</v>
      </c>
      <c r="Q305" s="79" t="s">
        <v>196</v>
      </c>
      <c r="R305" s="79" t="s">
        <v>196</v>
      </c>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t="s">
        <v>169</v>
      </c>
      <c r="AP305" s="79" t="s">
        <v>170</v>
      </c>
      <c r="AQ305" s="80" t="s">
        <v>2299</v>
      </c>
      <c r="AR305" s="83" t="s">
        <v>171</v>
      </c>
      <c r="AS305" s="80" t="s">
        <v>2300</v>
      </c>
      <c r="AT305" s="80" t="str">
        <f t="shared" si="158"/>
        <v>Bosa</v>
      </c>
      <c r="AU305" s="79" t="s">
        <v>730</v>
      </c>
      <c r="AV305" s="79"/>
      <c r="AW305" s="79"/>
      <c r="AX305" s="79"/>
      <c r="AY305" s="79"/>
      <c r="AZ305" s="79"/>
      <c r="BA305" s="80" t="str">
        <f t="shared" si="159"/>
        <v>Suroccidente</v>
      </c>
      <c r="BB305" s="79" t="s">
        <v>732</v>
      </c>
      <c r="BC305" s="79"/>
      <c r="BD305" s="79"/>
      <c r="BE305" s="79"/>
      <c r="BF305" s="79"/>
      <c r="BG305" s="79"/>
      <c r="BH305" s="80" t="str">
        <f t="shared" si="160"/>
        <v>Bosa, Edén, Porvenir</v>
      </c>
      <c r="BI305" s="79" t="s">
        <v>730</v>
      </c>
      <c r="BJ305" s="79" t="s">
        <v>1057</v>
      </c>
      <c r="BK305" s="79" t="s">
        <v>1058</v>
      </c>
      <c r="BL305" s="79"/>
      <c r="BM305" s="79"/>
      <c r="BN305" s="79"/>
      <c r="BO305" s="79"/>
      <c r="BP305" s="79"/>
      <c r="BQ305" s="79"/>
      <c r="BR305" s="79"/>
      <c r="BS305" s="80" t="s">
        <v>2072</v>
      </c>
      <c r="BT305" s="80" t="s">
        <v>174</v>
      </c>
      <c r="BU305" s="89" t="s">
        <v>2301</v>
      </c>
      <c r="BV305" s="71"/>
      <c r="BW305" s="79" t="s">
        <v>153</v>
      </c>
      <c r="BX305" s="79" t="s">
        <v>176</v>
      </c>
      <c r="BY305" s="71"/>
      <c r="BZ305" s="79">
        <v>2</v>
      </c>
      <c r="CA305" s="79">
        <v>4</v>
      </c>
      <c r="CB305" s="79">
        <f t="shared" si="178"/>
        <v>6</v>
      </c>
      <c r="CC305" s="79" t="str">
        <f t="shared" si="194"/>
        <v>No Aplica</v>
      </c>
      <c r="CD305" s="79" t="s">
        <v>177</v>
      </c>
      <c r="CE305" s="79"/>
      <c r="CF305" s="79"/>
      <c r="CG305" s="83" t="s">
        <v>2302</v>
      </c>
      <c r="CH305" s="41"/>
      <c r="CI305" s="79" t="s">
        <v>153</v>
      </c>
      <c r="CJ305" s="71"/>
      <c r="CK305" s="79">
        <f t="shared" si="177"/>
        <v>0</v>
      </c>
      <c r="CL305" s="79"/>
      <c r="CM305" s="79"/>
      <c r="CN305" s="79"/>
      <c r="CO305" s="79"/>
      <c r="CP305" s="79"/>
      <c r="CQ305" s="79"/>
      <c r="CR305" s="83" t="s">
        <v>179</v>
      </c>
      <c r="CS305" s="83" t="s">
        <v>179</v>
      </c>
      <c r="CT305" s="83" t="s">
        <v>179</v>
      </c>
      <c r="CU305" s="83" t="s">
        <v>179</v>
      </c>
      <c r="CV305" s="83" t="s">
        <v>179</v>
      </c>
      <c r="CW305" s="83" t="s">
        <v>179</v>
      </c>
      <c r="CX305" s="79" t="s">
        <v>153</v>
      </c>
      <c r="CY305" s="79">
        <f t="shared" si="188"/>
        <v>0</v>
      </c>
      <c r="CZ305" s="79">
        <v>0</v>
      </c>
      <c r="DA305" s="79">
        <f t="shared" si="189"/>
        <v>0</v>
      </c>
      <c r="DB305" s="84" t="str">
        <f t="shared" si="190"/>
        <v/>
      </c>
      <c r="DC305" s="41"/>
      <c r="DD305" s="79" t="s">
        <v>153</v>
      </c>
      <c r="DE305" s="71"/>
      <c r="DF305" s="85" t="s">
        <v>2303</v>
      </c>
      <c r="DG305" s="79">
        <v>295</v>
      </c>
      <c r="DH305" s="86" t="str">
        <f t="shared" si="191"/>
        <v>Completo</v>
      </c>
      <c r="DI305" s="79" t="s">
        <v>181</v>
      </c>
      <c r="DJ305" s="79" t="s">
        <v>182</v>
      </c>
      <c r="DK305" s="79"/>
      <c r="DL305" s="79">
        <v>0</v>
      </c>
      <c r="DM305" s="79">
        <v>0</v>
      </c>
      <c r="DN305" s="79"/>
      <c r="DO305" s="79"/>
      <c r="DP305" s="79"/>
      <c r="DQ305" s="79"/>
      <c r="DR305" s="75" t="str">
        <f t="shared" si="161"/>
        <v>No aplica</v>
      </c>
      <c r="DS305" s="79"/>
      <c r="DT305" s="79"/>
      <c r="DU305" s="75" t="str">
        <f t="shared" si="162"/>
        <v>No aplica</v>
      </c>
      <c r="DV305" s="79"/>
      <c r="DW305" s="79" t="s">
        <v>182</v>
      </c>
      <c r="DX305" s="79"/>
      <c r="DY305" s="79"/>
      <c r="DZ305" s="79"/>
      <c r="EA305" s="79"/>
      <c r="EB305" s="79" t="s">
        <v>182</v>
      </c>
      <c r="EC305" s="79" t="s">
        <v>2304</v>
      </c>
      <c r="ED305" s="79" t="s">
        <v>2305</v>
      </c>
      <c r="EE305" s="79" t="str">
        <f t="shared" si="197"/>
        <v>Completo</v>
      </c>
      <c r="EF305" s="41"/>
      <c r="EG305" s="79" t="s">
        <v>153</v>
      </c>
      <c r="EH305" s="71"/>
      <c r="EI305" s="80"/>
      <c r="EJ305" s="71"/>
      <c r="EK305" s="79"/>
      <c r="EL305" s="76" t="str">
        <f t="shared" si="163"/>
        <v>No requiere</v>
      </c>
      <c r="EM305" s="76" t="str">
        <f t="shared" si="164"/>
        <v>No requiere</v>
      </c>
      <c r="EN305" s="76" t="str">
        <f t="shared" si="195"/>
        <v>No requiere</v>
      </c>
      <c r="EO305" s="71"/>
      <c r="EP305" s="73" t="str">
        <f t="shared" si="165"/>
        <v>No requiere</v>
      </c>
      <c r="EQ305" s="77" t="str">
        <f t="shared" si="166"/>
        <v>No requiere</v>
      </c>
      <c r="ER305" s="71"/>
      <c r="ES305" s="79"/>
      <c r="ET305" s="73" t="str">
        <f t="shared" si="167"/>
        <v>No requiere</v>
      </c>
      <c r="EU305" s="73" t="str">
        <f t="shared" si="196"/>
        <v>No requiere</v>
      </c>
      <c r="EV305" s="73" t="str">
        <f t="shared" si="168"/>
        <v>No requiere</v>
      </c>
      <c r="EW305" s="73" t="str">
        <f t="shared" si="169"/>
        <v>No requiere</v>
      </c>
      <c r="EX305" s="78"/>
      <c r="EY305" s="78"/>
    </row>
    <row r="306" spans="1:155" ht="46.5" customHeight="1">
      <c r="A306" s="79" t="str">
        <v/>
      </c>
      <c r="B306" s="80" t="s">
        <v>2306</v>
      </c>
      <c r="C306" s="81">
        <v>45399</v>
      </c>
      <c r="D306" s="82">
        <v>0.54166666666666663</v>
      </c>
      <c r="E306" s="79" t="s">
        <v>151</v>
      </c>
      <c r="F306" s="79" t="s">
        <v>152</v>
      </c>
      <c r="G306" s="79" t="s">
        <v>153</v>
      </c>
      <c r="H306" s="79" t="s">
        <v>152</v>
      </c>
      <c r="I306" s="79" t="s">
        <v>152</v>
      </c>
      <c r="J306" s="79" t="s">
        <v>251</v>
      </c>
      <c r="K306" s="79" t="s">
        <v>202</v>
      </c>
      <c r="L306" s="80" t="s">
        <v>2307</v>
      </c>
      <c r="M306" s="80" t="s">
        <v>157</v>
      </c>
      <c r="N306" s="79" t="s">
        <v>546</v>
      </c>
      <c r="O306" s="80" t="str">
        <f t="shared" si="157"/>
        <v/>
      </c>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t="s">
        <v>169</v>
      </c>
      <c r="AP306" s="79" t="s">
        <v>170</v>
      </c>
      <c r="AQ306" s="80" t="s">
        <v>2308</v>
      </c>
      <c r="AR306" s="83" t="s">
        <v>1988</v>
      </c>
      <c r="AS306" s="80" t="s">
        <v>1988</v>
      </c>
      <c r="AT306" s="80" t="str">
        <f t="shared" si="158"/>
        <v>San Cristóbal</v>
      </c>
      <c r="AU306" s="79" t="s">
        <v>570</v>
      </c>
      <c r="AV306" s="79"/>
      <c r="AW306" s="79"/>
      <c r="AX306" s="79"/>
      <c r="AY306" s="79"/>
      <c r="AZ306" s="79"/>
      <c r="BA306" s="80" t="str">
        <f t="shared" si="159"/>
        <v>Suroriente</v>
      </c>
      <c r="BB306" s="79" t="s">
        <v>218</v>
      </c>
      <c r="BC306" s="79"/>
      <c r="BD306" s="79"/>
      <c r="BE306" s="79"/>
      <c r="BF306" s="79"/>
      <c r="BG306" s="79"/>
      <c r="BH306" s="80" t="str">
        <f t="shared" si="160"/>
        <v>San Cristobal</v>
      </c>
      <c r="BI306" s="79" t="s">
        <v>571</v>
      </c>
      <c r="BJ306" s="79"/>
      <c r="BK306" s="79"/>
      <c r="BL306" s="79"/>
      <c r="BM306" s="79"/>
      <c r="BN306" s="79"/>
      <c r="BO306" s="79"/>
      <c r="BP306" s="79"/>
      <c r="BQ306" s="79"/>
      <c r="BR306" s="79"/>
      <c r="BS306" s="80" t="s">
        <v>2309</v>
      </c>
      <c r="BT306" s="80" t="s">
        <v>174</v>
      </c>
      <c r="BU306" s="89" t="s">
        <v>2310</v>
      </c>
      <c r="BV306" s="71"/>
      <c r="BW306" s="79" t="s">
        <v>153</v>
      </c>
      <c r="BX306" s="79" t="s">
        <v>176</v>
      </c>
      <c r="BY306" s="71"/>
      <c r="BZ306" s="79">
        <v>1</v>
      </c>
      <c r="CA306" s="79">
        <v>4</v>
      </c>
      <c r="CB306" s="79">
        <f t="shared" si="178"/>
        <v>5</v>
      </c>
      <c r="CC306" s="79" t="str">
        <f t="shared" si="194"/>
        <v>No Aplica</v>
      </c>
      <c r="CD306" s="79" t="s">
        <v>177</v>
      </c>
      <c r="CE306" s="79"/>
      <c r="CF306" s="79"/>
      <c r="CG306" s="83" t="s">
        <v>2311</v>
      </c>
      <c r="CH306" s="41"/>
      <c r="CI306" s="79" t="s">
        <v>153</v>
      </c>
      <c r="CJ306" s="71"/>
      <c r="CK306" s="79">
        <f t="shared" si="177"/>
        <v>0</v>
      </c>
      <c r="CL306" s="79"/>
      <c r="CM306" s="79"/>
      <c r="CN306" s="79"/>
      <c r="CO306" s="79"/>
      <c r="CP306" s="79"/>
      <c r="CQ306" s="79"/>
      <c r="CR306" s="83" t="s">
        <v>179</v>
      </c>
      <c r="CS306" s="83" t="s">
        <v>179</v>
      </c>
      <c r="CT306" s="83" t="s">
        <v>179</v>
      </c>
      <c r="CU306" s="83" t="s">
        <v>179</v>
      </c>
      <c r="CV306" s="83" t="s">
        <v>179</v>
      </c>
      <c r="CW306" s="83" t="s">
        <v>179</v>
      </c>
      <c r="CX306" s="79" t="s">
        <v>153</v>
      </c>
      <c r="CY306" s="79">
        <f t="shared" si="188"/>
        <v>0</v>
      </c>
      <c r="CZ306" s="79">
        <v>0</v>
      </c>
      <c r="DA306" s="79">
        <f t="shared" si="189"/>
        <v>0</v>
      </c>
      <c r="DB306" s="84" t="str">
        <f t="shared" si="190"/>
        <v/>
      </c>
      <c r="DC306" s="41"/>
      <c r="DD306" s="79" t="s">
        <v>153</v>
      </c>
      <c r="DE306" s="71"/>
      <c r="DF306" s="85" t="s">
        <v>2312</v>
      </c>
      <c r="DG306" s="79">
        <v>296</v>
      </c>
      <c r="DH306" s="86" t="str">
        <f t="shared" si="191"/>
        <v>Completo</v>
      </c>
      <c r="DI306" s="79" t="s">
        <v>181</v>
      </c>
      <c r="DJ306" s="79" t="s">
        <v>182</v>
      </c>
      <c r="DK306" s="79"/>
      <c r="DL306" s="79">
        <v>0</v>
      </c>
      <c r="DM306" s="79">
        <v>0</v>
      </c>
      <c r="DN306" s="79"/>
      <c r="DO306" s="79"/>
      <c r="DP306" s="79"/>
      <c r="DQ306" s="79"/>
      <c r="DR306" s="75" t="str">
        <f t="shared" si="161"/>
        <v>No aplica</v>
      </c>
      <c r="DS306" s="79"/>
      <c r="DT306" s="79"/>
      <c r="DU306" s="75" t="str">
        <f t="shared" si="162"/>
        <v>No aplica</v>
      </c>
      <c r="DV306" s="79" t="s">
        <v>182</v>
      </c>
      <c r="DW306" s="79"/>
      <c r="DX306" s="79"/>
      <c r="DY306" s="79"/>
      <c r="DZ306" s="79"/>
      <c r="EA306" s="79"/>
      <c r="EB306" s="79"/>
      <c r="EC306" s="79"/>
      <c r="ED306" s="79" t="s">
        <v>2313</v>
      </c>
      <c r="EE306" s="79" t="str">
        <f t="shared" si="197"/>
        <v>Completo</v>
      </c>
      <c r="EF306" s="41"/>
      <c r="EG306" s="79" t="s">
        <v>153</v>
      </c>
      <c r="EH306" s="71"/>
      <c r="EI306" s="80"/>
      <c r="EJ306" s="71"/>
      <c r="EK306" s="79"/>
      <c r="EL306" s="76" t="str">
        <f t="shared" si="163"/>
        <v>No requiere</v>
      </c>
      <c r="EM306" s="76" t="str">
        <f t="shared" si="164"/>
        <v>No requiere</v>
      </c>
      <c r="EN306" s="76" t="str">
        <f t="shared" si="195"/>
        <v>No requiere</v>
      </c>
      <c r="EO306" s="71"/>
      <c r="EP306" s="73" t="str">
        <f t="shared" si="165"/>
        <v>No requiere</v>
      </c>
      <c r="EQ306" s="77" t="str">
        <f t="shared" si="166"/>
        <v>No requiere</v>
      </c>
      <c r="ER306" s="71"/>
      <c r="ES306" s="79"/>
      <c r="ET306" s="73" t="str">
        <f t="shared" si="167"/>
        <v>No requiere</v>
      </c>
      <c r="EU306" s="73" t="str">
        <f t="shared" si="196"/>
        <v>No requiere</v>
      </c>
      <c r="EV306" s="73" t="str">
        <f t="shared" si="168"/>
        <v>No requiere</v>
      </c>
      <c r="EW306" s="73" t="str">
        <f t="shared" si="169"/>
        <v>No requiere</v>
      </c>
      <c r="EX306" s="78"/>
      <c r="EY306" s="78"/>
    </row>
    <row r="307" spans="1:155" ht="46.5" customHeight="1">
      <c r="A307" s="79" t="str">
        <v/>
      </c>
      <c r="B307" s="80" t="s">
        <v>2314</v>
      </c>
      <c r="C307" s="81">
        <v>45399</v>
      </c>
      <c r="D307" s="82">
        <v>0.54166666666666663</v>
      </c>
      <c r="E307" s="79" t="s">
        <v>151</v>
      </c>
      <c r="F307" s="79" t="s">
        <v>152</v>
      </c>
      <c r="G307" s="79" t="s">
        <v>153</v>
      </c>
      <c r="H307" s="79" t="s">
        <v>152</v>
      </c>
      <c r="I307" s="79" t="s">
        <v>152</v>
      </c>
      <c r="J307" s="79" t="s">
        <v>251</v>
      </c>
      <c r="K307" s="79" t="s">
        <v>202</v>
      </c>
      <c r="L307" s="80" t="s">
        <v>2315</v>
      </c>
      <c r="M307" s="80" t="s">
        <v>157</v>
      </c>
      <c r="N307" s="79" t="s">
        <v>749</v>
      </c>
      <c r="O307" s="80" t="str">
        <f t="shared" si="157"/>
        <v/>
      </c>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t="s">
        <v>169</v>
      </c>
      <c r="AP307" s="79" t="s">
        <v>170</v>
      </c>
      <c r="AQ307" s="80" t="s">
        <v>374</v>
      </c>
      <c r="AR307" s="83" t="s">
        <v>2316</v>
      </c>
      <c r="AS307" s="80" t="s">
        <v>375</v>
      </c>
      <c r="AT307" s="80" t="str">
        <f t="shared" si="158"/>
        <v>Los Mártires</v>
      </c>
      <c r="AU307" s="79" t="s">
        <v>823</v>
      </c>
      <c r="AV307" s="79"/>
      <c r="AW307" s="79"/>
      <c r="AX307" s="79"/>
      <c r="AY307" s="79"/>
      <c r="AZ307" s="79"/>
      <c r="BA307" s="80" t="str">
        <f t="shared" si="159"/>
        <v>Centro Ampliado</v>
      </c>
      <c r="BB307" s="79" t="s">
        <v>636</v>
      </c>
      <c r="BC307" s="79"/>
      <c r="BD307" s="79"/>
      <c r="BE307" s="79"/>
      <c r="BF307" s="79"/>
      <c r="BG307" s="79"/>
      <c r="BH307" s="80" t="str">
        <f t="shared" si="160"/>
        <v>Centro Histórico</v>
      </c>
      <c r="BI307" s="79" t="s">
        <v>754</v>
      </c>
      <c r="BJ307" s="79"/>
      <c r="BK307" s="79"/>
      <c r="BL307" s="79"/>
      <c r="BM307" s="79"/>
      <c r="BN307" s="79"/>
      <c r="BO307" s="79"/>
      <c r="BP307" s="79"/>
      <c r="BQ307" s="79"/>
      <c r="BR307" s="79"/>
      <c r="BS307" s="80" t="s">
        <v>822</v>
      </c>
      <c r="BT307" s="80" t="s">
        <v>174</v>
      </c>
      <c r="BU307" s="89" t="s">
        <v>2317</v>
      </c>
      <c r="BV307" s="71"/>
      <c r="BW307" s="79" t="s">
        <v>153</v>
      </c>
      <c r="BX307" s="79" t="s">
        <v>176</v>
      </c>
      <c r="BY307" s="71"/>
      <c r="BZ307" s="79">
        <v>0</v>
      </c>
      <c r="CA307" s="79">
        <v>6</v>
      </c>
      <c r="CB307" s="79">
        <f t="shared" si="178"/>
        <v>6</v>
      </c>
      <c r="CC307" s="79" t="str">
        <f t="shared" si="194"/>
        <v>No Aplica</v>
      </c>
      <c r="CD307" s="79" t="s">
        <v>177</v>
      </c>
      <c r="CE307" s="79"/>
      <c r="CF307" s="79"/>
      <c r="CG307" s="83" t="s">
        <v>2318</v>
      </c>
      <c r="CH307" s="41"/>
      <c r="CI307" s="79" t="s">
        <v>153</v>
      </c>
      <c r="CJ307" s="71"/>
      <c r="CK307" s="79">
        <f t="shared" si="177"/>
        <v>0</v>
      </c>
      <c r="CL307" s="79"/>
      <c r="CM307" s="79"/>
      <c r="CN307" s="79"/>
      <c r="CO307" s="79"/>
      <c r="CP307" s="79"/>
      <c r="CQ307" s="79"/>
      <c r="CR307" s="83" t="s">
        <v>179</v>
      </c>
      <c r="CS307" s="83" t="s">
        <v>179</v>
      </c>
      <c r="CT307" s="83" t="s">
        <v>179</v>
      </c>
      <c r="CU307" s="83" t="s">
        <v>179</v>
      </c>
      <c r="CV307" s="83" t="s">
        <v>179</v>
      </c>
      <c r="CW307" s="83" t="s">
        <v>179</v>
      </c>
      <c r="CX307" s="79" t="s">
        <v>153</v>
      </c>
      <c r="CY307" s="79">
        <f t="shared" si="188"/>
        <v>0</v>
      </c>
      <c r="CZ307" s="79">
        <v>0</v>
      </c>
      <c r="DA307" s="79">
        <f t="shared" si="189"/>
        <v>0</v>
      </c>
      <c r="DB307" s="84" t="str">
        <f t="shared" si="190"/>
        <v/>
      </c>
      <c r="DC307" s="41"/>
      <c r="DD307" s="79" t="s">
        <v>153</v>
      </c>
      <c r="DE307" s="71"/>
      <c r="DF307" s="85" t="s">
        <v>2319</v>
      </c>
      <c r="DG307" s="79">
        <v>297</v>
      </c>
      <c r="DH307" s="86" t="str">
        <f t="shared" si="191"/>
        <v>Completo</v>
      </c>
      <c r="DI307" s="79" t="s">
        <v>181</v>
      </c>
      <c r="DJ307" s="79" t="s">
        <v>182</v>
      </c>
      <c r="DK307" s="79"/>
      <c r="DL307" s="79">
        <v>0</v>
      </c>
      <c r="DM307" s="79">
        <v>0</v>
      </c>
      <c r="DN307" s="79"/>
      <c r="DO307" s="79"/>
      <c r="DP307" s="79"/>
      <c r="DQ307" s="79"/>
      <c r="DR307" s="75" t="str">
        <f t="shared" si="161"/>
        <v>No aplica</v>
      </c>
      <c r="DS307" s="79"/>
      <c r="DT307" s="79"/>
      <c r="DU307" s="75" t="str">
        <f t="shared" si="162"/>
        <v>No aplica</v>
      </c>
      <c r="DV307" s="79" t="s">
        <v>182</v>
      </c>
      <c r="DW307" s="79" t="s">
        <v>182</v>
      </c>
      <c r="DX307" s="79"/>
      <c r="DY307" s="79"/>
      <c r="DZ307" s="79"/>
      <c r="EA307" s="79"/>
      <c r="EB307" s="79" t="s">
        <v>182</v>
      </c>
      <c r="EC307" s="79" t="s">
        <v>2320</v>
      </c>
      <c r="ED307" s="79" t="s">
        <v>1609</v>
      </c>
      <c r="EE307" s="79" t="str">
        <f t="shared" si="197"/>
        <v>Completo</v>
      </c>
      <c r="EF307" s="41"/>
      <c r="EG307" s="79" t="s">
        <v>153</v>
      </c>
      <c r="EH307" s="71"/>
      <c r="EI307" s="80"/>
      <c r="EJ307" s="71"/>
      <c r="EK307" s="79"/>
      <c r="EL307" s="76" t="str">
        <f t="shared" si="163"/>
        <v>No requiere</v>
      </c>
      <c r="EM307" s="76" t="str">
        <f t="shared" si="164"/>
        <v>No requiere</v>
      </c>
      <c r="EN307" s="76" t="str">
        <f t="shared" si="195"/>
        <v>No requiere</v>
      </c>
      <c r="EO307" s="71"/>
      <c r="EP307" s="73" t="str">
        <f t="shared" si="165"/>
        <v>No requiere</v>
      </c>
      <c r="EQ307" s="77" t="str">
        <f t="shared" si="166"/>
        <v>No requiere</v>
      </c>
      <c r="ER307" s="71"/>
      <c r="ES307" s="79"/>
      <c r="ET307" s="73" t="str">
        <f t="shared" si="167"/>
        <v>No requiere</v>
      </c>
      <c r="EU307" s="73" t="str">
        <f t="shared" si="196"/>
        <v>No requiere</v>
      </c>
      <c r="EV307" s="73" t="str">
        <f t="shared" si="168"/>
        <v>No requiere</v>
      </c>
      <c r="EW307" s="73" t="str">
        <f t="shared" si="169"/>
        <v>No requiere</v>
      </c>
      <c r="EX307" s="78"/>
      <c r="EY307" s="78"/>
    </row>
    <row r="308" spans="1:155" ht="46.5" customHeight="1">
      <c r="A308" s="79">
        <v>304</v>
      </c>
      <c r="B308" s="80" t="s">
        <v>2321</v>
      </c>
      <c r="C308" s="81">
        <v>45399</v>
      </c>
      <c r="D308" s="82">
        <v>0.58333333333333337</v>
      </c>
      <c r="E308" s="79" t="s">
        <v>200</v>
      </c>
      <c r="F308" s="79" t="s">
        <v>153</v>
      </c>
      <c r="G308" s="79" t="s">
        <v>152</v>
      </c>
      <c r="H308" s="79" t="s">
        <v>152</v>
      </c>
      <c r="I308" s="79" t="s">
        <v>152</v>
      </c>
      <c r="J308" s="79" t="s">
        <v>504</v>
      </c>
      <c r="K308" s="79" t="s">
        <v>155</v>
      </c>
      <c r="L308" s="80" t="s">
        <v>2322</v>
      </c>
      <c r="M308" s="80" t="s">
        <v>157</v>
      </c>
      <c r="N308" s="79" t="s">
        <v>965</v>
      </c>
      <c r="O308" s="80" t="str">
        <f t="shared" si="157"/>
        <v/>
      </c>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t="s">
        <v>169</v>
      </c>
      <c r="AP308" s="79" t="s">
        <v>507</v>
      </c>
      <c r="AQ308" s="80" t="s">
        <v>2323</v>
      </c>
      <c r="AR308" s="83">
        <v>3228582649</v>
      </c>
      <c r="AS308" s="80" t="s">
        <v>171</v>
      </c>
      <c r="AT308" s="80" t="str">
        <f t="shared" si="158"/>
        <v>Kennedy</v>
      </c>
      <c r="AU308" s="79" t="s">
        <v>731</v>
      </c>
      <c r="AV308" s="79"/>
      <c r="AW308" s="79"/>
      <c r="AX308" s="79"/>
      <c r="AY308" s="79"/>
      <c r="AZ308" s="79"/>
      <c r="BA308" s="80" t="str">
        <f t="shared" si="159"/>
        <v>Suroccidente</v>
      </c>
      <c r="BB308" s="79" t="s">
        <v>732</v>
      </c>
      <c r="BC308" s="79"/>
      <c r="BD308" s="79"/>
      <c r="BE308" s="79"/>
      <c r="BF308" s="79"/>
      <c r="BG308" s="79"/>
      <c r="BH308" s="80" t="str">
        <f t="shared" si="160"/>
        <v>Kennedy, Patio Bonito, Tintal</v>
      </c>
      <c r="BI308" s="79" t="s">
        <v>731</v>
      </c>
      <c r="BJ308" s="79" t="s">
        <v>967</v>
      </c>
      <c r="BK308" s="79" t="s">
        <v>1697</v>
      </c>
      <c r="BL308" s="79"/>
      <c r="BM308" s="79"/>
      <c r="BN308" s="79"/>
      <c r="BO308" s="79"/>
      <c r="BP308" s="79"/>
      <c r="BQ308" s="79"/>
      <c r="BR308" s="79"/>
      <c r="BS308" s="80" t="s">
        <v>288</v>
      </c>
      <c r="BT308" s="80" t="s">
        <v>174</v>
      </c>
      <c r="BU308" s="80" t="s">
        <v>2324</v>
      </c>
      <c r="BV308" s="71"/>
      <c r="BW308" s="79" t="s">
        <v>152</v>
      </c>
      <c r="BX308" s="79" t="s">
        <v>179</v>
      </c>
      <c r="BY308" s="71"/>
      <c r="BZ308" s="79">
        <v>15</v>
      </c>
      <c r="CA308" s="79">
        <v>1</v>
      </c>
      <c r="CB308" s="79">
        <f t="shared" si="178"/>
        <v>16</v>
      </c>
      <c r="CC308" s="79" t="str">
        <f t="shared" si="194"/>
        <v>No Aplica</v>
      </c>
      <c r="CD308" s="79" t="s">
        <v>177</v>
      </c>
      <c r="CE308" s="79"/>
      <c r="CF308" s="79"/>
      <c r="CG308" s="83" t="s">
        <v>2325</v>
      </c>
      <c r="CH308" s="41"/>
      <c r="CI308" s="79" t="s">
        <v>153</v>
      </c>
      <c r="CJ308" s="71"/>
      <c r="CK308" s="79">
        <f t="shared" si="177"/>
        <v>0</v>
      </c>
      <c r="CL308" s="79"/>
      <c r="CM308" s="79"/>
      <c r="CN308" s="79"/>
      <c r="CO308" s="79"/>
      <c r="CP308" s="79"/>
      <c r="CQ308" s="79"/>
      <c r="CR308" s="83" t="s">
        <v>179</v>
      </c>
      <c r="CS308" s="83" t="s">
        <v>179</v>
      </c>
      <c r="CT308" s="83" t="s">
        <v>179</v>
      </c>
      <c r="CU308" s="83" t="s">
        <v>179</v>
      </c>
      <c r="CV308" s="83" t="s">
        <v>179</v>
      </c>
      <c r="CW308" s="83" t="s">
        <v>179</v>
      </c>
      <c r="CX308" s="79" t="s">
        <v>153</v>
      </c>
      <c r="CY308" s="79">
        <v>0</v>
      </c>
      <c r="CZ308" s="79">
        <v>0</v>
      </c>
      <c r="DA308" s="79">
        <v>0</v>
      </c>
      <c r="DB308" s="84"/>
      <c r="DC308" s="41"/>
      <c r="DD308" s="79" t="s">
        <v>153</v>
      </c>
      <c r="DE308" s="71"/>
      <c r="DF308" s="85" t="s">
        <v>2326</v>
      </c>
      <c r="DG308" s="79">
        <v>298</v>
      </c>
      <c r="DH308" s="86">
        <f t="shared" si="191"/>
        <v>45402</v>
      </c>
      <c r="DI308" s="79" t="s">
        <v>181</v>
      </c>
      <c r="DJ308" s="79" t="s">
        <v>182</v>
      </c>
      <c r="DK308" s="79"/>
      <c r="DL308" s="79">
        <v>0</v>
      </c>
      <c r="DM308" s="79">
        <v>0</v>
      </c>
      <c r="DN308" s="79" t="s">
        <v>182</v>
      </c>
      <c r="DO308" s="79"/>
      <c r="DP308" s="79"/>
      <c r="DQ308" s="79"/>
      <c r="DR308" s="75" t="str">
        <f t="shared" si="161"/>
        <v>No aplica</v>
      </c>
      <c r="DS308" s="79"/>
      <c r="DT308" s="79"/>
      <c r="DU308" s="75" t="str">
        <f t="shared" si="162"/>
        <v>No aplica</v>
      </c>
      <c r="DV308" s="79" t="s">
        <v>182</v>
      </c>
      <c r="DW308" s="79" t="s">
        <v>182</v>
      </c>
      <c r="DX308" s="79"/>
      <c r="DY308" s="79"/>
      <c r="DZ308" s="79"/>
      <c r="EA308" s="79"/>
      <c r="EB308" s="79"/>
      <c r="EC308" s="79"/>
      <c r="ED308" s="79" t="s">
        <v>184</v>
      </c>
      <c r="EE308" s="79" t="s">
        <v>621</v>
      </c>
      <c r="EF308" s="41"/>
      <c r="EG308" s="79" t="s">
        <v>153</v>
      </c>
      <c r="EH308" s="71"/>
      <c r="EI308" s="80"/>
      <c r="EJ308" s="71"/>
      <c r="EK308" s="79"/>
      <c r="EL308" s="76" t="str">
        <f t="shared" si="163"/>
        <v>No requiere</v>
      </c>
      <c r="EM308" s="76" t="str">
        <f t="shared" si="164"/>
        <v>No requiere</v>
      </c>
      <c r="EN308" s="76" t="str">
        <f t="shared" si="195"/>
        <v>No requiere</v>
      </c>
      <c r="EO308" s="71"/>
      <c r="EP308" s="73" t="str">
        <f t="shared" si="165"/>
        <v>No requiere</v>
      </c>
      <c r="EQ308" s="77" t="str">
        <f t="shared" si="166"/>
        <v>No requiere</v>
      </c>
      <c r="ER308" s="71"/>
      <c r="ES308" s="79"/>
      <c r="ET308" s="73" t="str">
        <f t="shared" si="167"/>
        <v>No requiere</v>
      </c>
      <c r="EU308" s="73" t="str">
        <f t="shared" si="196"/>
        <v>No requiere</v>
      </c>
      <c r="EV308" s="73" t="str">
        <f t="shared" si="168"/>
        <v>No requiere</v>
      </c>
      <c r="EW308" s="73" t="str">
        <f t="shared" si="169"/>
        <v>No requiere</v>
      </c>
      <c r="EX308" s="78"/>
      <c r="EY308" s="78"/>
    </row>
    <row r="309" spans="1:155" ht="46.5" customHeight="1">
      <c r="A309" s="79">
        <v>305</v>
      </c>
      <c r="B309" s="80" t="s">
        <v>2327</v>
      </c>
      <c r="C309" s="81">
        <v>45399</v>
      </c>
      <c r="D309" s="82">
        <v>0.58333333333333337</v>
      </c>
      <c r="E309" s="79" t="s">
        <v>151</v>
      </c>
      <c r="F309" s="79" t="s">
        <v>153</v>
      </c>
      <c r="G309" s="79" t="s">
        <v>152</v>
      </c>
      <c r="H309" s="79" t="s">
        <v>152</v>
      </c>
      <c r="I309" s="79" t="s">
        <v>153</v>
      </c>
      <c r="J309" s="79" t="s">
        <v>1768</v>
      </c>
      <c r="K309" s="79" t="s">
        <v>155</v>
      </c>
      <c r="L309" s="80" t="s">
        <v>2328</v>
      </c>
      <c r="M309" s="80" t="s">
        <v>229</v>
      </c>
      <c r="N309" s="79" t="s">
        <v>924</v>
      </c>
      <c r="O309" s="80" t="str">
        <f t="shared" si="157"/>
        <v/>
      </c>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t="s">
        <v>304</v>
      </c>
      <c r="AP309" s="79"/>
      <c r="AQ309" s="80" t="s">
        <v>171</v>
      </c>
      <c r="AR309" s="83" t="s">
        <v>171</v>
      </c>
      <c r="AS309" s="80" t="s">
        <v>171</v>
      </c>
      <c r="AT309" s="80" t="str">
        <f t="shared" si="158"/>
        <v>Kennedy</v>
      </c>
      <c r="AU309" s="79" t="s">
        <v>731</v>
      </c>
      <c r="AV309" s="79"/>
      <c r="AW309" s="79"/>
      <c r="AX309" s="79"/>
      <c r="AY309" s="79"/>
      <c r="AZ309" s="79"/>
      <c r="BA309" s="80" t="str">
        <f t="shared" si="159"/>
        <v>Suroccidente</v>
      </c>
      <c r="BB309" s="79" t="s">
        <v>732</v>
      </c>
      <c r="BC309" s="79"/>
      <c r="BD309" s="79"/>
      <c r="BE309" s="79"/>
      <c r="BF309" s="79"/>
      <c r="BG309" s="79"/>
      <c r="BH309" s="80" t="str">
        <f t="shared" si="160"/>
        <v>Kennedy</v>
      </c>
      <c r="BI309" s="79" t="s">
        <v>731</v>
      </c>
      <c r="BJ309" s="79"/>
      <c r="BK309" s="79"/>
      <c r="BL309" s="79"/>
      <c r="BM309" s="79"/>
      <c r="BN309" s="79"/>
      <c r="BO309" s="79"/>
      <c r="BP309" s="79"/>
      <c r="BQ309" s="79"/>
      <c r="BR309" s="79"/>
      <c r="BS309" s="80" t="s">
        <v>731</v>
      </c>
      <c r="BT309" s="80" t="s">
        <v>174</v>
      </c>
      <c r="BU309" s="80" t="s">
        <v>2329</v>
      </c>
      <c r="BV309" s="71"/>
      <c r="BW309" s="79" t="s">
        <v>152</v>
      </c>
      <c r="BX309" s="79" t="s">
        <v>179</v>
      </c>
      <c r="BY309" s="71"/>
      <c r="BZ309" s="79">
        <v>40</v>
      </c>
      <c r="CA309" s="79">
        <v>1</v>
      </c>
      <c r="CB309" s="79">
        <f t="shared" si="178"/>
        <v>41</v>
      </c>
      <c r="CC309" s="79" t="str">
        <f t="shared" si="194"/>
        <v>No Aplica</v>
      </c>
      <c r="CD309" s="79" t="s">
        <v>177</v>
      </c>
      <c r="CE309" s="79"/>
      <c r="CF309" s="79"/>
      <c r="CG309" s="83" t="s">
        <v>2330</v>
      </c>
      <c r="CH309" s="41"/>
      <c r="CI309" s="79" t="s">
        <v>153</v>
      </c>
      <c r="CJ309" s="71"/>
      <c r="CK309" s="79">
        <f t="shared" si="177"/>
        <v>0</v>
      </c>
      <c r="CL309" s="79"/>
      <c r="CM309" s="79"/>
      <c r="CN309" s="79"/>
      <c r="CO309" s="79"/>
      <c r="CP309" s="79"/>
      <c r="CQ309" s="79"/>
      <c r="CR309" s="83" t="s">
        <v>179</v>
      </c>
      <c r="CS309" s="83" t="s">
        <v>179</v>
      </c>
      <c r="CT309" s="83" t="s">
        <v>179</v>
      </c>
      <c r="CU309" s="83" t="s">
        <v>179</v>
      </c>
      <c r="CV309" s="83" t="s">
        <v>179</v>
      </c>
      <c r="CW309" s="83" t="s">
        <v>179</v>
      </c>
      <c r="CX309" s="79" t="s">
        <v>153</v>
      </c>
      <c r="CY309" s="79">
        <f t="shared" ref="CY309:CY339" si="198">SUM(COUNTIF(CR309:CW309,"Realizado y Devuelto a la Ciudadanía"),COUNTIF(CR309:CW309,"Realizado y Trasladado por competencia"), COUNTIF(CR309:CW309,"Realizado y Gestionado"))</f>
        <v>0</v>
      </c>
      <c r="CZ309" s="79">
        <v>0</v>
      </c>
      <c r="DA309" s="79">
        <f t="shared" ref="DA309:DA339" si="199">COUNTIF(CR309:CW309,"Realizado y Devuelto a la Ciudadanía")</f>
        <v>0</v>
      </c>
      <c r="DB309" s="84" t="str">
        <f t="shared" ref="DB309:DB314" si="200">IFERROR(CY309/CK309,"")</f>
        <v/>
      </c>
      <c r="DC309" s="41"/>
      <c r="DD309" s="79" t="s">
        <v>153</v>
      </c>
      <c r="DE309" s="71"/>
      <c r="DF309" s="85" t="s">
        <v>2331</v>
      </c>
      <c r="DG309" s="79">
        <v>299</v>
      </c>
      <c r="DH309" s="86" t="str">
        <f t="shared" si="191"/>
        <v>Completo</v>
      </c>
      <c r="DI309" s="79" t="s">
        <v>181</v>
      </c>
      <c r="DJ309" s="79" t="s">
        <v>182</v>
      </c>
      <c r="DK309" s="79"/>
      <c r="DL309" s="79">
        <v>0</v>
      </c>
      <c r="DM309" s="79">
        <v>0</v>
      </c>
      <c r="DN309" s="79" t="s">
        <v>191</v>
      </c>
      <c r="DO309" s="79"/>
      <c r="DP309" s="79"/>
      <c r="DQ309" s="79"/>
      <c r="DR309" s="75" t="str">
        <f t="shared" si="161"/>
        <v>No aplica</v>
      </c>
      <c r="DS309" s="79"/>
      <c r="DT309" s="79"/>
      <c r="DU309" s="75" t="str">
        <f t="shared" si="162"/>
        <v>No aplica</v>
      </c>
      <c r="DV309" s="79" t="s">
        <v>182</v>
      </c>
      <c r="DW309" s="79" t="s">
        <v>182</v>
      </c>
      <c r="DX309" s="79"/>
      <c r="DY309" s="79"/>
      <c r="DZ309" s="79"/>
      <c r="EA309" s="79"/>
      <c r="EB309" s="79"/>
      <c r="EC309" s="79"/>
      <c r="ED309" s="79" t="s">
        <v>184</v>
      </c>
      <c r="EE309" s="79" t="str">
        <f>IF(DI309="Subsanado","Completo","Por Completar")</f>
        <v>Completo</v>
      </c>
      <c r="EF309" s="41"/>
      <c r="EG309" s="79" t="s">
        <v>153</v>
      </c>
      <c r="EH309" s="71"/>
      <c r="EI309" s="80"/>
      <c r="EJ309" s="71"/>
      <c r="EK309" s="79"/>
      <c r="EL309" s="76" t="str">
        <f t="shared" si="163"/>
        <v>No requiere</v>
      </c>
      <c r="EM309" s="76" t="str">
        <f t="shared" si="164"/>
        <v>No requiere</v>
      </c>
      <c r="EN309" s="76" t="str">
        <f t="shared" si="195"/>
        <v>No requiere</v>
      </c>
      <c r="EO309" s="71"/>
      <c r="EP309" s="73" t="str">
        <f t="shared" si="165"/>
        <v>No requiere</v>
      </c>
      <c r="EQ309" s="77" t="str">
        <f t="shared" si="166"/>
        <v>No requiere</v>
      </c>
      <c r="ER309" s="71"/>
      <c r="ES309" s="79"/>
      <c r="ET309" s="73" t="str">
        <f t="shared" si="167"/>
        <v>No requiere</v>
      </c>
      <c r="EU309" s="73" t="str">
        <f t="shared" si="196"/>
        <v>No requiere</v>
      </c>
      <c r="EV309" s="73" t="str">
        <f t="shared" si="168"/>
        <v>No requiere</v>
      </c>
      <c r="EW309" s="73" t="str">
        <f t="shared" si="169"/>
        <v>No requiere</v>
      </c>
      <c r="EX309" s="78"/>
      <c r="EY309" s="78"/>
    </row>
    <row r="310" spans="1:155" ht="46.5" customHeight="1">
      <c r="A310" s="79" t="str">
        <v/>
      </c>
      <c r="B310" s="80" t="s">
        <v>2332</v>
      </c>
      <c r="C310" s="81">
        <v>45399</v>
      </c>
      <c r="D310" s="82">
        <v>0.58333333333333337</v>
      </c>
      <c r="E310" s="79" t="s">
        <v>151</v>
      </c>
      <c r="F310" s="79" t="s">
        <v>152</v>
      </c>
      <c r="G310" s="79" t="s">
        <v>153</v>
      </c>
      <c r="H310" s="79" t="s">
        <v>152</v>
      </c>
      <c r="I310" s="79" t="s">
        <v>152</v>
      </c>
      <c r="J310" s="79" t="s">
        <v>251</v>
      </c>
      <c r="K310" s="79" t="s">
        <v>202</v>
      </c>
      <c r="L310" s="80" t="s">
        <v>2333</v>
      </c>
      <c r="M310" s="80" t="s">
        <v>157</v>
      </c>
      <c r="N310" s="79" t="s">
        <v>632</v>
      </c>
      <c r="O310" s="80" t="str">
        <f t="shared" si="157"/>
        <v>PENDIENTE, PENDIENTE</v>
      </c>
      <c r="P310" s="79" t="s">
        <v>196</v>
      </c>
      <c r="Q310" s="79" t="s">
        <v>196</v>
      </c>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t="s">
        <v>169</v>
      </c>
      <c r="AP310" s="79" t="s">
        <v>170</v>
      </c>
      <c r="AQ310" s="80" t="s">
        <v>171</v>
      </c>
      <c r="AR310" s="80" t="s">
        <v>171</v>
      </c>
      <c r="AS310" s="80" t="s">
        <v>171</v>
      </c>
      <c r="AT310" s="80" t="str">
        <f t="shared" si="158"/>
        <v>Santa Fe</v>
      </c>
      <c r="AU310" s="79" t="s">
        <v>822</v>
      </c>
      <c r="AV310" s="79"/>
      <c r="AW310" s="79"/>
      <c r="AX310" s="79"/>
      <c r="AY310" s="79"/>
      <c r="AZ310" s="79"/>
      <c r="BA310" s="80" t="str">
        <f t="shared" si="159"/>
        <v>Centro Ampliado</v>
      </c>
      <c r="BB310" s="79" t="s">
        <v>636</v>
      </c>
      <c r="BC310" s="79"/>
      <c r="BD310" s="79"/>
      <c r="BE310" s="79"/>
      <c r="BF310" s="79"/>
      <c r="BG310" s="79"/>
      <c r="BH310" s="80" t="str">
        <f t="shared" si="160"/>
        <v>Centro Histórico</v>
      </c>
      <c r="BI310" s="79" t="s">
        <v>754</v>
      </c>
      <c r="BJ310" s="79"/>
      <c r="BK310" s="79"/>
      <c r="BL310" s="79"/>
      <c r="BM310" s="79"/>
      <c r="BN310" s="79"/>
      <c r="BO310" s="79"/>
      <c r="BP310" s="79"/>
      <c r="BQ310" s="79"/>
      <c r="BR310" s="79"/>
      <c r="BS310" s="80" t="s">
        <v>288</v>
      </c>
      <c r="BT310" s="80" t="s">
        <v>174</v>
      </c>
      <c r="BU310" s="89" t="s">
        <v>2334</v>
      </c>
      <c r="BV310" s="71"/>
      <c r="BW310" s="79" t="s">
        <v>153</v>
      </c>
      <c r="BX310" s="79" t="s">
        <v>176</v>
      </c>
      <c r="BY310" s="71"/>
      <c r="BZ310" s="79">
        <v>4</v>
      </c>
      <c r="CA310" s="79">
        <v>5</v>
      </c>
      <c r="CB310" s="79">
        <f t="shared" si="178"/>
        <v>9</v>
      </c>
      <c r="CC310" s="79" t="str">
        <f t="shared" si="194"/>
        <v>No Aplica</v>
      </c>
      <c r="CD310" s="79" t="s">
        <v>177</v>
      </c>
      <c r="CE310" s="79"/>
      <c r="CF310" s="79"/>
      <c r="CG310" s="83" t="s">
        <v>2335</v>
      </c>
      <c r="CH310" s="41"/>
      <c r="CI310" s="79" t="s">
        <v>153</v>
      </c>
      <c r="CJ310" s="71"/>
      <c r="CK310" s="79">
        <f t="shared" si="177"/>
        <v>0</v>
      </c>
      <c r="CL310" s="79"/>
      <c r="CM310" s="79"/>
      <c r="CN310" s="79"/>
      <c r="CO310" s="79"/>
      <c r="CP310" s="79"/>
      <c r="CQ310" s="79"/>
      <c r="CR310" s="83" t="s">
        <v>179</v>
      </c>
      <c r="CS310" s="83" t="s">
        <v>179</v>
      </c>
      <c r="CT310" s="83" t="s">
        <v>179</v>
      </c>
      <c r="CU310" s="83" t="s">
        <v>179</v>
      </c>
      <c r="CV310" s="83" t="s">
        <v>179</v>
      </c>
      <c r="CW310" s="83" t="s">
        <v>179</v>
      </c>
      <c r="CX310" s="79" t="s">
        <v>153</v>
      </c>
      <c r="CY310" s="79">
        <f t="shared" si="198"/>
        <v>0</v>
      </c>
      <c r="CZ310" s="79">
        <v>0</v>
      </c>
      <c r="DA310" s="79">
        <f t="shared" si="199"/>
        <v>0</v>
      </c>
      <c r="DB310" s="84" t="str">
        <f t="shared" si="200"/>
        <v/>
      </c>
      <c r="DC310" s="41"/>
      <c r="DD310" s="79" t="s">
        <v>153</v>
      </c>
      <c r="DE310" s="71"/>
      <c r="DF310" s="85" t="s">
        <v>2336</v>
      </c>
      <c r="DG310" s="79">
        <v>300</v>
      </c>
      <c r="DH310" s="86">
        <f t="shared" si="191"/>
        <v>45402</v>
      </c>
      <c r="DI310" s="79" t="s">
        <v>181</v>
      </c>
      <c r="DJ310" s="79" t="s">
        <v>182</v>
      </c>
      <c r="DK310" s="79"/>
      <c r="DL310" s="79">
        <v>0</v>
      </c>
      <c r="DM310" s="79">
        <v>0</v>
      </c>
      <c r="DN310" s="79"/>
      <c r="DO310" s="79"/>
      <c r="DP310" s="79"/>
      <c r="DQ310" s="79"/>
      <c r="DR310" s="75" t="str">
        <f t="shared" si="161"/>
        <v>No aplica</v>
      </c>
      <c r="DS310" s="79"/>
      <c r="DT310" s="79"/>
      <c r="DU310" s="75" t="str">
        <f t="shared" si="162"/>
        <v>No aplica</v>
      </c>
      <c r="DV310" s="79" t="s">
        <v>182</v>
      </c>
      <c r="DW310" s="79"/>
      <c r="DX310" s="79"/>
      <c r="DY310" s="79"/>
      <c r="DZ310" s="79"/>
      <c r="EA310" s="79"/>
      <c r="EB310" s="79" t="s">
        <v>182</v>
      </c>
      <c r="EC310" s="79" t="s">
        <v>2337</v>
      </c>
      <c r="ED310" s="79" t="s">
        <v>2338</v>
      </c>
      <c r="EE310" s="79" t="s">
        <v>621</v>
      </c>
      <c r="EF310" s="41"/>
      <c r="EG310" s="79" t="s">
        <v>153</v>
      </c>
      <c r="EH310" s="71"/>
      <c r="EI310" s="80"/>
      <c r="EJ310" s="71"/>
      <c r="EK310" s="79"/>
      <c r="EL310" s="76" t="str">
        <f t="shared" si="163"/>
        <v>No requiere</v>
      </c>
      <c r="EM310" s="76" t="str">
        <f t="shared" si="164"/>
        <v>No requiere</v>
      </c>
      <c r="EN310" s="76" t="str">
        <f t="shared" si="195"/>
        <v>No requiere</v>
      </c>
      <c r="EO310" s="71"/>
      <c r="EP310" s="73" t="str">
        <f t="shared" si="165"/>
        <v>No requiere</v>
      </c>
      <c r="EQ310" s="77" t="str">
        <f t="shared" si="166"/>
        <v>No requiere</v>
      </c>
      <c r="ER310" s="71"/>
      <c r="ES310" s="79"/>
      <c r="ET310" s="73" t="str">
        <f t="shared" si="167"/>
        <v>No requiere</v>
      </c>
      <c r="EU310" s="73" t="str">
        <f t="shared" si="196"/>
        <v>No requiere</v>
      </c>
      <c r="EV310" s="73" t="str">
        <f t="shared" si="168"/>
        <v>No requiere</v>
      </c>
      <c r="EW310" s="73" t="str">
        <f t="shared" si="169"/>
        <v>No requiere</v>
      </c>
      <c r="EX310" s="78"/>
      <c r="EY310" s="78"/>
    </row>
    <row r="311" spans="1:155" ht="46.5" customHeight="1">
      <c r="A311" s="79" t="str">
        <v/>
      </c>
      <c r="B311" s="80" t="s">
        <v>2339</v>
      </c>
      <c r="C311" s="81">
        <v>45399</v>
      </c>
      <c r="D311" s="82">
        <v>0.625</v>
      </c>
      <c r="E311" s="79" t="s">
        <v>151</v>
      </c>
      <c r="F311" s="79" t="s">
        <v>152</v>
      </c>
      <c r="G311" s="79" t="s">
        <v>153</v>
      </c>
      <c r="H311" s="79" t="s">
        <v>152</v>
      </c>
      <c r="I311" s="79" t="s">
        <v>152</v>
      </c>
      <c r="J311" s="79" t="s">
        <v>251</v>
      </c>
      <c r="K311" s="79" t="s">
        <v>202</v>
      </c>
      <c r="L311" s="80" t="s">
        <v>2340</v>
      </c>
      <c r="M311" s="80" t="s">
        <v>157</v>
      </c>
      <c r="N311" s="79" t="s">
        <v>1611</v>
      </c>
      <c r="O311" s="80" t="str">
        <f t="shared" si="157"/>
        <v/>
      </c>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t="s">
        <v>169</v>
      </c>
      <c r="AP311" s="79" t="s">
        <v>170</v>
      </c>
      <c r="AQ311" s="80" t="s">
        <v>2341</v>
      </c>
      <c r="AR311" s="83">
        <v>3102511032</v>
      </c>
      <c r="AS311" s="80" t="s">
        <v>2342</v>
      </c>
      <c r="AT311" s="80" t="str">
        <f t="shared" si="158"/>
        <v>Usaquén</v>
      </c>
      <c r="AU311" s="79" t="s">
        <v>661</v>
      </c>
      <c r="AV311" s="79"/>
      <c r="AW311" s="79"/>
      <c r="AX311" s="79"/>
      <c r="AY311" s="79"/>
      <c r="AZ311" s="79"/>
      <c r="BA311" s="80" t="str">
        <f t="shared" si="159"/>
        <v>Norte</v>
      </c>
      <c r="BB311" s="79" t="s">
        <v>662</v>
      </c>
      <c r="BC311" s="79"/>
      <c r="BD311" s="79"/>
      <c r="BE311" s="79"/>
      <c r="BF311" s="79"/>
      <c r="BG311" s="79"/>
      <c r="BH311" s="80" t="str">
        <f t="shared" si="160"/>
        <v>Usaquén, Toberín, Torca</v>
      </c>
      <c r="BI311" s="79" t="s">
        <v>661</v>
      </c>
      <c r="BJ311" s="79" t="s">
        <v>804</v>
      </c>
      <c r="BK311" s="79" t="s">
        <v>805</v>
      </c>
      <c r="BL311" s="79"/>
      <c r="BM311" s="79"/>
      <c r="BN311" s="79"/>
      <c r="BO311" s="79"/>
      <c r="BP311" s="79"/>
      <c r="BQ311" s="79"/>
      <c r="BR311" s="79"/>
      <c r="BS311" s="80" t="s">
        <v>2343</v>
      </c>
      <c r="BT311" s="80" t="s">
        <v>174</v>
      </c>
      <c r="BU311" s="89" t="s">
        <v>2344</v>
      </c>
      <c r="BV311" s="71"/>
      <c r="BW311" s="79" t="s">
        <v>153</v>
      </c>
      <c r="BX311" s="79" t="s">
        <v>176</v>
      </c>
      <c r="BY311" s="71"/>
      <c r="BZ311" s="79">
        <v>8</v>
      </c>
      <c r="CA311" s="79">
        <v>3</v>
      </c>
      <c r="CB311" s="79">
        <f t="shared" si="178"/>
        <v>11</v>
      </c>
      <c r="CC311" s="79" t="str">
        <f t="shared" si="194"/>
        <v>No Aplica</v>
      </c>
      <c r="CD311" s="79" t="s">
        <v>177</v>
      </c>
      <c r="CE311" s="79"/>
      <c r="CF311" s="79"/>
      <c r="CG311" s="83" t="s">
        <v>2345</v>
      </c>
      <c r="CH311" s="41"/>
      <c r="CI311" s="79" t="s">
        <v>153</v>
      </c>
      <c r="CJ311" s="71"/>
      <c r="CK311" s="79">
        <f t="shared" si="177"/>
        <v>0</v>
      </c>
      <c r="CL311" s="79"/>
      <c r="CM311" s="79"/>
      <c r="CN311" s="79"/>
      <c r="CO311" s="79"/>
      <c r="CP311" s="79"/>
      <c r="CQ311" s="79"/>
      <c r="CR311" s="83" t="s">
        <v>179</v>
      </c>
      <c r="CS311" s="83" t="s">
        <v>179</v>
      </c>
      <c r="CT311" s="83" t="s">
        <v>179</v>
      </c>
      <c r="CU311" s="83" t="s">
        <v>179</v>
      </c>
      <c r="CV311" s="83" t="s">
        <v>179</v>
      </c>
      <c r="CW311" s="83" t="s">
        <v>179</v>
      </c>
      <c r="CX311" s="79" t="s">
        <v>153</v>
      </c>
      <c r="CY311" s="79">
        <f t="shared" si="198"/>
        <v>0</v>
      </c>
      <c r="CZ311" s="79">
        <v>0</v>
      </c>
      <c r="DA311" s="79">
        <f t="shared" si="199"/>
        <v>0</v>
      </c>
      <c r="DB311" s="84" t="str">
        <f t="shared" si="200"/>
        <v/>
      </c>
      <c r="DC311" s="41"/>
      <c r="DD311" s="79" t="s">
        <v>153</v>
      </c>
      <c r="DE311" s="71"/>
      <c r="DF311" s="85" t="s">
        <v>2346</v>
      </c>
      <c r="DG311" s="79">
        <v>301</v>
      </c>
      <c r="DH311" s="86" t="str">
        <f t="shared" si="191"/>
        <v>Completo</v>
      </c>
      <c r="DI311" s="79" t="s">
        <v>181</v>
      </c>
      <c r="DJ311" s="79" t="s">
        <v>182</v>
      </c>
      <c r="DK311" s="79"/>
      <c r="DL311" s="79">
        <v>0</v>
      </c>
      <c r="DM311" s="79">
        <v>0</v>
      </c>
      <c r="DN311" s="79"/>
      <c r="DO311" s="79"/>
      <c r="DP311" s="79"/>
      <c r="DQ311" s="79"/>
      <c r="DR311" s="75" t="str">
        <f t="shared" si="161"/>
        <v>No aplica</v>
      </c>
      <c r="DS311" s="79"/>
      <c r="DT311" s="79"/>
      <c r="DU311" s="75" t="str">
        <f t="shared" si="162"/>
        <v>No aplica</v>
      </c>
      <c r="DV311" s="79"/>
      <c r="DW311" s="79" t="s">
        <v>182</v>
      </c>
      <c r="DX311" s="79"/>
      <c r="DY311" s="79"/>
      <c r="DZ311" s="79"/>
      <c r="EA311" s="79"/>
      <c r="EB311" s="79"/>
      <c r="EC311" s="79"/>
      <c r="ED311" s="79" t="s">
        <v>2347</v>
      </c>
      <c r="EE311" s="79" t="str">
        <f t="shared" ref="EE311:EE338" si="201">IF(DI311="Subsanado","Completo","Por Completar")</f>
        <v>Completo</v>
      </c>
      <c r="EF311" s="41"/>
      <c r="EG311" s="79" t="s">
        <v>153</v>
      </c>
      <c r="EH311" s="71"/>
      <c r="EI311" s="80"/>
      <c r="EJ311" s="71"/>
      <c r="EK311" s="79"/>
      <c r="EL311" s="76" t="str">
        <f t="shared" si="163"/>
        <v>No requiere</v>
      </c>
      <c r="EM311" s="76" t="str">
        <f t="shared" si="164"/>
        <v>No requiere</v>
      </c>
      <c r="EN311" s="76" t="str">
        <f t="shared" si="195"/>
        <v>No requiere</v>
      </c>
      <c r="EO311" s="71"/>
      <c r="EP311" s="73" t="str">
        <f t="shared" si="165"/>
        <v>No requiere</v>
      </c>
      <c r="EQ311" s="77" t="str">
        <f t="shared" si="166"/>
        <v>No requiere</v>
      </c>
      <c r="ER311" s="71"/>
      <c r="ES311" s="79"/>
      <c r="ET311" s="73" t="str">
        <f t="shared" si="167"/>
        <v>No requiere</v>
      </c>
      <c r="EU311" s="73" t="str">
        <f t="shared" si="196"/>
        <v>No requiere</v>
      </c>
      <c r="EV311" s="73" t="str">
        <f t="shared" si="168"/>
        <v>No requiere</v>
      </c>
      <c r="EW311" s="73" t="str">
        <f t="shared" si="169"/>
        <v>No requiere</v>
      </c>
      <c r="EX311" s="78"/>
      <c r="EY311" s="78"/>
    </row>
    <row r="312" spans="1:155" ht="46.5" customHeight="1">
      <c r="A312" s="79" t="str">
        <v/>
      </c>
      <c r="B312" s="80" t="s">
        <v>2348</v>
      </c>
      <c r="C312" s="81">
        <v>45399</v>
      </c>
      <c r="D312" s="82">
        <v>0.625</v>
      </c>
      <c r="E312" s="79" t="s">
        <v>151</v>
      </c>
      <c r="F312" s="79" t="s">
        <v>152</v>
      </c>
      <c r="G312" s="79" t="s">
        <v>153</v>
      </c>
      <c r="H312" s="79" t="s">
        <v>152</v>
      </c>
      <c r="I312" s="79" t="s">
        <v>152</v>
      </c>
      <c r="J312" s="79" t="s">
        <v>251</v>
      </c>
      <c r="K312" s="79" t="s">
        <v>202</v>
      </c>
      <c r="L312" s="80" t="s">
        <v>2349</v>
      </c>
      <c r="M312" s="80" t="s">
        <v>157</v>
      </c>
      <c r="N312" s="79" t="s">
        <v>1387</v>
      </c>
      <c r="O312" s="80" t="str">
        <f t="shared" si="157"/>
        <v>PENDIENTE, PENDIENTE</v>
      </c>
      <c r="P312" s="79" t="s">
        <v>196</v>
      </c>
      <c r="Q312" s="79" t="s">
        <v>196</v>
      </c>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t="s">
        <v>169</v>
      </c>
      <c r="AP312" s="79" t="s">
        <v>170</v>
      </c>
      <c r="AQ312" s="80" t="s">
        <v>2350</v>
      </c>
      <c r="AR312" s="83">
        <v>3016547014</v>
      </c>
      <c r="AS312" s="80" t="s">
        <v>2351</v>
      </c>
      <c r="AT312" s="80" t="str">
        <f t="shared" si="158"/>
        <v>Teusaquillo</v>
      </c>
      <c r="AU312" s="79" t="s">
        <v>1004</v>
      </c>
      <c r="AV312" s="79"/>
      <c r="AW312" s="79"/>
      <c r="AX312" s="79"/>
      <c r="AY312" s="79"/>
      <c r="AZ312" s="79"/>
      <c r="BA312" s="80" t="str">
        <f t="shared" si="159"/>
        <v>Centro Ampliado</v>
      </c>
      <c r="BB312" s="79" t="s">
        <v>636</v>
      </c>
      <c r="BC312" s="79"/>
      <c r="BD312" s="79"/>
      <c r="BE312" s="79"/>
      <c r="BF312" s="79"/>
      <c r="BG312" s="79"/>
      <c r="BH312" s="80" t="str">
        <f t="shared" si="160"/>
        <v>Teusaquillo</v>
      </c>
      <c r="BI312" s="79" t="s">
        <v>1004</v>
      </c>
      <c r="BJ312" s="79"/>
      <c r="BK312" s="79"/>
      <c r="BL312" s="79"/>
      <c r="BM312" s="79"/>
      <c r="BN312" s="79"/>
      <c r="BO312" s="79"/>
      <c r="BP312" s="79"/>
      <c r="BQ312" s="79"/>
      <c r="BR312" s="79"/>
      <c r="BS312" s="80" t="s">
        <v>288</v>
      </c>
      <c r="BT312" s="80" t="s">
        <v>2352</v>
      </c>
      <c r="BU312" s="89" t="s">
        <v>2353</v>
      </c>
      <c r="BV312" s="71"/>
      <c r="BW312" s="79" t="s">
        <v>153</v>
      </c>
      <c r="BX312" s="79" t="s">
        <v>176</v>
      </c>
      <c r="BY312" s="71"/>
      <c r="BZ312" s="79">
        <v>0</v>
      </c>
      <c r="CA312" s="79">
        <v>3</v>
      </c>
      <c r="CB312" s="79">
        <f t="shared" si="178"/>
        <v>3</v>
      </c>
      <c r="CC312" s="79" t="str">
        <f t="shared" si="194"/>
        <v>No Aplica</v>
      </c>
      <c r="CD312" s="79" t="s">
        <v>177</v>
      </c>
      <c r="CE312" s="79"/>
      <c r="CF312" s="79"/>
      <c r="CG312" s="83" t="s">
        <v>2354</v>
      </c>
      <c r="CH312" s="41"/>
      <c r="CI312" s="79" t="s">
        <v>153</v>
      </c>
      <c r="CJ312" s="71"/>
      <c r="CK312" s="79">
        <f t="shared" si="177"/>
        <v>0</v>
      </c>
      <c r="CL312" s="79"/>
      <c r="CM312" s="79"/>
      <c r="CN312" s="79"/>
      <c r="CO312" s="79"/>
      <c r="CP312" s="79"/>
      <c r="CQ312" s="79"/>
      <c r="CR312" s="83" t="s">
        <v>179</v>
      </c>
      <c r="CS312" s="83" t="s">
        <v>179</v>
      </c>
      <c r="CT312" s="83" t="s">
        <v>179</v>
      </c>
      <c r="CU312" s="83" t="s">
        <v>179</v>
      </c>
      <c r="CV312" s="83" t="s">
        <v>179</v>
      </c>
      <c r="CW312" s="83" t="s">
        <v>179</v>
      </c>
      <c r="CX312" s="79" t="s">
        <v>153</v>
      </c>
      <c r="CY312" s="79">
        <f t="shared" si="198"/>
        <v>0</v>
      </c>
      <c r="CZ312" s="79">
        <v>0</v>
      </c>
      <c r="DA312" s="79">
        <f t="shared" si="199"/>
        <v>0</v>
      </c>
      <c r="DB312" s="84" t="str">
        <f t="shared" si="200"/>
        <v/>
      </c>
      <c r="DC312" s="41"/>
      <c r="DD312" s="79" t="s">
        <v>153</v>
      </c>
      <c r="DE312" s="71"/>
      <c r="DF312" s="85" t="s">
        <v>2355</v>
      </c>
      <c r="DG312" s="79">
        <v>302</v>
      </c>
      <c r="DH312" s="86" t="str">
        <f t="shared" si="191"/>
        <v>Completo</v>
      </c>
      <c r="DI312" s="79" t="s">
        <v>181</v>
      </c>
      <c r="DJ312" s="79" t="s">
        <v>182</v>
      </c>
      <c r="DK312" s="79"/>
      <c r="DL312" s="79">
        <v>0</v>
      </c>
      <c r="DM312" s="79">
        <v>0</v>
      </c>
      <c r="DN312" s="79"/>
      <c r="DO312" s="79"/>
      <c r="DP312" s="79"/>
      <c r="DQ312" s="79"/>
      <c r="DR312" s="75" t="str">
        <f t="shared" si="161"/>
        <v>No aplica</v>
      </c>
      <c r="DS312" s="79"/>
      <c r="DT312" s="79"/>
      <c r="DU312" s="75" t="str">
        <f t="shared" si="162"/>
        <v>No aplica</v>
      </c>
      <c r="DV312" s="79" t="s">
        <v>182</v>
      </c>
      <c r="DW312" s="79" t="s">
        <v>182</v>
      </c>
      <c r="DX312" s="79"/>
      <c r="DY312" s="79"/>
      <c r="DZ312" s="79"/>
      <c r="EA312" s="79"/>
      <c r="EB312" s="79"/>
      <c r="EC312" s="79"/>
      <c r="ED312" s="79" t="s">
        <v>2356</v>
      </c>
      <c r="EE312" s="79" t="str">
        <f t="shared" si="201"/>
        <v>Completo</v>
      </c>
      <c r="EF312" s="41"/>
      <c r="EG312" s="79" t="s">
        <v>153</v>
      </c>
      <c r="EH312" s="71"/>
      <c r="EI312" s="80"/>
      <c r="EJ312" s="71"/>
      <c r="EK312" s="79"/>
      <c r="EL312" s="76" t="str">
        <f t="shared" si="163"/>
        <v>No requiere</v>
      </c>
      <c r="EM312" s="76" t="str">
        <f t="shared" si="164"/>
        <v>No requiere</v>
      </c>
      <c r="EN312" s="76" t="str">
        <f t="shared" si="195"/>
        <v>No requiere</v>
      </c>
      <c r="EO312" s="71"/>
      <c r="EP312" s="73" t="str">
        <f t="shared" si="165"/>
        <v>No requiere</v>
      </c>
      <c r="EQ312" s="77" t="str">
        <f t="shared" si="166"/>
        <v>No requiere</v>
      </c>
      <c r="ER312" s="71"/>
      <c r="ES312" s="79"/>
      <c r="ET312" s="73" t="str">
        <f t="shared" si="167"/>
        <v>No requiere</v>
      </c>
      <c r="EU312" s="73" t="str">
        <f t="shared" si="196"/>
        <v>No requiere</v>
      </c>
      <c r="EV312" s="73" t="str">
        <f t="shared" si="168"/>
        <v>No requiere</v>
      </c>
      <c r="EW312" s="73" t="str">
        <f t="shared" si="169"/>
        <v>No requiere</v>
      </c>
      <c r="EX312" s="78"/>
      <c r="EY312" s="78"/>
    </row>
    <row r="313" spans="1:155" ht="46.5" customHeight="1">
      <c r="A313" s="79" t="str">
        <v/>
      </c>
      <c r="B313" s="80" t="s">
        <v>2357</v>
      </c>
      <c r="C313" s="81">
        <v>45399</v>
      </c>
      <c r="D313" s="82">
        <v>0.66666666666666663</v>
      </c>
      <c r="E313" s="79" t="s">
        <v>151</v>
      </c>
      <c r="F313" s="79" t="s">
        <v>152</v>
      </c>
      <c r="G313" s="79" t="s">
        <v>153</v>
      </c>
      <c r="H313" s="79" t="s">
        <v>152</v>
      </c>
      <c r="I313" s="79" t="s">
        <v>152</v>
      </c>
      <c r="J313" s="79" t="s">
        <v>251</v>
      </c>
      <c r="K313" s="79" t="s">
        <v>202</v>
      </c>
      <c r="L313" s="80" t="s">
        <v>2358</v>
      </c>
      <c r="M313" s="80" t="s">
        <v>157</v>
      </c>
      <c r="N313" s="79" t="s">
        <v>525</v>
      </c>
      <c r="O313" s="80" t="str">
        <f t="shared" si="157"/>
        <v>PENDIENTE</v>
      </c>
      <c r="P313" s="79" t="s">
        <v>196</v>
      </c>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t="s">
        <v>169</v>
      </c>
      <c r="AP313" s="79" t="s">
        <v>170</v>
      </c>
      <c r="AQ313" s="80" t="s">
        <v>2359</v>
      </c>
      <c r="AR313" s="83">
        <v>3138503712</v>
      </c>
      <c r="AS313" s="80" t="s">
        <v>2360</v>
      </c>
      <c r="AT313" s="80" t="str">
        <f t="shared" si="158"/>
        <v>La Candelaria</v>
      </c>
      <c r="AU313" s="79" t="s">
        <v>753</v>
      </c>
      <c r="AV313" s="79"/>
      <c r="AW313" s="79"/>
      <c r="AX313" s="79"/>
      <c r="AY313" s="79"/>
      <c r="AZ313" s="79"/>
      <c r="BA313" s="80" t="str">
        <f t="shared" si="159"/>
        <v>Centro Ampliado</v>
      </c>
      <c r="BB313" s="79" t="s">
        <v>636</v>
      </c>
      <c r="BC313" s="79"/>
      <c r="BD313" s="79"/>
      <c r="BE313" s="79"/>
      <c r="BF313" s="79"/>
      <c r="BG313" s="79"/>
      <c r="BH313" s="80" t="str">
        <f t="shared" si="160"/>
        <v>Centro Histórico</v>
      </c>
      <c r="BI313" s="79" t="s">
        <v>754</v>
      </c>
      <c r="BJ313" s="79"/>
      <c r="BK313" s="79"/>
      <c r="BL313" s="79"/>
      <c r="BM313" s="79"/>
      <c r="BN313" s="79"/>
      <c r="BO313" s="79"/>
      <c r="BP313" s="79"/>
      <c r="BQ313" s="79"/>
      <c r="BR313" s="79"/>
      <c r="BS313" s="80" t="s">
        <v>2361</v>
      </c>
      <c r="BT313" s="80" t="s">
        <v>2362</v>
      </c>
      <c r="BU313" s="89" t="s">
        <v>2363</v>
      </c>
      <c r="BV313" s="71"/>
      <c r="BW313" s="79" t="s">
        <v>153</v>
      </c>
      <c r="BX313" s="79" t="s">
        <v>176</v>
      </c>
      <c r="BY313" s="71"/>
      <c r="BZ313" s="79">
        <v>1</v>
      </c>
      <c r="CA313" s="79">
        <v>5</v>
      </c>
      <c r="CB313" s="79">
        <f t="shared" si="178"/>
        <v>6</v>
      </c>
      <c r="CC313" s="79" t="str">
        <f t="shared" si="194"/>
        <v>No Aplica</v>
      </c>
      <c r="CD313" s="79" t="s">
        <v>177</v>
      </c>
      <c r="CE313" s="79"/>
      <c r="CF313" s="79"/>
      <c r="CG313" s="83" t="s">
        <v>2364</v>
      </c>
      <c r="CH313" s="41"/>
      <c r="CI313" s="79" t="s">
        <v>153</v>
      </c>
      <c r="CJ313" s="71"/>
      <c r="CK313" s="79">
        <f t="shared" si="177"/>
        <v>0</v>
      </c>
      <c r="CL313" s="79"/>
      <c r="CM313" s="79"/>
      <c r="CN313" s="79"/>
      <c r="CO313" s="79"/>
      <c r="CP313" s="79"/>
      <c r="CQ313" s="79"/>
      <c r="CR313" s="83" t="s">
        <v>179</v>
      </c>
      <c r="CS313" s="83" t="s">
        <v>179</v>
      </c>
      <c r="CT313" s="83" t="s">
        <v>179</v>
      </c>
      <c r="CU313" s="83" t="s">
        <v>179</v>
      </c>
      <c r="CV313" s="83" t="s">
        <v>179</v>
      </c>
      <c r="CW313" s="83" t="s">
        <v>179</v>
      </c>
      <c r="CX313" s="79" t="s">
        <v>153</v>
      </c>
      <c r="CY313" s="79">
        <f t="shared" si="198"/>
        <v>0</v>
      </c>
      <c r="CZ313" s="79">
        <v>0</v>
      </c>
      <c r="DA313" s="79">
        <f t="shared" si="199"/>
        <v>0</v>
      </c>
      <c r="DB313" s="84" t="str">
        <f t="shared" si="200"/>
        <v/>
      </c>
      <c r="DC313" s="41"/>
      <c r="DD313" s="79" t="s">
        <v>153</v>
      </c>
      <c r="DE313" s="71"/>
      <c r="DF313" s="85" t="s">
        <v>2365</v>
      </c>
      <c r="DG313" s="79">
        <v>303</v>
      </c>
      <c r="DH313" s="86" t="str">
        <f t="shared" si="191"/>
        <v>Completo</v>
      </c>
      <c r="DI313" s="79" t="s">
        <v>181</v>
      </c>
      <c r="DJ313" s="79" t="s">
        <v>182</v>
      </c>
      <c r="DK313" s="79"/>
      <c r="DL313" s="79">
        <v>0</v>
      </c>
      <c r="DM313" s="79">
        <v>0</v>
      </c>
      <c r="DN313" s="79"/>
      <c r="DO313" s="79"/>
      <c r="DP313" s="79"/>
      <c r="DQ313" s="79"/>
      <c r="DR313" s="75" t="str">
        <f t="shared" si="161"/>
        <v>No aplica</v>
      </c>
      <c r="DS313" s="79"/>
      <c r="DT313" s="79"/>
      <c r="DU313" s="75" t="str">
        <f t="shared" si="162"/>
        <v>No aplica</v>
      </c>
      <c r="DV313" s="79" t="s">
        <v>182</v>
      </c>
      <c r="DW313" s="79" t="s">
        <v>182</v>
      </c>
      <c r="DX313" s="79"/>
      <c r="DY313" s="79"/>
      <c r="DZ313" s="79"/>
      <c r="EA313" s="79"/>
      <c r="EB313" s="79" t="s">
        <v>182</v>
      </c>
      <c r="EC313" s="79" t="s">
        <v>2366</v>
      </c>
      <c r="ED313" s="79" t="s">
        <v>184</v>
      </c>
      <c r="EE313" s="79" t="str">
        <f t="shared" si="201"/>
        <v>Completo</v>
      </c>
      <c r="EF313" s="41"/>
      <c r="EG313" s="79" t="s">
        <v>153</v>
      </c>
      <c r="EH313" s="71"/>
      <c r="EI313" s="80"/>
      <c r="EJ313" s="71"/>
      <c r="EK313" s="79"/>
      <c r="EL313" s="76" t="str">
        <f t="shared" si="163"/>
        <v>No requiere</v>
      </c>
      <c r="EM313" s="76" t="str">
        <f t="shared" si="164"/>
        <v>No requiere</v>
      </c>
      <c r="EN313" s="76" t="str">
        <f t="shared" si="195"/>
        <v>No requiere</v>
      </c>
      <c r="EO313" s="71"/>
      <c r="EP313" s="73" t="str">
        <f t="shared" si="165"/>
        <v>No requiere</v>
      </c>
      <c r="EQ313" s="77" t="str">
        <f t="shared" si="166"/>
        <v>No requiere</v>
      </c>
      <c r="ER313" s="71"/>
      <c r="ES313" s="79"/>
      <c r="ET313" s="73" t="str">
        <f t="shared" si="167"/>
        <v>No requiere</v>
      </c>
      <c r="EU313" s="73" t="str">
        <f t="shared" si="196"/>
        <v>No requiere</v>
      </c>
      <c r="EV313" s="73" t="str">
        <f t="shared" si="168"/>
        <v>No requiere</v>
      </c>
      <c r="EW313" s="73" t="str">
        <f t="shared" si="169"/>
        <v>No requiere</v>
      </c>
      <c r="EX313" s="78"/>
      <c r="EY313" s="78"/>
    </row>
    <row r="314" spans="1:155" ht="46.5" customHeight="1">
      <c r="A314" s="79" t="str">
        <v/>
      </c>
      <c r="B314" s="80" t="s">
        <v>2367</v>
      </c>
      <c r="C314" s="81">
        <v>45399</v>
      </c>
      <c r="D314" s="82">
        <v>0.66666666666666663</v>
      </c>
      <c r="E314" s="79" t="s">
        <v>151</v>
      </c>
      <c r="F314" s="79" t="s">
        <v>152</v>
      </c>
      <c r="G314" s="79" t="s">
        <v>153</v>
      </c>
      <c r="H314" s="79" t="s">
        <v>152</v>
      </c>
      <c r="I314" s="79" t="s">
        <v>152</v>
      </c>
      <c r="J314" s="79" t="s">
        <v>251</v>
      </c>
      <c r="K314" s="79" t="s">
        <v>202</v>
      </c>
      <c r="L314" s="80" t="s">
        <v>2368</v>
      </c>
      <c r="M314" s="80" t="s">
        <v>157</v>
      </c>
      <c r="N314" s="79" t="s">
        <v>645</v>
      </c>
      <c r="O314" s="80" t="str">
        <f t="shared" si="157"/>
        <v>PENDIENTE, PENDIENTE</v>
      </c>
      <c r="P314" s="79" t="s">
        <v>196</v>
      </c>
      <c r="Q314" s="79" t="s">
        <v>196</v>
      </c>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t="s">
        <v>169</v>
      </c>
      <c r="AP314" s="79" t="s">
        <v>170</v>
      </c>
      <c r="AQ314" s="80" t="s">
        <v>2369</v>
      </c>
      <c r="AR314" s="83">
        <v>3202206332</v>
      </c>
      <c r="AS314" s="80" t="s">
        <v>2370</v>
      </c>
      <c r="AT314" s="80" t="str">
        <f t="shared" si="158"/>
        <v>Usme</v>
      </c>
      <c r="AU314" s="79" t="s">
        <v>1009</v>
      </c>
      <c r="AV314" s="79"/>
      <c r="AW314" s="79"/>
      <c r="AX314" s="79"/>
      <c r="AY314" s="79"/>
      <c r="AZ314" s="79"/>
      <c r="BA314" s="80" t="str">
        <f t="shared" si="159"/>
        <v>Suroriente, Ruralidad</v>
      </c>
      <c r="BB314" s="79" t="s">
        <v>218</v>
      </c>
      <c r="BC314" s="79" t="s">
        <v>219</v>
      </c>
      <c r="BD314" s="79"/>
      <c r="BE314" s="79"/>
      <c r="BF314" s="79"/>
      <c r="BG314" s="79"/>
      <c r="BH314" s="80" t="str">
        <f t="shared" si="160"/>
        <v>Rafael Uribe, Usme Entrenubes, Cuenca del Tunjuelo, Cerros Orientales</v>
      </c>
      <c r="BI314" s="79" t="s">
        <v>723</v>
      </c>
      <c r="BJ314" s="79" t="s">
        <v>1010</v>
      </c>
      <c r="BK314" s="79" t="s">
        <v>222</v>
      </c>
      <c r="BL314" s="79" t="s">
        <v>361</v>
      </c>
      <c r="BM314" s="79"/>
      <c r="BN314" s="79"/>
      <c r="BO314" s="79"/>
      <c r="BP314" s="79"/>
      <c r="BQ314" s="79"/>
      <c r="BR314" s="79"/>
      <c r="BS314" s="80" t="s">
        <v>2371</v>
      </c>
      <c r="BT314" s="80" t="s">
        <v>2372</v>
      </c>
      <c r="BU314" s="89" t="s">
        <v>2373</v>
      </c>
      <c r="BV314" s="71"/>
      <c r="BW314" s="79" t="s">
        <v>153</v>
      </c>
      <c r="BX314" s="79" t="s">
        <v>176</v>
      </c>
      <c r="BY314" s="71"/>
      <c r="BZ314" s="79">
        <v>2</v>
      </c>
      <c r="CA314" s="79">
        <v>4</v>
      </c>
      <c r="CB314" s="79">
        <f t="shared" si="178"/>
        <v>6</v>
      </c>
      <c r="CC314" s="79" t="str">
        <f t="shared" si="194"/>
        <v>No Aplica</v>
      </c>
      <c r="CD314" s="79" t="s">
        <v>177</v>
      </c>
      <c r="CE314" s="79"/>
      <c r="CF314" s="79"/>
      <c r="CG314" s="83" t="s">
        <v>2374</v>
      </c>
      <c r="CH314" s="41"/>
      <c r="CI314" s="79" t="s">
        <v>153</v>
      </c>
      <c r="CJ314" s="71"/>
      <c r="CK314" s="79">
        <f t="shared" si="177"/>
        <v>0</v>
      </c>
      <c r="CL314" s="79"/>
      <c r="CM314" s="79"/>
      <c r="CN314" s="79"/>
      <c r="CO314" s="79"/>
      <c r="CP314" s="79"/>
      <c r="CQ314" s="79"/>
      <c r="CR314" s="83" t="s">
        <v>179</v>
      </c>
      <c r="CS314" s="83" t="s">
        <v>179</v>
      </c>
      <c r="CT314" s="83" t="s">
        <v>179</v>
      </c>
      <c r="CU314" s="83" t="s">
        <v>179</v>
      </c>
      <c r="CV314" s="83" t="s">
        <v>179</v>
      </c>
      <c r="CW314" s="83" t="s">
        <v>179</v>
      </c>
      <c r="CX314" s="79" t="s">
        <v>153</v>
      </c>
      <c r="CY314" s="79">
        <f t="shared" si="198"/>
        <v>0</v>
      </c>
      <c r="CZ314" s="79">
        <v>0</v>
      </c>
      <c r="DA314" s="79">
        <f t="shared" si="199"/>
        <v>0</v>
      </c>
      <c r="DB314" s="84" t="str">
        <f t="shared" si="200"/>
        <v/>
      </c>
      <c r="DC314" s="41"/>
      <c r="DD314" s="79" t="s">
        <v>153</v>
      </c>
      <c r="DE314" s="71"/>
      <c r="DF314" s="85" t="s">
        <v>2375</v>
      </c>
      <c r="DG314" s="79">
        <v>304</v>
      </c>
      <c r="DH314" s="86" t="str">
        <f t="shared" si="191"/>
        <v>Completo</v>
      </c>
      <c r="DI314" s="79" t="s">
        <v>181</v>
      </c>
      <c r="DJ314" s="79" t="s">
        <v>182</v>
      </c>
      <c r="DK314" s="79"/>
      <c r="DL314" s="79">
        <v>0</v>
      </c>
      <c r="DM314" s="79">
        <v>0</v>
      </c>
      <c r="DN314" s="79" t="s">
        <v>182</v>
      </c>
      <c r="DO314" s="79"/>
      <c r="DP314" s="79"/>
      <c r="DQ314" s="79"/>
      <c r="DR314" s="75" t="str">
        <f t="shared" si="161"/>
        <v>No aplica</v>
      </c>
      <c r="DS314" s="79"/>
      <c r="DT314" s="79"/>
      <c r="DU314" s="75" t="str">
        <f t="shared" si="162"/>
        <v>No aplica</v>
      </c>
      <c r="DV314" s="79" t="s">
        <v>182</v>
      </c>
      <c r="DW314" s="79" t="s">
        <v>182</v>
      </c>
      <c r="DX314" s="79"/>
      <c r="DY314" s="79"/>
      <c r="DZ314" s="79"/>
      <c r="EA314" s="79"/>
      <c r="EB314" s="79" t="s">
        <v>182</v>
      </c>
      <c r="EC314" s="79" t="s">
        <v>1955</v>
      </c>
      <c r="ED314" s="79" t="s">
        <v>2376</v>
      </c>
      <c r="EE314" s="79" t="str">
        <f t="shared" si="201"/>
        <v>Completo</v>
      </c>
      <c r="EF314" s="41"/>
      <c r="EG314" s="79" t="s">
        <v>153</v>
      </c>
      <c r="EH314" s="71"/>
      <c r="EI314" s="80"/>
      <c r="EJ314" s="71"/>
      <c r="EK314" s="79"/>
      <c r="EL314" s="76" t="str">
        <f t="shared" si="163"/>
        <v>No requiere</v>
      </c>
      <c r="EM314" s="76" t="str">
        <f t="shared" si="164"/>
        <v>No requiere</v>
      </c>
      <c r="EN314" s="76" t="str">
        <f t="shared" si="195"/>
        <v>No requiere</v>
      </c>
      <c r="EO314" s="71"/>
      <c r="EP314" s="73" t="str">
        <f t="shared" si="165"/>
        <v>No requiere</v>
      </c>
      <c r="EQ314" s="77" t="str">
        <f t="shared" si="166"/>
        <v>No requiere</v>
      </c>
      <c r="ER314" s="71"/>
      <c r="ES314" s="79"/>
      <c r="ET314" s="73" t="str">
        <f t="shared" si="167"/>
        <v>No requiere</v>
      </c>
      <c r="EU314" s="73" t="str">
        <f t="shared" si="196"/>
        <v>No requiere</v>
      </c>
      <c r="EV314" s="73" t="str">
        <f t="shared" si="168"/>
        <v>No requiere</v>
      </c>
      <c r="EW314" s="73" t="str">
        <f t="shared" si="169"/>
        <v>No requiere</v>
      </c>
      <c r="EX314" s="78"/>
      <c r="EY314" s="78"/>
    </row>
    <row r="315" spans="1:155" ht="46.5" customHeight="1">
      <c r="A315" s="79" t="str">
        <v/>
      </c>
      <c r="B315" s="80" t="s">
        <v>2377</v>
      </c>
      <c r="C315" s="81">
        <v>45399</v>
      </c>
      <c r="D315" s="82">
        <v>0.70833333333333337</v>
      </c>
      <c r="E315" s="79" t="s">
        <v>151</v>
      </c>
      <c r="F315" s="79" t="s">
        <v>152</v>
      </c>
      <c r="G315" s="79" t="s">
        <v>153</v>
      </c>
      <c r="H315" s="79" t="s">
        <v>152</v>
      </c>
      <c r="I315" s="79" t="s">
        <v>152</v>
      </c>
      <c r="J315" s="79" t="s">
        <v>251</v>
      </c>
      <c r="K315" s="79" t="s">
        <v>202</v>
      </c>
      <c r="L315" s="80" t="s">
        <v>2378</v>
      </c>
      <c r="M315" s="80" t="s">
        <v>157</v>
      </c>
      <c r="N315" s="79" t="s">
        <v>820</v>
      </c>
      <c r="O315" s="80" t="str">
        <f t="shared" si="157"/>
        <v/>
      </c>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t="s">
        <v>169</v>
      </c>
      <c r="AP315" s="79" t="s">
        <v>170</v>
      </c>
      <c r="AQ315" s="80" t="s">
        <v>2379</v>
      </c>
      <c r="AR315" s="83" t="s">
        <v>2379</v>
      </c>
      <c r="AS315" s="80" t="s">
        <v>2379</v>
      </c>
      <c r="AT315" s="80" t="str">
        <f t="shared" si="158"/>
        <v>Barrios Unidos</v>
      </c>
      <c r="AU315" s="79" t="s">
        <v>1031</v>
      </c>
      <c r="AV315" s="79"/>
      <c r="AW315" s="79"/>
      <c r="AX315" s="79"/>
      <c r="AY315" s="79"/>
      <c r="AZ315" s="79"/>
      <c r="BA315" s="80" t="str">
        <f t="shared" si="159"/>
        <v>Centro Ampliado</v>
      </c>
      <c r="BB315" s="79" t="s">
        <v>636</v>
      </c>
      <c r="BC315" s="79"/>
      <c r="BD315" s="79"/>
      <c r="BE315" s="79"/>
      <c r="BF315" s="79"/>
      <c r="BG315" s="79"/>
      <c r="BH315" s="80" t="str">
        <f t="shared" si="160"/>
        <v>Barrios Unidos</v>
      </c>
      <c r="BI315" s="79" t="s">
        <v>1031</v>
      </c>
      <c r="BJ315" s="79"/>
      <c r="BK315" s="79"/>
      <c r="BL315" s="79"/>
      <c r="BM315" s="79"/>
      <c r="BN315" s="79"/>
      <c r="BO315" s="79"/>
      <c r="BP315" s="79"/>
      <c r="BQ315" s="79"/>
      <c r="BR315" s="79"/>
      <c r="BS315" s="80" t="s">
        <v>2380</v>
      </c>
      <c r="BT315" s="80" t="s">
        <v>174</v>
      </c>
      <c r="BU315" s="89" t="s">
        <v>2381</v>
      </c>
      <c r="BV315" s="71"/>
      <c r="BW315" s="79" t="s">
        <v>153</v>
      </c>
      <c r="BX315" s="79" t="s">
        <v>176</v>
      </c>
      <c r="BY315" s="71"/>
      <c r="BZ315" s="79">
        <v>4</v>
      </c>
      <c r="CA315" s="79">
        <v>5</v>
      </c>
      <c r="CB315" s="79">
        <f t="shared" si="178"/>
        <v>9</v>
      </c>
      <c r="CC315" s="79" t="str">
        <f t="shared" si="194"/>
        <v>No Aplica</v>
      </c>
      <c r="CD315" s="79" t="s">
        <v>177</v>
      </c>
      <c r="CE315" s="79"/>
      <c r="CF315" s="79"/>
      <c r="CG315" s="83" t="s">
        <v>2382</v>
      </c>
      <c r="CH315" s="41"/>
      <c r="CI315" s="79" t="s">
        <v>153</v>
      </c>
      <c r="CJ315" s="71"/>
      <c r="CK315" s="79">
        <f t="shared" si="177"/>
        <v>0</v>
      </c>
      <c r="CL315" s="79"/>
      <c r="CM315" s="79"/>
      <c r="CN315" s="79"/>
      <c r="CO315" s="79"/>
      <c r="CP315" s="79"/>
      <c r="CQ315" s="79"/>
      <c r="CR315" s="83" t="s">
        <v>179</v>
      </c>
      <c r="CS315" s="83" t="s">
        <v>179</v>
      </c>
      <c r="CT315" s="83" t="s">
        <v>179</v>
      </c>
      <c r="CU315" s="83" t="s">
        <v>179</v>
      </c>
      <c r="CV315" s="83" t="s">
        <v>179</v>
      </c>
      <c r="CW315" s="83" t="s">
        <v>179</v>
      </c>
      <c r="CX315" s="79" t="s">
        <v>153</v>
      </c>
      <c r="CY315" s="79">
        <f t="shared" si="198"/>
        <v>0</v>
      </c>
      <c r="CZ315" s="79">
        <v>0</v>
      </c>
      <c r="DA315" s="79">
        <f t="shared" si="199"/>
        <v>0</v>
      </c>
      <c r="DB315" s="84"/>
      <c r="DC315" s="41"/>
      <c r="DD315" s="79" t="s">
        <v>153</v>
      </c>
      <c r="DE315" s="71"/>
      <c r="DF315" s="85" t="s">
        <v>2383</v>
      </c>
      <c r="DG315" s="79">
        <v>305</v>
      </c>
      <c r="DH315" s="86" t="str">
        <f t="shared" si="191"/>
        <v>Completo</v>
      </c>
      <c r="DI315" s="79" t="s">
        <v>181</v>
      </c>
      <c r="DJ315" s="79" t="s">
        <v>182</v>
      </c>
      <c r="DK315" s="79"/>
      <c r="DL315" s="79"/>
      <c r="DM315" s="79"/>
      <c r="DN315" s="79"/>
      <c r="DO315" s="79"/>
      <c r="DP315" s="79"/>
      <c r="DQ315" s="79"/>
      <c r="DR315" s="75" t="str">
        <f t="shared" si="161"/>
        <v>No aplica</v>
      </c>
      <c r="DS315" s="79"/>
      <c r="DT315" s="79"/>
      <c r="DU315" s="75" t="str">
        <f t="shared" si="162"/>
        <v>No aplica</v>
      </c>
      <c r="DV315" s="79" t="s">
        <v>182</v>
      </c>
      <c r="DW315" s="79" t="s">
        <v>182</v>
      </c>
      <c r="DX315" s="79"/>
      <c r="DY315" s="79"/>
      <c r="DZ315" s="79"/>
      <c r="EA315" s="79"/>
      <c r="EB315" s="79" t="s">
        <v>182</v>
      </c>
      <c r="EC315" s="79" t="s">
        <v>2384</v>
      </c>
      <c r="ED315" s="79" t="s">
        <v>2385</v>
      </c>
      <c r="EE315" s="79" t="str">
        <f t="shared" si="201"/>
        <v>Completo</v>
      </c>
      <c r="EF315" s="41"/>
      <c r="EG315" s="79" t="s">
        <v>153</v>
      </c>
      <c r="EH315" s="71"/>
      <c r="EI315" s="80"/>
      <c r="EJ315" s="71"/>
      <c r="EK315" s="79"/>
      <c r="EL315" s="76" t="str">
        <f t="shared" si="163"/>
        <v>No requiere</v>
      </c>
      <c r="EM315" s="76" t="str">
        <f t="shared" si="164"/>
        <v>No requiere</v>
      </c>
      <c r="EN315" s="76" t="str">
        <f t="shared" si="195"/>
        <v>No requiere</v>
      </c>
      <c r="EO315" s="71"/>
      <c r="EP315" s="73" t="str">
        <f t="shared" si="165"/>
        <v>No requiere</v>
      </c>
      <c r="EQ315" s="77" t="str">
        <f t="shared" si="166"/>
        <v>No requiere</v>
      </c>
      <c r="ER315" s="71"/>
      <c r="ES315" s="79"/>
      <c r="ET315" s="73" t="str">
        <f t="shared" si="167"/>
        <v>No requiere</v>
      </c>
      <c r="EU315" s="73" t="str">
        <f t="shared" si="196"/>
        <v>No requiere</v>
      </c>
      <c r="EV315" s="73" t="str">
        <f t="shared" si="168"/>
        <v>No requiere</v>
      </c>
      <c r="EW315" s="73" t="str">
        <f t="shared" si="169"/>
        <v>No requiere</v>
      </c>
      <c r="EX315" s="78"/>
      <c r="EY315" s="78"/>
    </row>
    <row r="316" spans="1:155" ht="46.5" customHeight="1">
      <c r="A316" s="79" t="str">
        <v/>
      </c>
      <c r="B316" s="80" t="s">
        <v>2386</v>
      </c>
      <c r="C316" s="81">
        <v>45399</v>
      </c>
      <c r="D316" s="82">
        <v>0.70833333333333337</v>
      </c>
      <c r="E316" s="79" t="s">
        <v>151</v>
      </c>
      <c r="F316" s="79" t="s">
        <v>152</v>
      </c>
      <c r="G316" s="79" t="s">
        <v>153</v>
      </c>
      <c r="H316" s="79" t="s">
        <v>152</v>
      </c>
      <c r="I316" s="79" t="s">
        <v>152</v>
      </c>
      <c r="J316" s="79" t="s">
        <v>251</v>
      </c>
      <c r="K316" s="79" t="s">
        <v>202</v>
      </c>
      <c r="L316" s="80" t="s">
        <v>2248</v>
      </c>
      <c r="M316" s="80" t="s">
        <v>157</v>
      </c>
      <c r="N316" s="79" t="s">
        <v>965</v>
      </c>
      <c r="O316" s="80" t="str">
        <f t="shared" si="157"/>
        <v/>
      </c>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t="s">
        <v>169</v>
      </c>
      <c r="AP316" s="79" t="s">
        <v>170</v>
      </c>
      <c r="AQ316" s="80" t="s">
        <v>2379</v>
      </c>
      <c r="AR316" s="83" t="s">
        <v>2379</v>
      </c>
      <c r="AS316" s="80" t="s">
        <v>2379</v>
      </c>
      <c r="AT316" s="80" t="str">
        <f t="shared" si="158"/>
        <v>Puente Aranda</v>
      </c>
      <c r="AU316" s="79" t="s">
        <v>1235</v>
      </c>
      <c r="AV316" s="79"/>
      <c r="AW316" s="79"/>
      <c r="AX316" s="79"/>
      <c r="AY316" s="79"/>
      <c r="AZ316" s="79"/>
      <c r="BA316" s="80" t="str">
        <f t="shared" si="159"/>
        <v>Centro Ampliado</v>
      </c>
      <c r="BB316" s="79" t="s">
        <v>636</v>
      </c>
      <c r="BC316" s="79"/>
      <c r="BD316" s="79"/>
      <c r="BE316" s="79"/>
      <c r="BF316" s="79"/>
      <c r="BG316" s="79"/>
      <c r="BH316" s="80" t="str">
        <f t="shared" si="160"/>
        <v>Puente Aranda</v>
      </c>
      <c r="BI316" s="79" t="s">
        <v>1235</v>
      </c>
      <c r="BJ316" s="79"/>
      <c r="BK316" s="79"/>
      <c r="BL316" s="79"/>
      <c r="BM316" s="79"/>
      <c r="BN316" s="79"/>
      <c r="BO316" s="79"/>
      <c r="BP316" s="79"/>
      <c r="BQ316" s="79"/>
      <c r="BR316" s="79"/>
      <c r="BS316" s="80" t="s">
        <v>1235</v>
      </c>
      <c r="BT316" s="80" t="s">
        <v>174</v>
      </c>
      <c r="BU316" s="89" t="s">
        <v>2387</v>
      </c>
      <c r="BV316" s="71"/>
      <c r="BW316" s="79" t="s">
        <v>153</v>
      </c>
      <c r="BX316" s="79" t="s">
        <v>176</v>
      </c>
      <c r="BY316" s="71"/>
      <c r="BZ316" s="79">
        <v>2</v>
      </c>
      <c r="CA316" s="79">
        <v>1</v>
      </c>
      <c r="CB316" s="79">
        <f t="shared" si="178"/>
        <v>3</v>
      </c>
      <c r="CC316" s="79" t="str">
        <f t="shared" si="194"/>
        <v>No Aplica</v>
      </c>
      <c r="CD316" s="79" t="s">
        <v>177</v>
      </c>
      <c r="CE316" s="79"/>
      <c r="CF316" s="79"/>
      <c r="CG316" s="83" t="s">
        <v>2388</v>
      </c>
      <c r="CH316" s="41"/>
      <c r="CI316" s="79" t="s">
        <v>153</v>
      </c>
      <c r="CJ316" s="71"/>
      <c r="CK316" s="79">
        <f t="shared" si="177"/>
        <v>0</v>
      </c>
      <c r="CL316" s="79"/>
      <c r="CM316" s="79"/>
      <c r="CN316" s="79"/>
      <c r="CO316" s="79"/>
      <c r="CP316" s="79"/>
      <c r="CQ316" s="79"/>
      <c r="CR316" s="83" t="s">
        <v>179</v>
      </c>
      <c r="CS316" s="83" t="s">
        <v>179</v>
      </c>
      <c r="CT316" s="83" t="s">
        <v>179</v>
      </c>
      <c r="CU316" s="83" t="s">
        <v>179</v>
      </c>
      <c r="CV316" s="83" t="s">
        <v>179</v>
      </c>
      <c r="CW316" s="83" t="s">
        <v>179</v>
      </c>
      <c r="CX316" s="79" t="s">
        <v>153</v>
      </c>
      <c r="CY316" s="79">
        <f t="shared" si="198"/>
        <v>0</v>
      </c>
      <c r="CZ316" s="79">
        <v>0</v>
      </c>
      <c r="DA316" s="79">
        <f t="shared" si="199"/>
        <v>0</v>
      </c>
      <c r="DB316" s="84" t="str">
        <f t="shared" ref="DB316:DB321" si="202">IFERROR(CY316/CK316,"")</f>
        <v/>
      </c>
      <c r="DC316" s="41"/>
      <c r="DD316" s="79" t="s">
        <v>153</v>
      </c>
      <c r="DE316" s="71"/>
      <c r="DF316" s="85" t="s">
        <v>2389</v>
      </c>
      <c r="DG316" s="79">
        <v>306</v>
      </c>
      <c r="DH316" s="86" t="str">
        <f t="shared" si="191"/>
        <v>Completo</v>
      </c>
      <c r="DI316" s="79" t="s">
        <v>181</v>
      </c>
      <c r="DJ316" s="79" t="s">
        <v>182</v>
      </c>
      <c r="DK316" s="79"/>
      <c r="DL316" s="79">
        <v>0</v>
      </c>
      <c r="DM316" s="79">
        <v>0</v>
      </c>
      <c r="DN316" s="79"/>
      <c r="DO316" s="79"/>
      <c r="DP316" s="79"/>
      <c r="DQ316" s="79"/>
      <c r="DR316" s="75" t="str">
        <f t="shared" si="161"/>
        <v>No aplica</v>
      </c>
      <c r="DS316" s="79"/>
      <c r="DT316" s="79"/>
      <c r="DU316" s="75" t="str">
        <f t="shared" si="162"/>
        <v>No aplica</v>
      </c>
      <c r="DV316" s="79" t="s">
        <v>182</v>
      </c>
      <c r="DW316" s="79" t="s">
        <v>182</v>
      </c>
      <c r="DX316" s="79"/>
      <c r="DY316" s="79"/>
      <c r="DZ316" s="79"/>
      <c r="EA316" s="79"/>
      <c r="EB316" s="79" t="s">
        <v>182</v>
      </c>
      <c r="EC316" s="79" t="s">
        <v>2252</v>
      </c>
      <c r="ED316" s="79" t="s">
        <v>2253</v>
      </c>
      <c r="EE316" s="79" t="str">
        <f t="shared" si="201"/>
        <v>Completo</v>
      </c>
      <c r="EF316" s="41"/>
      <c r="EG316" s="79" t="s">
        <v>153</v>
      </c>
      <c r="EH316" s="71"/>
      <c r="EI316" s="80"/>
      <c r="EJ316" s="71"/>
      <c r="EK316" s="79"/>
      <c r="EL316" s="76" t="str">
        <f t="shared" si="163"/>
        <v>No requiere</v>
      </c>
      <c r="EM316" s="76" t="str">
        <f t="shared" si="164"/>
        <v>No requiere</v>
      </c>
      <c r="EN316" s="76" t="str">
        <f t="shared" si="195"/>
        <v>No requiere</v>
      </c>
      <c r="EO316" s="71"/>
      <c r="EP316" s="73" t="str">
        <f t="shared" si="165"/>
        <v>No requiere</v>
      </c>
      <c r="EQ316" s="77" t="str">
        <f t="shared" si="166"/>
        <v>No requiere</v>
      </c>
      <c r="ER316" s="71"/>
      <c r="ES316" s="79"/>
      <c r="ET316" s="73" t="str">
        <f t="shared" si="167"/>
        <v>No requiere</v>
      </c>
      <c r="EU316" s="73" t="str">
        <f t="shared" si="196"/>
        <v>No requiere</v>
      </c>
      <c r="EV316" s="73" t="str">
        <f t="shared" si="168"/>
        <v>No requiere</v>
      </c>
      <c r="EW316" s="73" t="str">
        <f t="shared" si="169"/>
        <v>No requiere</v>
      </c>
      <c r="EX316" s="78"/>
      <c r="EY316" s="78"/>
    </row>
    <row r="317" spans="1:155" ht="46.5" customHeight="1">
      <c r="A317" s="79" t="str">
        <v/>
      </c>
      <c r="B317" s="80" t="s">
        <v>2390</v>
      </c>
      <c r="C317" s="81">
        <v>45399</v>
      </c>
      <c r="D317" s="82">
        <v>0.75</v>
      </c>
      <c r="E317" s="79" t="s">
        <v>151</v>
      </c>
      <c r="F317" s="79" t="s">
        <v>152</v>
      </c>
      <c r="G317" s="79" t="s">
        <v>153</v>
      </c>
      <c r="H317" s="79" t="s">
        <v>152</v>
      </c>
      <c r="I317" s="79" t="s">
        <v>152</v>
      </c>
      <c r="J317" s="79" t="s">
        <v>251</v>
      </c>
      <c r="K317" s="79" t="s">
        <v>202</v>
      </c>
      <c r="L317" s="80" t="s">
        <v>2391</v>
      </c>
      <c r="M317" s="80" t="s">
        <v>157</v>
      </c>
      <c r="N317" s="79" t="s">
        <v>818</v>
      </c>
      <c r="O317" s="80" t="str">
        <f t="shared" si="157"/>
        <v/>
      </c>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t="s">
        <v>169</v>
      </c>
      <c r="AP317" s="79" t="s">
        <v>170</v>
      </c>
      <c r="AQ317" s="80" t="s">
        <v>2379</v>
      </c>
      <c r="AR317" s="83" t="s">
        <v>2379</v>
      </c>
      <c r="AS317" s="80" t="s">
        <v>2379</v>
      </c>
      <c r="AT317" s="80" t="str">
        <f t="shared" si="158"/>
        <v>Chapinero</v>
      </c>
      <c r="AU317" s="79" t="s">
        <v>360</v>
      </c>
      <c r="AV317" s="79"/>
      <c r="AW317" s="79"/>
      <c r="AX317" s="79"/>
      <c r="AY317" s="79"/>
      <c r="AZ317" s="79"/>
      <c r="BA317" s="80" t="str">
        <f t="shared" si="159"/>
        <v>Centro Ampliado</v>
      </c>
      <c r="BB317" s="79" t="s">
        <v>636</v>
      </c>
      <c r="BC317" s="79"/>
      <c r="BD317" s="79"/>
      <c r="BE317" s="79"/>
      <c r="BF317" s="79"/>
      <c r="BG317" s="79"/>
      <c r="BH317" s="80" t="str">
        <f t="shared" si="160"/>
        <v>Chapinero, Centro Histórico</v>
      </c>
      <c r="BI317" s="79" t="s">
        <v>360</v>
      </c>
      <c r="BJ317" s="79" t="s">
        <v>754</v>
      </c>
      <c r="BK317" s="79"/>
      <c r="BL317" s="79"/>
      <c r="BM317" s="79"/>
      <c r="BN317" s="79"/>
      <c r="BO317" s="79"/>
      <c r="BP317" s="79"/>
      <c r="BQ317" s="79"/>
      <c r="BR317" s="79"/>
      <c r="BS317" s="80" t="s">
        <v>360</v>
      </c>
      <c r="BT317" s="80" t="s">
        <v>174</v>
      </c>
      <c r="BU317" s="89" t="s">
        <v>2392</v>
      </c>
      <c r="BV317" s="71"/>
      <c r="BW317" s="79" t="s">
        <v>153</v>
      </c>
      <c r="BX317" s="79" t="s">
        <v>176</v>
      </c>
      <c r="BY317" s="71"/>
      <c r="BZ317" s="79">
        <v>3</v>
      </c>
      <c r="CA317" s="79">
        <v>4</v>
      </c>
      <c r="CB317" s="79">
        <f t="shared" si="178"/>
        <v>7</v>
      </c>
      <c r="CC317" s="79" t="str">
        <f t="shared" si="194"/>
        <v>No Aplica</v>
      </c>
      <c r="CD317" s="79" t="s">
        <v>177</v>
      </c>
      <c r="CE317" s="79"/>
      <c r="CF317" s="79"/>
      <c r="CG317" s="83" t="s">
        <v>2393</v>
      </c>
      <c r="CH317" s="41"/>
      <c r="CI317" s="79" t="s">
        <v>153</v>
      </c>
      <c r="CJ317" s="71"/>
      <c r="CK317" s="79">
        <f t="shared" si="177"/>
        <v>0</v>
      </c>
      <c r="CL317" s="79"/>
      <c r="CM317" s="79"/>
      <c r="CN317" s="79"/>
      <c r="CO317" s="79"/>
      <c r="CP317" s="79"/>
      <c r="CQ317" s="79"/>
      <c r="CR317" s="83" t="s">
        <v>179</v>
      </c>
      <c r="CS317" s="83" t="s">
        <v>179</v>
      </c>
      <c r="CT317" s="83" t="s">
        <v>179</v>
      </c>
      <c r="CU317" s="83" t="s">
        <v>179</v>
      </c>
      <c r="CV317" s="83" t="s">
        <v>179</v>
      </c>
      <c r="CW317" s="83" t="s">
        <v>179</v>
      </c>
      <c r="CX317" s="79" t="s">
        <v>153</v>
      </c>
      <c r="CY317" s="79">
        <f t="shared" si="198"/>
        <v>0</v>
      </c>
      <c r="CZ317" s="79">
        <v>0</v>
      </c>
      <c r="DA317" s="79">
        <f t="shared" si="199"/>
        <v>0</v>
      </c>
      <c r="DB317" s="84" t="str">
        <f t="shared" si="202"/>
        <v/>
      </c>
      <c r="DC317" s="41"/>
      <c r="DD317" s="79" t="s">
        <v>153</v>
      </c>
      <c r="DE317" s="71"/>
      <c r="DF317" s="85" t="s">
        <v>2394</v>
      </c>
      <c r="DG317" s="79">
        <v>307</v>
      </c>
      <c r="DH317" s="86" t="str">
        <f t="shared" si="191"/>
        <v>Completo</v>
      </c>
      <c r="DI317" s="79" t="s">
        <v>181</v>
      </c>
      <c r="DJ317" s="79" t="s">
        <v>182</v>
      </c>
      <c r="DK317" s="79"/>
      <c r="DL317" s="79">
        <v>0</v>
      </c>
      <c r="DM317" s="79">
        <v>0</v>
      </c>
      <c r="DN317" s="79"/>
      <c r="DO317" s="79"/>
      <c r="DP317" s="79"/>
      <c r="DQ317" s="79"/>
      <c r="DR317" s="75" t="str">
        <f t="shared" si="161"/>
        <v>No aplica</v>
      </c>
      <c r="DS317" s="79"/>
      <c r="DT317" s="79"/>
      <c r="DU317" s="75" t="str">
        <f t="shared" si="162"/>
        <v>No aplica</v>
      </c>
      <c r="DV317" s="79" t="s">
        <v>182</v>
      </c>
      <c r="DW317" s="79"/>
      <c r="DX317" s="79"/>
      <c r="DY317" s="79"/>
      <c r="DZ317" s="79"/>
      <c r="EA317" s="79"/>
      <c r="EB317" s="79" t="s">
        <v>182</v>
      </c>
      <c r="EC317" s="79" t="s">
        <v>2395</v>
      </c>
      <c r="ED317" s="79" t="s">
        <v>2396</v>
      </c>
      <c r="EE317" s="79" t="str">
        <f t="shared" si="201"/>
        <v>Completo</v>
      </c>
      <c r="EF317" s="41"/>
      <c r="EG317" s="79" t="s">
        <v>153</v>
      </c>
      <c r="EH317" s="71"/>
      <c r="EI317" s="80"/>
      <c r="EJ317" s="71"/>
      <c r="EK317" s="79"/>
      <c r="EL317" s="76" t="str">
        <f t="shared" si="163"/>
        <v>No requiere</v>
      </c>
      <c r="EM317" s="76" t="str">
        <f t="shared" si="164"/>
        <v>No requiere</v>
      </c>
      <c r="EN317" s="76" t="str">
        <f t="shared" si="195"/>
        <v>No requiere</v>
      </c>
      <c r="EO317" s="71"/>
      <c r="EP317" s="73" t="str">
        <f t="shared" si="165"/>
        <v>No requiere</v>
      </c>
      <c r="EQ317" s="77" t="str">
        <f t="shared" si="166"/>
        <v>No requiere</v>
      </c>
      <c r="ER317" s="71"/>
      <c r="ES317" s="79"/>
      <c r="ET317" s="73" t="str">
        <f t="shared" si="167"/>
        <v>No requiere</v>
      </c>
      <c r="EU317" s="73" t="str">
        <f t="shared" si="196"/>
        <v>No requiere</v>
      </c>
      <c r="EV317" s="73" t="str">
        <f t="shared" si="168"/>
        <v>No requiere</v>
      </c>
      <c r="EW317" s="73" t="str">
        <f t="shared" si="169"/>
        <v>No requiere</v>
      </c>
      <c r="EX317" s="78"/>
      <c r="EY317" s="78"/>
    </row>
    <row r="318" spans="1:155" ht="46.5" customHeight="1">
      <c r="A318" s="79" t="str">
        <v/>
      </c>
      <c r="B318" s="80" t="s">
        <v>2397</v>
      </c>
      <c r="C318" s="81">
        <v>45400</v>
      </c>
      <c r="D318" s="82">
        <v>0.45833333333333331</v>
      </c>
      <c r="E318" s="79" t="s">
        <v>151</v>
      </c>
      <c r="F318" s="79" t="s">
        <v>152</v>
      </c>
      <c r="G318" s="79" t="s">
        <v>153</v>
      </c>
      <c r="H318" s="79" t="s">
        <v>152</v>
      </c>
      <c r="I318" s="79" t="s">
        <v>152</v>
      </c>
      <c r="J318" s="79" t="s">
        <v>154</v>
      </c>
      <c r="K318" s="79" t="s">
        <v>202</v>
      </c>
      <c r="L318" s="80" t="s">
        <v>2398</v>
      </c>
      <c r="M318" s="80" t="s">
        <v>157</v>
      </c>
      <c r="N318" s="79" t="s">
        <v>346</v>
      </c>
      <c r="O318" s="80" t="str">
        <f t="shared" si="157"/>
        <v>PENDIENTE</v>
      </c>
      <c r="P318" s="79" t="s">
        <v>196</v>
      </c>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t="s">
        <v>169</v>
      </c>
      <c r="AP318" s="79" t="s">
        <v>170</v>
      </c>
      <c r="AQ318" s="80" t="s">
        <v>2379</v>
      </c>
      <c r="AR318" s="83" t="s">
        <v>2379</v>
      </c>
      <c r="AS318" s="80" t="s">
        <v>2379</v>
      </c>
      <c r="AT318" s="80" t="str">
        <f t="shared" si="158"/>
        <v>Distrital</v>
      </c>
      <c r="AU318" s="79" t="s">
        <v>172</v>
      </c>
      <c r="AV318" s="79"/>
      <c r="AW318" s="79"/>
      <c r="AX318" s="79"/>
      <c r="AY318" s="79"/>
      <c r="AZ318" s="79"/>
      <c r="BA318" s="80" t="str">
        <f t="shared" si="159"/>
        <v>Distrital</v>
      </c>
      <c r="BB318" s="79" t="s">
        <v>172</v>
      </c>
      <c r="BC318" s="79"/>
      <c r="BD318" s="79"/>
      <c r="BE318" s="79"/>
      <c r="BF318" s="79"/>
      <c r="BG318" s="79"/>
      <c r="BH318" s="80" t="str">
        <f t="shared" si="160"/>
        <v>Distrital</v>
      </c>
      <c r="BI318" s="79" t="s">
        <v>172</v>
      </c>
      <c r="BJ318" s="79"/>
      <c r="BK318" s="79"/>
      <c r="BL318" s="79"/>
      <c r="BM318" s="79"/>
      <c r="BN318" s="79"/>
      <c r="BO318" s="79"/>
      <c r="BP318" s="79"/>
      <c r="BQ318" s="79"/>
      <c r="BR318" s="79"/>
      <c r="BS318" s="80" t="s">
        <v>288</v>
      </c>
      <c r="BT318" s="80" t="s">
        <v>174</v>
      </c>
      <c r="BU318" s="89" t="s">
        <v>2399</v>
      </c>
      <c r="BV318" s="71"/>
      <c r="BW318" s="79" t="s">
        <v>153</v>
      </c>
      <c r="BX318" s="79" t="s">
        <v>176</v>
      </c>
      <c r="BY318" s="71"/>
      <c r="BZ318" s="79">
        <v>0</v>
      </c>
      <c r="CA318" s="79">
        <v>30</v>
      </c>
      <c r="CB318" s="79">
        <f t="shared" si="178"/>
        <v>30</v>
      </c>
      <c r="CC318" s="79" t="str">
        <f t="shared" si="194"/>
        <v>Ninguna</v>
      </c>
      <c r="CD318" s="79" t="s">
        <v>174</v>
      </c>
      <c r="CE318" s="79"/>
      <c r="CF318" s="79"/>
      <c r="CG318" s="83" t="s">
        <v>2400</v>
      </c>
      <c r="CH318" s="41"/>
      <c r="CI318" s="79" t="s">
        <v>153</v>
      </c>
      <c r="CJ318" s="71"/>
      <c r="CK318" s="79">
        <f t="shared" si="177"/>
        <v>0</v>
      </c>
      <c r="CL318" s="79"/>
      <c r="CM318" s="79"/>
      <c r="CN318" s="79"/>
      <c r="CO318" s="79"/>
      <c r="CP318" s="79"/>
      <c r="CQ318" s="79"/>
      <c r="CR318" s="83" t="s">
        <v>179</v>
      </c>
      <c r="CS318" s="83" t="s">
        <v>179</v>
      </c>
      <c r="CT318" s="83" t="s">
        <v>179</v>
      </c>
      <c r="CU318" s="83" t="s">
        <v>179</v>
      </c>
      <c r="CV318" s="83" t="s">
        <v>179</v>
      </c>
      <c r="CW318" s="83" t="s">
        <v>179</v>
      </c>
      <c r="CX318" s="79" t="s">
        <v>153</v>
      </c>
      <c r="CY318" s="79">
        <f t="shared" si="198"/>
        <v>0</v>
      </c>
      <c r="CZ318" s="79">
        <v>0</v>
      </c>
      <c r="DA318" s="79">
        <f t="shared" si="199"/>
        <v>0</v>
      </c>
      <c r="DB318" s="84" t="str">
        <f t="shared" si="202"/>
        <v/>
      </c>
      <c r="DC318" s="41"/>
      <c r="DD318" s="79" t="s">
        <v>153</v>
      </c>
      <c r="DE318" s="71"/>
      <c r="DF318" s="85" t="s">
        <v>2401</v>
      </c>
      <c r="DG318" s="79">
        <v>308</v>
      </c>
      <c r="DH318" s="86" t="str">
        <f t="shared" si="191"/>
        <v>Completo</v>
      </c>
      <c r="DI318" s="79" t="s">
        <v>181</v>
      </c>
      <c r="DJ318" s="79" t="s">
        <v>182</v>
      </c>
      <c r="DK318" s="79"/>
      <c r="DL318" s="79">
        <v>0</v>
      </c>
      <c r="DM318" s="79">
        <v>0</v>
      </c>
      <c r="DN318" s="79" t="s">
        <v>182</v>
      </c>
      <c r="DO318" s="79"/>
      <c r="DP318" s="79"/>
      <c r="DQ318" s="79"/>
      <c r="DR318" s="75" t="str">
        <f t="shared" si="161"/>
        <v>No aplica</v>
      </c>
      <c r="DS318" s="79"/>
      <c r="DT318" s="79"/>
      <c r="DU318" s="75" t="str">
        <f t="shared" si="162"/>
        <v>No aplica</v>
      </c>
      <c r="DV318" s="79" t="s">
        <v>182</v>
      </c>
      <c r="DW318" s="79" t="s">
        <v>182</v>
      </c>
      <c r="DX318" s="79"/>
      <c r="DY318" s="79"/>
      <c r="DZ318" s="79"/>
      <c r="EA318" s="79"/>
      <c r="EB318" s="79" t="s">
        <v>182</v>
      </c>
      <c r="EC318" s="79" t="s">
        <v>2213</v>
      </c>
      <c r="ED318" s="79" t="s">
        <v>2402</v>
      </c>
      <c r="EE318" s="79" t="str">
        <f t="shared" si="201"/>
        <v>Completo</v>
      </c>
      <c r="EF318" s="41"/>
      <c r="EG318" s="79" t="s">
        <v>153</v>
      </c>
      <c r="EH318" s="71"/>
      <c r="EI318" s="80"/>
      <c r="EJ318" s="71"/>
      <c r="EK318" s="79"/>
      <c r="EL318" s="76" t="str">
        <f t="shared" si="163"/>
        <v>No requiere</v>
      </c>
      <c r="EM318" s="76" t="str">
        <f t="shared" si="164"/>
        <v>No requiere</v>
      </c>
      <c r="EN318" s="76" t="str">
        <f t="shared" si="195"/>
        <v>No requiere</v>
      </c>
      <c r="EO318" s="71"/>
      <c r="EP318" s="73" t="str">
        <f t="shared" si="165"/>
        <v>No requiere</v>
      </c>
      <c r="EQ318" s="77" t="str">
        <f t="shared" si="166"/>
        <v>No requiere</v>
      </c>
      <c r="ER318" s="71"/>
      <c r="ES318" s="79"/>
      <c r="ET318" s="73" t="str">
        <f t="shared" si="167"/>
        <v>No requiere</v>
      </c>
      <c r="EU318" s="73" t="str">
        <f t="shared" si="196"/>
        <v>No requiere</v>
      </c>
      <c r="EV318" s="73" t="str">
        <f t="shared" si="168"/>
        <v>No requiere</v>
      </c>
      <c r="EW318" s="73" t="str">
        <f t="shared" si="169"/>
        <v>No requiere</v>
      </c>
      <c r="EX318" s="78"/>
      <c r="EY318" s="78"/>
    </row>
    <row r="319" spans="1:155" ht="46.5" customHeight="1">
      <c r="A319" s="79">
        <v>315</v>
      </c>
      <c r="B319" s="80" t="s">
        <v>2403</v>
      </c>
      <c r="C319" s="81">
        <v>45400</v>
      </c>
      <c r="D319" s="82">
        <v>0.33333333333333331</v>
      </c>
      <c r="E319" s="79" t="s">
        <v>151</v>
      </c>
      <c r="F319" s="79" t="s">
        <v>153</v>
      </c>
      <c r="G319" s="79" t="s">
        <v>152</v>
      </c>
      <c r="H319" s="79" t="s">
        <v>152</v>
      </c>
      <c r="I319" s="79" t="s">
        <v>152</v>
      </c>
      <c r="J319" s="79" t="s">
        <v>154</v>
      </c>
      <c r="K319" s="79" t="s">
        <v>155</v>
      </c>
      <c r="L319" s="80" t="s">
        <v>2404</v>
      </c>
      <c r="M319" s="80" t="s">
        <v>157</v>
      </c>
      <c r="N319" s="79" t="s">
        <v>887</v>
      </c>
      <c r="O319" s="80" t="str">
        <f t="shared" si="157"/>
        <v>Luz Maritza Acero, Carlos Eduardo Escandón</v>
      </c>
      <c r="P319" s="79" t="s">
        <v>167</v>
      </c>
      <c r="Q319" s="79" t="s">
        <v>819</v>
      </c>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t="s">
        <v>230</v>
      </c>
      <c r="AP319" s="79" t="s">
        <v>925</v>
      </c>
      <c r="AQ319" s="80" t="s">
        <v>2405</v>
      </c>
      <c r="AR319" s="83">
        <v>3115204598</v>
      </c>
      <c r="AS319" s="80" t="s">
        <v>2146</v>
      </c>
      <c r="AT319" s="80" t="str">
        <f t="shared" si="158"/>
        <v>Distrital</v>
      </c>
      <c r="AU319" s="79" t="s">
        <v>172</v>
      </c>
      <c r="AV319" s="79"/>
      <c r="AW319" s="79"/>
      <c r="AX319" s="79"/>
      <c r="AY319" s="79"/>
      <c r="AZ319" s="79"/>
      <c r="BA319" s="80" t="str">
        <f t="shared" si="159"/>
        <v>Noroccidente</v>
      </c>
      <c r="BB319" s="79" t="s">
        <v>603</v>
      </c>
      <c r="BC319" s="79"/>
      <c r="BD319" s="79"/>
      <c r="BE319" s="79"/>
      <c r="BF319" s="79"/>
      <c r="BG319" s="79"/>
      <c r="BH319" s="80" t="str">
        <f t="shared" si="160"/>
        <v>Suba</v>
      </c>
      <c r="BI319" s="79" t="s">
        <v>602</v>
      </c>
      <c r="BJ319" s="79"/>
      <c r="BK319" s="79"/>
      <c r="BL319" s="79"/>
      <c r="BM319" s="79"/>
      <c r="BN319" s="79"/>
      <c r="BO319" s="79"/>
      <c r="BP319" s="79"/>
      <c r="BQ319" s="79"/>
      <c r="BR319" s="79"/>
      <c r="BS319" s="80" t="s">
        <v>2406</v>
      </c>
      <c r="BT319" s="80" t="s">
        <v>174</v>
      </c>
      <c r="BU319" s="80" t="s">
        <v>2407</v>
      </c>
      <c r="BV319" s="71"/>
      <c r="BW319" s="79" t="s">
        <v>153</v>
      </c>
      <c r="BX319" s="79" t="s">
        <v>176</v>
      </c>
      <c r="BY319" s="71"/>
      <c r="BZ319" s="79">
        <v>248</v>
      </c>
      <c r="CA319" s="79">
        <v>4</v>
      </c>
      <c r="CB319" s="79">
        <f t="shared" si="178"/>
        <v>252</v>
      </c>
      <c r="CC319" s="79" t="str">
        <f t="shared" si="194"/>
        <v>No Aplica</v>
      </c>
      <c r="CD319" s="79" t="s">
        <v>177</v>
      </c>
      <c r="CE319" s="79"/>
      <c r="CF319" s="79"/>
      <c r="CG319" s="83" t="s">
        <v>2408</v>
      </c>
      <c r="CH319" s="41"/>
      <c r="CI319" s="79" t="s">
        <v>153</v>
      </c>
      <c r="CJ319" s="71"/>
      <c r="CK319" s="79">
        <f t="shared" si="177"/>
        <v>0</v>
      </c>
      <c r="CL319" s="79"/>
      <c r="CM319" s="79"/>
      <c r="CN319" s="79"/>
      <c r="CO319" s="79"/>
      <c r="CP319" s="79"/>
      <c r="CQ319" s="79"/>
      <c r="CR319" s="83" t="s">
        <v>179</v>
      </c>
      <c r="CS319" s="83" t="s">
        <v>179</v>
      </c>
      <c r="CT319" s="83" t="s">
        <v>179</v>
      </c>
      <c r="CU319" s="83" t="s">
        <v>179</v>
      </c>
      <c r="CV319" s="83" t="s">
        <v>179</v>
      </c>
      <c r="CW319" s="83" t="s">
        <v>179</v>
      </c>
      <c r="CX319" s="79" t="s">
        <v>153</v>
      </c>
      <c r="CY319" s="79">
        <f t="shared" si="198"/>
        <v>0</v>
      </c>
      <c r="CZ319" s="79">
        <v>0</v>
      </c>
      <c r="DA319" s="79">
        <f t="shared" si="199"/>
        <v>0</v>
      </c>
      <c r="DB319" s="84" t="str">
        <f t="shared" si="202"/>
        <v/>
      </c>
      <c r="DC319" s="41"/>
      <c r="DD319" s="79" t="s">
        <v>153</v>
      </c>
      <c r="DE319" s="71"/>
      <c r="DF319" s="85" t="s">
        <v>2409</v>
      </c>
      <c r="DG319" s="79">
        <v>309</v>
      </c>
      <c r="DH319" s="86" t="str">
        <f t="shared" si="191"/>
        <v>Completo</v>
      </c>
      <c r="DI319" s="79" t="s">
        <v>181</v>
      </c>
      <c r="DJ319" s="79" t="s">
        <v>182</v>
      </c>
      <c r="DK319" s="79"/>
      <c r="DL319" s="79">
        <v>0</v>
      </c>
      <c r="DM319" s="79">
        <v>0</v>
      </c>
      <c r="DN319" s="79" t="s">
        <v>191</v>
      </c>
      <c r="DO319" s="79"/>
      <c r="DP319" s="79"/>
      <c r="DQ319" s="79"/>
      <c r="DR319" s="75" t="str">
        <f t="shared" si="161"/>
        <v>No aplica</v>
      </c>
      <c r="DS319" s="79"/>
      <c r="DT319" s="79"/>
      <c r="DU319" s="75" t="str">
        <f t="shared" si="162"/>
        <v>No aplica</v>
      </c>
      <c r="DV319" s="79" t="s">
        <v>182</v>
      </c>
      <c r="DW319" s="79" t="s">
        <v>182</v>
      </c>
      <c r="DX319" s="79"/>
      <c r="DY319" s="79"/>
      <c r="DZ319" s="79"/>
      <c r="EA319" s="79"/>
      <c r="EB319" s="79"/>
      <c r="EC319" s="79"/>
      <c r="ED319" s="79" t="s">
        <v>2410</v>
      </c>
      <c r="EE319" s="79" t="str">
        <f t="shared" si="201"/>
        <v>Completo</v>
      </c>
      <c r="EF319" s="41"/>
      <c r="EG319" s="79" t="s">
        <v>153</v>
      </c>
      <c r="EH319" s="71"/>
      <c r="EI319" s="80"/>
      <c r="EJ319" s="71"/>
      <c r="EK319" s="79"/>
      <c r="EL319" s="76" t="str">
        <f t="shared" si="163"/>
        <v>No requiere</v>
      </c>
      <c r="EM319" s="76" t="str">
        <f t="shared" si="164"/>
        <v>No requiere</v>
      </c>
      <c r="EN319" s="76" t="str">
        <f t="shared" si="195"/>
        <v>No requiere</v>
      </c>
      <c r="EO319" s="71"/>
      <c r="EP319" s="73" t="str">
        <f t="shared" si="165"/>
        <v>No requiere</v>
      </c>
      <c r="EQ319" s="77" t="str">
        <f t="shared" si="166"/>
        <v>No requiere</v>
      </c>
      <c r="ER319" s="71"/>
      <c r="ES319" s="79"/>
      <c r="ET319" s="73" t="str">
        <f t="shared" si="167"/>
        <v>No requiere</v>
      </c>
      <c r="EU319" s="73" t="str">
        <f t="shared" si="196"/>
        <v>No requiere</v>
      </c>
      <c r="EV319" s="73" t="str">
        <f t="shared" si="168"/>
        <v>No requiere</v>
      </c>
      <c r="EW319" s="73" t="str">
        <f t="shared" si="169"/>
        <v>No requiere</v>
      </c>
      <c r="EX319" s="78"/>
      <c r="EY319" s="78"/>
    </row>
    <row r="320" spans="1:155" ht="46.5" customHeight="1">
      <c r="A320" s="79">
        <v>316</v>
      </c>
      <c r="B320" s="80" t="s">
        <v>2411</v>
      </c>
      <c r="C320" s="81">
        <v>45400</v>
      </c>
      <c r="D320" s="82">
        <v>0.70833333333333337</v>
      </c>
      <c r="E320" s="79" t="s">
        <v>151</v>
      </c>
      <c r="F320" s="79" t="s">
        <v>153</v>
      </c>
      <c r="G320" s="79" t="s">
        <v>153</v>
      </c>
      <c r="H320" s="79" t="s">
        <v>153</v>
      </c>
      <c r="I320" s="79" t="s">
        <v>152</v>
      </c>
      <c r="J320" s="79" t="s">
        <v>154</v>
      </c>
      <c r="K320" s="79" t="s">
        <v>155</v>
      </c>
      <c r="L320" s="80" t="s">
        <v>2412</v>
      </c>
      <c r="M320" s="80" t="s">
        <v>303</v>
      </c>
      <c r="N320" s="79" t="s">
        <v>328</v>
      </c>
      <c r="O320" s="80" t="str">
        <f t="shared" si="157"/>
        <v>Valentina González Pontón, PENDIENTE</v>
      </c>
      <c r="P320" s="79" t="s">
        <v>329</v>
      </c>
      <c r="Q320" s="79" t="s">
        <v>196</v>
      </c>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t="s">
        <v>304</v>
      </c>
      <c r="AP320" s="79"/>
      <c r="AQ320" s="80" t="s">
        <v>330</v>
      </c>
      <c r="AR320" s="83" t="s">
        <v>331</v>
      </c>
      <c r="AS320" s="80" t="s">
        <v>332</v>
      </c>
      <c r="AT320" s="80" t="str">
        <f t="shared" si="158"/>
        <v>Ciudad Bolívar</v>
      </c>
      <c r="AU320" s="79" t="s">
        <v>217</v>
      </c>
      <c r="AV320" s="79"/>
      <c r="AW320" s="79"/>
      <c r="AX320" s="79"/>
      <c r="AY320" s="79"/>
      <c r="AZ320" s="79"/>
      <c r="BA320" s="80" t="str">
        <f t="shared" si="159"/>
        <v>Suroriente, Ruralidad</v>
      </c>
      <c r="BB320" s="79" t="s">
        <v>218</v>
      </c>
      <c r="BC320" s="79" t="s">
        <v>219</v>
      </c>
      <c r="BD320" s="79"/>
      <c r="BE320" s="79"/>
      <c r="BF320" s="79"/>
      <c r="BG320" s="79"/>
      <c r="BH320" s="80" t="str">
        <f t="shared" si="160"/>
        <v>Arborizadora, Lucero, Cuenca del Tunjuelo</v>
      </c>
      <c r="BI320" s="79" t="s">
        <v>220</v>
      </c>
      <c r="BJ320" s="79" t="s">
        <v>221</v>
      </c>
      <c r="BK320" s="79" t="s">
        <v>222</v>
      </c>
      <c r="BL320" s="79"/>
      <c r="BM320" s="79"/>
      <c r="BN320" s="79"/>
      <c r="BO320" s="79"/>
      <c r="BP320" s="79"/>
      <c r="BQ320" s="79"/>
      <c r="BR320" s="79"/>
      <c r="BS320" s="80" t="s">
        <v>288</v>
      </c>
      <c r="BT320" s="80" t="s">
        <v>2242</v>
      </c>
      <c r="BU320" s="80" t="s">
        <v>2413</v>
      </c>
      <c r="BV320" s="71"/>
      <c r="BW320" s="79" t="s">
        <v>153</v>
      </c>
      <c r="BX320" s="79" t="s">
        <v>607</v>
      </c>
      <c r="BY320" s="71"/>
      <c r="BZ320" s="79">
        <v>57</v>
      </c>
      <c r="CA320" s="79">
        <v>5</v>
      </c>
      <c r="CB320" s="79">
        <f t="shared" si="178"/>
        <v>62</v>
      </c>
      <c r="CC320" s="79" t="str">
        <f t="shared" si="194"/>
        <v>Ninguna</v>
      </c>
      <c r="CD320" s="79" t="s">
        <v>174</v>
      </c>
      <c r="CE320" s="79"/>
      <c r="CF320" s="79"/>
      <c r="CG320" s="83" t="s">
        <v>2414</v>
      </c>
      <c r="CH320" s="41"/>
      <c r="CI320" s="79" t="s">
        <v>153</v>
      </c>
      <c r="CJ320" s="71"/>
      <c r="CK320" s="79">
        <f t="shared" si="177"/>
        <v>1</v>
      </c>
      <c r="CL320" s="79" t="s">
        <v>389</v>
      </c>
      <c r="CM320" s="79"/>
      <c r="CN320" s="79"/>
      <c r="CO320" s="79"/>
      <c r="CP320" s="79"/>
      <c r="CQ320" s="79"/>
      <c r="CR320" s="83" t="s">
        <v>390</v>
      </c>
      <c r="CS320" s="83" t="s">
        <v>179</v>
      </c>
      <c r="CT320" s="83" t="s">
        <v>179</v>
      </c>
      <c r="CU320" s="83" t="s">
        <v>179</v>
      </c>
      <c r="CV320" s="83" t="s">
        <v>179</v>
      </c>
      <c r="CW320" s="83" t="s">
        <v>179</v>
      </c>
      <c r="CX320" s="79" t="s">
        <v>153</v>
      </c>
      <c r="CY320" s="79">
        <f t="shared" si="198"/>
        <v>1</v>
      </c>
      <c r="CZ320" s="79">
        <v>1</v>
      </c>
      <c r="DA320" s="79">
        <f t="shared" si="199"/>
        <v>1</v>
      </c>
      <c r="DB320" s="84">
        <f t="shared" si="202"/>
        <v>1</v>
      </c>
      <c r="DC320" s="41"/>
      <c r="DD320" s="79" t="s">
        <v>153</v>
      </c>
      <c r="DE320" s="71"/>
      <c r="DF320" s="85" t="s">
        <v>2415</v>
      </c>
      <c r="DG320" s="79">
        <v>310</v>
      </c>
      <c r="DH320" s="86" t="str">
        <f t="shared" si="191"/>
        <v>Completo</v>
      </c>
      <c r="DI320" s="79" t="s">
        <v>181</v>
      </c>
      <c r="DJ320" s="79" t="s">
        <v>182</v>
      </c>
      <c r="DK320" s="79" t="s">
        <v>153</v>
      </c>
      <c r="DL320" s="79">
        <v>0</v>
      </c>
      <c r="DM320" s="79">
        <v>0</v>
      </c>
      <c r="DN320" s="79" t="s">
        <v>182</v>
      </c>
      <c r="DO320" s="79">
        <v>320</v>
      </c>
      <c r="DP320" s="79" t="s">
        <v>182</v>
      </c>
      <c r="DQ320" s="79">
        <v>18</v>
      </c>
      <c r="DR320" s="75">
        <f t="shared" si="161"/>
        <v>1.0526315789473686</v>
      </c>
      <c r="DS320" s="79" t="s">
        <v>182</v>
      </c>
      <c r="DT320" s="79">
        <v>69</v>
      </c>
      <c r="DU320" s="75">
        <f t="shared" si="162"/>
        <v>3.4586466165413534</v>
      </c>
      <c r="DV320" s="79" t="s">
        <v>182</v>
      </c>
      <c r="DW320" s="79" t="s">
        <v>182</v>
      </c>
      <c r="DX320" s="79">
        <v>3</v>
      </c>
      <c r="DY320" s="79">
        <v>0</v>
      </c>
      <c r="DZ320" s="79"/>
      <c r="EA320" s="79">
        <v>329</v>
      </c>
      <c r="EB320" s="79" t="s">
        <v>182</v>
      </c>
      <c r="EC320" s="79" t="s">
        <v>2416</v>
      </c>
      <c r="ED320" s="79" t="s">
        <v>184</v>
      </c>
      <c r="EE320" s="79" t="str">
        <f t="shared" si="201"/>
        <v>Completo</v>
      </c>
      <c r="EF320" s="41"/>
      <c r="EG320" s="79" t="s">
        <v>153</v>
      </c>
      <c r="EH320" s="71"/>
      <c r="EI320" s="89" t="s">
        <v>2417</v>
      </c>
      <c r="EJ320" s="71"/>
      <c r="EK320" s="79" t="s">
        <v>2418</v>
      </c>
      <c r="EL320" s="76" t="str">
        <f t="shared" si="163"/>
        <v>Sí</v>
      </c>
      <c r="EM320" s="76" t="str">
        <f t="shared" si="164"/>
        <v>No</v>
      </c>
      <c r="EN320" s="76" t="str">
        <f t="shared" si="195"/>
        <v>No</v>
      </c>
      <c r="EO320" s="71"/>
      <c r="EP320" s="73" t="str">
        <f t="shared" si="165"/>
        <v>No aplica</v>
      </c>
      <c r="EQ320" s="77">
        <f t="shared" si="166"/>
        <v>3.4586466165413534</v>
      </c>
      <c r="ER320" s="71"/>
      <c r="ES320" s="79" t="s">
        <v>2418</v>
      </c>
      <c r="ET320" s="73">
        <f t="shared" si="167"/>
        <v>1</v>
      </c>
      <c r="EU320" s="73">
        <f t="shared" si="196"/>
        <v>1</v>
      </c>
      <c r="EV320" s="73">
        <f t="shared" si="168"/>
        <v>1</v>
      </c>
      <c r="EW320" s="73">
        <f t="shared" si="169"/>
        <v>0.97264437689969607</v>
      </c>
      <c r="EX320" s="78"/>
      <c r="EY320" s="78"/>
    </row>
    <row r="321" spans="1:155" ht="46.5" customHeight="1">
      <c r="A321" s="79">
        <v>317</v>
      </c>
      <c r="B321" s="80" t="s">
        <v>2419</v>
      </c>
      <c r="C321" s="81">
        <v>45400</v>
      </c>
      <c r="D321" s="82">
        <v>0.70833333333333337</v>
      </c>
      <c r="E321" s="79" t="s">
        <v>151</v>
      </c>
      <c r="F321" s="79" t="s">
        <v>153</v>
      </c>
      <c r="G321" s="79" t="s">
        <v>153</v>
      </c>
      <c r="H321" s="79" t="s">
        <v>153</v>
      </c>
      <c r="I321" s="79" t="s">
        <v>152</v>
      </c>
      <c r="J321" s="79" t="s">
        <v>154</v>
      </c>
      <c r="K321" s="79" t="s">
        <v>155</v>
      </c>
      <c r="L321" s="80" t="s">
        <v>2412</v>
      </c>
      <c r="M321" s="80" t="s">
        <v>303</v>
      </c>
      <c r="N321" s="79" t="s">
        <v>1611</v>
      </c>
      <c r="O321" s="80" t="str">
        <f t="shared" si="157"/>
        <v>Aida Vanessa Rocha, PENDIENTE</v>
      </c>
      <c r="P321" s="79" t="s">
        <v>801</v>
      </c>
      <c r="Q321" s="79" t="s">
        <v>196</v>
      </c>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t="s">
        <v>304</v>
      </c>
      <c r="AP321" s="79"/>
      <c r="AQ321" s="80" t="s">
        <v>2341</v>
      </c>
      <c r="AR321" s="83">
        <v>3102511032</v>
      </c>
      <c r="AS321" s="80" t="s">
        <v>2420</v>
      </c>
      <c r="AT321" s="80" t="str">
        <f t="shared" si="158"/>
        <v>Usaquén</v>
      </c>
      <c r="AU321" s="79" t="s">
        <v>661</v>
      </c>
      <c r="AV321" s="79"/>
      <c r="AW321" s="79"/>
      <c r="AX321" s="79"/>
      <c r="AY321" s="79"/>
      <c r="AZ321" s="79"/>
      <c r="BA321" s="80" t="str">
        <f t="shared" si="159"/>
        <v>Norte</v>
      </c>
      <c r="BB321" s="79" t="s">
        <v>662</v>
      </c>
      <c r="BC321" s="79"/>
      <c r="BD321" s="79"/>
      <c r="BE321" s="79"/>
      <c r="BF321" s="79"/>
      <c r="BG321" s="79"/>
      <c r="BH321" s="80" t="str">
        <f t="shared" si="160"/>
        <v>Usaquén</v>
      </c>
      <c r="BI321" s="79" t="s">
        <v>661</v>
      </c>
      <c r="BJ321" s="79"/>
      <c r="BK321" s="79"/>
      <c r="BL321" s="79"/>
      <c r="BM321" s="79"/>
      <c r="BN321" s="79"/>
      <c r="BO321" s="79"/>
      <c r="BP321" s="79"/>
      <c r="BQ321" s="79"/>
      <c r="BR321" s="79"/>
      <c r="BS321" s="80" t="s">
        <v>288</v>
      </c>
      <c r="BT321" s="80" t="s">
        <v>2242</v>
      </c>
      <c r="BU321" s="80" t="s">
        <v>2421</v>
      </c>
      <c r="BV321" s="71"/>
      <c r="BW321" s="79" t="s">
        <v>153</v>
      </c>
      <c r="BX321" s="79" t="s">
        <v>607</v>
      </c>
      <c r="BY321" s="71"/>
      <c r="BZ321" s="79">
        <v>36</v>
      </c>
      <c r="CA321" s="79">
        <v>5</v>
      </c>
      <c r="CB321" s="79">
        <f t="shared" si="178"/>
        <v>41</v>
      </c>
      <c r="CC321" s="79" t="str">
        <f t="shared" si="194"/>
        <v>Ninguna</v>
      </c>
      <c r="CD321" s="79" t="s">
        <v>174</v>
      </c>
      <c r="CE321" s="79"/>
      <c r="CF321" s="79"/>
      <c r="CG321" s="83" t="s">
        <v>2414</v>
      </c>
      <c r="CH321" s="41"/>
      <c r="CI321" s="79" t="s">
        <v>153</v>
      </c>
      <c r="CJ321" s="71"/>
      <c r="CK321" s="79">
        <f t="shared" si="177"/>
        <v>1</v>
      </c>
      <c r="CL321" s="79" t="s">
        <v>389</v>
      </c>
      <c r="CM321" s="79"/>
      <c r="CN321" s="79"/>
      <c r="CO321" s="79"/>
      <c r="CP321" s="79"/>
      <c r="CQ321" s="79"/>
      <c r="CR321" s="83" t="s">
        <v>390</v>
      </c>
      <c r="CS321" s="83" t="s">
        <v>179</v>
      </c>
      <c r="CT321" s="83" t="s">
        <v>179</v>
      </c>
      <c r="CU321" s="83" t="s">
        <v>179</v>
      </c>
      <c r="CV321" s="83" t="s">
        <v>179</v>
      </c>
      <c r="CW321" s="83" t="s">
        <v>179</v>
      </c>
      <c r="CX321" s="79" t="s">
        <v>153</v>
      </c>
      <c r="CY321" s="79">
        <f t="shared" si="198"/>
        <v>1</v>
      </c>
      <c r="CZ321" s="79">
        <v>1</v>
      </c>
      <c r="DA321" s="79">
        <f t="shared" si="199"/>
        <v>1</v>
      </c>
      <c r="DB321" s="84">
        <f t="shared" si="202"/>
        <v>1</v>
      </c>
      <c r="DC321" s="41"/>
      <c r="DD321" s="79" t="s">
        <v>153</v>
      </c>
      <c r="DE321" s="71"/>
      <c r="DF321" s="85" t="s">
        <v>2422</v>
      </c>
      <c r="DG321" s="79">
        <v>311</v>
      </c>
      <c r="DH321" s="86" t="str">
        <f t="shared" si="191"/>
        <v>Completo</v>
      </c>
      <c r="DI321" s="79" t="s">
        <v>181</v>
      </c>
      <c r="DJ321" s="79" t="s">
        <v>182</v>
      </c>
      <c r="DK321" s="79" t="s">
        <v>153</v>
      </c>
      <c r="DL321" s="79">
        <v>0</v>
      </c>
      <c r="DM321" s="79">
        <v>0</v>
      </c>
      <c r="DN321" s="79" t="s">
        <v>182</v>
      </c>
      <c r="DO321" s="79">
        <v>176</v>
      </c>
      <c r="DP321" s="79" t="s">
        <v>182</v>
      </c>
      <c r="DQ321" s="79">
        <v>9</v>
      </c>
      <c r="DR321" s="75">
        <f t="shared" si="161"/>
        <v>0.83333333333333337</v>
      </c>
      <c r="DS321" s="79" t="s">
        <v>182</v>
      </c>
      <c r="DT321" s="79">
        <v>37</v>
      </c>
      <c r="DU321" s="75">
        <f t="shared" si="162"/>
        <v>2.9365079365079367</v>
      </c>
      <c r="DV321" s="79" t="s">
        <v>182</v>
      </c>
      <c r="DW321" s="79" t="s">
        <v>182</v>
      </c>
      <c r="DX321" s="79">
        <v>3</v>
      </c>
      <c r="DY321" s="79">
        <v>0</v>
      </c>
      <c r="DZ321" s="79"/>
      <c r="EA321" s="79">
        <v>265</v>
      </c>
      <c r="EB321" s="79" t="s">
        <v>182</v>
      </c>
      <c r="EC321" s="79" t="s">
        <v>2423</v>
      </c>
      <c r="ED321" s="79" t="s">
        <v>1743</v>
      </c>
      <c r="EE321" s="79" t="str">
        <f t="shared" si="201"/>
        <v>Completo</v>
      </c>
      <c r="EF321" s="41"/>
      <c r="EG321" s="79" t="s">
        <v>153</v>
      </c>
      <c r="EH321" s="71"/>
      <c r="EI321" s="89" t="s">
        <v>2424</v>
      </c>
      <c r="EJ321" s="71"/>
      <c r="EK321" s="79" t="s">
        <v>409</v>
      </c>
      <c r="EL321" s="76" t="str">
        <f t="shared" si="163"/>
        <v>Sí</v>
      </c>
      <c r="EM321" s="76" t="str">
        <f t="shared" si="164"/>
        <v>No</v>
      </c>
      <c r="EN321" s="76" t="str">
        <f t="shared" si="195"/>
        <v>No</v>
      </c>
      <c r="EO321" s="71"/>
      <c r="EP321" s="73" t="str">
        <f t="shared" si="165"/>
        <v>No aplica</v>
      </c>
      <c r="EQ321" s="77">
        <f t="shared" si="166"/>
        <v>2.9365079365079367</v>
      </c>
      <c r="ER321" s="71"/>
      <c r="ES321" s="79" t="s">
        <v>393</v>
      </c>
      <c r="ET321" s="73">
        <f t="shared" si="167"/>
        <v>1</v>
      </c>
      <c r="EU321" s="73">
        <f t="shared" si="196"/>
        <v>1</v>
      </c>
      <c r="EV321" s="73">
        <f t="shared" si="168"/>
        <v>1</v>
      </c>
      <c r="EW321" s="73">
        <f t="shared" si="169"/>
        <v>0.66415094339622638</v>
      </c>
      <c r="EX321" s="78"/>
      <c r="EY321" s="78"/>
    </row>
    <row r="322" spans="1:155" ht="46.5" customHeight="1">
      <c r="A322" s="79">
        <v>318</v>
      </c>
      <c r="B322" s="80" t="s">
        <v>2425</v>
      </c>
      <c r="C322" s="81">
        <v>45400</v>
      </c>
      <c r="D322" s="82">
        <v>0.70833333333333337</v>
      </c>
      <c r="E322" s="79" t="s">
        <v>151</v>
      </c>
      <c r="F322" s="79" t="s">
        <v>153</v>
      </c>
      <c r="G322" s="79" t="s">
        <v>153</v>
      </c>
      <c r="H322" s="79" t="s">
        <v>153</v>
      </c>
      <c r="I322" s="79" t="s">
        <v>152</v>
      </c>
      <c r="J322" s="79" t="s">
        <v>154</v>
      </c>
      <c r="K322" s="79" t="s">
        <v>155</v>
      </c>
      <c r="L322" s="80" t="s">
        <v>2412</v>
      </c>
      <c r="M322" s="80" t="s">
        <v>303</v>
      </c>
      <c r="N322" s="79" t="s">
        <v>818</v>
      </c>
      <c r="O322" s="80" t="str">
        <f t="shared" si="157"/>
        <v>Diana Marcela Fernández, PENDIENTE</v>
      </c>
      <c r="P322" s="79" t="s">
        <v>473</v>
      </c>
      <c r="Q322" s="79" t="s">
        <v>196</v>
      </c>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t="s">
        <v>304</v>
      </c>
      <c r="AP322" s="79"/>
      <c r="AQ322" s="80" t="s">
        <v>2426</v>
      </c>
      <c r="AR322" s="83">
        <v>3133634769</v>
      </c>
      <c r="AS322" s="80" t="s">
        <v>2427</v>
      </c>
      <c r="AT322" s="80" t="str">
        <f t="shared" si="158"/>
        <v>Chapinero</v>
      </c>
      <c r="AU322" s="79" t="s">
        <v>360</v>
      </c>
      <c r="AV322" s="79"/>
      <c r="AW322" s="79"/>
      <c r="AX322" s="79"/>
      <c r="AY322" s="79"/>
      <c r="AZ322" s="79"/>
      <c r="BA322" s="80" t="str">
        <f t="shared" si="159"/>
        <v>Centro Ampliado</v>
      </c>
      <c r="BB322" s="79" t="s">
        <v>636</v>
      </c>
      <c r="BC322" s="79"/>
      <c r="BD322" s="79"/>
      <c r="BE322" s="79"/>
      <c r="BF322" s="79"/>
      <c r="BG322" s="79"/>
      <c r="BH322" s="80" t="str">
        <f t="shared" si="160"/>
        <v>Chapinero, Cerros Orientales</v>
      </c>
      <c r="BI322" s="79" t="s">
        <v>360</v>
      </c>
      <c r="BJ322" s="79" t="s">
        <v>361</v>
      </c>
      <c r="BK322" s="79"/>
      <c r="BL322" s="79"/>
      <c r="BM322" s="79"/>
      <c r="BN322" s="79"/>
      <c r="BO322" s="79"/>
      <c r="BP322" s="79"/>
      <c r="BQ322" s="79"/>
      <c r="BR322" s="79"/>
      <c r="BS322" s="80" t="s">
        <v>2428</v>
      </c>
      <c r="BT322" s="80" t="s">
        <v>174</v>
      </c>
      <c r="BU322" s="80" t="s">
        <v>2429</v>
      </c>
      <c r="BV322" s="71"/>
      <c r="BW322" s="79" t="s">
        <v>153</v>
      </c>
      <c r="BX322" s="79" t="s">
        <v>607</v>
      </c>
      <c r="BY322" s="71"/>
      <c r="BZ322" s="79">
        <v>37</v>
      </c>
      <c r="CA322" s="79">
        <v>4</v>
      </c>
      <c r="CB322" s="79">
        <f t="shared" si="178"/>
        <v>41</v>
      </c>
      <c r="CC322" s="79" t="str">
        <f t="shared" si="194"/>
        <v>Accesibilidad Universal, Horarios Acordes, Contenidos adaptados</v>
      </c>
      <c r="CD322" s="79" t="s">
        <v>397</v>
      </c>
      <c r="CE322" s="79" t="s">
        <v>351</v>
      </c>
      <c r="CF322" s="79" t="s">
        <v>350</v>
      </c>
      <c r="CG322" s="83" t="s">
        <v>2414</v>
      </c>
      <c r="CH322" s="41"/>
      <c r="CI322" s="79" t="s">
        <v>153</v>
      </c>
      <c r="CJ322" s="71"/>
      <c r="CK322" s="79">
        <f t="shared" si="177"/>
        <v>1</v>
      </c>
      <c r="CL322" s="79" t="s">
        <v>389</v>
      </c>
      <c r="CM322" s="79"/>
      <c r="CN322" s="79"/>
      <c r="CO322" s="79"/>
      <c r="CP322" s="79"/>
      <c r="CQ322" s="79"/>
      <c r="CR322" s="83" t="s">
        <v>390</v>
      </c>
      <c r="CS322" s="83" t="s">
        <v>179</v>
      </c>
      <c r="CT322" s="83" t="s">
        <v>179</v>
      </c>
      <c r="CU322" s="83" t="s">
        <v>179</v>
      </c>
      <c r="CV322" s="83" t="s">
        <v>179</v>
      </c>
      <c r="CW322" s="83" t="s">
        <v>179</v>
      </c>
      <c r="CX322" s="79" t="s">
        <v>153</v>
      </c>
      <c r="CY322" s="79">
        <f t="shared" si="198"/>
        <v>1</v>
      </c>
      <c r="CZ322" s="79">
        <v>1</v>
      </c>
      <c r="DA322" s="79">
        <f t="shared" si="199"/>
        <v>1</v>
      </c>
      <c r="DB322" s="84"/>
      <c r="DC322" s="41"/>
      <c r="DD322" s="79" t="s">
        <v>153</v>
      </c>
      <c r="DE322" s="71"/>
      <c r="DF322" s="85" t="s">
        <v>2430</v>
      </c>
      <c r="DG322" s="79">
        <v>312</v>
      </c>
      <c r="DH322" s="86" t="str">
        <f t="shared" si="191"/>
        <v>Completo</v>
      </c>
      <c r="DI322" s="79" t="s">
        <v>181</v>
      </c>
      <c r="DJ322" s="79" t="s">
        <v>182</v>
      </c>
      <c r="DK322" s="79" t="s">
        <v>153</v>
      </c>
      <c r="DL322" s="79">
        <v>0</v>
      </c>
      <c r="DM322" s="79">
        <v>0</v>
      </c>
      <c r="DN322" s="79" t="s">
        <v>182</v>
      </c>
      <c r="DO322" s="79">
        <v>292</v>
      </c>
      <c r="DP322" s="79" t="s">
        <v>182</v>
      </c>
      <c r="DQ322" s="79">
        <v>18</v>
      </c>
      <c r="DR322" s="75">
        <f t="shared" si="161"/>
        <v>1.6216216216216217</v>
      </c>
      <c r="DS322" s="79" t="s">
        <v>182</v>
      </c>
      <c r="DT322" s="79">
        <v>25</v>
      </c>
      <c r="DU322" s="75">
        <f t="shared" si="162"/>
        <v>1.9305019305019306</v>
      </c>
      <c r="DV322" s="79" t="s">
        <v>182</v>
      </c>
      <c r="DW322" s="79" t="s">
        <v>182</v>
      </c>
      <c r="DX322" s="79">
        <v>3</v>
      </c>
      <c r="DY322" s="79">
        <v>0</v>
      </c>
      <c r="DZ322" s="79"/>
      <c r="EA322" s="79">
        <v>292</v>
      </c>
      <c r="EB322" s="79" t="s">
        <v>182</v>
      </c>
      <c r="EC322" s="79" t="s">
        <v>2431</v>
      </c>
      <c r="ED322" s="79" t="s">
        <v>184</v>
      </c>
      <c r="EE322" s="79" t="str">
        <f t="shared" si="201"/>
        <v>Completo</v>
      </c>
      <c r="EF322" s="41"/>
      <c r="EG322" s="79" t="s">
        <v>153</v>
      </c>
      <c r="EH322" s="71"/>
      <c r="EI322" s="89" t="s">
        <v>2432</v>
      </c>
      <c r="EJ322" s="71"/>
      <c r="EK322" s="79" t="s">
        <v>409</v>
      </c>
      <c r="EL322" s="76" t="str">
        <f t="shared" si="163"/>
        <v>Sí</v>
      </c>
      <c r="EM322" s="76" t="str">
        <f t="shared" si="164"/>
        <v>No</v>
      </c>
      <c r="EN322" s="76" t="str">
        <f t="shared" si="195"/>
        <v>Sí</v>
      </c>
      <c r="EO322" s="71"/>
      <c r="EP322" s="73" t="str">
        <f t="shared" si="165"/>
        <v>No aplica</v>
      </c>
      <c r="EQ322" s="77">
        <f t="shared" si="166"/>
        <v>1.9305019305019306</v>
      </c>
      <c r="ER322" s="71"/>
      <c r="ES322" s="79" t="s">
        <v>409</v>
      </c>
      <c r="ET322" s="73">
        <f t="shared" si="167"/>
        <v>1</v>
      </c>
      <c r="EU322" s="73">
        <f t="shared" si="196"/>
        <v>1</v>
      </c>
      <c r="EV322" s="73">
        <f t="shared" si="168"/>
        <v>1</v>
      </c>
      <c r="EW322" s="73">
        <f t="shared" si="169"/>
        <v>1</v>
      </c>
      <c r="EX322" s="78"/>
      <c r="EY322" s="78"/>
    </row>
    <row r="323" spans="1:155" ht="46.5" customHeight="1">
      <c r="A323" s="79">
        <v>319</v>
      </c>
      <c r="B323" s="80" t="s">
        <v>2433</v>
      </c>
      <c r="C323" s="81">
        <v>45400</v>
      </c>
      <c r="D323" s="82">
        <v>0.70833333333333337</v>
      </c>
      <c r="E323" s="79" t="s">
        <v>151</v>
      </c>
      <c r="F323" s="79" t="s">
        <v>153</v>
      </c>
      <c r="G323" s="79" t="s">
        <v>153</v>
      </c>
      <c r="H323" s="79" t="s">
        <v>153</v>
      </c>
      <c r="I323" s="79" t="s">
        <v>152</v>
      </c>
      <c r="J323" s="79" t="s">
        <v>154</v>
      </c>
      <c r="K323" s="79" t="s">
        <v>155</v>
      </c>
      <c r="L323" s="80" t="s">
        <v>2412</v>
      </c>
      <c r="M323" s="80" t="s">
        <v>303</v>
      </c>
      <c r="N323" s="79" t="s">
        <v>645</v>
      </c>
      <c r="O323" s="80" t="str">
        <f t="shared" si="157"/>
        <v>Mateo López Narváez, PENDIENTE</v>
      </c>
      <c r="P323" s="79" t="s">
        <v>523</v>
      </c>
      <c r="Q323" s="79" t="s">
        <v>196</v>
      </c>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t="s">
        <v>304</v>
      </c>
      <c r="AP323" s="79"/>
      <c r="AQ323" s="80" t="s">
        <v>2434</v>
      </c>
      <c r="AR323" s="83">
        <v>3102321552</v>
      </c>
      <c r="AS323" s="80" t="s">
        <v>2435</v>
      </c>
      <c r="AT323" s="80" t="str">
        <f t="shared" si="158"/>
        <v>Usme</v>
      </c>
      <c r="AU323" s="79" t="s">
        <v>1009</v>
      </c>
      <c r="AV323" s="79"/>
      <c r="AW323" s="79"/>
      <c r="AX323" s="79"/>
      <c r="AY323" s="79"/>
      <c r="AZ323" s="79"/>
      <c r="BA323" s="80" t="str">
        <f t="shared" si="159"/>
        <v>Suroriente, Ruralidad</v>
      </c>
      <c r="BB323" s="79" t="s">
        <v>218</v>
      </c>
      <c r="BC323" s="79" t="s">
        <v>219</v>
      </c>
      <c r="BD323" s="79"/>
      <c r="BE323" s="79"/>
      <c r="BF323" s="79"/>
      <c r="BG323" s="79"/>
      <c r="BH323" s="80" t="str">
        <f t="shared" si="160"/>
        <v>Usme Entrenubes, Rafael Uribe, Cuenca del Tunjuelo, Cerros Orientales</v>
      </c>
      <c r="BI323" s="79" t="s">
        <v>1010</v>
      </c>
      <c r="BJ323" s="79" t="s">
        <v>723</v>
      </c>
      <c r="BK323" s="79" t="s">
        <v>222</v>
      </c>
      <c r="BL323" s="79" t="s">
        <v>361</v>
      </c>
      <c r="BM323" s="79"/>
      <c r="BN323" s="79"/>
      <c r="BO323" s="79"/>
      <c r="BP323" s="79"/>
      <c r="BQ323" s="79"/>
      <c r="BR323" s="79"/>
      <c r="BS323" s="80" t="s">
        <v>2436</v>
      </c>
      <c r="BT323" s="80" t="s">
        <v>2372</v>
      </c>
      <c r="BU323" s="80" t="s">
        <v>2437</v>
      </c>
      <c r="BV323" s="71"/>
      <c r="BW323" s="79" t="s">
        <v>153</v>
      </c>
      <c r="BX323" s="79" t="s">
        <v>607</v>
      </c>
      <c r="BY323" s="71"/>
      <c r="BZ323" s="79">
        <v>17</v>
      </c>
      <c r="CA323" s="79">
        <v>4</v>
      </c>
      <c r="CB323" s="79">
        <f t="shared" si="178"/>
        <v>21</v>
      </c>
      <c r="CC323" s="79" t="str">
        <f t="shared" si="194"/>
        <v>Ninguna</v>
      </c>
      <c r="CD323" s="79" t="s">
        <v>174</v>
      </c>
      <c r="CE323" s="79"/>
      <c r="CF323" s="79"/>
      <c r="CG323" s="83" t="s">
        <v>2414</v>
      </c>
      <c r="CH323" s="41"/>
      <c r="CI323" s="79" t="s">
        <v>153</v>
      </c>
      <c r="CJ323" s="71"/>
      <c r="CK323" s="79">
        <f t="shared" si="177"/>
        <v>1</v>
      </c>
      <c r="CL323" s="79" t="s">
        <v>389</v>
      </c>
      <c r="CM323" s="79"/>
      <c r="CN323" s="79"/>
      <c r="CO323" s="79"/>
      <c r="CP323" s="79"/>
      <c r="CQ323" s="79"/>
      <c r="CR323" s="83" t="s">
        <v>390</v>
      </c>
      <c r="CS323" s="83" t="s">
        <v>179</v>
      </c>
      <c r="CT323" s="83" t="s">
        <v>179</v>
      </c>
      <c r="CU323" s="83" t="s">
        <v>179</v>
      </c>
      <c r="CV323" s="83" t="s">
        <v>179</v>
      </c>
      <c r="CW323" s="83" t="s">
        <v>179</v>
      </c>
      <c r="CX323" s="79" t="s">
        <v>153</v>
      </c>
      <c r="CY323" s="79">
        <f t="shared" si="198"/>
        <v>1</v>
      </c>
      <c r="CZ323" s="79">
        <v>1</v>
      </c>
      <c r="DA323" s="79">
        <f t="shared" si="199"/>
        <v>1</v>
      </c>
      <c r="DB323" s="84">
        <f t="shared" ref="DB323:DB326" si="203">IFERROR(CY323/CK323,"")</f>
        <v>1</v>
      </c>
      <c r="DC323" s="41"/>
      <c r="DD323" s="79" t="s">
        <v>153</v>
      </c>
      <c r="DE323" s="71"/>
      <c r="DF323" s="85" t="s">
        <v>2438</v>
      </c>
      <c r="DG323" s="79">
        <v>313</v>
      </c>
      <c r="DH323" s="86" t="str">
        <f t="shared" si="191"/>
        <v>Completo</v>
      </c>
      <c r="DI323" s="79" t="s">
        <v>181</v>
      </c>
      <c r="DJ323" s="79" t="s">
        <v>182</v>
      </c>
      <c r="DK323" s="79" t="s">
        <v>153</v>
      </c>
      <c r="DL323" s="79">
        <v>0</v>
      </c>
      <c r="DM323" s="79">
        <v>0</v>
      </c>
      <c r="DN323" s="79" t="s">
        <v>182</v>
      </c>
      <c r="DO323" s="79">
        <v>408</v>
      </c>
      <c r="DP323" s="79" t="s">
        <v>182</v>
      </c>
      <c r="DQ323" s="79">
        <v>9</v>
      </c>
      <c r="DR323" s="75">
        <f t="shared" si="161"/>
        <v>1.7647058823529413</v>
      </c>
      <c r="DS323" s="79" t="s">
        <v>182</v>
      </c>
      <c r="DT323" s="79">
        <v>32</v>
      </c>
      <c r="DU323" s="75">
        <f t="shared" si="162"/>
        <v>5.3781512605042021</v>
      </c>
      <c r="DV323" s="79" t="s">
        <v>182</v>
      </c>
      <c r="DW323" s="79" t="s">
        <v>182</v>
      </c>
      <c r="DX323" s="79">
        <v>2</v>
      </c>
      <c r="DY323" s="79">
        <v>0</v>
      </c>
      <c r="DZ323" s="79"/>
      <c r="EA323" s="79">
        <v>408</v>
      </c>
      <c r="EB323" s="79" t="s">
        <v>182</v>
      </c>
      <c r="EC323" s="79" t="s">
        <v>2439</v>
      </c>
      <c r="ED323" s="79" t="s">
        <v>184</v>
      </c>
      <c r="EE323" s="79" t="str">
        <f t="shared" si="201"/>
        <v>Completo</v>
      </c>
      <c r="EF323" s="41"/>
      <c r="EG323" s="79" t="s">
        <v>153</v>
      </c>
      <c r="EH323" s="71"/>
      <c r="EI323" s="89" t="s">
        <v>2440</v>
      </c>
      <c r="EJ323" s="71"/>
      <c r="EK323" s="79" t="s">
        <v>409</v>
      </c>
      <c r="EL323" s="76" t="str">
        <f t="shared" si="163"/>
        <v>Sí</v>
      </c>
      <c r="EM323" s="76" t="str">
        <f t="shared" si="164"/>
        <v>No</v>
      </c>
      <c r="EN323" s="76" t="str">
        <f t="shared" si="195"/>
        <v>No</v>
      </c>
      <c r="EO323" s="71"/>
      <c r="EP323" s="73" t="str">
        <f t="shared" si="165"/>
        <v>No aplica</v>
      </c>
      <c r="EQ323" s="77">
        <f t="shared" si="166"/>
        <v>5.3781512605042021</v>
      </c>
      <c r="ER323" s="71"/>
      <c r="ES323" s="79" t="s">
        <v>409</v>
      </c>
      <c r="ET323" s="73">
        <f t="shared" si="167"/>
        <v>1</v>
      </c>
      <c r="EU323" s="73">
        <f t="shared" si="196"/>
        <v>1</v>
      </c>
      <c r="EV323" s="73">
        <f t="shared" si="168"/>
        <v>1</v>
      </c>
      <c r="EW323" s="73">
        <f t="shared" si="169"/>
        <v>1</v>
      </c>
      <c r="EX323" s="78"/>
      <c r="EY323" s="78"/>
    </row>
    <row r="324" spans="1:155" ht="46.5" customHeight="1">
      <c r="A324" s="79">
        <v>320</v>
      </c>
      <c r="B324" s="80" t="s">
        <v>2441</v>
      </c>
      <c r="C324" s="81">
        <v>45400</v>
      </c>
      <c r="D324" s="82">
        <v>0.70833333333333337</v>
      </c>
      <c r="E324" s="79" t="s">
        <v>151</v>
      </c>
      <c r="F324" s="79" t="s">
        <v>153</v>
      </c>
      <c r="G324" s="79" t="s">
        <v>153</v>
      </c>
      <c r="H324" s="79" t="s">
        <v>153</v>
      </c>
      <c r="I324" s="79" t="s">
        <v>152</v>
      </c>
      <c r="J324" s="79" t="s">
        <v>154</v>
      </c>
      <c r="K324" s="79" t="s">
        <v>155</v>
      </c>
      <c r="L324" s="80" t="s">
        <v>2412</v>
      </c>
      <c r="M324" s="80" t="s">
        <v>303</v>
      </c>
      <c r="N324" s="79" t="s">
        <v>556</v>
      </c>
      <c r="O324" s="80" t="str">
        <f t="shared" si="157"/>
        <v>Johanna Catherine Gamez, PENDIENTE</v>
      </c>
      <c r="P324" s="79" t="s">
        <v>213</v>
      </c>
      <c r="Q324" s="79" t="s">
        <v>196</v>
      </c>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t="s">
        <v>304</v>
      </c>
      <c r="AP324" s="79"/>
      <c r="AQ324" s="80" t="s">
        <v>2442</v>
      </c>
      <c r="AR324" s="83">
        <v>3197783773</v>
      </c>
      <c r="AS324" s="80" t="s">
        <v>2443</v>
      </c>
      <c r="AT324" s="80" t="str">
        <f t="shared" si="158"/>
        <v>Antonio Nariño</v>
      </c>
      <c r="AU324" s="79" t="s">
        <v>634</v>
      </c>
      <c r="AV324" s="79"/>
      <c r="AW324" s="79"/>
      <c r="AX324" s="79"/>
      <c r="AY324" s="79"/>
      <c r="AZ324" s="79"/>
      <c r="BA324" s="80" t="str">
        <f t="shared" si="159"/>
        <v>Centro Ampliado</v>
      </c>
      <c r="BB324" s="79" t="s">
        <v>636</v>
      </c>
      <c r="BC324" s="79"/>
      <c r="BD324" s="79"/>
      <c r="BE324" s="79"/>
      <c r="BF324" s="79"/>
      <c r="BG324" s="79"/>
      <c r="BH324" s="80" t="str">
        <f t="shared" si="160"/>
        <v>Restrepo</v>
      </c>
      <c r="BI324" s="79" t="s">
        <v>637</v>
      </c>
      <c r="BJ324" s="79"/>
      <c r="BK324" s="79"/>
      <c r="BL324" s="79"/>
      <c r="BM324" s="79"/>
      <c r="BN324" s="79"/>
      <c r="BO324" s="79"/>
      <c r="BP324" s="79"/>
      <c r="BQ324" s="79"/>
      <c r="BR324" s="79"/>
      <c r="BS324" s="80" t="s">
        <v>637</v>
      </c>
      <c r="BT324" s="80" t="s">
        <v>174</v>
      </c>
      <c r="BU324" s="80" t="s">
        <v>2444</v>
      </c>
      <c r="BV324" s="71"/>
      <c r="BW324" s="79" t="s">
        <v>153</v>
      </c>
      <c r="BX324" s="79" t="s">
        <v>607</v>
      </c>
      <c r="BY324" s="71"/>
      <c r="BZ324" s="79">
        <v>79</v>
      </c>
      <c r="CA324" s="79">
        <v>4</v>
      </c>
      <c r="CB324" s="79">
        <f t="shared" si="178"/>
        <v>83</v>
      </c>
      <c r="CC324" s="79" t="str">
        <f t="shared" si="194"/>
        <v>Accesibilidad Universal, Horarios Acordes</v>
      </c>
      <c r="CD324" s="79" t="s">
        <v>397</v>
      </c>
      <c r="CE324" s="79" t="s">
        <v>351</v>
      </c>
      <c r="CF324" s="79"/>
      <c r="CG324" s="83" t="s">
        <v>2414</v>
      </c>
      <c r="CH324" s="41"/>
      <c r="CI324" s="79" t="s">
        <v>153</v>
      </c>
      <c r="CJ324" s="71"/>
      <c r="CK324" s="79">
        <f t="shared" si="177"/>
        <v>1</v>
      </c>
      <c r="CL324" s="79" t="s">
        <v>2445</v>
      </c>
      <c r="CM324" s="79"/>
      <c r="CN324" s="79"/>
      <c r="CO324" s="79"/>
      <c r="CP324" s="79"/>
      <c r="CQ324" s="79"/>
      <c r="CR324" s="83" t="s">
        <v>390</v>
      </c>
      <c r="CS324" s="83" t="s">
        <v>179</v>
      </c>
      <c r="CT324" s="83" t="s">
        <v>179</v>
      </c>
      <c r="CU324" s="83" t="s">
        <v>179</v>
      </c>
      <c r="CV324" s="83" t="s">
        <v>179</v>
      </c>
      <c r="CW324" s="83" t="s">
        <v>179</v>
      </c>
      <c r="CX324" s="79" t="s">
        <v>153</v>
      </c>
      <c r="CY324" s="79">
        <f t="shared" si="198"/>
        <v>1</v>
      </c>
      <c r="CZ324" s="79">
        <v>1</v>
      </c>
      <c r="DA324" s="79">
        <f t="shared" si="199"/>
        <v>1</v>
      </c>
      <c r="DB324" s="84">
        <f t="shared" si="203"/>
        <v>1</v>
      </c>
      <c r="DC324" s="41"/>
      <c r="DD324" s="79" t="s">
        <v>153</v>
      </c>
      <c r="DE324" s="71"/>
      <c r="DF324" s="85" t="s">
        <v>2446</v>
      </c>
      <c r="DG324" s="79">
        <v>314</v>
      </c>
      <c r="DH324" s="86" t="str">
        <f t="shared" si="191"/>
        <v>Completo</v>
      </c>
      <c r="DI324" s="79" t="s">
        <v>181</v>
      </c>
      <c r="DJ324" s="79" t="s">
        <v>182</v>
      </c>
      <c r="DK324" s="79" t="s">
        <v>153</v>
      </c>
      <c r="DL324" s="79">
        <v>0</v>
      </c>
      <c r="DM324" s="79">
        <v>0</v>
      </c>
      <c r="DN324" s="79" t="s">
        <v>182</v>
      </c>
      <c r="DO324" s="79">
        <v>121</v>
      </c>
      <c r="DP324" s="79" t="s">
        <v>182</v>
      </c>
      <c r="DQ324" s="79">
        <v>24</v>
      </c>
      <c r="DR324" s="75">
        <f t="shared" si="161"/>
        <v>1.0126582278481013</v>
      </c>
      <c r="DS324" s="79" t="s">
        <v>182</v>
      </c>
      <c r="DT324" s="79">
        <v>31</v>
      </c>
      <c r="DU324" s="75">
        <f t="shared" si="162"/>
        <v>1.1211573236889694</v>
      </c>
      <c r="DV324" s="79" t="s">
        <v>182</v>
      </c>
      <c r="DW324" s="79" t="s">
        <v>182</v>
      </c>
      <c r="DX324" s="79">
        <v>3</v>
      </c>
      <c r="DY324" s="79">
        <v>0</v>
      </c>
      <c r="DZ324" s="79" t="s">
        <v>2447</v>
      </c>
      <c r="EA324" s="79">
        <v>121</v>
      </c>
      <c r="EB324" s="79" t="s">
        <v>182</v>
      </c>
      <c r="EC324" s="79" t="s">
        <v>2448</v>
      </c>
      <c r="ED324" s="79" t="s">
        <v>184</v>
      </c>
      <c r="EE324" s="79" t="str">
        <f t="shared" si="201"/>
        <v>Completo</v>
      </c>
      <c r="EF324" s="41"/>
      <c r="EG324" s="79" t="s">
        <v>153</v>
      </c>
      <c r="EH324" s="71"/>
      <c r="EI324" s="89" t="s">
        <v>2449</v>
      </c>
      <c r="EJ324" s="71"/>
      <c r="EK324" s="79" t="s">
        <v>393</v>
      </c>
      <c r="EL324" s="76" t="str">
        <f t="shared" si="163"/>
        <v>Sí</v>
      </c>
      <c r="EM324" s="76" t="str">
        <f t="shared" si="164"/>
        <v>No</v>
      </c>
      <c r="EN324" s="76" t="str">
        <f t="shared" si="195"/>
        <v>Sí</v>
      </c>
      <c r="EO324" s="71"/>
      <c r="EP324" s="73" t="str">
        <f t="shared" si="165"/>
        <v>No aplica</v>
      </c>
      <c r="EQ324" s="77">
        <f t="shared" si="166"/>
        <v>1.1211573236889694</v>
      </c>
      <c r="ER324" s="71"/>
      <c r="ES324" s="79" t="s">
        <v>393</v>
      </c>
      <c r="ET324" s="73">
        <f t="shared" si="167"/>
        <v>1</v>
      </c>
      <c r="EU324" s="73">
        <f t="shared" si="196"/>
        <v>1</v>
      </c>
      <c r="EV324" s="73">
        <f t="shared" si="168"/>
        <v>1</v>
      </c>
      <c r="EW324" s="73">
        <f t="shared" si="169"/>
        <v>1</v>
      </c>
      <c r="EX324" s="78"/>
      <c r="EY324" s="78"/>
    </row>
    <row r="325" spans="1:155" ht="46.5" customHeight="1">
      <c r="A325" s="79">
        <v>321</v>
      </c>
      <c r="B325" s="80" t="s">
        <v>2450</v>
      </c>
      <c r="C325" s="81">
        <v>45400</v>
      </c>
      <c r="D325" s="82">
        <v>0.70833333333333337</v>
      </c>
      <c r="E325" s="79" t="s">
        <v>151</v>
      </c>
      <c r="F325" s="79" t="s">
        <v>153</v>
      </c>
      <c r="G325" s="79" t="s">
        <v>153</v>
      </c>
      <c r="H325" s="79" t="s">
        <v>153</v>
      </c>
      <c r="I325" s="79" t="s">
        <v>152</v>
      </c>
      <c r="J325" s="79" t="s">
        <v>154</v>
      </c>
      <c r="K325" s="79" t="s">
        <v>155</v>
      </c>
      <c r="L325" s="80" t="s">
        <v>2412</v>
      </c>
      <c r="M325" s="80" t="s">
        <v>303</v>
      </c>
      <c r="N325" s="79" t="s">
        <v>632</v>
      </c>
      <c r="O325" s="80" t="str">
        <f t="shared" ref="O325:O388" si="204">_xlfn.TEXTJOIN(", ",TRUE,P325:AN325)</f>
        <v>Hernán Darío Meléndez, PENDIENTE</v>
      </c>
      <c r="P325" s="79" t="s">
        <v>633</v>
      </c>
      <c r="Q325" s="79" t="s">
        <v>196</v>
      </c>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t="s">
        <v>304</v>
      </c>
      <c r="AP325" s="79"/>
      <c r="AQ325" s="80" t="s">
        <v>2451</v>
      </c>
      <c r="AR325" s="83">
        <v>3045919577</v>
      </c>
      <c r="AS325" s="80" t="s">
        <v>2452</v>
      </c>
      <c r="AT325" s="80" t="str">
        <f t="shared" ref="AT325:AT388" si="205">_xlfn.TEXTJOIN(", ",TRUE,$AU325:$AY325)</f>
        <v>Santa Fe</v>
      </c>
      <c r="AU325" s="79" t="s">
        <v>822</v>
      </c>
      <c r="AV325" s="79"/>
      <c r="AW325" s="79"/>
      <c r="AX325" s="79"/>
      <c r="AY325" s="79"/>
      <c r="AZ325" s="79"/>
      <c r="BA325" s="80" t="str">
        <f t="shared" ref="BA325:BA388" si="206">_xlfn.TEXTJOIN(", ",TRUE,$BB325:$BG325)</f>
        <v>Centro Ampliado, Ruralidad</v>
      </c>
      <c r="BB325" s="79" t="s">
        <v>636</v>
      </c>
      <c r="BC325" s="79" t="s">
        <v>219</v>
      </c>
      <c r="BD325" s="79"/>
      <c r="BE325" s="79"/>
      <c r="BF325" s="79"/>
      <c r="BG325" s="79"/>
      <c r="BH325" s="80" t="str">
        <f t="shared" ref="BH325:BH388" si="207">_xlfn.TEXTJOIN(", ",TRUE,$BI325:$BR325)</f>
        <v>Cerros Orientales, Centro Histórico</v>
      </c>
      <c r="BI325" s="79" t="s">
        <v>361</v>
      </c>
      <c r="BJ325" s="79" t="s">
        <v>754</v>
      </c>
      <c r="BK325" s="79"/>
      <c r="BL325" s="79"/>
      <c r="BM325" s="79"/>
      <c r="BN325" s="79"/>
      <c r="BO325" s="79"/>
      <c r="BP325" s="79"/>
      <c r="BQ325" s="79"/>
      <c r="BR325" s="79"/>
      <c r="BS325" s="80" t="s">
        <v>2453</v>
      </c>
      <c r="BT325" s="80" t="s">
        <v>2454</v>
      </c>
      <c r="BU325" s="80" t="s">
        <v>2455</v>
      </c>
      <c r="BV325" s="71"/>
      <c r="BW325" s="79" t="s">
        <v>153</v>
      </c>
      <c r="BX325" s="79" t="s">
        <v>607</v>
      </c>
      <c r="BY325" s="71"/>
      <c r="BZ325" s="79">
        <v>31</v>
      </c>
      <c r="CA325" s="79">
        <v>4</v>
      </c>
      <c r="CB325" s="79">
        <f t="shared" si="178"/>
        <v>35</v>
      </c>
      <c r="CC325" s="79" t="str">
        <f t="shared" si="194"/>
        <v>Ninguna</v>
      </c>
      <c r="CD325" s="79" t="s">
        <v>174</v>
      </c>
      <c r="CE325" s="79"/>
      <c r="CF325" s="79"/>
      <c r="CG325" s="83" t="s">
        <v>2414</v>
      </c>
      <c r="CH325" s="41"/>
      <c r="CI325" s="79" t="s">
        <v>153</v>
      </c>
      <c r="CJ325" s="71"/>
      <c r="CK325" s="79">
        <f t="shared" si="177"/>
        <v>1</v>
      </c>
      <c r="CL325" s="79" t="s">
        <v>389</v>
      </c>
      <c r="CM325" s="79"/>
      <c r="CN325" s="79"/>
      <c r="CO325" s="79"/>
      <c r="CP325" s="79"/>
      <c r="CQ325" s="79"/>
      <c r="CR325" s="83" t="s">
        <v>390</v>
      </c>
      <c r="CS325" s="83" t="s">
        <v>179</v>
      </c>
      <c r="CT325" s="83" t="s">
        <v>179</v>
      </c>
      <c r="CU325" s="83" t="s">
        <v>179</v>
      </c>
      <c r="CV325" s="83" t="s">
        <v>179</v>
      </c>
      <c r="CW325" s="83" t="s">
        <v>179</v>
      </c>
      <c r="CX325" s="79" t="s">
        <v>153</v>
      </c>
      <c r="CY325" s="79">
        <f t="shared" si="198"/>
        <v>1</v>
      </c>
      <c r="CZ325" s="79">
        <v>1</v>
      </c>
      <c r="DA325" s="79">
        <f t="shared" si="199"/>
        <v>1</v>
      </c>
      <c r="DB325" s="84">
        <f t="shared" si="203"/>
        <v>1</v>
      </c>
      <c r="DC325" s="41"/>
      <c r="DD325" s="79" t="s">
        <v>153</v>
      </c>
      <c r="DE325" s="71"/>
      <c r="DF325" s="85" t="s">
        <v>2456</v>
      </c>
      <c r="DG325" s="79">
        <v>315</v>
      </c>
      <c r="DH325" s="86" t="str">
        <f t="shared" si="191"/>
        <v>Completo</v>
      </c>
      <c r="DI325" s="79" t="s">
        <v>181</v>
      </c>
      <c r="DJ325" s="79" t="s">
        <v>182</v>
      </c>
      <c r="DK325" s="79" t="s">
        <v>153</v>
      </c>
      <c r="DL325" s="79">
        <v>0</v>
      </c>
      <c r="DM325" s="79">
        <v>0</v>
      </c>
      <c r="DN325" s="79" t="s">
        <v>182</v>
      </c>
      <c r="DO325" s="79">
        <v>90</v>
      </c>
      <c r="DP325" s="79" t="s">
        <v>182</v>
      </c>
      <c r="DQ325" s="79">
        <v>11</v>
      </c>
      <c r="DR325" s="75">
        <f t="shared" ref="DR325:DR388" si="208">IF(H325="SÍ", (DQ325/(BZ325*0.3)), "No aplica")</f>
        <v>1.1827956989247312</v>
      </c>
      <c r="DS325" s="79" t="s">
        <v>182</v>
      </c>
      <c r="DT325" s="79">
        <v>16</v>
      </c>
      <c r="DU325" s="75">
        <f t="shared" ref="DU325:DU388" si="209">IF(H325="SÍ", (DT325/(BZ325*0.35)), "No aplica")</f>
        <v>1.4746543778801844</v>
      </c>
      <c r="DV325" s="79" t="s">
        <v>182</v>
      </c>
      <c r="DW325" s="79" t="s">
        <v>182</v>
      </c>
      <c r="DX325" s="79">
        <v>4</v>
      </c>
      <c r="DY325" s="79">
        <v>0</v>
      </c>
      <c r="DZ325" s="79"/>
      <c r="EA325" s="79">
        <v>113</v>
      </c>
      <c r="EB325" s="79" t="s">
        <v>182</v>
      </c>
      <c r="EC325" s="79" t="s">
        <v>2457</v>
      </c>
      <c r="ED325" s="79" t="s">
        <v>184</v>
      </c>
      <c r="EE325" s="79" t="str">
        <f t="shared" si="201"/>
        <v>Completo</v>
      </c>
      <c r="EF325" s="41"/>
      <c r="EG325" s="79" t="s">
        <v>153</v>
      </c>
      <c r="EH325" s="71"/>
      <c r="EI325" s="89" t="s">
        <v>2458</v>
      </c>
      <c r="EJ325" s="71"/>
      <c r="EK325" s="79" t="s">
        <v>393</v>
      </c>
      <c r="EL325" s="76" t="str">
        <f t="shared" ref="EL325:EL388" si="210">IF(F325="NO","No requiere",IF(H325="No","No requiere",IF(DW325="","",IF(DW325&lt;&gt;"No aplica",IF(DX325&lt;&gt;"No aplica",IF(DX325&gt;=2,"Sí","No"),"No aplica"),"No aplica"))))</f>
        <v>Sí</v>
      </c>
      <c r="EM325" s="76" t="str">
        <f t="shared" ref="EM325:EM388" si="211">IF(F325="NO","No requiere",IF(H325="No","No requiere",IF(DW325="","",IF(DW325&lt;&gt;"No aplica",IF(DY325&lt;&gt;"No aplica",IF(DY325&gt;=1,"Sí","No"),"No aplica"),"No aplica"))))</f>
        <v>No</v>
      </c>
      <c r="EN325" s="76" t="str">
        <f t="shared" si="195"/>
        <v>No</v>
      </c>
      <c r="EO325" s="71"/>
      <c r="EP325" s="73" t="str">
        <f t="shared" ref="EP325:EP388" si="212">IF(F325="NO","No requiere",IF(H325="No","No requiere",IF(DL325="","",IF(DL325&gt;=1,DM325/DL325,"No aplica"))))</f>
        <v>No aplica</v>
      </c>
      <c r="EQ325" s="77">
        <f t="shared" ref="EQ325:EQ388" si="213">IFERROR(IF(F325="NO","No requiere",IF(H325="No","No requiere",DU325)),"")</f>
        <v>1.4746543778801844</v>
      </c>
      <c r="ER325" s="71"/>
      <c r="ES325" s="79" t="s">
        <v>393</v>
      </c>
      <c r="ET325" s="73">
        <f t="shared" ref="ET325:ET388" si="214">IF(F325="NO","No requiere",IF(H325="No","No requiere",IFERROR(COUNTIF(DJ325:DW325,"Completo")/SUM(COUNTIF(DJ325:DW325,"Completo"),COUNTIF(DJ325:DW325,"Incompleto"),COUNTIF(DJ325:DW325,"No subido"),COUNTIF(DJ325:DW325,"No existente"),COUNTIF(DJ325:DW325,"Pendiente")),"")))</f>
        <v>1</v>
      </c>
      <c r="EU325" s="73">
        <f t="shared" si="196"/>
        <v>1</v>
      </c>
      <c r="EV325" s="73">
        <f t="shared" ref="EV325:EV388" si="215">IF(EU325="Por verificar","Por verificar",IF(F325="NO","No requiere",IF(H325="No","No requiere",IFERROR(IF(EU325="","",IF(CK325&gt;=1,DA325/CZ325,"No aplica")),"No aplica"))))</f>
        <v>1</v>
      </c>
      <c r="EW325" s="73">
        <f t="shared" ref="EW325:EW388" si="216">IF(F325="NO","No requiere",IF(H325="No","No requiere",IFERROR(IF(BZ325="","",IF(EA325&lt;&gt;"No aplica",IF(EA325&gt;=1,DO325/EA325,"0%"),"No aplica")),"")))</f>
        <v>0.79646017699115046</v>
      </c>
      <c r="EX325" s="78"/>
      <c r="EY325" s="78"/>
    </row>
    <row r="326" spans="1:155" ht="46.5" customHeight="1">
      <c r="A326" s="79">
        <v>322</v>
      </c>
      <c r="B326" s="80" t="s">
        <v>2459</v>
      </c>
      <c r="C326" s="81">
        <v>45400</v>
      </c>
      <c r="D326" s="82">
        <v>0.70833333333333337</v>
      </c>
      <c r="E326" s="79" t="s">
        <v>151</v>
      </c>
      <c r="F326" s="79" t="s">
        <v>153</v>
      </c>
      <c r="G326" s="79" t="s">
        <v>153</v>
      </c>
      <c r="H326" s="79" t="s">
        <v>153</v>
      </c>
      <c r="I326" s="79" t="s">
        <v>152</v>
      </c>
      <c r="J326" s="79" t="s">
        <v>154</v>
      </c>
      <c r="K326" s="79" t="s">
        <v>155</v>
      </c>
      <c r="L326" s="80" t="s">
        <v>2412</v>
      </c>
      <c r="M326" s="80" t="s">
        <v>303</v>
      </c>
      <c r="N326" s="79" t="s">
        <v>373</v>
      </c>
      <c r="O326" s="80" t="str">
        <f t="shared" si="204"/>
        <v>Yohan David Díaz, PENDIENTE</v>
      </c>
      <c r="P326" s="79" t="s">
        <v>164</v>
      </c>
      <c r="Q326" s="79" t="s">
        <v>196</v>
      </c>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t="s">
        <v>304</v>
      </c>
      <c r="AP326" s="79"/>
      <c r="AQ326" s="80" t="s">
        <v>2167</v>
      </c>
      <c r="AR326" s="83">
        <f>3102558764</f>
        <v>3102558764</v>
      </c>
      <c r="AS326" s="80" t="s">
        <v>1989</v>
      </c>
      <c r="AT326" s="80" t="str">
        <f t="shared" si="205"/>
        <v>Rafael Uribe Uribe</v>
      </c>
      <c r="AU326" s="79" t="s">
        <v>635</v>
      </c>
      <c r="AV326" s="79"/>
      <c r="AW326" s="79"/>
      <c r="AX326" s="79"/>
      <c r="AY326" s="79"/>
      <c r="AZ326" s="79"/>
      <c r="BA326" s="80" t="str">
        <f t="shared" si="206"/>
        <v>Centro Ampliado, Suroriente</v>
      </c>
      <c r="BB326" s="79" t="s">
        <v>636</v>
      </c>
      <c r="BC326" s="79" t="s">
        <v>218</v>
      </c>
      <c r="BD326" s="79"/>
      <c r="BE326" s="79"/>
      <c r="BF326" s="79"/>
      <c r="BG326" s="79"/>
      <c r="BH326" s="80" t="str">
        <f t="shared" si="207"/>
        <v>Rafael Uribe, San Cristobal, Restrepo</v>
      </c>
      <c r="BI326" s="79" t="s">
        <v>723</v>
      </c>
      <c r="BJ326" s="79" t="s">
        <v>571</v>
      </c>
      <c r="BK326" s="79" t="s">
        <v>637</v>
      </c>
      <c r="BL326" s="79"/>
      <c r="BM326" s="79"/>
      <c r="BN326" s="79"/>
      <c r="BO326" s="79"/>
      <c r="BP326" s="79"/>
      <c r="BQ326" s="79"/>
      <c r="BR326" s="79"/>
      <c r="BS326" s="80" t="s">
        <v>2059</v>
      </c>
      <c r="BT326" s="80" t="s">
        <v>174</v>
      </c>
      <c r="BU326" s="80" t="s">
        <v>2460</v>
      </c>
      <c r="BV326" s="71"/>
      <c r="BW326" s="79" t="s">
        <v>153</v>
      </c>
      <c r="BX326" s="79" t="s">
        <v>607</v>
      </c>
      <c r="BY326" s="71"/>
      <c r="BZ326" s="79">
        <v>47</v>
      </c>
      <c r="CA326" s="79">
        <v>6</v>
      </c>
      <c r="CB326" s="79">
        <f t="shared" si="178"/>
        <v>53</v>
      </c>
      <c r="CC326" s="79" t="str">
        <f t="shared" si="194"/>
        <v>Horarios Acordes</v>
      </c>
      <c r="CD326" s="79" t="s">
        <v>351</v>
      </c>
      <c r="CE326" s="79"/>
      <c r="CF326" s="79"/>
      <c r="CG326" s="83" t="s">
        <v>2414</v>
      </c>
      <c r="CH326" s="41"/>
      <c r="CI326" s="79" t="s">
        <v>153</v>
      </c>
      <c r="CJ326" s="71"/>
      <c r="CK326" s="79">
        <f t="shared" si="177"/>
        <v>1</v>
      </c>
      <c r="CL326" s="79" t="s">
        <v>389</v>
      </c>
      <c r="CM326" s="79"/>
      <c r="CN326" s="79"/>
      <c r="CO326" s="79"/>
      <c r="CP326" s="79"/>
      <c r="CQ326" s="79"/>
      <c r="CR326" s="83" t="s">
        <v>390</v>
      </c>
      <c r="CS326" s="83" t="s">
        <v>179</v>
      </c>
      <c r="CT326" s="83" t="s">
        <v>179</v>
      </c>
      <c r="CU326" s="83" t="s">
        <v>179</v>
      </c>
      <c r="CV326" s="83" t="s">
        <v>179</v>
      </c>
      <c r="CW326" s="83" t="s">
        <v>179</v>
      </c>
      <c r="CX326" s="79" t="s">
        <v>153</v>
      </c>
      <c r="CY326" s="79">
        <f t="shared" si="198"/>
        <v>1</v>
      </c>
      <c r="CZ326" s="79">
        <v>1</v>
      </c>
      <c r="DA326" s="79">
        <f t="shared" si="199"/>
        <v>1</v>
      </c>
      <c r="DB326" s="84">
        <f t="shared" si="203"/>
        <v>1</v>
      </c>
      <c r="DC326" s="41"/>
      <c r="DD326" s="79" t="s">
        <v>153</v>
      </c>
      <c r="DE326" s="71"/>
      <c r="DF326" s="85" t="s">
        <v>2461</v>
      </c>
      <c r="DG326" s="79">
        <v>316</v>
      </c>
      <c r="DH326" s="86" t="str">
        <f t="shared" ref="DH326:DH357" si="217">IF(EE326="Por completar",C326+3,"Completo")</f>
        <v>Completo</v>
      </c>
      <c r="DI326" s="79" t="s">
        <v>181</v>
      </c>
      <c r="DJ326" s="79" t="s">
        <v>182</v>
      </c>
      <c r="DK326" s="79" t="s">
        <v>153</v>
      </c>
      <c r="DL326" s="79">
        <v>0</v>
      </c>
      <c r="DM326" s="79">
        <v>0</v>
      </c>
      <c r="DN326" s="79" t="s">
        <v>182</v>
      </c>
      <c r="DO326" s="79">
        <v>154</v>
      </c>
      <c r="DP326" s="79" t="s">
        <v>182</v>
      </c>
      <c r="DQ326" s="79">
        <v>15</v>
      </c>
      <c r="DR326" s="75">
        <f t="shared" si="208"/>
        <v>1.0638297872340425</v>
      </c>
      <c r="DS326" s="79" t="s">
        <v>182</v>
      </c>
      <c r="DT326" s="79">
        <v>14</v>
      </c>
      <c r="DU326" s="75">
        <f t="shared" si="209"/>
        <v>0.85106382978723405</v>
      </c>
      <c r="DV326" s="79" t="s">
        <v>182</v>
      </c>
      <c r="DW326" s="79" t="s">
        <v>182</v>
      </c>
      <c r="DX326" s="79">
        <v>3</v>
      </c>
      <c r="DY326" s="79">
        <v>0</v>
      </c>
      <c r="DZ326" s="79"/>
      <c r="EA326" s="79">
        <v>154</v>
      </c>
      <c r="EB326" s="79" t="s">
        <v>182</v>
      </c>
      <c r="EC326" s="79" t="s">
        <v>2320</v>
      </c>
      <c r="ED326" s="79" t="s">
        <v>184</v>
      </c>
      <c r="EE326" s="79" t="str">
        <f t="shared" si="201"/>
        <v>Completo</v>
      </c>
      <c r="EF326" s="41"/>
      <c r="EG326" s="79" t="s">
        <v>153</v>
      </c>
      <c r="EH326" s="71"/>
      <c r="EI326" s="89" t="s">
        <v>2462</v>
      </c>
      <c r="EJ326" s="71"/>
      <c r="EK326" s="79" t="s">
        <v>393</v>
      </c>
      <c r="EL326" s="76" t="str">
        <f t="shared" si="210"/>
        <v>Sí</v>
      </c>
      <c r="EM326" s="76" t="str">
        <f t="shared" si="211"/>
        <v>No</v>
      </c>
      <c r="EN326" s="76" t="str">
        <f t="shared" si="195"/>
        <v>Sí</v>
      </c>
      <c r="EO326" s="71"/>
      <c r="EP326" s="73" t="str">
        <f t="shared" si="212"/>
        <v>No aplica</v>
      </c>
      <c r="EQ326" s="77">
        <f t="shared" si="213"/>
        <v>0.85106382978723405</v>
      </c>
      <c r="ER326" s="71"/>
      <c r="ES326" s="79" t="s">
        <v>393</v>
      </c>
      <c r="ET326" s="73">
        <f t="shared" si="214"/>
        <v>1</v>
      </c>
      <c r="EU326" s="73">
        <f t="shared" si="196"/>
        <v>1</v>
      </c>
      <c r="EV326" s="73">
        <f t="shared" si="215"/>
        <v>1</v>
      </c>
      <c r="EW326" s="73">
        <f t="shared" si="216"/>
        <v>1</v>
      </c>
      <c r="EX326" s="78"/>
      <c r="EY326" s="78"/>
    </row>
    <row r="327" spans="1:155" ht="46.5" customHeight="1">
      <c r="A327" s="79">
        <v>323</v>
      </c>
      <c r="B327" s="80" t="s">
        <v>2463</v>
      </c>
      <c r="C327" s="81">
        <v>45400</v>
      </c>
      <c r="D327" s="82">
        <v>0.70833333333333337</v>
      </c>
      <c r="E327" s="79" t="s">
        <v>151</v>
      </c>
      <c r="F327" s="79" t="s">
        <v>153</v>
      </c>
      <c r="G327" s="79" t="s">
        <v>153</v>
      </c>
      <c r="H327" s="79" t="s">
        <v>153</v>
      </c>
      <c r="I327" s="79" t="s">
        <v>152</v>
      </c>
      <c r="J327" s="79" t="s">
        <v>154</v>
      </c>
      <c r="K327" s="79" t="s">
        <v>155</v>
      </c>
      <c r="L327" s="80" t="s">
        <v>2412</v>
      </c>
      <c r="M327" s="80" t="s">
        <v>303</v>
      </c>
      <c r="N327" s="79" t="s">
        <v>546</v>
      </c>
      <c r="O327" s="80" t="str">
        <f t="shared" si="204"/>
        <v>Daniela Velasco Vega, PENDIENTE</v>
      </c>
      <c r="P327" s="79" t="s">
        <v>660</v>
      </c>
      <c r="Q327" s="79" t="s">
        <v>196</v>
      </c>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t="s">
        <v>304</v>
      </c>
      <c r="AP327" s="79"/>
      <c r="AQ327" s="80" t="s">
        <v>2464</v>
      </c>
      <c r="AR327" s="83">
        <v>3195172377</v>
      </c>
      <c r="AS327" s="80" t="s">
        <v>1989</v>
      </c>
      <c r="AT327" s="80" t="str">
        <f t="shared" si="205"/>
        <v>San Cristóbal</v>
      </c>
      <c r="AU327" s="79" t="s">
        <v>570</v>
      </c>
      <c r="AV327" s="79"/>
      <c r="AW327" s="79"/>
      <c r="AX327" s="79"/>
      <c r="AY327" s="79"/>
      <c r="AZ327" s="79"/>
      <c r="BA327" s="80" t="str">
        <f t="shared" si="206"/>
        <v>Suroriente</v>
      </c>
      <c r="BB327" s="79" t="s">
        <v>218</v>
      </c>
      <c r="BC327" s="79"/>
      <c r="BD327" s="79"/>
      <c r="BE327" s="79"/>
      <c r="BF327" s="79"/>
      <c r="BG327" s="79"/>
      <c r="BH327" s="80" t="str">
        <f t="shared" si="207"/>
        <v>San Cristobal, Cerros Orientales</v>
      </c>
      <c r="BI327" s="79" t="s">
        <v>571</v>
      </c>
      <c r="BJ327" s="79" t="s">
        <v>361</v>
      </c>
      <c r="BK327" s="79"/>
      <c r="BL327" s="79"/>
      <c r="BM327" s="79"/>
      <c r="BN327" s="79"/>
      <c r="BO327" s="79"/>
      <c r="BP327" s="79"/>
      <c r="BQ327" s="79"/>
      <c r="BR327" s="79"/>
      <c r="BS327" s="80" t="s">
        <v>2465</v>
      </c>
      <c r="BT327" s="80" t="s">
        <v>174</v>
      </c>
      <c r="BU327" s="80" t="s">
        <v>2466</v>
      </c>
      <c r="BV327" s="71"/>
      <c r="BW327" s="79" t="s">
        <v>153</v>
      </c>
      <c r="BX327" s="79" t="s">
        <v>607</v>
      </c>
      <c r="BY327" s="71"/>
      <c r="BZ327" s="79">
        <v>18</v>
      </c>
      <c r="CA327" s="79">
        <v>6</v>
      </c>
      <c r="CB327" s="79">
        <f t="shared" si="178"/>
        <v>24</v>
      </c>
      <c r="CC327" s="79" t="str">
        <f t="shared" si="194"/>
        <v>Accesibilidad Universal</v>
      </c>
      <c r="CD327" s="79" t="s">
        <v>397</v>
      </c>
      <c r="CE327" s="79"/>
      <c r="CF327" s="79"/>
      <c r="CG327" s="83" t="s">
        <v>2414</v>
      </c>
      <c r="CH327" s="41"/>
      <c r="CI327" s="79" t="s">
        <v>153</v>
      </c>
      <c r="CJ327" s="71"/>
      <c r="CK327" s="79">
        <f t="shared" si="177"/>
        <v>1</v>
      </c>
      <c r="CL327" s="79" t="s">
        <v>389</v>
      </c>
      <c r="CM327" s="79"/>
      <c r="CN327" s="79"/>
      <c r="CO327" s="79"/>
      <c r="CP327" s="79"/>
      <c r="CQ327" s="79"/>
      <c r="CR327" s="83" t="s">
        <v>390</v>
      </c>
      <c r="CS327" s="83" t="s">
        <v>179</v>
      </c>
      <c r="CT327" s="83" t="s">
        <v>179</v>
      </c>
      <c r="CU327" s="83" t="s">
        <v>179</v>
      </c>
      <c r="CV327" s="83" t="s">
        <v>179</v>
      </c>
      <c r="CW327" s="83" t="s">
        <v>179</v>
      </c>
      <c r="CX327" s="79" t="s">
        <v>153</v>
      </c>
      <c r="CY327" s="79">
        <f t="shared" si="198"/>
        <v>1</v>
      </c>
      <c r="CZ327" s="79">
        <v>1</v>
      </c>
      <c r="DA327" s="79">
        <f t="shared" si="199"/>
        <v>1</v>
      </c>
      <c r="DB327" s="84"/>
      <c r="DC327" s="41"/>
      <c r="DD327" s="79" t="s">
        <v>153</v>
      </c>
      <c r="DE327" s="71"/>
      <c r="DF327" s="85" t="s">
        <v>2467</v>
      </c>
      <c r="DG327" s="79">
        <v>317</v>
      </c>
      <c r="DH327" s="86" t="str">
        <f t="shared" si="217"/>
        <v>Completo</v>
      </c>
      <c r="DI327" s="79" t="s">
        <v>181</v>
      </c>
      <c r="DJ327" s="79" t="s">
        <v>182</v>
      </c>
      <c r="DK327" s="79" t="s">
        <v>153</v>
      </c>
      <c r="DL327" s="79">
        <v>0</v>
      </c>
      <c r="DM327" s="79">
        <v>0</v>
      </c>
      <c r="DN327" s="79" t="s">
        <v>182</v>
      </c>
      <c r="DO327" s="79">
        <v>261</v>
      </c>
      <c r="DP327" s="79" t="s">
        <v>182</v>
      </c>
      <c r="DQ327" s="79">
        <v>6</v>
      </c>
      <c r="DR327" s="75">
        <f t="shared" si="208"/>
        <v>1.1111111111111112</v>
      </c>
      <c r="DS327" s="79" t="s">
        <v>182</v>
      </c>
      <c r="DT327" s="79">
        <v>24</v>
      </c>
      <c r="DU327" s="75">
        <f t="shared" si="209"/>
        <v>3.8095238095238098</v>
      </c>
      <c r="DV327" s="79" t="s">
        <v>182</v>
      </c>
      <c r="DW327" s="79" t="s">
        <v>182</v>
      </c>
      <c r="DX327" s="79">
        <v>3</v>
      </c>
      <c r="DY327" s="79">
        <v>0</v>
      </c>
      <c r="DZ327" s="79"/>
      <c r="EA327" s="79">
        <v>261</v>
      </c>
      <c r="EB327" s="79" t="s">
        <v>182</v>
      </c>
      <c r="EC327" s="79" t="s">
        <v>2468</v>
      </c>
      <c r="ED327" s="79" t="s">
        <v>184</v>
      </c>
      <c r="EE327" s="79" t="str">
        <f t="shared" si="201"/>
        <v>Completo</v>
      </c>
      <c r="EF327" s="41"/>
      <c r="EG327" s="79" t="s">
        <v>153</v>
      </c>
      <c r="EH327" s="71"/>
      <c r="EI327" s="89" t="s">
        <v>2469</v>
      </c>
      <c r="EJ327" s="71"/>
      <c r="EK327" s="79" t="s">
        <v>393</v>
      </c>
      <c r="EL327" s="76" t="str">
        <f t="shared" si="210"/>
        <v>Sí</v>
      </c>
      <c r="EM327" s="76" t="str">
        <f t="shared" si="211"/>
        <v>No</v>
      </c>
      <c r="EN327" s="76" t="str">
        <f t="shared" si="195"/>
        <v>Sí</v>
      </c>
      <c r="EO327" s="71"/>
      <c r="EP327" s="73" t="str">
        <f t="shared" si="212"/>
        <v>No aplica</v>
      </c>
      <c r="EQ327" s="77">
        <f t="shared" si="213"/>
        <v>3.8095238095238098</v>
      </c>
      <c r="ER327" s="71"/>
      <c r="ES327" s="79" t="s">
        <v>409</v>
      </c>
      <c r="ET327" s="73">
        <f t="shared" si="214"/>
        <v>1</v>
      </c>
      <c r="EU327" s="73">
        <f t="shared" si="196"/>
        <v>1</v>
      </c>
      <c r="EV327" s="73">
        <f t="shared" si="215"/>
        <v>1</v>
      </c>
      <c r="EW327" s="73">
        <f t="shared" si="216"/>
        <v>1</v>
      </c>
      <c r="EX327" s="78"/>
      <c r="EY327" s="78"/>
    </row>
    <row r="328" spans="1:155" ht="46.5" customHeight="1">
      <c r="A328" s="79">
        <v>324</v>
      </c>
      <c r="B328" s="80" t="s">
        <v>2470</v>
      </c>
      <c r="C328" s="81">
        <v>45400</v>
      </c>
      <c r="D328" s="82">
        <v>0.70833333333333337</v>
      </c>
      <c r="E328" s="79" t="s">
        <v>151</v>
      </c>
      <c r="F328" s="79" t="s">
        <v>153</v>
      </c>
      <c r="G328" s="79" t="s">
        <v>153</v>
      </c>
      <c r="H328" s="79" t="s">
        <v>153</v>
      </c>
      <c r="I328" s="79" t="s">
        <v>152</v>
      </c>
      <c r="J328" s="79" t="s">
        <v>154</v>
      </c>
      <c r="K328" s="79" t="s">
        <v>155</v>
      </c>
      <c r="L328" s="80" t="s">
        <v>2412</v>
      </c>
      <c r="M328" s="80" t="s">
        <v>303</v>
      </c>
      <c r="N328" s="79" t="s">
        <v>820</v>
      </c>
      <c r="O328" s="80" t="str">
        <f t="shared" si="204"/>
        <v>Humberto Díaz Acosta, PENDIENTE</v>
      </c>
      <c r="P328" s="79" t="s">
        <v>253</v>
      </c>
      <c r="Q328" s="79" t="s">
        <v>196</v>
      </c>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t="s">
        <v>304</v>
      </c>
      <c r="AP328" s="79"/>
      <c r="AQ328" s="80" t="s">
        <v>2471</v>
      </c>
      <c r="AR328" s="83">
        <v>3007289679</v>
      </c>
      <c r="AS328" s="80" t="s">
        <v>1989</v>
      </c>
      <c r="AT328" s="80" t="str">
        <f t="shared" si="205"/>
        <v>Barrios Unidos</v>
      </c>
      <c r="AU328" s="79" t="s">
        <v>1031</v>
      </c>
      <c r="AV328" s="79"/>
      <c r="AW328" s="79"/>
      <c r="AX328" s="79"/>
      <c r="AY328" s="79"/>
      <c r="AZ328" s="79"/>
      <c r="BA328" s="80" t="str">
        <f t="shared" si="206"/>
        <v>Centro Ampliado</v>
      </c>
      <c r="BB328" s="79" t="s">
        <v>636</v>
      </c>
      <c r="BC328" s="79"/>
      <c r="BD328" s="79"/>
      <c r="BE328" s="79"/>
      <c r="BF328" s="79"/>
      <c r="BG328" s="79"/>
      <c r="BH328" s="80" t="str">
        <f t="shared" si="207"/>
        <v>Barrios Unidos</v>
      </c>
      <c r="BI328" s="79" t="s">
        <v>1031</v>
      </c>
      <c r="BJ328" s="79"/>
      <c r="BK328" s="79"/>
      <c r="BL328" s="79"/>
      <c r="BM328" s="79"/>
      <c r="BN328" s="79"/>
      <c r="BO328" s="79"/>
      <c r="BP328" s="79"/>
      <c r="BQ328" s="79"/>
      <c r="BR328" s="79"/>
      <c r="BS328" s="80" t="s">
        <v>288</v>
      </c>
      <c r="BT328" s="80" t="s">
        <v>174</v>
      </c>
      <c r="BU328" s="80" t="s">
        <v>2472</v>
      </c>
      <c r="BV328" s="71"/>
      <c r="BW328" s="79" t="s">
        <v>153</v>
      </c>
      <c r="BX328" s="79" t="s">
        <v>607</v>
      </c>
      <c r="BY328" s="71"/>
      <c r="BZ328" s="79">
        <v>10</v>
      </c>
      <c r="CA328" s="79">
        <v>7</v>
      </c>
      <c r="CB328" s="79">
        <f t="shared" si="178"/>
        <v>17</v>
      </c>
      <c r="CC328" s="79" t="str">
        <f t="shared" si="194"/>
        <v>Ninguna</v>
      </c>
      <c r="CD328" s="79" t="s">
        <v>174</v>
      </c>
      <c r="CE328" s="79"/>
      <c r="CF328" s="79"/>
      <c r="CG328" s="83" t="s">
        <v>2414</v>
      </c>
      <c r="CH328" s="41"/>
      <c r="CI328" s="79" t="s">
        <v>153</v>
      </c>
      <c r="CJ328" s="71"/>
      <c r="CK328" s="79">
        <f t="shared" si="177"/>
        <v>1</v>
      </c>
      <c r="CL328" s="79" t="s">
        <v>389</v>
      </c>
      <c r="CM328" s="79"/>
      <c r="CN328" s="79"/>
      <c r="CO328" s="79"/>
      <c r="CP328" s="79"/>
      <c r="CQ328" s="79"/>
      <c r="CR328" s="83" t="s">
        <v>390</v>
      </c>
      <c r="CS328" s="83" t="s">
        <v>179</v>
      </c>
      <c r="CT328" s="83" t="s">
        <v>179</v>
      </c>
      <c r="CU328" s="83" t="s">
        <v>179</v>
      </c>
      <c r="CV328" s="83" t="s">
        <v>179</v>
      </c>
      <c r="CW328" s="83" t="s">
        <v>179</v>
      </c>
      <c r="CX328" s="79" t="s">
        <v>153</v>
      </c>
      <c r="CY328" s="79">
        <f t="shared" si="198"/>
        <v>1</v>
      </c>
      <c r="CZ328" s="79">
        <v>1</v>
      </c>
      <c r="DA328" s="79">
        <f t="shared" si="199"/>
        <v>1</v>
      </c>
      <c r="DB328" s="84"/>
      <c r="DC328" s="41"/>
      <c r="DD328" s="79" t="s">
        <v>153</v>
      </c>
      <c r="DE328" s="71"/>
      <c r="DF328" s="85" t="s">
        <v>2473</v>
      </c>
      <c r="DG328" s="79">
        <v>318</v>
      </c>
      <c r="DH328" s="86" t="str">
        <f t="shared" si="217"/>
        <v>Completo</v>
      </c>
      <c r="DI328" s="79" t="s">
        <v>181</v>
      </c>
      <c r="DJ328" s="79" t="s">
        <v>182</v>
      </c>
      <c r="DK328" s="79" t="s">
        <v>153</v>
      </c>
      <c r="DL328" s="79">
        <v>0</v>
      </c>
      <c r="DM328" s="79">
        <v>0</v>
      </c>
      <c r="DN328" s="79" t="s">
        <v>182</v>
      </c>
      <c r="DO328" s="79">
        <v>406</v>
      </c>
      <c r="DP328" s="79" t="s">
        <v>182</v>
      </c>
      <c r="DQ328" s="79">
        <v>6</v>
      </c>
      <c r="DR328" s="75">
        <f t="shared" si="208"/>
        <v>2</v>
      </c>
      <c r="DS328" s="79" t="s">
        <v>182</v>
      </c>
      <c r="DT328" s="79">
        <v>19</v>
      </c>
      <c r="DU328" s="75">
        <f t="shared" si="209"/>
        <v>5.4285714285714288</v>
      </c>
      <c r="DV328" s="79" t="s">
        <v>182</v>
      </c>
      <c r="DW328" s="79" t="s">
        <v>182</v>
      </c>
      <c r="DX328" s="79">
        <v>3</v>
      </c>
      <c r="DY328" s="79">
        <v>0</v>
      </c>
      <c r="DZ328" s="79"/>
      <c r="EA328" s="79">
        <v>406</v>
      </c>
      <c r="EB328" s="79" t="s">
        <v>182</v>
      </c>
      <c r="EC328" s="79" t="s">
        <v>2474</v>
      </c>
      <c r="ED328" s="79" t="s">
        <v>184</v>
      </c>
      <c r="EE328" s="79" t="str">
        <f t="shared" si="201"/>
        <v>Completo</v>
      </c>
      <c r="EF328" s="41"/>
      <c r="EG328" s="79" t="s">
        <v>153</v>
      </c>
      <c r="EH328" s="71"/>
      <c r="EI328" s="89" t="s">
        <v>2475</v>
      </c>
      <c r="EJ328" s="71"/>
      <c r="EK328" s="79" t="s">
        <v>409</v>
      </c>
      <c r="EL328" s="76" t="str">
        <f t="shared" si="210"/>
        <v>Sí</v>
      </c>
      <c r="EM328" s="76" t="str">
        <f t="shared" si="211"/>
        <v>No</v>
      </c>
      <c r="EN328" s="76" t="str">
        <f t="shared" si="195"/>
        <v>No</v>
      </c>
      <c r="EO328" s="71"/>
      <c r="EP328" s="73" t="str">
        <f t="shared" si="212"/>
        <v>No aplica</v>
      </c>
      <c r="EQ328" s="77">
        <f t="shared" si="213"/>
        <v>5.4285714285714288</v>
      </c>
      <c r="ER328" s="71"/>
      <c r="ES328" s="79" t="s">
        <v>409</v>
      </c>
      <c r="ET328" s="73">
        <f t="shared" si="214"/>
        <v>1</v>
      </c>
      <c r="EU328" s="73">
        <f t="shared" si="196"/>
        <v>1</v>
      </c>
      <c r="EV328" s="73">
        <f t="shared" si="215"/>
        <v>1</v>
      </c>
      <c r="EW328" s="73">
        <f t="shared" si="216"/>
        <v>1</v>
      </c>
      <c r="EX328" s="78"/>
      <c r="EY328" s="78"/>
    </row>
    <row r="329" spans="1:155" ht="46.5" customHeight="1">
      <c r="A329" s="79">
        <v>325</v>
      </c>
      <c r="B329" s="80" t="s">
        <v>2476</v>
      </c>
      <c r="C329" s="81">
        <v>45400</v>
      </c>
      <c r="D329" s="82">
        <v>0.70833333333333337</v>
      </c>
      <c r="E329" s="79" t="s">
        <v>151</v>
      </c>
      <c r="F329" s="79" t="s">
        <v>153</v>
      </c>
      <c r="G329" s="79" t="s">
        <v>153</v>
      </c>
      <c r="H329" s="79" t="s">
        <v>153</v>
      </c>
      <c r="I329" s="79" t="s">
        <v>152</v>
      </c>
      <c r="J329" s="79" t="s">
        <v>154</v>
      </c>
      <c r="K329" s="79" t="s">
        <v>155</v>
      </c>
      <c r="L329" s="80" t="s">
        <v>2412</v>
      </c>
      <c r="M329" s="80" t="s">
        <v>303</v>
      </c>
      <c r="N329" s="79" t="s">
        <v>924</v>
      </c>
      <c r="O329" s="80" t="str">
        <f t="shared" si="204"/>
        <v>Erika Lizeth Rueda, PENDIENTE</v>
      </c>
      <c r="P329" s="79" t="s">
        <v>556</v>
      </c>
      <c r="Q329" s="79" t="s">
        <v>196</v>
      </c>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t="s">
        <v>304</v>
      </c>
      <c r="AP329" s="79"/>
      <c r="AQ329" s="80" t="s">
        <v>2477</v>
      </c>
      <c r="AR329" s="83">
        <v>3017902221</v>
      </c>
      <c r="AS329" s="80" t="s">
        <v>2478</v>
      </c>
      <c r="AT329" s="80" t="str">
        <f t="shared" si="205"/>
        <v>Kennedy</v>
      </c>
      <c r="AU329" s="79" t="s">
        <v>731</v>
      </c>
      <c r="AV329" s="79"/>
      <c r="AW329" s="79"/>
      <c r="AX329" s="79"/>
      <c r="AY329" s="79"/>
      <c r="AZ329" s="79"/>
      <c r="BA329" s="80" t="str">
        <f t="shared" si="206"/>
        <v>Suroccidente</v>
      </c>
      <c r="BB329" s="79" t="s">
        <v>732</v>
      </c>
      <c r="BC329" s="79"/>
      <c r="BD329" s="79"/>
      <c r="BE329" s="79"/>
      <c r="BF329" s="79"/>
      <c r="BG329" s="79"/>
      <c r="BH329" s="80" t="str">
        <f t="shared" si="207"/>
        <v>Kennedy, Tintal, Tintal</v>
      </c>
      <c r="BI329" s="79" t="s">
        <v>731</v>
      </c>
      <c r="BJ329" s="79" t="s">
        <v>1697</v>
      </c>
      <c r="BK329" s="79" t="s">
        <v>1697</v>
      </c>
      <c r="BL329" s="79"/>
      <c r="BM329" s="79"/>
      <c r="BN329" s="79"/>
      <c r="BO329" s="79"/>
      <c r="BP329" s="79"/>
      <c r="BQ329" s="79"/>
      <c r="BR329" s="79"/>
      <c r="BS329" s="80" t="s">
        <v>288</v>
      </c>
      <c r="BT329" s="80" t="s">
        <v>174</v>
      </c>
      <c r="BU329" s="80" t="s">
        <v>2479</v>
      </c>
      <c r="BV329" s="71"/>
      <c r="BW329" s="79" t="s">
        <v>153</v>
      </c>
      <c r="BX329" s="79" t="s">
        <v>607</v>
      </c>
      <c r="BY329" s="71"/>
      <c r="BZ329" s="79">
        <v>23</v>
      </c>
      <c r="CA329" s="79">
        <v>6</v>
      </c>
      <c r="CB329" s="79">
        <f t="shared" si="178"/>
        <v>29</v>
      </c>
      <c r="CC329" s="79" t="str">
        <f t="shared" si="194"/>
        <v>Ninguna</v>
      </c>
      <c r="CD329" s="79" t="s">
        <v>174</v>
      </c>
      <c r="CE329" s="79"/>
      <c r="CF329" s="79"/>
      <c r="CG329" s="83" t="s">
        <v>2414</v>
      </c>
      <c r="CH329" s="41"/>
      <c r="CI329" s="79" t="s">
        <v>153</v>
      </c>
      <c r="CJ329" s="71"/>
      <c r="CK329" s="79">
        <f t="shared" si="177"/>
        <v>1</v>
      </c>
      <c r="CL329" s="79" t="s">
        <v>389</v>
      </c>
      <c r="CM329" s="79"/>
      <c r="CN329" s="79"/>
      <c r="CO329" s="79"/>
      <c r="CP329" s="79"/>
      <c r="CQ329" s="79"/>
      <c r="CR329" s="83" t="s">
        <v>390</v>
      </c>
      <c r="CS329" s="83" t="s">
        <v>179</v>
      </c>
      <c r="CT329" s="83" t="s">
        <v>179</v>
      </c>
      <c r="CU329" s="83" t="s">
        <v>179</v>
      </c>
      <c r="CV329" s="83" t="s">
        <v>179</v>
      </c>
      <c r="CW329" s="83" t="s">
        <v>179</v>
      </c>
      <c r="CX329" s="79" t="s">
        <v>153</v>
      </c>
      <c r="CY329" s="79">
        <f t="shared" si="198"/>
        <v>1</v>
      </c>
      <c r="CZ329" s="79">
        <v>1</v>
      </c>
      <c r="DA329" s="79">
        <f t="shared" si="199"/>
        <v>1</v>
      </c>
      <c r="DB329" s="84"/>
      <c r="DC329" s="41"/>
      <c r="DD329" s="79" t="s">
        <v>153</v>
      </c>
      <c r="DE329" s="71"/>
      <c r="DF329" s="85" t="s">
        <v>2480</v>
      </c>
      <c r="DG329" s="79">
        <v>319</v>
      </c>
      <c r="DH329" s="86" t="str">
        <f t="shared" si="217"/>
        <v>Completo</v>
      </c>
      <c r="DI329" s="79" t="s">
        <v>181</v>
      </c>
      <c r="DJ329" s="79" t="s">
        <v>182</v>
      </c>
      <c r="DK329" s="79" t="s">
        <v>153</v>
      </c>
      <c r="DL329" s="79">
        <v>0</v>
      </c>
      <c r="DM329" s="79">
        <v>0</v>
      </c>
      <c r="DN329" s="79" t="s">
        <v>182</v>
      </c>
      <c r="DO329" s="79">
        <v>782</v>
      </c>
      <c r="DP329" s="79" t="s">
        <v>182</v>
      </c>
      <c r="DQ329" s="79">
        <v>8</v>
      </c>
      <c r="DR329" s="75">
        <f t="shared" si="208"/>
        <v>1.1594202898550725</v>
      </c>
      <c r="DS329" s="79" t="s">
        <v>182</v>
      </c>
      <c r="DT329" s="79">
        <v>61</v>
      </c>
      <c r="DU329" s="75">
        <f t="shared" si="209"/>
        <v>7.5776397515527965</v>
      </c>
      <c r="DV329" s="79" t="s">
        <v>182</v>
      </c>
      <c r="DW329" s="79" t="s">
        <v>182</v>
      </c>
      <c r="DX329" s="79">
        <v>4</v>
      </c>
      <c r="DY329" s="79">
        <v>0</v>
      </c>
      <c r="DZ329" s="79"/>
      <c r="EA329" s="79">
        <v>782</v>
      </c>
      <c r="EB329" s="79" t="s">
        <v>182</v>
      </c>
      <c r="EC329" s="79" t="s">
        <v>2481</v>
      </c>
      <c r="ED329" s="79" t="s">
        <v>184</v>
      </c>
      <c r="EE329" s="79" t="str">
        <f t="shared" si="201"/>
        <v>Completo</v>
      </c>
      <c r="EF329" s="41"/>
      <c r="EG329" s="79" t="s">
        <v>153</v>
      </c>
      <c r="EH329" s="71"/>
      <c r="EI329" s="89" t="s">
        <v>2482</v>
      </c>
      <c r="EJ329" s="71"/>
      <c r="EK329" s="79" t="s">
        <v>2418</v>
      </c>
      <c r="EL329" s="76" t="str">
        <f t="shared" si="210"/>
        <v>Sí</v>
      </c>
      <c r="EM329" s="76" t="str">
        <f t="shared" si="211"/>
        <v>No</v>
      </c>
      <c r="EN329" s="76" t="str">
        <f t="shared" si="195"/>
        <v>No</v>
      </c>
      <c r="EO329" s="71"/>
      <c r="EP329" s="73" t="str">
        <f t="shared" si="212"/>
        <v>No aplica</v>
      </c>
      <c r="EQ329" s="77">
        <f t="shared" si="213"/>
        <v>7.5776397515527965</v>
      </c>
      <c r="ER329" s="71"/>
      <c r="ES329" s="79" t="s">
        <v>2418</v>
      </c>
      <c r="ET329" s="73">
        <f t="shared" si="214"/>
        <v>1</v>
      </c>
      <c r="EU329" s="73">
        <f t="shared" si="196"/>
        <v>1</v>
      </c>
      <c r="EV329" s="73">
        <f t="shared" si="215"/>
        <v>1</v>
      </c>
      <c r="EW329" s="73">
        <f t="shared" si="216"/>
        <v>1</v>
      </c>
      <c r="EX329" s="78"/>
      <c r="EY329" s="78"/>
    </row>
    <row r="330" spans="1:155" ht="46.5" customHeight="1">
      <c r="A330" s="79">
        <v>326</v>
      </c>
      <c r="B330" s="80" t="s">
        <v>2483</v>
      </c>
      <c r="C330" s="81">
        <v>45400</v>
      </c>
      <c r="D330" s="82">
        <v>0.70833333333333337</v>
      </c>
      <c r="E330" s="79" t="s">
        <v>151</v>
      </c>
      <c r="F330" s="79" t="s">
        <v>153</v>
      </c>
      <c r="G330" s="79" t="s">
        <v>153</v>
      </c>
      <c r="H330" s="79" t="s">
        <v>153</v>
      </c>
      <c r="I330" s="79" t="s">
        <v>152</v>
      </c>
      <c r="J330" s="79" t="s">
        <v>154</v>
      </c>
      <c r="K330" s="79" t="s">
        <v>155</v>
      </c>
      <c r="L330" s="80" t="s">
        <v>2412</v>
      </c>
      <c r="M330" s="80" t="s">
        <v>303</v>
      </c>
      <c r="N330" s="79" t="s">
        <v>861</v>
      </c>
      <c r="O330" s="80" t="str">
        <f t="shared" si="204"/>
        <v>Luz Maritza Acero, PENDIENTE</v>
      </c>
      <c r="P330" s="79" t="s">
        <v>167</v>
      </c>
      <c r="Q330" s="79" t="s">
        <v>196</v>
      </c>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t="s">
        <v>304</v>
      </c>
      <c r="AP330" s="79"/>
      <c r="AQ330" s="80" t="s">
        <v>2231</v>
      </c>
      <c r="AR330" s="83">
        <v>3045643837</v>
      </c>
      <c r="AS330" s="80" t="s">
        <v>1989</v>
      </c>
      <c r="AT330" s="80" t="str">
        <f t="shared" si="205"/>
        <v>Suba</v>
      </c>
      <c r="AU330" s="79" t="s">
        <v>602</v>
      </c>
      <c r="AV330" s="79"/>
      <c r="AW330" s="79"/>
      <c r="AX330" s="79"/>
      <c r="AY330" s="79"/>
      <c r="AZ330" s="79"/>
      <c r="BA330" s="80" t="str">
        <f t="shared" si="206"/>
        <v>Noroccidente, Norte</v>
      </c>
      <c r="BB330" s="79" t="s">
        <v>603</v>
      </c>
      <c r="BC330" s="79" t="s">
        <v>662</v>
      </c>
      <c r="BD330" s="79"/>
      <c r="BE330" s="79"/>
      <c r="BF330" s="79"/>
      <c r="BG330" s="79"/>
      <c r="BH330" s="80" t="str">
        <f t="shared" si="207"/>
        <v>Suba, Suba Rincón, Tibabuyes, Niza, Britalia, Torca</v>
      </c>
      <c r="BI330" s="79" t="s">
        <v>602</v>
      </c>
      <c r="BJ330" s="79" t="s">
        <v>604</v>
      </c>
      <c r="BK330" s="79" t="s">
        <v>1378</v>
      </c>
      <c r="BL330" s="79" t="s">
        <v>865</v>
      </c>
      <c r="BM330" s="79" t="s">
        <v>1313</v>
      </c>
      <c r="BN330" s="79" t="s">
        <v>805</v>
      </c>
      <c r="BO330" s="79"/>
      <c r="BP330" s="79"/>
      <c r="BQ330" s="79"/>
      <c r="BR330" s="79"/>
      <c r="BS330" s="80" t="s">
        <v>2484</v>
      </c>
      <c r="BT330" s="80" t="s">
        <v>174</v>
      </c>
      <c r="BU330" s="80" t="s">
        <v>2485</v>
      </c>
      <c r="BV330" s="71"/>
      <c r="BW330" s="79" t="s">
        <v>153</v>
      </c>
      <c r="BX330" s="79" t="s">
        <v>607</v>
      </c>
      <c r="BY330" s="71"/>
      <c r="BZ330" s="79">
        <v>22</v>
      </c>
      <c r="CA330" s="79">
        <v>4</v>
      </c>
      <c r="CB330" s="79">
        <f t="shared" si="178"/>
        <v>26</v>
      </c>
      <c r="CC330" s="79" t="str">
        <f t="shared" si="194"/>
        <v>Ninguna</v>
      </c>
      <c r="CD330" s="79" t="s">
        <v>174</v>
      </c>
      <c r="CE330" s="79"/>
      <c r="CF330" s="79"/>
      <c r="CG330" s="83" t="s">
        <v>2414</v>
      </c>
      <c r="CH330" s="41"/>
      <c r="CI330" s="79" t="s">
        <v>153</v>
      </c>
      <c r="CJ330" s="71"/>
      <c r="CK330" s="79">
        <f t="shared" si="177"/>
        <v>1</v>
      </c>
      <c r="CL330" s="79" t="s">
        <v>389</v>
      </c>
      <c r="CM330" s="79"/>
      <c r="CN330" s="79"/>
      <c r="CO330" s="79"/>
      <c r="CP330" s="79"/>
      <c r="CQ330" s="79"/>
      <c r="CR330" s="83" t="s">
        <v>390</v>
      </c>
      <c r="CS330" s="83" t="s">
        <v>179</v>
      </c>
      <c r="CT330" s="83" t="s">
        <v>179</v>
      </c>
      <c r="CU330" s="83" t="s">
        <v>179</v>
      </c>
      <c r="CV330" s="83" t="s">
        <v>179</v>
      </c>
      <c r="CW330" s="83" t="s">
        <v>179</v>
      </c>
      <c r="CX330" s="79" t="s">
        <v>153</v>
      </c>
      <c r="CY330" s="79">
        <f t="shared" si="198"/>
        <v>1</v>
      </c>
      <c r="CZ330" s="79">
        <v>1</v>
      </c>
      <c r="DA330" s="79">
        <f t="shared" si="199"/>
        <v>1</v>
      </c>
      <c r="DB330" s="84">
        <f>IFERROR(CY330/CK330,"")</f>
        <v>1</v>
      </c>
      <c r="DC330" s="41"/>
      <c r="DD330" s="79" t="s">
        <v>153</v>
      </c>
      <c r="DE330" s="71"/>
      <c r="DF330" s="85" t="s">
        <v>2486</v>
      </c>
      <c r="DG330" s="79">
        <v>320</v>
      </c>
      <c r="DH330" s="86" t="str">
        <f t="shared" si="217"/>
        <v>Completo</v>
      </c>
      <c r="DI330" s="79" t="s">
        <v>181</v>
      </c>
      <c r="DJ330" s="79" t="s">
        <v>182</v>
      </c>
      <c r="DK330" s="79" t="s">
        <v>153</v>
      </c>
      <c r="DL330" s="79">
        <v>0</v>
      </c>
      <c r="DM330" s="79">
        <v>0</v>
      </c>
      <c r="DN330" s="79" t="s">
        <v>182</v>
      </c>
      <c r="DO330" s="79">
        <v>155</v>
      </c>
      <c r="DP330" s="79" t="s">
        <v>182</v>
      </c>
      <c r="DQ330" s="79">
        <v>7</v>
      </c>
      <c r="DR330" s="75">
        <f t="shared" si="208"/>
        <v>1.0606060606060606</v>
      </c>
      <c r="DS330" s="79" t="s">
        <v>182</v>
      </c>
      <c r="DT330" s="79">
        <v>27</v>
      </c>
      <c r="DU330" s="75">
        <f t="shared" si="209"/>
        <v>3.506493506493507</v>
      </c>
      <c r="DV330" s="79" t="s">
        <v>182</v>
      </c>
      <c r="DW330" s="79" t="s">
        <v>182</v>
      </c>
      <c r="DX330" s="79">
        <v>3</v>
      </c>
      <c r="DY330" s="79">
        <v>0</v>
      </c>
      <c r="DZ330" s="79"/>
      <c r="EA330" s="79">
        <v>588</v>
      </c>
      <c r="EB330" s="79" t="s">
        <v>182</v>
      </c>
      <c r="EC330" s="79" t="s">
        <v>2487</v>
      </c>
      <c r="ED330" s="79" t="s">
        <v>184</v>
      </c>
      <c r="EE330" s="79" t="str">
        <f t="shared" si="201"/>
        <v>Completo</v>
      </c>
      <c r="EF330" s="41"/>
      <c r="EG330" s="79" t="s">
        <v>153</v>
      </c>
      <c r="EH330" s="71"/>
      <c r="EI330" s="89" t="s">
        <v>2488</v>
      </c>
      <c r="EJ330" s="71"/>
      <c r="EK330" s="79" t="s">
        <v>393</v>
      </c>
      <c r="EL330" s="76" t="str">
        <f t="shared" si="210"/>
        <v>Sí</v>
      </c>
      <c r="EM330" s="76" t="str">
        <f t="shared" si="211"/>
        <v>No</v>
      </c>
      <c r="EN330" s="76" t="str">
        <f t="shared" si="195"/>
        <v>No</v>
      </c>
      <c r="EO330" s="71"/>
      <c r="EP330" s="73" t="str">
        <f t="shared" si="212"/>
        <v>No aplica</v>
      </c>
      <c r="EQ330" s="77">
        <f t="shared" si="213"/>
        <v>3.506493506493507</v>
      </c>
      <c r="ER330" s="71"/>
      <c r="ES330" s="79" t="s">
        <v>393</v>
      </c>
      <c r="ET330" s="73">
        <f t="shared" si="214"/>
        <v>1</v>
      </c>
      <c r="EU330" s="73">
        <f t="shared" si="196"/>
        <v>1</v>
      </c>
      <c r="EV330" s="73">
        <f t="shared" si="215"/>
        <v>1</v>
      </c>
      <c r="EW330" s="73">
        <f t="shared" si="216"/>
        <v>0.26360544217687076</v>
      </c>
      <c r="EX330" s="78"/>
      <c r="EY330" s="78"/>
    </row>
    <row r="331" spans="1:155" ht="46.5" customHeight="1">
      <c r="A331" s="79">
        <v>327</v>
      </c>
      <c r="B331" s="80" t="s">
        <v>2489</v>
      </c>
      <c r="C331" s="81">
        <v>45400</v>
      </c>
      <c r="D331" s="82">
        <v>0.70833333333333337</v>
      </c>
      <c r="E331" s="79" t="s">
        <v>151</v>
      </c>
      <c r="F331" s="79" t="s">
        <v>153</v>
      </c>
      <c r="G331" s="79" t="s">
        <v>153</v>
      </c>
      <c r="H331" s="79" t="s">
        <v>153</v>
      </c>
      <c r="I331" s="79" t="s">
        <v>152</v>
      </c>
      <c r="J331" s="79" t="s">
        <v>154</v>
      </c>
      <c r="K331" s="79" t="s">
        <v>155</v>
      </c>
      <c r="L331" s="80" t="s">
        <v>2412</v>
      </c>
      <c r="M331" s="80" t="s">
        <v>303</v>
      </c>
      <c r="N331" s="79" t="s">
        <v>675</v>
      </c>
      <c r="O331" s="80" t="str">
        <f t="shared" si="204"/>
        <v>Diana Carolina Aristizábal, PENDIENTE</v>
      </c>
      <c r="P331" s="79" t="s">
        <v>165</v>
      </c>
      <c r="Q331" s="79" t="s">
        <v>196</v>
      </c>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t="s">
        <v>304</v>
      </c>
      <c r="AP331" s="79"/>
      <c r="AQ331" s="80" t="s">
        <v>2490</v>
      </c>
      <c r="AR331" s="83" t="s">
        <v>2491</v>
      </c>
      <c r="AS331" s="80" t="s">
        <v>2492</v>
      </c>
      <c r="AT331" s="80" t="str">
        <f t="shared" si="205"/>
        <v>Bosa</v>
      </c>
      <c r="AU331" s="79" t="s">
        <v>730</v>
      </c>
      <c r="AV331" s="79"/>
      <c r="AW331" s="79"/>
      <c r="AX331" s="79"/>
      <c r="AY331" s="79"/>
      <c r="AZ331" s="79"/>
      <c r="BA331" s="80" t="str">
        <f t="shared" si="206"/>
        <v>Suroccidente</v>
      </c>
      <c r="BB331" s="79" t="s">
        <v>732</v>
      </c>
      <c r="BC331" s="79"/>
      <c r="BD331" s="79"/>
      <c r="BE331" s="79"/>
      <c r="BF331" s="79"/>
      <c r="BG331" s="79"/>
      <c r="BH331" s="80" t="str">
        <f t="shared" si="207"/>
        <v>Bosa, Porvenir</v>
      </c>
      <c r="BI331" s="79" t="s">
        <v>730</v>
      </c>
      <c r="BJ331" s="79" t="s">
        <v>1058</v>
      </c>
      <c r="BK331" s="79"/>
      <c r="BL331" s="79"/>
      <c r="BM331" s="79"/>
      <c r="BN331" s="79"/>
      <c r="BO331" s="79"/>
      <c r="BP331" s="79"/>
      <c r="BQ331" s="79"/>
      <c r="BR331" s="79"/>
      <c r="BS331" s="80" t="s">
        <v>2493</v>
      </c>
      <c r="BT331" s="80" t="s">
        <v>174</v>
      </c>
      <c r="BU331" s="80" t="s">
        <v>2494</v>
      </c>
      <c r="BV331" s="71"/>
      <c r="BW331" s="79" t="s">
        <v>153</v>
      </c>
      <c r="BX331" s="79" t="s">
        <v>607</v>
      </c>
      <c r="BY331" s="71"/>
      <c r="BZ331" s="79">
        <v>36</v>
      </c>
      <c r="CA331" s="79">
        <v>4</v>
      </c>
      <c r="CB331" s="79">
        <f t="shared" si="178"/>
        <v>40</v>
      </c>
      <c r="CC331" s="79" t="str">
        <f t="shared" si="194"/>
        <v>Horarios Acordes, Contenidos adaptados</v>
      </c>
      <c r="CD331" s="79" t="s">
        <v>351</v>
      </c>
      <c r="CE331" s="79" t="s">
        <v>350</v>
      </c>
      <c r="CF331" s="79"/>
      <c r="CG331" s="83" t="s">
        <v>2414</v>
      </c>
      <c r="CH331" s="41"/>
      <c r="CI331" s="79" t="s">
        <v>153</v>
      </c>
      <c r="CJ331" s="71"/>
      <c r="CK331" s="79">
        <f t="shared" si="177"/>
        <v>1</v>
      </c>
      <c r="CL331" s="79" t="s">
        <v>389</v>
      </c>
      <c r="CM331" s="79"/>
      <c r="CN331" s="79"/>
      <c r="CO331" s="79"/>
      <c r="CP331" s="79"/>
      <c r="CQ331" s="79"/>
      <c r="CR331" s="83" t="s">
        <v>390</v>
      </c>
      <c r="CS331" s="83" t="s">
        <v>179</v>
      </c>
      <c r="CT331" s="83" t="s">
        <v>179</v>
      </c>
      <c r="CU331" s="83" t="s">
        <v>179</v>
      </c>
      <c r="CV331" s="83" t="s">
        <v>179</v>
      </c>
      <c r="CW331" s="83" t="s">
        <v>179</v>
      </c>
      <c r="CX331" s="79" t="s">
        <v>153</v>
      </c>
      <c r="CY331" s="79">
        <f t="shared" si="198"/>
        <v>1</v>
      </c>
      <c r="CZ331" s="79">
        <v>1</v>
      </c>
      <c r="DA331" s="79">
        <f t="shared" si="199"/>
        <v>1</v>
      </c>
      <c r="DB331" s="84"/>
      <c r="DC331" s="41"/>
      <c r="DD331" s="79" t="s">
        <v>153</v>
      </c>
      <c r="DE331" s="71"/>
      <c r="DF331" s="85" t="s">
        <v>2495</v>
      </c>
      <c r="DG331" s="79">
        <v>321</v>
      </c>
      <c r="DH331" s="86" t="str">
        <f t="shared" si="217"/>
        <v>Completo</v>
      </c>
      <c r="DI331" s="79" t="s">
        <v>181</v>
      </c>
      <c r="DJ331" s="79" t="s">
        <v>182</v>
      </c>
      <c r="DK331" s="79" t="s">
        <v>153</v>
      </c>
      <c r="DL331" s="79">
        <v>0</v>
      </c>
      <c r="DM331" s="79">
        <v>0</v>
      </c>
      <c r="DN331" s="79" t="s">
        <v>182</v>
      </c>
      <c r="DO331" s="79">
        <v>698</v>
      </c>
      <c r="DP331" s="79" t="s">
        <v>182</v>
      </c>
      <c r="DQ331" s="79">
        <v>12</v>
      </c>
      <c r="DR331" s="75">
        <f t="shared" si="208"/>
        <v>1.1111111111111112</v>
      </c>
      <c r="DS331" s="79" t="s">
        <v>182</v>
      </c>
      <c r="DT331" s="79">
        <v>24</v>
      </c>
      <c r="DU331" s="75">
        <f t="shared" si="209"/>
        <v>1.9047619047619049</v>
      </c>
      <c r="DV331" s="79" t="s">
        <v>182</v>
      </c>
      <c r="DW331" s="79" t="s">
        <v>182</v>
      </c>
      <c r="DX331" s="79">
        <v>3</v>
      </c>
      <c r="DY331" s="79">
        <v>0</v>
      </c>
      <c r="DZ331" s="79"/>
      <c r="EA331" s="79">
        <v>698</v>
      </c>
      <c r="EB331" s="79" t="s">
        <v>182</v>
      </c>
      <c r="EC331" s="79" t="s">
        <v>2487</v>
      </c>
      <c r="ED331" s="79" t="s">
        <v>184</v>
      </c>
      <c r="EE331" s="79" t="str">
        <f t="shared" si="201"/>
        <v>Completo</v>
      </c>
      <c r="EF331" s="41"/>
      <c r="EG331" s="79" t="s">
        <v>153</v>
      </c>
      <c r="EH331" s="71"/>
      <c r="EI331" s="89" t="s">
        <v>2496</v>
      </c>
      <c r="EJ331" s="71"/>
      <c r="EK331" s="79" t="s">
        <v>393</v>
      </c>
      <c r="EL331" s="76" t="str">
        <f t="shared" si="210"/>
        <v>Sí</v>
      </c>
      <c r="EM331" s="76" t="str">
        <f t="shared" si="211"/>
        <v>No</v>
      </c>
      <c r="EN331" s="76" t="str">
        <f t="shared" si="195"/>
        <v>Sí</v>
      </c>
      <c r="EO331" s="71"/>
      <c r="EP331" s="73" t="str">
        <f t="shared" si="212"/>
        <v>No aplica</v>
      </c>
      <c r="EQ331" s="77">
        <f t="shared" si="213"/>
        <v>1.9047619047619049</v>
      </c>
      <c r="ER331" s="71"/>
      <c r="ES331" s="79" t="s">
        <v>393</v>
      </c>
      <c r="ET331" s="73">
        <f t="shared" si="214"/>
        <v>1</v>
      </c>
      <c r="EU331" s="73">
        <f t="shared" si="196"/>
        <v>1</v>
      </c>
      <c r="EV331" s="73">
        <f t="shared" si="215"/>
        <v>1</v>
      </c>
      <c r="EW331" s="73">
        <f t="shared" si="216"/>
        <v>1</v>
      </c>
      <c r="EX331" s="78"/>
      <c r="EY331" s="78"/>
    </row>
    <row r="332" spans="1:155" ht="46.5" customHeight="1">
      <c r="A332" s="79">
        <v>328</v>
      </c>
      <c r="B332" s="80" t="s">
        <v>2497</v>
      </c>
      <c r="C332" s="81">
        <v>45400</v>
      </c>
      <c r="D332" s="82">
        <v>0.70833333333333337</v>
      </c>
      <c r="E332" s="79" t="s">
        <v>151</v>
      </c>
      <c r="F332" s="79" t="s">
        <v>153</v>
      </c>
      <c r="G332" s="79" t="s">
        <v>153</v>
      </c>
      <c r="H332" s="79" t="s">
        <v>153</v>
      </c>
      <c r="I332" s="79" t="s">
        <v>152</v>
      </c>
      <c r="J332" s="79" t="s">
        <v>154</v>
      </c>
      <c r="K332" s="79" t="s">
        <v>155</v>
      </c>
      <c r="L332" s="80" t="s">
        <v>2412</v>
      </c>
      <c r="M332" s="80" t="s">
        <v>303</v>
      </c>
      <c r="N332" s="79" t="s">
        <v>862</v>
      </c>
      <c r="O332" s="80" t="str">
        <f t="shared" si="204"/>
        <v>Sarah Lucia Triviño, PENDIENTE</v>
      </c>
      <c r="P332" s="79" t="s">
        <v>499</v>
      </c>
      <c r="Q332" s="79" t="s">
        <v>196</v>
      </c>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t="s">
        <v>304</v>
      </c>
      <c r="AP332" s="79"/>
      <c r="AQ332" s="80" t="s">
        <v>2498</v>
      </c>
      <c r="AR332" s="83" t="s">
        <v>2499</v>
      </c>
      <c r="AS332" s="80" t="s">
        <v>2500</v>
      </c>
      <c r="AT332" s="80" t="str">
        <f t="shared" si="205"/>
        <v>Tunjuelito</v>
      </c>
      <c r="AU332" s="79" t="s">
        <v>937</v>
      </c>
      <c r="AV332" s="79"/>
      <c r="AW332" s="79"/>
      <c r="AX332" s="79"/>
      <c r="AY332" s="79"/>
      <c r="AZ332" s="79"/>
      <c r="BA332" s="80" t="str">
        <f t="shared" si="206"/>
        <v>Suroriente</v>
      </c>
      <c r="BB332" s="79" t="s">
        <v>218</v>
      </c>
      <c r="BC332" s="79"/>
      <c r="BD332" s="79"/>
      <c r="BE332" s="79"/>
      <c r="BF332" s="79"/>
      <c r="BG332" s="79"/>
      <c r="BH332" s="80" t="str">
        <f t="shared" si="207"/>
        <v>Tunjuelito, Arborizadora</v>
      </c>
      <c r="BI332" s="79" t="s">
        <v>937</v>
      </c>
      <c r="BJ332" s="79" t="s">
        <v>220</v>
      </c>
      <c r="BK332" s="79"/>
      <c r="BL332" s="79"/>
      <c r="BM332" s="79"/>
      <c r="BN332" s="79"/>
      <c r="BO332" s="79"/>
      <c r="BP332" s="79"/>
      <c r="BQ332" s="79"/>
      <c r="BR332" s="79"/>
      <c r="BS332" s="80" t="s">
        <v>2501</v>
      </c>
      <c r="BT332" s="80" t="s">
        <v>174</v>
      </c>
      <c r="BU332" s="80" t="s">
        <v>2502</v>
      </c>
      <c r="BV332" s="71"/>
      <c r="BW332" s="79" t="s">
        <v>153</v>
      </c>
      <c r="BX332" s="79" t="s">
        <v>607</v>
      </c>
      <c r="BY332" s="71"/>
      <c r="BZ332" s="79">
        <v>41</v>
      </c>
      <c r="CA332" s="79">
        <v>4</v>
      </c>
      <c r="CB332" s="79">
        <f t="shared" si="178"/>
        <v>45</v>
      </c>
      <c r="CC332" s="79" t="str">
        <f t="shared" si="194"/>
        <v>Horarios Acordes</v>
      </c>
      <c r="CD332" s="79" t="s">
        <v>351</v>
      </c>
      <c r="CE332" s="79"/>
      <c r="CF332" s="79"/>
      <c r="CG332" s="83" t="s">
        <v>2414</v>
      </c>
      <c r="CH332" s="41"/>
      <c r="CI332" s="79" t="s">
        <v>153</v>
      </c>
      <c r="CJ332" s="71"/>
      <c r="CK332" s="79">
        <f t="shared" si="177"/>
        <v>1</v>
      </c>
      <c r="CL332" s="79" t="s">
        <v>389</v>
      </c>
      <c r="CM332" s="79"/>
      <c r="CN332" s="79"/>
      <c r="CO332" s="79"/>
      <c r="CP332" s="79"/>
      <c r="CQ332" s="79"/>
      <c r="CR332" s="83" t="s">
        <v>390</v>
      </c>
      <c r="CS332" s="83" t="s">
        <v>179</v>
      </c>
      <c r="CT332" s="83" t="s">
        <v>179</v>
      </c>
      <c r="CU332" s="83" t="s">
        <v>179</v>
      </c>
      <c r="CV332" s="83" t="s">
        <v>179</v>
      </c>
      <c r="CW332" s="83" t="s">
        <v>179</v>
      </c>
      <c r="CX332" s="79" t="s">
        <v>153</v>
      </c>
      <c r="CY332" s="79">
        <f t="shared" si="198"/>
        <v>1</v>
      </c>
      <c r="CZ332" s="79">
        <v>1</v>
      </c>
      <c r="DA332" s="79">
        <f t="shared" si="199"/>
        <v>1</v>
      </c>
      <c r="DB332" s="84"/>
      <c r="DC332" s="41"/>
      <c r="DD332" s="79" t="s">
        <v>153</v>
      </c>
      <c r="DE332" s="71"/>
      <c r="DF332" s="85" t="s">
        <v>2503</v>
      </c>
      <c r="DG332" s="79">
        <v>322</v>
      </c>
      <c r="DH332" s="86" t="str">
        <f t="shared" si="217"/>
        <v>Completo</v>
      </c>
      <c r="DI332" s="79" t="s">
        <v>181</v>
      </c>
      <c r="DJ332" s="79" t="s">
        <v>182</v>
      </c>
      <c r="DK332" s="79" t="s">
        <v>153</v>
      </c>
      <c r="DL332" s="79">
        <v>0</v>
      </c>
      <c r="DM332" s="79">
        <v>0</v>
      </c>
      <c r="DN332" s="79" t="s">
        <v>182</v>
      </c>
      <c r="DO332" s="79">
        <v>153</v>
      </c>
      <c r="DP332" s="79" t="s">
        <v>182</v>
      </c>
      <c r="DQ332" s="79">
        <v>12</v>
      </c>
      <c r="DR332" s="75">
        <f t="shared" si="208"/>
        <v>0.97560975609756106</v>
      </c>
      <c r="DS332" s="79" t="s">
        <v>182</v>
      </c>
      <c r="DT332" s="79">
        <v>16</v>
      </c>
      <c r="DU332" s="75">
        <f t="shared" si="209"/>
        <v>1.1149825783972125</v>
      </c>
      <c r="DV332" s="79" t="s">
        <v>182</v>
      </c>
      <c r="DW332" s="79" t="s">
        <v>182</v>
      </c>
      <c r="DX332" s="79">
        <v>3</v>
      </c>
      <c r="DY332" s="79">
        <v>1</v>
      </c>
      <c r="DZ332" s="79" t="s">
        <v>2504</v>
      </c>
      <c r="EA332" s="79">
        <v>154</v>
      </c>
      <c r="EB332" s="79" t="s">
        <v>182</v>
      </c>
      <c r="EC332" s="79" t="s">
        <v>2439</v>
      </c>
      <c r="ED332" s="79" t="s">
        <v>184</v>
      </c>
      <c r="EE332" s="79" t="str">
        <f t="shared" si="201"/>
        <v>Completo</v>
      </c>
      <c r="EF332" s="41"/>
      <c r="EG332" s="79" t="s">
        <v>153</v>
      </c>
      <c r="EH332" s="71"/>
      <c r="EI332" s="89" t="s">
        <v>2505</v>
      </c>
      <c r="EJ332" s="71"/>
      <c r="EK332" s="79" t="s">
        <v>393</v>
      </c>
      <c r="EL332" s="76" t="str">
        <f t="shared" si="210"/>
        <v>Sí</v>
      </c>
      <c r="EM332" s="76" t="str">
        <f t="shared" si="211"/>
        <v>Sí</v>
      </c>
      <c r="EN332" s="76" t="str">
        <f t="shared" si="195"/>
        <v>Sí</v>
      </c>
      <c r="EO332" s="71"/>
      <c r="EP332" s="73" t="str">
        <f t="shared" si="212"/>
        <v>No aplica</v>
      </c>
      <c r="EQ332" s="77">
        <f t="shared" si="213"/>
        <v>1.1149825783972125</v>
      </c>
      <c r="ER332" s="71"/>
      <c r="ES332" s="79" t="s">
        <v>409</v>
      </c>
      <c r="ET332" s="73">
        <f t="shared" si="214"/>
        <v>1</v>
      </c>
      <c r="EU332" s="73">
        <f t="shared" si="196"/>
        <v>1</v>
      </c>
      <c r="EV332" s="73">
        <f t="shared" si="215"/>
        <v>1</v>
      </c>
      <c r="EW332" s="73">
        <f t="shared" si="216"/>
        <v>0.99350649350649356</v>
      </c>
      <c r="EX332" s="78"/>
      <c r="EY332" s="78"/>
    </row>
    <row r="333" spans="1:155" ht="46.5" customHeight="1">
      <c r="A333" s="79">
        <v>329</v>
      </c>
      <c r="B333" s="80" t="s">
        <v>2506</v>
      </c>
      <c r="C333" s="81">
        <v>45400</v>
      </c>
      <c r="D333" s="82">
        <v>0.70833333333333337</v>
      </c>
      <c r="E333" s="79" t="s">
        <v>151</v>
      </c>
      <c r="F333" s="79" t="s">
        <v>153</v>
      </c>
      <c r="G333" s="79" t="s">
        <v>153</v>
      </c>
      <c r="H333" s="79" t="s">
        <v>153</v>
      </c>
      <c r="I333" s="79" t="s">
        <v>152</v>
      </c>
      <c r="J333" s="79" t="s">
        <v>154</v>
      </c>
      <c r="K333" s="79" t="s">
        <v>155</v>
      </c>
      <c r="L333" s="80" t="s">
        <v>2412</v>
      </c>
      <c r="M333" s="80" t="s">
        <v>303</v>
      </c>
      <c r="N333" s="79" t="s">
        <v>161</v>
      </c>
      <c r="O333" s="80" t="str">
        <f t="shared" si="204"/>
        <v>José Ignacio Albarracín, PENDIENTE</v>
      </c>
      <c r="P333" s="79" t="s">
        <v>524</v>
      </c>
      <c r="Q333" s="79" t="s">
        <v>196</v>
      </c>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t="s">
        <v>304</v>
      </c>
      <c r="AP333" s="79"/>
      <c r="AQ333" s="80"/>
      <c r="AR333" s="83"/>
      <c r="AS333" s="80"/>
      <c r="AT333" s="80" t="str">
        <f t="shared" si="205"/>
        <v>Fontibón</v>
      </c>
      <c r="AU333" s="79" t="s">
        <v>646</v>
      </c>
      <c r="AV333" s="79"/>
      <c r="AW333" s="79"/>
      <c r="AX333" s="79"/>
      <c r="AY333" s="79"/>
      <c r="AZ333" s="79"/>
      <c r="BA333" s="80" t="str">
        <f t="shared" si="206"/>
        <v>Noroccidente</v>
      </c>
      <c r="BB333" s="79" t="s">
        <v>603</v>
      </c>
      <c r="BC333" s="79"/>
      <c r="BD333" s="79"/>
      <c r="BE333" s="79"/>
      <c r="BF333" s="79"/>
      <c r="BG333" s="79"/>
      <c r="BH333" s="80" t="str">
        <f t="shared" si="207"/>
        <v>Salitre, Fontibón</v>
      </c>
      <c r="BI333" s="79" t="s">
        <v>415</v>
      </c>
      <c r="BJ333" s="79" t="s">
        <v>646</v>
      </c>
      <c r="BK333" s="79"/>
      <c r="BL333" s="79"/>
      <c r="BM333" s="79"/>
      <c r="BN333" s="79"/>
      <c r="BO333" s="79"/>
      <c r="BP333" s="79"/>
      <c r="BQ333" s="79"/>
      <c r="BR333" s="79"/>
      <c r="BS333" s="80" t="s">
        <v>2507</v>
      </c>
      <c r="BT333" s="80" t="s">
        <v>174</v>
      </c>
      <c r="BU333" s="80" t="s">
        <v>2508</v>
      </c>
      <c r="BV333" s="71"/>
      <c r="BW333" s="79" t="s">
        <v>153</v>
      </c>
      <c r="BX333" s="79" t="s">
        <v>607</v>
      </c>
      <c r="BY333" s="71"/>
      <c r="BZ333" s="79">
        <v>51</v>
      </c>
      <c r="CA333" s="79">
        <v>2</v>
      </c>
      <c r="CB333" s="79">
        <f t="shared" si="178"/>
        <v>53</v>
      </c>
      <c r="CC333" s="79" t="str">
        <f t="shared" si="194"/>
        <v>Horarios Acordes, Contenidos adaptados</v>
      </c>
      <c r="CD333" s="79" t="s">
        <v>351</v>
      </c>
      <c r="CE333" s="79" t="s">
        <v>350</v>
      </c>
      <c r="CF333" s="79"/>
      <c r="CG333" s="83" t="s">
        <v>2414</v>
      </c>
      <c r="CH333" s="41"/>
      <c r="CI333" s="79" t="s">
        <v>153</v>
      </c>
      <c r="CJ333" s="71"/>
      <c r="CK333" s="79">
        <f t="shared" si="177"/>
        <v>1</v>
      </c>
      <c r="CL333" s="79" t="s">
        <v>389</v>
      </c>
      <c r="CM333" s="79"/>
      <c r="CN333" s="79"/>
      <c r="CO333" s="79"/>
      <c r="CP333" s="79"/>
      <c r="CQ333" s="79"/>
      <c r="CR333" s="83" t="s">
        <v>390</v>
      </c>
      <c r="CS333" s="83" t="s">
        <v>179</v>
      </c>
      <c r="CT333" s="83" t="s">
        <v>179</v>
      </c>
      <c r="CU333" s="83" t="s">
        <v>179</v>
      </c>
      <c r="CV333" s="83" t="s">
        <v>179</v>
      </c>
      <c r="CW333" s="83" t="s">
        <v>179</v>
      </c>
      <c r="CX333" s="79" t="s">
        <v>153</v>
      </c>
      <c r="CY333" s="79">
        <f t="shared" si="198"/>
        <v>1</v>
      </c>
      <c r="CZ333" s="79">
        <v>1</v>
      </c>
      <c r="DA333" s="79">
        <f t="shared" si="199"/>
        <v>1</v>
      </c>
      <c r="DB333" s="84"/>
      <c r="DC333" s="41"/>
      <c r="DD333" s="79" t="s">
        <v>153</v>
      </c>
      <c r="DE333" s="71"/>
      <c r="DF333" s="85" t="s">
        <v>2509</v>
      </c>
      <c r="DG333" s="79">
        <v>323</v>
      </c>
      <c r="DH333" s="86" t="str">
        <f t="shared" si="217"/>
        <v>Completo</v>
      </c>
      <c r="DI333" s="79" t="s">
        <v>181</v>
      </c>
      <c r="DJ333" s="79" t="s">
        <v>182</v>
      </c>
      <c r="DK333" s="79" t="s">
        <v>153</v>
      </c>
      <c r="DL333" s="79">
        <v>0</v>
      </c>
      <c r="DM333" s="79">
        <v>0</v>
      </c>
      <c r="DN333" s="79" t="s">
        <v>182</v>
      </c>
      <c r="DO333" s="79">
        <v>813</v>
      </c>
      <c r="DP333" s="79" t="s">
        <v>182</v>
      </c>
      <c r="DQ333" s="79">
        <v>20</v>
      </c>
      <c r="DR333" s="75">
        <f t="shared" si="208"/>
        <v>1.3071895424836601</v>
      </c>
      <c r="DS333" s="79" t="s">
        <v>182</v>
      </c>
      <c r="DT333" s="79">
        <v>56</v>
      </c>
      <c r="DU333" s="75">
        <f t="shared" si="209"/>
        <v>3.1372549019607847</v>
      </c>
      <c r="DV333" s="79" t="s">
        <v>182</v>
      </c>
      <c r="DW333" s="79" t="s">
        <v>182</v>
      </c>
      <c r="DX333" s="79">
        <v>3</v>
      </c>
      <c r="DY333" s="79">
        <v>0</v>
      </c>
      <c r="DZ333" s="79"/>
      <c r="EA333" s="79">
        <v>813</v>
      </c>
      <c r="EB333" s="79" t="s">
        <v>182</v>
      </c>
      <c r="EC333" s="79" t="s">
        <v>2510</v>
      </c>
      <c r="ED333" s="79" t="s">
        <v>184</v>
      </c>
      <c r="EE333" s="79" t="str">
        <f t="shared" si="201"/>
        <v>Completo</v>
      </c>
      <c r="EF333" s="41"/>
      <c r="EG333" s="79" t="s">
        <v>153</v>
      </c>
      <c r="EH333" s="71"/>
      <c r="EI333" s="89" t="s">
        <v>2511</v>
      </c>
      <c r="EJ333" s="71"/>
      <c r="EK333" s="79" t="s">
        <v>2418</v>
      </c>
      <c r="EL333" s="76" t="str">
        <f t="shared" si="210"/>
        <v>Sí</v>
      </c>
      <c r="EM333" s="76" t="str">
        <f t="shared" si="211"/>
        <v>No</v>
      </c>
      <c r="EN333" s="76" t="str">
        <f t="shared" si="195"/>
        <v>Sí</v>
      </c>
      <c r="EO333" s="71"/>
      <c r="EP333" s="73" t="str">
        <f t="shared" si="212"/>
        <v>No aplica</v>
      </c>
      <c r="EQ333" s="77">
        <f t="shared" si="213"/>
        <v>3.1372549019607847</v>
      </c>
      <c r="ER333" s="71"/>
      <c r="ES333" s="79" t="s">
        <v>2418</v>
      </c>
      <c r="ET333" s="73">
        <f t="shared" si="214"/>
        <v>1</v>
      </c>
      <c r="EU333" s="73">
        <f t="shared" si="196"/>
        <v>1</v>
      </c>
      <c r="EV333" s="73">
        <f t="shared" si="215"/>
        <v>1</v>
      </c>
      <c r="EW333" s="73">
        <f t="shared" si="216"/>
        <v>1</v>
      </c>
      <c r="EX333" s="78"/>
      <c r="EY333" s="78"/>
    </row>
    <row r="334" spans="1:155" ht="46.5" customHeight="1">
      <c r="A334" s="79">
        <v>330</v>
      </c>
      <c r="B334" s="80" t="s">
        <v>2512</v>
      </c>
      <c r="C334" s="81">
        <v>45400</v>
      </c>
      <c r="D334" s="82">
        <v>0.70833333333333337</v>
      </c>
      <c r="E334" s="79" t="s">
        <v>151</v>
      </c>
      <c r="F334" s="79" t="s">
        <v>153</v>
      </c>
      <c r="G334" s="79" t="s">
        <v>153</v>
      </c>
      <c r="H334" s="79" t="s">
        <v>153</v>
      </c>
      <c r="I334" s="79" t="s">
        <v>152</v>
      </c>
      <c r="J334" s="79" t="s">
        <v>154</v>
      </c>
      <c r="K334" s="79" t="s">
        <v>155</v>
      </c>
      <c r="L334" s="80" t="s">
        <v>2412</v>
      </c>
      <c r="M334" s="80" t="s">
        <v>303</v>
      </c>
      <c r="N334" s="79" t="s">
        <v>965</v>
      </c>
      <c r="O334" s="80" t="str">
        <f t="shared" si="204"/>
        <v>Nicolás Esteban Flórez, PENDIENTE</v>
      </c>
      <c r="P334" s="79" t="s">
        <v>472</v>
      </c>
      <c r="Q334" s="79" t="s">
        <v>196</v>
      </c>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t="s">
        <v>304</v>
      </c>
      <c r="AP334" s="79"/>
      <c r="AQ334" s="80" t="s">
        <v>171</v>
      </c>
      <c r="AR334" s="80" t="s">
        <v>171</v>
      </c>
      <c r="AS334" s="80" t="s">
        <v>171</v>
      </c>
      <c r="AT334" s="80" t="str">
        <f t="shared" si="205"/>
        <v>Puente Aranda</v>
      </c>
      <c r="AU334" s="79" t="s">
        <v>1235</v>
      </c>
      <c r="AV334" s="79"/>
      <c r="AW334" s="79"/>
      <c r="AX334" s="79"/>
      <c r="AY334" s="79"/>
      <c r="AZ334" s="79"/>
      <c r="BA334" s="80" t="str">
        <f t="shared" si="206"/>
        <v>Centro Ampliado</v>
      </c>
      <c r="BB334" s="79" t="s">
        <v>636</v>
      </c>
      <c r="BC334" s="79"/>
      <c r="BD334" s="79"/>
      <c r="BE334" s="79"/>
      <c r="BF334" s="79"/>
      <c r="BG334" s="79"/>
      <c r="BH334" s="80" t="str">
        <f t="shared" si="207"/>
        <v>Puente Aranda</v>
      </c>
      <c r="BI334" s="79" t="s">
        <v>1235</v>
      </c>
      <c r="BJ334" s="79"/>
      <c r="BK334" s="79"/>
      <c r="BL334" s="79"/>
      <c r="BM334" s="79"/>
      <c r="BN334" s="79"/>
      <c r="BO334" s="79"/>
      <c r="BP334" s="79"/>
      <c r="BQ334" s="79"/>
      <c r="BR334" s="79"/>
      <c r="BS334" s="80"/>
      <c r="BT334" s="80" t="s">
        <v>174</v>
      </c>
      <c r="BU334" s="80" t="s">
        <v>2513</v>
      </c>
      <c r="BV334" s="71"/>
      <c r="BW334" s="79" t="s">
        <v>153</v>
      </c>
      <c r="BX334" s="79" t="s">
        <v>607</v>
      </c>
      <c r="BY334" s="71"/>
      <c r="BZ334" s="79">
        <v>25</v>
      </c>
      <c r="CA334" s="79">
        <v>6</v>
      </c>
      <c r="CB334" s="79">
        <f t="shared" si="178"/>
        <v>31</v>
      </c>
      <c r="CC334" s="79" t="str">
        <f t="shared" si="194"/>
        <v>Horarios Acordes, Accesibilidad Universal</v>
      </c>
      <c r="CD334" s="79" t="s">
        <v>351</v>
      </c>
      <c r="CE334" s="79" t="s">
        <v>397</v>
      </c>
      <c r="CF334" s="79"/>
      <c r="CG334" s="83" t="s">
        <v>2414</v>
      </c>
      <c r="CH334" s="41"/>
      <c r="CI334" s="79" t="s">
        <v>153</v>
      </c>
      <c r="CJ334" s="71"/>
      <c r="CK334" s="79">
        <f t="shared" si="177"/>
        <v>1</v>
      </c>
      <c r="CL334" s="79" t="s">
        <v>389</v>
      </c>
      <c r="CM334" s="79"/>
      <c r="CN334" s="79"/>
      <c r="CO334" s="79"/>
      <c r="CP334" s="79"/>
      <c r="CQ334" s="79"/>
      <c r="CR334" s="83" t="s">
        <v>390</v>
      </c>
      <c r="CS334" s="83" t="s">
        <v>179</v>
      </c>
      <c r="CT334" s="83" t="s">
        <v>179</v>
      </c>
      <c r="CU334" s="83" t="s">
        <v>179</v>
      </c>
      <c r="CV334" s="83" t="s">
        <v>179</v>
      </c>
      <c r="CW334" s="83" t="s">
        <v>179</v>
      </c>
      <c r="CX334" s="79" t="s">
        <v>153</v>
      </c>
      <c r="CY334" s="79">
        <f t="shared" si="198"/>
        <v>1</v>
      </c>
      <c r="CZ334" s="79">
        <v>1</v>
      </c>
      <c r="DA334" s="79">
        <f t="shared" si="199"/>
        <v>1</v>
      </c>
      <c r="DB334" s="84"/>
      <c r="DC334" s="41"/>
      <c r="DD334" s="79" t="s">
        <v>153</v>
      </c>
      <c r="DE334" s="71"/>
      <c r="DF334" s="85" t="s">
        <v>2514</v>
      </c>
      <c r="DG334" s="79">
        <v>324</v>
      </c>
      <c r="DH334" s="86" t="str">
        <f t="shared" si="217"/>
        <v>Completo</v>
      </c>
      <c r="DI334" s="79" t="s">
        <v>181</v>
      </c>
      <c r="DJ334" s="79" t="s">
        <v>182</v>
      </c>
      <c r="DK334" s="79" t="s">
        <v>153</v>
      </c>
      <c r="DL334" s="79">
        <v>0</v>
      </c>
      <c r="DM334" s="79">
        <v>0</v>
      </c>
      <c r="DN334" s="79" t="s">
        <v>182</v>
      </c>
      <c r="DO334" s="79">
        <v>417</v>
      </c>
      <c r="DP334" s="79" t="s">
        <v>182</v>
      </c>
      <c r="DQ334" s="79">
        <v>10</v>
      </c>
      <c r="DR334" s="75">
        <f t="shared" si="208"/>
        <v>1.3333333333333333</v>
      </c>
      <c r="DS334" s="79" t="s">
        <v>182</v>
      </c>
      <c r="DT334" s="79">
        <v>43</v>
      </c>
      <c r="DU334" s="75">
        <f t="shared" si="209"/>
        <v>4.9142857142857146</v>
      </c>
      <c r="DV334" s="79" t="s">
        <v>182</v>
      </c>
      <c r="DW334" s="79" t="s">
        <v>182</v>
      </c>
      <c r="DX334" s="79">
        <v>2</v>
      </c>
      <c r="DY334" s="79">
        <v>0</v>
      </c>
      <c r="DZ334" s="79"/>
      <c r="EA334" s="79">
        <v>417</v>
      </c>
      <c r="EB334" s="79" t="s">
        <v>182</v>
      </c>
      <c r="EC334" s="79" t="s">
        <v>2448</v>
      </c>
      <c r="ED334" s="79" t="s">
        <v>184</v>
      </c>
      <c r="EE334" s="79" t="str">
        <f t="shared" si="201"/>
        <v>Completo</v>
      </c>
      <c r="EF334" s="41"/>
      <c r="EG334" s="79" t="s">
        <v>153</v>
      </c>
      <c r="EH334" s="71"/>
      <c r="EI334" s="89" t="s">
        <v>2515</v>
      </c>
      <c r="EJ334" s="71"/>
      <c r="EK334" s="79" t="s">
        <v>393</v>
      </c>
      <c r="EL334" s="76" t="str">
        <f t="shared" si="210"/>
        <v>Sí</v>
      </c>
      <c r="EM334" s="76" t="str">
        <f t="shared" si="211"/>
        <v>No</v>
      </c>
      <c r="EN334" s="76" t="str">
        <f t="shared" si="195"/>
        <v>Sí</v>
      </c>
      <c r="EO334" s="71"/>
      <c r="EP334" s="73" t="str">
        <f t="shared" si="212"/>
        <v>No aplica</v>
      </c>
      <c r="EQ334" s="77">
        <f t="shared" si="213"/>
        <v>4.9142857142857146</v>
      </c>
      <c r="ER334" s="71"/>
      <c r="ES334" s="79" t="s">
        <v>409</v>
      </c>
      <c r="ET334" s="73">
        <f t="shared" si="214"/>
        <v>1</v>
      </c>
      <c r="EU334" s="73">
        <f t="shared" si="196"/>
        <v>1</v>
      </c>
      <c r="EV334" s="73">
        <f t="shared" si="215"/>
        <v>1</v>
      </c>
      <c r="EW334" s="73">
        <f t="shared" si="216"/>
        <v>1</v>
      </c>
      <c r="EX334" s="78"/>
      <c r="EY334" s="78"/>
    </row>
    <row r="335" spans="1:155" ht="46.5" customHeight="1">
      <c r="A335" s="79">
        <v>331</v>
      </c>
      <c r="B335" s="80" t="s">
        <v>2516</v>
      </c>
      <c r="C335" s="81">
        <v>45400</v>
      </c>
      <c r="D335" s="82">
        <v>0.70833333333333337</v>
      </c>
      <c r="E335" s="79" t="s">
        <v>151</v>
      </c>
      <c r="F335" s="79" t="s">
        <v>153</v>
      </c>
      <c r="G335" s="79" t="s">
        <v>153</v>
      </c>
      <c r="H335" s="79" t="s">
        <v>153</v>
      </c>
      <c r="I335" s="79" t="s">
        <v>152</v>
      </c>
      <c r="J335" s="79" t="s">
        <v>154</v>
      </c>
      <c r="K335" s="79" t="s">
        <v>155</v>
      </c>
      <c r="L335" s="80" t="s">
        <v>2412</v>
      </c>
      <c r="M335" s="80" t="s">
        <v>303</v>
      </c>
      <c r="N335" s="79" t="s">
        <v>1387</v>
      </c>
      <c r="O335" s="80" t="str">
        <f t="shared" si="204"/>
        <v>Mónica Lyzeth Cantor, PENDIENTE</v>
      </c>
      <c r="P335" s="79" t="s">
        <v>346</v>
      </c>
      <c r="Q335" s="79" t="s">
        <v>196</v>
      </c>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t="s">
        <v>304</v>
      </c>
      <c r="AP335" s="79"/>
      <c r="AQ335" s="80" t="s">
        <v>2350</v>
      </c>
      <c r="AR335" s="83" t="s">
        <v>2517</v>
      </c>
      <c r="AS335" s="80" t="s">
        <v>171</v>
      </c>
      <c r="AT335" s="80" t="str">
        <f t="shared" si="205"/>
        <v>Teusaquillo</v>
      </c>
      <c r="AU335" s="79" t="s">
        <v>1004</v>
      </c>
      <c r="AV335" s="79"/>
      <c r="AW335" s="79"/>
      <c r="AX335" s="79"/>
      <c r="AY335" s="79"/>
      <c r="AZ335" s="79"/>
      <c r="BA335" s="80" t="str">
        <f t="shared" si="206"/>
        <v>Centro Ampliado</v>
      </c>
      <c r="BB335" s="79" t="s">
        <v>636</v>
      </c>
      <c r="BC335" s="79"/>
      <c r="BD335" s="79"/>
      <c r="BE335" s="79"/>
      <c r="BF335" s="79"/>
      <c r="BG335" s="79"/>
      <c r="BH335" s="80" t="str">
        <f t="shared" si="207"/>
        <v>Teusaquillo</v>
      </c>
      <c r="BI335" s="79" t="s">
        <v>1004</v>
      </c>
      <c r="BJ335" s="79"/>
      <c r="BK335" s="79"/>
      <c r="BL335" s="79"/>
      <c r="BM335" s="79"/>
      <c r="BN335" s="79"/>
      <c r="BO335" s="79"/>
      <c r="BP335" s="79"/>
      <c r="BQ335" s="79"/>
      <c r="BR335" s="79"/>
      <c r="BS335" s="80" t="s">
        <v>2518</v>
      </c>
      <c r="BT335" s="80" t="s">
        <v>174</v>
      </c>
      <c r="BU335" s="80" t="s">
        <v>2519</v>
      </c>
      <c r="BV335" s="71"/>
      <c r="BW335" s="79" t="s">
        <v>153</v>
      </c>
      <c r="BX335" s="79" t="s">
        <v>607</v>
      </c>
      <c r="BY335" s="71"/>
      <c r="BZ335" s="79">
        <v>20</v>
      </c>
      <c r="CA335" s="79">
        <v>4</v>
      </c>
      <c r="CB335" s="79">
        <f t="shared" si="178"/>
        <v>24</v>
      </c>
      <c r="CC335" s="79" t="str">
        <f t="shared" si="194"/>
        <v>Ninguna</v>
      </c>
      <c r="CD335" s="79" t="s">
        <v>174</v>
      </c>
      <c r="CE335" s="79"/>
      <c r="CF335" s="79"/>
      <c r="CG335" s="83" t="s">
        <v>2414</v>
      </c>
      <c r="CH335" s="41"/>
      <c r="CI335" s="79"/>
      <c r="CJ335" s="71"/>
      <c r="CK335" s="79">
        <f t="shared" si="177"/>
        <v>2</v>
      </c>
      <c r="CL335" s="79" t="s">
        <v>389</v>
      </c>
      <c r="CM335" s="79" t="s">
        <v>2520</v>
      </c>
      <c r="CN335" s="79"/>
      <c r="CO335" s="79"/>
      <c r="CP335" s="79"/>
      <c r="CQ335" s="79"/>
      <c r="CR335" s="83" t="s">
        <v>390</v>
      </c>
      <c r="CS335" s="83" t="s">
        <v>390</v>
      </c>
      <c r="CT335" s="83" t="s">
        <v>179</v>
      </c>
      <c r="CU335" s="83" t="s">
        <v>179</v>
      </c>
      <c r="CV335" s="83" t="s">
        <v>179</v>
      </c>
      <c r="CW335" s="83" t="s">
        <v>179</v>
      </c>
      <c r="CX335" s="79" t="s">
        <v>153</v>
      </c>
      <c r="CY335" s="79">
        <f t="shared" si="198"/>
        <v>2</v>
      </c>
      <c r="CZ335" s="79">
        <v>2</v>
      </c>
      <c r="DA335" s="79">
        <f t="shared" si="199"/>
        <v>2</v>
      </c>
      <c r="DB335" s="84"/>
      <c r="DC335" s="41"/>
      <c r="DD335" s="79" t="s">
        <v>153</v>
      </c>
      <c r="DE335" s="71"/>
      <c r="DF335" s="85" t="s">
        <v>2521</v>
      </c>
      <c r="DG335" s="79">
        <v>325</v>
      </c>
      <c r="DH335" s="86" t="str">
        <f t="shared" si="217"/>
        <v>Completo</v>
      </c>
      <c r="DI335" s="79" t="s">
        <v>181</v>
      </c>
      <c r="DJ335" s="79" t="s">
        <v>182</v>
      </c>
      <c r="DK335" s="79" t="s">
        <v>153</v>
      </c>
      <c r="DL335" s="79">
        <v>3</v>
      </c>
      <c r="DM335" s="79">
        <v>3</v>
      </c>
      <c r="DN335" s="79" t="s">
        <v>182</v>
      </c>
      <c r="DO335" s="79">
        <v>80</v>
      </c>
      <c r="DP335" s="79" t="s">
        <v>182</v>
      </c>
      <c r="DQ335" s="79">
        <v>9</v>
      </c>
      <c r="DR335" s="75">
        <f t="shared" si="208"/>
        <v>1.5</v>
      </c>
      <c r="DS335" s="79" t="s">
        <v>182</v>
      </c>
      <c r="DT335" s="79">
        <v>25</v>
      </c>
      <c r="DU335" s="75">
        <f t="shared" si="209"/>
        <v>3.5714285714285716</v>
      </c>
      <c r="DV335" s="79" t="s">
        <v>182</v>
      </c>
      <c r="DW335" s="79" t="s">
        <v>182</v>
      </c>
      <c r="DX335" s="79">
        <v>3</v>
      </c>
      <c r="DY335" s="79">
        <v>0</v>
      </c>
      <c r="DZ335" s="79"/>
      <c r="EA335" s="79">
        <v>135</v>
      </c>
      <c r="EB335" s="79" t="s">
        <v>182</v>
      </c>
      <c r="EC335" s="79" t="s">
        <v>2522</v>
      </c>
      <c r="ED335" s="79" t="s">
        <v>184</v>
      </c>
      <c r="EE335" s="79" t="str">
        <f t="shared" si="201"/>
        <v>Completo</v>
      </c>
      <c r="EF335" s="41"/>
      <c r="EG335" s="79" t="s">
        <v>153</v>
      </c>
      <c r="EH335" s="71"/>
      <c r="EI335" s="89" t="s">
        <v>2523</v>
      </c>
      <c r="EJ335" s="71"/>
      <c r="EK335" s="79" t="s">
        <v>393</v>
      </c>
      <c r="EL335" s="76" t="str">
        <f t="shared" si="210"/>
        <v>Sí</v>
      </c>
      <c r="EM335" s="76" t="str">
        <f t="shared" si="211"/>
        <v>No</v>
      </c>
      <c r="EN335" s="76" t="str">
        <f t="shared" si="195"/>
        <v>No</v>
      </c>
      <c r="EO335" s="71"/>
      <c r="EP335" s="73">
        <f t="shared" si="212"/>
        <v>1</v>
      </c>
      <c r="EQ335" s="77">
        <f t="shared" si="213"/>
        <v>3.5714285714285716</v>
      </c>
      <c r="ER335" s="71"/>
      <c r="ES335" s="79" t="s">
        <v>393</v>
      </c>
      <c r="ET335" s="73">
        <f t="shared" si="214"/>
        <v>1</v>
      </c>
      <c r="EU335" s="73">
        <f t="shared" si="196"/>
        <v>1</v>
      </c>
      <c r="EV335" s="73">
        <f t="shared" si="215"/>
        <v>1</v>
      </c>
      <c r="EW335" s="73">
        <f t="shared" si="216"/>
        <v>0.59259259259259256</v>
      </c>
      <c r="EX335" s="78"/>
      <c r="EY335" s="78"/>
    </row>
    <row r="336" spans="1:155" ht="46.5" customHeight="1">
      <c r="A336" s="79">
        <v>332</v>
      </c>
      <c r="B336" s="80" t="s">
        <v>2524</v>
      </c>
      <c r="C336" s="81">
        <v>45400</v>
      </c>
      <c r="D336" s="82">
        <v>0.70833333333333337</v>
      </c>
      <c r="E336" s="79" t="s">
        <v>151</v>
      </c>
      <c r="F336" s="79" t="s">
        <v>153</v>
      </c>
      <c r="G336" s="79" t="s">
        <v>153</v>
      </c>
      <c r="H336" s="79" t="s">
        <v>153</v>
      </c>
      <c r="I336" s="79" t="s">
        <v>152</v>
      </c>
      <c r="J336" s="79" t="s">
        <v>154</v>
      </c>
      <c r="K336" s="79" t="s">
        <v>155</v>
      </c>
      <c r="L336" s="80" t="s">
        <v>2412</v>
      </c>
      <c r="M336" s="80" t="s">
        <v>303</v>
      </c>
      <c r="N336" s="79" t="s">
        <v>644</v>
      </c>
      <c r="O336" s="80" t="str">
        <f t="shared" si="204"/>
        <v>Nathalia Guzmán Martínez, PENDIENTE</v>
      </c>
      <c r="P336" s="79" t="s">
        <v>166</v>
      </c>
      <c r="Q336" s="79" t="s">
        <v>196</v>
      </c>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t="s">
        <v>304</v>
      </c>
      <c r="AP336" s="79"/>
      <c r="AQ336" s="80"/>
      <c r="AR336" s="83"/>
      <c r="AS336" s="80"/>
      <c r="AT336" s="80" t="str">
        <f t="shared" si="205"/>
        <v>Engativá</v>
      </c>
      <c r="AU336" s="79" t="s">
        <v>234</v>
      </c>
      <c r="AV336" s="79"/>
      <c r="AW336" s="79"/>
      <c r="AX336" s="79"/>
      <c r="AY336" s="79"/>
      <c r="AZ336" s="79"/>
      <c r="BA336" s="80" t="str">
        <f t="shared" si="206"/>
        <v>Noroccidente</v>
      </c>
      <c r="BB336" s="79" t="s">
        <v>603</v>
      </c>
      <c r="BC336" s="79"/>
      <c r="BD336" s="79"/>
      <c r="BE336" s="79"/>
      <c r="BF336" s="79"/>
      <c r="BG336" s="79"/>
      <c r="BH336" s="80" t="str">
        <f t="shared" si="207"/>
        <v>Engativá, Tabora</v>
      </c>
      <c r="BI336" s="79" t="s">
        <v>234</v>
      </c>
      <c r="BJ336" s="79" t="s">
        <v>414</v>
      </c>
      <c r="BK336" s="79"/>
      <c r="BL336" s="79"/>
      <c r="BM336" s="79"/>
      <c r="BN336" s="79"/>
      <c r="BO336" s="79"/>
      <c r="BP336" s="79"/>
      <c r="BQ336" s="79"/>
      <c r="BR336" s="79"/>
      <c r="BS336" s="80" t="s">
        <v>2525</v>
      </c>
      <c r="BT336" s="80" t="s">
        <v>174</v>
      </c>
      <c r="BU336" s="80" t="s">
        <v>961</v>
      </c>
      <c r="BV336" s="71"/>
      <c r="BW336" s="79" t="s">
        <v>153</v>
      </c>
      <c r="BX336" s="79" t="s">
        <v>607</v>
      </c>
      <c r="BY336" s="71"/>
      <c r="BZ336" s="79">
        <v>29</v>
      </c>
      <c r="CA336" s="79">
        <v>5</v>
      </c>
      <c r="CB336" s="79">
        <f t="shared" si="178"/>
        <v>34</v>
      </c>
      <c r="CC336" s="79" t="str">
        <f t="shared" si="194"/>
        <v>Accesibilidad Universal</v>
      </c>
      <c r="CD336" s="79" t="s">
        <v>397</v>
      </c>
      <c r="CE336" s="79"/>
      <c r="CF336" s="79"/>
      <c r="CG336" s="83" t="s">
        <v>2414</v>
      </c>
      <c r="CH336" s="41"/>
      <c r="CI336" s="79" t="s">
        <v>153</v>
      </c>
      <c r="CJ336" s="71"/>
      <c r="CK336" s="79">
        <f t="shared" si="177"/>
        <v>1</v>
      </c>
      <c r="CL336" s="79" t="s">
        <v>389</v>
      </c>
      <c r="CM336" s="79"/>
      <c r="CN336" s="79"/>
      <c r="CO336" s="79"/>
      <c r="CP336" s="79"/>
      <c r="CQ336" s="79"/>
      <c r="CR336" s="83" t="s">
        <v>390</v>
      </c>
      <c r="CS336" s="83" t="s">
        <v>179</v>
      </c>
      <c r="CT336" s="83" t="s">
        <v>179</v>
      </c>
      <c r="CU336" s="83" t="s">
        <v>179</v>
      </c>
      <c r="CV336" s="83" t="s">
        <v>179</v>
      </c>
      <c r="CW336" s="83" t="s">
        <v>179</v>
      </c>
      <c r="CX336" s="79" t="s">
        <v>153</v>
      </c>
      <c r="CY336" s="79">
        <f t="shared" si="198"/>
        <v>1</v>
      </c>
      <c r="CZ336" s="79">
        <v>1</v>
      </c>
      <c r="DA336" s="79">
        <f t="shared" si="199"/>
        <v>1</v>
      </c>
      <c r="DB336" s="84"/>
      <c r="DC336" s="41"/>
      <c r="DD336" s="79" t="s">
        <v>153</v>
      </c>
      <c r="DE336" s="71"/>
      <c r="DF336" s="85" t="s">
        <v>2526</v>
      </c>
      <c r="DG336" s="79">
        <v>326</v>
      </c>
      <c r="DH336" s="86" t="str">
        <f t="shared" si="217"/>
        <v>Completo</v>
      </c>
      <c r="DI336" s="79" t="s">
        <v>181</v>
      </c>
      <c r="DJ336" s="79" t="s">
        <v>182</v>
      </c>
      <c r="DK336" s="79" t="s">
        <v>153</v>
      </c>
      <c r="DL336" s="79">
        <v>0</v>
      </c>
      <c r="DM336" s="79">
        <v>0</v>
      </c>
      <c r="DN336" s="79" t="s">
        <v>182</v>
      </c>
      <c r="DO336" s="79">
        <v>400</v>
      </c>
      <c r="DP336" s="79" t="s">
        <v>182</v>
      </c>
      <c r="DQ336" s="79">
        <v>10</v>
      </c>
      <c r="DR336" s="75">
        <f t="shared" si="208"/>
        <v>1.149425287356322</v>
      </c>
      <c r="DS336" s="79" t="s">
        <v>182</v>
      </c>
      <c r="DT336" s="79">
        <v>30</v>
      </c>
      <c r="DU336" s="75">
        <f t="shared" si="209"/>
        <v>2.9556650246305423</v>
      </c>
      <c r="DV336" s="79" t="s">
        <v>182</v>
      </c>
      <c r="DW336" s="79" t="s">
        <v>182</v>
      </c>
      <c r="DX336" s="79">
        <v>3</v>
      </c>
      <c r="DY336" s="79">
        <v>0</v>
      </c>
      <c r="DZ336" s="79"/>
      <c r="EA336" s="79">
        <v>400</v>
      </c>
      <c r="EB336" s="79" t="s">
        <v>182</v>
      </c>
      <c r="EC336" s="79" t="s">
        <v>2527</v>
      </c>
      <c r="ED336" s="79" t="s">
        <v>184</v>
      </c>
      <c r="EE336" s="79" t="str">
        <f t="shared" si="201"/>
        <v>Completo</v>
      </c>
      <c r="EF336" s="41"/>
      <c r="EG336" s="79" t="s">
        <v>153</v>
      </c>
      <c r="EH336" s="71"/>
      <c r="EI336" s="89" t="s">
        <v>2528</v>
      </c>
      <c r="EJ336" s="71"/>
      <c r="EK336" s="79" t="s">
        <v>2418</v>
      </c>
      <c r="EL336" s="76" t="str">
        <f t="shared" si="210"/>
        <v>Sí</v>
      </c>
      <c r="EM336" s="76" t="str">
        <f t="shared" si="211"/>
        <v>No</v>
      </c>
      <c r="EN336" s="76" t="str">
        <f t="shared" si="195"/>
        <v>Sí</v>
      </c>
      <c r="EO336" s="71"/>
      <c r="EP336" s="73" t="str">
        <f t="shared" si="212"/>
        <v>No aplica</v>
      </c>
      <c r="EQ336" s="77">
        <f t="shared" si="213"/>
        <v>2.9556650246305423</v>
      </c>
      <c r="ER336" s="71"/>
      <c r="ES336" s="79" t="s">
        <v>2418</v>
      </c>
      <c r="ET336" s="73">
        <f t="shared" si="214"/>
        <v>1</v>
      </c>
      <c r="EU336" s="73">
        <f t="shared" si="196"/>
        <v>1</v>
      </c>
      <c r="EV336" s="73">
        <f t="shared" si="215"/>
        <v>1</v>
      </c>
      <c r="EW336" s="73">
        <f t="shared" si="216"/>
        <v>1</v>
      </c>
      <c r="EX336" s="78"/>
      <c r="EY336" s="78"/>
    </row>
    <row r="337" spans="1:155" ht="46.5" customHeight="1">
      <c r="A337" s="79">
        <v>333</v>
      </c>
      <c r="B337" s="80" t="s">
        <v>2529</v>
      </c>
      <c r="C337" s="81">
        <v>45400</v>
      </c>
      <c r="D337" s="82">
        <v>0.70833333333333337</v>
      </c>
      <c r="E337" s="79" t="s">
        <v>151</v>
      </c>
      <c r="F337" s="79" t="s">
        <v>153</v>
      </c>
      <c r="G337" s="79" t="s">
        <v>153</v>
      </c>
      <c r="H337" s="79" t="s">
        <v>153</v>
      </c>
      <c r="I337" s="79" t="s">
        <v>152</v>
      </c>
      <c r="J337" s="79" t="s">
        <v>154</v>
      </c>
      <c r="K337" s="79" t="s">
        <v>155</v>
      </c>
      <c r="L337" s="80" t="s">
        <v>2412</v>
      </c>
      <c r="M337" s="80" t="s">
        <v>303</v>
      </c>
      <c r="N337" s="79" t="s">
        <v>749</v>
      </c>
      <c r="O337" s="80" t="str">
        <f t="shared" si="204"/>
        <v>Ana María Gualy, PENDIENTE</v>
      </c>
      <c r="P337" s="79" t="s">
        <v>821</v>
      </c>
      <c r="Q337" s="79" t="s">
        <v>196</v>
      </c>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t="s">
        <v>304</v>
      </c>
      <c r="AP337" s="79"/>
      <c r="AQ337" s="80" t="s">
        <v>374</v>
      </c>
      <c r="AR337" s="83" t="s">
        <v>2316</v>
      </c>
      <c r="AS337" s="80" t="s">
        <v>2530</v>
      </c>
      <c r="AT337" s="80" t="str">
        <f t="shared" si="205"/>
        <v>Los Mártires</v>
      </c>
      <c r="AU337" s="79" t="s">
        <v>823</v>
      </c>
      <c r="AV337" s="79"/>
      <c r="AW337" s="79"/>
      <c r="AX337" s="79"/>
      <c r="AY337" s="79"/>
      <c r="AZ337" s="79"/>
      <c r="BA337" s="80" t="str">
        <f t="shared" si="206"/>
        <v>Centro Ampliado</v>
      </c>
      <c r="BB337" s="79" t="s">
        <v>636</v>
      </c>
      <c r="BC337" s="79"/>
      <c r="BD337" s="79"/>
      <c r="BE337" s="79"/>
      <c r="BF337" s="79"/>
      <c r="BG337" s="79"/>
      <c r="BH337" s="80" t="str">
        <f t="shared" si="207"/>
        <v>Centro Histórico</v>
      </c>
      <c r="BI337" s="79" t="s">
        <v>754</v>
      </c>
      <c r="BJ337" s="79"/>
      <c r="BK337" s="79"/>
      <c r="BL337" s="79"/>
      <c r="BM337" s="79"/>
      <c r="BN337" s="79"/>
      <c r="BO337" s="79"/>
      <c r="BP337" s="79"/>
      <c r="BQ337" s="79"/>
      <c r="BR337" s="79"/>
      <c r="BS337" s="80" t="s">
        <v>822</v>
      </c>
      <c r="BT337" s="80" t="s">
        <v>174</v>
      </c>
      <c r="BU337" s="80" t="s">
        <v>2531</v>
      </c>
      <c r="BV337" s="71"/>
      <c r="BW337" s="79" t="s">
        <v>153</v>
      </c>
      <c r="BX337" s="79" t="s">
        <v>607</v>
      </c>
      <c r="BY337" s="71"/>
      <c r="BZ337" s="79">
        <v>11</v>
      </c>
      <c r="CA337" s="79">
        <v>5</v>
      </c>
      <c r="CB337" s="79">
        <f t="shared" si="178"/>
        <v>16</v>
      </c>
      <c r="CC337" s="79" t="str">
        <f t="shared" si="194"/>
        <v>Ninguna</v>
      </c>
      <c r="CD337" s="79" t="s">
        <v>174</v>
      </c>
      <c r="CE337" s="79"/>
      <c r="CF337" s="79"/>
      <c r="CG337" s="83" t="s">
        <v>2414</v>
      </c>
      <c r="CH337" s="41"/>
      <c r="CI337" s="79" t="s">
        <v>153</v>
      </c>
      <c r="CJ337" s="71"/>
      <c r="CK337" s="79">
        <f t="shared" si="177"/>
        <v>1</v>
      </c>
      <c r="CL337" s="79" t="s">
        <v>389</v>
      </c>
      <c r="CM337" s="79"/>
      <c r="CN337" s="79"/>
      <c r="CO337" s="79"/>
      <c r="CP337" s="79"/>
      <c r="CQ337" s="79"/>
      <c r="CR337" s="83" t="s">
        <v>390</v>
      </c>
      <c r="CS337" s="83" t="s">
        <v>179</v>
      </c>
      <c r="CT337" s="83" t="s">
        <v>179</v>
      </c>
      <c r="CU337" s="83" t="s">
        <v>179</v>
      </c>
      <c r="CV337" s="83" t="s">
        <v>179</v>
      </c>
      <c r="CW337" s="83" t="s">
        <v>179</v>
      </c>
      <c r="CX337" s="79" t="s">
        <v>153</v>
      </c>
      <c r="CY337" s="79">
        <f t="shared" si="198"/>
        <v>1</v>
      </c>
      <c r="CZ337" s="79">
        <v>1</v>
      </c>
      <c r="DA337" s="79">
        <f t="shared" si="199"/>
        <v>1</v>
      </c>
      <c r="DB337" s="84"/>
      <c r="DC337" s="41"/>
      <c r="DD337" s="79" t="s">
        <v>153</v>
      </c>
      <c r="DE337" s="71"/>
      <c r="DF337" s="85" t="s">
        <v>2532</v>
      </c>
      <c r="DG337" s="79">
        <v>327</v>
      </c>
      <c r="DH337" s="86" t="str">
        <f t="shared" si="217"/>
        <v>Completo</v>
      </c>
      <c r="DI337" s="79" t="s">
        <v>181</v>
      </c>
      <c r="DJ337" s="79" t="s">
        <v>182</v>
      </c>
      <c r="DK337" s="79" t="s">
        <v>153</v>
      </c>
      <c r="DL337" s="79">
        <v>0</v>
      </c>
      <c r="DM337" s="79">
        <v>0</v>
      </c>
      <c r="DN337" s="79" t="s">
        <v>182</v>
      </c>
      <c r="DO337" s="79">
        <v>781</v>
      </c>
      <c r="DP337" s="79" t="s">
        <v>182</v>
      </c>
      <c r="DQ337" s="79">
        <v>5</v>
      </c>
      <c r="DR337" s="75">
        <f t="shared" si="208"/>
        <v>1.5151515151515151</v>
      </c>
      <c r="DS337" s="79" t="s">
        <v>182</v>
      </c>
      <c r="DT337" s="79">
        <v>11</v>
      </c>
      <c r="DU337" s="75">
        <f t="shared" si="209"/>
        <v>2.8571428571428572</v>
      </c>
      <c r="DV337" s="79" t="s">
        <v>182</v>
      </c>
      <c r="DW337" s="79" t="s">
        <v>182</v>
      </c>
      <c r="DX337" s="79">
        <v>2</v>
      </c>
      <c r="DY337" s="79">
        <v>0</v>
      </c>
      <c r="DZ337" s="79"/>
      <c r="EA337" s="79">
        <v>781</v>
      </c>
      <c r="EB337" s="79" t="s">
        <v>182</v>
      </c>
      <c r="EC337" s="79" t="s">
        <v>2533</v>
      </c>
      <c r="ED337" s="79" t="s">
        <v>184</v>
      </c>
      <c r="EE337" s="79" t="str">
        <f t="shared" si="201"/>
        <v>Completo</v>
      </c>
      <c r="EF337" s="41"/>
      <c r="EG337" s="79" t="s">
        <v>153</v>
      </c>
      <c r="EH337" s="71"/>
      <c r="EI337" s="89" t="s">
        <v>2534</v>
      </c>
      <c r="EJ337" s="71"/>
      <c r="EK337" s="79" t="s">
        <v>409</v>
      </c>
      <c r="EL337" s="76" t="str">
        <f t="shared" si="210"/>
        <v>Sí</v>
      </c>
      <c r="EM337" s="76" t="str">
        <f t="shared" si="211"/>
        <v>No</v>
      </c>
      <c r="EN337" s="76" t="str">
        <f t="shared" si="195"/>
        <v>No</v>
      </c>
      <c r="EO337" s="71"/>
      <c r="EP337" s="73" t="str">
        <f t="shared" si="212"/>
        <v>No aplica</v>
      </c>
      <c r="EQ337" s="77">
        <f t="shared" si="213"/>
        <v>2.8571428571428572</v>
      </c>
      <c r="ER337" s="71"/>
      <c r="ES337" s="79" t="s">
        <v>409</v>
      </c>
      <c r="ET337" s="73">
        <f t="shared" si="214"/>
        <v>1</v>
      </c>
      <c r="EU337" s="73">
        <f t="shared" si="196"/>
        <v>1</v>
      </c>
      <c r="EV337" s="73">
        <f t="shared" si="215"/>
        <v>1</v>
      </c>
      <c r="EW337" s="73">
        <f t="shared" si="216"/>
        <v>1</v>
      </c>
      <c r="EX337" s="78"/>
      <c r="EY337" s="78"/>
    </row>
    <row r="338" spans="1:155" ht="46.5" customHeight="1">
      <c r="A338" s="79">
        <v>334</v>
      </c>
      <c r="B338" s="80" t="s">
        <v>2535</v>
      </c>
      <c r="C338" s="81">
        <v>45400</v>
      </c>
      <c r="D338" s="82">
        <v>0.70833333333333337</v>
      </c>
      <c r="E338" s="79" t="s">
        <v>151</v>
      </c>
      <c r="F338" s="79" t="s">
        <v>153</v>
      </c>
      <c r="G338" s="79" t="s">
        <v>153</v>
      </c>
      <c r="H338" s="79" t="s">
        <v>153</v>
      </c>
      <c r="I338" s="79" t="s">
        <v>152</v>
      </c>
      <c r="J338" s="79" t="s">
        <v>154</v>
      </c>
      <c r="K338" s="79" t="s">
        <v>155</v>
      </c>
      <c r="L338" s="80" t="s">
        <v>2412</v>
      </c>
      <c r="M338" s="80" t="s">
        <v>303</v>
      </c>
      <c r="N338" s="79" t="s">
        <v>525</v>
      </c>
      <c r="O338" s="80" t="str">
        <f t="shared" si="204"/>
        <v>Diego Alejandro Camacho, PENDIENTE</v>
      </c>
      <c r="P338" s="79" t="s">
        <v>422</v>
      </c>
      <c r="Q338" s="79" t="s">
        <v>196</v>
      </c>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t="s">
        <v>304</v>
      </c>
      <c r="AP338" s="79"/>
      <c r="AQ338" s="80" t="s">
        <v>2536</v>
      </c>
      <c r="AR338" s="83">
        <v>3138810411</v>
      </c>
      <c r="AS338" s="80" t="s">
        <v>2537</v>
      </c>
      <c r="AT338" s="80" t="str">
        <f t="shared" si="205"/>
        <v>La Candelaria</v>
      </c>
      <c r="AU338" s="79" t="s">
        <v>753</v>
      </c>
      <c r="AV338" s="79"/>
      <c r="AW338" s="79"/>
      <c r="AX338" s="79"/>
      <c r="AY338" s="79"/>
      <c r="AZ338" s="79"/>
      <c r="BA338" s="80" t="str">
        <f t="shared" si="206"/>
        <v>Centro Ampliado</v>
      </c>
      <c r="BB338" s="79" t="s">
        <v>636</v>
      </c>
      <c r="BC338" s="79"/>
      <c r="BD338" s="79"/>
      <c r="BE338" s="79"/>
      <c r="BF338" s="79"/>
      <c r="BG338" s="79"/>
      <c r="BH338" s="80" t="str">
        <f t="shared" si="207"/>
        <v>Centro Histórico</v>
      </c>
      <c r="BI338" s="79" t="s">
        <v>754</v>
      </c>
      <c r="BJ338" s="79"/>
      <c r="BK338" s="79"/>
      <c r="BL338" s="79"/>
      <c r="BM338" s="79"/>
      <c r="BN338" s="79"/>
      <c r="BO338" s="79"/>
      <c r="BP338" s="79"/>
      <c r="BQ338" s="79"/>
      <c r="BR338" s="79"/>
      <c r="BS338" s="80"/>
      <c r="BT338" s="80" t="s">
        <v>174</v>
      </c>
      <c r="BU338" s="80" t="s">
        <v>2538</v>
      </c>
      <c r="BV338" s="71"/>
      <c r="BW338" s="79" t="s">
        <v>153</v>
      </c>
      <c r="BX338" s="79" t="s">
        <v>607</v>
      </c>
      <c r="BY338" s="71"/>
      <c r="BZ338" s="79">
        <v>15</v>
      </c>
      <c r="CA338" s="79">
        <v>5</v>
      </c>
      <c r="CB338" s="79">
        <f t="shared" si="178"/>
        <v>20</v>
      </c>
      <c r="CC338" s="79" t="str">
        <f t="shared" si="194"/>
        <v>Ninguna</v>
      </c>
      <c r="CD338" s="79" t="s">
        <v>174</v>
      </c>
      <c r="CE338" s="79"/>
      <c r="CF338" s="79"/>
      <c r="CG338" s="83" t="s">
        <v>2414</v>
      </c>
      <c r="CH338" s="41"/>
      <c r="CI338" s="79" t="s">
        <v>153</v>
      </c>
      <c r="CJ338" s="71"/>
      <c r="CK338" s="79">
        <f t="shared" si="177"/>
        <v>1</v>
      </c>
      <c r="CL338" s="79" t="s">
        <v>389</v>
      </c>
      <c r="CM338" s="79"/>
      <c r="CN338" s="79"/>
      <c r="CO338" s="79"/>
      <c r="CP338" s="79"/>
      <c r="CQ338" s="79"/>
      <c r="CR338" s="83" t="s">
        <v>390</v>
      </c>
      <c r="CS338" s="83" t="s">
        <v>179</v>
      </c>
      <c r="CT338" s="83" t="s">
        <v>179</v>
      </c>
      <c r="CU338" s="83" t="s">
        <v>179</v>
      </c>
      <c r="CV338" s="83" t="s">
        <v>179</v>
      </c>
      <c r="CW338" s="83" t="s">
        <v>179</v>
      </c>
      <c r="CX338" s="79" t="s">
        <v>153</v>
      </c>
      <c r="CY338" s="79">
        <f t="shared" si="198"/>
        <v>1</v>
      </c>
      <c r="CZ338" s="79">
        <v>1</v>
      </c>
      <c r="DA338" s="79">
        <f t="shared" si="199"/>
        <v>1</v>
      </c>
      <c r="DB338" s="84"/>
      <c r="DC338" s="41"/>
      <c r="DD338" s="79" t="s">
        <v>153</v>
      </c>
      <c r="DE338" s="71"/>
      <c r="DF338" s="85" t="s">
        <v>2539</v>
      </c>
      <c r="DG338" s="79">
        <v>328</v>
      </c>
      <c r="DH338" s="86" t="str">
        <f t="shared" si="217"/>
        <v>Completo</v>
      </c>
      <c r="DI338" s="79" t="s">
        <v>181</v>
      </c>
      <c r="DJ338" s="79" t="s">
        <v>182</v>
      </c>
      <c r="DK338" s="79" t="s">
        <v>153</v>
      </c>
      <c r="DL338" s="79">
        <v>0</v>
      </c>
      <c r="DM338" s="79">
        <v>0</v>
      </c>
      <c r="DN338" s="79" t="s">
        <v>182</v>
      </c>
      <c r="DO338" s="79">
        <v>67</v>
      </c>
      <c r="DP338" s="79" t="s">
        <v>182</v>
      </c>
      <c r="DQ338" s="79">
        <v>7</v>
      </c>
      <c r="DR338" s="75">
        <f t="shared" si="208"/>
        <v>1.5555555555555556</v>
      </c>
      <c r="DS338" s="79" t="s">
        <v>182</v>
      </c>
      <c r="DT338" s="79">
        <v>14</v>
      </c>
      <c r="DU338" s="75">
        <f t="shared" si="209"/>
        <v>2.6666666666666665</v>
      </c>
      <c r="DV338" s="79" t="s">
        <v>182</v>
      </c>
      <c r="DW338" s="79" t="s">
        <v>182</v>
      </c>
      <c r="DX338" s="79">
        <v>3</v>
      </c>
      <c r="DY338" s="79">
        <v>0</v>
      </c>
      <c r="DZ338" s="79"/>
      <c r="EA338" s="79">
        <v>145</v>
      </c>
      <c r="EB338" s="79" t="s">
        <v>182</v>
      </c>
      <c r="EC338" s="79" t="s">
        <v>2540</v>
      </c>
      <c r="ED338" s="79" t="s">
        <v>184</v>
      </c>
      <c r="EE338" s="79" t="str">
        <f t="shared" si="201"/>
        <v>Completo</v>
      </c>
      <c r="EF338" s="41"/>
      <c r="EG338" s="79" t="s">
        <v>153</v>
      </c>
      <c r="EH338" s="71"/>
      <c r="EI338" s="89" t="s">
        <v>2541</v>
      </c>
      <c r="EJ338" s="71"/>
      <c r="EK338" s="79" t="s">
        <v>393</v>
      </c>
      <c r="EL338" s="76" t="str">
        <f t="shared" si="210"/>
        <v>Sí</v>
      </c>
      <c r="EM338" s="76" t="str">
        <f t="shared" si="211"/>
        <v>No</v>
      </c>
      <c r="EN338" s="76" t="str">
        <f t="shared" si="195"/>
        <v>No</v>
      </c>
      <c r="EO338" s="71"/>
      <c r="EP338" s="73" t="str">
        <f t="shared" si="212"/>
        <v>No aplica</v>
      </c>
      <c r="EQ338" s="77">
        <f t="shared" si="213"/>
        <v>2.6666666666666665</v>
      </c>
      <c r="ER338" s="71"/>
      <c r="ES338" s="79" t="s">
        <v>393</v>
      </c>
      <c r="ET338" s="73">
        <f t="shared" si="214"/>
        <v>1</v>
      </c>
      <c r="EU338" s="73">
        <f t="shared" si="196"/>
        <v>1</v>
      </c>
      <c r="EV338" s="73">
        <f t="shared" si="215"/>
        <v>1</v>
      </c>
      <c r="EW338" s="73">
        <f t="shared" si="216"/>
        <v>0.46206896551724136</v>
      </c>
      <c r="EX338" s="78"/>
      <c r="EY338" s="78"/>
    </row>
    <row r="339" spans="1:155" ht="46.5" customHeight="1">
      <c r="A339" s="79" t="str">
        <v/>
      </c>
      <c r="B339" s="80" t="s">
        <v>2542</v>
      </c>
      <c r="C339" s="81">
        <v>45401</v>
      </c>
      <c r="D339" s="82">
        <v>0.33333333333333331</v>
      </c>
      <c r="E339" s="79" t="s">
        <v>151</v>
      </c>
      <c r="F339" s="79" t="s">
        <v>152</v>
      </c>
      <c r="G339" s="79" t="s">
        <v>153</v>
      </c>
      <c r="H339" s="79" t="s">
        <v>152</v>
      </c>
      <c r="I339" s="79" t="s">
        <v>152</v>
      </c>
      <c r="J339" s="79" t="s">
        <v>272</v>
      </c>
      <c r="K339" s="79" t="s">
        <v>155</v>
      </c>
      <c r="L339" s="80" t="s">
        <v>2543</v>
      </c>
      <c r="M339" s="80" t="s">
        <v>303</v>
      </c>
      <c r="N339" s="79" t="s">
        <v>861</v>
      </c>
      <c r="O339" s="80" t="str">
        <f t="shared" si="204"/>
        <v/>
      </c>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t="s">
        <v>304</v>
      </c>
      <c r="AP339" s="79"/>
      <c r="AQ339" s="80" t="s">
        <v>2544</v>
      </c>
      <c r="AR339" s="83" t="s">
        <v>2545</v>
      </c>
      <c r="AS339" s="80" t="s">
        <v>2546</v>
      </c>
      <c r="AT339" s="80" t="str">
        <f t="shared" si="205"/>
        <v>Teusaquillo</v>
      </c>
      <c r="AU339" s="79" t="s">
        <v>1004</v>
      </c>
      <c r="AV339" s="79"/>
      <c r="AW339" s="79"/>
      <c r="AX339" s="79"/>
      <c r="AY339" s="79"/>
      <c r="AZ339" s="79"/>
      <c r="BA339" s="80" t="str">
        <f t="shared" si="206"/>
        <v>Centro Ampliado</v>
      </c>
      <c r="BB339" s="79" t="s">
        <v>636</v>
      </c>
      <c r="BC339" s="79"/>
      <c r="BD339" s="79"/>
      <c r="BE339" s="79"/>
      <c r="BF339" s="79"/>
      <c r="BG339" s="79"/>
      <c r="BH339" s="80" t="str">
        <f t="shared" si="207"/>
        <v>Centro Histórico, Teusaquillo</v>
      </c>
      <c r="BI339" s="79" t="s">
        <v>754</v>
      </c>
      <c r="BJ339" s="79" t="s">
        <v>1004</v>
      </c>
      <c r="BK339" s="79"/>
      <c r="BL339" s="79"/>
      <c r="BM339" s="79"/>
      <c r="BN339" s="79"/>
      <c r="BO339" s="79"/>
      <c r="BP339" s="79"/>
      <c r="BQ339" s="79"/>
      <c r="BR339" s="79"/>
      <c r="BS339" s="80" t="s">
        <v>288</v>
      </c>
      <c r="BT339" s="80" t="s">
        <v>174</v>
      </c>
      <c r="BU339" s="80" t="s">
        <v>2041</v>
      </c>
      <c r="BV339" s="71"/>
      <c r="BW339" s="79" t="s">
        <v>152</v>
      </c>
      <c r="BX339" s="79" t="s">
        <v>179</v>
      </c>
      <c r="BY339" s="71"/>
      <c r="BZ339" s="79">
        <v>3</v>
      </c>
      <c r="CA339" s="79">
        <v>3</v>
      </c>
      <c r="CB339" s="79">
        <f t="shared" si="178"/>
        <v>6</v>
      </c>
      <c r="CC339" s="79" t="str">
        <f t="shared" si="194"/>
        <v>No Aplica</v>
      </c>
      <c r="CD339" s="79" t="s">
        <v>177</v>
      </c>
      <c r="CE339" s="79"/>
      <c r="CF339" s="79"/>
      <c r="CG339" s="83" t="s">
        <v>2547</v>
      </c>
      <c r="CH339" s="41"/>
      <c r="CI339" s="79" t="s">
        <v>153</v>
      </c>
      <c r="CJ339" s="71"/>
      <c r="CK339" s="79">
        <f t="shared" si="177"/>
        <v>0</v>
      </c>
      <c r="CL339" s="79"/>
      <c r="CM339" s="79"/>
      <c r="CN339" s="79"/>
      <c r="CO339" s="79"/>
      <c r="CP339" s="79"/>
      <c r="CQ339" s="79"/>
      <c r="CR339" s="83" t="s">
        <v>179</v>
      </c>
      <c r="CS339" s="83" t="s">
        <v>179</v>
      </c>
      <c r="CT339" s="83" t="s">
        <v>179</v>
      </c>
      <c r="CU339" s="83" t="s">
        <v>179</v>
      </c>
      <c r="CV339" s="83" t="s">
        <v>179</v>
      </c>
      <c r="CW339" s="83" t="s">
        <v>179</v>
      </c>
      <c r="CX339" s="79" t="s">
        <v>153</v>
      </c>
      <c r="CY339" s="79">
        <f t="shared" si="198"/>
        <v>0</v>
      </c>
      <c r="CZ339" s="79">
        <v>0</v>
      </c>
      <c r="DA339" s="79">
        <f t="shared" si="199"/>
        <v>0</v>
      </c>
      <c r="DB339" s="84" t="str">
        <f>IFERROR(CY339/CK339,"")</f>
        <v/>
      </c>
      <c r="DC339" s="41"/>
      <c r="DD339" s="79" t="s">
        <v>153</v>
      </c>
      <c r="DE339" s="71"/>
      <c r="DF339" s="85" t="s">
        <v>2548</v>
      </c>
      <c r="DG339" s="79">
        <v>329</v>
      </c>
      <c r="DH339" s="86">
        <f t="shared" si="217"/>
        <v>45404</v>
      </c>
      <c r="DI339" s="79" t="s">
        <v>181</v>
      </c>
      <c r="DJ339" s="79" t="s">
        <v>182</v>
      </c>
      <c r="DK339" s="79"/>
      <c r="DL339" s="79">
        <v>0</v>
      </c>
      <c r="DM339" s="79">
        <v>0</v>
      </c>
      <c r="DN339" s="79" t="s">
        <v>182</v>
      </c>
      <c r="DO339" s="79"/>
      <c r="DP339" s="79"/>
      <c r="DQ339" s="79"/>
      <c r="DR339" s="75" t="str">
        <f t="shared" si="208"/>
        <v>No aplica</v>
      </c>
      <c r="DS339" s="79"/>
      <c r="DT339" s="79"/>
      <c r="DU339" s="75" t="str">
        <f t="shared" si="209"/>
        <v>No aplica</v>
      </c>
      <c r="DV339" s="79" t="s">
        <v>182</v>
      </c>
      <c r="DW339" s="79" t="s">
        <v>182</v>
      </c>
      <c r="DX339" s="79"/>
      <c r="DY339" s="79"/>
      <c r="DZ339" s="79"/>
      <c r="EA339" s="79"/>
      <c r="EB339" s="79"/>
      <c r="EC339" s="79"/>
      <c r="ED339" s="79" t="s">
        <v>184</v>
      </c>
      <c r="EE339" s="79" t="s">
        <v>621</v>
      </c>
      <c r="EF339" s="41"/>
      <c r="EG339" s="79" t="s">
        <v>153</v>
      </c>
      <c r="EH339" s="71"/>
      <c r="EI339" s="80"/>
      <c r="EJ339" s="71"/>
      <c r="EK339" s="79"/>
      <c r="EL339" s="76" t="str">
        <f t="shared" si="210"/>
        <v>No requiere</v>
      </c>
      <c r="EM339" s="76" t="str">
        <f t="shared" si="211"/>
        <v>No requiere</v>
      </c>
      <c r="EN339" s="76" t="str">
        <f t="shared" si="195"/>
        <v>No requiere</v>
      </c>
      <c r="EO339" s="71"/>
      <c r="EP339" s="73" t="str">
        <f t="shared" si="212"/>
        <v>No requiere</v>
      </c>
      <c r="EQ339" s="77" t="str">
        <f t="shared" si="213"/>
        <v>No requiere</v>
      </c>
      <c r="ER339" s="71"/>
      <c r="ES339" s="79"/>
      <c r="ET339" s="73" t="str">
        <f t="shared" si="214"/>
        <v>No requiere</v>
      </c>
      <c r="EU339" s="73" t="str">
        <f t="shared" si="196"/>
        <v>No requiere</v>
      </c>
      <c r="EV339" s="73" t="str">
        <f t="shared" si="215"/>
        <v>No requiere</v>
      </c>
      <c r="EW339" s="73" t="str">
        <f t="shared" si="216"/>
        <v>No requiere</v>
      </c>
      <c r="EX339" s="78"/>
      <c r="EY339" s="78"/>
    </row>
    <row r="340" spans="1:155" ht="46.5" customHeight="1">
      <c r="A340" s="79">
        <v>336</v>
      </c>
      <c r="B340" s="80" t="s">
        <v>2549</v>
      </c>
      <c r="C340" s="81">
        <v>45402</v>
      </c>
      <c r="D340" s="82">
        <v>0.58333333333333337</v>
      </c>
      <c r="E340" s="79" t="s">
        <v>151</v>
      </c>
      <c r="F340" s="79" t="s">
        <v>153</v>
      </c>
      <c r="G340" s="79" t="s">
        <v>153</v>
      </c>
      <c r="H340" s="79" t="s">
        <v>153</v>
      </c>
      <c r="I340" s="79" t="s">
        <v>152</v>
      </c>
      <c r="J340" s="79" t="s">
        <v>154</v>
      </c>
      <c r="K340" s="79" t="s">
        <v>155</v>
      </c>
      <c r="L340" s="80" t="s">
        <v>2412</v>
      </c>
      <c r="M340" s="80" t="s">
        <v>303</v>
      </c>
      <c r="N340" s="79" t="s">
        <v>966</v>
      </c>
      <c r="O340" s="80" t="str">
        <f t="shared" si="204"/>
        <v>PENDIENTE, PENDIENTE</v>
      </c>
      <c r="P340" s="79" t="s">
        <v>196</v>
      </c>
      <c r="Q340" s="79" t="s">
        <v>196</v>
      </c>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t="s">
        <v>304</v>
      </c>
      <c r="AP340" s="79"/>
      <c r="AQ340" s="80" t="s">
        <v>2550</v>
      </c>
      <c r="AR340" s="83">
        <v>3112756605</v>
      </c>
      <c r="AS340" s="80" t="s">
        <v>1989</v>
      </c>
      <c r="AT340" s="80" t="str">
        <f t="shared" si="205"/>
        <v>Sumapaz</v>
      </c>
      <c r="AU340" s="79" t="s">
        <v>510</v>
      </c>
      <c r="AV340" s="79"/>
      <c r="AW340" s="79"/>
      <c r="AX340" s="79"/>
      <c r="AY340" s="79"/>
      <c r="AZ340" s="79"/>
      <c r="BA340" s="80" t="str">
        <f t="shared" si="206"/>
        <v>Ruralidad</v>
      </c>
      <c r="BB340" s="79" t="s">
        <v>219</v>
      </c>
      <c r="BC340" s="79"/>
      <c r="BD340" s="79"/>
      <c r="BE340" s="79"/>
      <c r="BF340" s="79"/>
      <c r="BG340" s="79"/>
      <c r="BH340" s="80" t="str">
        <f t="shared" si="207"/>
        <v>Sumapaz</v>
      </c>
      <c r="BI340" s="79" t="s">
        <v>510</v>
      </c>
      <c r="BJ340" s="79"/>
      <c r="BK340" s="79"/>
      <c r="BL340" s="79"/>
      <c r="BM340" s="79"/>
      <c r="BN340" s="79"/>
      <c r="BO340" s="79"/>
      <c r="BP340" s="79"/>
      <c r="BQ340" s="79"/>
      <c r="BR340" s="79"/>
      <c r="BS340" s="80"/>
      <c r="BT340" s="80" t="s">
        <v>174</v>
      </c>
      <c r="BU340" s="80" t="s">
        <v>2551</v>
      </c>
      <c r="BV340" s="71"/>
      <c r="BW340" s="79" t="s">
        <v>153</v>
      </c>
      <c r="BX340" s="79" t="s">
        <v>607</v>
      </c>
      <c r="BY340" s="71"/>
      <c r="BZ340" s="79">
        <v>4</v>
      </c>
      <c r="CA340" s="79">
        <v>6</v>
      </c>
      <c r="CB340" s="79">
        <f t="shared" si="178"/>
        <v>10</v>
      </c>
      <c r="CC340" s="79" t="str">
        <f t="shared" si="194"/>
        <v>Ninguna</v>
      </c>
      <c r="CD340" s="79" t="s">
        <v>174</v>
      </c>
      <c r="CE340" s="79"/>
      <c r="CF340" s="79"/>
      <c r="CG340" s="83" t="s">
        <v>2414</v>
      </c>
      <c r="CH340" s="41"/>
      <c r="CI340" s="79" t="s">
        <v>153</v>
      </c>
      <c r="CJ340" s="71"/>
      <c r="CK340" s="79">
        <f t="shared" si="177"/>
        <v>1</v>
      </c>
      <c r="CL340" s="79" t="s">
        <v>389</v>
      </c>
      <c r="CM340" s="79"/>
      <c r="CN340" s="79"/>
      <c r="CO340" s="79"/>
      <c r="CP340" s="79"/>
      <c r="CQ340" s="79"/>
      <c r="CR340" s="83" t="s">
        <v>390</v>
      </c>
      <c r="CS340" s="83" t="s">
        <v>179</v>
      </c>
      <c r="CT340" s="83" t="s">
        <v>179</v>
      </c>
      <c r="CU340" s="83" t="s">
        <v>179</v>
      </c>
      <c r="CV340" s="83" t="s">
        <v>179</v>
      </c>
      <c r="CW340" s="83" t="s">
        <v>179</v>
      </c>
      <c r="CX340" s="79" t="s">
        <v>153</v>
      </c>
      <c r="CY340" s="79">
        <v>1</v>
      </c>
      <c r="CZ340" s="79">
        <v>1</v>
      </c>
      <c r="DA340" s="79">
        <v>1</v>
      </c>
      <c r="DB340" s="84"/>
      <c r="DC340" s="41"/>
      <c r="DD340" s="79" t="s">
        <v>153</v>
      </c>
      <c r="DE340" s="71"/>
      <c r="DF340" s="85" t="s">
        <v>2552</v>
      </c>
      <c r="DG340" s="79">
        <v>330</v>
      </c>
      <c r="DH340" s="86" t="str">
        <f t="shared" si="217"/>
        <v>Completo</v>
      </c>
      <c r="DI340" s="79" t="s">
        <v>181</v>
      </c>
      <c r="DJ340" s="79" t="s">
        <v>182</v>
      </c>
      <c r="DK340" s="79" t="s">
        <v>153</v>
      </c>
      <c r="DL340" s="79">
        <v>0</v>
      </c>
      <c r="DM340" s="79">
        <v>0</v>
      </c>
      <c r="DN340" s="79" t="s">
        <v>182</v>
      </c>
      <c r="DO340" s="79">
        <v>15</v>
      </c>
      <c r="DP340" s="79" t="s">
        <v>182</v>
      </c>
      <c r="DQ340" s="79">
        <v>3</v>
      </c>
      <c r="DR340" s="75">
        <f t="shared" si="208"/>
        <v>2.5</v>
      </c>
      <c r="DS340" s="79" t="s">
        <v>191</v>
      </c>
      <c r="DT340" s="79">
        <v>0</v>
      </c>
      <c r="DU340" s="75">
        <f t="shared" si="209"/>
        <v>0</v>
      </c>
      <c r="DV340" s="79" t="s">
        <v>182</v>
      </c>
      <c r="DW340" s="79" t="s">
        <v>182</v>
      </c>
      <c r="DX340" s="79">
        <v>3</v>
      </c>
      <c r="DY340" s="79">
        <v>0</v>
      </c>
      <c r="DZ340" s="79" t="s">
        <v>1545</v>
      </c>
      <c r="EA340" s="79">
        <v>61</v>
      </c>
      <c r="EB340" s="79" t="s">
        <v>182</v>
      </c>
      <c r="EC340" s="79" t="s">
        <v>2320</v>
      </c>
      <c r="ED340" s="79" t="s">
        <v>2553</v>
      </c>
      <c r="EE340" s="79" t="str">
        <f t="shared" ref="EE340:EE341" si="218">IF(DI340="Subsanado","Completo","Por Completar")</f>
        <v>Completo</v>
      </c>
      <c r="EF340" s="41"/>
      <c r="EG340" s="79" t="s">
        <v>153</v>
      </c>
      <c r="EH340" s="71"/>
      <c r="EI340" s="89" t="s">
        <v>2554</v>
      </c>
      <c r="EJ340" s="71"/>
      <c r="EK340" s="79" t="s">
        <v>393</v>
      </c>
      <c r="EL340" s="76" t="str">
        <f t="shared" si="210"/>
        <v>Sí</v>
      </c>
      <c r="EM340" s="76" t="str">
        <f t="shared" si="211"/>
        <v>No</v>
      </c>
      <c r="EN340" s="76" t="str">
        <f t="shared" si="195"/>
        <v>No</v>
      </c>
      <c r="EO340" s="71"/>
      <c r="EP340" s="73" t="str">
        <f t="shared" si="212"/>
        <v>No aplica</v>
      </c>
      <c r="EQ340" s="77">
        <f t="shared" si="213"/>
        <v>0</v>
      </c>
      <c r="ER340" s="71"/>
      <c r="ES340" s="79" t="s">
        <v>409</v>
      </c>
      <c r="ET340" s="73">
        <f t="shared" si="214"/>
        <v>0.83333333333333337</v>
      </c>
      <c r="EU340" s="73">
        <f t="shared" si="196"/>
        <v>1</v>
      </c>
      <c r="EV340" s="73">
        <f t="shared" si="215"/>
        <v>1</v>
      </c>
      <c r="EW340" s="73">
        <f t="shared" si="216"/>
        <v>0.24590163934426229</v>
      </c>
      <c r="EX340" s="78"/>
      <c r="EY340" s="78"/>
    </row>
    <row r="341" spans="1:155" ht="46.5" customHeight="1">
      <c r="A341" s="79">
        <v>337</v>
      </c>
      <c r="B341" s="80" t="s">
        <v>2555</v>
      </c>
      <c r="C341" s="81">
        <v>45402</v>
      </c>
      <c r="D341" s="82">
        <v>0.58333333333333337</v>
      </c>
      <c r="E341" s="79" t="s">
        <v>151</v>
      </c>
      <c r="F341" s="79" t="s">
        <v>153</v>
      </c>
      <c r="G341" s="79" t="s">
        <v>153</v>
      </c>
      <c r="H341" s="79" t="s">
        <v>153</v>
      </c>
      <c r="I341" s="79" t="s">
        <v>152</v>
      </c>
      <c r="J341" s="79" t="s">
        <v>154</v>
      </c>
      <c r="K341" s="79" t="s">
        <v>155</v>
      </c>
      <c r="L341" s="80" t="s">
        <v>2412</v>
      </c>
      <c r="M341" s="80" t="s">
        <v>303</v>
      </c>
      <c r="N341" s="79" t="s">
        <v>506</v>
      </c>
      <c r="O341" s="80" t="str">
        <f t="shared" si="204"/>
        <v>PENDIENTE, PENDIENTE</v>
      </c>
      <c r="P341" s="79" t="s">
        <v>196</v>
      </c>
      <c r="Q341" s="79" t="s">
        <v>196</v>
      </c>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t="s">
        <v>304</v>
      </c>
      <c r="AP341" s="79"/>
      <c r="AQ341" s="80" t="s">
        <v>2556</v>
      </c>
      <c r="AR341" s="83" t="s">
        <v>2557</v>
      </c>
      <c r="AS341" s="80" t="s">
        <v>2558</v>
      </c>
      <c r="AT341" s="80" t="str">
        <f t="shared" si="205"/>
        <v>Sumapaz</v>
      </c>
      <c r="AU341" s="79" t="s">
        <v>510</v>
      </c>
      <c r="AV341" s="79"/>
      <c r="AW341" s="79"/>
      <c r="AX341" s="79"/>
      <c r="AY341" s="79"/>
      <c r="AZ341" s="79"/>
      <c r="BA341" s="80" t="str">
        <f t="shared" si="206"/>
        <v>Ruralidad</v>
      </c>
      <c r="BB341" s="79" t="s">
        <v>219</v>
      </c>
      <c r="BC341" s="79"/>
      <c r="BD341" s="79"/>
      <c r="BE341" s="79"/>
      <c r="BF341" s="79"/>
      <c r="BG341" s="79"/>
      <c r="BH341" s="80" t="str">
        <f t="shared" si="207"/>
        <v>Sumapaz</v>
      </c>
      <c r="BI341" s="79" t="s">
        <v>510</v>
      </c>
      <c r="BJ341" s="79"/>
      <c r="BK341" s="79"/>
      <c r="BL341" s="79"/>
      <c r="BM341" s="79"/>
      <c r="BN341" s="79"/>
      <c r="BO341" s="79"/>
      <c r="BP341" s="79"/>
      <c r="BQ341" s="79"/>
      <c r="BR341" s="79"/>
      <c r="BS341" s="80"/>
      <c r="BT341" s="80" t="s">
        <v>174</v>
      </c>
      <c r="BU341" s="80" t="s">
        <v>2559</v>
      </c>
      <c r="BV341" s="71"/>
      <c r="BW341" s="79" t="s">
        <v>153</v>
      </c>
      <c r="BX341" s="79" t="s">
        <v>607</v>
      </c>
      <c r="BY341" s="71"/>
      <c r="BZ341" s="79">
        <v>16</v>
      </c>
      <c r="CA341" s="79">
        <v>6</v>
      </c>
      <c r="CB341" s="79">
        <f t="shared" si="178"/>
        <v>22</v>
      </c>
      <c r="CC341" s="79" t="str">
        <f t="shared" si="194"/>
        <v>Horarios Acordes</v>
      </c>
      <c r="CD341" s="79" t="s">
        <v>351</v>
      </c>
      <c r="CE341" s="79"/>
      <c r="CF341" s="79"/>
      <c r="CG341" s="83" t="s">
        <v>2414</v>
      </c>
      <c r="CH341" s="41"/>
      <c r="CI341" s="79" t="s">
        <v>153</v>
      </c>
      <c r="CJ341" s="71"/>
      <c r="CK341" s="79">
        <f t="shared" si="177"/>
        <v>1</v>
      </c>
      <c r="CL341" s="79" t="s">
        <v>389</v>
      </c>
      <c r="CM341" s="79"/>
      <c r="CN341" s="79"/>
      <c r="CO341" s="79"/>
      <c r="CP341" s="79"/>
      <c r="CQ341" s="79"/>
      <c r="CR341" s="83" t="s">
        <v>390</v>
      </c>
      <c r="CS341" s="83" t="s">
        <v>179</v>
      </c>
      <c r="CT341" s="83" t="s">
        <v>179</v>
      </c>
      <c r="CU341" s="83" t="s">
        <v>179</v>
      </c>
      <c r="CV341" s="83" t="s">
        <v>179</v>
      </c>
      <c r="CW341" s="83" t="s">
        <v>179</v>
      </c>
      <c r="CX341" s="79" t="s">
        <v>153</v>
      </c>
      <c r="CY341" s="79">
        <f t="shared" ref="CY341:CY377" si="219">SUM(COUNTIF(CR341:CW341,"Realizado y Devuelto a la Ciudadanía"),COUNTIF(CR341:CW341,"Realizado y Trasladado por competencia"), COUNTIF(CR341:CW341,"Realizado y Gestionado"))</f>
        <v>1</v>
      </c>
      <c r="CZ341" s="79">
        <v>1</v>
      </c>
      <c r="DA341" s="79">
        <f t="shared" ref="DA341:DA377" si="220">COUNTIF(CR341:CW341,"Realizado y Devuelto a la Ciudadanía")</f>
        <v>1</v>
      </c>
      <c r="DB341" s="84"/>
      <c r="DC341" s="41"/>
      <c r="DD341" s="79" t="s">
        <v>153</v>
      </c>
      <c r="DE341" s="71"/>
      <c r="DF341" s="85" t="s">
        <v>2560</v>
      </c>
      <c r="DG341" s="79">
        <v>331</v>
      </c>
      <c r="DH341" s="86" t="str">
        <f t="shared" si="217"/>
        <v>Completo</v>
      </c>
      <c r="DI341" s="79" t="s">
        <v>181</v>
      </c>
      <c r="DJ341" s="79" t="s">
        <v>182</v>
      </c>
      <c r="DK341" s="79" t="s">
        <v>153</v>
      </c>
      <c r="DL341" s="79">
        <v>0</v>
      </c>
      <c r="DM341" s="79">
        <v>0</v>
      </c>
      <c r="DN341" s="79" t="s">
        <v>182</v>
      </c>
      <c r="DO341" s="79">
        <v>61</v>
      </c>
      <c r="DP341" s="79" t="s">
        <v>182</v>
      </c>
      <c r="DQ341" s="79">
        <v>6</v>
      </c>
      <c r="DR341" s="75">
        <f t="shared" si="208"/>
        <v>1.25</v>
      </c>
      <c r="DS341" s="79" t="s">
        <v>182</v>
      </c>
      <c r="DT341" s="79">
        <v>5</v>
      </c>
      <c r="DU341" s="75">
        <f t="shared" si="209"/>
        <v>0.8928571428571429</v>
      </c>
      <c r="DV341" s="79" t="s">
        <v>182</v>
      </c>
      <c r="DW341" s="79" t="s">
        <v>182</v>
      </c>
      <c r="DX341" s="79">
        <v>4</v>
      </c>
      <c r="DY341" s="79">
        <v>0</v>
      </c>
      <c r="DZ341" s="79" t="s">
        <v>1545</v>
      </c>
      <c r="EA341" s="79">
        <v>61</v>
      </c>
      <c r="EB341" s="79" t="s">
        <v>182</v>
      </c>
      <c r="EC341" s="79" t="s">
        <v>2320</v>
      </c>
      <c r="ED341" s="79" t="s">
        <v>249</v>
      </c>
      <c r="EE341" s="79" t="str">
        <f t="shared" si="218"/>
        <v>Completo</v>
      </c>
      <c r="EF341" s="41"/>
      <c r="EG341" s="79" t="s">
        <v>153</v>
      </c>
      <c r="EH341" s="71"/>
      <c r="EI341" s="89" t="s">
        <v>2561</v>
      </c>
      <c r="EJ341" s="71"/>
      <c r="EK341" s="79" t="s">
        <v>409</v>
      </c>
      <c r="EL341" s="76" t="str">
        <f t="shared" si="210"/>
        <v>Sí</v>
      </c>
      <c r="EM341" s="76" t="str">
        <f t="shared" si="211"/>
        <v>No</v>
      </c>
      <c r="EN341" s="76" t="str">
        <f t="shared" si="195"/>
        <v>Sí</v>
      </c>
      <c r="EO341" s="71"/>
      <c r="EP341" s="73" t="str">
        <f t="shared" si="212"/>
        <v>No aplica</v>
      </c>
      <c r="EQ341" s="77">
        <f t="shared" si="213"/>
        <v>0.8928571428571429</v>
      </c>
      <c r="ER341" s="71"/>
      <c r="ES341" s="79" t="s">
        <v>409</v>
      </c>
      <c r="ET341" s="73">
        <f t="shared" si="214"/>
        <v>1</v>
      </c>
      <c r="EU341" s="73">
        <f t="shared" si="196"/>
        <v>1</v>
      </c>
      <c r="EV341" s="73">
        <f t="shared" si="215"/>
        <v>1</v>
      </c>
      <c r="EW341" s="73">
        <f t="shared" si="216"/>
        <v>1</v>
      </c>
      <c r="EX341" s="78"/>
      <c r="EY341" s="78"/>
    </row>
    <row r="342" spans="1:155" ht="46.5" customHeight="1">
      <c r="A342" s="79">
        <v>338</v>
      </c>
      <c r="B342" s="80" t="s">
        <v>434</v>
      </c>
      <c r="C342" s="81">
        <v>45401</v>
      </c>
      <c r="D342" s="82">
        <v>0.33333333333333331</v>
      </c>
      <c r="E342" s="79" t="s">
        <v>151</v>
      </c>
      <c r="F342" s="79" t="s">
        <v>153</v>
      </c>
      <c r="G342" s="79" t="s">
        <v>153</v>
      </c>
      <c r="H342" s="79" t="s">
        <v>152</v>
      </c>
      <c r="I342" s="79" t="s">
        <v>152</v>
      </c>
      <c r="J342" s="79" t="s">
        <v>154</v>
      </c>
      <c r="K342" s="79" t="s">
        <v>202</v>
      </c>
      <c r="L342" s="80" t="s">
        <v>2562</v>
      </c>
      <c r="M342" s="80" t="s">
        <v>229</v>
      </c>
      <c r="N342" s="79" t="s">
        <v>195</v>
      </c>
      <c r="O342" s="80" t="str">
        <f t="shared" si="204"/>
        <v>Yohan David Díaz, Valentina González Pontón</v>
      </c>
      <c r="P342" s="79" t="s">
        <v>164</v>
      </c>
      <c r="Q342" s="79" t="s">
        <v>329</v>
      </c>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t="s">
        <v>169</v>
      </c>
      <c r="AP342" s="79" t="s">
        <v>170</v>
      </c>
      <c r="AQ342" s="80" t="s">
        <v>171</v>
      </c>
      <c r="AR342" s="83" t="s">
        <v>171</v>
      </c>
      <c r="AS342" s="80" t="s">
        <v>171</v>
      </c>
      <c r="AT342" s="80" t="str">
        <f t="shared" si="205"/>
        <v>Distrital</v>
      </c>
      <c r="AU342" s="79" t="s">
        <v>172</v>
      </c>
      <c r="AV342" s="79"/>
      <c r="AW342" s="79"/>
      <c r="AX342" s="79"/>
      <c r="AY342" s="79"/>
      <c r="AZ342" s="79"/>
      <c r="BA342" s="80" t="str">
        <f t="shared" si="206"/>
        <v>Distrital</v>
      </c>
      <c r="BB342" s="79" t="s">
        <v>172</v>
      </c>
      <c r="BC342" s="79"/>
      <c r="BD342" s="79"/>
      <c r="BE342" s="79"/>
      <c r="BF342" s="79"/>
      <c r="BG342" s="79"/>
      <c r="BH342" s="80" t="str">
        <f t="shared" si="207"/>
        <v>Distrital</v>
      </c>
      <c r="BI342" s="79" t="s">
        <v>172</v>
      </c>
      <c r="BJ342" s="79"/>
      <c r="BK342" s="79"/>
      <c r="BL342" s="79"/>
      <c r="BM342" s="79"/>
      <c r="BN342" s="79"/>
      <c r="BO342" s="79"/>
      <c r="BP342" s="79"/>
      <c r="BQ342" s="79"/>
      <c r="BR342" s="79"/>
      <c r="BS342" s="80" t="s">
        <v>288</v>
      </c>
      <c r="BT342" s="80" t="s">
        <v>174</v>
      </c>
      <c r="BU342" s="89" t="s">
        <v>2563</v>
      </c>
      <c r="BV342" s="71"/>
      <c r="BW342" s="79" t="s">
        <v>153</v>
      </c>
      <c r="BX342" s="79" t="s">
        <v>176</v>
      </c>
      <c r="BY342" s="71"/>
      <c r="BZ342" s="79">
        <v>12</v>
      </c>
      <c r="CA342" s="79">
        <v>10</v>
      </c>
      <c r="CB342" s="79">
        <f t="shared" si="178"/>
        <v>22</v>
      </c>
      <c r="CC342" s="79" t="str">
        <f t="shared" si="194"/>
        <v>No Aplica</v>
      </c>
      <c r="CD342" s="79" t="s">
        <v>177</v>
      </c>
      <c r="CE342" s="79"/>
      <c r="CF342" s="79"/>
      <c r="CG342" s="83" t="s">
        <v>2564</v>
      </c>
      <c r="CH342" s="41"/>
      <c r="CI342" s="79" t="s">
        <v>153</v>
      </c>
      <c r="CJ342" s="71"/>
      <c r="CK342" s="79">
        <f t="shared" si="177"/>
        <v>0</v>
      </c>
      <c r="CL342" s="79"/>
      <c r="CM342" s="79"/>
      <c r="CN342" s="79"/>
      <c r="CO342" s="79"/>
      <c r="CP342" s="79"/>
      <c r="CQ342" s="79"/>
      <c r="CR342" s="83" t="s">
        <v>179</v>
      </c>
      <c r="CS342" s="83" t="s">
        <v>179</v>
      </c>
      <c r="CT342" s="83" t="s">
        <v>179</v>
      </c>
      <c r="CU342" s="83" t="s">
        <v>179</v>
      </c>
      <c r="CV342" s="83" t="s">
        <v>179</v>
      </c>
      <c r="CW342" s="83" t="s">
        <v>179</v>
      </c>
      <c r="CX342" s="79" t="s">
        <v>153</v>
      </c>
      <c r="CY342" s="79">
        <f t="shared" si="219"/>
        <v>0</v>
      </c>
      <c r="CZ342" s="79">
        <v>0</v>
      </c>
      <c r="DA342" s="79">
        <f t="shared" si="220"/>
        <v>0</v>
      </c>
      <c r="DB342" s="84" t="str">
        <f t="shared" ref="DB342:DB391" si="221">IFERROR(CY342/CK342,"")</f>
        <v/>
      </c>
      <c r="DC342" s="41"/>
      <c r="DD342" s="79" t="s">
        <v>153</v>
      </c>
      <c r="DE342" s="71"/>
      <c r="DF342" s="85" t="s">
        <v>2565</v>
      </c>
      <c r="DG342" s="79">
        <v>332</v>
      </c>
      <c r="DH342" s="86">
        <f t="shared" si="217"/>
        <v>45404</v>
      </c>
      <c r="DI342" s="79" t="s">
        <v>181</v>
      </c>
      <c r="DJ342" s="79" t="s">
        <v>182</v>
      </c>
      <c r="DK342" s="79"/>
      <c r="DL342" s="79">
        <v>0</v>
      </c>
      <c r="DM342" s="79">
        <v>0</v>
      </c>
      <c r="DN342" s="79" t="s">
        <v>182</v>
      </c>
      <c r="DO342" s="79"/>
      <c r="DP342" s="79"/>
      <c r="DQ342" s="79"/>
      <c r="DR342" s="75" t="str">
        <f t="shared" si="208"/>
        <v>No aplica</v>
      </c>
      <c r="DS342" s="79"/>
      <c r="DT342" s="79"/>
      <c r="DU342" s="75" t="str">
        <f t="shared" si="209"/>
        <v>No aplica</v>
      </c>
      <c r="DV342" s="79" t="s">
        <v>182</v>
      </c>
      <c r="DW342" s="79" t="s">
        <v>182</v>
      </c>
      <c r="DX342" s="79"/>
      <c r="DY342" s="79"/>
      <c r="DZ342" s="79"/>
      <c r="EA342" s="79"/>
      <c r="EB342" s="79"/>
      <c r="EC342" s="79"/>
      <c r="ED342" s="79" t="s">
        <v>184</v>
      </c>
      <c r="EE342" s="79" t="s">
        <v>621</v>
      </c>
      <c r="EF342" s="41"/>
      <c r="EG342" s="79" t="s">
        <v>153</v>
      </c>
      <c r="EH342" s="71"/>
      <c r="EI342" s="80"/>
      <c r="EJ342" s="71"/>
      <c r="EK342" s="79"/>
      <c r="EL342" s="76" t="str">
        <f t="shared" si="210"/>
        <v>No requiere</v>
      </c>
      <c r="EM342" s="76" t="str">
        <f t="shared" si="211"/>
        <v>No requiere</v>
      </c>
      <c r="EN342" s="76" t="str">
        <f t="shared" si="195"/>
        <v>No requiere</v>
      </c>
      <c r="EO342" s="71"/>
      <c r="EP342" s="73" t="str">
        <f t="shared" si="212"/>
        <v>No requiere</v>
      </c>
      <c r="EQ342" s="77" t="str">
        <f t="shared" si="213"/>
        <v>No requiere</v>
      </c>
      <c r="ER342" s="71"/>
      <c r="ES342" s="79"/>
      <c r="ET342" s="73" t="str">
        <f t="shared" si="214"/>
        <v>No requiere</v>
      </c>
      <c r="EU342" s="73" t="str">
        <f t="shared" si="196"/>
        <v>No requiere</v>
      </c>
      <c r="EV342" s="73" t="str">
        <f t="shared" si="215"/>
        <v>No requiere</v>
      </c>
      <c r="EW342" s="73" t="str">
        <f t="shared" si="216"/>
        <v>No requiere</v>
      </c>
      <c r="EX342" s="78"/>
      <c r="EY342" s="78"/>
    </row>
    <row r="343" spans="1:155" ht="46.5" customHeight="1">
      <c r="A343" s="79" t="str">
        <v/>
      </c>
      <c r="B343" s="80" t="s">
        <v>2566</v>
      </c>
      <c r="C343" s="81">
        <v>45401</v>
      </c>
      <c r="D343" s="82">
        <v>0.41666666666666669</v>
      </c>
      <c r="E343" s="79" t="s">
        <v>151</v>
      </c>
      <c r="F343" s="79" t="s">
        <v>152</v>
      </c>
      <c r="G343" s="79" t="s">
        <v>153</v>
      </c>
      <c r="H343" s="79" t="s">
        <v>152</v>
      </c>
      <c r="I343" s="79" t="s">
        <v>152</v>
      </c>
      <c r="J343" s="79" t="s">
        <v>2153</v>
      </c>
      <c r="K343" s="79" t="s">
        <v>202</v>
      </c>
      <c r="L343" s="80" t="s">
        <v>2567</v>
      </c>
      <c r="M343" s="80" t="s">
        <v>157</v>
      </c>
      <c r="N343" s="79" t="s">
        <v>346</v>
      </c>
      <c r="O343" s="80" t="str">
        <f t="shared" si="204"/>
        <v/>
      </c>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t="s">
        <v>169</v>
      </c>
      <c r="AP343" s="79"/>
      <c r="AQ343" s="80" t="s">
        <v>171</v>
      </c>
      <c r="AR343" s="80" t="s">
        <v>171</v>
      </c>
      <c r="AS343" s="80" t="s">
        <v>171</v>
      </c>
      <c r="AT343" s="80" t="str">
        <f t="shared" si="205"/>
        <v>Distrital</v>
      </c>
      <c r="AU343" s="79" t="s">
        <v>172</v>
      </c>
      <c r="AV343" s="79"/>
      <c r="AW343" s="79"/>
      <c r="AX343" s="79"/>
      <c r="AY343" s="79"/>
      <c r="AZ343" s="79"/>
      <c r="BA343" s="80" t="str">
        <f t="shared" si="206"/>
        <v>Distrital</v>
      </c>
      <c r="BB343" s="79" t="s">
        <v>172</v>
      </c>
      <c r="BC343" s="79"/>
      <c r="BD343" s="79"/>
      <c r="BE343" s="79"/>
      <c r="BF343" s="79"/>
      <c r="BG343" s="79"/>
      <c r="BH343" s="80" t="str">
        <f t="shared" si="207"/>
        <v>Distrital</v>
      </c>
      <c r="BI343" s="79" t="s">
        <v>172</v>
      </c>
      <c r="BJ343" s="79"/>
      <c r="BK343" s="79"/>
      <c r="BL343" s="79"/>
      <c r="BM343" s="79"/>
      <c r="BN343" s="79"/>
      <c r="BO343" s="79"/>
      <c r="BP343" s="79"/>
      <c r="BQ343" s="79"/>
      <c r="BR343" s="79"/>
      <c r="BS343" s="80" t="s">
        <v>288</v>
      </c>
      <c r="BT343" s="80" t="s">
        <v>174</v>
      </c>
      <c r="BU343" s="89" t="s">
        <v>2568</v>
      </c>
      <c r="BV343" s="71"/>
      <c r="BW343" s="79" t="s">
        <v>152</v>
      </c>
      <c r="BX343" s="79" t="s">
        <v>179</v>
      </c>
      <c r="BY343" s="71"/>
      <c r="BZ343" s="79">
        <v>6</v>
      </c>
      <c r="CA343" s="79">
        <v>3</v>
      </c>
      <c r="CB343" s="79">
        <f t="shared" si="178"/>
        <v>9</v>
      </c>
      <c r="CC343" s="79" t="str">
        <f t="shared" si="194"/>
        <v>No Aplica</v>
      </c>
      <c r="CD343" s="79" t="s">
        <v>177</v>
      </c>
      <c r="CE343" s="79"/>
      <c r="CF343" s="79"/>
      <c r="CG343" s="83" t="s">
        <v>2569</v>
      </c>
      <c r="CH343" s="41"/>
      <c r="CI343" s="79" t="s">
        <v>153</v>
      </c>
      <c r="CJ343" s="71"/>
      <c r="CK343" s="79">
        <f t="shared" si="177"/>
        <v>0</v>
      </c>
      <c r="CL343" s="79"/>
      <c r="CM343" s="79"/>
      <c r="CN343" s="79"/>
      <c r="CO343" s="79"/>
      <c r="CP343" s="79"/>
      <c r="CQ343" s="79"/>
      <c r="CR343" s="83" t="s">
        <v>179</v>
      </c>
      <c r="CS343" s="83" t="s">
        <v>179</v>
      </c>
      <c r="CT343" s="83" t="s">
        <v>179</v>
      </c>
      <c r="CU343" s="83" t="s">
        <v>179</v>
      </c>
      <c r="CV343" s="83" t="s">
        <v>179</v>
      </c>
      <c r="CW343" s="83" t="s">
        <v>179</v>
      </c>
      <c r="CX343" s="79" t="s">
        <v>153</v>
      </c>
      <c r="CY343" s="79">
        <f t="shared" si="219"/>
        <v>0</v>
      </c>
      <c r="CZ343" s="79">
        <v>0</v>
      </c>
      <c r="DA343" s="79">
        <f t="shared" si="220"/>
        <v>0</v>
      </c>
      <c r="DB343" s="84" t="str">
        <f t="shared" si="221"/>
        <v/>
      </c>
      <c r="DC343" s="41"/>
      <c r="DD343" s="79" t="s">
        <v>153</v>
      </c>
      <c r="DE343" s="71"/>
      <c r="DF343" s="85" t="s">
        <v>2570</v>
      </c>
      <c r="DG343" s="79">
        <v>333</v>
      </c>
      <c r="DH343" s="86" t="str">
        <f t="shared" si="217"/>
        <v>Completo</v>
      </c>
      <c r="DI343" s="79" t="s">
        <v>181</v>
      </c>
      <c r="DJ343" s="79" t="s">
        <v>182</v>
      </c>
      <c r="DK343" s="79"/>
      <c r="DL343" s="79">
        <v>0</v>
      </c>
      <c r="DM343" s="79">
        <v>0</v>
      </c>
      <c r="DN343" s="79"/>
      <c r="DO343" s="79"/>
      <c r="DP343" s="79"/>
      <c r="DQ343" s="79"/>
      <c r="DR343" s="75" t="str">
        <f t="shared" si="208"/>
        <v>No aplica</v>
      </c>
      <c r="DS343" s="79"/>
      <c r="DT343" s="79"/>
      <c r="DU343" s="75" t="str">
        <f t="shared" si="209"/>
        <v>No aplica</v>
      </c>
      <c r="DV343" s="79" t="s">
        <v>182</v>
      </c>
      <c r="DW343" s="79" t="s">
        <v>182</v>
      </c>
      <c r="DX343" s="79"/>
      <c r="DY343" s="79"/>
      <c r="DZ343" s="79"/>
      <c r="EA343" s="79"/>
      <c r="EB343" s="79"/>
      <c r="EC343" s="79"/>
      <c r="ED343" s="79" t="s">
        <v>2571</v>
      </c>
      <c r="EE343" s="79" t="str">
        <f t="shared" ref="EE343:EE352" si="222">IF(DI343="Subsanado","Completo","Por Completar")</f>
        <v>Completo</v>
      </c>
      <c r="EF343" s="41"/>
      <c r="EG343" s="79" t="s">
        <v>153</v>
      </c>
      <c r="EH343" s="71"/>
      <c r="EI343" s="80"/>
      <c r="EJ343" s="71"/>
      <c r="EK343" s="79"/>
      <c r="EL343" s="76" t="str">
        <f t="shared" si="210"/>
        <v>No requiere</v>
      </c>
      <c r="EM343" s="76" t="str">
        <f t="shared" si="211"/>
        <v>No requiere</v>
      </c>
      <c r="EN343" s="76" t="str">
        <f t="shared" si="195"/>
        <v>No requiere</v>
      </c>
      <c r="EO343" s="71"/>
      <c r="EP343" s="73" t="str">
        <f t="shared" si="212"/>
        <v>No requiere</v>
      </c>
      <c r="EQ343" s="77" t="str">
        <f t="shared" si="213"/>
        <v>No requiere</v>
      </c>
      <c r="ER343" s="71"/>
      <c r="ES343" s="79"/>
      <c r="ET343" s="73" t="str">
        <f t="shared" si="214"/>
        <v>No requiere</v>
      </c>
      <c r="EU343" s="73" t="str">
        <f t="shared" si="196"/>
        <v>No requiere</v>
      </c>
      <c r="EV343" s="73" t="str">
        <f t="shared" si="215"/>
        <v>No requiere</v>
      </c>
      <c r="EW343" s="73" t="str">
        <f t="shared" si="216"/>
        <v>No requiere</v>
      </c>
      <c r="EX343" s="78"/>
      <c r="EY343" s="78"/>
    </row>
    <row r="344" spans="1:155" ht="46.5" customHeight="1">
      <c r="A344" s="79">
        <v>340</v>
      </c>
      <c r="B344" s="80" t="s">
        <v>2572</v>
      </c>
      <c r="C344" s="81">
        <v>45401</v>
      </c>
      <c r="D344" s="82">
        <v>0.625</v>
      </c>
      <c r="E344" s="79" t="s">
        <v>200</v>
      </c>
      <c r="F344" s="79" t="s">
        <v>153</v>
      </c>
      <c r="G344" s="79" t="s">
        <v>152</v>
      </c>
      <c r="H344" s="79" t="s">
        <v>152</v>
      </c>
      <c r="I344" s="79" t="s">
        <v>152</v>
      </c>
      <c r="J344" s="79" t="s">
        <v>211</v>
      </c>
      <c r="K344" s="79" t="s">
        <v>202</v>
      </c>
      <c r="L344" s="80" t="s">
        <v>2573</v>
      </c>
      <c r="M344" s="80" t="s">
        <v>624</v>
      </c>
      <c r="N344" s="79" t="s">
        <v>523</v>
      </c>
      <c r="O344" s="80" t="str">
        <f t="shared" si="204"/>
        <v/>
      </c>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t="s">
        <v>230</v>
      </c>
      <c r="AP344" s="79" t="s">
        <v>242</v>
      </c>
      <c r="AQ344" s="80" t="s">
        <v>1334</v>
      </c>
      <c r="AR344" s="83">
        <v>3244150125</v>
      </c>
      <c r="AS344" s="80" t="s">
        <v>1467</v>
      </c>
      <c r="AT344" s="80" t="str">
        <f t="shared" si="205"/>
        <v>Distrital</v>
      </c>
      <c r="AU344" s="79" t="s">
        <v>172</v>
      </c>
      <c r="AV344" s="79"/>
      <c r="AW344" s="79"/>
      <c r="AX344" s="79"/>
      <c r="AY344" s="79"/>
      <c r="AZ344" s="79"/>
      <c r="BA344" s="80" t="str">
        <f t="shared" si="206"/>
        <v>Distrital</v>
      </c>
      <c r="BB344" s="79" t="s">
        <v>172</v>
      </c>
      <c r="BC344" s="79"/>
      <c r="BD344" s="79"/>
      <c r="BE344" s="79"/>
      <c r="BF344" s="79"/>
      <c r="BG344" s="79"/>
      <c r="BH344" s="80" t="str">
        <f t="shared" si="207"/>
        <v>Distrital</v>
      </c>
      <c r="BI344" s="79" t="s">
        <v>172</v>
      </c>
      <c r="BJ344" s="79"/>
      <c r="BK344" s="79"/>
      <c r="BL344" s="79"/>
      <c r="BM344" s="79"/>
      <c r="BN344" s="79"/>
      <c r="BO344" s="79"/>
      <c r="BP344" s="79"/>
      <c r="BQ344" s="79"/>
      <c r="BR344" s="79"/>
      <c r="BS344" s="80" t="s">
        <v>288</v>
      </c>
      <c r="BT344" s="80" t="s">
        <v>174</v>
      </c>
      <c r="BU344" s="89" t="s">
        <v>2574</v>
      </c>
      <c r="BV344" s="71"/>
      <c r="BW344" s="79" t="s">
        <v>152</v>
      </c>
      <c r="BX344" s="79" t="s">
        <v>179</v>
      </c>
      <c r="BY344" s="71"/>
      <c r="BZ344" s="79">
        <v>7</v>
      </c>
      <c r="CA344" s="79">
        <v>1</v>
      </c>
      <c r="CB344" s="79">
        <f t="shared" si="178"/>
        <v>8</v>
      </c>
      <c r="CC344" s="79" t="str">
        <f t="shared" si="194"/>
        <v>Contenidos adaptados</v>
      </c>
      <c r="CD344" s="79" t="s">
        <v>350</v>
      </c>
      <c r="CE344" s="79"/>
      <c r="CF344" s="79"/>
      <c r="CG344" s="83" t="s">
        <v>2575</v>
      </c>
      <c r="CH344" s="41"/>
      <c r="CI344" s="79" t="s">
        <v>153</v>
      </c>
      <c r="CJ344" s="71"/>
      <c r="CK344" s="79">
        <f t="shared" si="177"/>
        <v>0</v>
      </c>
      <c r="CL344" s="79"/>
      <c r="CM344" s="79"/>
      <c r="CN344" s="79"/>
      <c r="CO344" s="79"/>
      <c r="CP344" s="79"/>
      <c r="CQ344" s="79"/>
      <c r="CR344" s="83" t="s">
        <v>179</v>
      </c>
      <c r="CS344" s="83" t="s">
        <v>179</v>
      </c>
      <c r="CT344" s="83" t="s">
        <v>179</v>
      </c>
      <c r="CU344" s="83" t="s">
        <v>179</v>
      </c>
      <c r="CV344" s="83" t="s">
        <v>179</v>
      </c>
      <c r="CW344" s="83" t="s">
        <v>179</v>
      </c>
      <c r="CX344" s="79" t="s">
        <v>153</v>
      </c>
      <c r="CY344" s="79">
        <f t="shared" si="219"/>
        <v>0</v>
      </c>
      <c r="CZ344" s="79">
        <v>0</v>
      </c>
      <c r="DA344" s="79">
        <f t="shared" si="220"/>
        <v>0</v>
      </c>
      <c r="DB344" s="84" t="str">
        <f t="shared" si="221"/>
        <v/>
      </c>
      <c r="DC344" s="41"/>
      <c r="DD344" s="79" t="s">
        <v>153</v>
      </c>
      <c r="DE344" s="71"/>
      <c r="DF344" s="85" t="s">
        <v>2576</v>
      </c>
      <c r="DG344" s="79">
        <v>334</v>
      </c>
      <c r="DH344" s="86" t="str">
        <f t="shared" si="217"/>
        <v>Completo</v>
      </c>
      <c r="DI344" s="79" t="s">
        <v>181</v>
      </c>
      <c r="DJ344" s="79" t="s">
        <v>182</v>
      </c>
      <c r="DK344" s="79"/>
      <c r="DL344" s="79">
        <v>0</v>
      </c>
      <c r="DM344" s="79">
        <v>0</v>
      </c>
      <c r="DN344" s="79" t="s">
        <v>182</v>
      </c>
      <c r="DO344" s="79"/>
      <c r="DP344" s="79"/>
      <c r="DQ344" s="79"/>
      <c r="DR344" s="75" t="str">
        <f t="shared" si="208"/>
        <v>No aplica</v>
      </c>
      <c r="DS344" s="79"/>
      <c r="DT344" s="79"/>
      <c r="DU344" s="75" t="str">
        <f t="shared" si="209"/>
        <v>No aplica</v>
      </c>
      <c r="DV344" s="79" t="s">
        <v>182</v>
      </c>
      <c r="DW344" s="79" t="s">
        <v>182</v>
      </c>
      <c r="DX344" s="79"/>
      <c r="DY344" s="79"/>
      <c r="DZ344" s="79"/>
      <c r="EA344" s="79"/>
      <c r="EB344" s="79" t="s">
        <v>182</v>
      </c>
      <c r="EC344" s="79" t="s">
        <v>1578</v>
      </c>
      <c r="ED344" s="79" t="s">
        <v>184</v>
      </c>
      <c r="EE344" s="79" t="str">
        <f t="shared" si="222"/>
        <v>Completo</v>
      </c>
      <c r="EF344" s="41"/>
      <c r="EG344" s="79" t="s">
        <v>153</v>
      </c>
      <c r="EH344" s="71"/>
      <c r="EI344" s="80"/>
      <c r="EJ344" s="71"/>
      <c r="EK344" s="79"/>
      <c r="EL344" s="76" t="str">
        <f t="shared" si="210"/>
        <v>No requiere</v>
      </c>
      <c r="EM344" s="76" t="str">
        <f t="shared" si="211"/>
        <v>No requiere</v>
      </c>
      <c r="EN344" s="76" t="str">
        <f t="shared" si="195"/>
        <v>No requiere</v>
      </c>
      <c r="EO344" s="71"/>
      <c r="EP344" s="73" t="str">
        <f t="shared" si="212"/>
        <v>No requiere</v>
      </c>
      <c r="EQ344" s="77" t="str">
        <f t="shared" si="213"/>
        <v>No requiere</v>
      </c>
      <c r="ER344" s="71"/>
      <c r="ES344" s="79"/>
      <c r="ET344" s="73" t="str">
        <f t="shared" si="214"/>
        <v>No requiere</v>
      </c>
      <c r="EU344" s="73" t="str">
        <f t="shared" si="196"/>
        <v>No requiere</v>
      </c>
      <c r="EV344" s="73" t="str">
        <f t="shared" si="215"/>
        <v>No requiere</v>
      </c>
      <c r="EW344" s="73" t="str">
        <f t="shared" si="216"/>
        <v>No requiere</v>
      </c>
      <c r="EX344" s="78"/>
      <c r="EY344" s="78"/>
    </row>
    <row r="345" spans="1:155" ht="46.5" customHeight="1">
      <c r="A345" s="79" t="str">
        <v/>
      </c>
      <c r="B345" s="80" t="s">
        <v>2577</v>
      </c>
      <c r="C345" s="81">
        <v>45401</v>
      </c>
      <c r="D345" s="82">
        <v>0.72916666666666663</v>
      </c>
      <c r="E345" s="79" t="s">
        <v>200</v>
      </c>
      <c r="F345" s="79" t="s">
        <v>152</v>
      </c>
      <c r="G345" s="79" t="s">
        <v>153</v>
      </c>
      <c r="H345" s="79" t="s">
        <v>152</v>
      </c>
      <c r="I345" s="79" t="s">
        <v>152</v>
      </c>
      <c r="J345" s="79" t="s">
        <v>211</v>
      </c>
      <c r="K345" s="79" t="s">
        <v>155</v>
      </c>
      <c r="L345" s="80" t="s">
        <v>2578</v>
      </c>
      <c r="M345" s="80" t="s">
        <v>624</v>
      </c>
      <c r="N345" s="79" t="s">
        <v>213</v>
      </c>
      <c r="O345" s="80" t="str">
        <f t="shared" si="204"/>
        <v/>
      </c>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t="s">
        <v>304</v>
      </c>
      <c r="AP345" s="79"/>
      <c r="AQ345" s="80" t="s">
        <v>1945</v>
      </c>
      <c r="AR345" s="83">
        <v>3108148740</v>
      </c>
      <c r="AS345" s="80" t="s">
        <v>682</v>
      </c>
      <c r="AT345" s="80" t="str">
        <f t="shared" si="205"/>
        <v>Distrital</v>
      </c>
      <c r="AU345" s="79" t="s">
        <v>172</v>
      </c>
      <c r="AV345" s="79"/>
      <c r="AW345" s="79"/>
      <c r="AX345" s="79"/>
      <c r="AY345" s="79"/>
      <c r="AZ345" s="79"/>
      <c r="BA345" s="80" t="str">
        <f t="shared" si="206"/>
        <v>Distrital</v>
      </c>
      <c r="BB345" s="79" t="s">
        <v>172</v>
      </c>
      <c r="BC345" s="79"/>
      <c r="BD345" s="79"/>
      <c r="BE345" s="79"/>
      <c r="BF345" s="79"/>
      <c r="BG345" s="79"/>
      <c r="BH345" s="80" t="str">
        <f t="shared" si="207"/>
        <v>Distrital</v>
      </c>
      <c r="BI345" s="79" t="s">
        <v>172</v>
      </c>
      <c r="BJ345" s="79"/>
      <c r="BK345" s="79"/>
      <c r="BL345" s="79"/>
      <c r="BM345" s="79"/>
      <c r="BN345" s="79"/>
      <c r="BO345" s="79"/>
      <c r="BP345" s="79"/>
      <c r="BQ345" s="79"/>
      <c r="BR345" s="79"/>
      <c r="BS345" s="80" t="s">
        <v>288</v>
      </c>
      <c r="BT345" s="80" t="s">
        <v>174</v>
      </c>
      <c r="BU345" s="80" t="s">
        <v>2579</v>
      </c>
      <c r="BV345" s="71"/>
      <c r="BW345" s="79" t="s">
        <v>152</v>
      </c>
      <c r="BX345" s="79" t="s">
        <v>179</v>
      </c>
      <c r="BY345" s="71"/>
      <c r="BZ345" s="79">
        <v>4</v>
      </c>
      <c r="CA345" s="79">
        <v>1</v>
      </c>
      <c r="CB345" s="79">
        <f t="shared" si="178"/>
        <v>5</v>
      </c>
      <c r="CC345" s="79" t="str">
        <f t="shared" si="194"/>
        <v>No Aplica</v>
      </c>
      <c r="CD345" s="79" t="s">
        <v>177</v>
      </c>
      <c r="CE345" s="79"/>
      <c r="CF345" s="79"/>
      <c r="CG345" s="83" t="s">
        <v>2580</v>
      </c>
      <c r="CH345" s="41"/>
      <c r="CI345" s="79" t="s">
        <v>153</v>
      </c>
      <c r="CJ345" s="71"/>
      <c r="CK345" s="79">
        <f t="shared" si="177"/>
        <v>0</v>
      </c>
      <c r="CL345" s="79"/>
      <c r="CM345" s="79"/>
      <c r="CN345" s="79"/>
      <c r="CO345" s="79"/>
      <c r="CP345" s="79"/>
      <c r="CQ345" s="79"/>
      <c r="CR345" s="83" t="s">
        <v>179</v>
      </c>
      <c r="CS345" s="83" t="s">
        <v>179</v>
      </c>
      <c r="CT345" s="83" t="s">
        <v>179</v>
      </c>
      <c r="CU345" s="83" t="s">
        <v>179</v>
      </c>
      <c r="CV345" s="83" t="s">
        <v>179</v>
      </c>
      <c r="CW345" s="83" t="s">
        <v>179</v>
      </c>
      <c r="CX345" s="79" t="s">
        <v>153</v>
      </c>
      <c r="CY345" s="79">
        <f t="shared" si="219"/>
        <v>0</v>
      </c>
      <c r="CZ345" s="79">
        <v>0</v>
      </c>
      <c r="DA345" s="79">
        <f t="shared" si="220"/>
        <v>0</v>
      </c>
      <c r="DB345" s="84" t="str">
        <f t="shared" si="221"/>
        <v/>
      </c>
      <c r="DC345" s="41"/>
      <c r="DD345" s="79" t="s">
        <v>153</v>
      </c>
      <c r="DE345" s="71"/>
      <c r="DF345" s="85" t="s">
        <v>2581</v>
      </c>
      <c r="DG345" s="79">
        <v>335</v>
      </c>
      <c r="DH345" s="86" t="str">
        <f t="shared" si="217"/>
        <v>Completo</v>
      </c>
      <c r="DI345" s="79" t="s">
        <v>181</v>
      </c>
      <c r="DJ345" s="79" t="s">
        <v>182</v>
      </c>
      <c r="DK345" s="79"/>
      <c r="DL345" s="79">
        <v>0</v>
      </c>
      <c r="DM345" s="79">
        <v>0</v>
      </c>
      <c r="DN345" s="79" t="s">
        <v>182</v>
      </c>
      <c r="DO345" s="79"/>
      <c r="DP345" s="79"/>
      <c r="DQ345" s="79"/>
      <c r="DR345" s="75" t="str">
        <f t="shared" si="208"/>
        <v>No aplica</v>
      </c>
      <c r="DS345" s="79"/>
      <c r="DT345" s="79"/>
      <c r="DU345" s="75" t="str">
        <f t="shared" si="209"/>
        <v>No aplica</v>
      </c>
      <c r="DV345" s="79" t="s">
        <v>182</v>
      </c>
      <c r="DW345" s="79" t="s">
        <v>182</v>
      </c>
      <c r="DX345" s="79"/>
      <c r="DY345" s="79"/>
      <c r="DZ345" s="79"/>
      <c r="EA345" s="79"/>
      <c r="EB345" s="79" t="s">
        <v>182</v>
      </c>
      <c r="EC345" s="79" t="s">
        <v>2582</v>
      </c>
      <c r="ED345" s="79" t="s">
        <v>184</v>
      </c>
      <c r="EE345" s="79" t="str">
        <f t="shared" si="222"/>
        <v>Completo</v>
      </c>
      <c r="EF345" s="41"/>
      <c r="EG345" s="79" t="s">
        <v>153</v>
      </c>
      <c r="EH345" s="71"/>
      <c r="EI345" s="80"/>
      <c r="EJ345" s="71"/>
      <c r="EK345" s="79"/>
      <c r="EL345" s="76" t="str">
        <f t="shared" si="210"/>
        <v>No requiere</v>
      </c>
      <c r="EM345" s="76" t="str">
        <f t="shared" si="211"/>
        <v>No requiere</v>
      </c>
      <c r="EN345" s="76" t="str">
        <f t="shared" si="195"/>
        <v>No requiere</v>
      </c>
      <c r="EO345" s="71"/>
      <c r="EP345" s="73" t="str">
        <f t="shared" si="212"/>
        <v>No requiere</v>
      </c>
      <c r="EQ345" s="77" t="str">
        <f t="shared" si="213"/>
        <v>No requiere</v>
      </c>
      <c r="ER345" s="71"/>
      <c r="ES345" s="79"/>
      <c r="ET345" s="73" t="str">
        <f t="shared" si="214"/>
        <v>No requiere</v>
      </c>
      <c r="EU345" s="73" t="str">
        <f t="shared" si="196"/>
        <v>No requiere</v>
      </c>
      <c r="EV345" s="73" t="str">
        <f t="shared" si="215"/>
        <v>No requiere</v>
      </c>
      <c r="EW345" s="73" t="str">
        <f t="shared" si="216"/>
        <v>No requiere</v>
      </c>
      <c r="EX345" s="78"/>
      <c r="EY345" s="78"/>
    </row>
    <row r="346" spans="1:155" ht="46.5" customHeight="1">
      <c r="A346" s="79">
        <v>342</v>
      </c>
      <c r="B346" s="80" t="s">
        <v>2583</v>
      </c>
      <c r="C346" s="81">
        <v>45401</v>
      </c>
      <c r="D346" s="82">
        <v>0.70833333333333337</v>
      </c>
      <c r="E346" s="79" t="s">
        <v>200</v>
      </c>
      <c r="F346" s="79" t="s">
        <v>153</v>
      </c>
      <c r="G346" s="79" t="s">
        <v>152</v>
      </c>
      <c r="H346" s="79" t="s">
        <v>152</v>
      </c>
      <c r="I346" s="79" t="s">
        <v>152</v>
      </c>
      <c r="J346" s="79" t="s">
        <v>211</v>
      </c>
      <c r="K346" s="79" t="s">
        <v>202</v>
      </c>
      <c r="L346" s="80" t="s">
        <v>2584</v>
      </c>
      <c r="M346" s="80" t="s">
        <v>624</v>
      </c>
      <c r="N346" s="79" t="s">
        <v>524</v>
      </c>
      <c r="O346" s="80" t="str">
        <f t="shared" si="204"/>
        <v/>
      </c>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t="s">
        <v>230</v>
      </c>
      <c r="AP346" s="79" t="s">
        <v>242</v>
      </c>
      <c r="AQ346" s="80" t="s">
        <v>2585</v>
      </c>
      <c r="AR346" s="83">
        <v>3178255261</v>
      </c>
      <c r="AS346" s="80" t="s">
        <v>1103</v>
      </c>
      <c r="AT346" s="80" t="str">
        <f t="shared" si="205"/>
        <v>Distrital</v>
      </c>
      <c r="AU346" s="79" t="s">
        <v>172</v>
      </c>
      <c r="AV346" s="79"/>
      <c r="AW346" s="79"/>
      <c r="AX346" s="79"/>
      <c r="AY346" s="79"/>
      <c r="AZ346" s="79"/>
      <c r="BA346" s="80" t="str">
        <f t="shared" si="206"/>
        <v>Distrital</v>
      </c>
      <c r="BB346" s="79" t="s">
        <v>172</v>
      </c>
      <c r="BC346" s="79"/>
      <c r="BD346" s="79"/>
      <c r="BE346" s="79"/>
      <c r="BF346" s="79"/>
      <c r="BG346" s="79"/>
      <c r="BH346" s="80" t="str">
        <f t="shared" si="207"/>
        <v>Distrital</v>
      </c>
      <c r="BI346" s="79" t="s">
        <v>172</v>
      </c>
      <c r="BJ346" s="79"/>
      <c r="BK346" s="79"/>
      <c r="BL346" s="79"/>
      <c r="BM346" s="79"/>
      <c r="BN346" s="79"/>
      <c r="BO346" s="79"/>
      <c r="BP346" s="79"/>
      <c r="BQ346" s="79"/>
      <c r="BR346" s="79"/>
      <c r="BS346" s="80" t="s">
        <v>288</v>
      </c>
      <c r="BT346" s="80" t="s">
        <v>174</v>
      </c>
      <c r="BU346" s="89" t="s">
        <v>2586</v>
      </c>
      <c r="BV346" s="71"/>
      <c r="BW346" s="79" t="s">
        <v>152</v>
      </c>
      <c r="BX346" s="79" t="s">
        <v>179</v>
      </c>
      <c r="BY346" s="71"/>
      <c r="BZ346" s="79">
        <v>11</v>
      </c>
      <c r="CA346" s="79">
        <v>2</v>
      </c>
      <c r="CB346" s="79">
        <f t="shared" si="178"/>
        <v>13</v>
      </c>
      <c r="CC346" s="79" t="str">
        <f t="shared" si="194"/>
        <v>No Aplica</v>
      </c>
      <c r="CD346" s="79" t="s">
        <v>177</v>
      </c>
      <c r="CE346" s="79"/>
      <c r="CF346" s="79"/>
      <c r="CG346" s="83" t="s">
        <v>2587</v>
      </c>
      <c r="CH346" s="41"/>
      <c r="CI346" s="79"/>
      <c r="CJ346" s="71"/>
      <c r="CK346" s="79">
        <f t="shared" si="177"/>
        <v>0</v>
      </c>
      <c r="CL346" s="79"/>
      <c r="CM346" s="79"/>
      <c r="CN346" s="79"/>
      <c r="CO346" s="79"/>
      <c r="CP346" s="79"/>
      <c r="CQ346" s="79"/>
      <c r="CR346" s="83" t="s">
        <v>179</v>
      </c>
      <c r="CS346" s="83" t="s">
        <v>179</v>
      </c>
      <c r="CT346" s="83" t="s">
        <v>179</v>
      </c>
      <c r="CU346" s="83" t="s">
        <v>179</v>
      </c>
      <c r="CV346" s="83" t="s">
        <v>179</v>
      </c>
      <c r="CW346" s="83" t="s">
        <v>179</v>
      </c>
      <c r="CX346" s="79" t="s">
        <v>153</v>
      </c>
      <c r="CY346" s="79">
        <f t="shared" si="219"/>
        <v>0</v>
      </c>
      <c r="CZ346" s="79">
        <v>0</v>
      </c>
      <c r="DA346" s="79">
        <f t="shared" si="220"/>
        <v>0</v>
      </c>
      <c r="DB346" s="84" t="str">
        <f t="shared" si="221"/>
        <v/>
      </c>
      <c r="DC346" s="41"/>
      <c r="DD346" s="79" t="s">
        <v>153</v>
      </c>
      <c r="DE346" s="71"/>
      <c r="DF346" s="85" t="s">
        <v>2588</v>
      </c>
      <c r="DG346" s="79">
        <v>336</v>
      </c>
      <c r="DH346" s="86" t="str">
        <f t="shared" si="217"/>
        <v>Completo</v>
      </c>
      <c r="DI346" s="79" t="s">
        <v>181</v>
      </c>
      <c r="DJ346" s="79" t="s">
        <v>182</v>
      </c>
      <c r="DK346" s="79"/>
      <c r="DL346" s="79">
        <v>0</v>
      </c>
      <c r="DM346" s="79">
        <v>0</v>
      </c>
      <c r="DN346" s="79" t="s">
        <v>182</v>
      </c>
      <c r="DO346" s="79"/>
      <c r="DP346" s="79"/>
      <c r="DQ346" s="79"/>
      <c r="DR346" s="75" t="str">
        <f t="shared" si="208"/>
        <v>No aplica</v>
      </c>
      <c r="DS346" s="79"/>
      <c r="DT346" s="79"/>
      <c r="DU346" s="75" t="str">
        <f t="shared" si="209"/>
        <v>No aplica</v>
      </c>
      <c r="DV346" s="79" t="s">
        <v>182</v>
      </c>
      <c r="DW346" s="79" t="s">
        <v>182</v>
      </c>
      <c r="DX346" s="79"/>
      <c r="DY346" s="79"/>
      <c r="DZ346" s="79"/>
      <c r="EA346" s="79"/>
      <c r="EB346" s="79" t="s">
        <v>182</v>
      </c>
      <c r="EC346" s="79" t="s">
        <v>746</v>
      </c>
      <c r="ED346" s="79" t="s">
        <v>184</v>
      </c>
      <c r="EE346" s="79" t="str">
        <f t="shared" si="222"/>
        <v>Completo</v>
      </c>
      <c r="EF346" s="41"/>
      <c r="EG346" s="79" t="s">
        <v>153</v>
      </c>
      <c r="EH346" s="71"/>
      <c r="EI346" s="80"/>
      <c r="EJ346" s="71"/>
      <c r="EK346" s="79"/>
      <c r="EL346" s="76" t="str">
        <f t="shared" si="210"/>
        <v>No requiere</v>
      </c>
      <c r="EM346" s="76" t="str">
        <f t="shared" si="211"/>
        <v>No requiere</v>
      </c>
      <c r="EN346" s="76" t="str">
        <f t="shared" si="195"/>
        <v>No requiere</v>
      </c>
      <c r="EO346" s="71"/>
      <c r="EP346" s="73" t="str">
        <f t="shared" si="212"/>
        <v>No requiere</v>
      </c>
      <c r="EQ346" s="77" t="str">
        <f t="shared" si="213"/>
        <v>No requiere</v>
      </c>
      <c r="ER346" s="71"/>
      <c r="ES346" s="79"/>
      <c r="ET346" s="73" t="str">
        <f t="shared" si="214"/>
        <v>No requiere</v>
      </c>
      <c r="EU346" s="73" t="str">
        <f t="shared" si="196"/>
        <v>No requiere</v>
      </c>
      <c r="EV346" s="73" t="str">
        <f t="shared" si="215"/>
        <v>No requiere</v>
      </c>
      <c r="EW346" s="73" t="str">
        <f t="shared" si="216"/>
        <v>No requiere</v>
      </c>
      <c r="EX346" s="78"/>
      <c r="EY346" s="78"/>
    </row>
    <row r="347" spans="1:155" ht="46.5" customHeight="1">
      <c r="A347" s="79">
        <v>343</v>
      </c>
      <c r="B347" s="80" t="s">
        <v>2589</v>
      </c>
      <c r="C347" s="81">
        <v>45403</v>
      </c>
      <c r="D347" s="82">
        <v>0.625</v>
      </c>
      <c r="E347" s="79" t="s">
        <v>543</v>
      </c>
      <c r="F347" s="79" t="s">
        <v>153</v>
      </c>
      <c r="G347" s="79" t="s">
        <v>152</v>
      </c>
      <c r="H347" s="79" t="s">
        <v>152</v>
      </c>
      <c r="I347" s="79" t="s">
        <v>152</v>
      </c>
      <c r="J347" s="79" t="s">
        <v>154</v>
      </c>
      <c r="K347" s="79" t="s">
        <v>155</v>
      </c>
      <c r="L347" s="80" t="s">
        <v>2590</v>
      </c>
      <c r="M347" s="80" t="s">
        <v>229</v>
      </c>
      <c r="N347" s="79" t="s">
        <v>166</v>
      </c>
      <c r="O347" s="80" t="str">
        <f t="shared" si="204"/>
        <v>María del Pilar Barreto</v>
      </c>
      <c r="P347" s="79" t="s">
        <v>195</v>
      </c>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t="s">
        <v>304</v>
      </c>
      <c r="AP347" s="79"/>
      <c r="AQ347" s="80" t="s">
        <v>2591</v>
      </c>
      <c r="AR347" s="83">
        <v>3358000</v>
      </c>
      <c r="AS347" s="80" t="s">
        <v>558</v>
      </c>
      <c r="AT347" s="80" t="str">
        <f t="shared" si="205"/>
        <v>Distrital</v>
      </c>
      <c r="AU347" s="79" t="s">
        <v>172</v>
      </c>
      <c r="AV347" s="79"/>
      <c r="AW347" s="79"/>
      <c r="AX347" s="79"/>
      <c r="AY347" s="79"/>
      <c r="AZ347" s="79"/>
      <c r="BA347" s="80" t="str">
        <f t="shared" si="206"/>
        <v>Distrital</v>
      </c>
      <c r="BB347" s="79" t="s">
        <v>172</v>
      </c>
      <c r="BC347" s="79"/>
      <c r="BD347" s="79"/>
      <c r="BE347" s="79"/>
      <c r="BF347" s="79"/>
      <c r="BG347" s="79"/>
      <c r="BH347" s="80" t="str">
        <f t="shared" si="207"/>
        <v>Distrital</v>
      </c>
      <c r="BI347" s="79" t="s">
        <v>172</v>
      </c>
      <c r="BJ347" s="79"/>
      <c r="BK347" s="79"/>
      <c r="BL347" s="79"/>
      <c r="BM347" s="79"/>
      <c r="BN347" s="79"/>
      <c r="BO347" s="79"/>
      <c r="BP347" s="79"/>
      <c r="BQ347" s="79"/>
      <c r="BR347" s="79"/>
      <c r="BS347" s="80" t="s">
        <v>288</v>
      </c>
      <c r="BT347" s="80" t="s">
        <v>174</v>
      </c>
      <c r="BU347" s="80" t="s">
        <v>2592</v>
      </c>
      <c r="BV347" s="71"/>
      <c r="BW347" s="79" t="s">
        <v>153</v>
      </c>
      <c r="BX347" s="79" t="s">
        <v>176</v>
      </c>
      <c r="BY347" s="71"/>
      <c r="BZ347" s="79">
        <v>5</v>
      </c>
      <c r="CA347" s="79">
        <v>6</v>
      </c>
      <c r="CB347" s="79">
        <f t="shared" si="178"/>
        <v>11</v>
      </c>
      <c r="CC347" s="79" t="str">
        <f t="shared" si="194"/>
        <v>Horarios Acordes</v>
      </c>
      <c r="CD347" s="79" t="s">
        <v>351</v>
      </c>
      <c r="CE347" s="79"/>
      <c r="CF347" s="79"/>
      <c r="CG347" s="83" t="s">
        <v>2593</v>
      </c>
      <c r="CH347" s="41"/>
      <c r="CI347" s="79" t="s">
        <v>153</v>
      </c>
      <c r="CJ347" s="71"/>
      <c r="CK347" s="79">
        <f t="shared" si="177"/>
        <v>0</v>
      </c>
      <c r="CL347" s="79"/>
      <c r="CM347" s="79"/>
      <c r="CN347" s="79"/>
      <c r="CO347" s="79"/>
      <c r="CP347" s="79"/>
      <c r="CQ347" s="79"/>
      <c r="CR347" s="83" t="s">
        <v>179</v>
      </c>
      <c r="CS347" s="83" t="s">
        <v>179</v>
      </c>
      <c r="CT347" s="83" t="s">
        <v>179</v>
      </c>
      <c r="CU347" s="83" t="s">
        <v>179</v>
      </c>
      <c r="CV347" s="83" t="s">
        <v>179</v>
      </c>
      <c r="CW347" s="83" t="s">
        <v>179</v>
      </c>
      <c r="CX347" s="79" t="s">
        <v>153</v>
      </c>
      <c r="CY347" s="79">
        <f t="shared" si="219"/>
        <v>0</v>
      </c>
      <c r="CZ347" s="79">
        <v>0</v>
      </c>
      <c r="DA347" s="79">
        <f t="shared" si="220"/>
        <v>0</v>
      </c>
      <c r="DB347" s="84" t="str">
        <f t="shared" si="221"/>
        <v/>
      </c>
      <c r="DC347" s="41"/>
      <c r="DD347" s="79" t="s">
        <v>153</v>
      </c>
      <c r="DE347" s="71"/>
      <c r="DF347" s="85" t="s">
        <v>2594</v>
      </c>
      <c r="DG347" s="79">
        <v>337</v>
      </c>
      <c r="DH347" s="86" t="str">
        <f t="shared" si="217"/>
        <v>Completo</v>
      </c>
      <c r="DI347" s="79" t="s">
        <v>181</v>
      </c>
      <c r="DJ347" s="79" t="s">
        <v>182</v>
      </c>
      <c r="DK347" s="79"/>
      <c r="DL347" s="79">
        <v>0</v>
      </c>
      <c r="DM347" s="79">
        <v>0</v>
      </c>
      <c r="DN347" s="79" t="s">
        <v>182</v>
      </c>
      <c r="DO347" s="79"/>
      <c r="DP347" s="79"/>
      <c r="DQ347" s="79"/>
      <c r="DR347" s="75" t="str">
        <f t="shared" si="208"/>
        <v>No aplica</v>
      </c>
      <c r="DS347" s="79"/>
      <c r="DT347" s="79"/>
      <c r="DU347" s="75" t="str">
        <f t="shared" si="209"/>
        <v>No aplica</v>
      </c>
      <c r="DV347" s="79" t="s">
        <v>182</v>
      </c>
      <c r="DW347" s="79" t="s">
        <v>182</v>
      </c>
      <c r="DX347" s="79"/>
      <c r="DY347" s="79"/>
      <c r="DZ347" s="79"/>
      <c r="EA347" s="79"/>
      <c r="EB347" s="79"/>
      <c r="EC347" s="79"/>
      <c r="ED347" s="79" t="s">
        <v>184</v>
      </c>
      <c r="EE347" s="79" t="str">
        <f t="shared" si="222"/>
        <v>Completo</v>
      </c>
      <c r="EF347" s="41"/>
      <c r="EG347" s="79" t="s">
        <v>153</v>
      </c>
      <c r="EH347" s="71"/>
      <c r="EI347" s="80"/>
      <c r="EJ347" s="71"/>
      <c r="EK347" s="79"/>
      <c r="EL347" s="76" t="str">
        <f t="shared" si="210"/>
        <v>No requiere</v>
      </c>
      <c r="EM347" s="76" t="str">
        <f t="shared" si="211"/>
        <v>No requiere</v>
      </c>
      <c r="EN347" s="76" t="str">
        <f t="shared" si="195"/>
        <v>No requiere</v>
      </c>
      <c r="EO347" s="71"/>
      <c r="EP347" s="73" t="str">
        <f t="shared" si="212"/>
        <v>No requiere</v>
      </c>
      <c r="EQ347" s="77" t="str">
        <f t="shared" si="213"/>
        <v>No requiere</v>
      </c>
      <c r="ER347" s="71"/>
      <c r="ES347" s="79"/>
      <c r="ET347" s="73" t="str">
        <f t="shared" si="214"/>
        <v>No requiere</v>
      </c>
      <c r="EU347" s="73" t="str">
        <f t="shared" si="196"/>
        <v>No requiere</v>
      </c>
      <c r="EV347" s="73" t="str">
        <f t="shared" si="215"/>
        <v>No requiere</v>
      </c>
      <c r="EW347" s="73" t="str">
        <f t="shared" si="216"/>
        <v>No requiere</v>
      </c>
      <c r="EX347" s="78"/>
      <c r="EY347" s="78"/>
    </row>
    <row r="348" spans="1:155" ht="46.5" customHeight="1">
      <c r="A348" s="79">
        <v>344</v>
      </c>
      <c r="B348" s="80" t="s">
        <v>2595</v>
      </c>
      <c r="C348" s="81">
        <v>45404</v>
      </c>
      <c r="D348" s="82">
        <v>0.375</v>
      </c>
      <c r="E348" s="79" t="s">
        <v>151</v>
      </c>
      <c r="F348" s="79" t="s">
        <v>153</v>
      </c>
      <c r="G348" s="79" t="s">
        <v>153</v>
      </c>
      <c r="H348" s="79" t="s">
        <v>153</v>
      </c>
      <c r="I348" s="79" t="s">
        <v>152</v>
      </c>
      <c r="J348" s="79" t="s">
        <v>154</v>
      </c>
      <c r="K348" s="79" t="s">
        <v>155</v>
      </c>
      <c r="L348" s="80" t="s">
        <v>2596</v>
      </c>
      <c r="M348" s="80" t="s">
        <v>303</v>
      </c>
      <c r="N348" s="79" t="s">
        <v>820</v>
      </c>
      <c r="O348" s="80" t="str">
        <f t="shared" si="204"/>
        <v>Aida Vanessa Rocha</v>
      </c>
      <c r="P348" s="79" t="s">
        <v>801</v>
      </c>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t="s">
        <v>169</v>
      </c>
      <c r="AP348" s="79" t="s">
        <v>475</v>
      </c>
      <c r="AQ348" s="80" t="s">
        <v>2597</v>
      </c>
      <c r="AR348" s="83" t="s">
        <v>171</v>
      </c>
      <c r="AS348" s="83" t="s">
        <v>171</v>
      </c>
      <c r="AT348" s="80" t="str">
        <f t="shared" si="205"/>
        <v>Distrital</v>
      </c>
      <c r="AU348" s="79" t="s">
        <v>172</v>
      </c>
      <c r="AV348" s="79"/>
      <c r="AW348" s="79"/>
      <c r="AX348" s="79"/>
      <c r="AY348" s="79"/>
      <c r="AZ348" s="79"/>
      <c r="BA348" s="80" t="str">
        <f t="shared" si="206"/>
        <v>Distrital</v>
      </c>
      <c r="BB348" s="79" t="s">
        <v>172</v>
      </c>
      <c r="BC348" s="79"/>
      <c r="BD348" s="79"/>
      <c r="BE348" s="79"/>
      <c r="BF348" s="79"/>
      <c r="BG348" s="79"/>
      <c r="BH348" s="80" t="str">
        <f t="shared" si="207"/>
        <v>Distrital</v>
      </c>
      <c r="BI348" s="79" t="s">
        <v>172</v>
      </c>
      <c r="BJ348" s="79"/>
      <c r="BK348" s="79"/>
      <c r="BL348" s="79"/>
      <c r="BM348" s="79"/>
      <c r="BN348" s="79"/>
      <c r="BO348" s="79"/>
      <c r="BP348" s="79"/>
      <c r="BQ348" s="79"/>
      <c r="BR348" s="79"/>
      <c r="BS348" s="80" t="s">
        <v>2598</v>
      </c>
      <c r="BT348" s="80" t="s">
        <v>174</v>
      </c>
      <c r="BU348" s="80" t="s">
        <v>2599</v>
      </c>
      <c r="BV348" s="71"/>
      <c r="BW348" s="79" t="s">
        <v>153</v>
      </c>
      <c r="BX348" s="79" t="s">
        <v>2600</v>
      </c>
      <c r="BY348" s="71"/>
      <c r="BZ348" s="79">
        <v>17</v>
      </c>
      <c r="CA348" s="79">
        <v>4</v>
      </c>
      <c r="CB348" s="79">
        <f t="shared" si="178"/>
        <v>21</v>
      </c>
      <c r="CC348" s="79" t="str">
        <f t="shared" si="194"/>
        <v>Ninguna</v>
      </c>
      <c r="CD348" s="79" t="s">
        <v>174</v>
      </c>
      <c r="CE348" s="79"/>
      <c r="CF348" s="79"/>
      <c r="CG348" s="83" t="s">
        <v>2601</v>
      </c>
      <c r="CH348" s="41"/>
      <c r="CI348" s="79" t="s">
        <v>153</v>
      </c>
      <c r="CJ348" s="71"/>
      <c r="CK348" s="79">
        <f t="shared" si="177"/>
        <v>1</v>
      </c>
      <c r="CL348" s="79" t="s">
        <v>2602</v>
      </c>
      <c r="CM348" s="79"/>
      <c r="CN348" s="79"/>
      <c r="CO348" s="79"/>
      <c r="CP348" s="79"/>
      <c r="CQ348" s="79"/>
      <c r="CR348" s="83" t="s">
        <v>390</v>
      </c>
      <c r="CS348" s="83" t="s">
        <v>179</v>
      </c>
      <c r="CT348" s="83" t="s">
        <v>179</v>
      </c>
      <c r="CU348" s="83" t="s">
        <v>179</v>
      </c>
      <c r="CV348" s="83" t="s">
        <v>179</v>
      </c>
      <c r="CW348" s="83" t="s">
        <v>179</v>
      </c>
      <c r="CX348" s="79" t="s">
        <v>153</v>
      </c>
      <c r="CY348" s="79">
        <f t="shared" si="219"/>
        <v>1</v>
      </c>
      <c r="CZ348" s="79">
        <v>1</v>
      </c>
      <c r="DA348" s="79">
        <f t="shared" si="220"/>
        <v>1</v>
      </c>
      <c r="DB348" s="84">
        <f t="shared" si="221"/>
        <v>1</v>
      </c>
      <c r="DC348" s="41"/>
      <c r="DD348" s="79" t="s">
        <v>153</v>
      </c>
      <c r="DE348" s="71"/>
      <c r="DF348" s="85" t="s">
        <v>2603</v>
      </c>
      <c r="DG348" s="79">
        <v>338</v>
      </c>
      <c r="DH348" s="86" t="str">
        <f t="shared" si="217"/>
        <v>Completo</v>
      </c>
      <c r="DI348" s="79" t="s">
        <v>181</v>
      </c>
      <c r="DJ348" s="79" t="s">
        <v>182</v>
      </c>
      <c r="DK348" s="79" t="s">
        <v>153</v>
      </c>
      <c r="DL348" s="79">
        <v>10</v>
      </c>
      <c r="DM348" s="79">
        <v>10</v>
      </c>
      <c r="DN348" s="79" t="s">
        <v>182</v>
      </c>
      <c r="DO348" s="79" t="s">
        <v>179</v>
      </c>
      <c r="DP348" s="79" t="s">
        <v>182</v>
      </c>
      <c r="DQ348" s="79">
        <v>3</v>
      </c>
      <c r="DR348" s="75">
        <f t="shared" si="208"/>
        <v>0.58823529411764708</v>
      </c>
      <c r="DS348" s="79" t="s">
        <v>182</v>
      </c>
      <c r="DT348" s="79">
        <v>2</v>
      </c>
      <c r="DU348" s="75">
        <f t="shared" si="209"/>
        <v>0.33613445378151263</v>
      </c>
      <c r="DV348" s="79" t="s">
        <v>182</v>
      </c>
      <c r="DW348" s="79" t="s">
        <v>182</v>
      </c>
      <c r="DX348" s="79">
        <v>1</v>
      </c>
      <c r="DY348" s="79">
        <v>0</v>
      </c>
      <c r="DZ348" s="79"/>
      <c r="EA348" s="79" t="s">
        <v>179</v>
      </c>
      <c r="EB348" s="79" t="s">
        <v>182</v>
      </c>
      <c r="EC348" s="79" t="s">
        <v>2604</v>
      </c>
      <c r="ED348" s="79" t="s">
        <v>184</v>
      </c>
      <c r="EE348" s="79" t="str">
        <f t="shared" si="222"/>
        <v>Completo</v>
      </c>
      <c r="EF348" s="41"/>
      <c r="EG348" s="79" t="s">
        <v>153</v>
      </c>
      <c r="EH348" s="71"/>
      <c r="EI348" s="202" t="s">
        <v>2605</v>
      </c>
      <c r="EJ348" s="71"/>
      <c r="EK348" s="79" t="s">
        <v>393</v>
      </c>
      <c r="EL348" s="76" t="str">
        <f t="shared" si="210"/>
        <v>No</v>
      </c>
      <c r="EM348" s="76" t="str">
        <f t="shared" si="211"/>
        <v>No</v>
      </c>
      <c r="EN348" s="76" t="str">
        <f t="shared" si="195"/>
        <v>No</v>
      </c>
      <c r="EO348" s="71"/>
      <c r="EP348" s="73">
        <f t="shared" si="212"/>
        <v>1</v>
      </c>
      <c r="EQ348" s="77">
        <f t="shared" si="213"/>
        <v>0.33613445378151263</v>
      </c>
      <c r="ER348" s="71"/>
      <c r="ES348" s="79" t="s">
        <v>393</v>
      </c>
      <c r="ET348" s="73">
        <f t="shared" si="214"/>
        <v>1</v>
      </c>
      <c r="EU348" s="73">
        <f t="shared" si="196"/>
        <v>1</v>
      </c>
      <c r="EV348" s="73">
        <f t="shared" si="215"/>
        <v>1</v>
      </c>
      <c r="EW348" s="73" t="str">
        <f t="shared" si="216"/>
        <v>No aplica</v>
      </c>
      <c r="EX348" s="78"/>
      <c r="EY348" s="78"/>
    </row>
    <row r="349" spans="1:155" ht="46.5" customHeight="1">
      <c r="A349" s="79">
        <v>345</v>
      </c>
      <c r="B349" s="80" t="s">
        <v>2606</v>
      </c>
      <c r="C349" s="81">
        <v>45404</v>
      </c>
      <c r="D349" s="82">
        <v>0.41666666666666669</v>
      </c>
      <c r="E349" s="79" t="s">
        <v>151</v>
      </c>
      <c r="F349" s="79" t="s">
        <v>153</v>
      </c>
      <c r="G349" s="79" t="s">
        <v>153</v>
      </c>
      <c r="H349" s="79" t="s">
        <v>152</v>
      </c>
      <c r="I349" s="79" t="s">
        <v>152</v>
      </c>
      <c r="J349" s="79" t="s">
        <v>1711</v>
      </c>
      <c r="K349" s="79" t="s">
        <v>155</v>
      </c>
      <c r="L349" s="80" t="s">
        <v>2607</v>
      </c>
      <c r="M349" s="80" t="s">
        <v>303</v>
      </c>
      <c r="N349" s="79" t="s">
        <v>163</v>
      </c>
      <c r="O349" s="80" t="str">
        <f t="shared" si="204"/>
        <v>Laura Camila Bechara</v>
      </c>
      <c r="P349" s="79" t="s">
        <v>887</v>
      </c>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t="s">
        <v>230</v>
      </c>
      <c r="AP349" s="79" t="s">
        <v>347</v>
      </c>
      <c r="AQ349" s="80" t="s">
        <v>1713</v>
      </c>
      <c r="AR349" s="83">
        <v>3148396805</v>
      </c>
      <c r="AS349" s="80" t="s">
        <v>2608</v>
      </c>
      <c r="AT349" s="80" t="str">
        <f t="shared" si="205"/>
        <v>Distrital</v>
      </c>
      <c r="AU349" s="79" t="s">
        <v>172</v>
      </c>
      <c r="AV349" s="79"/>
      <c r="AW349" s="79"/>
      <c r="AX349" s="79"/>
      <c r="AY349" s="79"/>
      <c r="AZ349" s="79"/>
      <c r="BA349" s="80" t="str">
        <f t="shared" si="206"/>
        <v>Distrital</v>
      </c>
      <c r="BB349" s="79" t="s">
        <v>172</v>
      </c>
      <c r="BC349" s="79"/>
      <c r="BD349" s="79"/>
      <c r="BE349" s="79"/>
      <c r="BF349" s="79"/>
      <c r="BG349" s="79"/>
      <c r="BH349" s="80" t="str">
        <f t="shared" si="207"/>
        <v>Distrital</v>
      </c>
      <c r="BI349" s="79" t="s">
        <v>172</v>
      </c>
      <c r="BJ349" s="79"/>
      <c r="BK349" s="79"/>
      <c r="BL349" s="79"/>
      <c r="BM349" s="79"/>
      <c r="BN349" s="79"/>
      <c r="BO349" s="79"/>
      <c r="BP349" s="79"/>
      <c r="BQ349" s="79"/>
      <c r="BR349" s="79"/>
      <c r="BS349" s="80" t="s">
        <v>2609</v>
      </c>
      <c r="BT349" s="80" t="s">
        <v>174</v>
      </c>
      <c r="BU349" s="80" t="s">
        <v>2610</v>
      </c>
      <c r="BV349" s="71"/>
      <c r="BW349" s="79" t="s">
        <v>152</v>
      </c>
      <c r="BX349" s="79" t="s">
        <v>179</v>
      </c>
      <c r="BY349" s="71"/>
      <c r="BZ349" s="79">
        <v>6</v>
      </c>
      <c r="CA349" s="79">
        <v>2</v>
      </c>
      <c r="CB349" s="79">
        <f t="shared" si="178"/>
        <v>8</v>
      </c>
      <c r="CC349" s="79" t="str">
        <f t="shared" si="194"/>
        <v>No Aplica</v>
      </c>
      <c r="CD349" s="79" t="s">
        <v>177</v>
      </c>
      <c r="CE349" s="79"/>
      <c r="CF349" s="79"/>
      <c r="CG349" s="83" t="s">
        <v>2611</v>
      </c>
      <c r="CH349" s="41"/>
      <c r="CI349" s="79" t="s">
        <v>153</v>
      </c>
      <c r="CJ349" s="71"/>
      <c r="CK349" s="79">
        <f t="shared" si="177"/>
        <v>0</v>
      </c>
      <c r="CL349" s="79"/>
      <c r="CM349" s="79"/>
      <c r="CN349" s="79"/>
      <c r="CO349" s="79"/>
      <c r="CP349" s="79"/>
      <c r="CQ349" s="79"/>
      <c r="CR349" s="83" t="s">
        <v>179</v>
      </c>
      <c r="CS349" s="83" t="s">
        <v>179</v>
      </c>
      <c r="CT349" s="83" t="s">
        <v>179</v>
      </c>
      <c r="CU349" s="83" t="s">
        <v>179</v>
      </c>
      <c r="CV349" s="83" t="s">
        <v>179</v>
      </c>
      <c r="CW349" s="83" t="s">
        <v>179</v>
      </c>
      <c r="CX349" s="79" t="s">
        <v>153</v>
      </c>
      <c r="CY349" s="79">
        <f t="shared" si="219"/>
        <v>0</v>
      </c>
      <c r="CZ349" s="79">
        <v>0</v>
      </c>
      <c r="DA349" s="79">
        <f t="shared" si="220"/>
        <v>0</v>
      </c>
      <c r="DB349" s="84" t="str">
        <f t="shared" si="221"/>
        <v/>
      </c>
      <c r="DC349" s="41"/>
      <c r="DD349" s="79" t="s">
        <v>153</v>
      </c>
      <c r="DE349" s="71"/>
      <c r="DF349" s="85" t="s">
        <v>2612</v>
      </c>
      <c r="DG349" s="79">
        <v>339</v>
      </c>
      <c r="DH349" s="86" t="str">
        <f t="shared" si="217"/>
        <v>Completo</v>
      </c>
      <c r="DI349" s="79" t="s">
        <v>181</v>
      </c>
      <c r="DJ349" s="79" t="s">
        <v>182</v>
      </c>
      <c r="DK349" s="79"/>
      <c r="DL349" s="79">
        <v>0</v>
      </c>
      <c r="DM349" s="79">
        <v>0</v>
      </c>
      <c r="DN349" s="79" t="s">
        <v>182</v>
      </c>
      <c r="DO349" s="79"/>
      <c r="DP349" s="79"/>
      <c r="DQ349" s="79"/>
      <c r="DR349" s="75" t="str">
        <f t="shared" si="208"/>
        <v>No aplica</v>
      </c>
      <c r="DS349" s="79"/>
      <c r="DT349" s="79"/>
      <c r="DU349" s="75" t="str">
        <f t="shared" si="209"/>
        <v>No aplica</v>
      </c>
      <c r="DV349" s="79" t="s">
        <v>182</v>
      </c>
      <c r="DW349" s="79"/>
      <c r="DX349" s="79"/>
      <c r="DY349" s="79"/>
      <c r="DZ349" s="79"/>
      <c r="EA349" s="79"/>
      <c r="EB349" s="79"/>
      <c r="EC349" s="79"/>
      <c r="ED349" s="79" t="s">
        <v>2613</v>
      </c>
      <c r="EE349" s="79" t="str">
        <f t="shared" si="222"/>
        <v>Completo</v>
      </c>
      <c r="EF349" s="41"/>
      <c r="EG349" s="79" t="s">
        <v>153</v>
      </c>
      <c r="EH349" s="71"/>
      <c r="EI349" s="80"/>
      <c r="EJ349" s="71"/>
      <c r="EK349" s="79"/>
      <c r="EL349" s="76" t="str">
        <f t="shared" si="210"/>
        <v>No requiere</v>
      </c>
      <c r="EM349" s="76" t="str">
        <f t="shared" si="211"/>
        <v>No requiere</v>
      </c>
      <c r="EN349" s="76" t="str">
        <f t="shared" si="195"/>
        <v>No requiere</v>
      </c>
      <c r="EO349" s="71"/>
      <c r="EP349" s="73" t="str">
        <f t="shared" si="212"/>
        <v>No requiere</v>
      </c>
      <c r="EQ349" s="77" t="str">
        <f t="shared" si="213"/>
        <v>No requiere</v>
      </c>
      <c r="ER349" s="71"/>
      <c r="ES349" s="79"/>
      <c r="ET349" s="73" t="str">
        <f t="shared" si="214"/>
        <v>No requiere</v>
      </c>
      <c r="EU349" s="73" t="str">
        <f t="shared" si="196"/>
        <v>No requiere</v>
      </c>
      <c r="EV349" s="73" t="str">
        <f t="shared" si="215"/>
        <v>No requiere</v>
      </c>
      <c r="EW349" s="73" t="str">
        <f t="shared" si="216"/>
        <v>No requiere</v>
      </c>
      <c r="EX349" s="78"/>
      <c r="EY349" s="78"/>
    </row>
    <row r="350" spans="1:155" ht="46.5" customHeight="1">
      <c r="A350" s="79" t="str">
        <v/>
      </c>
      <c r="B350" s="80" t="s">
        <v>2614</v>
      </c>
      <c r="C350" s="81">
        <v>45404</v>
      </c>
      <c r="D350" s="82">
        <v>0.41666666666666669</v>
      </c>
      <c r="E350" s="79" t="s">
        <v>151</v>
      </c>
      <c r="F350" s="79" t="s">
        <v>152</v>
      </c>
      <c r="G350" s="79" t="s">
        <v>152</v>
      </c>
      <c r="H350" s="79" t="s">
        <v>152</v>
      </c>
      <c r="I350" s="79" t="s">
        <v>152</v>
      </c>
      <c r="J350" s="79" t="s">
        <v>2615</v>
      </c>
      <c r="K350" s="79" t="s">
        <v>155</v>
      </c>
      <c r="L350" s="80" t="s">
        <v>2616</v>
      </c>
      <c r="M350" s="80" t="s">
        <v>157</v>
      </c>
      <c r="N350" s="79" t="s">
        <v>632</v>
      </c>
      <c r="O350" s="80" t="str">
        <f t="shared" si="204"/>
        <v/>
      </c>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t="s">
        <v>169</v>
      </c>
      <c r="AP350" s="79" t="s">
        <v>170</v>
      </c>
      <c r="AQ350" s="80" t="s">
        <v>171</v>
      </c>
      <c r="AR350" s="83" t="s">
        <v>171</v>
      </c>
      <c r="AS350" s="83" t="s">
        <v>171</v>
      </c>
      <c r="AT350" s="80" t="str">
        <f t="shared" si="205"/>
        <v>Distrital</v>
      </c>
      <c r="AU350" s="79" t="s">
        <v>172</v>
      </c>
      <c r="AV350" s="79"/>
      <c r="AW350" s="79"/>
      <c r="AX350" s="79"/>
      <c r="AY350" s="79"/>
      <c r="AZ350" s="79"/>
      <c r="BA350" s="80" t="str">
        <f t="shared" si="206"/>
        <v>Distrital</v>
      </c>
      <c r="BB350" s="79" t="s">
        <v>172</v>
      </c>
      <c r="BC350" s="79"/>
      <c r="BD350" s="79"/>
      <c r="BE350" s="79"/>
      <c r="BF350" s="79"/>
      <c r="BG350" s="79"/>
      <c r="BH350" s="80" t="str">
        <f t="shared" si="207"/>
        <v>Distrital</v>
      </c>
      <c r="BI350" s="79" t="s">
        <v>172</v>
      </c>
      <c r="BJ350" s="79"/>
      <c r="BK350" s="79"/>
      <c r="BL350" s="79"/>
      <c r="BM350" s="79"/>
      <c r="BN350" s="79"/>
      <c r="BO350" s="79"/>
      <c r="BP350" s="79"/>
      <c r="BQ350" s="79"/>
      <c r="BR350" s="79"/>
      <c r="BS350" s="80" t="s">
        <v>288</v>
      </c>
      <c r="BT350" s="80" t="s">
        <v>2617</v>
      </c>
      <c r="BU350" s="80" t="s">
        <v>2618</v>
      </c>
      <c r="BV350" s="71"/>
      <c r="BW350" s="79" t="s">
        <v>152</v>
      </c>
      <c r="BX350" s="79" t="s">
        <v>179</v>
      </c>
      <c r="BY350" s="71"/>
      <c r="BZ350" s="79">
        <v>0</v>
      </c>
      <c r="CA350" s="79">
        <v>11</v>
      </c>
      <c r="CB350" s="79">
        <f t="shared" si="178"/>
        <v>11</v>
      </c>
      <c r="CC350" s="79" t="str">
        <f t="shared" si="194"/>
        <v>No Aplica</v>
      </c>
      <c r="CD350" s="79" t="s">
        <v>177</v>
      </c>
      <c r="CE350" s="79"/>
      <c r="CF350" s="79"/>
      <c r="CG350" s="83" t="s">
        <v>2619</v>
      </c>
      <c r="CH350" s="41"/>
      <c r="CI350" s="79" t="s">
        <v>153</v>
      </c>
      <c r="CJ350" s="71"/>
      <c r="CK350" s="79">
        <f t="shared" si="177"/>
        <v>0</v>
      </c>
      <c r="CL350" s="79"/>
      <c r="CM350" s="79"/>
      <c r="CN350" s="79"/>
      <c r="CO350" s="79"/>
      <c r="CP350" s="79"/>
      <c r="CQ350" s="79"/>
      <c r="CR350" s="83" t="s">
        <v>179</v>
      </c>
      <c r="CS350" s="83" t="s">
        <v>179</v>
      </c>
      <c r="CT350" s="83" t="s">
        <v>179</v>
      </c>
      <c r="CU350" s="83" t="s">
        <v>179</v>
      </c>
      <c r="CV350" s="83" t="s">
        <v>179</v>
      </c>
      <c r="CW350" s="83" t="s">
        <v>179</v>
      </c>
      <c r="CX350" s="79" t="s">
        <v>153</v>
      </c>
      <c r="CY350" s="79">
        <f t="shared" si="219"/>
        <v>0</v>
      </c>
      <c r="CZ350" s="79">
        <v>0</v>
      </c>
      <c r="DA350" s="79">
        <f t="shared" si="220"/>
        <v>0</v>
      </c>
      <c r="DB350" s="84" t="str">
        <f t="shared" si="221"/>
        <v/>
      </c>
      <c r="DC350" s="41"/>
      <c r="DD350" s="79" t="s">
        <v>153</v>
      </c>
      <c r="DE350" s="71"/>
      <c r="DF350" s="85" t="s">
        <v>2620</v>
      </c>
      <c r="DG350" s="79">
        <v>340</v>
      </c>
      <c r="DH350" s="86" t="str">
        <f t="shared" si="217"/>
        <v>Completo</v>
      </c>
      <c r="DI350" s="79" t="s">
        <v>181</v>
      </c>
      <c r="DJ350" s="79" t="s">
        <v>182</v>
      </c>
      <c r="DK350" s="79"/>
      <c r="DL350" s="79">
        <v>0</v>
      </c>
      <c r="DM350" s="79">
        <v>0</v>
      </c>
      <c r="DN350" s="79" t="s">
        <v>182</v>
      </c>
      <c r="DO350" s="79"/>
      <c r="DP350" s="79"/>
      <c r="DQ350" s="79"/>
      <c r="DR350" s="75" t="str">
        <f t="shared" si="208"/>
        <v>No aplica</v>
      </c>
      <c r="DS350" s="79"/>
      <c r="DT350" s="79"/>
      <c r="DU350" s="75" t="str">
        <f t="shared" si="209"/>
        <v>No aplica</v>
      </c>
      <c r="DV350" s="79" t="s">
        <v>182</v>
      </c>
      <c r="DW350" s="79"/>
      <c r="DX350" s="79"/>
      <c r="DY350" s="79"/>
      <c r="DZ350" s="79"/>
      <c r="EA350" s="79"/>
      <c r="EB350" s="79"/>
      <c r="EC350" s="79"/>
      <c r="ED350" s="79" t="s">
        <v>2613</v>
      </c>
      <c r="EE350" s="79" t="str">
        <f t="shared" si="222"/>
        <v>Completo</v>
      </c>
      <c r="EF350" s="41"/>
      <c r="EG350" s="79" t="s">
        <v>153</v>
      </c>
      <c r="EH350" s="71"/>
      <c r="EI350" s="80"/>
      <c r="EJ350" s="71"/>
      <c r="EK350" s="79"/>
      <c r="EL350" s="76" t="str">
        <f t="shared" si="210"/>
        <v>No requiere</v>
      </c>
      <c r="EM350" s="76" t="str">
        <f t="shared" si="211"/>
        <v>No requiere</v>
      </c>
      <c r="EN350" s="76" t="str">
        <f t="shared" si="195"/>
        <v>No requiere</v>
      </c>
      <c r="EO350" s="71"/>
      <c r="EP350" s="73" t="str">
        <f t="shared" si="212"/>
        <v>No requiere</v>
      </c>
      <c r="EQ350" s="77" t="str">
        <f t="shared" si="213"/>
        <v>No requiere</v>
      </c>
      <c r="ER350" s="71"/>
      <c r="ES350" s="79"/>
      <c r="ET350" s="73" t="str">
        <f t="shared" si="214"/>
        <v>No requiere</v>
      </c>
      <c r="EU350" s="73" t="str">
        <f t="shared" si="196"/>
        <v>No requiere</v>
      </c>
      <c r="EV350" s="73" t="str">
        <f t="shared" si="215"/>
        <v>No requiere</v>
      </c>
      <c r="EW350" s="73" t="str">
        <f t="shared" si="216"/>
        <v>No requiere</v>
      </c>
      <c r="EX350" s="78"/>
      <c r="EY350" s="78"/>
    </row>
    <row r="351" spans="1:155" ht="46.5" customHeight="1">
      <c r="A351" s="79">
        <v>347</v>
      </c>
      <c r="B351" s="80" t="s">
        <v>2621</v>
      </c>
      <c r="C351" s="81">
        <v>45404</v>
      </c>
      <c r="D351" s="82">
        <v>0.60416666666666663</v>
      </c>
      <c r="E351" s="79" t="s">
        <v>200</v>
      </c>
      <c r="F351" s="79" t="s">
        <v>153</v>
      </c>
      <c r="G351" s="79" t="s">
        <v>152</v>
      </c>
      <c r="H351" s="79" t="s">
        <v>152</v>
      </c>
      <c r="I351" s="79" t="s">
        <v>152</v>
      </c>
      <c r="J351" s="79" t="s">
        <v>201</v>
      </c>
      <c r="K351" s="79" t="s">
        <v>202</v>
      </c>
      <c r="L351" s="80" t="s">
        <v>2622</v>
      </c>
      <c r="M351" s="80" t="s">
        <v>157</v>
      </c>
      <c r="N351" s="79" t="s">
        <v>168</v>
      </c>
      <c r="O351" s="80" t="str">
        <f t="shared" si="204"/>
        <v/>
      </c>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t="s">
        <v>304</v>
      </c>
      <c r="AP351" s="79"/>
      <c r="AQ351" s="80" t="s">
        <v>205</v>
      </c>
      <c r="AR351" s="83" t="s">
        <v>171</v>
      </c>
      <c r="AS351" s="80" t="s">
        <v>206</v>
      </c>
      <c r="AT351" s="80" t="str">
        <f t="shared" si="205"/>
        <v>Distrital</v>
      </c>
      <c r="AU351" s="79" t="s">
        <v>172</v>
      </c>
      <c r="AV351" s="79"/>
      <c r="AW351" s="79"/>
      <c r="AX351" s="79"/>
      <c r="AY351" s="79"/>
      <c r="AZ351" s="79"/>
      <c r="BA351" s="80" t="str">
        <f t="shared" si="206"/>
        <v>Distrital</v>
      </c>
      <c r="BB351" s="79" t="s">
        <v>172</v>
      </c>
      <c r="BC351" s="79"/>
      <c r="BD351" s="79"/>
      <c r="BE351" s="79"/>
      <c r="BF351" s="79"/>
      <c r="BG351" s="79"/>
      <c r="BH351" s="80" t="str">
        <f t="shared" si="207"/>
        <v>Distrital</v>
      </c>
      <c r="BI351" s="79" t="s">
        <v>172</v>
      </c>
      <c r="BJ351" s="79"/>
      <c r="BK351" s="79"/>
      <c r="BL351" s="79"/>
      <c r="BM351" s="79"/>
      <c r="BN351" s="79"/>
      <c r="BO351" s="79"/>
      <c r="BP351" s="79"/>
      <c r="BQ351" s="79"/>
      <c r="BR351" s="79"/>
      <c r="BS351" s="80" t="s">
        <v>288</v>
      </c>
      <c r="BT351" s="80" t="s">
        <v>174</v>
      </c>
      <c r="BU351" s="80" t="s">
        <v>978</v>
      </c>
      <c r="BV351" s="71"/>
      <c r="BW351" s="79" t="s">
        <v>152</v>
      </c>
      <c r="BX351" s="79" t="s">
        <v>179</v>
      </c>
      <c r="BY351" s="71"/>
      <c r="BZ351" s="79">
        <v>4</v>
      </c>
      <c r="CA351" s="79">
        <v>1</v>
      </c>
      <c r="CB351" s="79">
        <v>5</v>
      </c>
      <c r="CC351" s="79" t="str">
        <f t="shared" si="194"/>
        <v>No Aplica</v>
      </c>
      <c r="CD351" s="79" t="s">
        <v>177</v>
      </c>
      <c r="CE351" s="79"/>
      <c r="CF351" s="79"/>
      <c r="CG351" s="83" t="s">
        <v>2623</v>
      </c>
      <c r="CH351" s="41"/>
      <c r="CI351" s="79" t="s">
        <v>153</v>
      </c>
      <c r="CJ351" s="71"/>
      <c r="CK351" s="79">
        <f t="shared" si="177"/>
        <v>0</v>
      </c>
      <c r="CL351" s="79"/>
      <c r="CM351" s="79"/>
      <c r="CN351" s="79"/>
      <c r="CO351" s="79"/>
      <c r="CP351" s="79"/>
      <c r="CQ351" s="79"/>
      <c r="CR351" s="83" t="s">
        <v>179</v>
      </c>
      <c r="CS351" s="83" t="s">
        <v>179</v>
      </c>
      <c r="CT351" s="83" t="s">
        <v>179</v>
      </c>
      <c r="CU351" s="83" t="s">
        <v>179</v>
      </c>
      <c r="CV351" s="83" t="s">
        <v>179</v>
      </c>
      <c r="CW351" s="83" t="s">
        <v>179</v>
      </c>
      <c r="CX351" s="79" t="s">
        <v>153</v>
      </c>
      <c r="CY351" s="79">
        <f t="shared" si="219"/>
        <v>0</v>
      </c>
      <c r="CZ351" s="79">
        <v>0</v>
      </c>
      <c r="DA351" s="79">
        <f t="shared" si="220"/>
        <v>0</v>
      </c>
      <c r="DB351" s="84" t="str">
        <f t="shared" si="221"/>
        <v/>
      </c>
      <c r="DC351" s="41"/>
      <c r="DD351" s="79" t="s">
        <v>153</v>
      </c>
      <c r="DE351" s="71"/>
      <c r="DF351" s="85" t="s">
        <v>2624</v>
      </c>
      <c r="DG351" s="79">
        <v>341</v>
      </c>
      <c r="DH351" s="86" t="str">
        <f t="shared" si="217"/>
        <v>Completo</v>
      </c>
      <c r="DI351" s="79" t="s">
        <v>181</v>
      </c>
      <c r="DJ351" s="79" t="s">
        <v>182</v>
      </c>
      <c r="DK351" s="79"/>
      <c r="DL351" s="79">
        <v>0</v>
      </c>
      <c r="DM351" s="79">
        <v>0</v>
      </c>
      <c r="DN351" s="79"/>
      <c r="DO351" s="79"/>
      <c r="DP351" s="79"/>
      <c r="DQ351" s="79"/>
      <c r="DR351" s="75" t="str">
        <f t="shared" si="208"/>
        <v>No aplica</v>
      </c>
      <c r="DS351" s="79"/>
      <c r="DT351" s="79"/>
      <c r="DU351" s="75" t="str">
        <f t="shared" si="209"/>
        <v>No aplica</v>
      </c>
      <c r="DV351" s="79" t="s">
        <v>182</v>
      </c>
      <c r="DW351" s="79" t="s">
        <v>182</v>
      </c>
      <c r="DX351" s="79"/>
      <c r="DY351" s="79"/>
      <c r="DZ351" s="79"/>
      <c r="EA351" s="79"/>
      <c r="EB351" s="79"/>
      <c r="EC351" s="79"/>
      <c r="ED351" s="79" t="s">
        <v>1743</v>
      </c>
      <c r="EE351" s="79" t="str">
        <f t="shared" si="222"/>
        <v>Completo</v>
      </c>
      <c r="EF351" s="41"/>
      <c r="EG351" s="79" t="s">
        <v>153</v>
      </c>
      <c r="EH351" s="71"/>
      <c r="EI351" s="80"/>
      <c r="EJ351" s="71"/>
      <c r="EK351" s="79"/>
      <c r="EL351" s="76" t="str">
        <f t="shared" si="210"/>
        <v>No requiere</v>
      </c>
      <c r="EM351" s="76" t="str">
        <f t="shared" si="211"/>
        <v>No requiere</v>
      </c>
      <c r="EN351" s="76" t="str">
        <f t="shared" si="195"/>
        <v>No requiere</v>
      </c>
      <c r="EO351" s="71"/>
      <c r="EP351" s="73" t="str">
        <f t="shared" si="212"/>
        <v>No requiere</v>
      </c>
      <c r="EQ351" s="77" t="str">
        <f t="shared" si="213"/>
        <v>No requiere</v>
      </c>
      <c r="ER351" s="71"/>
      <c r="ES351" s="79"/>
      <c r="ET351" s="73" t="str">
        <f t="shared" si="214"/>
        <v>No requiere</v>
      </c>
      <c r="EU351" s="73" t="str">
        <f t="shared" si="196"/>
        <v>No requiere</v>
      </c>
      <c r="EV351" s="73" t="str">
        <f t="shared" si="215"/>
        <v>No requiere</v>
      </c>
      <c r="EW351" s="73" t="str">
        <f t="shared" si="216"/>
        <v>No requiere</v>
      </c>
      <c r="EX351" s="78"/>
      <c r="EY351" s="78"/>
    </row>
    <row r="352" spans="1:155" ht="46.5" customHeight="1">
      <c r="A352" s="79">
        <v>348</v>
      </c>
      <c r="B352" s="80" t="s">
        <v>2625</v>
      </c>
      <c r="C352" s="81">
        <v>45404</v>
      </c>
      <c r="D352" s="82">
        <v>0.60416666666666663</v>
      </c>
      <c r="E352" s="79" t="s">
        <v>151</v>
      </c>
      <c r="F352" s="79" t="s">
        <v>153</v>
      </c>
      <c r="G352" s="79" t="s">
        <v>152</v>
      </c>
      <c r="H352" s="79" t="s">
        <v>152</v>
      </c>
      <c r="I352" s="79" t="s">
        <v>152</v>
      </c>
      <c r="J352" s="79" t="s">
        <v>455</v>
      </c>
      <c r="K352" s="79" t="s">
        <v>202</v>
      </c>
      <c r="L352" s="80" t="s">
        <v>2626</v>
      </c>
      <c r="M352" s="80" t="s">
        <v>157</v>
      </c>
      <c r="N352" s="79" t="s">
        <v>158</v>
      </c>
      <c r="O352" s="80" t="str">
        <f t="shared" si="204"/>
        <v>Maria Angélica Higuera</v>
      </c>
      <c r="P352" s="79" t="s">
        <v>328</v>
      </c>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t="s">
        <v>304</v>
      </c>
      <c r="AP352" s="79"/>
      <c r="AQ352" s="80" t="s">
        <v>457</v>
      </c>
      <c r="AR352" s="83" t="s">
        <v>458</v>
      </c>
      <c r="AS352" s="80" t="s">
        <v>2627</v>
      </c>
      <c r="AT352" s="80" t="str">
        <f t="shared" si="205"/>
        <v>Distrital</v>
      </c>
      <c r="AU352" s="79" t="s">
        <v>172</v>
      </c>
      <c r="AV352" s="79"/>
      <c r="AW352" s="79"/>
      <c r="AX352" s="79"/>
      <c r="AY352" s="79"/>
      <c r="AZ352" s="79"/>
      <c r="BA352" s="80" t="str">
        <f t="shared" si="206"/>
        <v>Distrital</v>
      </c>
      <c r="BB352" s="79" t="s">
        <v>172</v>
      </c>
      <c r="BC352" s="79"/>
      <c r="BD352" s="79"/>
      <c r="BE352" s="79"/>
      <c r="BF352" s="79"/>
      <c r="BG352" s="79"/>
      <c r="BH352" s="80" t="str">
        <f t="shared" si="207"/>
        <v>Distrital</v>
      </c>
      <c r="BI352" s="79" t="s">
        <v>172</v>
      </c>
      <c r="BJ352" s="79"/>
      <c r="BK352" s="79"/>
      <c r="BL352" s="79"/>
      <c r="BM352" s="79"/>
      <c r="BN352" s="79"/>
      <c r="BO352" s="79"/>
      <c r="BP352" s="79"/>
      <c r="BQ352" s="79"/>
      <c r="BR352" s="79"/>
      <c r="BS352" s="80" t="s">
        <v>288</v>
      </c>
      <c r="BT352" s="80" t="s">
        <v>460</v>
      </c>
      <c r="BU352" s="80" t="s">
        <v>978</v>
      </c>
      <c r="BV352" s="71"/>
      <c r="BW352" s="79" t="s">
        <v>153</v>
      </c>
      <c r="BX352" s="79" t="s">
        <v>176</v>
      </c>
      <c r="BY352" s="71"/>
      <c r="BZ352" s="79">
        <v>219</v>
      </c>
      <c r="CA352" s="79">
        <v>9</v>
      </c>
      <c r="CB352" s="79">
        <f t="shared" ref="CB352:CB440" si="223">BZ352+CA352</f>
        <v>228</v>
      </c>
      <c r="CC352" s="79" t="str">
        <f t="shared" si="194"/>
        <v>Horarios Acordes</v>
      </c>
      <c r="CD352" s="79" t="s">
        <v>351</v>
      </c>
      <c r="CE352" s="79"/>
      <c r="CF352" s="79"/>
      <c r="CG352" s="83" t="s">
        <v>2628</v>
      </c>
      <c r="CH352" s="41"/>
      <c r="CI352" s="79" t="s">
        <v>153</v>
      </c>
      <c r="CJ352" s="71"/>
      <c r="CK352" s="79">
        <f t="shared" si="177"/>
        <v>0</v>
      </c>
      <c r="CL352" s="79"/>
      <c r="CM352" s="79"/>
      <c r="CN352" s="79"/>
      <c r="CO352" s="79"/>
      <c r="CP352" s="79"/>
      <c r="CQ352" s="79"/>
      <c r="CR352" s="83"/>
      <c r="CS352" s="83"/>
      <c r="CT352" s="83"/>
      <c r="CU352" s="83"/>
      <c r="CV352" s="83"/>
      <c r="CW352" s="83"/>
      <c r="CX352" s="79"/>
      <c r="CY352" s="79">
        <f t="shared" si="219"/>
        <v>0</v>
      </c>
      <c r="CZ352" s="79">
        <v>0</v>
      </c>
      <c r="DA352" s="79">
        <f t="shared" si="220"/>
        <v>0</v>
      </c>
      <c r="DB352" s="84" t="str">
        <f t="shared" si="221"/>
        <v/>
      </c>
      <c r="DC352" s="41"/>
      <c r="DD352" s="79" t="s">
        <v>153</v>
      </c>
      <c r="DE352" s="71"/>
      <c r="DF352" s="85" t="s">
        <v>2629</v>
      </c>
      <c r="DG352" s="79">
        <v>342</v>
      </c>
      <c r="DH352" s="86" t="str">
        <f t="shared" si="217"/>
        <v>Completo</v>
      </c>
      <c r="DI352" s="79" t="s">
        <v>181</v>
      </c>
      <c r="DJ352" s="79" t="s">
        <v>182</v>
      </c>
      <c r="DK352" s="79"/>
      <c r="DL352" s="79">
        <v>0</v>
      </c>
      <c r="DM352" s="79">
        <v>0</v>
      </c>
      <c r="DN352" s="79" t="s">
        <v>182</v>
      </c>
      <c r="DO352" s="79"/>
      <c r="DP352" s="79"/>
      <c r="DQ352" s="79"/>
      <c r="DR352" s="75" t="str">
        <f t="shared" si="208"/>
        <v>No aplica</v>
      </c>
      <c r="DS352" s="79"/>
      <c r="DT352" s="79"/>
      <c r="DU352" s="75" t="str">
        <f t="shared" si="209"/>
        <v>No aplica</v>
      </c>
      <c r="DV352" s="79" t="s">
        <v>182</v>
      </c>
      <c r="DW352" s="79" t="s">
        <v>182</v>
      </c>
      <c r="DX352" s="79"/>
      <c r="DY352" s="79"/>
      <c r="DZ352" s="79"/>
      <c r="EA352" s="79"/>
      <c r="EB352" s="79" t="s">
        <v>182</v>
      </c>
      <c r="EC352" s="79" t="s">
        <v>2630</v>
      </c>
      <c r="ED352" s="79" t="s">
        <v>184</v>
      </c>
      <c r="EE352" s="79" t="str">
        <f t="shared" si="222"/>
        <v>Completo</v>
      </c>
      <c r="EF352" s="41"/>
      <c r="EG352" s="79" t="s">
        <v>153</v>
      </c>
      <c r="EH352" s="71"/>
      <c r="EI352" s="80"/>
      <c r="EJ352" s="71"/>
      <c r="EK352" s="79"/>
      <c r="EL352" s="76" t="str">
        <f t="shared" si="210"/>
        <v>No requiere</v>
      </c>
      <c r="EM352" s="76" t="str">
        <f t="shared" si="211"/>
        <v>No requiere</v>
      </c>
      <c r="EN352" s="76" t="str">
        <f t="shared" si="195"/>
        <v>No requiere</v>
      </c>
      <c r="EO352" s="71"/>
      <c r="EP352" s="73" t="str">
        <f t="shared" si="212"/>
        <v>No requiere</v>
      </c>
      <c r="EQ352" s="77" t="str">
        <f t="shared" si="213"/>
        <v>No requiere</v>
      </c>
      <c r="ER352" s="71"/>
      <c r="ES352" s="79"/>
      <c r="ET352" s="73" t="str">
        <f t="shared" si="214"/>
        <v>No requiere</v>
      </c>
      <c r="EU352" s="73" t="str">
        <f t="shared" si="196"/>
        <v>No requiere</v>
      </c>
      <c r="EV352" s="73" t="str">
        <f t="shared" si="215"/>
        <v>No requiere</v>
      </c>
      <c r="EW352" s="73" t="str">
        <f t="shared" si="216"/>
        <v>No requiere</v>
      </c>
      <c r="EX352" s="78"/>
      <c r="EY352" s="78"/>
    </row>
    <row r="353" spans="1:155" ht="46.5" customHeight="1">
      <c r="A353" s="79">
        <v>349</v>
      </c>
      <c r="B353" s="80" t="s">
        <v>2631</v>
      </c>
      <c r="C353" s="81">
        <v>45404</v>
      </c>
      <c r="D353" s="82">
        <v>0.70833333333333337</v>
      </c>
      <c r="E353" s="79" t="s">
        <v>543</v>
      </c>
      <c r="F353" s="79" t="s">
        <v>153</v>
      </c>
      <c r="G353" s="79" t="s">
        <v>152</v>
      </c>
      <c r="H353" s="79" t="s">
        <v>152</v>
      </c>
      <c r="I353" s="79" t="s">
        <v>152</v>
      </c>
      <c r="J353" s="79" t="s">
        <v>211</v>
      </c>
      <c r="K353" s="79" t="s">
        <v>155</v>
      </c>
      <c r="L353" s="80" t="s">
        <v>2632</v>
      </c>
      <c r="M353" s="80" t="s">
        <v>303</v>
      </c>
      <c r="N353" s="79" t="s">
        <v>213</v>
      </c>
      <c r="O353" s="80" t="str">
        <f t="shared" si="204"/>
        <v>Julián Camilo Taylor, Ana María Ulloa, Mateo López Narváez, Diego Nicolás Gutiérrez, José Ignacio Albarracín, Diana Carolina Aristizábal, Humberto Díaz Acosta, Michael Cruz Roa, Mónica Lyzeth Cantor, Camilo Andrés Vásquez, Diego Alejandro Camacho</v>
      </c>
      <c r="P353" s="79" t="s">
        <v>886</v>
      </c>
      <c r="Q353" s="79" t="s">
        <v>522</v>
      </c>
      <c r="R353" s="79" t="s">
        <v>523</v>
      </c>
      <c r="S353" s="79" t="s">
        <v>888</v>
      </c>
      <c r="T353" s="79" t="s">
        <v>524</v>
      </c>
      <c r="U353" s="79" t="s">
        <v>165</v>
      </c>
      <c r="V353" s="79" t="s">
        <v>253</v>
      </c>
      <c r="W353" s="79" t="s">
        <v>265</v>
      </c>
      <c r="X353" s="79" t="s">
        <v>346</v>
      </c>
      <c r="Y353" s="79" t="s">
        <v>373</v>
      </c>
      <c r="Z353" s="79" t="s">
        <v>422</v>
      </c>
      <c r="AA353" s="79"/>
      <c r="AB353" s="79"/>
      <c r="AC353" s="79"/>
      <c r="AD353" s="79"/>
      <c r="AE353" s="79"/>
      <c r="AF353" s="79"/>
      <c r="AG353" s="79"/>
      <c r="AH353" s="79"/>
      <c r="AI353" s="79"/>
      <c r="AJ353" s="79"/>
      <c r="AK353" s="79"/>
      <c r="AL353" s="79"/>
      <c r="AM353" s="79"/>
      <c r="AN353" s="79"/>
      <c r="AO353" s="79" t="s">
        <v>304</v>
      </c>
      <c r="AP353" s="79"/>
      <c r="AQ353" s="80" t="s">
        <v>1945</v>
      </c>
      <c r="AR353" s="83">
        <v>3108148740</v>
      </c>
      <c r="AS353" s="80" t="s">
        <v>682</v>
      </c>
      <c r="AT353" s="80" t="str">
        <f t="shared" si="205"/>
        <v>Distrital</v>
      </c>
      <c r="AU353" s="79" t="s">
        <v>172</v>
      </c>
      <c r="AV353" s="79"/>
      <c r="AW353" s="79"/>
      <c r="AX353" s="79"/>
      <c r="AY353" s="79"/>
      <c r="AZ353" s="79"/>
      <c r="BA353" s="80" t="str">
        <f t="shared" si="206"/>
        <v>Distrital</v>
      </c>
      <c r="BB353" s="79" t="s">
        <v>172</v>
      </c>
      <c r="BC353" s="79"/>
      <c r="BD353" s="79"/>
      <c r="BE353" s="79"/>
      <c r="BF353" s="79"/>
      <c r="BG353" s="79"/>
      <c r="BH353" s="80" t="str">
        <f t="shared" si="207"/>
        <v>Distrital</v>
      </c>
      <c r="BI353" s="79" t="s">
        <v>172</v>
      </c>
      <c r="BJ353" s="79"/>
      <c r="BK353" s="79"/>
      <c r="BL353" s="79"/>
      <c r="BM353" s="79"/>
      <c r="BN353" s="79"/>
      <c r="BO353" s="79"/>
      <c r="BP353" s="79"/>
      <c r="BQ353" s="79"/>
      <c r="BR353" s="79"/>
      <c r="BS353" s="80" t="s">
        <v>288</v>
      </c>
      <c r="BT353" s="80" t="s">
        <v>2633</v>
      </c>
      <c r="BU353" s="80" t="s">
        <v>2634</v>
      </c>
      <c r="BV353" s="71"/>
      <c r="BW353" s="79" t="s">
        <v>153</v>
      </c>
      <c r="BX353" s="79" t="s">
        <v>607</v>
      </c>
      <c r="BY353" s="71"/>
      <c r="BZ353" s="79">
        <v>31</v>
      </c>
      <c r="CA353" s="79">
        <v>29</v>
      </c>
      <c r="CB353" s="79">
        <f t="shared" si="223"/>
        <v>60</v>
      </c>
      <c r="CC353" s="79" t="str">
        <f t="shared" si="194"/>
        <v>No Aplica</v>
      </c>
      <c r="CD353" s="79" t="s">
        <v>177</v>
      </c>
      <c r="CE353" s="79"/>
      <c r="CF353" s="79"/>
      <c r="CG353" s="83" t="s">
        <v>2635</v>
      </c>
      <c r="CH353" s="41"/>
      <c r="CI353" s="79" t="s">
        <v>153</v>
      </c>
      <c r="CJ353" s="71"/>
      <c r="CK353" s="79">
        <f t="shared" si="177"/>
        <v>0</v>
      </c>
      <c r="CL353" s="79"/>
      <c r="CM353" s="79"/>
      <c r="CN353" s="79"/>
      <c r="CO353" s="79"/>
      <c r="CP353" s="79"/>
      <c r="CQ353" s="79"/>
      <c r="CR353" s="83" t="s">
        <v>179</v>
      </c>
      <c r="CS353" s="83" t="s">
        <v>179</v>
      </c>
      <c r="CT353" s="83" t="s">
        <v>179</v>
      </c>
      <c r="CU353" s="83" t="s">
        <v>179</v>
      </c>
      <c r="CV353" s="83" t="s">
        <v>179</v>
      </c>
      <c r="CW353" s="83" t="s">
        <v>179</v>
      </c>
      <c r="CX353" s="79" t="s">
        <v>153</v>
      </c>
      <c r="CY353" s="79">
        <f t="shared" si="219"/>
        <v>0</v>
      </c>
      <c r="CZ353" s="79">
        <v>0</v>
      </c>
      <c r="DA353" s="79">
        <f t="shared" si="220"/>
        <v>0</v>
      </c>
      <c r="DB353" s="84" t="str">
        <f t="shared" si="221"/>
        <v/>
      </c>
      <c r="DC353" s="41"/>
      <c r="DD353" s="79" t="s">
        <v>153</v>
      </c>
      <c r="DE353" s="71"/>
      <c r="DF353" s="85" t="s">
        <v>2636</v>
      </c>
      <c r="DG353" s="79">
        <v>343</v>
      </c>
      <c r="DH353" s="86">
        <f t="shared" si="217"/>
        <v>45407</v>
      </c>
      <c r="DI353" s="79" t="s">
        <v>181</v>
      </c>
      <c r="DJ353" s="79" t="s">
        <v>182</v>
      </c>
      <c r="DK353" s="79"/>
      <c r="DL353" s="79">
        <v>0</v>
      </c>
      <c r="DM353" s="79">
        <v>0</v>
      </c>
      <c r="DN353" s="79" t="s">
        <v>182</v>
      </c>
      <c r="DO353" s="79"/>
      <c r="DP353" s="79"/>
      <c r="DQ353" s="79"/>
      <c r="DR353" s="75" t="str">
        <f t="shared" si="208"/>
        <v>No aplica</v>
      </c>
      <c r="DS353" s="79"/>
      <c r="DT353" s="79"/>
      <c r="DU353" s="75" t="str">
        <f t="shared" si="209"/>
        <v>No aplica</v>
      </c>
      <c r="DV353" s="79" t="s">
        <v>182</v>
      </c>
      <c r="DW353" s="79" t="s">
        <v>182</v>
      </c>
      <c r="DX353" s="79"/>
      <c r="DY353" s="79"/>
      <c r="DZ353" s="79"/>
      <c r="EA353" s="79"/>
      <c r="EB353" s="79" t="s">
        <v>182</v>
      </c>
      <c r="EC353" s="79" t="s">
        <v>2637</v>
      </c>
      <c r="ED353" s="79" t="s">
        <v>184</v>
      </c>
      <c r="EE353" s="79" t="s">
        <v>621</v>
      </c>
      <c r="EF353" s="41"/>
      <c r="EG353" s="79" t="s">
        <v>153</v>
      </c>
      <c r="EH353" s="71"/>
      <c r="EI353" s="80"/>
      <c r="EJ353" s="71"/>
      <c r="EK353" s="79" t="s">
        <v>179</v>
      </c>
      <c r="EL353" s="76" t="str">
        <f t="shared" si="210"/>
        <v>No requiere</v>
      </c>
      <c r="EM353" s="76" t="str">
        <f t="shared" si="211"/>
        <v>No requiere</v>
      </c>
      <c r="EN353" s="76" t="str">
        <f t="shared" si="195"/>
        <v>No requiere</v>
      </c>
      <c r="EO353" s="71"/>
      <c r="EP353" s="73" t="str">
        <f t="shared" si="212"/>
        <v>No requiere</v>
      </c>
      <c r="EQ353" s="77" t="str">
        <f t="shared" si="213"/>
        <v>No requiere</v>
      </c>
      <c r="ER353" s="71"/>
      <c r="ES353" s="79" t="s">
        <v>179</v>
      </c>
      <c r="ET353" s="73" t="str">
        <f t="shared" si="214"/>
        <v>No requiere</v>
      </c>
      <c r="EU353" s="73" t="str">
        <f t="shared" si="196"/>
        <v>No requiere</v>
      </c>
      <c r="EV353" s="73" t="str">
        <f t="shared" si="215"/>
        <v>No requiere</v>
      </c>
      <c r="EW353" s="73" t="str">
        <f t="shared" si="216"/>
        <v>No requiere</v>
      </c>
      <c r="EX353" s="78"/>
      <c r="EY353" s="78"/>
    </row>
    <row r="354" spans="1:155" ht="46.5" customHeight="1">
      <c r="A354" s="79">
        <v>350</v>
      </c>
      <c r="B354" s="80" t="s">
        <v>2638</v>
      </c>
      <c r="C354" s="81">
        <v>45405</v>
      </c>
      <c r="D354" s="82">
        <v>0.375</v>
      </c>
      <c r="E354" s="79" t="s">
        <v>151</v>
      </c>
      <c r="F354" s="79" t="s">
        <v>153</v>
      </c>
      <c r="G354" s="79" t="s">
        <v>153</v>
      </c>
      <c r="H354" s="79" t="s">
        <v>153</v>
      </c>
      <c r="I354" s="79" t="s">
        <v>152</v>
      </c>
      <c r="J354" s="79" t="s">
        <v>154</v>
      </c>
      <c r="K354" s="79" t="s">
        <v>155</v>
      </c>
      <c r="L354" s="80" t="s">
        <v>2596</v>
      </c>
      <c r="M354" s="80" t="s">
        <v>303</v>
      </c>
      <c r="N354" s="79" t="s">
        <v>820</v>
      </c>
      <c r="O354" s="80" t="str">
        <f t="shared" si="204"/>
        <v>Andres Castro Latorre</v>
      </c>
      <c r="P354" s="79" t="s">
        <v>749</v>
      </c>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t="s">
        <v>169</v>
      </c>
      <c r="AP354" s="79" t="s">
        <v>475</v>
      </c>
      <c r="AQ354" s="80" t="s">
        <v>2639</v>
      </c>
      <c r="AR354" s="83" t="s">
        <v>171</v>
      </c>
      <c r="AS354" s="80" t="s">
        <v>171</v>
      </c>
      <c r="AT354" s="80" t="str">
        <f t="shared" si="205"/>
        <v>Distrital</v>
      </c>
      <c r="AU354" s="79" t="s">
        <v>172</v>
      </c>
      <c r="AV354" s="79"/>
      <c r="AW354" s="79"/>
      <c r="AX354" s="79"/>
      <c r="AY354" s="79"/>
      <c r="AZ354" s="79"/>
      <c r="BA354" s="80" t="str">
        <f t="shared" si="206"/>
        <v>Distrital</v>
      </c>
      <c r="BB354" s="79" t="s">
        <v>172</v>
      </c>
      <c r="BC354" s="79"/>
      <c r="BD354" s="79"/>
      <c r="BE354" s="79"/>
      <c r="BF354" s="79"/>
      <c r="BG354" s="79"/>
      <c r="BH354" s="80" t="str">
        <f t="shared" si="207"/>
        <v>Distrital</v>
      </c>
      <c r="BI354" s="79" t="s">
        <v>172</v>
      </c>
      <c r="BJ354" s="79"/>
      <c r="BK354" s="79"/>
      <c r="BL354" s="79"/>
      <c r="BM354" s="79"/>
      <c r="BN354" s="79"/>
      <c r="BO354" s="79"/>
      <c r="BP354" s="79"/>
      <c r="BQ354" s="79"/>
      <c r="BR354" s="79"/>
      <c r="BS354" s="80" t="s">
        <v>2598</v>
      </c>
      <c r="BT354" s="80" t="s">
        <v>174</v>
      </c>
      <c r="BU354" s="80" t="s">
        <v>2599</v>
      </c>
      <c r="BV354" s="71"/>
      <c r="BW354" s="79" t="s">
        <v>153</v>
      </c>
      <c r="BX354" s="79" t="s">
        <v>2600</v>
      </c>
      <c r="BY354" s="71"/>
      <c r="BZ354" s="79">
        <v>30</v>
      </c>
      <c r="CA354" s="79">
        <v>4</v>
      </c>
      <c r="CB354" s="79">
        <f t="shared" si="223"/>
        <v>34</v>
      </c>
      <c r="CC354" s="79" t="str">
        <f t="shared" si="194"/>
        <v>Ninguna</v>
      </c>
      <c r="CD354" s="79" t="s">
        <v>174</v>
      </c>
      <c r="CE354" s="79"/>
      <c r="CF354" s="79"/>
      <c r="CG354" s="83" t="s">
        <v>2640</v>
      </c>
      <c r="CH354" s="41"/>
      <c r="CI354" s="79" t="s">
        <v>153</v>
      </c>
      <c r="CJ354" s="71"/>
      <c r="CK354" s="79">
        <f t="shared" si="177"/>
        <v>1</v>
      </c>
      <c r="CL354" s="79" t="s">
        <v>2602</v>
      </c>
      <c r="CM354" s="79"/>
      <c r="CN354" s="79"/>
      <c r="CO354" s="79"/>
      <c r="CP354" s="79"/>
      <c r="CQ354" s="79"/>
      <c r="CR354" s="83" t="s">
        <v>390</v>
      </c>
      <c r="CS354" s="83" t="s">
        <v>179</v>
      </c>
      <c r="CT354" s="83" t="s">
        <v>179</v>
      </c>
      <c r="CU354" s="83" t="s">
        <v>179</v>
      </c>
      <c r="CV354" s="83" t="s">
        <v>179</v>
      </c>
      <c r="CW354" s="83" t="s">
        <v>179</v>
      </c>
      <c r="CX354" s="79" t="s">
        <v>153</v>
      </c>
      <c r="CY354" s="79">
        <f t="shared" si="219"/>
        <v>1</v>
      </c>
      <c r="CZ354" s="79">
        <v>1</v>
      </c>
      <c r="DA354" s="79">
        <f t="shared" si="220"/>
        <v>1</v>
      </c>
      <c r="DB354" s="84">
        <f t="shared" si="221"/>
        <v>1</v>
      </c>
      <c r="DC354" s="41"/>
      <c r="DD354" s="79" t="s">
        <v>153</v>
      </c>
      <c r="DE354" s="71"/>
      <c r="DF354" s="85" t="s">
        <v>2641</v>
      </c>
      <c r="DG354" s="79">
        <v>344</v>
      </c>
      <c r="DH354" s="86" t="str">
        <f t="shared" si="217"/>
        <v>Completo</v>
      </c>
      <c r="DI354" s="79" t="s">
        <v>181</v>
      </c>
      <c r="DJ354" s="79" t="s">
        <v>182</v>
      </c>
      <c r="DK354" s="79" t="s">
        <v>153</v>
      </c>
      <c r="DL354" s="79">
        <v>60</v>
      </c>
      <c r="DM354" s="79">
        <v>60</v>
      </c>
      <c r="DN354" s="79" t="s">
        <v>182</v>
      </c>
      <c r="DO354" s="79" t="s">
        <v>179</v>
      </c>
      <c r="DP354" s="79" t="s">
        <v>182</v>
      </c>
      <c r="DQ354" s="79">
        <v>6</v>
      </c>
      <c r="DR354" s="75">
        <f t="shared" si="208"/>
        <v>0.66666666666666663</v>
      </c>
      <c r="DS354" s="79" t="s">
        <v>182</v>
      </c>
      <c r="DT354" s="79">
        <v>3</v>
      </c>
      <c r="DU354" s="75">
        <f t="shared" si="209"/>
        <v>0.2857142857142857</v>
      </c>
      <c r="DV354" s="79" t="s">
        <v>182</v>
      </c>
      <c r="DW354" s="79" t="s">
        <v>182</v>
      </c>
      <c r="DX354" s="79">
        <v>1</v>
      </c>
      <c r="DY354" s="79">
        <v>0</v>
      </c>
      <c r="DZ354" s="79"/>
      <c r="EA354" s="79" t="s">
        <v>179</v>
      </c>
      <c r="EB354" s="79" t="s">
        <v>182</v>
      </c>
      <c r="EC354" s="79" t="s">
        <v>2642</v>
      </c>
      <c r="ED354" s="79" t="s">
        <v>184</v>
      </c>
      <c r="EE354" s="79" t="str">
        <f>IF(DI354="Subsanado","Completo","Por Completar")</f>
        <v>Completo</v>
      </c>
      <c r="EF354" s="41"/>
      <c r="EG354" s="79" t="s">
        <v>153</v>
      </c>
      <c r="EH354" s="71"/>
      <c r="EI354" s="89" t="s">
        <v>2643</v>
      </c>
      <c r="EJ354" s="71"/>
      <c r="EK354" s="79" t="s">
        <v>409</v>
      </c>
      <c r="EL354" s="76" t="str">
        <f t="shared" si="210"/>
        <v>No</v>
      </c>
      <c r="EM354" s="76" t="str">
        <f t="shared" si="211"/>
        <v>No</v>
      </c>
      <c r="EN354" s="76" t="str">
        <f t="shared" si="195"/>
        <v>No</v>
      </c>
      <c r="EO354" s="71"/>
      <c r="EP354" s="73">
        <f t="shared" si="212"/>
        <v>1</v>
      </c>
      <c r="EQ354" s="77">
        <f t="shared" si="213"/>
        <v>0.2857142857142857</v>
      </c>
      <c r="ER354" s="71"/>
      <c r="ES354" s="79" t="s">
        <v>409</v>
      </c>
      <c r="ET354" s="73">
        <f t="shared" si="214"/>
        <v>1</v>
      </c>
      <c r="EU354" s="73">
        <f t="shared" si="196"/>
        <v>1</v>
      </c>
      <c r="EV354" s="73">
        <f t="shared" si="215"/>
        <v>1</v>
      </c>
      <c r="EW354" s="73" t="str">
        <f t="shared" si="216"/>
        <v>No aplica</v>
      </c>
      <c r="EX354" s="78"/>
      <c r="EY354" s="78"/>
    </row>
    <row r="355" spans="1:155" ht="46.5" customHeight="1">
      <c r="A355" s="79">
        <v>351</v>
      </c>
      <c r="B355" s="80" t="s">
        <v>2644</v>
      </c>
      <c r="C355" s="81">
        <v>45405</v>
      </c>
      <c r="D355" s="82">
        <v>0.75</v>
      </c>
      <c r="E355" s="79" t="s">
        <v>151</v>
      </c>
      <c r="F355" s="79" t="s">
        <v>153</v>
      </c>
      <c r="G355" s="79" t="s">
        <v>152</v>
      </c>
      <c r="H355" s="79" t="s">
        <v>152</v>
      </c>
      <c r="I355" s="79" t="s">
        <v>153</v>
      </c>
      <c r="J355" s="79" t="s">
        <v>2645</v>
      </c>
      <c r="K355" s="79" t="s">
        <v>202</v>
      </c>
      <c r="L355" s="80" t="s">
        <v>2646</v>
      </c>
      <c r="M355" s="80" t="s">
        <v>241</v>
      </c>
      <c r="N355" s="79" t="s">
        <v>924</v>
      </c>
      <c r="O355" s="80" t="str">
        <f t="shared" si="204"/>
        <v/>
      </c>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t="s">
        <v>304</v>
      </c>
      <c r="AP355" s="79"/>
      <c r="AQ355" s="80" t="s">
        <v>171</v>
      </c>
      <c r="AR355" s="83" t="s">
        <v>171</v>
      </c>
      <c r="AS355" s="80" t="s">
        <v>171</v>
      </c>
      <c r="AT355" s="80" t="str">
        <f t="shared" si="205"/>
        <v>Kennedy</v>
      </c>
      <c r="AU355" s="79" t="s">
        <v>731</v>
      </c>
      <c r="AV355" s="79"/>
      <c r="AW355" s="79"/>
      <c r="AX355" s="79"/>
      <c r="AY355" s="79"/>
      <c r="AZ355" s="79"/>
      <c r="BA355" s="80" t="str">
        <f t="shared" si="206"/>
        <v>Suroccidente</v>
      </c>
      <c r="BB355" s="79" t="s">
        <v>732</v>
      </c>
      <c r="BC355" s="79"/>
      <c r="BD355" s="79"/>
      <c r="BE355" s="79"/>
      <c r="BF355" s="79"/>
      <c r="BG355" s="79"/>
      <c r="BH355" s="80" t="str">
        <f t="shared" si="207"/>
        <v>Kennedy, Tintal, Patio Bonito, Edén, Porvenir, Bosa</v>
      </c>
      <c r="BI355" s="79" t="s">
        <v>731</v>
      </c>
      <c r="BJ355" s="79" t="s">
        <v>1697</v>
      </c>
      <c r="BK355" s="79" t="s">
        <v>967</v>
      </c>
      <c r="BL355" s="79" t="s">
        <v>1057</v>
      </c>
      <c r="BM355" s="79" t="s">
        <v>1058</v>
      </c>
      <c r="BN355" s="79" t="s">
        <v>730</v>
      </c>
      <c r="BO355" s="79"/>
      <c r="BP355" s="79"/>
      <c r="BQ355" s="79"/>
      <c r="BR355" s="79"/>
      <c r="BS355" s="80" t="s">
        <v>731</v>
      </c>
      <c r="BT355" s="80" t="s">
        <v>174</v>
      </c>
      <c r="BU355" s="89" t="s">
        <v>2647</v>
      </c>
      <c r="BV355" s="71"/>
      <c r="BW355" s="79" t="s">
        <v>152</v>
      </c>
      <c r="BX355" s="79" t="s">
        <v>179</v>
      </c>
      <c r="BY355" s="71"/>
      <c r="BZ355" s="79">
        <v>27</v>
      </c>
      <c r="CA355" s="79">
        <v>5</v>
      </c>
      <c r="CB355" s="79">
        <f t="shared" si="223"/>
        <v>32</v>
      </c>
      <c r="CC355" s="79" t="str">
        <f t="shared" si="194"/>
        <v>No Aplica</v>
      </c>
      <c r="CD355" s="79" t="s">
        <v>177</v>
      </c>
      <c r="CE355" s="79"/>
      <c r="CF355" s="79"/>
      <c r="CG355" s="83" t="s">
        <v>2648</v>
      </c>
      <c r="CH355" s="41"/>
      <c r="CI355" s="79" t="s">
        <v>153</v>
      </c>
      <c r="CJ355" s="71"/>
      <c r="CK355" s="79">
        <f t="shared" si="177"/>
        <v>0</v>
      </c>
      <c r="CL355" s="79"/>
      <c r="CM355" s="79"/>
      <c r="CN355" s="79"/>
      <c r="CO355" s="79"/>
      <c r="CP355" s="79"/>
      <c r="CQ355" s="79"/>
      <c r="CR355" s="83" t="s">
        <v>179</v>
      </c>
      <c r="CS355" s="83" t="s">
        <v>179</v>
      </c>
      <c r="CT355" s="83" t="s">
        <v>179</v>
      </c>
      <c r="CU355" s="83" t="s">
        <v>179</v>
      </c>
      <c r="CV355" s="83" t="s">
        <v>179</v>
      </c>
      <c r="CW355" s="83" t="s">
        <v>179</v>
      </c>
      <c r="CX355" s="79" t="s">
        <v>153</v>
      </c>
      <c r="CY355" s="79">
        <f t="shared" si="219"/>
        <v>0</v>
      </c>
      <c r="CZ355" s="79">
        <v>0</v>
      </c>
      <c r="DA355" s="79">
        <f t="shared" si="220"/>
        <v>0</v>
      </c>
      <c r="DB355" s="84" t="str">
        <f t="shared" si="221"/>
        <v/>
      </c>
      <c r="DC355" s="41"/>
      <c r="DD355" s="79" t="s">
        <v>153</v>
      </c>
      <c r="DE355" s="71"/>
      <c r="DF355" s="85" t="s">
        <v>2649</v>
      </c>
      <c r="DG355" s="79">
        <v>345</v>
      </c>
      <c r="DH355" s="86">
        <f t="shared" si="217"/>
        <v>45408</v>
      </c>
      <c r="DI355" s="79" t="s">
        <v>181</v>
      </c>
      <c r="DJ355" s="79" t="s">
        <v>182</v>
      </c>
      <c r="DK355" s="79"/>
      <c r="DL355" s="79">
        <v>0</v>
      </c>
      <c r="DM355" s="79">
        <v>0</v>
      </c>
      <c r="DN355" s="79" t="s">
        <v>182</v>
      </c>
      <c r="DO355" s="79"/>
      <c r="DP355" s="79"/>
      <c r="DQ355" s="79"/>
      <c r="DR355" s="75" t="str">
        <f t="shared" si="208"/>
        <v>No aplica</v>
      </c>
      <c r="DS355" s="79"/>
      <c r="DT355" s="79"/>
      <c r="DU355" s="75" t="str">
        <f t="shared" si="209"/>
        <v>No aplica</v>
      </c>
      <c r="DV355" s="79" t="s">
        <v>182</v>
      </c>
      <c r="DW355" s="79" t="s">
        <v>182</v>
      </c>
      <c r="DX355" s="79"/>
      <c r="DY355" s="79"/>
      <c r="DZ355" s="79"/>
      <c r="EA355" s="79"/>
      <c r="EB355" s="79" t="s">
        <v>182</v>
      </c>
      <c r="EC355" s="79" t="s">
        <v>183</v>
      </c>
      <c r="ED355" s="79" t="s">
        <v>184</v>
      </c>
      <c r="EE355" s="79" t="s">
        <v>621</v>
      </c>
      <c r="EF355" s="41"/>
      <c r="EG355" s="79" t="s">
        <v>153</v>
      </c>
      <c r="EH355" s="71"/>
      <c r="EI355" s="80"/>
      <c r="EJ355" s="71"/>
      <c r="EK355" s="79"/>
      <c r="EL355" s="76" t="str">
        <f t="shared" si="210"/>
        <v>No requiere</v>
      </c>
      <c r="EM355" s="76" t="str">
        <f t="shared" si="211"/>
        <v>No requiere</v>
      </c>
      <c r="EN355" s="76" t="str">
        <f t="shared" si="195"/>
        <v>No requiere</v>
      </c>
      <c r="EO355" s="71"/>
      <c r="EP355" s="73" t="str">
        <f t="shared" si="212"/>
        <v>No requiere</v>
      </c>
      <c r="EQ355" s="77" t="str">
        <f t="shared" si="213"/>
        <v>No requiere</v>
      </c>
      <c r="ER355" s="71"/>
      <c r="ES355" s="79"/>
      <c r="ET355" s="73" t="str">
        <f t="shared" si="214"/>
        <v>No requiere</v>
      </c>
      <c r="EU355" s="73" t="str">
        <f t="shared" si="196"/>
        <v>No requiere</v>
      </c>
      <c r="EV355" s="73" t="str">
        <f t="shared" si="215"/>
        <v>No requiere</v>
      </c>
      <c r="EW355" s="73" t="str">
        <f t="shared" si="216"/>
        <v>No requiere</v>
      </c>
      <c r="EX355" s="78"/>
      <c r="EY355" s="78"/>
    </row>
    <row r="356" spans="1:155" ht="46.5" customHeight="1">
      <c r="A356" s="79">
        <v>352</v>
      </c>
      <c r="B356" s="80" t="s">
        <v>434</v>
      </c>
      <c r="C356" s="81">
        <v>45406</v>
      </c>
      <c r="D356" s="82">
        <v>0.33333333333333331</v>
      </c>
      <c r="E356" s="79" t="s">
        <v>151</v>
      </c>
      <c r="F356" s="79" t="s">
        <v>153</v>
      </c>
      <c r="G356" s="79" t="s">
        <v>153</v>
      </c>
      <c r="H356" s="79" t="s">
        <v>152</v>
      </c>
      <c r="I356" s="79" t="s">
        <v>152</v>
      </c>
      <c r="J356" s="79" t="s">
        <v>154</v>
      </c>
      <c r="K356" s="79" t="s">
        <v>202</v>
      </c>
      <c r="L356" s="80" t="s">
        <v>2650</v>
      </c>
      <c r="M356" s="80" t="s">
        <v>229</v>
      </c>
      <c r="N356" s="79" t="s">
        <v>195</v>
      </c>
      <c r="O356" s="80" t="str">
        <f t="shared" si="204"/>
        <v>Yohan David Díaz, Valentina González Pontón</v>
      </c>
      <c r="P356" s="79" t="s">
        <v>164</v>
      </c>
      <c r="Q356" s="79" t="s">
        <v>329</v>
      </c>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t="s">
        <v>169</v>
      </c>
      <c r="AP356" s="79" t="s">
        <v>170</v>
      </c>
      <c r="AQ356" s="80" t="s">
        <v>171</v>
      </c>
      <c r="AR356" s="83" t="s">
        <v>171</v>
      </c>
      <c r="AS356" s="80" t="s">
        <v>171</v>
      </c>
      <c r="AT356" s="80" t="str">
        <f t="shared" si="205"/>
        <v>Distrital</v>
      </c>
      <c r="AU356" s="79" t="s">
        <v>172</v>
      </c>
      <c r="AV356" s="79"/>
      <c r="AW356" s="79"/>
      <c r="AX356" s="79"/>
      <c r="AY356" s="79"/>
      <c r="AZ356" s="79"/>
      <c r="BA356" s="80" t="str">
        <f t="shared" si="206"/>
        <v>Distrital</v>
      </c>
      <c r="BB356" s="79" t="s">
        <v>172</v>
      </c>
      <c r="BC356" s="79"/>
      <c r="BD356" s="79"/>
      <c r="BE356" s="79"/>
      <c r="BF356" s="79"/>
      <c r="BG356" s="79"/>
      <c r="BH356" s="80" t="str">
        <f t="shared" si="207"/>
        <v>Distrital</v>
      </c>
      <c r="BI356" s="79" t="s">
        <v>172</v>
      </c>
      <c r="BJ356" s="79"/>
      <c r="BK356" s="79"/>
      <c r="BL356" s="79"/>
      <c r="BM356" s="79"/>
      <c r="BN356" s="79"/>
      <c r="BO356" s="79"/>
      <c r="BP356" s="79"/>
      <c r="BQ356" s="79"/>
      <c r="BR356" s="79"/>
      <c r="BS356" s="80" t="s">
        <v>288</v>
      </c>
      <c r="BT356" s="80" t="s">
        <v>174</v>
      </c>
      <c r="BU356" s="89" t="s">
        <v>2651</v>
      </c>
      <c r="BV356" s="71"/>
      <c r="BW356" s="79" t="s">
        <v>153</v>
      </c>
      <c r="BX356" s="79" t="s">
        <v>176</v>
      </c>
      <c r="BY356" s="71"/>
      <c r="BZ356" s="79">
        <v>16</v>
      </c>
      <c r="CA356" s="79">
        <v>14</v>
      </c>
      <c r="CB356" s="79">
        <f t="shared" si="223"/>
        <v>30</v>
      </c>
      <c r="CC356" s="79" t="str">
        <f t="shared" si="194"/>
        <v>No Aplica</v>
      </c>
      <c r="CD356" s="79" t="s">
        <v>177</v>
      </c>
      <c r="CE356" s="79"/>
      <c r="CF356" s="79"/>
      <c r="CG356" s="83" t="s">
        <v>2652</v>
      </c>
      <c r="CH356" s="41"/>
      <c r="CI356" s="79" t="s">
        <v>153</v>
      </c>
      <c r="CJ356" s="71"/>
      <c r="CK356" s="79">
        <f t="shared" si="177"/>
        <v>0</v>
      </c>
      <c r="CL356" s="79"/>
      <c r="CM356" s="79"/>
      <c r="CN356" s="79"/>
      <c r="CO356" s="79"/>
      <c r="CP356" s="79"/>
      <c r="CQ356" s="79"/>
      <c r="CR356" s="83" t="s">
        <v>179</v>
      </c>
      <c r="CS356" s="83" t="s">
        <v>179</v>
      </c>
      <c r="CT356" s="83" t="s">
        <v>179</v>
      </c>
      <c r="CU356" s="83" t="s">
        <v>179</v>
      </c>
      <c r="CV356" s="83" t="s">
        <v>179</v>
      </c>
      <c r="CW356" s="83" t="s">
        <v>179</v>
      </c>
      <c r="CX356" s="79" t="s">
        <v>153</v>
      </c>
      <c r="CY356" s="79">
        <f t="shared" si="219"/>
        <v>0</v>
      </c>
      <c r="CZ356" s="79">
        <v>0</v>
      </c>
      <c r="DA356" s="79">
        <f t="shared" si="220"/>
        <v>0</v>
      </c>
      <c r="DB356" s="84" t="str">
        <f t="shared" si="221"/>
        <v/>
      </c>
      <c r="DC356" s="41"/>
      <c r="DD356" s="79" t="s">
        <v>153</v>
      </c>
      <c r="DE356" s="71"/>
      <c r="DF356" s="85" t="s">
        <v>2653</v>
      </c>
      <c r="DG356" s="79">
        <v>346</v>
      </c>
      <c r="DH356" s="86" t="str">
        <f t="shared" si="217"/>
        <v>Completo</v>
      </c>
      <c r="DI356" s="79" t="s">
        <v>181</v>
      </c>
      <c r="DJ356" s="79" t="s">
        <v>182</v>
      </c>
      <c r="DK356" s="79"/>
      <c r="DL356" s="79">
        <v>0</v>
      </c>
      <c r="DM356" s="79">
        <v>0</v>
      </c>
      <c r="DN356" s="79" t="s">
        <v>182</v>
      </c>
      <c r="DO356" s="79"/>
      <c r="DP356" s="79"/>
      <c r="DQ356" s="79"/>
      <c r="DR356" s="75" t="str">
        <f t="shared" si="208"/>
        <v>No aplica</v>
      </c>
      <c r="DS356" s="79"/>
      <c r="DT356" s="79"/>
      <c r="DU356" s="75" t="str">
        <f t="shared" si="209"/>
        <v>No aplica</v>
      </c>
      <c r="DV356" s="79" t="s">
        <v>182</v>
      </c>
      <c r="DW356" s="79" t="s">
        <v>182</v>
      </c>
      <c r="DX356" s="79"/>
      <c r="DY356" s="79"/>
      <c r="DZ356" s="79"/>
      <c r="EA356" s="79"/>
      <c r="EB356" s="79"/>
      <c r="EC356" s="79"/>
      <c r="ED356" s="79" t="s">
        <v>184</v>
      </c>
      <c r="EE356" s="79" t="str">
        <f t="shared" ref="EE356" si="224">IF(DI356="Subsanado","Completo","Por Completar")</f>
        <v>Completo</v>
      </c>
      <c r="EF356" s="41"/>
      <c r="EG356" s="79" t="s">
        <v>153</v>
      </c>
      <c r="EH356" s="71"/>
      <c r="EI356" s="80"/>
      <c r="EJ356" s="71"/>
      <c r="EK356" s="79"/>
      <c r="EL356" s="76" t="str">
        <f t="shared" si="210"/>
        <v>No requiere</v>
      </c>
      <c r="EM356" s="76" t="str">
        <f t="shared" si="211"/>
        <v>No requiere</v>
      </c>
      <c r="EN356" s="76" t="str">
        <f t="shared" si="195"/>
        <v>No requiere</v>
      </c>
      <c r="EO356" s="71"/>
      <c r="EP356" s="73" t="str">
        <f t="shared" si="212"/>
        <v>No requiere</v>
      </c>
      <c r="EQ356" s="77" t="str">
        <f t="shared" si="213"/>
        <v>No requiere</v>
      </c>
      <c r="ER356" s="71"/>
      <c r="ES356" s="79"/>
      <c r="ET356" s="73" t="str">
        <f t="shared" si="214"/>
        <v>No requiere</v>
      </c>
      <c r="EU356" s="73" t="str">
        <f t="shared" si="196"/>
        <v>No requiere</v>
      </c>
      <c r="EV356" s="73" t="str">
        <f t="shared" si="215"/>
        <v>No requiere</v>
      </c>
      <c r="EW356" s="73" t="str">
        <f t="shared" si="216"/>
        <v>No requiere</v>
      </c>
      <c r="EX356" s="78"/>
      <c r="EY356" s="78"/>
    </row>
    <row r="357" spans="1:155" ht="46.5" customHeight="1">
      <c r="A357" s="79">
        <v>353</v>
      </c>
      <c r="B357" s="80" t="s">
        <v>2654</v>
      </c>
      <c r="C357" s="81">
        <v>45406</v>
      </c>
      <c r="D357" s="82">
        <v>0.375</v>
      </c>
      <c r="E357" s="79" t="s">
        <v>151</v>
      </c>
      <c r="F357" s="79" t="s">
        <v>153</v>
      </c>
      <c r="G357" s="79" t="s">
        <v>152</v>
      </c>
      <c r="H357" s="79" t="s">
        <v>152</v>
      </c>
      <c r="I357" s="79" t="s">
        <v>152</v>
      </c>
      <c r="J357" s="79" t="s">
        <v>154</v>
      </c>
      <c r="K357" s="79" t="s">
        <v>155</v>
      </c>
      <c r="L357" s="80" t="s">
        <v>2655</v>
      </c>
      <c r="M357" s="80" t="s">
        <v>229</v>
      </c>
      <c r="N357" s="79" t="s">
        <v>167</v>
      </c>
      <c r="O357" s="80" t="str">
        <f t="shared" si="204"/>
        <v>Juan Carlos Prieto, PENDIENTE</v>
      </c>
      <c r="P357" s="79" t="s">
        <v>474</v>
      </c>
      <c r="Q357" s="79" t="s">
        <v>196</v>
      </c>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t="s">
        <v>304</v>
      </c>
      <c r="AP357" s="79"/>
      <c r="AQ357" s="80" t="s">
        <v>2656</v>
      </c>
      <c r="AR357" s="83" t="s">
        <v>171</v>
      </c>
      <c r="AS357" s="80" t="s">
        <v>171</v>
      </c>
      <c r="AT357" s="80" t="str">
        <f t="shared" si="205"/>
        <v>Distrital</v>
      </c>
      <c r="AU357" s="79" t="s">
        <v>172</v>
      </c>
      <c r="AV357" s="79"/>
      <c r="AW357" s="79"/>
      <c r="AX357" s="79"/>
      <c r="AY357" s="79"/>
      <c r="AZ357" s="79"/>
      <c r="BA357" s="80" t="str">
        <f t="shared" si="206"/>
        <v>Distrital</v>
      </c>
      <c r="BB357" s="79" t="s">
        <v>172</v>
      </c>
      <c r="BC357" s="79"/>
      <c r="BD357" s="79"/>
      <c r="BE357" s="79"/>
      <c r="BF357" s="79"/>
      <c r="BG357" s="79"/>
      <c r="BH357" s="80" t="str">
        <f t="shared" si="207"/>
        <v>Distrital</v>
      </c>
      <c r="BI357" s="79" t="s">
        <v>172</v>
      </c>
      <c r="BJ357" s="79"/>
      <c r="BK357" s="79"/>
      <c r="BL357" s="79"/>
      <c r="BM357" s="79"/>
      <c r="BN357" s="79"/>
      <c r="BO357" s="79"/>
      <c r="BP357" s="79"/>
      <c r="BQ357" s="79"/>
      <c r="BR357" s="79"/>
      <c r="BS357" s="80" t="s">
        <v>288</v>
      </c>
      <c r="BT357" s="80" t="s">
        <v>174</v>
      </c>
      <c r="BU357" s="80" t="s">
        <v>2599</v>
      </c>
      <c r="BV357" s="71"/>
      <c r="BW357" s="79" t="s">
        <v>153</v>
      </c>
      <c r="BX357" s="79" t="s">
        <v>2600</v>
      </c>
      <c r="BY357" s="71"/>
      <c r="BZ357" s="79">
        <v>100</v>
      </c>
      <c r="CA357" s="79">
        <v>2</v>
      </c>
      <c r="CB357" s="79">
        <f t="shared" si="223"/>
        <v>102</v>
      </c>
      <c r="CC357" s="79" t="str">
        <f t="shared" si="194"/>
        <v>No Aplica</v>
      </c>
      <c r="CD357" s="79" t="s">
        <v>177</v>
      </c>
      <c r="CE357" s="79"/>
      <c r="CF357" s="79"/>
      <c r="CG357" s="83" t="s">
        <v>2657</v>
      </c>
      <c r="CH357" s="41"/>
      <c r="CI357" s="79" t="s">
        <v>153</v>
      </c>
      <c r="CJ357" s="71"/>
      <c r="CK357" s="79">
        <f t="shared" si="177"/>
        <v>0</v>
      </c>
      <c r="CL357" s="79"/>
      <c r="CM357" s="79"/>
      <c r="CN357" s="79"/>
      <c r="CO357" s="79"/>
      <c r="CP357" s="79"/>
      <c r="CQ357" s="79"/>
      <c r="CR357" s="83"/>
      <c r="CS357" s="83"/>
      <c r="CT357" s="83"/>
      <c r="CU357" s="83"/>
      <c r="CV357" s="83"/>
      <c r="CW357" s="83"/>
      <c r="CX357" s="79"/>
      <c r="CY357" s="79">
        <f t="shared" si="219"/>
        <v>0</v>
      </c>
      <c r="CZ357" s="79">
        <v>0</v>
      </c>
      <c r="DA357" s="79">
        <f t="shared" si="220"/>
        <v>0</v>
      </c>
      <c r="DB357" s="84" t="str">
        <f t="shared" si="221"/>
        <v/>
      </c>
      <c r="DC357" s="41"/>
      <c r="DD357" s="79" t="s">
        <v>152</v>
      </c>
      <c r="DE357" s="71"/>
      <c r="DF357" s="85" t="s">
        <v>2658</v>
      </c>
      <c r="DG357" s="79">
        <v>347</v>
      </c>
      <c r="DH357" s="86">
        <f t="shared" si="217"/>
        <v>45409</v>
      </c>
      <c r="DI357" s="79" t="s">
        <v>1246</v>
      </c>
      <c r="DJ357" s="79" t="s">
        <v>2659</v>
      </c>
      <c r="DK357" s="79"/>
      <c r="DL357" s="79">
        <v>0</v>
      </c>
      <c r="DM357" s="79">
        <v>0</v>
      </c>
      <c r="DN357" s="79"/>
      <c r="DO357" s="79"/>
      <c r="DP357" s="79"/>
      <c r="DQ357" s="79"/>
      <c r="DR357" s="75" t="str">
        <f t="shared" si="208"/>
        <v>No aplica</v>
      </c>
      <c r="DS357" s="79"/>
      <c r="DT357" s="79"/>
      <c r="DU357" s="75" t="str">
        <f t="shared" si="209"/>
        <v>No aplica</v>
      </c>
      <c r="DV357" s="79" t="s">
        <v>182</v>
      </c>
      <c r="DW357" s="79"/>
      <c r="DX357" s="79"/>
      <c r="DY357" s="79"/>
      <c r="DZ357" s="79"/>
      <c r="EA357" s="79"/>
      <c r="EB357" s="79" t="s">
        <v>182</v>
      </c>
      <c r="EC357" s="79" t="s">
        <v>2660</v>
      </c>
      <c r="ED357" s="79" t="s">
        <v>2661</v>
      </c>
      <c r="EE357" s="79" t="str">
        <f>IF(DI357="Subsanado","Completo","Por Completar")</f>
        <v>Por Completar</v>
      </c>
      <c r="EF357" s="41"/>
      <c r="EG357" s="79" t="s">
        <v>152</v>
      </c>
      <c r="EH357" s="71"/>
      <c r="EI357" s="80"/>
      <c r="EJ357" s="71"/>
      <c r="EK357" s="79"/>
      <c r="EL357" s="76" t="str">
        <f t="shared" si="210"/>
        <v>No requiere</v>
      </c>
      <c r="EM357" s="76" t="str">
        <f t="shared" si="211"/>
        <v>No requiere</v>
      </c>
      <c r="EN357" s="76" t="str">
        <f t="shared" si="195"/>
        <v>No requiere</v>
      </c>
      <c r="EO357" s="71"/>
      <c r="EP357" s="73" t="str">
        <f t="shared" si="212"/>
        <v>No requiere</v>
      </c>
      <c r="EQ357" s="77" t="str">
        <f t="shared" si="213"/>
        <v>No requiere</v>
      </c>
      <c r="ER357" s="71"/>
      <c r="ES357" s="79"/>
      <c r="ET357" s="73" t="str">
        <f t="shared" si="214"/>
        <v>No requiere</v>
      </c>
      <c r="EU357" s="73" t="str">
        <f t="shared" si="196"/>
        <v>No requiere</v>
      </c>
      <c r="EV357" s="73" t="str">
        <f t="shared" si="215"/>
        <v>No requiere</v>
      </c>
      <c r="EW357" s="73" t="str">
        <f t="shared" si="216"/>
        <v>No requiere</v>
      </c>
      <c r="EX357" s="78"/>
      <c r="EY357" s="78"/>
    </row>
    <row r="358" spans="1:155" ht="46.5" customHeight="1">
      <c r="A358" s="79">
        <v>354</v>
      </c>
      <c r="B358" s="80" t="s">
        <v>2662</v>
      </c>
      <c r="C358" s="81">
        <v>45406</v>
      </c>
      <c r="D358" s="82">
        <v>0.375</v>
      </c>
      <c r="E358" s="79" t="s">
        <v>151</v>
      </c>
      <c r="F358" s="79" t="s">
        <v>153</v>
      </c>
      <c r="G358" s="79" t="s">
        <v>153</v>
      </c>
      <c r="H358" s="79" t="s">
        <v>153</v>
      </c>
      <c r="I358" s="79" t="s">
        <v>152</v>
      </c>
      <c r="J358" s="79" t="s">
        <v>154</v>
      </c>
      <c r="K358" s="79" t="s">
        <v>155</v>
      </c>
      <c r="L358" s="80" t="s">
        <v>2596</v>
      </c>
      <c r="M358" s="80" t="s">
        <v>303</v>
      </c>
      <c r="N358" s="79" t="s">
        <v>818</v>
      </c>
      <c r="O358" s="80" t="str">
        <f t="shared" si="204"/>
        <v>Armando Alberto Montañez, Paola Andrea González</v>
      </c>
      <c r="P358" s="79" t="s">
        <v>1387</v>
      </c>
      <c r="Q358" s="79" t="s">
        <v>924</v>
      </c>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t="s">
        <v>169</v>
      </c>
      <c r="AP358" s="79" t="s">
        <v>475</v>
      </c>
      <c r="AQ358" s="80" t="s">
        <v>171</v>
      </c>
      <c r="AR358" s="83" t="s">
        <v>171</v>
      </c>
      <c r="AS358" s="80" t="s">
        <v>171</v>
      </c>
      <c r="AT358" s="80" t="str">
        <f t="shared" si="205"/>
        <v>Distrital</v>
      </c>
      <c r="AU358" s="79" t="s">
        <v>172</v>
      </c>
      <c r="AV358" s="79"/>
      <c r="AW358" s="79"/>
      <c r="AX358" s="79"/>
      <c r="AY358" s="79"/>
      <c r="AZ358" s="79"/>
      <c r="BA358" s="80" t="str">
        <f t="shared" si="206"/>
        <v>Distrital</v>
      </c>
      <c r="BB358" s="79" t="s">
        <v>172</v>
      </c>
      <c r="BC358" s="79"/>
      <c r="BD358" s="79"/>
      <c r="BE358" s="79"/>
      <c r="BF358" s="79"/>
      <c r="BG358" s="79"/>
      <c r="BH358" s="80" t="str">
        <f t="shared" si="207"/>
        <v>Distrital</v>
      </c>
      <c r="BI358" s="79" t="s">
        <v>172</v>
      </c>
      <c r="BJ358" s="79"/>
      <c r="BK358" s="79"/>
      <c r="BL358" s="79"/>
      <c r="BM358" s="79"/>
      <c r="BN358" s="79"/>
      <c r="BO358" s="79"/>
      <c r="BP358" s="79"/>
      <c r="BQ358" s="79"/>
      <c r="BR358" s="79"/>
      <c r="BS358" s="80" t="s">
        <v>288</v>
      </c>
      <c r="BT358" s="80" t="s">
        <v>174</v>
      </c>
      <c r="BU358" s="80" t="s">
        <v>2599</v>
      </c>
      <c r="BV358" s="71"/>
      <c r="BW358" s="79" t="s">
        <v>153</v>
      </c>
      <c r="BX358" s="79" t="s">
        <v>2600</v>
      </c>
      <c r="BY358" s="71"/>
      <c r="BZ358" s="79">
        <v>23</v>
      </c>
      <c r="CA358" s="79">
        <v>4</v>
      </c>
      <c r="CB358" s="79">
        <f t="shared" si="223"/>
        <v>27</v>
      </c>
      <c r="CC358" s="79" t="str">
        <f t="shared" si="194"/>
        <v>Accesibilidad Universal, Horarios Acordes, Contenidos adaptados</v>
      </c>
      <c r="CD358" s="79" t="s">
        <v>397</v>
      </c>
      <c r="CE358" s="79" t="s">
        <v>351</v>
      </c>
      <c r="CF358" s="79" t="s">
        <v>350</v>
      </c>
      <c r="CG358" s="83" t="s">
        <v>2596</v>
      </c>
      <c r="CH358" s="41"/>
      <c r="CI358" s="79" t="s">
        <v>153</v>
      </c>
      <c r="CJ358" s="71"/>
      <c r="CK358" s="79">
        <f t="shared" si="177"/>
        <v>1</v>
      </c>
      <c r="CL358" s="79" t="s">
        <v>2663</v>
      </c>
      <c r="CM358" s="79"/>
      <c r="CN358" s="79"/>
      <c r="CO358" s="79"/>
      <c r="CP358" s="79"/>
      <c r="CQ358" s="79"/>
      <c r="CR358" s="83" t="s">
        <v>390</v>
      </c>
      <c r="CS358" s="83" t="s">
        <v>179</v>
      </c>
      <c r="CT358" s="83" t="s">
        <v>179</v>
      </c>
      <c r="CU358" s="83" t="s">
        <v>179</v>
      </c>
      <c r="CV358" s="83" t="s">
        <v>179</v>
      </c>
      <c r="CW358" s="83" t="s">
        <v>179</v>
      </c>
      <c r="CX358" s="79" t="s">
        <v>153</v>
      </c>
      <c r="CY358" s="79">
        <f t="shared" si="219"/>
        <v>1</v>
      </c>
      <c r="CZ358" s="79">
        <v>1</v>
      </c>
      <c r="DA358" s="79">
        <f t="shared" si="220"/>
        <v>1</v>
      </c>
      <c r="DB358" s="84">
        <f t="shared" si="221"/>
        <v>1</v>
      </c>
      <c r="DC358" s="41"/>
      <c r="DD358" s="79" t="s">
        <v>153</v>
      </c>
      <c r="DE358" s="71"/>
      <c r="DF358" s="85" t="s">
        <v>2664</v>
      </c>
      <c r="DG358" s="79">
        <v>348</v>
      </c>
      <c r="DH358" s="86" t="str">
        <f t="shared" ref="DH358:DH381" si="225">IF(EE358="Por completar",C358+3,"Completo")</f>
        <v>Completo</v>
      </c>
      <c r="DI358" s="79" t="s">
        <v>181</v>
      </c>
      <c r="DJ358" s="79" t="s">
        <v>182</v>
      </c>
      <c r="DK358" s="79" t="s">
        <v>153</v>
      </c>
      <c r="DL358" s="79">
        <v>12</v>
      </c>
      <c r="DM358" s="79">
        <v>12</v>
      </c>
      <c r="DN358" s="79" t="s">
        <v>182</v>
      </c>
      <c r="DO358" s="79" t="s">
        <v>179</v>
      </c>
      <c r="DP358" s="79" t="s">
        <v>182</v>
      </c>
      <c r="DQ358" s="79">
        <v>7</v>
      </c>
      <c r="DR358" s="75">
        <f t="shared" si="208"/>
        <v>1.0144927536231885</v>
      </c>
      <c r="DS358" s="79" t="s">
        <v>191</v>
      </c>
      <c r="DT358" s="79">
        <v>0</v>
      </c>
      <c r="DU358" s="75">
        <f t="shared" si="209"/>
        <v>0</v>
      </c>
      <c r="DV358" s="79" t="s">
        <v>182</v>
      </c>
      <c r="DW358" s="79" t="s">
        <v>182</v>
      </c>
      <c r="DX358" s="79">
        <v>1</v>
      </c>
      <c r="DY358" s="79">
        <v>0</v>
      </c>
      <c r="DZ358" s="79"/>
      <c r="EA358" s="79" t="s">
        <v>179</v>
      </c>
      <c r="EB358" s="79" t="s">
        <v>182</v>
      </c>
      <c r="EC358" s="79" t="s">
        <v>2665</v>
      </c>
      <c r="ED358" s="79"/>
      <c r="EE358" s="79" t="str">
        <f>IF(DI358="Subsanado","Completo","Por Completar")</f>
        <v>Completo</v>
      </c>
      <c r="EF358" s="41"/>
      <c r="EG358" s="79" t="s">
        <v>153</v>
      </c>
      <c r="EH358" s="71"/>
      <c r="EI358" s="89" t="s">
        <v>2666</v>
      </c>
      <c r="EJ358" s="71"/>
      <c r="EK358" s="79" t="s">
        <v>2418</v>
      </c>
      <c r="EL358" s="76" t="str">
        <f t="shared" si="210"/>
        <v>No</v>
      </c>
      <c r="EM358" s="76" t="str">
        <f t="shared" si="211"/>
        <v>No</v>
      </c>
      <c r="EN358" s="76" t="str">
        <f t="shared" si="195"/>
        <v>Sí</v>
      </c>
      <c r="EO358" s="71"/>
      <c r="EP358" s="73">
        <f t="shared" si="212"/>
        <v>1</v>
      </c>
      <c r="EQ358" s="77">
        <f t="shared" si="213"/>
        <v>0</v>
      </c>
      <c r="ER358" s="71"/>
      <c r="ES358" s="79" t="s">
        <v>2418</v>
      </c>
      <c r="ET358" s="73">
        <f t="shared" si="214"/>
        <v>0.83333333333333337</v>
      </c>
      <c r="EU358" s="73">
        <f t="shared" si="196"/>
        <v>1</v>
      </c>
      <c r="EV358" s="73">
        <f t="shared" si="215"/>
        <v>1</v>
      </c>
      <c r="EW358" s="73" t="str">
        <f t="shared" si="216"/>
        <v>No aplica</v>
      </c>
      <c r="EX358" s="78"/>
      <c r="EY358" s="78"/>
    </row>
    <row r="359" spans="1:155" ht="46.5" customHeight="1">
      <c r="A359" s="79" t="str">
        <v/>
      </c>
      <c r="B359" s="80" t="s">
        <v>2667</v>
      </c>
      <c r="C359" s="81">
        <v>45406</v>
      </c>
      <c r="D359" s="82">
        <v>0.375</v>
      </c>
      <c r="E359" s="79" t="s">
        <v>151</v>
      </c>
      <c r="F359" s="79" t="s">
        <v>152</v>
      </c>
      <c r="G359" s="79" t="s">
        <v>152</v>
      </c>
      <c r="H359" s="79" t="s">
        <v>152</v>
      </c>
      <c r="I359" s="79" t="s">
        <v>152</v>
      </c>
      <c r="J359" s="79" t="s">
        <v>251</v>
      </c>
      <c r="K359" s="79" t="s">
        <v>202</v>
      </c>
      <c r="L359" s="80" t="s">
        <v>2668</v>
      </c>
      <c r="M359" s="80" t="s">
        <v>229</v>
      </c>
      <c r="N359" s="79" t="s">
        <v>749</v>
      </c>
      <c r="O359" s="80" t="str">
        <f t="shared" si="204"/>
        <v>Camilo Andrés Vásquez</v>
      </c>
      <c r="P359" s="79" t="s">
        <v>373</v>
      </c>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t="s">
        <v>304</v>
      </c>
      <c r="AP359" s="79"/>
      <c r="AQ359" s="80" t="s">
        <v>171</v>
      </c>
      <c r="AR359" s="83" t="s">
        <v>171</v>
      </c>
      <c r="AS359" s="80" t="s">
        <v>171</v>
      </c>
      <c r="AT359" s="80" t="str">
        <f t="shared" si="205"/>
        <v>Puente Aranda</v>
      </c>
      <c r="AU359" s="79" t="s">
        <v>1235</v>
      </c>
      <c r="AV359" s="79"/>
      <c r="AW359" s="79"/>
      <c r="AX359" s="79"/>
      <c r="AY359" s="79"/>
      <c r="AZ359" s="79"/>
      <c r="BA359" s="80" t="str">
        <f t="shared" si="206"/>
        <v>Centro Ampliado</v>
      </c>
      <c r="BB359" s="79" t="s">
        <v>636</v>
      </c>
      <c r="BC359" s="79"/>
      <c r="BD359" s="79"/>
      <c r="BE359" s="79"/>
      <c r="BF359" s="79"/>
      <c r="BG359" s="79"/>
      <c r="BH359" s="80" t="str">
        <f t="shared" si="207"/>
        <v>Puente Aranda</v>
      </c>
      <c r="BI359" s="79" t="s">
        <v>1235</v>
      </c>
      <c r="BJ359" s="79"/>
      <c r="BK359" s="79"/>
      <c r="BL359" s="79"/>
      <c r="BM359" s="79"/>
      <c r="BN359" s="79"/>
      <c r="BO359" s="79"/>
      <c r="BP359" s="79"/>
      <c r="BQ359" s="79"/>
      <c r="BR359" s="79"/>
      <c r="BS359" s="80" t="s">
        <v>288</v>
      </c>
      <c r="BT359" s="80" t="s">
        <v>174</v>
      </c>
      <c r="BU359" s="89" t="s">
        <v>2669</v>
      </c>
      <c r="BV359" s="71"/>
      <c r="BW359" s="79" t="s">
        <v>152</v>
      </c>
      <c r="BX359" s="79" t="s">
        <v>179</v>
      </c>
      <c r="BY359" s="71"/>
      <c r="BZ359" s="79">
        <v>0</v>
      </c>
      <c r="CA359" s="79">
        <v>8</v>
      </c>
      <c r="CB359" s="79">
        <f t="shared" si="223"/>
        <v>8</v>
      </c>
      <c r="CC359" s="79" t="str">
        <f t="shared" si="194"/>
        <v>No Aplica</v>
      </c>
      <c r="CD359" s="79" t="s">
        <v>177</v>
      </c>
      <c r="CE359" s="79"/>
      <c r="CF359" s="79"/>
      <c r="CG359" s="83" t="s">
        <v>2670</v>
      </c>
      <c r="CH359" s="41"/>
      <c r="CI359" s="79" t="s">
        <v>153</v>
      </c>
      <c r="CJ359" s="71"/>
      <c r="CK359" s="79">
        <f t="shared" si="177"/>
        <v>0</v>
      </c>
      <c r="CL359" s="79"/>
      <c r="CM359" s="79"/>
      <c r="CN359" s="79"/>
      <c r="CO359" s="79"/>
      <c r="CP359" s="79"/>
      <c r="CQ359" s="79"/>
      <c r="CR359" s="83" t="s">
        <v>179</v>
      </c>
      <c r="CS359" s="83" t="s">
        <v>179</v>
      </c>
      <c r="CT359" s="83" t="s">
        <v>179</v>
      </c>
      <c r="CU359" s="83" t="s">
        <v>179</v>
      </c>
      <c r="CV359" s="83" t="s">
        <v>179</v>
      </c>
      <c r="CW359" s="83" t="s">
        <v>179</v>
      </c>
      <c r="CX359" s="79" t="s">
        <v>153</v>
      </c>
      <c r="CY359" s="79">
        <f t="shared" si="219"/>
        <v>0</v>
      </c>
      <c r="CZ359" s="79">
        <v>0</v>
      </c>
      <c r="DA359" s="79">
        <f t="shared" si="220"/>
        <v>0</v>
      </c>
      <c r="DB359" s="84" t="str">
        <f t="shared" si="221"/>
        <v/>
      </c>
      <c r="DC359" s="41"/>
      <c r="DD359" s="79" t="s">
        <v>153</v>
      </c>
      <c r="DE359" s="71"/>
      <c r="DF359" s="85" t="s">
        <v>2671</v>
      </c>
      <c r="DG359" s="79">
        <v>349</v>
      </c>
      <c r="DH359" s="86" t="str">
        <f t="shared" si="225"/>
        <v>Completo</v>
      </c>
      <c r="DI359" s="79" t="s">
        <v>181</v>
      </c>
      <c r="DJ359" s="79" t="s">
        <v>182</v>
      </c>
      <c r="DK359" s="79"/>
      <c r="DL359" s="79">
        <v>0</v>
      </c>
      <c r="DM359" s="79">
        <v>0</v>
      </c>
      <c r="DN359" s="79"/>
      <c r="DO359" s="79"/>
      <c r="DP359" s="79"/>
      <c r="DQ359" s="79"/>
      <c r="DR359" s="75" t="str">
        <f t="shared" si="208"/>
        <v>No aplica</v>
      </c>
      <c r="DS359" s="79"/>
      <c r="DT359" s="79"/>
      <c r="DU359" s="75" t="str">
        <f t="shared" si="209"/>
        <v>No aplica</v>
      </c>
      <c r="DV359" s="79" t="s">
        <v>182</v>
      </c>
      <c r="DW359" s="79" t="s">
        <v>182</v>
      </c>
      <c r="DX359" s="79"/>
      <c r="DY359" s="79"/>
      <c r="DZ359" s="79"/>
      <c r="EA359" s="79"/>
      <c r="EB359" s="79"/>
      <c r="EC359" s="79"/>
      <c r="ED359" s="79" t="s">
        <v>184</v>
      </c>
      <c r="EE359" s="79" t="str">
        <f t="shared" ref="EE359:EE368" si="226">IF(DI359="Subsanado","Completo","Por Completar")</f>
        <v>Completo</v>
      </c>
      <c r="EF359" s="41"/>
      <c r="EG359" s="79" t="s">
        <v>153</v>
      </c>
      <c r="EH359" s="71"/>
      <c r="EI359" s="80"/>
      <c r="EJ359" s="71"/>
      <c r="EK359" s="79"/>
      <c r="EL359" s="76" t="str">
        <f t="shared" si="210"/>
        <v>No requiere</v>
      </c>
      <c r="EM359" s="76" t="str">
        <f t="shared" si="211"/>
        <v>No requiere</v>
      </c>
      <c r="EN359" s="76" t="str">
        <f t="shared" si="195"/>
        <v>No requiere</v>
      </c>
      <c r="EO359" s="71"/>
      <c r="EP359" s="73" t="str">
        <f t="shared" si="212"/>
        <v>No requiere</v>
      </c>
      <c r="EQ359" s="77" t="str">
        <f t="shared" si="213"/>
        <v>No requiere</v>
      </c>
      <c r="ER359" s="71"/>
      <c r="ES359" s="79"/>
      <c r="ET359" s="73" t="str">
        <f t="shared" si="214"/>
        <v>No requiere</v>
      </c>
      <c r="EU359" s="73" t="str">
        <f t="shared" si="196"/>
        <v>No requiere</v>
      </c>
      <c r="EV359" s="73" t="str">
        <f t="shared" si="215"/>
        <v>No requiere</v>
      </c>
      <c r="EW359" s="73" t="str">
        <f t="shared" si="216"/>
        <v>No requiere</v>
      </c>
      <c r="EX359" s="78"/>
      <c r="EY359" s="78"/>
    </row>
    <row r="360" spans="1:155" ht="46.5" customHeight="1">
      <c r="A360" s="79" t="str">
        <v/>
      </c>
      <c r="B360" s="80" t="s">
        <v>2672</v>
      </c>
      <c r="C360" s="81">
        <v>45406</v>
      </c>
      <c r="D360" s="82">
        <v>0.54166666666666663</v>
      </c>
      <c r="E360" s="79" t="s">
        <v>151</v>
      </c>
      <c r="F360" s="79" t="s">
        <v>152</v>
      </c>
      <c r="G360" s="79" t="s">
        <v>152</v>
      </c>
      <c r="H360" s="79" t="s">
        <v>152</v>
      </c>
      <c r="I360" s="79" t="s">
        <v>152</v>
      </c>
      <c r="J360" s="79" t="s">
        <v>272</v>
      </c>
      <c r="K360" s="79" t="s">
        <v>202</v>
      </c>
      <c r="L360" s="80" t="s">
        <v>2673</v>
      </c>
      <c r="M360" s="80" t="s">
        <v>229</v>
      </c>
      <c r="N360" s="79" t="s">
        <v>1387</v>
      </c>
      <c r="O360" s="80" t="str">
        <f t="shared" si="204"/>
        <v/>
      </c>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t="s">
        <v>169</v>
      </c>
      <c r="AP360" s="79" t="s">
        <v>214</v>
      </c>
      <c r="AQ360" s="80" t="s">
        <v>2674</v>
      </c>
      <c r="AR360" s="83" t="s">
        <v>1988</v>
      </c>
      <c r="AS360" s="80" t="s">
        <v>2675</v>
      </c>
      <c r="AT360" s="80" t="str">
        <f t="shared" si="205"/>
        <v>Teusaquillo</v>
      </c>
      <c r="AU360" s="79" t="s">
        <v>1004</v>
      </c>
      <c r="AV360" s="79"/>
      <c r="AW360" s="79"/>
      <c r="AX360" s="79"/>
      <c r="AY360" s="79"/>
      <c r="AZ360" s="79"/>
      <c r="BA360" s="80" t="str">
        <f t="shared" si="206"/>
        <v>Centro Ampliado</v>
      </c>
      <c r="BB360" s="79" t="s">
        <v>636</v>
      </c>
      <c r="BC360" s="79"/>
      <c r="BD360" s="79"/>
      <c r="BE360" s="79"/>
      <c r="BF360" s="79"/>
      <c r="BG360" s="79"/>
      <c r="BH360" s="80" t="str">
        <f t="shared" si="207"/>
        <v>Teusaquillo</v>
      </c>
      <c r="BI360" s="79" t="s">
        <v>1004</v>
      </c>
      <c r="BJ360" s="79"/>
      <c r="BK360" s="79"/>
      <c r="BL360" s="79"/>
      <c r="BM360" s="79"/>
      <c r="BN360" s="79"/>
      <c r="BO360" s="79"/>
      <c r="BP360" s="79"/>
      <c r="BQ360" s="79"/>
      <c r="BR360" s="79"/>
      <c r="BS360" s="80" t="s">
        <v>1004</v>
      </c>
      <c r="BT360" s="80" t="s">
        <v>174</v>
      </c>
      <c r="BU360" s="89" t="s">
        <v>2676</v>
      </c>
      <c r="BV360" s="71"/>
      <c r="BW360" s="79" t="s">
        <v>152</v>
      </c>
      <c r="BX360" s="79" t="s">
        <v>179</v>
      </c>
      <c r="BY360" s="71"/>
      <c r="BZ360" s="79">
        <v>27</v>
      </c>
      <c r="CA360" s="79">
        <v>3</v>
      </c>
      <c r="CB360" s="79">
        <f t="shared" si="223"/>
        <v>30</v>
      </c>
      <c r="CC360" s="79" t="str">
        <f t="shared" si="194"/>
        <v>No Aplica</v>
      </c>
      <c r="CD360" s="79" t="s">
        <v>177</v>
      </c>
      <c r="CE360" s="79"/>
      <c r="CF360" s="79"/>
      <c r="CG360" s="83" t="s">
        <v>2677</v>
      </c>
      <c r="CH360" s="41"/>
      <c r="CI360" s="79" t="s">
        <v>153</v>
      </c>
      <c r="CJ360" s="71"/>
      <c r="CK360" s="79">
        <f t="shared" si="177"/>
        <v>0</v>
      </c>
      <c r="CL360" s="79"/>
      <c r="CM360" s="79"/>
      <c r="CN360" s="79"/>
      <c r="CO360" s="79"/>
      <c r="CP360" s="79"/>
      <c r="CQ360" s="79"/>
      <c r="CR360" s="83" t="s">
        <v>179</v>
      </c>
      <c r="CS360" s="83" t="s">
        <v>179</v>
      </c>
      <c r="CT360" s="83" t="s">
        <v>179</v>
      </c>
      <c r="CU360" s="83" t="s">
        <v>179</v>
      </c>
      <c r="CV360" s="83" t="s">
        <v>179</v>
      </c>
      <c r="CW360" s="83" t="s">
        <v>179</v>
      </c>
      <c r="CX360" s="79" t="s">
        <v>153</v>
      </c>
      <c r="CY360" s="79">
        <f t="shared" si="219"/>
        <v>0</v>
      </c>
      <c r="CZ360" s="79">
        <v>0</v>
      </c>
      <c r="DA360" s="79">
        <f t="shared" si="220"/>
        <v>0</v>
      </c>
      <c r="DB360" s="84" t="str">
        <f t="shared" si="221"/>
        <v/>
      </c>
      <c r="DC360" s="41"/>
      <c r="DD360" s="79" t="s">
        <v>153</v>
      </c>
      <c r="DE360" s="71"/>
      <c r="DF360" s="85" t="s">
        <v>2678</v>
      </c>
      <c r="DG360" s="79">
        <v>350</v>
      </c>
      <c r="DH360" s="86" t="str">
        <f t="shared" si="225"/>
        <v>Completo</v>
      </c>
      <c r="DI360" s="79" t="s">
        <v>181</v>
      </c>
      <c r="DJ360" s="79" t="s">
        <v>182</v>
      </c>
      <c r="DK360" s="79"/>
      <c r="DL360" s="79">
        <v>0</v>
      </c>
      <c r="DM360" s="79">
        <v>0</v>
      </c>
      <c r="DN360" s="79" t="s">
        <v>182</v>
      </c>
      <c r="DO360" s="79"/>
      <c r="DP360" s="79"/>
      <c r="DQ360" s="79"/>
      <c r="DR360" s="75" t="str">
        <f t="shared" si="208"/>
        <v>No aplica</v>
      </c>
      <c r="DS360" s="79"/>
      <c r="DT360" s="79"/>
      <c r="DU360" s="75" t="str">
        <f t="shared" si="209"/>
        <v>No aplica</v>
      </c>
      <c r="DV360" s="79" t="s">
        <v>182</v>
      </c>
      <c r="DW360" s="79" t="s">
        <v>182</v>
      </c>
      <c r="DX360" s="79"/>
      <c r="DY360" s="79"/>
      <c r="DZ360" s="79"/>
      <c r="EA360" s="79"/>
      <c r="EB360" s="79"/>
      <c r="EC360" s="79"/>
      <c r="ED360" s="79" t="s">
        <v>184</v>
      </c>
      <c r="EE360" s="79" t="str">
        <f t="shared" si="226"/>
        <v>Completo</v>
      </c>
      <c r="EF360" s="41"/>
      <c r="EG360" s="79" t="s">
        <v>153</v>
      </c>
      <c r="EH360" s="71"/>
      <c r="EI360" s="80"/>
      <c r="EJ360" s="71"/>
      <c r="EK360" s="79"/>
      <c r="EL360" s="76" t="str">
        <f t="shared" si="210"/>
        <v>No requiere</v>
      </c>
      <c r="EM360" s="76" t="str">
        <f t="shared" si="211"/>
        <v>No requiere</v>
      </c>
      <c r="EN360" s="76" t="str">
        <f t="shared" si="195"/>
        <v>No requiere</v>
      </c>
      <c r="EO360" s="71"/>
      <c r="EP360" s="73" t="str">
        <f t="shared" si="212"/>
        <v>No requiere</v>
      </c>
      <c r="EQ360" s="77" t="str">
        <f t="shared" si="213"/>
        <v>No requiere</v>
      </c>
      <c r="ER360" s="71"/>
      <c r="ES360" s="79"/>
      <c r="ET360" s="73" t="str">
        <f t="shared" si="214"/>
        <v>No requiere</v>
      </c>
      <c r="EU360" s="73" t="str">
        <f t="shared" si="196"/>
        <v>No requiere</v>
      </c>
      <c r="EV360" s="73" t="str">
        <f t="shared" si="215"/>
        <v>No requiere</v>
      </c>
      <c r="EW360" s="73" t="str">
        <f t="shared" si="216"/>
        <v>No requiere</v>
      </c>
      <c r="EX360" s="78"/>
      <c r="EY360" s="78"/>
    </row>
    <row r="361" spans="1:155" ht="46.5" customHeight="1">
      <c r="A361" s="79">
        <v>357</v>
      </c>
      <c r="B361" s="80" t="s">
        <v>2679</v>
      </c>
      <c r="C361" s="81">
        <v>45406</v>
      </c>
      <c r="D361" s="82">
        <v>0.625</v>
      </c>
      <c r="E361" s="79" t="s">
        <v>200</v>
      </c>
      <c r="F361" s="79" t="s">
        <v>153</v>
      </c>
      <c r="G361" s="79" t="s">
        <v>152</v>
      </c>
      <c r="H361" s="79" t="s">
        <v>152</v>
      </c>
      <c r="I361" s="79" t="s">
        <v>152</v>
      </c>
      <c r="J361" s="79" t="s">
        <v>211</v>
      </c>
      <c r="K361" s="79" t="s">
        <v>202</v>
      </c>
      <c r="L361" s="80" t="s">
        <v>2680</v>
      </c>
      <c r="M361" s="80" t="s">
        <v>157</v>
      </c>
      <c r="N361" s="79" t="s">
        <v>522</v>
      </c>
      <c r="O361" s="80" t="str">
        <f t="shared" si="204"/>
        <v/>
      </c>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t="s">
        <v>230</v>
      </c>
      <c r="AP361" s="79" t="s">
        <v>242</v>
      </c>
      <c r="AQ361" s="80" t="s">
        <v>1041</v>
      </c>
      <c r="AR361" s="83" t="s">
        <v>2681</v>
      </c>
      <c r="AS361" s="80" t="s">
        <v>1042</v>
      </c>
      <c r="AT361" s="80" t="str">
        <f t="shared" si="205"/>
        <v>Distrital</v>
      </c>
      <c r="AU361" s="79" t="s">
        <v>172</v>
      </c>
      <c r="AV361" s="79"/>
      <c r="AW361" s="79"/>
      <c r="AX361" s="79"/>
      <c r="AY361" s="79"/>
      <c r="AZ361" s="79"/>
      <c r="BA361" s="80" t="str">
        <f t="shared" si="206"/>
        <v>Distrital</v>
      </c>
      <c r="BB361" s="79" t="s">
        <v>172</v>
      </c>
      <c r="BC361" s="79"/>
      <c r="BD361" s="79"/>
      <c r="BE361" s="79"/>
      <c r="BF361" s="79"/>
      <c r="BG361" s="79"/>
      <c r="BH361" s="80" t="str">
        <f t="shared" si="207"/>
        <v>Distrital</v>
      </c>
      <c r="BI361" s="79" t="s">
        <v>172</v>
      </c>
      <c r="BJ361" s="79"/>
      <c r="BK361" s="79"/>
      <c r="BL361" s="79"/>
      <c r="BM361" s="79"/>
      <c r="BN361" s="79"/>
      <c r="BO361" s="79"/>
      <c r="BP361" s="79"/>
      <c r="BQ361" s="79"/>
      <c r="BR361" s="79"/>
      <c r="BS361" s="80" t="s">
        <v>288</v>
      </c>
      <c r="BT361" s="80" t="s">
        <v>174</v>
      </c>
      <c r="BU361" s="89" t="s">
        <v>2682</v>
      </c>
      <c r="BV361" s="71"/>
      <c r="BW361" s="79" t="s">
        <v>152</v>
      </c>
      <c r="BX361" s="79" t="s">
        <v>179</v>
      </c>
      <c r="BY361" s="71"/>
      <c r="BZ361" s="79">
        <v>11</v>
      </c>
      <c r="CA361" s="79">
        <v>1</v>
      </c>
      <c r="CB361" s="79">
        <f t="shared" si="223"/>
        <v>12</v>
      </c>
      <c r="CC361" s="79" t="str">
        <f t="shared" si="194"/>
        <v>No Aplica</v>
      </c>
      <c r="CD361" s="79" t="s">
        <v>177</v>
      </c>
      <c r="CE361" s="79"/>
      <c r="CF361" s="79"/>
      <c r="CG361" s="83" t="s">
        <v>2683</v>
      </c>
      <c r="CH361" s="41"/>
      <c r="CI361" s="79" t="s">
        <v>153</v>
      </c>
      <c r="CJ361" s="71"/>
      <c r="CK361" s="79">
        <f t="shared" si="177"/>
        <v>0</v>
      </c>
      <c r="CL361" s="79"/>
      <c r="CM361" s="79"/>
      <c r="CN361" s="79"/>
      <c r="CO361" s="79"/>
      <c r="CP361" s="79"/>
      <c r="CQ361" s="79"/>
      <c r="CR361" s="83" t="s">
        <v>179</v>
      </c>
      <c r="CS361" s="83" t="s">
        <v>179</v>
      </c>
      <c r="CT361" s="83" t="s">
        <v>179</v>
      </c>
      <c r="CU361" s="83" t="s">
        <v>179</v>
      </c>
      <c r="CV361" s="83" t="s">
        <v>179</v>
      </c>
      <c r="CW361" s="83" t="s">
        <v>179</v>
      </c>
      <c r="CX361" s="79" t="s">
        <v>153</v>
      </c>
      <c r="CY361" s="79">
        <f t="shared" si="219"/>
        <v>0</v>
      </c>
      <c r="CZ361" s="79">
        <v>0</v>
      </c>
      <c r="DA361" s="79">
        <f t="shared" si="220"/>
        <v>0</v>
      </c>
      <c r="DB361" s="84" t="str">
        <f t="shared" si="221"/>
        <v/>
      </c>
      <c r="DC361" s="41"/>
      <c r="DD361" s="79" t="s">
        <v>153</v>
      </c>
      <c r="DE361" s="71"/>
      <c r="DF361" s="85" t="s">
        <v>2684</v>
      </c>
      <c r="DG361" s="79">
        <v>351</v>
      </c>
      <c r="DH361" s="86" t="str">
        <f t="shared" si="225"/>
        <v>Completo</v>
      </c>
      <c r="DI361" s="79" t="s">
        <v>181</v>
      </c>
      <c r="DJ361" s="79" t="s">
        <v>182</v>
      </c>
      <c r="DK361" s="79"/>
      <c r="DL361" s="79">
        <v>0</v>
      </c>
      <c r="DM361" s="79">
        <v>0</v>
      </c>
      <c r="DN361" s="79" t="s">
        <v>182</v>
      </c>
      <c r="DO361" s="79"/>
      <c r="DP361" s="79"/>
      <c r="DQ361" s="79"/>
      <c r="DR361" s="75" t="str">
        <f t="shared" si="208"/>
        <v>No aplica</v>
      </c>
      <c r="DS361" s="79"/>
      <c r="DT361" s="79"/>
      <c r="DU361" s="75" t="str">
        <f t="shared" si="209"/>
        <v>No aplica</v>
      </c>
      <c r="DV361" s="79" t="s">
        <v>182</v>
      </c>
      <c r="DW361" s="79" t="s">
        <v>182</v>
      </c>
      <c r="DX361" s="79"/>
      <c r="DY361" s="79"/>
      <c r="DZ361" s="79"/>
      <c r="EA361" s="79"/>
      <c r="EB361" s="79"/>
      <c r="EC361" s="79"/>
      <c r="ED361" s="79" t="s">
        <v>184</v>
      </c>
      <c r="EE361" s="79" t="str">
        <f t="shared" si="226"/>
        <v>Completo</v>
      </c>
      <c r="EF361" s="41"/>
      <c r="EG361" s="79" t="s">
        <v>153</v>
      </c>
      <c r="EH361" s="71"/>
      <c r="EI361" s="80"/>
      <c r="EJ361" s="71"/>
      <c r="EK361" s="79"/>
      <c r="EL361" s="76" t="str">
        <f t="shared" si="210"/>
        <v>No requiere</v>
      </c>
      <c r="EM361" s="76" t="str">
        <f t="shared" si="211"/>
        <v>No requiere</v>
      </c>
      <c r="EN361" s="76" t="str">
        <f t="shared" si="195"/>
        <v>No requiere</v>
      </c>
      <c r="EO361" s="71"/>
      <c r="EP361" s="73" t="str">
        <f t="shared" si="212"/>
        <v>No requiere</v>
      </c>
      <c r="EQ361" s="77" t="str">
        <f t="shared" si="213"/>
        <v>No requiere</v>
      </c>
      <c r="ER361" s="71"/>
      <c r="ES361" s="79"/>
      <c r="ET361" s="73" t="str">
        <f t="shared" si="214"/>
        <v>No requiere</v>
      </c>
      <c r="EU361" s="73" t="str">
        <f t="shared" si="196"/>
        <v>No requiere</v>
      </c>
      <c r="EV361" s="73" t="str">
        <f t="shared" si="215"/>
        <v>No requiere</v>
      </c>
      <c r="EW361" s="73" t="str">
        <f t="shared" si="216"/>
        <v>No requiere</v>
      </c>
      <c r="EX361" s="78"/>
      <c r="EY361" s="78"/>
    </row>
    <row r="362" spans="1:155" ht="46.5" customHeight="1">
      <c r="A362" s="79" t="str">
        <v/>
      </c>
      <c r="B362" s="80" t="s">
        <v>2685</v>
      </c>
      <c r="C362" s="81">
        <v>45406</v>
      </c>
      <c r="D362" s="82">
        <v>0.625</v>
      </c>
      <c r="E362" s="79" t="s">
        <v>151</v>
      </c>
      <c r="F362" s="79" t="s">
        <v>152</v>
      </c>
      <c r="G362" s="79" t="s">
        <v>152</v>
      </c>
      <c r="H362" s="79" t="s">
        <v>152</v>
      </c>
      <c r="I362" s="79" t="s">
        <v>152</v>
      </c>
      <c r="J362" s="79" t="s">
        <v>154</v>
      </c>
      <c r="K362" s="79" t="s">
        <v>155</v>
      </c>
      <c r="L362" s="80" t="s">
        <v>2686</v>
      </c>
      <c r="M362" s="80" t="s">
        <v>157</v>
      </c>
      <c r="N362" s="79" t="s">
        <v>887</v>
      </c>
      <c r="O362" s="80" t="str">
        <f t="shared" si="204"/>
        <v>Yeiker Guerra Sarmiento</v>
      </c>
      <c r="P362" s="79" t="s">
        <v>163</v>
      </c>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t="s">
        <v>230</v>
      </c>
      <c r="AP362" s="79" t="s">
        <v>347</v>
      </c>
      <c r="AQ362" s="80" t="s">
        <v>2687</v>
      </c>
      <c r="AR362" s="83">
        <v>3112347666</v>
      </c>
      <c r="AS362" s="80" t="s">
        <v>2688</v>
      </c>
      <c r="AT362" s="80" t="str">
        <f t="shared" si="205"/>
        <v>Rafael Uribe Uribe</v>
      </c>
      <c r="AU362" s="79" t="s">
        <v>635</v>
      </c>
      <c r="AV362" s="79"/>
      <c r="AW362" s="79"/>
      <c r="AX362" s="79"/>
      <c r="AY362" s="79"/>
      <c r="AZ362" s="79"/>
      <c r="BA362" s="80" t="str">
        <f t="shared" si="206"/>
        <v>Centro Ampliado, Suroriente</v>
      </c>
      <c r="BB362" s="79" t="s">
        <v>636</v>
      </c>
      <c r="BC362" s="79" t="s">
        <v>218</v>
      </c>
      <c r="BD362" s="79"/>
      <c r="BE362" s="79"/>
      <c r="BF362" s="79"/>
      <c r="BG362" s="79"/>
      <c r="BH362" s="80" t="str">
        <f t="shared" si="207"/>
        <v>Restrepo, Rafael Uribe, San Cristobal</v>
      </c>
      <c r="BI362" s="79" t="s">
        <v>637</v>
      </c>
      <c r="BJ362" s="79" t="s">
        <v>723</v>
      </c>
      <c r="BK362" s="79" t="s">
        <v>571</v>
      </c>
      <c r="BL362" s="79"/>
      <c r="BM362" s="79"/>
      <c r="BN362" s="79"/>
      <c r="BO362" s="79"/>
      <c r="BP362" s="79"/>
      <c r="BQ362" s="79"/>
      <c r="BR362" s="79"/>
      <c r="BS362" s="80" t="s">
        <v>2689</v>
      </c>
      <c r="BT362" s="80" t="s">
        <v>174</v>
      </c>
      <c r="BU362" s="80" t="s">
        <v>2690</v>
      </c>
      <c r="BV362" s="71"/>
      <c r="BW362" s="79" t="s">
        <v>152</v>
      </c>
      <c r="BX362" s="79" t="s">
        <v>179</v>
      </c>
      <c r="BY362" s="71"/>
      <c r="BZ362" s="79">
        <v>12</v>
      </c>
      <c r="CA362" s="79">
        <v>1</v>
      </c>
      <c r="CB362" s="79">
        <f t="shared" si="223"/>
        <v>13</v>
      </c>
      <c r="CC362" s="79" t="str">
        <f t="shared" si="194"/>
        <v>No Aplica</v>
      </c>
      <c r="CD362" s="79" t="s">
        <v>177</v>
      </c>
      <c r="CE362" s="79"/>
      <c r="CF362" s="79"/>
      <c r="CG362" s="83" t="s">
        <v>2691</v>
      </c>
      <c r="CH362" s="41"/>
      <c r="CI362" s="79" t="s">
        <v>153</v>
      </c>
      <c r="CJ362" s="71"/>
      <c r="CK362" s="79">
        <f t="shared" si="177"/>
        <v>0</v>
      </c>
      <c r="CL362" s="79"/>
      <c r="CM362" s="79"/>
      <c r="CN362" s="79"/>
      <c r="CO362" s="79"/>
      <c r="CP362" s="79"/>
      <c r="CQ362" s="79"/>
      <c r="CR362" s="83" t="s">
        <v>179</v>
      </c>
      <c r="CS362" s="83" t="s">
        <v>179</v>
      </c>
      <c r="CT362" s="83" t="s">
        <v>179</v>
      </c>
      <c r="CU362" s="83" t="s">
        <v>179</v>
      </c>
      <c r="CV362" s="83" t="s">
        <v>179</v>
      </c>
      <c r="CW362" s="83" t="s">
        <v>179</v>
      </c>
      <c r="CX362" s="79" t="s">
        <v>153</v>
      </c>
      <c r="CY362" s="79">
        <f t="shared" si="219"/>
        <v>0</v>
      </c>
      <c r="CZ362" s="79">
        <v>0</v>
      </c>
      <c r="DA362" s="79">
        <f t="shared" si="220"/>
        <v>0</v>
      </c>
      <c r="DB362" s="84" t="str">
        <f t="shared" si="221"/>
        <v/>
      </c>
      <c r="DC362" s="41"/>
      <c r="DD362" s="79" t="s">
        <v>153</v>
      </c>
      <c r="DE362" s="71"/>
      <c r="DF362" s="85" t="s">
        <v>2692</v>
      </c>
      <c r="DG362" s="79">
        <v>352</v>
      </c>
      <c r="DH362" s="86" t="str">
        <f t="shared" si="225"/>
        <v>Completo</v>
      </c>
      <c r="DI362" s="79" t="s">
        <v>181</v>
      </c>
      <c r="DJ362" s="79" t="s">
        <v>182</v>
      </c>
      <c r="DK362" s="79"/>
      <c r="DL362" s="79">
        <v>0</v>
      </c>
      <c r="DM362" s="79">
        <v>0</v>
      </c>
      <c r="DN362" s="79" t="s">
        <v>182</v>
      </c>
      <c r="DO362" s="79"/>
      <c r="DP362" s="79"/>
      <c r="DQ362" s="79"/>
      <c r="DR362" s="75" t="str">
        <f t="shared" si="208"/>
        <v>No aplica</v>
      </c>
      <c r="DS362" s="79"/>
      <c r="DT362" s="79"/>
      <c r="DU362" s="75" t="str">
        <f t="shared" si="209"/>
        <v>No aplica</v>
      </c>
      <c r="DV362" s="79" t="s">
        <v>182</v>
      </c>
      <c r="DW362" s="79"/>
      <c r="DX362" s="79"/>
      <c r="DY362" s="79"/>
      <c r="DZ362" s="79"/>
      <c r="EA362" s="79"/>
      <c r="EB362" s="79"/>
      <c r="EC362" s="79"/>
      <c r="ED362" s="79" t="s">
        <v>2693</v>
      </c>
      <c r="EE362" s="79" t="str">
        <f t="shared" si="226"/>
        <v>Completo</v>
      </c>
      <c r="EF362" s="41"/>
      <c r="EG362" s="79" t="s">
        <v>153</v>
      </c>
      <c r="EH362" s="71"/>
      <c r="EI362" s="80"/>
      <c r="EJ362" s="71"/>
      <c r="EK362" s="79"/>
      <c r="EL362" s="76" t="str">
        <f t="shared" si="210"/>
        <v>No requiere</v>
      </c>
      <c r="EM362" s="76" t="str">
        <f t="shared" si="211"/>
        <v>No requiere</v>
      </c>
      <c r="EN362" s="76" t="str">
        <f t="shared" si="195"/>
        <v>No requiere</v>
      </c>
      <c r="EO362" s="71"/>
      <c r="EP362" s="73" t="str">
        <f t="shared" si="212"/>
        <v>No requiere</v>
      </c>
      <c r="EQ362" s="77" t="str">
        <f t="shared" si="213"/>
        <v>No requiere</v>
      </c>
      <c r="ER362" s="71"/>
      <c r="ES362" s="79"/>
      <c r="ET362" s="73" t="str">
        <f t="shared" si="214"/>
        <v>No requiere</v>
      </c>
      <c r="EU362" s="73" t="str">
        <f t="shared" si="196"/>
        <v>No requiere</v>
      </c>
      <c r="EV362" s="73" t="str">
        <f t="shared" si="215"/>
        <v>No requiere</v>
      </c>
      <c r="EW362" s="73" t="str">
        <f t="shared" si="216"/>
        <v>No requiere</v>
      </c>
      <c r="EX362" s="78"/>
      <c r="EY362" s="78"/>
    </row>
    <row r="363" spans="1:155" ht="46.5" customHeight="1">
      <c r="A363" s="79">
        <v>359</v>
      </c>
      <c r="B363" s="80" t="s">
        <v>2694</v>
      </c>
      <c r="C363" s="81">
        <v>45406</v>
      </c>
      <c r="D363" s="82">
        <v>0.79166666666666663</v>
      </c>
      <c r="E363" s="79" t="s">
        <v>200</v>
      </c>
      <c r="F363" s="79" t="s">
        <v>153</v>
      </c>
      <c r="G363" s="79" t="s">
        <v>152</v>
      </c>
      <c r="H363" s="79" t="s">
        <v>152</v>
      </c>
      <c r="I363" s="79" t="s">
        <v>152</v>
      </c>
      <c r="J363" s="79" t="s">
        <v>211</v>
      </c>
      <c r="K363" s="79" t="s">
        <v>202</v>
      </c>
      <c r="L363" s="80" t="s">
        <v>2695</v>
      </c>
      <c r="M363" s="80" t="s">
        <v>624</v>
      </c>
      <c r="N363" s="79" t="s">
        <v>888</v>
      </c>
      <c r="O363" s="80" t="str">
        <f t="shared" si="204"/>
        <v/>
      </c>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t="s">
        <v>230</v>
      </c>
      <c r="AP363" s="79" t="s">
        <v>242</v>
      </c>
      <c r="AQ363" s="80" t="s">
        <v>1354</v>
      </c>
      <c r="AR363" s="83">
        <v>3212029774</v>
      </c>
      <c r="AS363" s="80" t="s">
        <v>1355</v>
      </c>
      <c r="AT363" s="80" t="str">
        <f t="shared" si="205"/>
        <v>Distrital</v>
      </c>
      <c r="AU363" s="79" t="s">
        <v>172</v>
      </c>
      <c r="AV363" s="79"/>
      <c r="AW363" s="79"/>
      <c r="AX363" s="79"/>
      <c r="AY363" s="79"/>
      <c r="AZ363" s="79"/>
      <c r="BA363" s="80" t="str">
        <f t="shared" si="206"/>
        <v>Distrital</v>
      </c>
      <c r="BB363" s="79" t="s">
        <v>172</v>
      </c>
      <c r="BC363" s="79"/>
      <c r="BD363" s="79"/>
      <c r="BE363" s="79"/>
      <c r="BF363" s="79"/>
      <c r="BG363" s="79"/>
      <c r="BH363" s="80" t="str">
        <f t="shared" si="207"/>
        <v>Distrital</v>
      </c>
      <c r="BI363" s="79" t="s">
        <v>172</v>
      </c>
      <c r="BJ363" s="79"/>
      <c r="BK363" s="79"/>
      <c r="BL363" s="79"/>
      <c r="BM363" s="79"/>
      <c r="BN363" s="79"/>
      <c r="BO363" s="79"/>
      <c r="BP363" s="79"/>
      <c r="BQ363" s="79"/>
      <c r="BR363" s="79"/>
      <c r="BS363" s="80" t="s">
        <v>288</v>
      </c>
      <c r="BT363" s="80" t="s">
        <v>174</v>
      </c>
      <c r="BU363" s="89" t="s">
        <v>2696</v>
      </c>
      <c r="BV363" s="71"/>
      <c r="BW363" s="79" t="s">
        <v>152</v>
      </c>
      <c r="BX363" s="79" t="s">
        <v>179</v>
      </c>
      <c r="BY363" s="71"/>
      <c r="BZ363" s="79">
        <v>31</v>
      </c>
      <c r="CA363" s="79">
        <v>1</v>
      </c>
      <c r="CB363" s="79">
        <f t="shared" si="223"/>
        <v>32</v>
      </c>
      <c r="CC363" s="79" t="str">
        <f t="shared" si="194"/>
        <v>No Aplica</v>
      </c>
      <c r="CD363" s="79" t="s">
        <v>177</v>
      </c>
      <c r="CE363" s="79"/>
      <c r="CF363" s="79"/>
      <c r="CG363" s="83" t="s">
        <v>2697</v>
      </c>
      <c r="CH363" s="41"/>
      <c r="CI363" s="79" t="s">
        <v>153</v>
      </c>
      <c r="CJ363" s="71"/>
      <c r="CK363" s="79">
        <f t="shared" si="177"/>
        <v>0</v>
      </c>
      <c r="CL363" s="79"/>
      <c r="CM363" s="79"/>
      <c r="CN363" s="79"/>
      <c r="CO363" s="79"/>
      <c r="CP363" s="79"/>
      <c r="CQ363" s="79"/>
      <c r="CR363" s="83" t="s">
        <v>179</v>
      </c>
      <c r="CS363" s="83" t="s">
        <v>179</v>
      </c>
      <c r="CT363" s="83" t="s">
        <v>179</v>
      </c>
      <c r="CU363" s="83" t="s">
        <v>179</v>
      </c>
      <c r="CV363" s="83" t="s">
        <v>179</v>
      </c>
      <c r="CW363" s="83" t="s">
        <v>179</v>
      </c>
      <c r="CX363" s="79" t="s">
        <v>153</v>
      </c>
      <c r="CY363" s="79">
        <f t="shared" si="219"/>
        <v>0</v>
      </c>
      <c r="CZ363" s="79">
        <v>0</v>
      </c>
      <c r="DA363" s="79">
        <f t="shared" si="220"/>
        <v>0</v>
      </c>
      <c r="DB363" s="84" t="str">
        <f t="shared" si="221"/>
        <v/>
      </c>
      <c r="DC363" s="41"/>
      <c r="DD363" s="79" t="s">
        <v>153</v>
      </c>
      <c r="DE363" s="71"/>
      <c r="DF363" s="85" t="s">
        <v>2698</v>
      </c>
      <c r="DG363" s="79">
        <v>353</v>
      </c>
      <c r="DH363" s="86" t="str">
        <f t="shared" si="225"/>
        <v>Completo</v>
      </c>
      <c r="DI363" s="79" t="s">
        <v>181</v>
      </c>
      <c r="DJ363" s="79" t="s">
        <v>182</v>
      </c>
      <c r="DK363" s="79"/>
      <c r="DL363" s="79">
        <v>0</v>
      </c>
      <c r="DM363" s="79">
        <v>0</v>
      </c>
      <c r="DN363" s="79" t="s">
        <v>182</v>
      </c>
      <c r="DO363" s="79"/>
      <c r="DP363" s="79"/>
      <c r="DQ363" s="79"/>
      <c r="DR363" s="75" t="str">
        <f t="shared" si="208"/>
        <v>No aplica</v>
      </c>
      <c r="DS363" s="79"/>
      <c r="DT363" s="79"/>
      <c r="DU363" s="75" t="str">
        <f t="shared" si="209"/>
        <v>No aplica</v>
      </c>
      <c r="DV363" s="79" t="s">
        <v>182</v>
      </c>
      <c r="DW363" s="79" t="s">
        <v>182</v>
      </c>
      <c r="DX363" s="79"/>
      <c r="DY363" s="79"/>
      <c r="DZ363" s="79"/>
      <c r="EA363" s="79"/>
      <c r="EB363" s="79" t="s">
        <v>182</v>
      </c>
      <c r="EC363" s="79" t="s">
        <v>2699</v>
      </c>
      <c r="ED363" s="79" t="s">
        <v>184</v>
      </c>
      <c r="EE363" s="79" t="str">
        <f t="shared" si="226"/>
        <v>Completo</v>
      </c>
      <c r="EF363" s="41"/>
      <c r="EG363" s="79" t="s">
        <v>153</v>
      </c>
      <c r="EH363" s="71"/>
      <c r="EI363" s="80"/>
      <c r="EJ363" s="71"/>
      <c r="EK363" s="79"/>
      <c r="EL363" s="76" t="str">
        <f t="shared" si="210"/>
        <v>No requiere</v>
      </c>
      <c r="EM363" s="76" t="str">
        <f t="shared" si="211"/>
        <v>No requiere</v>
      </c>
      <c r="EN363" s="76" t="str">
        <f t="shared" si="195"/>
        <v>No requiere</v>
      </c>
      <c r="EO363" s="71"/>
      <c r="EP363" s="73" t="str">
        <f t="shared" si="212"/>
        <v>No requiere</v>
      </c>
      <c r="EQ363" s="77" t="str">
        <f t="shared" si="213"/>
        <v>No requiere</v>
      </c>
      <c r="ER363" s="71"/>
      <c r="ES363" s="79"/>
      <c r="ET363" s="73" t="str">
        <f t="shared" si="214"/>
        <v>No requiere</v>
      </c>
      <c r="EU363" s="73" t="str">
        <f t="shared" si="196"/>
        <v>No requiere</v>
      </c>
      <c r="EV363" s="73" t="str">
        <f t="shared" si="215"/>
        <v>No requiere</v>
      </c>
      <c r="EW363" s="73" t="str">
        <f t="shared" si="216"/>
        <v>No requiere</v>
      </c>
      <c r="EX363" s="78"/>
      <c r="EY363" s="78"/>
    </row>
    <row r="364" spans="1:155" ht="46.5" customHeight="1">
      <c r="A364" s="79">
        <v>360</v>
      </c>
      <c r="B364" s="80" t="s">
        <v>2700</v>
      </c>
      <c r="C364" s="81">
        <v>45407</v>
      </c>
      <c r="D364" s="82">
        <v>0.35416666666666669</v>
      </c>
      <c r="E364" s="79" t="s">
        <v>151</v>
      </c>
      <c r="F364" s="79" t="s">
        <v>153</v>
      </c>
      <c r="G364" s="79" t="s">
        <v>152</v>
      </c>
      <c r="H364" s="79" t="s">
        <v>152</v>
      </c>
      <c r="I364" s="79" t="s">
        <v>152</v>
      </c>
      <c r="J364" s="79" t="s">
        <v>504</v>
      </c>
      <c r="K364" s="79" t="s">
        <v>202</v>
      </c>
      <c r="L364" s="80" t="s">
        <v>2701</v>
      </c>
      <c r="M364" s="80" t="s">
        <v>157</v>
      </c>
      <c r="N364" s="79" t="s">
        <v>818</v>
      </c>
      <c r="O364" s="80" t="str">
        <f t="shared" si="204"/>
        <v/>
      </c>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t="s">
        <v>169</v>
      </c>
      <c r="AP364" s="79" t="s">
        <v>2702</v>
      </c>
      <c r="AQ364" s="80" t="s">
        <v>2703</v>
      </c>
      <c r="AR364" s="83" t="s">
        <v>2704</v>
      </c>
      <c r="AS364" s="80" t="s">
        <v>752</v>
      </c>
      <c r="AT364" s="80" t="str">
        <f t="shared" si="205"/>
        <v>La Candelaria</v>
      </c>
      <c r="AU364" s="79" t="s">
        <v>753</v>
      </c>
      <c r="AV364" s="79"/>
      <c r="AW364" s="79"/>
      <c r="AX364" s="79"/>
      <c r="AY364" s="79"/>
      <c r="AZ364" s="79"/>
      <c r="BA364" s="80" t="str">
        <f t="shared" si="206"/>
        <v>Centro Ampliado</v>
      </c>
      <c r="BB364" s="79" t="s">
        <v>636</v>
      </c>
      <c r="BC364" s="79"/>
      <c r="BD364" s="79"/>
      <c r="BE364" s="79"/>
      <c r="BF364" s="79"/>
      <c r="BG364" s="79"/>
      <c r="BH364" s="80" t="str">
        <f t="shared" si="207"/>
        <v>Centro Histórico</v>
      </c>
      <c r="BI364" s="79" t="s">
        <v>754</v>
      </c>
      <c r="BJ364" s="79"/>
      <c r="BK364" s="79"/>
      <c r="BL364" s="79"/>
      <c r="BM364" s="79"/>
      <c r="BN364" s="79"/>
      <c r="BO364" s="79"/>
      <c r="BP364" s="79"/>
      <c r="BQ364" s="79"/>
      <c r="BR364" s="79"/>
      <c r="BS364" s="80" t="s">
        <v>288</v>
      </c>
      <c r="BT364" s="80" t="s">
        <v>174</v>
      </c>
      <c r="BU364" s="89" t="s">
        <v>2705</v>
      </c>
      <c r="BV364" s="71"/>
      <c r="BW364" s="79" t="s">
        <v>152</v>
      </c>
      <c r="BX364" s="79" t="s">
        <v>179</v>
      </c>
      <c r="BY364" s="71"/>
      <c r="BZ364" s="79">
        <v>28</v>
      </c>
      <c r="CA364" s="79">
        <v>1</v>
      </c>
      <c r="CB364" s="79">
        <f t="shared" si="223"/>
        <v>29</v>
      </c>
      <c r="CC364" s="79" t="str">
        <f t="shared" si="194"/>
        <v>No Aplica</v>
      </c>
      <c r="CD364" s="79" t="s">
        <v>177</v>
      </c>
      <c r="CE364" s="79"/>
      <c r="CF364" s="79"/>
      <c r="CG364" s="83" t="s">
        <v>2706</v>
      </c>
      <c r="CH364" s="41"/>
      <c r="CI364" s="79" t="s">
        <v>153</v>
      </c>
      <c r="CJ364" s="71"/>
      <c r="CK364" s="79">
        <f t="shared" si="177"/>
        <v>0</v>
      </c>
      <c r="CL364" s="79"/>
      <c r="CM364" s="79"/>
      <c r="CN364" s="79"/>
      <c r="CO364" s="79"/>
      <c r="CP364" s="79"/>
      <c r="CQ364" s="79"/>
      <c r="CR364" s="83" t="s">
        <v>179</v>
      </c>
      <c r="CS364" s="83" t="s">
        <v>179</v>
      </c>
      <c r="CT364" s="83" t="s">
        <v>179</v>
      </c>
      <c r="CU364" s="83" t="s">
        <v>179</v>
      </c>
      <c r="CV364" s="83" t="s">
        <v>179</v>
      </c>
      <c r="CW364" s="83" t="s">
        <v>179</v>
      </c>
      <c r="CX364" s="79" t="s">
        <v>153</v>
      </c>
      <c r="CY364" s="79">
        <f t="shared" si="219"/>
        <v>0</v>
      </c>
      <c r="CZ364" s="79">
        <v>0</v>
      </c>
      <c r="DA364" s="79">
        <f t="shared" si="220"/>
        <v>0</v>
      </c>
      <c r="DB364" s="84" t="str">
        <f t="shared" si="221"/>
        <v/>
      </c>
      <c r="DC364" s="41"/>
      <c r="DD364" s="79" t="s">
        <v>153</v>
      </c>
      <c r="DE364" s="71"/>
      <c r="DF364" s="85" t="s">
        <v>2707</v>
      </c>
      <c r="DG364" s="79">
        <v>354</v>
      </c>
      <c r="DH364" s="86" t="str">
        <f t="shared" si="225"/>
        <v>Completo</v>
      </c>
      <c r="DI364" s="79" t="s">
        <v>181</v>
      </c>
      <c r="DJ364" s="79" t="s">
        <v>182</v>
      </c>
      <c r="DK364" s="79"/>
      <c r="DL364" s="79">
        <v>0</v>
      </c>
      <c r="DM364" s="79">
        <v>0</v>
      </c>
      <c r="DN364" s="79" t="s">
        <v>182</v>
      </c>
      <c r="DO364" s="79"/>
      <c r="DP364" s="79"/>
      <c r="DQ364" s="79"/>
      <c r="DR364" s="75" t="str">
        <f t="shared" si="208"/>
        <v>No aplica</v>
      </c>
      <c r="DS364" s="79"/>
      <c r="DT364" s="79"/>
      <c r="DU364" s="75" t="str">
        <f t="shared" si="209"/>
        <v>No aplica</v>
      </c>
      <c r="DV364" s="79" t="s">
        <v>182</v>
      </c>
      <c r="DW364" s="79" t="s">
        <v>182</v>
      </c>
      <c r="DX364" s="79"/>
      <c r="DY364" s="79"/>
      <c r="DZ364" s="79"/>
      <c r="EA364" s="79"/>
      <c r="EB364" s="79" t="s">
        <v>182</v>
      </c>
      <c r="EC364" s="79" t="s">
        <v>2708</v>
      </c>
      <c r="ED364" s="79" t="s">
        <v>184</v>
      </c>
      <c r="EE364" s="79" t="str">
        <f t="shared" si="226"/>
        <v>Completo</v>
      </c>
      <c r="EF364" s="41"/>
      <c r="EG364" s="79" t="s">
        <v>153</v>
      </c>
      <c r="EH364" s="71"/>
      <c r="EI364" s="80"/>
      <c r="EJ364" s="71"/>
      <c r="EK364" s="79"/>
      <c r="EL364" s="76" t="str">
        <f t="shared" si="210"/>
        <v>No requiere</v>
      </c>
      <c r="EM364" s="76" t="str">
        <f t="shared" si="211"/>
        <v>No requiere</v>
      </c>
      <c r="EN364" s="76" t="str">
        <f t="shared" si="195"/>
        <v>No requiere</v>
      </c>
      <c r="EO364" s="71"/>
      <c r="EP364" s="73" t="str">
        <f t="shared" si="212"/>
        <v>No requiere</v>
      </c>
      <c r="EQ364" s="77" t="str">
        <f t="shared" si="213"/>
        <v>No requiere</v>
      </c>
      <c r="ER364" s="71"/>
      <c r="ES364" s="79"/>
      <c r="ET364" s="73" t="str">
        <f t="shared" si="214"/>
        <v>No requiere</v>
      </c>
      <c r="EU364" s="73" t="str">
        <f t="shared" si="196"/>
        <v>No requiere</v>
      </c>
      <c r="EV364" s="73" t="str">
        <f t="shared" si="215"/>
        <v>No requiere</v>
      </c>
      <c r="EW364" s="73" t="str">
        <f t="shared" si="216"/>
        <v>No requiere</v>
      </c>
      <c r="EX364" s="78"/>
      <c r="EY364" s="78"/>
    </row>
    <row r="365" spans="1:155" ht="46.5" customHeight="1">
      <c r="A365" s="79">
        <v>361</v>
      </c>
      <c r="B365" s="80" t="s">
        <v>2709</v>
      </c>
      <c r="C365" s="81">
        <v>45407</v>
      </c>
      <c r="D365" s="82">
        <v>0.375</v>
      </c>
      <c r="E365" s="79" t="s">
        <v>151</v>
      </c>
      <c r="F365" s="79" t="s">
        <v>153</v>
      </c>
      <c r="G365" s="79" t="s">
        <v>153</v>
      </c>
      <c r="H365" s="79" t="s">
        <v>153</v>
      </c>
      <c r="I365" s="79" t="s">
        <v>152</v>
      </c>
      <c r="J365" s="79" t="s">
        <v>154</v>
      </c>
      <c r="K365" s="79" t="s">
        <v>155</v>
      </c>
      <c r="L365" s="80" t="s">
        <v>2596</v>
      </c>
      <c r="M365" s="80" t="s">
        <v>303</v>
      </c>
      <c r="N365" s="79" t="s">
        <v>632</v>
      </c>
      <c r="O365" s="80" t="str">
        <f t="shared" si="204"/>
        <v>Jimmy Alejandro Osorio, Joan Sebastian García</v>
      </c>
      <c r="P365" s="79" t="s">
        <v>549</v>
      </c>
      <c r="Q365" s="79" t="s">
        <v>728</v>
      </c>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t="s">
        <v>169</v>
      </c>
      <c r="AP365" s="79" t="s">
        <v>475</v>
      </c>
      <c r="AQ365" s="80" t="s">
        <v>171</v>
      </c>
      <c r="AR365" s="83" t="s">
        <v>171</v>
      </c>
      <c r="AS365" s="80" t="s">
        <v>171</v>
      </c>
      <c r="AT365" s="80" t="str">
        <f t="shared" si="205"/>
        <v>Distrital</v>
      </c>
      <c r="AU365" s="79" t="s">
        <v>172</v>
      </c>
      <c r="AV365" s="79"/>
      <c r="AW365" s="79"/>
      <c r="AX365" s="79"/>
      <c r="AY365" s="79"/>
      <c r="AZ365" s="79"/>
      <c r="BA365" s="80" t="str">
        <f t="shared" si="206"/>
        <v>Distrital</v>
      </c>
      <c r="BB365" s="79" t="s">
        <v>172</v>
      </c>
      <c r="BC365" s="79"/>
      <c r="BD365" s="79"/>
      <c r="BE365" s="79"/>
      <c r="BF365" s="79"/>
      <c r="BG365" s="79"/>
      <c r="BH365" s="80" t="str">
        <f t="shared" si="207"/>
        <v>Distrital</v>
      </c>
      <c r="BI365" s="79" t="s">
        <v>172</v>
      </c>
      <c r="BJ365" s="79"/>
      <c r="BK365" s="79"/>
      <c r="BL365" s="79"/>
      <c r="BM365" s="79"/>
      <c r="BN365" s="79"/>
      <c r="BO365" s="79"/>
      <c r="BP365" s="79"/>
      <c r="BQ365" s="79"/>
      <c r="BR365" s="79"/>
      <c r="BS365" s="80" t="s">
        <v>288</v>
      </c>
      <c r="BT365" s="80" t="s">
        <v>174</v>
      </c>
      <c r="BU365" s="80" t="s">
        <v>2599</v>
      </c>
      <c r="BV365" s="71"/>
      <c r="BW365" s="79" t="s">
        <v>153</v>
      </c>
      <c r="BX365" s="79" t="s">
        <v>2600</v>
      </c>
      <c r="BY365" s="71"/>
      <c r="BZ365" s="79">
        <v>7</v>
      </c>
      <c r="CA365" s="79">
        <v>3</v>
      </c>
      <c r="CB365" s="79">
        <f t="shared" si="223"/>
        <v>10</v>
      </c>
      <c r="CC365" s="79" t="str">
        <f t="shared" ref="CC365:CC428" si="227">_xlfn.TEXTJOIN(", ",TRUE,$CD365:$CF365)</f>
        <v>Horarios Acordes</v>
      </c>
      <c r="CD365" s="79" t="s">
        <v>351</v>
      </c>
      <c r="CE365" s="79"/>
      <c r="CF365" s="79"/>
      <c r="CG365" s="83" t="s">
        <v>2710</v>
      </c>
      <c r="CH365" s="41"/>
      <c r="CI365" s="79" t="s">
        <v>153</v>
      </c>
      <c r="CJ365" s="71"/>
      <c r="CK365" s="79">
        <f t="shared" si="177"/>
        <v>1</v>
      </c>
      <c r="CL365" s="79" t="s">
        <v>1779</v>
      </c>
      <c r="CM365" s="79"/>
      <c r="CN365" s="79"/>
      <c r="CO365" s="79"/>
      <c r="CP365" s="79"/>
      <c r="CQ365" s="79"/>
      <c r="CR365" s="83" t="s">
        <v>390</v>
      </c>
      <c r="CS365" s="83" t="s">
        <v>179</v>
      </c>
      <c r="CT365" s="83" t="s">
        <v>179</v>
      </c>
      <c r="CU365" s="83" t="s">
        <v>179</v>
      </c>
      <c r="CV365" s="83" t="s">
        <v>179</v>
      </c>
      <c r="CW365" s="83"/>
      <c r="CX365" s="79" t="s">
        <v>153</v>
      </c>
      <c r="CY365" s="79">
        <f t="shared" si="219"/>
        <v>1</v>
      </c>
      <c r="CZ365" s="79">
        <v>1</v>
      </c>
      <c r="DA365" s="79">
        <f t="shared" si="220"/>
        <v>1</v>
      </c>
      <c r="DB365" s="84">
        <f t="shared" si="221"/>
        <v>1</v>
      </c>
      <c r="DC365" s="41"/>
      <c r="DD365" s="79" t="s">
        <v>153</v>
      </c>
      <c r="DE365" s="71"/>
      <c r="DF365" s="85" t="s">
        <v>2711</v>
      </c>
      <c r="DG365" s="79">
        <v>355</v>
      </c>
      <c r="DH365" s="86" t="str">
        <f t="shared" si="225"/>
        <v>Completo</v>
      </c>
      <c r="DI365" s="79" t="s">
        <v>181</v>
      </c>
      <c r="DJ365" s="79" t="s">
        <v>182</v>
      </c>
      <c r="DK365" s="79" t="s">
        <v>153</v>
      </c>
      <c r="DL365" s="79">
        <v>11</v>
      </c>
      <c r="DM365" s="79">
        <v>11</v>
      </c>
      <c r="DN365" s="79" t="s">
        <v>182</v>
      </c>
      <c r="DO365" s="79" t="s">
        <v>179</v>
      </c>
      <c r="DP365" s="79" t="s">
        <v>182</v>
      </c>
      <c r="DQ365" s="79">
        <v>3</v>
      </c>
      <c r="DR365" s="75">
        <f t="shared" si="208"/>
        <v>1.4285714285714286</v>
      </c>
      <c r="DS365" s="79" t="s">
        <v>191</v>
      </c>
      <c r="DT365" s="79">
        <v>0</v>
      </c>
      <c r="DU365" s="75">
        <f t="shared" si="209"/>
        <v>0</v>
      </c>
      <c r="DV365" s="79" t="s">
        <v>182</v>
      </c>
      <c r="DW365" s="79" t="s">
        <v>182</v>
      </c>
      <c r="DX365" s="79">
        <v>1</v>
      </c>
      <c r="DY365" s="79">
        <v>0</v>
      </c>
      <c r="DZ365" s="79"/>
      <c r="EA365" s="79" t="s">
        <v>179</v>
      </c>
      <c r="EB365" s="79" t="s">
        <v>182</v>
      </c>
      <c r="EC365" s="79" t="s">
        <v>2712</v>
      </c>
      <c r="ED365" s="79" t="s">
        <v>184</v>
      </c>
      <c r="EE365" s="79" t="str">
        <f t="shared" si="226"/>
        <v>Completo</v>
      </c>
      <c r="EF365" s="41"/>
      <c r="EG365" s="79" t="s">
        <v>153</v>
      </c>
      <c r="EH365" s="71"/>
      <c r="EI365" s="89" t="s">
        <v>2713</v>
      </c>
      <c r="EJ365" s="71"/>
      <c r="EK365" s="79" t="s">
        <v>409</v>
      </c>
      <c r="EL365" s="76" t="str">
        <f t="shared" si="210"/>
        <v>No</v>
      </c>
      <c r="EM365" s="76" t="str">
        <f t="shared" si="211"/>
        <v>No</v>
      </c>
      <c r="EN365" s="76" t="str">
        <f t="shared" ref="EN365:EN428" si="228">IF(F365="NO","No requiere",IF(H365="No","No requiere",IF(CC365="","",IF(CD365&lt;&gt;"No aplica",IF(CD365&lt;&gt;"Ninguna",IF(COUNTIF(CD365:CF365,"*")&gt;=1,"Sí","No"),"No"),"No aplica"))))</f>
        <v>Sí</v>
      </c>
      <c r="EO365" s="71"/>
      <c r="EP365" s="73">
        <f t="shared" si="212"/>
        <v>1</v>
      </c>
      <c r="EQ365" s="77">
        <f t="shared" si="213"/>
        <v>0</v>
      </c>
      <c r="ER365" s="71"/>
      <c r="ES365" s="79" t="s">
        <v>393</v>
      </c>
      <c r="ET365" s="73">
        <f t="shared" si="214"/>
        <v>0.83333333333333337</v>
      </c>
      <c r="EU365" s="73">
        <f t="shared" ref="EU365:EU428" si="229">IF(F365="NO","No requiere",IF(H365="No","No requiere",IF(B365="","",IF(CX365="SÍ",IF(CK365&gt;=1,CY365/CK365,"Sin compromisos"),"Por verificar"))))</f>
        <v>1</v>
      </c>
      <c r="EV365" s="73">
        <f t="shared" si="215"/>
        <v>1</v>
      </c>
      <c r="EW365" s="73" t="str">
        <f t="shared" si="216"/>
        <v>No aplica</v>
      </c>
      <c r="EX365" s="78"/>
      <c r="EY365" s="78"/>
    </row>
    <row r="366" spans="1:155" ht="46.5" customHeight="1">
      <c r="A366" s="79">
        <v>362</v>
      </c>
      <c r="B366" s="80" t="s">
        <v>2714</v>
      </c>
      <c r="C366" s="81">
        <v>45407</v>
      </c>
      <c r="D366" s="82">
        <v>0.58333333333333337</v>
      </c>
      <c r="E366" s="79" t="s">
        <v>200</v>
      </c>
      <c r="F366" s="79" t="s">
        <v>153</v>
      </c>
      <c r="G366" s="79" t="s">
        <v>152</v>
      </c>
      <c r="H366" s="79" t="s">
        <v>152</v>
      </c>
      <c r="I366" s="79" t="s">
        <v>152</v>
      </c>
      <c r="J366" s="79" t="s">
        <v>2715</v>
      </c>
      <c r="K366" s="79" t="s">
        <v>155</v>
      </c>
      <c r="L366" s="80" t="s">
        <v>2716</v>
      </c>
      <c r="M366" s="80" t="s">
        <v>157</v>
      </c>
      <c r="N366" s="79" t="s">
        <v>346</v>
      </c>
      <c r="O366" s="80" t="str">
        <f t="shared" si="204"/>
        <v/>
      </c>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t="s">
        <v>230</v>
      </c>
      <c r="AP366" s="79" t="s">
        <v>347</v>
      </c>
      <c r="AQ366" s="80" t="s">
        <v>2717</v>
      </c>
      <c r="AR366" s="83" t="s">
        <v>171</v>
      </c>
      <c r="AS366" s="80" t="s">
        <v>171</v>
      </c>
      <c r="AT366" s="80" t="str">
        <f t="shared" si="205"/>
        <v>Distrital</v>
      </c>
      <c r="AU366" s="79" t="s">
        <v>172</v>
      </c>
      <c r="AV366" s="79"/>
      <c r="AW366" s="79"/>
      <c r="AX366" s="79"/>
      <c r="AY366" s="79"/>
      <c r="AZ366" s="79"/>
      <c r="BA366" s="80" t="str">
        <f t="shared" si="206"/>
        <v>Distrital</v>
      </c>
      <c r="BB366" s="79" t="s">
        <v>172</v>
      </c>
      <c r="BC366" s="79"/>
      <c r="BD366" s="79"/>
      <c r="BE366" s="79"/>
      <c r="BF366" s="79"/>
      <c r="BG366" s="79"/>
      <c r="BH366" s="80" t="str">
        <f t="shared" si="207"/>
        <v>Distrital</v>
      </c>
      <c r="BI366" s="79" t="s">
        <v>172</v>
      </c>
      <c r="BJ366" s="79"/>
      <c r="BK366" s="79"/>
      <c r="BL366" s="79"/>
      <c r="BM366" s="79"/>
      <c r="BN366" s="79"/>
      <c r="BO366" s="79"/>
      <c r="BP366" s="79"/>
      <c r="BQ366" s="79"/>
      <c r="BR366" s="79"/>
      <c r="BS366" s="80" t="s">
        <v>288</v>
      </c>
      <c r="BT366" s="80" t="s">
        <v>174</v>
      </c>
      <c r="BU366" s="80" t="s">
        <v>2718</v>
      </c>
      <c r="BV366" s="71"/>
      <c r="BW366" s="79" t="s">
        <v>152</v>
      </c>
      <c r="BX366" s="79" t="s">
        <v>179</v>
      </c>
      <c r="BY366" s="71"/>
      <c r="BZ366" s="79">
        <v>21</v>
      </c>
      <c r="CA366" s="79">
        <v>1</v>
      </c>
      <c r="CB366" s="79">
        <f t="shared" si="223"/>
        <v>22</v>
      </c>
      <c r="CC366" s="79" t="str">
        <f t="shared" si="227"/>
        <v>No Aplica</v>
      </c>
      <c r="CD366" s="79" t="s">
        <v>177</v>
      </c>
      <c r="CE366" s="79"/>
      <c r="CF366" s="79"/>
      <c r="CG366" s="83" t="s">
        <v>2719</v>
      </c>
      <c r="CH366" s="41"/>
      <c r="CI366" s="79" t="s">
        <v>153</v>
      </c>
      <c r="CJ366" s="71"/>
      <c r="CK366" s="79">
        <f t="shared" si="177"/>
        <v>0</v>
      </c>
      <c r="CL366" s="79"/>
      <c r="CM366" s="79"/>
      <c r="CN366" s="79"/>
      <c r="CO366" s="79"/>
      <c r="CP366" s="79"/>
      <c r="CQ366" s="79"/>
      <c r="CR366" s="83" t="s">
        <v>179</v>
      </c>
      <c r="CS366" s="83" t="s">
        <v>179</v>
      </c>
      <c r="CT366" s="83" t="s">
        <v>179</v>
      </c>
      <c r="CU366" s="83" t="s">
        <v>179</v>
      </c>
      <c r="CV366" s="83" t="s">
        <v>179</v>
      </c>
      <c r="CW366" s="83" t="s">
        <v>179</v>
      </c>
      <c r="CX366" s="79" t="s">
        <v>153</v>
      </c>
      <c r="CY366" s="79">
        <f t="shared" si="219"/>
        <v>0</v>
      </c>
      <c r="CZ366" s="79">
        <v>0</v>
      </c>
      <c r="DA366" s="79">
        <f t="shared" si="220"/>
        <v>0</v>
      </c>
      <c r="DB366" s="84" t="str">
        <f t="shared" si="221"/>
        <v/>
      </c>
      <c r="DC366" s="41"/>
      <c r="DD366" s="79" t="s">
        <v>153</v>
      </c>
      <c r="DE366" s="71"/>
      <c r="DF366" s="85" t="s">
        <v>2720</v>
      </c>
      <c r="DG366" s="79">
        <v>356</v>
      </c>
      <c r="DH366" s="86" t="str">
        <f t="shared" si="225"/>
        <v>Completo</v>
      </c>
      <c r="DI366" s="79" t="s">
        <v>181</v>
      </c>
      <c r="DJ366" s="79" t="s">
        <v>182</v>
      </c>
      <c r="DK366" s="79"/>
      <c r="DL366" s="79">
        <v>0</v>
      </c>
      <c r="DM366" s="79">
        <v>0</v>
      </c>
      <c r="DN366" s="79" t="s">
        <v>182</v>
      </c>
      <c r="DO366" s="79"/>
      <c r="DP366" s="79"/>
      <c r="DQ366" s="79"/>
      <c r="DR366" s="75" t="str">
        <f t="shared" si="208"/>
        <v>No aplica</v>
      </c>
      <c r="DS366" s="79"/>
      <c r="DT366" s="79"/>
      <c r="DU366" s="75" t="str">
        <f t="shared" si="209"/>
        <v>No aplica</v>
      </c>
      <c r="DV366" s="79" t="s">
        <v>182</v>
      </c>
      <c r="DW366" s="79" t="s">
        <v>182</v>
      </c>
      <c r="DX366" s="79"/>
      <c r="DY366" s="79"/>
      <c r="DZ366" s="79"/>
      <c r="EA366" s="79"/>
      <c r="EB366" s="79"/>
      <c r="EC366" s="79"/>
      <c r="ED366" s="79" t="s">
        <v>184</v>
      </c>
      <c r="EE366" s="79" t="str">
        <f t="shared" si="226"/>
        <v>Completo</v>
      </c>
      <c r="EF366" s="41"/>
      <c r="EG366" s="79" t="s">
        <v>153</v>
      </c>
      <c r="EH366" s="71"/>
      <c r="EI366" s="80"/>
      <c r="EJ366" s="71"/>
      <c r="EK366" s="79"/>
      <c r="EL366" s="76" t="str">
        <f t="shared" si="210"/>
        <v>No requiere</v>
      </c>
      <c r="EM366" s="76" t="str">
        <f t="shared" si="211"/>
        <v>No requiere</v>
      </c>
      <c r="EN366" s="76" t="str">
        <f t="shared" si="228"/>
        <v>No requiere</v>
      </c>
      <c r="EO366" s="71"/>
      <c r="EP366" s="73" t="str">
        <f t="shared" si="212"/>
        <v>No requiere</v>
      </c>
      <c r="EQ366" s="77" t="str">
        <f t="shared" si="213"/>
        <v>No requiere</v>
      </c>
      <c r="ER366" s="71"/>
      <c r="ES366" s="79"/>
      <c r="ET366" s="73" t="str">
        <f t="shared" si="214"/>
        <v>No requiere</v>
      </c>
      <c r="EU366" s="73" t="str">
        <f t="shared" si="229"/>
        <v>No requiere</v>
      </c>
      <c r="EV366" s="73" t="str">
        <f t="shared" si="215"/>
        <v>No requiere</v>
      </c>
      <c r="EW366" s="73" t="str">
        <f t="shared" si="216"/>
        <v>No requiere</v>
      </c>
      <c r="EX366" s="78"/>
      <c r="EY366" s="78"/>
    </row>
    <row r="367" spans="1:155" ht="46.5" customHeight="1">
      <c r="A367" s="79" t="str">
        <v/>
      </c>
      <c r="B367" s="80" t="s">
        <v>2721</v>
      </c>
      <c r="C367" s="81">
        <v>45407</v>
      </c>
      <c r="D367" s="82">
        <v>0.45833333333333331</v>
      </c>
      <c r="E367" s="79" t="s">
        <v>200</v>
      </c>
      <c r="F367" s="79" t="s">
        <v>152</v>
      </c>
      <c r="G367" s="79" t="s">
        <v>152</v>
      </c>
      <c r="H367" s="79" t="s">
        <v>152</v>
      </c>
      <c r="I367" s="79" t="s">
        <v>152</v>
      </c>
      <c r="J367" s="79" t="s">
        <v>211</v>
      </c>
      <c r="K367" s="79" t="s">
        <v>202</v>
      </c>
      <c r="L367" s="80" t="s">
        <v>2722</v>
      </c>
      <c r="M367" s="80" t="s">
        <v>303</v>
      </c>
      <c r="N367" s="79" t="s">
        <v>213</v>
      </c>
      <c r="O367" s="80" t="str">
        <f t="shared" si="204"/>
        <v>Aida Vanessa Rocha</v>
      </c>
      <c r="P367" s="79" t="s">
        <v>801</v>
      </c>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t="s">
        <v>230</v>
      </c>
      <c r="AP367" s="79" t="s">
        <v>242</v>
      </c>
      <c r="AQ367" s="80" t="s">
        <v>374</v>
      </c>
      <c r="AR367" s="83">
        <v>3004458788</v>
      </c>
      <c r="AS367" s="80" t="s">
        <v>375</v>
      </c>
      <c r="AT367" s="80" t="str">
        <f t="shared" si="205"/>
        <v>Distrital</v>
      </c>
      <c r="AU367" s="79" t="s">
        <v>172</v>
      </c>
      <c r="AV367" s="79"/>
      <c r="AW367" s="79"/>
      <c r="AX367" s="79"/>
      <c r="AY367" s="79"/>
      <c r="AZ367" s="79"/>
      <c r="BA367" s="80" t="str">
        <f t="shared" si="206"/>
        <v>Distrital</v>
      </c>
      <c r="BB367" s="79" t="s">
        <v>172</v>
      </c>
      <c r="BC367" s="79"/>
      <c r="BD367" s="79"/>
      <c r="BE367" s="79"/>
      <c r="BF367" s="79"/>
      <c r="BG367" s="79"/>
      <c r="BH367" s="80" t="str">
        <f t="shared" si="207"/>
        <v>Distrital</v>
      </c>
      <c r="BI367" s="79" t="s">
        <v>172</v>
      </c>
      <c r="BJ367" s="79"/>
      <c r="BK367" s="79"/>
      <c r="BL367" s="79"/>
      <c r="BM367" s="79"/>
      <c r="BN367" s="79"/>
      <c r="BO367" s="79"/>
      <c r="BP367" s="79"/>
      <c r="BQ367" s="79"/>
      <c r="BR367" s="79"/>
      <c r="BS367" s="80" t="s">
        <v>288</v>
      </c>
      <c r="BT367" s="80" t="s">
        <v>174</v>
      </c>
      <c r="BU367" s="89" t="s">
        <v>2723</v>
      </c>
      <c r="BV367" s="71"/>
      <c r="BW367" s="79" t="s">
        <v>152</v>
      </c>
      <c r="BX367" s="79" t="s">
        <v>179</v>
      </c>
      <c r="BY367" s="71"/>
      <c r="BZ367" s="79">
        <v>3</v>
      </c>
      <c r="CA367" s="79">
        <v>2</v>
      </c>
      <c r="CB367" s="79">
        <f t="shared" si="223"/>
        <v>5</v>
      </c>
      <c r="CC367" s="79" t="str">
        <f t="shared" si="227"/>
        <v>No Aplica</v>
      </c>
      <c r="CD367" s="79" t="s">
        <v>177</v>
      </c>
      <c r="CE367" s="79"/>
      <c r="CF367" s="79"/>
      <c r="CG367" s="83" t="s">
        <v>2724</v>
      </c>
      <c r="CH367" s="41"/>
      <c r="CI367" s="79" t="s">
        <v>153</v>
      </c>
      <c r="CJ367" s="71"/>
      <c r="CK367" s="79">
        <f t="shared" si="177"/>
        <v>0</v>
      </c>
      <c r="CL367" s="79"/>
      <c r="CM367" s="79"/>
      <c r="CN367" s="79"/>
      <c r="CO367" s="79"/>
      <c r="CP367" s="79"/>
      <c r="CQ367" s="79"/>
      <c r="CR367" s="83" t="s">
        <v>179</v>
      </c>
      <c r="CS367" s="83" t="s">
        <v>179</v>
      </c>
      <c r="CT367" s="83" t="s">
        <v>179</v>
      </c>
      <c r="CU367" s="83" t="s">
        <v>179</v>
      </c>
      <c r="CV367" s="83" t="s">
        <v>179</v>
      </c>
      <c r="CW367" s="83" t="s">
        <v>179</v>
      </c>
      <c r="CX367" s="79" t="s">
        <v>153</v>
      </c>
      <c r="CY367" s="79">
        <f t="shared" si="219"/>
        <v>0</v>
      </c>
      <c r="CZ367" s="79">
        <v>0</v>
      </c>
      <c r="DA367" s="79">
        <f t="shared" si="220"/>
        <v>0</v>
      </c>
      <c r="DB367" s="84" t="str">
        <f t="shared" si="221"/>
        <v/>
      </c>
      <c r="DC367" s="41"/>
      <c r="DD367" s="79" t="s">
        <v>153</v>
      </c>
      <c r="DE367" s="71"/>
      <c r="DF367" s="85" t="s">
        <v>2725</v>
      </c>
      <c r="DG367" s="79">
        <v>357</v>
      </c>
      <c r="DH367" s="86" t="str">
        <f t="shared" si="225"/>
        <v>Completo</v>
      </c>
      <c r="DI367" s="79" t="s">
        <v>181</v>
      </c>
      <c r="DJ367" s="79" t="s">
        <v>182</v>
      </c>
      <c r="DK367" s="79"/>
      <c r="DL367" s="79">
        <v>0</v>
      </c>
      <c r="DM367" s="79">
        <v>0</v>
      </c>
      <c r="DN367" s="79" t="s">
        <v>182</v>
      </c>
      <c r="DO367" s="79"/>
      <c r="DP367" s="79"/>
      <c r="DQ367" s="79"/>
      <c r="DR367" s="75" t="str">
        <f t="shared" si="208"/>
        <v>No aplica</v>
      </c>
      <c r="DS367" s="79"/>
      <c r="DT367" s="79"/>
      <c r="DU367" s="75" t="str">
        <f t="shared" si="209"/>
        <v>No aplica</v>
      </c>
      <c r="DV367" s="79" t="s">
        <v>182</v>
      </c>
      <c r="DW367" s="79" t="s">
        <v>182</v>
      </c>
      <c r="DX367" s="79"/>
      <c r="DY367" s="79"/>
      <c r="DZ367" s="79"/>
      <c r="EA367" s="79"/>
      <c r="EB367" s="79"/>
      <c r="EC367" s="79"/>
      <c r="ED367" s="79" t="s">
        <v>184</v>
      </c>
      <c r="EE367" s="79" t="str">
        <f t="shared" si="226"/>
        <v>Completo</v>
      </c>
      <c r="EF367" s="41"/>
      <c r="EG367" s="79" t="s">
        <v>153</v>
      </c>
      <c r="EH367" s="71"/>
      <c r="EI367" s="80"/>
      <c r="EJ367" s="71"/>
      <c r="EK367" s="79"/>
      <c r="EL367" s="76" t="str">
        <f t="shared" si="210"/>
        <v>No requiere</v>
      </c>
      <c r="EM367" s="76" t="str">
        <f t="shared" si="211"/>
        <v>No requiere</v>
      </c>
      <c r="EN367" s="76" t="str">
        <f t="shared" si="228"/>
        <v>No requiere</v>
      </c>
      <c r="EO367" s="71"/>
      <c r="EP367" s="73" t="str">
        <f t="shared" si="212"/>
        <v>No requiere</v>
      </c>
      <c r="EQ367" s="77" t="str">
        <f t="shared" si="213"/>
        <v>No requiere</v>
      </c>
      <c r="ER367" s="71"/>
      <c r="ES367" s="79"/>
      <c r="ET367" s="73" t="str">
        <f t="shared" si="214"/>
        <v>No requiere</v>
      </c>
      <c r="EU367" s="73" t="str">
        <f t="shared" si="229"/>
        <v>No requiere</v>
      </c>
      <c r="EV367" s="73" t="str">
        <f t="shared" si="215"/>
        <v>No requiere</v>
      </c>
      <c r="EW367" s="73" t="str">
        <f t="shared" si="216"/>
        <v>No requiere</v>
      </c>
      <c r="EX367" s="78"/>
      <c r="EY367" s="78"/>
    </row>
    <row r="368" spans="1:155" ht="46.5" customHeight="1">
      <c r="A368" s="79">
        <v>364</v>
      </c>
      <c r="B368" s="80" t="s">
        <v>2726</v>
      </c>
      <c r="C368" s="81">
        <v>45407</v>
      </c>
      <c r="D368" s="82">
        <v>0.70833333333575865</v>
      </c>
      <c r="E368" s="79" t="s">
        <v>200</v>
      </c>
      <c r="F368" s="79" t="s">
        <v>153</v>
      </c>
      <c r="G368" s="79" t="s">
        <v>152</v>
      </c>
      <c r="H368" s="79" t="s">
        <v>152</v>
      </c>
      <c r="I368" s="79" t="s">
        <v>152</v>
      </c>
      <c r="J368" s="79" t="s">
        <v>211</v>
      </c>
      <c r="K368" s="79" t="s">
        <v>202</v>
      </c>
      <c r="L368" s="80" t="s">
        <v>2727</v>
      </c>
      <c r="M368" s="80" t="s">
        <v>624</v>
      </c>
      <c r="N368" s="79" t="s">
        <v>213</v>
      </c>
      <c r="O368" s="80" t="str">
        <f t="shared" si="204"/>
        <v>Mateo López Narváez</v>
      </c>
      <c r="P368" s="79" t="s">
        <v>523</v>
      </c>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t="s">
        <v>230</v>
      </c>
      <c r="AP368" s="79" t="s">
        <v>242</v>
      </c>
      <c r="AQ368" s="80" t="s">
        <v>1511</v>
      </c>
      <c r="AR368" s="83">
        <v>3188799909</v>
      </c>
      <c r="AS368" s="80" t="s">
        <v>2040</v>
      </c>
      <c r="AT368" s="80" t="str">
        <f t="shared" si="205"/>
        <v>Distrital</v>
      </c>
      <c r="AU368" s="79" t="s">
        <v>172</v>
      </c>
      <c r="AV368" s="79"/>
      <c r="AW368" s="79"/>
      <c r="AX368" s="79"/>
      <c r="AY368" s="79"/>
      <c r="AZ368" s="79"/>
      <c r="BA368" s="80" t="str">
        <f t="shared" si="206"/>
        <v>Distrital</v>
      </c>
      <c r="BB368" s="79" t="s">
        <v>172</v>
      </c>
      <c r="BC368" s="79"/>
      <c r="BD368" s="79"/>
      <c r="BE368" s="79"/>
      <c r="BF368" s="79"/>
      <c r="BG368" s="79"/>
      <c r="BH368" s="80" t="str">
        <f t="shared" si="207"/>
        <v>Distrital</v>
      </c>
      <c r="BI368" s="79" t="s">
        <v>172</v>
      </c>
      <c r="BJ368" s="79"/>
      <c r="BK368" s="79"/>
      <c r="BL368" s="79"/>
      <c r="BM368" s="79"/>
      <c r="BN368" s="79"/>
      <c r="BO368" s="79"/>
      <c r="BP368" s="79"/>
      <c r="BQ368" s="79"/>
      <c r="BR368" s="79"/>
      <c r="BS368" s="80" t="s">
        <v>288</v>
      </c>
      <c r="BT368" s="80" t="s">
        <v>174</v>
      </c>
      <c r="BU368" s="89" t="s">
        <v>2728</v>
      </c>
      <c r="BV368" s="71"/>
      <c r="BW368" s="79" t="s">
        <v>152</v>
      </c>
      <c r="BX368" s="79" t="s">
        <v>179</v>
      </c>
      <c r="BY368" s="71"/>
      <c r="BZ368" s="79">
        <v>66</v>
      </c>
      <c r="CA368" s="79">
        <v>3</v>
      </c>
      <c r="CB368" s="79">
        <f t="shared" si="223"/>
        <v>69</v>
      </c>
      <c r="CC368" s="79" t="str">
        <f t="shared" si="227"/>
        <v>No Aplica</v>
      </c>
      <c r="CD368" s="79" t="s">
        <v>177</v>
      </c>
      <c r="CE368" s="79"/>
      <c r="CF368" s="79"/>
      <c r="CG368" s="83" t="s">
        <v>2729</v>
      </c>
      <c r="CH368" s="41"/>
      <c r="CI368" s="79" t="s">
        <v>153</v>
      </c>
      <c r="CJ368" s="71"/>
      <c r="CK368" s="79">
        <f t="shared" si="177"/>
        <v>0</v>
      </c>
      <c r="CL368" s="79"/>
      <c r="CM368" s="79"/>
      <c r="CN368" s="79"/>
      <c r="CO368" s="79"/>
      <c r="CP368" s="79"/>
      <c r="CQ368" s="79"/>
      <c r="CR368" s="83" t="s">
        <v>179</v>
      </c>
      <c r="CS368" s="83" t="s">
        <v>179</v>
      </c>
      <c r="CT368" s="83" t="s">
        <v>179</v>
      </c>
      <c r="CU368" s="83" t="s">
        <v>179</v>
      </c>
      <c r="CV368" s="83" t="s">
        <v>179</v>
      </c>
      <c r="CW368" s="83" t="s">
        <v>179</v>
      </c>
      <c r="CX368" s="79" t="s">
        <v>153</v>
      </c>
      <c r="CY368" s="79">
        <f t="shared" si="219"/>
        <v>0</v>
      </c>
      <c r="CZ368" s="79">
        <v>0</v>
      </c>
      <c r="DA368" s="79">
        <f t="shared" si="220"/>
        <v>0</v>
      </c>
      <c r="DB368" s="84" t="str">
        <f t="shared" si="221"/>
        <v/>
      </c>
      <c r="DC368" s="41"/>
      <c r="DD368" s="79" t="s">
        <v>153</v>
      </c>
      <c r="DE368" s="71"/>
      <c r="DF368" s="85" t="s">
        <v>2730</v>
      </c>
      <c r="DG368" s="79">
        <v>358</v>
      </c>
      <c r="DH368" s="86" t="str">
        <f t="shared" si="225"/>
        <v>Completo</v>
      </c>
      <c r="DI368" s="79" t="s">
        <v>181</v>
      </c>
      <c r="DJ368" s="79" t="s">
        <v>182</v>
      </c>
      <c r="DK368" s="79"/>
      <c r="DL368" s="79">
        <v>0</v>
      </c>
      <c r="DM368" s="79">
        <v>0</v>
      </c>
      <c r="DN368" s="79" t="s">
        <v>182</v>
      </c>
      <c r="DO368" s="79"/>
      <c r="DP368" s="79"/>
      <c r="DQ368" s="79"/>
      <c r="DR368" s="75" t="str">
        <f t="shared" si="208"/>
        <v>No aplica</v>
      </c>
      <c r="DS368" s="79"/>
      <c r="DT368" s="79"/>
      <c r="DU368" s="75" t="str">
        <f t="shared" si="209"/>
        <v>No aplica</v>
      </c>
      <c r="DV368" s="79" t="s">
        <v>182</v>
      </c>
      <c r="DW368" s="79" t="s">
        <v>182</v>
      </c>
      <c r="DX368" s="79"/>
      <c r="DY368" s="79"/>
      <c r="DZ368" s="79"/>
      <c r="EA368" s="79"/>
      <c r="EB368" s="79" t="s">
        <v>182</v>
      </c>
      <c r="EC368" s="79" t="s">
        <v>2731</v>
      </c>
      <c r="ED368" s="79" t="s">
        <v>2732</v>
      </c>
      <c r="EE368" s="79" t="str">
        <f t="shared" si="226"/>
        <v>Completo</v>
      </c>
      <c r="EF368" s="41"/>
      <c r="EG368" s="79" t="s">
        <v>153</v>
      </c>
      <c r="EH368" s="71"/>
      <c r="EI368" s="80"/>
      <c r="EJ368" s="71"/>
      <c r="EK368" s="79"/>
      <c r="EL368" s="76" t="str">
        <f t="shared" si="210"/>
        <v>No requiere</v>
      </c>
      <c r="EM368" s="76" t="str">
        <f t="shared" si="211"/>
        <v>No requiere</v>
      </c>
      <c r="EN368" s="76" t="str">
        <f t="shared" si="228"/>
        <v>No requiere</v>
      </c>
      <c r="EO368" s="71"/>
      <c r="EP368" s="73" t="str">
        <f t="shared" si="212"/>
        <v>No requiere</v>
      </c>
      <c r="EQ368" s="77" t="str">
        <f t="shared" si="213"/>
        <v>No requiere</v>
      </c>
      <c r="ER368" s="71"/>
      <c r="ES368" s="79"/>
      <c r="ET368" s="73" t="str">
        <f t="shared" si="214"/>
        <v>No requiere</v>
      </c>
      <c r="EU368" s="73" t="str">
        <f t="shared" si="229"/>
        <v>No requiere</v>
      </c>
      <c r="EV368" s="73" t="str">
        <f t="shared" si="215"/>
        <v>No requiere</v>
      </c>
      <c r="EW368" s="73" t="str">
        <f t="shared" si="216"/>
        <v>No requiere</v>
      </c>
      <c r="EX368" s="78"/>
      <c r="EY368" s="78"/>
    </row>
    <row r="369" spans="1:155" ht="46.5" customHeight="1">
      <c r="A369" s="79">
        <v>365</v>
      </c>
      <c r="B369" s="80" t="s">
        <v>2733</v>
      </c>
      <c r="C369" s="81">
        <v>45408</v>
      </c>
      <c r="D369" s="82">
        <v>0.33333333333333331</v>
      </c>
      <c r="E369" s="79" t="s">
        <v>151</v>
      </c>
      <c r="F369" s="79" t="s">
        <v>153</v>
      </c>
      <c r="G369" s="79" t="s">
        <v>152</v>
      </c>
      <c r="H369" s="79" t="s">
        <v>152</v>
      </c>
      <c r="I369" s="79" t="s">
        <v>152</v>
      </c>
      <c r="J369" s="79" t="s">
        <v>154</v>
      </c>
      <c r="K369" s="79" t="s">
        <v>155</v>
      </c>
      <c r="L369" s="80" t="s">
        <v>2734</v>
      </c>
      <c r="M369" s="80" t="s">
        <v>303</v>
      </c>
      <c r="N369" s="79" t="s">
        <v>163</v>
      </c>
      <c r="O369" s="80" t="str">
        <f t="shared" si="204"/>
        <v>Laura Camila Bechara, Michael Cruz Roa</v>
      </c>
      <c r="P369" s="79" t="s">
        <v>887</v>
      </c>
      <c r="Q369" s="79" t="s">
        <v>265</v>
      </c>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t="s">
        <v>304</v>
      </c>
      <c r="AP369" s="79"/>
      <c r="AQ369" s="80" t="s">
        <v>2735</v>
      </c>
      <c r="AR369" s="83" t="s">
        <v>171</v>
      </c>
      <c r="AS369" s="80" t="s">
        <v>171</v>
      </c>
      <c r="AT369" s="80" t="str">
        <f t="shared" si="205"/>
        <v>Distrital</v>
      </c>
      <c r="AU369" s="79" t="s">
        <v>172</v>
      </c>
      <c r="AV369" s="79"/>
      <c r="AW369" s="79"/>
      <c r="AX369" s="79"/>
      <c r="AY369" s="79"/>
      <c r="AZ369" s="79"/>
      <c r="BA369" s="80" t="str">
        <f t="shared" si="206"/>
        <v>Distrital</v>
      </c>
      <c r="BB369" s="79" t="s">
        <v>172</v>
      </c>
      <c r="BC369" s="79"/>
      <c r="BD369" s="79"/>
      <c r="BE369" s="79"/>
      <c r="BF369" s="79"/>
      <c r="BG369" s="79"/>
      <c r="BH369" s="80" t="str">
        <f t="shared" si="207"/>
        <v>Distrital</v>
      </c>
      <c r="BI369" s="79" t="s">
        <v>172</v>
      </c>
      <c r="BJ369" s="79"/>
      <c r="BK369" s="79"/>
      <c r="BL369" s="79"/>
      <c r="BM369" s="79"/>
      <c r="BN369" s="79"/>
      <c r="BO369" s="79"/>
      <c r="BP369" s="79"/>
      <c r="BQ369" s="79"/>
      <c r="BR369" s="79"/>
      <c r="BS369" s="80" t="s">
        <v>288</v>
      </c>
      <c r="BT369" s="80" t="s">
        <v>174</v>
      </c>
      <c r="BU369" s="80" t="s">
        <v>322</v>
      </c>
      <c r="BV369" s="71"/>
      <c r="BW369" s="79" t="s">
        <v>153</v>
      </c>
      <c r="BX369" s="79" t="s">
        <v>176</v>
      </c>
      <c r="BY369" s="71"/>
      <c r="BZ369" s="79">
        <v>50</v>
      </c>
      <c r="CA369" s="79">
        <v>5</v>
      </c>
      <c r="CB369" s="79">
        <f t="shared" si="223"/>
        <v>55</v>
      </c>
      <c r="CC369" s="79" t="str">
        <f t="shared" si="227"/>
        <v>No Aplica</v>
      </c>
      <c r="CD369" s="79" t="s">
        <v>177</v>
      </c>
      <c r="CE369" s="79"/>
      <c r="CF369" s="79"/>
      <c r="CG369" s="83" t="s">
        <v>2736</v>
      </c>
      <c r="CH369" s="41"/>
      <c r="CI369" s="79" t="s">
        <v>153</v>
      </c>
      <c r="CJ369" s="71"/>
      <c r="CK369" s="79">
        <f t="shared" si="177"/>
        <v>0</v>
      </c>
      <c r="CL369" s="79"/>
      <c r="CM369" s="79"/>
      <c r="CN369" s="79"/>
      <c r="CO369" s="79"/>
      <c r="CP369" s="79"/>
      <c r="CQ369" s="79"/>
      <c r="CR369" s="83" t="s">
        <v>179</v>
      </c>
      <c r="CS369" s="83" t="s">
        <v>179</v>
      </c>
      <c r="CT369" s="83" t="s">
        <v>179</v>
      </c>
      <c r="CU369" s="83" t="s">
        <v>179</v>
      </c>
      <c r="CV369" s="83" t="s">
        <v>179</v>
      </c>
      <c r="CW369" s="83" t="s">
        <v>179</v>
      </c>
      <c r="CX369" s="79" t="s">
        <v>153</v>
      </c>
      <c r="CY369" s="79">
        <f t="shared" si="219"/>
        <v>0</v>
      </c>
      <c r="CZ369" s="79">
        <v>0</v>
      </c>
      <c r="DA369" s="79">
        <f t="shared" si="220"/>
        <v>0</v>
      </c>
      <c r="DB369" s="84" t="str">
        <f t="shared" si="221"/>
        <v/>
      </c>
      <c r="DC369" s="41"/>
      <c r="DD369" s="79" t="s">
        <v>153</v>
      </c>
      <c r="DE369" s="71"/>
      <c r="DF369" s="85" t="s">
        <v>2737</v>
      </c>
      <c r="DG369" s="79">
        <v>359</v>
      </c>
      <c r="DH369" s="86" t="str">
        <f t="shared" si="225"/>
        <v>Completo</v>
      </c>
      <c r="DI369" s="79" t="s">
        <v>181</v>
      </c>
      <c r="DJ369" s="79" t="s">
        <v>182</v>
      </c>
      <c r="DK369" s="79"/>
      <c r="DL369" s="79">
        <v>0</v>
      </c>
      <c r="DM369" s="79">
        <v>0</v>
      </c>
      <c r="DN369" s="79" t="s">
        <v>182</v>
      </c>
      <c r="DO369" s="79"/>
      <c r="DP369" s="79"/>
      <c r="DQ369" s="79"/>
      <c r="DR369" s="75" t="str">
        <f t="shared" si="208"/>
        <v>No aplica</v>
      </c>
      <c r="DS369" s="79"/>
      <c r="DT369" s="79"/>
      <c r="DU369" s="75" t="str">
        <f t="shared" si="209"/>
        <v>No aplica</v>
      </c>
      <c r="DV369" s="79" t="s">
        <v>182</v>
      </c>
      <c r="DW369" s="79" t="s">
        <v>191</v>
      </c>
      <c r="DX369" s="79"/>
      <c r="DY369" s="79"/>
      <c r="DZ369" s="79"/>
      <c r="EA369" s="79"/>
      <c r="EB369" s="79"/>
      <c r="EC369" s="79"/>
      <c r="ED369" s="79" t="s">
        <v>184</v>
      </c>
      <c r="EE369" s="79" t="str">
        <f>IF(DI369="Subsanado","Completo","Por Completar")</f>
        <v>Completo</v>
      </c>
      <c r="EF369" s="41"/>
      <c r="EG369" s="79" t="s">
        <v>153</v>
      </c>
      <c r="EH369" s="71"/>
      <c r="EI369" s="80"/>
      <c r="EJ369" s="71"/>
      <c r="EK369" s="79"/>
      <c r="EL369" s="76" t="str">
        <f t="shared" si="210"/>
        <v>No requiere</v>
      </c>
      <c r="EM369" s="76" t="str">
        <f t="shared" si="211"/>
        <v>No requiere</v>
      </c>
      <c r="EN369" s="76" t="str">
        <f t="shared" si="228"/>
        <v>No requiere</v>
      </c>
      <c r="EO369" s="71"/>
      <c r="EP369" s="73" t="str">
        <f t="shared" si="212"/>
        <v>No requiere</v>
      </c>
      <c r="EQ369" s="77" t="str">
        <f t="shared" si="213"/>
        <v>No requiere</v>
      </c>
      <c r="ER369" s="71"/>
      <c r="ES369" s="79"/>
      <c r="ET369" s="73" t="str">
        <f t="shared" si="214"/>
        <v>No requiere</v>
      </c>
      <c r="EU369" s="73" t="str">
        <f t="shared" si="229"/>
        <v>No requiere</v>
      </c>
      <c r="EV369" s="73" t="str">
        <f t="shared" si="215"/>
        <v>No requiere</v>
      </c>
      <c r="EW369" s="73" t="str">
        <f t="shared" si="216"/>
        <v>No requiere</v>
      </c>
      <c r="EX369" s="78"/>
      <c r="EY369" s="78"/>
    </row>
    <row r="370" spans="1:155" ht="46.5" customHeight="1">
      <c r="A370" s="79">
        <v>366</v>
      </c>
      <c r="B370" s="80" t="s">
        <v>2738</v>
      </c>
      <c r="C370" s="81">
        <v>45408</v>
      </c>
      <c r="D370" s="82">
        <v>0.375</v>
      </c>
      <c r="E370" s="79" t="s">
        <v>151</v>
      </c>
      <c r="F370" s="79" t="s">
        <v>153</v>
      </c>
      <c r="G370" s="79" t="s">
        <v>153</v>
      </c>
      <c r="H370" s="79" t="s">
        <v>153</v>
      </c>
      <c r="I370" s="79" t="s">
        <v>152</v>
      </c>
      <c r="J370" s="79" t="s">
        <v>154</v>
      </c>
      <c r="K370" s="79" t="s">
        <v>155</v>
      </c>
      <c r="L370" s="80" t="s">
        <v>2596</v>
      </c>
      <c r="M370" s="80" t="s">
        <v>303</v>
      </c>
      <c r="N370" s="79" t="s">
        <v>965</v>
      </c>
      <c r="O370" s="80" t="str">
        <f t="shared" si="204"/>
        <v>Claudia Fernanda Pineda, William Jair Gil</v>
      </c>
      <c r="P370" s="79" t="s">
        <v>546</v>
      </c>
      <c r="Q370" s="79" t="s">
        <v>862</v>
      </c>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t="s">
        <v>169</v>
      </c>
      <c r="AP370" s="79" t="s">
        <v>475</v>
      </c>
      <c r="AQ370" s="80" t="s">
        <v>2739</v>
      </c>
      <c r="AR370" s="83">
        <v>3105844361</v>
      </c>
      <c r="AS370" s="80" t="s">
        <v>2740</v>
      </c>
      <c r="AT370" s="80" t="str">
        <f t="shared" si="205"/>
        <v>Distrital</v>
      </c>
      <c r="AU370" s="79" t="s">
        <v>172</v>
      </c>
      <c r="AV370" s="79"/>
      <c r="AW370" s="79"/>
      <c r="AX370" s="79"/>
      <c r="AY370" s="79"/>
      <c r="AZ370" s="79"/>
      <c r="BA370" s="80" t="str">
        <f t="shared" si="206"/>
        <v>Distrital</v>
      </c>
      <c r="BB370" s="79" t="s">
        <v>172</v>
      </c>
      <c r="BC370" s="79"/>
      <c r="BD370" s="79"/>
      <c r="BE370" s="79"/>
      <c r="BF370" s="79"/>
      <c r="BG370" s="79"/>
      <c r="BH370" s="80" t="str">
        <f t="shared" si="207"/>
        <v>Distrital</v>
      </c>
      <c r="BI370" s="79" t="s">
        <v>172</v>
      </c>
      <c r="BJ370" s="79"/>
      <c r="BK370" s="79"/>
      <c r="BL370" s="79"/>
      <c r="BM370" s="79"/>
      <c r="BN370" s="79"/>
      <c r="BO370" s="79"/>
      <c r="BP370" s="79"/>
      <c r="BQ370" s="79"/>
      <c r="BR370" s="79"/>
      <c r="BS370" s="80" t="s">
        <v>288</v>
      </c>
      <c r="BT370" s="80" t="s">
        <v>174</v>
      </c>
      <c r="BU370" s="80" t="s">
        <v>2599</v>
      </c>
      <c r="BV370" s="71"/>
      <c r="BW370" s="79" t="s">
        <v>153</v>
      </c>
      <c r="BX370" s="79" t="s">
        <v>2600</v>
      </c>
      <c r="BY370" s="71"/>
      <c r="BZ370" s="79">
        <v>23</v>
      </c>
      <c r="CA370" s="79">
        <v>4</v>
      </c>
      <c r="CB370" s="79">
        <f t="shared" si="223"/>
        <v>27</v>
      </c>
      <c r="CC370" s="79" t="str">
        <f t="shared" si="227"/>
        <v>Accesibilidad Universal, Horarios Acordes</v>
      </c>
      <c r="CD370" s="79" t="s">
        <v>397</v>
      </c>
      <c r="CE370" s="79" t="s">
        <v>351</v>
      </c>
      <c r="CF370" s="79"/>
      <c r="CG370" s="83" t="s">
        <v>2596</v>
      </c>
      <c r="CH370" s="41"/>
      <c r="CI370" s="79" t="s">
        <v>153</v>
      </c>
      <c r="CJ370" s="71"/>
      <c r="CK370" s="79">
        <f t="shared" si="177"/>
        <v>0</v>
      </c>
      <c r="CL370" s="79"/>
      <c r="CM370" s="79"/>
      <c r="CN370" s="79"/>
      <c r="CO370" s="79"/>
      <c r="CP370" s="79"/>
      <c r="CQ370" s="79"/>
      <c r="CR370" s="83" t="s">
        <v>390</v>
      </c>
      <c r="CS370" s="83" t="s">
        <v>179</v>
      </c>
      <c r="CT370" s="83" t="s">
        <v>179</v>
      </c>
      <c r="CU370" s="83" t="s">
        <v>179</v>
      </c>
      <c r="CV370" s="83" t="s">
        <v>179</v>
      </c>
      <c r="CW370" s="83"/>
      <c r="CX370" s="79" t="s">
        <v>153</v>
      </c>
      <c r="CY370" s="79">
        <f t="shared" si="219"/>
        <v>1</v>
      </c>
      <c r="CZ370" s="79">
        <v>1</v>
      </c>
      <c r="DA370" s="79">
        <f t="shared" si="220"/>
        <v>1</v>
      </c>
      <c r="DB370" s="84" t="str">
        <f t="shared" si="221"/>
        <v/>
      </c>
      <c r="DC370" s="41"/>
      <c r="DD370" s="79" t="s">
        <v>153</v>
      </c>
      <c r="DE370" s="71"/>
      <c r="DF370" s="85" t="s">
        <v>2741</v>
      </c>
      <c r="DG370" s="79">
        <v>360</v>
      </c>
      <c r="DH370" s="86">
        <f t="shared" si="225"/>
        <v>45411</v>
      </c>
      <c r="DI370" s="79" t="s">
        <v>181</v>
      </c>
      <c r="DJ370" s="79" t="s">
        <v>182</v>
      </c>
      <c r="DK370" s="79" t="s">
        <v>153</v>
      </c>
      <c r="DL370" s="79">
        <v>25</v>
      </c>
      <c r="DM370" s="79">
        <v>25</v>
      </c>
      <c r="DN370" s="79" t="s">
        <v>182</v>
      </c>
      <c r="DO370" s="79" t="s">
        <v>179</v>
      </c>
      <c r="DP370" s="79" t="s">
        <v>182</v>
      </c>
      <c r="DQ370" s="79">
        <v>9</v>
      </c>
      <c r="DR370" s="75">
        <f t="shared" si="208"/>
        <v>1.3043478260869565</v>
      </c>
      <c r="DS370" s="79" t="s">
        <v>182</v>
      </c>
      <c r="DT370" s="79">
        <v>9</v>
      </c>
      <c r="DU370" s="75">
        <f t="shared" si="209"/>
        <v>1.1180124223602486</v>
      </c>
      <c r="DV370" s="79" t="s">
        <v>182</v>
      </c>
      <c r="DW370" s="79" t="s">
        <v>182</v>
      </c>
      <c r="DX370" s="79">
        <v>1</v>
      </c>
      <c r="DY370" s="79">
        <v>0</v>
      </c>
      <c r="DZ370" s="79"/>
      <c r="EA370" s="79" t="s">
        <v>179</v>
      </c>
      <c r="EB370" s="79" t="s">
        <v>182</v>
      </c>
      <c r="EC370" s="79" t="s">
        <v>2742</v>
      </c>
      <c r="ED370" s="79" t="s">
        <v>184</v>
      </c>
      <c r="EE370" s="79" t="s">
        <v>621</v>
      </c>
      <c r="EF370" s="41"/>
      <c r="EG370" s="79" t="s">
        <v>153</v>
      </c>
      <c r="EH370" s="71"/>
      <c r="EI370" s="89" t="s">
        <v>2743</v>
      </c>
      <c r="EJ370" s="71"/>
      <c r="EK370" s="79" t="s">
        <v>393</v>
      </c>
      <c r="EL370" s="76" t="str">
        <f t="shared" si="210"/>
        <v>No</v>
      </c>
      <c r="EM370" s="76" t="str">
        <f t="shared" si="211"/>
        <v>No</v>
      </c>
      <c r="EN370" s="76" t="str">
        <f t="shared" si="228"/>
        <v>Sí</v>
      </c>
      <c r="EO370" s="71"/>
      <c r="EP370" s="73">
        <f t="shared" si="212"/>
        <v>1</v>
      </c>
      <c r="EQ370" s="77">
        <f t="shared" si="213"/>
        <v>1.1180124223602486</v>
      </c>
      <c r="ER370" s="71"/>
      <c r="ES370" s="79" t="s">
        <v>393</v>
      </c>
      <c r="ET370" s="73">
        <f t="shared" si="214"/>
        <v>1</v>
      </c>
      <c r="EU370" s="73" t="str">
        <f t="shared" si="229"/>
        <v>Sin compromisos</v>
      </c>
      <c r="EV370" s="73" t="str">
        <f t="shared" si="215"/>
        <v>No aplica</v>
      </c>
      <c r="EW370" s="73" t="str">
        <f t="shared" si="216"/>
        <v>No aplica</v>
      </c>
      <c r="EX370" s="78"/>
      <c r="EY370" s="78"/>
    </row>
    <row r="371" spans="1:155" ht="46.5" customHeight="1">
      <c r="A371" s="79" t="str">
        <v/>
      </c>
      <c r="B371" s="80" t="s">
        <v>2744</v>
      </c>
      <c r="C371" s="81">
        <v>45408</v>
      </c>
      <c r="D371" s="82">
        <v>0.54166666666666663</v>
      </c>
      <c r="E371" s="79" t="s">
        <v>151</v>
      </c>
      <c r="F371" s="79" t="s">
        <v>152</v>
      </c>
      <c r="G371" s="79" t="s">
        <v>152</v>
      </c>
      <c r="H371" s="79" t="s">
        <v>152</v>
      </c>
      <c r="I371" s="79" t="s">
        <v>152</v>
      </c>
      <c r="J371" s="79" t="s">
        <v>272</v>
      </c>
      <c r="K371" s="79" t="s">
        <v>202</v>
      </c>
      <c r="L371" s="80" t="s">
        <v>2745</v>
      </c>
      <c r="M371" s="80" t="s">
        <v>229</v>
      </c>
      <c r="N371" s="79" t="s">
        <v>1387</v>
      </c>
      <c r="O371" s="80" t="str">
        <f t="shared" si="204"/>
        <v/>
      </c>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t="s">
        <v>304</v>
      </c>
      <c r="AP371" s="79"/>
      <c r="AQ371" s="80" t="s">
        <v>2746</v>
      </c>
      <c r="AR371" s="83" t="s">
        <v>2747</v>
      </c>
      <c r="AS371" s="80" t="s">
        <v>2675</v>
      </c>
      <c r="AT371" s="80" t="str">
        <f t="shared" si="205"/>
        <v>Teusaquillo</v>
      </c>
      <c r="AU371" s="79" t="s">
        <v>1004</v>
      </c>
      <c r="AV371" s="79"/>
      <c r="AW371" s="79"/>
      <c r="AX371" s="79"/>
      <c r="AY371" s="79"/>
      <c r="AZ371" s="79"/>
      <c r="BA371" s="80" t="str">
        <f t="shared" si="206"/>
        <v>Centro Ampliado</v>
      </c>
      <c r="BB371" s="79" t="s">
        <v>636</v>
      </c>
      <c r="BC371" s="79"/>
      <c r="BD371" s="79"/>
      <c r="BE371" s="79"/>
      <c r="BF371" s="79"/>
      <c r="BG371" s="79"/>
      <c r="BH371" s="80" t="str">
        <f t="shared" si="207"/>
        <v>Teusaquillo</v>
      </c>
      <c r="BI371" s="79" t="s">
        <v>1004</v>
      </c>
      <c r="BJ371" s="79"/>
      <c r="BK371" s="79"/>
      <c r="BL371" s="79"/>
      <c r="BM371" s="79"/>
      <c r="BN371" s="79"/>
      <c r="BO371" s="79"/>
      <c r="BP371" s="79"/>
      <c r="BQ371" s="79"/>
      <c r="BR371" s="79"/>
      <c r="BS371" s="80" t="s">
        <v>1004</v>
      </c>
      <c r="BT371" s="80" t="s">
        <v>174</v>
      </c>
      <c r="BU371" s="80" t="s">
        <v>2748</v>
      </c>
      <c r="BV371" s="71"/>
      <c r="BW371" s="79" t="s">
        <v>152</v>
      </c>
      <c r="BX371" s="79" t="s">
        <v>179</v>
      </c>
      <c r="BY371" s="71"/>
      <c r="BZ371" s="79">
        <v>9</v>
      </c>
      <c r="CA371" s="79">
        <v>3</v>
      </c>
      <c r="CB371" s="79">
        <f t="shared" si="223"/>
        <v>12</v>
      </c>
      <c r="CC371" s="79" t="str">
        <f t="shared" si="227"/>
        <v>No Aplica</v>
      </c>
      <c r="CD371" s="79" t="s">
        <v>177</v>
      </c>
      <c r="CE371" s="79"/>
      <c r="CF371" s="79"/>
      <c r="CG371" s="83" t="s">
        <v>2749</v>
      </c>
      <c r="CH371" s="41"/>
      <c r="CI371" s="79" t="s">
        <v>153</v>
      </c>
      <c r="CJ371" s="71"/>
      <c r="CK371" s="79">
        <f t="shared" si="177"/>
        <v>0</v>
      </c>
      <c r="CL371" s="79"/>
      <c r="CM371" s="79"/>
      <c r="CN371" s="79"/>
      <c r="CO371" s="79"/>
      <c r="CP371" s="79"/>
      <c r="CQ371" s="79"/>
      <c r="CR371" s="83" t="s">
        <v>179</v>
      </c>
      <c r="CS371" s="83" t="s">
        <v>179</v>
      </c>
      <c r="CT371" s="83" t="s">
        <v>179</v>
      </c>
      <c r="CU371" s="83" t="s">
        <v>179</v>
      </c>
      <c r="CV371" s="83" t="s">
        <v>179</v>
      </c>
      <c r="CW371" s="83" t="s">
        <v>179</v>
      </c>
      <c r="CX371" s="79" t="s">
        <v>153</v>
      </c>
      <c r="CY371" s="79">
        <f t="shared" si="219"/>
        <v>0</v>
      </c>
      <c r="CZ371" s="79">
        <v>0</v>
      </c>
      <c r="DA371" s="79">
        <f t="shared" si="220"/>
        <v>0</v>
      </c>
      <c r="DB371" s="84" t="str">
        <f t="shared" si="221"/>
        <v/>
      </c>
      <c r="DC371" s="41"/>
      <c r="DD371" s="79" t="s">
        <v>153</v>
      </c>
      <c r="DE371" s="71"/>
      <c r="DF371" s="85" t="s">
        <v>2750</v>
      </c>
      <c r="DG371" s="79">
        <v>361</v>
      </c>
      <c r="DH371" s="86" t="str">
        <f t="shared" si="225"/>
        <v>Completo</v>
      </c>
      <c r="DI371" s="79" t="s">
        <v>181</v>
      </c>
      <c r="DJ371" s="79" t="s">
        <v>182</v>
      </c>
      <c r="DK371" s="79"/>
      <c r="DL371" s="79">
        <v>0</v>
      </c>
      <c r="DM371" s="79">
        <v>0</v>
      </c>
      <c r="DN371" s="79" t="s">
        <v>182</v>
      </c>
      <c r="DO371" s="79"/>
      <c r="DP371" s="79"/>
      <c r="DQ371" s="79"/>
      <c r="DR371" s="75" t="str">
        <f t="shared" si="208"/>
        <v>No aplica</v>
      </c>
      <c r="DS371" s="79"/>
      <c r="DT371" s="79"/>
      <c r="DU371" s="75" t="str">
        <f t="shared" si="209"/>
        <v>No aplica</v>
      </c>
      <c r="DV371" s="79" t="s">
        <v>182</v>
      </c>
      <c r="DW371" s="79" t="s">
        <v>182</v>
      </c>
      <c r="DX371" s="79"/>
      <c r="DY371" s="79"/>
      <c r="DZ371" s="79"/>
      <c r="EA371" s="79"/>
      <c r="EB371" s="79"/>
      <c r="EC371" s="79"/>
      <c r="ED371" s="79" t="s">
        <v>184</v>
      </c>
      <c r="EE371" s="79" t="str">
        <f t="shared" ref="EE371:EE372" si="230">IF(DI371="Subsanado","Completo","Por Completar")</f>
        <v>Completo</v>
      </c>
      <c r="EF371" s="41"/>
      <c r="EG371" s="79" t="s">
        <v>153</v>
      </c>
      <c r="EH371" s="71"/>
      <c r="EI371" s="80"/>
      <c r="EJ371" s="71"/>
      <c r="EK371" s="79"/>
      <c r="EL371" s="76" t="str">
        <f t="shared" si="210"/>
        <v>No requiere</v>
      </c>
      <c r="EM371" s="76" t="str">
        <f t="shared" si="211"/>
        <v>No requiere</v>
      </c>
      <c r="EN371" s="76" t="str">
        <f t="shared" si="228"/>
        <v>No requiere</v>
      </c>
      <c r="EO371" s="71"/>
      <c r="EP371" s="73" t="str">
        <f t="shared" si="212"/>
        <v>No requiere</v>
      </c>
      <c r="EQ371" s="77" t="str">
        <f t="shared" si="213"/>
        <v>No requiere</v>
      </c>
      <c r="ER371" s="71"/>
      <c r="ES371" s="79"/>
      <c r="ET371" s="73" t="str">
        <f t="shared" si="214"/>
        <v>No requiere</v>
      </c>
      <c r="EU371" s="73" t="str">
        <f t="shared" si="229"/>
        <v>No requiere</v>
      </c>
      <c r="EV371" s="73" t="str">
        <f t="shared" si="215"/>
        <v>No requiere</v>
      </c>
      <c r="EW371" s="73" t="str">
        <f t="shared" si="216"/>
        <v>No requiere</v>
      </c>
      <c r="EX371" s="78"/>
      <c r="EY371" s="78"/>
    </row>
    <row r="372" spans="1:155" ht="46.5" customHeight="1">
      <c r="A372" s="79">
        <v>368</v>
      </c>
      <c r="B372" s="80" t="s">
        <v>2751</v>
      </c>
      <c r="C372" s="81">
        <v>45409</v>
      </c>
      <c r="D372" s="82">
        <v>0.41666666666666669</v>
      </c>
      <c r="E372" s="79" t="s">
        <v>151</v>
      </c>
      <c r="F372" s="79" t="s">
        <v>153</v>
      </c>
      <c r="G372" s="79" t="s">
        <v>152</v>
      </c>
      <c r="H372" s="79" t="s">
        <v>152</v>
      </c>
      <c r="I372" s="79" t="s">
        <v>153</v>
      </c>
      <c r="J372" s="79" t="s">
        <v>2752</v>
      </c>
      <c r="K372" s="79" t="s">
        <v>155</v>
      </c>
      <c r="L372" s="80" t="s">
        <v>2753</v>
      </c>
      <c r="M372" s="80" t="s">
        <v>229</v>
      </c>
      <c r="N372" s="79" t="s">
        <v>1066</v>
      </c>
      <c r="O372" s="80" t="str">
        <f t="shared" si="204"/>
        <v>Luis Fernando Barreto , William Jair Gil</v>
      </c>
      <c r="P372" s="79" t="s">
        <v>720</v>
      </c>
      <c r="Q372" s="79" t="s">
        <v>862</v>
      </c>
      <c r="R372" s="180"/>
      <c r="S372" s="180"/>
      <c r="T372" s="180"/>
      <c r="U372" s="180"/>
      <c r="V372" s="180"/>
      <c r="W372" s="180"/>
      <c r="X372" s="180"/>
      <c r="Y372" s="180"/>
      <c r="Z372" s="180"/>
      <c r="AA372" s="180"/>
      <c r="AB372" s="180"/>
      <c r="AC372" s="180"/>
      <c r="AD372" s="180"/>
      <c r="AE372" s="180"/>
      <c r="AF372" s="180"/>
      <c r="AG372" s="180"/>
      <c r="AH372" s="180"/>
      <c r="AI372" s="180"/>
      <c r="AJ372" s="180"/>
      <c r="AK372" s="180"/>
      <c r="AL372" s="180"/>
      <c r="AM372" s="180"/>
      <c r="AN372" s="180"/>
      <c r="AO372" s="79" t="s">
        <v>304</v>
      </c>
      <c r="AP372" s="180"/>
      <c r="AQ372" s="80" t="s">
        <v>2754</v>
      </c>
      <c r="AR372" s="83">
        <v>3112565627</v>
      </c>
      <c r="AS372" s="80" t="s">
        <v>2755</v>
      </c>
      <c r="AT372" s="80" t="str">
        <f t="shared" si="205"/>
        <v>Ciudad Bolívar</v>
      </c>
      <c r="AU372" s="79" t="s">
        <v>217</v>
      </c>
      <c r="AV372" s="79"/>
      <c r="AW372" s="79"/>
      <c r="AX372" s="79"/>
      <c r="AY372" s="79"/>
      <c r="AZ372" s="79"/>
      <c r="BA372" s="80" t="str">
        <f t="shared" si="206"/>
        <v>Suroriente</v>
      </c>
      <c r="BB372" s="79" t="s">
        <v>218</v>
      </c>
      <c r="BC372" s="180"/>
      <c r="BD372" s="180"/>
      <c r="BE372" s="180"/>
      <c r="BF372" s="180"/>
      <c r="BG372" s="180"/>
      <c r="BH372" s="80" t="str">
        <f t="shared" si="207"/>
        <v>Lucero, Arborizadora</v>
      </c>
      <c r="BI372" s="79" t="s">
        <v>221</v>
      </c>
      <c r="BJ372" s="79" t="s">
        <v>220</v>
      </c>
      <c r="BK372" s="95"/>
      <c r="BL372" s="95"/>
      <c r="BM372" s="95"/>
      <c r="BN372" s="95"/>
      <c r="BO372" s="95"/>
      <c r="BP372" s="95"/>
      <c r="BQ372" s="95"/>
      <c r="BR372" s="95"/>
      <c r="BS372" s="80" t="s">
        <v>2756</v>
      </c>
      <c r="BT372" s="80" t="s">
        <v>2757</v>
      </c>
      <c r="BU372" s="80" t="s">
        <v>2758</v>
      </c>
      <c r="BV372" s="181"/>
      <c r="BW372" s="79" t="s">
        <v>152</v>
      </c>
      <c r="BX372" s="79" t="s">
        <v>179</v>
      </c>
      <c r="BY372" s="181"/>
      <c r="BZ372" s="79">
        <v>5</v>
      </c>
      <c r="CA372" s="79">
        <v>4</v>
      </c>
      <c r="CB372" s="79">
        <f t="shared" si="223"/>
        <v>9</v>
      </c>
      <c r="CC372" s="79" t="str">
        <f t="shared" si="227"/>
        <v>No Aplica</v>
      </c>
      <c r="CD372" s="79" t="s">
        <v>177</v>
      </c>
      <c r="CE372" s="180"/>
      <c r="CF372" s="180"/>
      <c r="CG372" s="83" t="s">
        <v>2759</v>
      </c>
      <c r="CH372" s="181"/>
      <c r="CI372" s="79" t="s">
        <v>153</v>
      </c>
      <c r="CJ372" s="181"/>
      <c r="CK372" s="79">
        <f t="shared" si="177"/>
        <v>0</v>
      </c>
      <c r="CL372" s="180"/>
      <c r="CM372" s="180"/>
      <c r="CN372" s="180"/>
      <c r="CO372" s="180"/>
      <c r="CP372" s="180"/>
      <c r="CQ372" s="180"/>
      <c r="CR372" s="83" t="s">
        <v>179</v>
      </c>
      <c r="CS372" s="83" t="s">
        <v>179</v>
      </c>
      <c r="CT372" s="83" t="s">
        <v>179</v>
      </c>
      <c r="CU372" s="83" t="s">
        <v>179</v>
      </c>
      <c r="CV372" s="83" t="s">
        <v>179</v>
      </c>
      <c r="CW372" s="83" t="s">
        <v>179</v>
      </c>
      <c r="CX372" s="79" t="s">
        <v>153</v>
      </c>
      <c r="CY372" s="79">
        <f t="shared" si="219"/>
        <v>0</v>
      </c>
      <c r="CZ372" s="79">
        <v>0</v>
      </c>
      <c r="DA372" s="79">
        <f t="shared" si="220"/>
        <v>0</v>
      </c>
      <c r="DB372" s="186" t="str">
        <f t="shared" si="221"/>
        <v/>
      </c>
      <c r="DC372" s="181"/>
      <c r="DD372" s="79" t="s">
        <v>153</v>
      </c>
      <c r="DE372" s="71"/>
      <c r="DF372" s="85" t="s">
        <v>2760</v>
      </c>
      <c r="DG372" s="79">
        <v>362</v>
      </c>
      <c r="DH372" s="86" t="str">
        <f t="shared" si="225"/>
        <v>Completo</v>
      </c>
      <c r="DI372" s="79" t="s">
        <v>181</v>
      </c>
      <c r="DJ372" s="79" t="s">
        <v>182</v>
      </c>
      <c r="DK372" s="79"/>
      <c r="DL372" s="95">
        <v>0</v>
      </c>
      <c r="DM372" s="95">
        <v>0</v>
      </c>
      <c r="DN372" s="79" t="s">
        <v>182</v>
      </c>
      <c r="DO372" s="180"/>
      <c r="DP372" s="180"/>
      <c r="DQ372" s="180"/>
      <c r="DR372" s="75" t="str">
        <f t="shared" si="208"/>
        <v>No aplica</v>
      </c>
      <c r="DS372" s="180"/>
      <c r="DT372" s="180"/>
      <c r="DU372" s="75" t="str">
        <f t="shared" si="209"/>
        <v>No aplica</v>
      </c>
      <c r="DV372" s="79" t="s">
        <v>182</v>
      </c>
      <c r="DW372" s="79" t="s">
        <v>182</v>
      </c>
      <c r="DX372" s="180"/>
      <c r="DY372" s="180"/>
      <c r="DZ372" s="180"/>
      <c r="EA372" s="180"/>
      <c r="EB372" s="180"/>
      <c r="EC372" s="180"/>
      <c r="ED372" s="79" t="s">
        <v>184</v>
      </c>
      <c r="EE372" s="79" t="str">
        <f t="shared" si="230"/>
        <v>Completo</v>
      </c>
      <c r="EF372" s="181"/>
      <c r="EG372" s="79" t="s">
        <v>153</v>
      </c>
      <c r="EH372" s="181"/>
      <c r="EI372" s="180"/>
      <c r="EJ372" s="181"/>
      <c r="EK372" s="180"/>
      <c r="EL372" s="76" t="str">
        <f t="shared" si="210"/>
        <v>No requiere</v>
      </c>
      <c r="EM372" s="76" t="str">
        <f t="shared" si="211"/>
        <v>No requiere</v>
      </c>
      <c r="EN372" s="76" t="str">
        <f t="shared" si="228"/>
        <v>No requiere</v>
      </c>
      <c r="EO372" s="71"/>
      <c r="EP372" s="73" t="str">
        <f t="shared" si="212"/>
        <v>No requiere</v>
      </c>
      <c r="EQ372" s="77" t="str">
        <f t="shared" si="213"/>
        <v>No requiere</v>
      </c>
      <c r="ER372" s="181"/>
      <c r="ES372" s="180"/>
      <c r="ET372" s="73" t="str">
        <f t="shared" si="214"/>
        <v>No requiere</v>
      </c>
      <c r="EU372" s="73" t="str">
        <f t="shared" si="229"/>
        <v>No requiere</v>
      </c>
      <c r="EV372" s="73" t="str">
        <f t="shared" si="215"/>
        <v>No requiere</v>
      </c>
      <c r="EW372" s="73" t="str">
        <f t="shared" si="216"/>
        <v>No requiere</v>
      </c>
      <c r="EX372" s="182"/>
      <c r="EY372" s="183"/>
    </row>
    <row r="373" spans="1:155" ht="46.5" customHeight="1">
      <c r="A373" s="79">
        <v>369</v>
      </c>
      <c r="B373" s="80" t="s">
        <v>2761</v>
      </c>
      <c r="C373" s="81">
        <v>45411</v>
      </c>
      <c r="D373" s="82">
        <v>0.70833333333333337</v>
      </c>
      <c r="E373" s="79" t="s">
        <v>151</v>
      </c>
      <c r="F373" s="79" t="s">
        <v>153</v>
      </c>
      <c r="G373" s="79" t="s">
        <v>153</v>
      </c>
      <c r="H373" s="79" t="s">
        <v>152</v>
      </c>
      <c r="I373" s="79" t="s">
        <v>152</v>
      </c>
      <c r="J373" s="79" t="s">
        <v>251</v>
      </c>
      <c r="K373" s="79" t="s">
        <v>202</v>
      </c>
      <c r="L373" s="80" t="s">
        <v>2762</v>
      </c>
      <c r="M373" s="80" t="s">
        <v>229</v>
      </c>
      <c r="N373" s="79" t="s">
        <v>1066</v>
      </c>
      <c r="O373" s="80" t="str">
        <f t="shared" si="204"/>
        <v>Diana Marcela Fernández</v>
      </c>
      <c r="P373" s="79" t="s">
        <v>473</v>
      </c>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t="s">
        <v>230</v>
      </c>
      <c r="AP373" s="79" t="s">
        <v>347</v>
      </c>
      <c r="AQ373" s="80" t="s">
        <v>2763</v>
      </c>
      <c r="AR373" s="83" t="s">
        <v>2764</v>
      </c>
      <c r="AS373" s="80" t="s">
        <v>2765</v>
      </c>
      <c r="AT373" s="80" t="str">
        <f t="shared" si="205"/>
        <v>Distrital</v>
      </c>
      <c r="AU373" s="79" t="s">
        <v>172</v>
      </c>
      <c r="AV373" s="79"/>
      <c r="AW373" s="79"/>
      <c r="AX373" s="79"/>
      <c r="AY373" s="79"/>
      <c r="AZ373" s="79"/>
      <c r="BA373" s="80" t="str">
        <f t="shared" si="206"/>
        <v>Distrital</v>
      </c>
      <c r="BB373" s="79" t="s">
        <v>172</v>
      </c>
      <c r="BC373" s="79"/>
      <c r="BD373" s="79"/>
      <c r="BE373" s="79"/>
      <c r="BF373" s="79"/>
      <c r="BG373" s="79"/>
      <c r="BH373" s="80" t="str">
        <f t="shared" si="207"/>
        <v>Distrital</v>
      </c>
      <c r="BI373" s="79" t="s">
        <v>172</v>
      </c>
      <c r="BJ373" s="79"/>
      <c r="BK373" s="79"/>
      <c r="BL373" s="79"/>
      <c r="BM373" s="79"/>
      <c r="BN373" s="79"/>
      <c r="BO373" s="79"/>
      <c r="BP373" s="79"/>
      <c r="BQ373" s="79"/>
      <c r="BR373" s="79"/>
      <c r="BS373" s="80" t="s">
        <v>288</v>
      </c>
      <c r="BT373" s="80" t="s">
        <v>174</v>
      </c>
      <c r="BU373" s="89" t="s">
        <v>2766</v>
      </c>
      <c r="BV373" s="71"/>
      <c r="BW373" s="79" t="s">
        <v>152</v>
      </c>
      <c r="BX373" s="79" t="s">
        <v>179</v>
      </c>
      <c r="BY373" s="71"/>
      <c r="BZ373" s="79">
        <v>5</v>
      </c>
      <c r="CA373" s="79">
        <v>3</v>
      </c>
      <c r="CB373" s="79">
        <f t="shared" si="223"/>
        <v>8</v>
      </c>
      <c r="CC373" s="79" t="str">
        <f t="shared" si="227"/>
        <v>No Aplica</v>
      </c>
      <c r="CD373" s="79" t="s">
        <v>177</v>
      </c>
      <c r="CE373" s="79"/>
      <c r="CF373" s="79"/>
      <c r="CG373" s="83" t="s">
        <v>2767</v>
      </c>
      <c r="CH373" s="41"/>
      <c r="CI373" s="79" t="s">
        <v>153</v>
      </c>
      <c r="CJ373" s="71"/>
      <c r="CK373" s="79">
        <f t="shared" si="177"/>
        <v>0</v>
      </c>
      <c r="CL373" s="79"/>
      <c r="CM373" s="79"/>
      <c r="CN373" s="79"/>
      <c r="CO373" s="79"/>
      <c r="CP373" s="79"/>
      <c r="CQ373" s="79"/>
      <c r="CR373" s="83" t="s">
        <v>179</v>
      </c>
      <c r="CS373" s="83" t="s">
        <v>179</v>
      </c>
      <c r="CT373" s="83" t="s">
        <v>179</v>
      </c>
      <c r="CU373" s="83" t="s">
        <v>179</v>
      </c>
      <c r="CV373" s="83" t="s">
        <v>179</v>
      </c>
      <c r="CW373" s="83" t="s">
        <v>179</v>
      </c>
      <c r="CX373" s="79" t="s">
        <v>153</v>
      </c>
      <c r="CY373" s="79">
        <f t="shared" si="219"/>
        <v>0</v>
      </c>
      <c r="CZ373" s="79">
        <v>0</v>
      </c>
      <c r="DA373" s="79">
        <f t="shared" si="220"/>
        <v>0</v>
      </c>
      <c r="DB373" s="84" t="str">
        <f t="shared" si="221"/>
        <v/>
      </c>
      <c r="DC373" s="41"/>
      <c r="DD373" s="79" t="s">
        <v>153</v>
      </c>
      <c r="DE373" s="71"/>
      <c r="DF373" s="127" t="s">
        <v>2768</v>
      </c>
      <c r="DG373" s="79">
        <v>363</v>
      </c>
      <c r="DH373" s="86">
        <f t="shared" si="225"/>
        <v>45414</v>
      </c>
      <c r="DI373" s="79" t="s">
        <v>181</v>
      </c>
      <c r="DJ373" s="79" t="s">
        <v>182</v>
      </c>
      <c r="DK373" s="79"/>
      <c r="DL373" s="79">
        <v>0</v>
      </c>
      <c r="DM373" s="79">
        <v>0</v>
      </c>
      <c r="DN373" s="79" t="s">
        <v>182</v>
      </c>
      <c r="DO373" s="79"/>
      <c r="DP373" s="79"/>
      <c r="DQ373" s="79"/>
      <c r="DR373" s="75" t="str">
        <f t="shared" si="208"/>
        <v>No aplica</v>
      </c>
      <c r="DS373" s="79"/>
      <c r="DT373" s="79"/>
      <c r="DU373" s="75" t="str">
        <f t="shared" si="209"/>
        <v>No aplica</v>
      </c>
      <c r="DV373" s="79" t="s">
        <v>182</v>
      </c>
      <c r="DW373" s="79" t="s">
        <v>182</v>
      </c>
      <c r="DX373" s="79"/>
      <c r="DY373" s="79"/>
      <c r="DZ373" s="79"/>
      <c r="EA373" s="79"/>
      <c r="EB373" s="79" t="s">
        <v>182</v>
      </c>
      <c r="EC373" s="79" t="s">
        <v>2769</v>
      </c>
      <c r="ED373" s="79" t="s">
        <v>184</v>
      </c>
      <c r="EE373" s="79" t="s">
        <v>621</v>
      </c>
      <c r="EF373" s="41"/>
      <c r="EG373" s="79" t="s">
        <v>153</v>
      </c>
      <c r="EH373" s="71"/>
      <c r="EI373" s="80"/>
      <c r="EJ373" s="71"/>
      <c r="EK373" s="79"/>
      <c r="EL373" s="76" t="str">
        <f t="shared" si="210"/>
        <v>No requiere</v>
      </c>
      <c r="EM373" s="76" t="str">
        <f t="shared" si="211"/>
        <v>No requiere</v>
      </c>
      <c r="EN373" s="76" t="str">
        <f t="shared" si="228"/>
        <v>No requiere</v>
      </c>
      <c r="EO373" s="71"/>
      <c r="EP373" s="73" t="str">
        <f t="shared" si="212"/>
        <v>No requiere</v>
      </c>
      <c r="EQ373" s="77" t="str">
        <f t="shared" si="213"/>
        <v>No requiere</v>
      </c>
      <c r="ER373" s="71"/>
      <c r="ES373" s="79"/>
      <c r="ET373" s="73" t="str">
        <f t="shared" si="214"/>
        <v>No requiere</v>
      </c>
      <c r="EU373" s="73" t="str">
        <f t="shared" si="229"/>
        <v>No requiere</v>
      </c>
      <c r="EV373" s="73" t="str">
        <f t="shared" si="215"/>
        <v>No requiere</v>
      </c>
      <c r="EW373" s="73" t="str">
        <f t="shared" si="216"/>
        <v>No requiere</v>
      </c>
      <c r="EX373" s="78"/>
      <c r="EY373" s="78"/>
    </row>
    <row r="374" spans="1:155" ht="46.5" customHeight="1">
      <c r="A374" s="79">
        <v>370</v>
      </c>
      <c r="B374" s="80" t="s">
        <v>2770</v>
      </c>
      <c r="C374" s="81">
        <v>45411</v>
      </c>
      <c r="D374" s="82">
        <v>0.70833333333333337</v>
      </c>
      <c r="E374" s="79" t="s">
        <v>200</v>
      </c>
      <c r="F374" s="79" t="s">
        <v>153</v>
      </c>
      <c r="G374" s="79" t="s">
        <v>152</v>
      </c>
      <c r="H374" s="79" t="s">
        <v>152</v>
      </c>
      <c r="I374" s="79" t="s">
        <v>152</v>
      </c>
      <c r="J374" s="79" t="s">
        <v>211</v>
      </c>
      <c r="K374" s="79" t="s">
        <v>202</v>
      </c>
      <c r="L374" s="80" t="s">
        <v>2771</v>
      </c>
      <c r="M374" s="80" t="s">
        <v>624</v>
      </c>
      <c r="N374" s="79" t="s">
        <v>253</v>
      </c>
      <c r="O374" s="80" t="str">
        <f t="shared" si="204"/>
        <v>PENDIENTE</v>
      </c>
      <c r="P374" s="79" t="s">
        <v>196</v>
      </c>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t="s">
        <v>230</v>
      </c>
      <c r="AP374" s="79" t="s">
        <v>242</v>
      </c>
      <c r="AQ374" s="80" t="s">
        <v>1945</v>
      </c>
      <c r="AR374" s="83">
        <v>3108148740</v>
      </c>
      <c r="AS374" s="80" t="s">
        <v>682</v>
      </c>
      <c r="AT374" s="80" t="str">
        <f t="shared" si="205"/>
        <v>Distrital</v>
      </c>
      <c r="AU374" s="79" t="s">
        <v>172</v>
      </c>
      <c r="AV374" s="79"/>
      <c r="AW374" s="79"/>
      <c r="AX374" s="79"/>
      <c r="AY374" s="79"/>
      <c r="AZ374" s="79"/>
      <c r="BA374" s="80" t="str">
        <f t="shared" si="206"/>
        <v>Distrital</v>
      </c>
      <c r="BB374" s="79" t="s">
        <v>172</v>
      </c>
      <c r="BC374" s="79"/>
      <c r="BD374" s="79"/>
      <c r="BE374" s="79"/>
      <c r="BF374" s="79"/>
      <c r="BG374" s="79"/>
      <c r="BH374" s="80" t="str">
        <f t="shared" si="207"/>
        <v>Distrital</v>
      </c>
      <c r="BI374" s="79" t="s">
        <v>172</v>
      </c>
      <c r="BJ374" s="79"/>
      <c r="BK374" s="79"/>
      <c r="BL374" s="79"/>
      <c r="BM374" s="79"/>
      <c r="BN374" s="79"/>
      <c r="BO374" s="79"/>
      <c r="BP374" s="79"/>
      <c r="BQ374" s="79"/>
      <c r="BR374" s="79"/>
      <c r="BS374" s="80" t="s">
        <v>288</v>
      </c>
      <c r="BT374" s="80" t="s">
        <v>174</v>
      </c>
      <c r="BU374" s="89" t="s">
        <v>2772</v>
      </c>
      <c r="BV374" s="71"/>
      <c r="BW374" s="79" t="s">
        <v>152</v>
      </c>
      <c r="BX374" s="79" t="s">
        <v>179</v>
      </c>
      <c r="BY374" s="71"/>
      <c r="BZ374" s="79">
        <v>77</v>
      </c>
      <c r="CA374" s="79">
        <v>1</v>
      </c>
      <c r="CB374" s="79">
        <f t="shared" si="223"/>
        <v>78</v>
      </c>
      <c r="CC374" s="79" t="str">
        <f t="shared" si="227"/>
        <v>No Aplica</v>
      </c>
      <c r="CD374" s="79" t="s">
        <v>177</v>
      </c>
      <c r="CE374" s="79"/>
      <c r="CF374" s="79"/>
      <c r="CG374" s="83" t="s">
        <v>2773</v>
      </c>
      <c r="CH374" s="41"/>
      <c r="CI374" s="79" t="s">
        <v>153</v>
      </c>
      <c r="CJ374" s="71"/>
      <c r="CK374" s="79">
        <f t="shared" si="177"/>
        <v>0</v>
      </c>
      <c r="CL374" s="79"/>
      <c r="CM374" s="79"/>
      <c r="CN374" s="79"/>
      <c r="CO374" s="79"/>
      <c r="CP374" s="79"/>
      <c r="CQ374" s="79"/>
      <c r="CR374" s="83" t="s">
        <v>179</v>
      </c>
      <c r="CS374" s="83" t="s">
        <v>179</v>
      </c>
      <c r="CT374" s="83" t="s">
        <v>179</v>
      </c>
      <c r="CU374" s="83" t="s">
        <v>179</v>
      </c>
      <c r="CV374" s="83" t="s">
        <v>179</v>
      </c>
      <c r="CW374" s="83" t="s">
        <v>179</v>
      </c>
      <c r="CX374" s="79" t="s">
        <v>153</v>
      </c>
      <c r="CY374" s="79">
        <f t="shared" si="219"/>
        <v>0</v>
      </c>
      <c r="CZ374" s="79">
        <v>0</v>
      </c>
      <c r="DA374" s="79">
        <f t="shared" si="220"/>
        <v>0</v>
      </c>
      <c r="DB374" s="84" t="str">
        <f t="shared" si="221"/>
        <v/>
      </c>
      <c r="DC374" s="41"/>
      <c r="DD374" s="79" t="s">
        <v>153</v>
      </c>
      <c r="DE374" s="71"/>
      <c r="DF374" s="85" t="s">
        <v>2774</v>
      </c>
      <c r="DG374" s="79">
        <v>364</v>
      </c>
      <c r="DH374" s="86">
        <f t="shared" si="225"/>
        <v>45414</v>
      </c>
      <c r="DI374" s="79" t="s">
        <v>181</v>
      </c>
      <c r="DJ374" s="79" t="s">
        <v>182</v>
      </c>
      <c r="DK374" s="79"/>
      <c r="DL374" s="79">
        <v>0</v>
      </c>
      <c r="DM374" s="79">
        <v>0</v>
      </c>
      <c r="DN374" s="79" t="s">
        <v>182</v>
      </c>
      <c r="DO374" s="79"/>
      <c r="DP374" s="79"/>
      <c r="DQ374" s="79"/>
      <c r="DR374" s="75" t="str">
        <f t="shared" si="208"/>
        <v>No aplica</v>
      </c>
      <c r="DS374" s="79"/>
      <c r="DT374" s="79"/>
      <c r="DU374" s="75" t="str">
        <f t="shared" si="209"/>
        <v>No aplica</v>
      </c>
      <c r="DV374" s="79" t="s">
        <v>182</v>
      </c>
      <c r="DW374" s="79" t="s">
        <v>182</v>
      </c>
      <c r="DX374" s="79"/>
      <c r="DY374" s="79"/>
      <c r="DZ374" s="79"/>
      <c r="EA374" s="79"/>
      <c r="EB374" s="79" t="s">
        <v>182</v>
      </c>
      <c r="EC374" s="79" t="s">
        <v>2775</v>
      </c>
      <c r="ED374" s="79" t="s">
        <v>2776</v>
      </c>
      <c r="EE374" s="79" t="s">
        <v>621</v>
      </c>
      <c r="EF374" s="41"/>
      <c r="EG374" s="79" t="s">
        <v>153</v>
      </c>
      <c r="EH374" s="71"/>
      <c r="EI374" s="80"/>
      <c r="EJ374" s="71"/>
      <c r="EK374" s="79"/>
      <c r="EL374" s="76" t="str">
        <f t="shared" si="210"/>
        <v>No requiere</v>
      </c>
      <c r="EM374" s="76" t="str">
        <f t="shared" si="211"/>
        <v>No requiere</v>
      </c>
      <c r="EN374" s="76" t="str">
        <f t="shared" si="228"/>
        <v>No requiere</v>
      </c>
      <c r="EO374" s="71"/>
      <c r="EP374" s="73" t="str">
        <f t="shared" si="212"/>
        <v>No requiere</v>
      </c>
      <c r="EQ374" s="77" t="str">
        <f t="shared" si="213"/>
        <v>No requiere</v>
      </c>
      <c r="ER374" s="71"/>
      <c r="ES374" s="79"/>
      <c r="ET374" s="73" t="str">
        <f t="shared" si="214"/>
        <v>No requiere</v>
      </c>
      <c r="EU374" s="73" t="str">
        <f t="shared" si="229"/>
        <v>No requiere</v>
      </c>
      <c r="EV374" s="73" t="str">
        <f t="shared" si="215"/>
        <v>No requiere</v>
      </c>
      <c r="EW374" s="73" t="str">
        <f t="shared" si="216"/>
        <v>No requiere</v>
      </c>
      <c r="EX374" s="78"/>
      <c r="EY374" s="78"/>
    </row>
    <row r="375" spans="1:155" ht="46.5" customHeight="1">
      <c r="A375" s="79" t="str">
        <v/>
      </c>
      <c r="B375" s="80" t="s">
        <v>2777</v>
      </c>
      <c r="C375" s="81">
        <v>45412</v>
      </c>
      <c r="D375" s="82">
        <v>0.3125</v>
      </c>
      <c r="E375" s="79" t="s">
        <v>151</v>
      </c>
      <c r="F375" s="79" t="s">
        <v>152</v>
      </c>
      <c r="G375" s="79" t="s">
        <v>153</v>
      </c>
      <c r="H375" s="79" t="s">
        <v>152</v>
      </c>
      <c r="I375" s="79" t="s">
        <v>152</v>
      </c>
      <c r="J375" s="79" t="s">
        <v>251</v>
      </c>
      <c r="K375" s="79" t="s">
        <v>202</v>
      </c>
      <c r="L375" s="80" t="s">
        <v>2778</v>
      </c>
      <c r="M375" s="80" t="s">
        <v>157</v>
      </c>
      <c r="N375" s="79" t="s">
        <v>1611</v>
      </c>
      <c r="O375" s="80" t="str">
        <f t="shared" si="204"/>
        <v>PENDIENTE, PENDIENTE</v>
      </c>
      <c r="P375" s="79" t="s">
        <v>196</v>
      </c>
      <c r="Q375" s="79" t="s">
        <v>196</v>
      </c>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t="s">
        <v>169</v>
      </c>
      <c r="AP375" s="79" t="s">
        <v>170</v>
      </c>
      <c r="AQ375" s="80" t="s">
        <v>2779</v>
      </c>
      <c r="AR375" s="83">
        <v>3144562545</v>
      </c>
      <c r="AS375" s="80" t="s">
        <v>2780</v>
      </c>
      <c r="AT375" s="80" t="str">
        <f t="shared" si="205"/>
        <v>Distrital</v>
      </c>
      <c r="AU375" s="79" t="s">
        <v>172</v>
      </c>
      <c r="AV375" s="79"/>
      <c r="AW375" s="79"/>
      <c r="AX375" s="79"/>
      <c r="AY375" s="79"/>
      <c r="AZ375" s="79"/>
      <c r="BA375" s="80" t="str">
        <f t="shared" si="206"/>
        <v>Distrital</v>
      </c>
      <c r="BB375" s="79" t="s">
        <v>172</v>
      </c>
      <c r="BC375" s="79"/>
      <c r="BD375" s="79"/>
      <c r="BE375" s="79"/>
      <c r="BF375" s="79"/>
      <c r="BG375" s="79"/>
      <c r="BH375" s="80" t="str">
        <f t="shared" si="207"/>
        <v>Distrital</v>
      </c>
      <c r="BI375" s="79" t="s">
        <v>172</v>
      </c>
      <c r="BJ375" s="79"/>
      <c r="BK375" s="79"/>
      <c r="BL375" s="79"/>
      <c r="BM375" s="79"/>
      <c r="BN375" s="79"/>
      <c r="BO375" s="79"/>
      <c r="BP375" s="79"/>
      <c r="BQ375" s="79"/>
      <c r="BR375" s="79"/>
      <c r="BS375" s="80" t="s">
        <v>288</v>
      </c>
      <c r="BT375" s="80" t="s">
        <v>174</v>
      </c>
      <c r="BU375" s="89" t="s">
        <v>2781</v>
      </c>
      <c r="BV375" s="71"/>
      <c r="BW375" s="79" t="s">
        <v>152</v>
      </c>
      <c r="BX375" s="79" t="s">
        <v>179</v>
      </c>
      <c r="BY375" s="71"/>
      <c r="BZ375" s="79">
        <v>0</v>
      </c>
      <c r="CA375" s="79">
        <v>4</v>
      </c>
      <c r="CB375" s="79">
        <f t="shared" si="223"/>
        <v>4</v>
      </c>
      <c r="CC375" s="79" t="str">
        <f t="shared" si="227"/>
        <v>No Aplica</v>
      </c>
      <c r="CD375" s="79" t="s">
        <v>177</v>
      </c>
      <c r="CE375" s="79"/>
      <c r="CF375" s="79"/>
      <c r="CG375" s="83" t="s">
        <v>2782</v>
      </c>
      <c r="CH375" s="41"/>
      <c r="CI375" s="79" t="s">
        <v>153</v>
      </c>
      <c r="CJ375" s="71"/>
      <c r="CK375" s="79">
        <f t="shared" si="177"/>
        <v>0</v>
      </c>
      <c r="CL375" s="79"/>
      <c r="CM375" s="79"/>
      <c r="CN375" s="79"/>
      <c r="CO375" s="79"/>
      <c r="CP375" s="79"/>
      <c r="CQ375" s="79"/>
      <c r="CR375" s="83" t="s">
        <v>179</v>
      </c>
      <c r="CS375" s="83" t="s">
        <v>179</v>
      </c>
      <c r="CT375" s="83" t="s">
        <v>179</v>
      </c>
      <c r="CU375" s="83" t="s">
        <v>179</v>
      </c>
      <c r="CV375" s="83" t="s">
        <v>179</v>
      </c>
      <c r="CW375" s="83" t="s">
        <v>179</v>
      </c>
      <c r="CX375" s="79" t="s">
        <v>153</v>
      </c>
      <c r="CY375" s="79">
        <f t="shared" si="219"/>
        <v>0</v>
      </c>
      <c r="CZ375" s="79">
        <v>0</v>
      </c>
      <c r="DA375" s="79">
        <f t="shared" si="220"/>
        <v>0</v>
      </c>
      <c r="DB375" s="84" t="str">
        <f t="shared" si="221"/>
        <v/>
      </c>
      <c r="DC375" s="41"/>
      <c r="DD375" s="79" t="s">
        <v>153</v>
      </c>
      <c r="DE375" s="71"/>
      <c r="DF375" s="85" t="s">
        <v>2783</v>
      </c>
      <c r="DG375" s="79">
        <v>365</v>
      </c>
      <c r="DH375" s="86" t="str">
        <f t="shared" si="225"/>
        <v>Completo</v>
      </c>
      <c r="DI375" s="79" t="s">
        <v>181</v>
      </c>
      <c r="DJ375" s="79" t="s">
        <v>182</v>
      </c>
      <c r="DK375" s="79"/>
      <c r="DL375" s="79">
        <v>0</v>
      </c>
      <c r="DM375" s="79">
        <v>0</v>
      </c>
      <c r="DN375" s="79"/>
      <c r="DO375" s="79"/>
      <c r="DP375" s="79"/>
      <c r="DQ375" s="79"/>
      <c r="DR375" s="75" t="str">
        <f t="shared" si="208"/>
        <v>No aplica</v>
      </c>
      <c r="DS375" s="79"/>
      <c r="DT375" s="79"/>
      <c r="DU375" s="75" t="str">
        <f t="shared" si="209"/>
        <v>No aplica</v>
      </c>
      <c r="DV375" s="79" t="s">
        <v>182</v>
      </c>
      <c r="DW375" s="79"/>
      <c r="DX375" s="79"/>
      <c r="DY375" s="79"/>
      <c r="DZ375" s="79"/>
      <c r="EA375" s="79"/>
      <c r="EB375" s="79"/>
      <c r="EC375" s="79"/>
      <c r="ED375" s="79" t="s">
        <v>2784</v>
      </c>
      <c r="EE375" s="79" t="str">
        <f t="shared" ref="EE375:EE377" si="231">IF(DI375="Subsanado","Completo","Por Completar")</f>
        <v>Completo</v>
      </c>
      <c r="EF375" s="41"/>
      <c r="EG375" s="79" t="s">
        <v>153</v>
      </c>
      <c r="EH375" s="71"/>
      <c r="EI375" s="80"/>
      <c r="EJ375" s="71"/>
      <c r="EK375" s="79"/>
      <c r="EL375" s="76" t="str">
        <f t="shared" si="210"/>
        <v>No requiere</v>
      </c>
      <c r="EM375" s="76" t="str">
        <f t="shared" si="211"/>
        <v>No requiere</v>
      </c>
      <c r="EN375" s="76" t="str">
        <f t="shared" si="228"/>
        <v>No requiere</v>
      </c>
      <c r="EO375" s="71"/>
      <c r="EP375" s="73" t="str">
        <f t="shared" si="212"/>
        <v>No requiere</v>
      </c>
      <c r="EQ375" s="77" t="str">
        <f t="shared" si="213"/>
        <v>No requiere</v>
      </c>
      <c r="ER375" s="71"/>
      <c r="ES375" s="79"/>
      <c r="ET375" s="73" t="str">
        <f t="shared" si="214"/>
        <v>No requiere</v>
      </c>
      <c r="EU375" s="73" t="str">
        <f t="shared" si="229"/>
        <v>No requiere</v>
      </c>
      <c r="EV375" s="73" t="str">
        <f t="shared" si="215"/>
        <v>No requiere</v>
      </c>
      <c r="EW375" s="73" t="str">
        <f t="shared" si="216"/>
        <v>No requiere</v>
      </c>
      <c r="EX375" s="78"/>
      <c r="EY375" s="78"/>
    </row>
    <row r="376" spans="1:155" ht="46.5" customHeight="1">
      <c r="A376" s="79">
        <v>372</v>
      </c>
      <c r="B376" s="80" t="s">
        <v>2785</v>
      </c>
      <c r="C376" s="81">
        <v>45412</v>
      </c>
      <c r="D376" s="82">
        <v>0.375</v>
      </c>
      <c r="E376" s="79" t="s">
        <v>151</v>
      </c>
      <c r="F376" s="79" t="s">
        <v>153</v>
      </c>
      <c r="G376" s="79" t="s">
        <v>153</v>
      </c>
      <c r="H376" s="79" t="s">
        <v>153</v>
      </c>
      <c r="I376" s="79" t="s">
        <v>152</v>
      </c>
      <c r="J376" s="79" t="s">
        <v>154</v>
      </c>
      <c r="K376" s="79" t="s">
        <v>155</v>
      </c>
      <c r="L376" s="80" t="s">
        <v>2596</v>
      </c>
      <c r="M376" s="80" t="s">
        <v>303</v>
      </c>
      <c r="N376" s="79" t="s">
        <v>328</v>
      </c>
      <c r="O376" s="80" t="str">
        <f t="shared" si="204"/>
        <v>William Arturo González, César Augusto Barrantes</v>
      </c>
      <c r="P376" s="79" t="s">
        <v>2786</v>
      </c>
      <c r="Q376" s="79" t="s">
        <v>729</v>
      </c>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t="s">
        <v>169</v>
      </c>
      <c r="AP376" s="79" t="s">
        <v>475</v>
      </c>
      <c r="AQ376" s="80" t="s">
        <v>171</v>
      </c>
      <c r="AR376" s="83" t="s">
        <v>171</v>
      </c>
      <c r="AS376" s="80" t="s">
        <v>171</v>
      </c>
      <c r="AT376" s="80" t="str">
        <f t="shared" si="205"/>
        <v>Distrital</v>
      </c>
      <c r="AU376" s="79" t="s">
        <v>172</v>
      </c>
      <c r="AV376" s="79"/>
      <c r="AW376" s="79"/>
      <c r="AX376" s="79"/>
      <c r="AY376" s="79"/>
      <c r="AZ376" s="79"/>
      <c r="BA376" s="80" t="str">
        <f t="shared" si="206"/>
        <v>Distrital</v>
      </c>
      <c r="BB376" s="79" t="s">
        <v>172</v>
      </c>
      <c r="BC376" s="79"/>
      <c r="BD376" s="79"/>
      <c r="BE376" s="79"/>
      <c r="BF376" s="79"/>
      <c r="BG376" s="79"/>
      <c r="BH376" s="80" t="str">
        <f t="shared" si="207"/>
        <v>Distrital</v>
      </c>
      <c r="BI376" s="79" t="s">
        <v>172</v>
      </c>
      <c r="BJ376" s="79"/>
      <c r="BK376" s="79"/>
      <c r="BL376" s="79"/>
      <c r="BM376" s="79"/>
      <c r="BN376" s="79"/>
      <c r="BO376" s="79"/>
      <c r="BP376" s="79"/>
      <c r="BQ376" s="79"/>
      <c r="BR376" s="79"/>
      <c r="BS376" s="80" t="s">
        <v>2598</v>
      </c>
      <c r="BT376" s="80" t="s">
        <v>174</v>
      </c>
      <c r="BU376" s="80" t="s">
        <v>2599</v>
      </c>
      <c r="BV376" s="71"/>
      <c r="BW376" s="79" t="s">
        <v>153</v>
      </c>
      <c r="BX376" s="79" t="s">
        <v>2600</v>
      </c>
      <c r="BY376" s="71"/>
      <c r="BZ376" s="79">
        <v>17</v>
      </c>
      <c r="CA376" s="79">
        <v>4</v>
      </c>
      <c r="CB376" s="79">
        <f t="shared" si="223"/>
        <v>21</v>
      </c>
      <c r="CC376" s="79" t="str">
        <f t="shared" si="227"/>
        <v>Ninguna</v>
      </c>
      <c r="CD376" s="79" t="s">
        <v>174</v>
      </c>
      <c r="CE376" s="79"/>
      <c r="CF376" s="79"/>
      <c r="CG376" s="83" t="s">
        <v>2787</v>
      </c>
      <c r="CH376" s="41"/>
      <c r="CI376" s="79" t="s">
        <v>153</v>
      </c>
      <c r="CJ376" s="71"/>
      <c r="CK376" s="79">
        <f t="shared" si="177"/>
        <v>1</v>
      </c>
      <c r="CL376" s="93" t="s">
        <v>2788</v>
      </c>
      <c r="CM376" s="79"/>
      <c r="CN376" s="79"/>
      <c r="CO376" s="79"/>
      <c r="CP376" s="79"/>
      <c r="CQ376" s="79"/>
      <c r="CR376" s="83" t="s">
        <v>390</v>
      </c>
      <c r="CS376" s="83" t="s">
        <v>179</v>
      </c>
      <c r="CT376" s="83" t="s">
        <v>179</v>
      </c>
      <c r="CU376" s="83" t="s">
        <v>179</v>
      </c>
      <c r="CV376" s="83" t="s">
        <v>179</v>
      </c>
      <c r="CW376" s="83" t="s">
        <v>179</v>
      </c>
      <c r="CX376" s="79" t="s">
        <v>153</v>
      </c>
      <c r="CY376" s="79">
        <f t="shared" si="219"/>
        <v>1</v>
      </c>
      <c r="CZ376" s="79">
        <v>1</v>
      </c>
      <c r="DA376" s="79">
        <f t="shared" si="220"/>
        <v>1</v>
      </c>
      <c r="DB376" s="84">
        <f t="shared" si="221"/>
        <v>1</v>
      </c>
      <c r="DC376" s="41"/>
      <c r="DD376" s="79" t="s">
        <v>153</v>
      </c>
      <c r="DE376" s="71"/>
      <c r="DF376" s="85" t="s">
        <v>2789</v>
      </c>
      <c r="DG376" s="79">
        <v>366</v>
      </c>
      <c r="DH376" s="86" t="str">
        <f t="shared" si="225"/>
        <v>Completo</v>
      </c>
      <c r="DI376" s="79" t="s">
        <v>181</v>
      </c>
      <c r="DJ376" s="79" t="s">
        <v>182</v>
      </c>
      <c r="DK376" s="79" t="s">
        <v>153</v>
      </c>
      <c r="DL376" s="79">
        <v>25</v>
      </c>
      <c r="DM376" s="79">
        <v>25</v>
      </c>
      <c r="DN376" s="79" t="s">
        <v>182</v>
      </c>
      <c r="DO376" s="79" t="s">
        <v>179</v>
      </c>
      <c r="DP376" s="79" t="s">
        <v>182</v>
      </c>
      <c r="DQ376" s="79">
        <v>6</v>
      </c>
      <c r="DR376" s="75">
        <f t="shared" si="208"/>
        <v>1.1764705882352942</v>
      </c>
      <c r="DS376" s="79" t="s">
        <v>182</v>
      </c>
      <c r="DT376" s="79">
        <v>7</v>
      </c>
      <c r="DU376" s="75">
        <f t="shared" si="209"/>
        <v>1.1764705882352942</v>
      </c>
      <c r="DV376" s="79" t="s">
        <v>182</v>
      </c>
      <c r="DW376" s="79" t="s">
        <v>182</v>
      </c>
      <c r="DX376" s="79">
        <v>1</v>
      </c>
      <c r="DY376" s="79">
        <v>0</v>
      </c>
      <c r="DZ376" s="79"/>
      <c r="EA376" s="79" t="s">
        <v>179</v>
      </c>
      <c r="EB376" s="79" t="s">
        <v>182</v>
      </c>
      <c r="EC376" s="79" t="s">
        <v>2790</v>
      </c>
      <c r="ED376" s="79" t="s">
        <v>184</v>
      </c>
      <c r="EE376" s="79" t="str">
        <f t="shared" si="231"/>
        <v>Completo</v>
      </c>
      <c r="EF376" s="41"/>
      <c r="EG376" s="79" t="s">
        <v>153</v>
      </c>
      <c r="EH376" s="71"/>
      <c r="EI376" s="202" t="s">
        <v>2791</v>
      </c>
      <c r="EJ376" s="71"/>
      <c r="EK376" s="164" t="s">
        <v>409</v>
      </c>
      <c r="EL376" s="76" t="str">
        <f t="shared" si="210"/>
        <v>No</v>
      </c>
      <c r="EM376" s="76" t="str">
        <f t="shared" si="211"/>
        <v>No</v>
      </c>
      <c r="EN376" s="76" t="str">
        <f t="shared" si="228"/>
        <v>No</v>
      </c>
      <c r="EO376" s="71"/>
      <c r="EP376" s="73">
        <f t="shared" si="212"/>
        <v>1</v>
      </c>
      <c r="EQ376" s="77">
        <f t="shared" si="213"/>
        <v>1.1764705882352942</v>
      </c>
      <c r="ER376" s="71"/>
      <c r="ES376" s="79" t="s">
        <v>409</v>
      </c>
      <c r="ET376" s="73">
        <f t="shared" si="214"/>
        <v>1</v>
      </c>
      <c r="EU376" s="73">
        <f t="shared" si="229"/>
        <v>1</v>
      </c>
      <c r="EV376" s="73">
        <f t="shared" si="215"/>
        <v>1</v>
      </c>
      <c r="EW376" s="73" t="str">
        <f t="shared" si="216"/>
        <v>No aplica</v>
      </c>
      <c r="EX376" s="78"/>
      <c r="EY376" s="78"/>
    </row>
    <row r="377" spans="1:155" ht="46.5" customHeight="1">
      <c r="A377" s="79">
        <v>373</v>
      </c>
      <c r="B377" s="80" t="s">
        <v>2792</v>
      </c>
      <c r="C377" s="81">
        <v>45412</v>
      </c>
      <c r="D377" s="82">
        <v>0.60416666666666663</v>
      </c>
      <c r="E377" s="79" t="s">
        <v>200</v>
      </c>
      <c r="F377" s="79" t="s">
        <v>153</v>
      </c>
      <c r="G377" s="79" t="s">
        <v>152</v>
      </c>
      <c r="H377" s="79" t="s">
        <v>152</v>
      </c>
      <c r="I377" s="79" t="s">
        <v>152</v>
      </c>
      <c r="J377" s="79" t="s">
        <v>504</v>
      </c>
      <c r="K377" s="79" t="s">
        <v>202</v>
      </c>
      <c r="L377" s="80" t="s">
        <v>2793</v>
      </c>
      <c r="M377" s="80" t="s">
        <v>157</v>
      </c>
      <c r="N377" s="79" t="s">
        <v>1066</v>
      </c>
      <c r="O377" s="80" t="str">
        <f t="shared" si="204"/>
        <v/>
      </c>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t="s">
        <v>169</v>
      </c>
      <c r="AP377" s="79" t="s">
        <v>2702</v>
      </c>
      <c r="AQ377" s="80" t="s">
        <v>2794</v>
      </c>
      <c r="AR377" s="83">
        <v>3185272677</v>
      </c>
      <c r="AS377" s="80" t="s">
        <v>517</v>
      </c>
      <c r="AT377" s="80" t="str">
        <f t="shared" si="205"/>
        <v>Ciudad Bolívar</v>
      </c>
      <c r="AU377" s="79" t="s">
        <v>217</v>
      </c>
      <c r="AV377" s="79"/>
      <c r="AW377" s="79"/>
      <c r="AX377" s="79"/>
      <c r="AY377" s="79"/>
      <c r="AZ377" s="79"/>
      <c r="BA377" s="80" t="str">
        <f t="shared" si="206"/>
        <v>Suroriente, Ruralidad</v>
      </c>
      <c r="BB377" s="79" t="s">
        <v>218</v>
      </c>
      <c r="BC377" s="79" t="s">
        <v>219</v>
      </c>
      <c r="BD377" s="79"/>
      <c r="BE377" s="79"/>
      <c r="BF377" s="79"/>
      <c r="BG377" s="79"/>
      <c r="BH377" s="80" t="str">
        <f t="shared" si="207"/>
        <v>Arborizadora, Lucero, Cuenca del Tunjuelo</v>
      </c>
      <c r="BI377" s="79" t="s">
        <v>220</v>
      </c>
      <c r="BJ377" s="79" t="s">
        <v>221</v>
      </c>
      <c r="BK377" s="79" t="s">
        <v>222</v>
      </c>
      <c r="BL377" s="79"/>
      <c r="BM377" s="79"/>
      <c r="BN377" s="79"/>
      <c r="BO377" s="79"/>
      <c r="BP377" s="79"/>
      <c r="BQ377" s="79"/>
      <c r="BR377" s="79"/>
      <c r="BS377" s="80" t="s">
        <v>2795</v>
      </c>
      <c r="BT377" s="80" t="s">
        <v>174</v>
      </c>
      <c r="BU377" s="80"/>
      <c r="BV377" s="71"/>
      <c r="BW377" s="79" t="s">
        <v>152</v>
      </c>
      <c r="BX377" s="79" t="s">
        <v>179</v>
      </c>
      <c r="BY377" s="71"/>
      <c r="BZ377" s="79">
        <v>15</v>
      </c>
      <c r="CA377" s="79">
        <v>1</v>
      </c>
      <c r="CB377" s="79">
        <f t="shared" si="223"/>
        <v>16</v>
      </c>
      <c r="CC377" s="79" t="str">
        <f t="shared" si="227"/>
        <v>No Aplica</v>
      </c>
      <c r="CD377" s="79" t="s">
        <v>177</v>
      </c>
      <c r="CE377" s="79"/>
      <c r="CF377" s="79"/>
      <c r="CG377" s="83" t="s">
        <v>2796</v>
      </c>
      <c r="CH377" s="41"/>
      <c r="CI377" s="79" t="s">
        <v>153</v>
      </c>
      <c r="CJ377" s="71"/>
      <c r="CK377" s="79">
        <f t="shared" si="177"/>
        <v>0</v>
      </c>
      <c r="CL377" s="79"/>
      <c r="CM377" s="79"/>
      <c r="CN377" s="79"/>
      <c r="CO377" s="79"/>
      <c r="CP377" s="79"/>
      <c r="CQ377" s="79"/>
      <c r="CR377" s="83" t="s">
        <v>179</v>
      </c>
      <c r="CS377" s="83" t="s">
        <v>179</v>
      </c>
      <c r="CT377" s="83" t="s">
        <v>179</v>
      </c>
      <c r="CU377" s="83" t="s">
        <v>179</v>
      </c>
      <c r="CV377" s="83" t="s">
        <v>179</v>
      </c>
      <c r="CW377" s="83" t="s">
        <v>179</v>
      </c>
      <c r="CX377" s="79" t="s">
        <v>153</v>
      </c>
      <c r="CY377" s="79">
        <f t="shared" si="219"/>
        <v>0</v>
      </c>
      <c r="CZ377" s="79">
        <v>0</v>
      </c>
      <c r="DA377" s="79">
        <f t="shared" si="220"/>
        <v>0</v>
      </c>
      <c r="DB377" s="84" t="str">
        <f t="shared" si="221"/>
        <v/>
      </c>
      <c r="DC377" s="41"/>
      <c r="DD377" s="79" t="s">
        <v>153</v>
      </c>
      <c r="DE377" s="71"/>
      <c r="DF377" s="85" t="s">
        <v>2797</v>
      </c>
      <c r="DG377" s="79">
        <v>367</v>
      </c>
      <c r="DH377" s="86" t="str">
        <f t="shared" si="225"/>
        <v>Completo</v>
      </c>
      <c r="DI377" s="79" t="s">
        <v>181</v>
      </c>
      <c r="DJ377" s="79" t="s">
        <v>182</v>
      </c>
      <c r="DK377" s="79"/>
      <c r="DL377" s="79">
        <v>0</v>
      </c>
      <c r="DM377" s="79">
        <v>0</v>
      </c>
      <c r="DN377" s="79" t="s">
        <v>182</v>
      </c>
      <c r="DO377" s="79"/>
      <c r="DP377" s="79"/>
      <c r="DQ377" s="79"/>
      <c r="DR377" s="75" t="str">
        <f t="shared" si="208"/>
        <v>No aplica</v>
      </c>
      <c r="DS377" s="79"/>
      <c r="DT377" s="79"/>
      <c r="DU377" s="75" t="str">
        <f t="shared" si="209"/>
        <v>No aplica</v>
      </c>
      <c r="DV377" s="79" t="s">
        <v>182</v>
      </c>
      <c r="DW377" s="79" t="s">
        <v>182</v>
      </c>
      <c r="DX377" s="79"/>
      <c r="DY377" s="79"/>
      <c r="DZ377" s="79"/>
      <c r="EA377" s="79"/>
      <c r="EB377" s="79"/>
      <c r="EC377" s="79"/>
      <c r="ED377" s="79" t="s">
        <v>184</v>
      </c>
      <c r="EE377" s="79" t="str">
        <f t="shared" si="231"/>
        <v>Completo</v>
      </c>
      <c r="EF377" s="41"/>
      <c r="EG377" s="79" t="s">
        <v>153</v>
      </c>
      <c r="EH377" s="71"/>
      <c r="EI377" s="80"/>
      <c r="EJ377" s="71"/>
      <c r="EK377" s="79"/>
      <c r="EL377" s="76" t="str">
        <f t="shared" si="210"/>
        <v>No requiere</v>
      </c>
      <c r="EM377" s="76" t="str">
        <f t="shared" si="211"/>
        <v>No requiere</v>
      </c>
      <c r="EN377" s="76" t="str">
        <f t="shared" si="228"/>
        <v>No requiere</v>
      </c>
      <c r="EO377" s="71"/>
      <c r="EP377" s="73" t="str">
        <f t="shared" si="212"/>
        <v>No requiere</v>
      </c>
      <c r="EQ377" s="77" t="str">
        <f t="shared" si="213"/>
        <v>No requiere</v>
      </c>
      <c r="ER377" s="71"/>
      <c r="ES377" s="79"/>
      <c r="ET377" s="73" t="str">
        <f t="shared" si="214"/>
        <v>No requiere</v>
      </c>
      <c r="EU377" s="73" t="str">
        <f t="shared" si="229"/>
        <v>No requiere</v>
      </c>
      <c r="EV377" s="73" t="str">
        <f t="shared" si="215"/>
        <v>No requiere</v>
      </c>
      <c r="EW377" s="73" t="str">
        <f t="shared" si="216"/>
        <v>No requiere</v>
      </c>
      <c r="EX377" s="78"/>
      <c r="EY377" s="78"/>
    </row>
    <row r="378" spans="1:155" ht="46.5" customHeight="1">
      <c r="A378" s="79">
        <v>374</v>
      </c>
      <c r="B378" s="80" t="s">
        <v>2798</v>
      </c>
      <c r="C378" s="81">
        <v>45412</v>
      </c>
      <c r="D378" s="82">
        <v>0.64583333333333337</v>
      </c>
      <c r="E378" s="79" t="s">
        <v>151</v>
      </c>
      <c r="F378" s="79" t="s">
        <v>153</v>
      </c>
      <c r="G378" s="79" t="s">
        <v>153</v>
      </c>
      <c r="H378" s="79" t="s">
        <v>153</v>
      </c>
      <c r="I378" s="79" t="s">
        <v>152</v>
      </c>
      <c r="J378" s="79" t="s">
        <v>2799</v>
      </c>
      <c r="K378" s="79" t="s">
        <v>202</v>
      </c>
      <c r="L378" s="80" t="s">
        <v>2800</v>
      </c>
      <c r="M378" s="80" t="s">
        <v>229</v>
      </c>
      <c r="N378" s="79" t="s">
        <v>818</v>
      </c>
      <c r="O378" s="80" t="str">
        <f t="shared" si="204"/>
        <v>Carlos Eduardo Escandón</v>
      </c>
      <c r="P378" s="79" t="s">
        <v>819</v>
      </c>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t="s">
        <v>304</v>
      </c>
      <c r="AP378" s="79"/>
      <c r="AQ378" s="80" t="s">
        <v>2801</v>
      </c>
      <c r="AR378" s="83">
        <v>3103418422</v>
      </c>
      <c r="AS378" s="80" t="s">
        <v>2802</v>
      </c>
      <c r="AT378" s="80" t="str">
        <f t="shared" si="205"/>
        <v>Puente Aranda</v>
      </c>
      <c r="AU378" s="79" t="s">
        <v>1235</v>
      </c>
      <c r="AV378" s="79"/>
      <c r="AW378" s="79"/>
      <c r="AX378" s="79"/>
      <c r="AY378" s="79"/>
      <c r="AZ378" s="79"/>
      <c r="BA378" s="80" t="str">
        <f t="shared" si="206"/>
        <v>Centro Ampliado</v>
      </c>
      <c r="BB378" s="79" t="s">
        <v>636</v>
      </c>
      <c r="BC378" s="79"/>
      <c r="BD378" s="79"/>
      <c r="BE378" s="79"/>
      <c r="BF378" s="79"/>
      <c r="BG378" s="79"/>
      <c r="BH378" s="80" t="str">
        <f t="shared" si="207"/>
        <v>Puente Aranda</v>
      </c>
      <c r="BI378" s="79" t="s">
        <v>1235</v>
      </c>
      <c r="BJ378" s="79"/>
      <c r="BK378" s="79"/>
      <c r="BL378" s="79"/>
      <c r="BM378" s="79"/>
      <c r="BN378" s="79"/>
      <c r="BO378" s="79"/>
      <c r="BP378" s="79"/>
      <c r="BQ378" s="79"/>
      <c r="BR378" s="79"/>
      <c r="BS378" s="80" t="s">
        <v>2803</v>
      </c>
      <c r="BT378" s="80" t="s">
        <v>174</v>
      </c>
      <c r="BU378" s="89" t="s">
        <v>2804</v>
      </c>
      <c r="BV378" s="71"/>
      <c r="BW378" s="79" t="s">
        <v>152</v>
      </c>
      <c r="BX378" s="79" t="s">
        <v>179</v>
      </c>
      <c r="BY378" s="71"/>
      <c r="BZ378" s="79">
        <v>21</v>
      </c>
      <c r="CA378" s="79">
        <v>6</v>
      </c>
      <c r="CB378" s="79">
        <f t="shared" si="223"/>
        <v>27</v>
      </c>
      <c r="CC378" s="79" t="str">
        <f t="shared" si="227"/>
        <v>Horarios Acordes</v>
      </c>
      <c r="CD378" s="79" t="s">
        <v>351</v>
      </c>
      <c r="CE378" s="79"/>
      <c r="CF378" s="79"/>
      <c r="CG378" s="83" t="s">
        <v>2805</v>
      </c>
      <c r="CH378" s="41"/>
      <c r="CI378" s="79" t="s">
        <v>153</v>
      </c>
      <c r="CJ378" s="71"/>
      <c r="CK378" s="79">
        <f t="shared" si="177"/>
        <v>2</v>
      </c>
      <c r="CL378" s="79" t="s">
        <v>2806</v>
      </c>
      <c r="CM378" s="79" t="s">
        <v>2807</v>
      </c>
      <c r="CN378" s="79"/>
      <c r="CO378" s="79"/>
      <c r="CP378" s="79"/>
      <c r="CQ378" s="79"/>
      <c r="CR378" s="83" t="s">
        <v>390</v>
      </c>
      <c r="CS378" s="83" t="s">
        <v>390</v>
      </c>
      <c r="CT378" s="83" t="s">
        <v>179</v>
      </c>
      <c r="CU378" s="83" t="s">
        <v>179</v>
      </c>
      <c r="CV378" s="83" t="s">
        <v>179</v>
      </c>
      <c r="CW378" s="83" t="s">
        <v>179</v>
      </c>
      <c r="CX378" s="79" t="s">
        <v>153</v>
      </c>
      <c r="CY378" s="79">
        <v>0</v>
      </c>
      <c r="CZ378" s="79">
        <v>2</v>
      </c>
      <c r="DA378" s="79">
        <v>0</v>
      </c>
      <c r="DB378" s="84">
        <f t="shared" si="221"/>
        <v>0</v>
      </c>
      <c r="DC378" s="41"/>
      <c r="DD378" s="79" t="s">
        <v>153</v>
      </c>
      <c r="DE378" s="71"/>
      <c r="DF378" s="85" t="s">
        <v>2808</v>
      </c>
      <c r="DG378" s="79">
        <v>368</v>
      </c>
      <c r="DH378" s="86">
        <f t="shared" si="225"/>
        <v>45415</v>
      </c>
      <c r="DI378" s="79" t="s">
        <v>181</v>
      </c>
      <c r="DJ378" s="79" t="s">
        <v>182</v>
      </c>
      <c r="DK378" s="79" t="s">
        <v>153</v>
      </c>
      <c r="DL378" s="79">
        <v>5</v>
      </c>
      <c r="DM378" s="79">
        <v>5</v>
      </c>
      <c r="DN378" s="79" t="s">
        <v>182</v>
      </c>
      <c r="DO378" s="79">
        <v>97</v>
      </c>
      <c r="DP378" s="79" t="s">
        <v>182</v>
      </c>
      <c r="DQ378" s="79">
        <v>4</v>
      </c>
      <c r="DR378" s="75">
        <f t="shared" si="208"/>
        <v>0.63492063492063489</v>
      </c>
      <c r="DS378" s="79" t="s">
        <v>182</v>
      </c>
      <c r="DT378" s="79">
        <v>10</v>
      </c>
      <c r="DU378" s="75">
        <f t="shared" si="209"/>
        <v>1.3605442176870748</v>
      </c>
      <c r="DV378" s="79" t="s">
        <v>182</v>
      </c>
      <c r="DW378" s="79" t="s">
        <v>182</v>
      </c>
      <c r="DX378" s="79">
        <v>6</v>
      </c>
      <c r="DY378" s="79">
        <v>2</v>
      </c>
      <c r="DZ378" s="79" t="s">
        <v>2809</v>
      </c>
      <c r="EA378" s="79">
        <v>97</v>
      </c>
      <c r="EB378" s="79" t="s">
        <v>182</v>
      </c>
      <c r="EC378" s="79" t="s">
        <v>2810</v>
      </c>
      <c r="ED378" s="79"/>
      <c r="EE378" s="79" t="s">
        <v>621</v>
      </c>
      <c r="EF378" s="41"/>
      <c r="EG378" s="79" t="s">
        <v>153</v>
      </c>
      <c r="EH378" s="71"/>
      <c r="EI378" s="89" t="s">
        <v>2811</v>
      </c>
      <c r="EJ378" s="71"/>
      <c r="EK378" s="79" t="s">
        <v>393</v>
      </c>
      <c r="EL378" s="76" t="str">
        <f t="shared" si="210"/>
        <v>Sí</v>
      </c>
      <c r="EM378" s="76" t="str">
        <f t="shared" si="211"/>
        <v>Sí</v>
      </c>
      <c r="EN378" s="76" t="str">
        <f t="shared" si="228"/>
        <v>Sí</v>
      </c>
      <c r="EO378" s="71"/>
      <c r="EP378" s="73">
        <f t="shared" si="212"/>
        <v>1</v>
      </c>
      <c r="EQ378" s="77">
        <f t="shared" si="213"/>
        <v>1.3605442176870748</v>
      </c>
      <c r="ER378" s="71"/>
      <c r="ES378" s="79" t="s">
        <v>393</v>
      </c>
      <c r="ET378" s="73">
        <f t="shared" si="214"/>
        <v>1</v>
      </c>
      <c r="EU378" s="73">
        <f t="shared" si="229"/>
        <v>0</v>
      </c>
      <c r="EV378" s="73">
        <f t="shared" si="215"/>
        <v>0</v>
      </c>
      <c r="EW378" s="73">
        <f t="shared" si="216"/>
        <v>1</v>
      </c>
      <c r="EX378" s="78"/>
      <c r="EY378" s="78"/>
    </row>
    <row r="379" spans="1:155" ht="46.5" customHeight="1">
      <c r="A379" s="79">
        <v>375</v>
      </c>
      <c r="B379" s="80" t="s">
        <v>434</v>
      </c>
      <c r="C379" s="81">
        <v>45414</v>
      </c>
      <c r="D379" s="82">
        <v>0.33333333333333331</v>
      </c>
      <c r="E379" s="79" t="s">
        <v>151</v>
      </c>
      <c r="F379" s="79" t="s">
        <v>153</v>
      </c>
      <c r="G379" s="79" t="s">
        <v>153</v>
      </c>
      <c r="H379" s="79" t="s">
        <v>152</v>
      </c>
      <c r="I379" s="79" t="s">
        <v>152</v>
      </c>
      <c r="J379" s="79" t="s">
        <v>154</v>
      </c>
      <c r="K379" s="79" t="s">
        <v>202</v>
      </c>
      <c r="L379" s="80" t="s">
        <v>2812</v>
      </c>
      <c r="M379" s="80" t="s">
        <v>229</v>
      </c>
      <c r="N379" s="79" t="s">
        <v>195</v>
      </c>
      <c r="O379" s="80" t="str">
        <f t="shared" si="204"/>
        <v>Yohan David Díaz, Valentina González Pontón</v>
      </c>
      <c r="P379" s="79" t="s">
        <v>164</v>
      </c>
      <c r="Q379" s="79" t="s">
        <v>329</v>
      </c>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t="s">
        <v>169</v>
      </c>
      <c r="AP379" s="79" t="s">
        <v>170</v>
      </c>
      <c r="AQ379" s="80" t="s">
        <v>171</v>
      </c>
      <c r="AR379" s="83" t="s">
        <v>171</v>
      </c>
      <c r="AS379" s="80" t="s">
        <v>171</v>
      </c>
      <c r="AT379" s="80" t="str">
        <f t="shared" si="205"/>
        <v>Distrital</v>
      </c>
      <c r="AU379" s="79" t="s">
        <v>172</v>
      </c>
      <c r="AV379" s="79"/>
      <c r="AW379" s="79"/>
      <c r="AX379" s="79"/>
      <c r="AY379" s="79"/>
      <c r="AZ379" s="79"/>
      <c r="BA379" s="80" t="str">
        <f t="shared" si="206"/>
        <v>Distrital</v>
      </c>
      <c r="BB379" s="79" t="s">
        <v>172</v>
      </c>
      <c r="BC379" s="79"/>
      <c r="BD379" s="79"/>
      <c r="BE379" s="79"/>
      <c r="BF379" s="79"/>
      <c r="BG379" s="79"/>
      <c r="BH379" s="80" t="str">
        <f t="shared" si="207"/>
        <v>Distrital</v>
      </c>
      <c r="BI379" s="79" t="s">
        <v>172</v>
      </c>
      <c r="BJ379" s="79"/>
      <c r="BK379" s="79"/>
      <c r="BL379" s="79"/>
      <c r="BM379" s="79"/>
      <c r="BN379" s="79"/>
      <c r="BO379" s="79"/>
      <c r="BP379" s="79"/>
      <c r="BQ379" s="79"/>
      <c r="BR379" s="79"/>
      <c r="BS379" s="80" t="s">
        <v>288</v>
      </c>
      <c r="BT379" s="80" t="s">
        <v>174</v>
      </c>
      <c r="BU379" s="89" t="s">
        <v>2813</v>
      </c>
      <c r="BV379" s="71"/>
      <c r="BW379" s="79" t="s">
        <v>153</v>
      </c>
      <c r="BX379" s="79" t="s">
        <v>176</v>
      </c>
      <c r="BY379" s="71"/>
      <c r="BZ379" s="79">
        <v>17</v>
      </c>
      <c r="CA379" s="79">
        <v>16</v>
      </c>
      <c r="CB379" s="79">
        <f t="shared" si="223"/>
        <v>33</v>
      </c>
      <c r="CC379" s="79" t="str">
        <f t="shared" si="227"/>
        <v>No Aplica</v>
      </c>
      <c r="CD379" s="79" t="s">
        <v>177</v>
      </c>
      <c r="CE379" s="79"/>
      <c r="CF379" s="79"/>
      <c r="CG379" s="83" t="s">
        <v>2814</v>
      </c>
      <c r="CH379" s="41"/>
      <c r="CI379" s="79" t="s">
        <v>153</v>
      </c>
      <c r="CJ379" s="71"/>
      <c r="CK379" s="79">
        <f t="shared" si="177"/>
        <v>0</v>
      </c>
      <c r="CL379" s="79"/>
      <c r="CM379" s="79"/>
      <c r="CN379" s="79"/>
      <c r="CO379" s="79"/>
      <c r="CP379" s="79"/>
      <c r="CQ379" s="79"/>
      <c r="CR379" s="83" t="s">
        <v>179</v>
      </c>
      <c r="CS379" s="83" t="s">
        <v>179</v>
      </c>
      <c r="CT379" s="83" t="s">
        <v>179</v>
      </c>
      <c r="CU379" s="83" t="s">
        <v>179</v>
      </c>
      <c r="CV379" s="83" t="s">
        <v>179</v>
      </c>
      <c r="CW379" s="83" t="s">
        <v>179</v>
      </c>
      <c r="CX379" s="79" t="s">
        <v>153</v>
      </c>
      <c r="CY379" s="79">
        <f t="shared" ref="CY379:CY391" si="232">SUM(COUNTIF(CR379:CW379,"Realizado y Devuelto a la Ciudadanía"),COUNTIF(CR379:CW379,"Realizado y Trasladado por competencia"), COUNTIF(CR379:CW379,"Realizado y Gestionado"))</f>
        <v>0</v>
      </c>
      <c r="CZ379" s="79">
        <v>0</v>
      </c>
      <c r="DA379" s="79">
        <f t="shared" ref="DA379:DA391" si="233">COUNTIF(CR379:CW379,"Realizado y Devuelto a la Ciudadanía")</f>
        <v>0</v>
      </c>
      <c r="DB379" s="84" t="str">
        <f t="shared" si="221"/>
        <v/>
      </c>
      <c r="DC379" s="41"/>
      <c r="DD379" s="79" t="s">
        <v>153</v>
      </c>
      <c r="DE379" s="71"/>
      <c r="DF379" s="85" t="s">
        <v>2815</v>
      </c>
      <c r="DG379" s="79">
        <v>369</v>
      </c>
      <c r="DH379" s="86" t="str">
        <f t="shared" si="225"/>
        <v>Completo</v>
      </c>
      <c r="DI379" s="79" t="s">
        <v>181</v>
      </c>
      <c r="DJ379" s="79" t="s">
        <v>182</v>
      </c>
      <c r="DK379" s="79"/>
      <c r="DL379" s="79">
        <v>0</v>
      </c>
      <c r="DM379" s="79">
        <v>0</v>
      </c>
      <c r="DN379" s="79" t="s">
        <v>182</v>
      </c>
      <c r="DO379" s="79"/>
      <c r="DP379" s="79"/>
      <c r="DQ379" s="79"/>
      <c r="DR379" s="75" t="str">
        <f t="shared" si="208"/>
        <v>No aplica</v>
      </c>
      <c r="DS379" s="79"/>
      <c r="DT379" s="79"/>
      <c r="DU379" s="75" t="str">
        <f t="shared" si="209"/>
        <v>No aplica</v>
      </c>
      <c r="DV379" s="79" t="s">
        <v>182</v>
      </c>
      <c r="DW379" s="79" t="s">
        <v>182</v>
      </c>
      <c r="DX379" s="79"/>
      <c r="DY379" s="79"/>
      <c r="DZ379" s="79"/>
      <c r="EA379" s="79"/>
      <c r="EB379" s="79"/>
      <c r="EC379" s="79"/>
      <c r="ED379" s="79" t="s">
        <v>184</v>
      </c>
      <c r="EE379" s="79" t="str">
        <f>IF(DI379="Subsanado","Completo","Por Completar")</f>
        <v>Completo</v>
      </c>
      <c r="EF379" s="41"/>
      <c r="EG379" s="79" t="s">
        <v>153</v>
      </c>
      <c r="EH379" s="71"/>
      <c r="EI379" s="80"/>
      <c r="EJ379" s="71"/>
      <c r="EK379" s="79"/>
      <c r="EL379" s="76" t="str">
        <f t="shared" si="210"/>
        <v>No requiere</v>
      </c>
      <c r="EM379" s="76" t="str">
        <f t="shared" si="211"/>
        <v>No requiere</v>
      </c>
      <c r="EN379" s="76" t="str">
        <f t="shared" si="228"/>
        <v>No requiere</v>
      </c>
      <c r="EO379" s="71"/>
      <c r="EP379" s="73" t="str">
        <f t="shared" si="212"/>
        <v>No requiere</v>
      </c>
      <c r="EQ379" s="77" t="str">
        <f t="shared" si="213"/>
        <v>No requiere</v>
      </c>
      <c r="ER379" s="71"/>
      <c r="ES379" s="79"/>
      <c r="ET379" s="73" t="str">
        <f t="shared" si="214"/>
        <v>No requiere</v>
      </c>
      <c r="EU379" s="73" t="str">
        <f t="shared" si="229"/>
        <v>No requiere</v>
      </c>
      <c r="EV379" s="73" t="str">
        <f t="shared" si="215"/>
        <v>No requiere</v>
      </c>
      <c r="EW379" s="73" t="str">
        <f t="shared" si="216"/>
        <v>No requiere</v>
      </c>
      <c r="EX379" s="78"/>
      <c r="EY379" s="78"/>
    </row>
    <row r="380" spans="1:155" ht="46.5" customHeight="1">
      <c r="A380" s="79">
        <v>376</v>
      </c>
      <c r="B380" s="80" t="s">
        <v>2816</v>
      </c>
      <c r="C380" s="81">
        <v>45414</v>
      </c>
      <c r="D380" s="82">
        <v>0</v>
      </c>
      <c r="E380" s="79" t="s">
        <v>151</v>
      </c>
      <c r="F380" s="79" t="s">
        <v>153</v>
      </c>
      <c r="G380" s="79" t="s">
        <v>153</v>
      </c>
      <c r="H380" s="79" t="s">
        <v>153</v>
      </c>
      <c r="I380" s="79" t="s">
        <v>152</v>
      </c>
      <c r="J380" s="79" t="s">
        <v>154</v>
      </c>
      <c r="K380" s="79" t="s">
        <v>155</v>
      </c>
      <c r="L380" s="80" t="s">
        <v>2596</v>
      </c>
      <c r="M380" s="80" t="s">
        <v>303</v>
      </c>
      <c r="N380" s="79" t="s">
        <v>158</v>
      </c>
      <c r="O380" s="80" t="str">
        <f t="shared" si="204"/>
        <v>Laura Sofia Morales, James Fernando Núñez</v>
      </c>
      <c r="P380" s="79" t="s">
        <v>506</v>
      </c>
      <c r="Q380" s="79" t="s">
        <v>632</v>
      </c>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t="s">
        <v>169</v>
      </c>
      <c r="AP380" s="79" t="s">
        <v>475</v>
      </c>
      <c r="AQ380" s="80" t="s">
        <v>1989</v>
      </c>
      <c r="AR380" s="83" t="s">
        <v>1989</v>
      </c>
      <c r="AS380" s="80" t="s">
        <v>1989</v>
      </c>
      <c r="AT380" s="80" t="str">
        <f t="shared" si="205"/>
        <v>Distrital</v>
      </c>
      <c r="AU380" s="79" t="s">
        <v>172</v>
      </c>
      <c r="AV380" s="79"/>
      <c r="AW380" s="79"/>
      <c r="AX380" s="79"/>
      <c r="AY380" s="79"/>
      <c r="AZ380" s="79"/>
      <c r="BA380" s="80" t="str">
        <f t="shared" si="206"/>
        <v>Distrital</v>
      </c>
      <c r="BB380" s="79" t="s">
        <v>172</v>
      </c>
      <c r="BC380" s="79"/>
      <c r="BD380" s="79"/>
      <c r="BE380" s="79"/>
      <c r="BF380" s="79"/>
      <c r="BG380" s="79"/>
      <c r="BH380" s="80" t="str">
        <f t="shared" si="207"/>
        <v>Distrital</v>
      </c>
      <c r="BI380" s="79" t="s">
        <v>172</v>
      </c>
      <c r="BJ380" s="79"/>
      <c r="BK380" s="79"/>
      <c r="BL380" s="79"/>
      <c r="BM380" s="79"/>
      <c r="BN380" s="79"/>
      <c r="BO380" s="79"/>
      <c r="BP380" s="79"/>
      <c r="BQ380" s="79"/>
      <c r="BR380" s="79"/>
      <c r="BS380" s="80" t="s">
        <v>2598</v>
      </c>
      <c r="BT380" s="80" t="s">
        <v>174</v>
      </c>
      <c r="BU380" s="80" t="s">
        <v>2599</v>
      </c>
      <c r="BV380" s="71"/>
      <c r="BW380" s="79" t="s">
        <v>153</v>
      </c>
      <c r="BX380" s="79" t="s">
        <v>2600</v>
      </c>
      <c r="BY380" s="71"/>
      <c r="BZ380" s="79">
        <v>5</v>
      </c>
      <c r="CA380" s="79">
        <v>4</v>
      </c>
      <c r="CB380" s="79">
        <f t="shared" si="223"/>
        <v>9</v>
      </c>
      <c r="CC380" s="79" t="str">
        <f t="shared" si="227"/>
        <v>Horarios Acordes</v>
      </c>
      <c r="CD380" s="79" t="s">
        <v>351</v>
      </c>
      <c r="CE380" s="79"/>
      <c r="CF380" s="79"/>
      <c r="CG380" s="83" t="s">
        <v>2817</v>
      </c>
      <c r="CH380" s="41"/>
      <c r="CI380" s="79" t="s">
        <v>153</v>
      </c>
      <c r="CJ380" s="71"/>
      <c r="CK380" s="79">
        <f t="shared" si="177"/>
        <v>1</v>
      </c>
      <c r="CL380" s="79" t="s">
        <v>648</v>
      </c>
      <c r="CM380" s="79"/>
      <c r="CN380" s="79"/>
      <c r="CO380" s="79"/>
      <c r="CP380" s="79"/>
      <c r="CQ380" s="79"/>
      <c r="CR380" s="83" t="s">
        <v>390</v>
      </c>
      <c r="CS380" s="83" t="s">
        <v>179</v>
      </c>
      <c r="CT380" s="83" t="s">
        <v>179</v>
      </c>
      <c r="CU380" s="83" t="s">
        <v>179</v>
      </c>
      <c r="CV380" s="83" t="s">
        <v>179</v>
      </c>
      <c r="CW380" s="83" t="s">
        <v>179</v>
      </c>
      <c r="CX380" s="79" t="s">
        <v>153</v>
      </c>
      <c r="CY380" s="79">
        <f t="shared" si="232"/>
        <v>1</v>
      </c>
      <c r="CZ380" s="79">
        <v>1</v>
      </c>
      <c r="DA380" s="79">
        <f t="shared" si="233"/>
        <v>1</v>
      </c>
      <c r="DB380" s="84">
        <f t="shared" si="221"/>
        <v>1</v>
      </c>
      <c r="DC380" s="41"/>
      <c r="DD380" s="79" t="s">
        <v>153</v>
      </c>
      <c r="DE380" s="71"/>
      <c r="DF380" s="85" t="s">
        <v>2818</v>
      </c>
      <c r="DG380" s="79">
        <v>370</v>
      </c>
      <c r="DH380" s="86">
        <f t="shared" si="225"/>
        <v>45417</v>
      </c>
      <c r="DI380" s="79" t="s">
        <v>181</v>
      </c>
      <c r="DJ380" s="79" t="s">
        <v>182</v>
      </c>
      <c r="DK380" s="79" t="s">
        <v>153</v>
      </c>
      <c r="DL380" s="79">
        <v>11</v>
      </c>
      <c r="DM380" s="79">
        <v>11</v>
      </c>
      <c r="DN380" s="79" t="s">
        <v>182</v>
      </c>
      <c r="DO380" s="79" t="s">
        <v>179</v>
      </c>
      <c r="DP380" s="79" t="s">
        <v>182</v>
      </c>
      <c r="DQ380" s="79">
        <v>3</v>
      </c>
      <c r="DR380" s="75">
        <f t="shared" si="208"/>
        <v>2</v>
      </c>
      <c r="DS380" s="79" t="s">
        <v>182</v>
      </c>
      <c r="DT380" s="79">
        <v>4</v>
      </c>
      <c r="DU380" s="75">
        <f t="shared" si="209"/>
        <v>2.2857142857142856</v>
      </c>
      <c r="DV380" s="79" t="s">
        <v>182</v>
      </c>
      <c r="DW380" s="79" t="s">
        <v>182</v>
      </c>
      <c r="DX380" s="79">
        <v>1</v>
      </c>
      <c r="DY380" s="79">
        <v>0</v>
      </c>
      <c r="DZ380" s="79"/>
      <c r="EA380" s="79" t="s">
        <v>179</v>
      </c>
      <c r="EB380" s="79" t="s">
        <v>182</v>
      </c>
      <c r="EC380" s="79" t="s">
        <v>2819</v>
      </c>
      <c r="ED380" s="79" t="s">
        <v>184</v>
      </c>
      <c r="EE380" s="79" t="s">
        <v>621</v>
      </c>
      <c r="EF380" s="41"/>
      <c r="EG380" s="79" t="s">
        <v>153</v>
      </c>
      <c r="EH380" s="71"/>
      <c r="EI380" s="202" t="s">
        <v>2820</v>
      </c>
      <c r="EJ380" s="71"/>
      <c r="EK380" s="79" t="s">
        <v>393</v>
      </c>
      <c r="EL380" s="76" t="str">
        <f t="shared" si="210"/>
        <v>No</v>
      </c>
      <c r="EM380" s="76" t="str">
        <f t="shared" si="211"/>
        <v>No</v>
      </c>
      <c r="EN380" s="76" t="str">
        <f t="shared" si="228"/>
        <v>Sí</v>
      </c>
      <c r="EO380" s="71"/>
      <c r="EP380" s="73">
        <f t="shared" si="212"/>
        <v>1</v>
      </c>
      <c r="EQ380" s="77">
        <f t="shared" si="213"/>
        <v>2.2857142857142856</v>
      </c>
      <c r="ER380" s="71"/>
      <c r="ES380" s="79" t="s">
        <v>393</v>
      </c>
      <c r="ET380" s="73">
        <f t="shared" si="214"/>
        <v>1</v>
      </c>
      <c r="EU380" s="73">
        <f t="shared" si="229"/>
        <v>1</v>
      </c>
      <c r="EV380" s="73">
        <f t="shared" si="215"/>
        <v>1</v>
      </c>
      <c r="EW380" s="73" t="str">
        <f t="shared" si="216"/>
        <v>No aplica</v>
      </c>
      <c r="EX380" s="78"/>
      <c r="EY380" s="78"/>
    </row>
    <row r="381" spans="1:155" ht="46.5" customHeight="1">
      <c r="A381" s="79">
        <v>377</v>
      </c>
      <c r="B381" s="80" t="s">
        <v>2700</v>
      </c>
      <c r="C381" s="81">
        <v>45414</v>
      </c>
      <c r="D381" s="82">
        <v>0.41666666666666669</v>
      </c>
      <c r="E381" s="79" t="s">
        <v>200</v>
      </c>
      <c r="F381" s="79" t="s">
        <v>153</v>
      </c>
      <c r="G381" s="79" t="s">
        <v>152</v>
      </c>
      <c r="H381" s="79" t="s">
        <v>152</v>
      </c>
      <c r="I381" s="79" t="s">
        <v>152</v>
      </c>
      <c r="J381" s="79" t="s">
        <v>504</v>
      </c>
      <c r="K381" s="79" t="s">
        <v>155</v>
      </c>
      <c r="L381" s="80" t="s">
        <v>2701</v>
      </c>
      <c r="M381" s="80" t="s">
        <v>157</v>
      </c>
      <c r="N381" s="79" t="s">
        <v>818</v>
      </c>
      <c r="O381" s="80" t="str">
        <f t="shared" si="204"/>
        <v/>
      </c>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t="s">
        <v>169</v>
      </c>
      <c r="AP381" s="79" t="s">
        <v>2702</v>
      </c>
      <c r="AQ381" s="80" t="s">
        <v>750</v>
      </c>
      <c r="AR381" s="83">
        <v>3102079889</v>
      </c>
      <c r="AS381" s="80" t="s">
        <v>752</v>
      </c>
      <c r="AT381" s="80" t="str">
        <f t="shared" si="205"/>
        <v>La Candelaria</v>
      </c>
      <c r="AU381" s="79" t="s">
        <v>753</v>
      </c>
      <c r="AV381" s="79"/>
      <c r="AW381" s="79"/>
      <c r="AX381" s="79"/>
      <c r="AY381" s="79"/>
      <c r="AZ381" s="79"/>
      <c r="BA381" s="80" t="str">
        <f t="shared" si="206"/>
        <v>Centro Ampliado</v>
      </c>
      <c r="BB381" s="79" t="s">
        <v>636</v>
      </c>
      <c r="BC381" s="79"/>
      <c r="BD381" s="79"/>
      <c r="BE381" s="79"/>
      <c r="BF381" s="79"/>
      <c r="BG381" s="79"/>
      <c r="BH381" s="80" t="str">
        <f t="shared" si="207"/>
        <v>Centro Histórico</v>
      </c>
      <c r="BI381" s="79" t="s">
        <v>754</v>
      </c>
      <c r="BJ381" s="79"/>
      <c r="BK381" s="79"/>
      <c r="BL381" s="79"/>
      <c r="BM381" s="79"/>
      <c r="BN381" s="79"/>
      <c r="BO381" s="79"/>
      <c r="BP381" s="79"/>
      <c r="BQ381" s="79"/>
      <c r="BR381" s="79"/>
      <c r="BS381" s="80" t="s">
        <v>2453</v>
      </c>
      <c r="BT381" s="80" t="s">
        <v>174</v>
      </c>
      <c r="BU381" s="80" t="s">
        <v>2821</v>
      </c>
      <c r="BV381" s="71"/>
      <c r="BW381" s="79" t="s">
        <v>152</v>
      </c>
      <c r="BX381" s="79" t="s">
        <v>179</v>
      </c>
      <c r="BY381" s="71"/>
      <c r="BZ381" s="79">
        <v>20</v>
      </c>
      <c r="CA381" s="79">
        <v>1</v>
      </c>
      <c r="CB381" s="79">
        <f t="shared" si="223"/>
        <v>21</v>
      </c>
      <c r="CC381" s="79" t="str">
        <f t="shared" si="227"/>
        <v>No Aplica</v>
      </c>
      <c r="CD381" s="79" t="s">
        <v>177</v>
      </c>
      <c r="CE381" s="79"/>
      <c r="CF381" s="79"/>
      <c r="CG381" s="83" t="s">
        <v>2822</v>
      </c>
      <c r="CH381" s="41"/>
      <c r="CI381" s="79" t="s">
        <v>153</v>
      </c>
      <c r="CJ381" s="71"/>
      <c r="CK381" s="79">
        <f t="shared" si="177"/>
        <v>0</v>
      </c>
      <c r="CL381" s="79"/>
      <c r="CM381" s="79"/>
      <c r="CN381" s="79"/>
      <c r="CO381" s="79"/>
      <c r="CP381" s="79"/>
      <c r="CQ381" s="79"/>
      <c r="CR381" s="83" t="s">
        <v>179</v>
      </c>
      <c r="CS381" s="83" t="s">
        <v>179</v>
      </c>
      <c r="CT381" s="83" t="s">
        <v>179</v>
      </c>
      <c r="CU381" s="83" t="s">
        <v>179</v>
      </c>
      <c r="CV381" s="83" t="s">
        <v>179</v>
      </c>
      <c r="CW381" s="83" t="s">
        <v>179</v>
      </c>
      <c r="CX381" s="79" t="s">
        <v>153</v>
      </c>
      <c r="CY381" s="79">
        <f t="shared" si="232"/>
        <v>0</v>
      </c>
      <c r="CZ381" s="79">
        <v>0</v>
      </c>
      <c r="DA381" s="79">
        <f t="shared" si="233"/>
        <v>0</v>
      </c>
      <c r="DB381" s="84" t="str">
        <f t="shared" si="221"/>
        <v/>
      </c>
      <c r="DC381" s="41"/>
      <c r="DD381" s="79" t="s">
        <v>153</v>
      </c>
      <c r="DE381" s="71"/>
      <c r="DF381" s="85" t="s">
        <v>2823</v>
      </c>
      <c r="DG381" s="79">
        <v>371</v>
      </c>
      <c r="DH381" s="86" t="str">
        <f t="shared" si="225"/>
        <v>Completo</v>
      </c>
      <c r="DI381" s="79" t="s">
        <v>181</v>
      </c>
      <c r="DJ381" s="79" t="s">
        <v>182</v>
      </c>
      <c r="DK381" s="79"/>
      <c r="DL381" s="79">
        <v>0</v>
      </c>
      <c r="DM381" s="79">
        <v>0</v>
      </c>
      <c r="DN381" s="79" t="s">
        <v>182</v>
      </c>
      <c r="DO381" s="79"/>
      <c r="DP381" s="79"/>
      <c r="DQ381" s="79"/>
      <c r="DR381" s="75" t="str">
        <f t="shared" si="208"/>
        <v>No aplica</v>
      </c>
      <c r="DS381" s="79"/>
      <c r="DT381" s="79"/>
      <c r="DU381" s="75" t="str">
        <f t="shared" si="209"/>
        <v>No aplica</v>
      </c>
      <c r="DV381" s="79" t="s">
        <v>182</v>
      </c>
      <c r="DW381" s="79" t="s">
        <v>182</v>
      </c>
      <c r="DX381" s="79"/>
      <c r="DY381" s="79"/>
      <c r="DZ381" s="79"/>
      <c r="EA381" s="79"/>
      <c r="EB381" s="79" t="s">
        <v>182</v>
      </c>
      <c r="EC381" s="79" t="s">
        <v>2824</v>
      </c>
      <c r="ED381" s="79" t="s">
        <v>184</v>
      </c>
      <c r="EE381" s="79" t="str">
        <f>IF(DI381="Subsanado","Completo","Por Completar")</f>
        <v>Completo</v>
      </c>
      <c r="EF381" s="41"/>
      <c r="EG381" s="79" t="s">
        <v>153</v>
      </c>
      <c r="EH381" s="71"/>
      <c r="EI381" s="80"/>
      <c r="EJ381" s="71"/>
      <c r="EK381" s="79"/>
      <c r="EL381" s="76" t="str">
        <f t="shared" si="210"/>
        <v>No requiere</v>
      </c>
      <c r="EM381" s="76" t="str">
        <f t="shared" si="211"/>
        <v>No requiere</v>
      </c>
      <c r="EN381" s="76" t="str">
        <f t="shared" si="228"/>
        <v>No requiere</v>
      </c>
      <c r="EO381" s="71"/>
      <c r="EP381" s="73" t="str">
        <f t="shared" si="212"/>
        <v>No requiere</v>
      </c>
      <c r="EQ381" s="77" t="str">
        <f t="shared" si="213"/>
        <v>No requiere</v>
      </c>
      <c r="ER381" s="71"/>
      <c r="ES381" s="79"/>
      <c r="ET381" s="73" t="str">
        <f t="shared" si="214"/>
        <v>No requiere</v>
      </c>
      <c r="EU381" s="73" t="str">
        <f t="shared" si="229"/>
        <v>No requiere</v>
      </c>
      <c r="EV381" s="73" t="str">
        <f t="shared" si="215"/>
        <v>No requiere</v>
      </c>
      <c r="EW381" s="73" t="str">
        <f t="shared" si="216"/>
        <v>No requiere</v>
      </c>
      <c r="EX381" s="78"/>
      <c r="EY381" s="78"/>
    </row>
    <row r="382" spans="1:155" ht="46.5" customHeight="1">
      <c r="A382" s="79">
        <v>378</v>
      </c>
      <c r="B382" s="80" t="s">
        <v>2770</v>
      </c>
      <c r="C382" s="81">
        <v>45414</v>
      </c>
      <c r="D382" s="82">
        <v>0.70833333333333337</v>
      </c>
      <c r="E382" s="79" t="s">
        <v>200</v>
      </c>
      <c r="F382" s="79" t="s">
        <v>153</v>
      </c>
      <c r="G382" s="79" t="s">
        <v>152</v>
      </c>
      <c r="H382" s="79" t="s">
        <v>152</v>
      </c>
      <c r="I382" s="79" t="s">
        <v>152</v>
      </c>
      <c r="J382" s="79" t="s">
        <v>211</v>
      </c>
      <c r="K382" s="79" t="s">
        <v>202</v>
      </c>
      <c r="L382" s="80" t="s">
        <v>2825</v>
      </c>
      <c r="M382" s="80" t="s">
        <v>624</v>
      </c>
      <c r="N382" s="79" t="s">
        <v>253</v>
      </c>
      <c r="O382" s="80" t="str">
        <f t="shared" si="204"/>
        <v>PENDIENTE, PENDIENTE</v>
      </c>
      <c r="P382" s="79" t="s">
        <v>196</v>
      </c>
      <c r="Q382" s="79" t="s">
        <v>196</v>
      </c>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t="s">
        <v>230</v>
      </c>
      <c r="AP382" s="79" t="s">
        <v>242</v>
      </c>
      <c r="AQ382" s="80" t="s">
        <v>1945</v>
      </c>
      <c r="AR382" s="83">
        <v>3188799909</v>
      </c>
      <c r="AS382" s="80" t="s">
        <v>682</v>
      </c>
      <c r="AT382" s="80" t="str">
        <f t="shared" si="205"/>
        <v>Distrital</v>
      </c>
      <c r="AU382" s="79" t="s">
        <v>172</v>
      </c>
      <c r="AV382" s="79"/>
      <c r="AW382" s="79"/>
      <c r="AX382" s="79"/>
      <c r="AY382" s="79"/>
      <c r="AZ382" s="79"/>
      <c r="BA382" s="80" t="str">
        <f t="shared" si="206"/>
        <v>Distrital</v>
      </c>
      <c r="BB382" s="79" t="s">
        <v>172</v>
      </c>
      <c r="BC382" s="79"/>
      <c r="BD382" s="79"/>
      <c r="BE382" s="79"/>
      <c r="BF382" s="79"/>
      <c r="BG382" s="79"/>
      <c r="BH382" s="80" t="str">
        <f t="shared" si="207"/>
        <v>Distrital</v>
      </c>
      <c r="BI382" s="79" t="s">
        <v>172</v>
      </c>
      <c r="BJ382" s="79"/>
      <c r="BK382" s="79"/>
      <c r="BL382" s="79"/>
      <c r="BM382" s="79"/>
      <c r="BN382" s="79"/>
      <c r="BO382" s="79"/>
      <c r="BP382" s="79"/>
      <c r="BQ382" s="79"/>
      <c r="BR382" s="79"/>
      <c r="BS382" s="80" t="s">
        <v>288</v>
      </c>
      <c r="BT382" s="80" t="s">
        <v>174</v>
      </c>
      <c r="BU382" s="89" t="s">
        <v>2826</v>
      </c>
      <c r="BV382" s="71"/>
      <c r="BW382" s="79" t="s">
        <v>152</v>
      </c>
      <c r="BX382" s="79" t="s">
        <v>179</v>
      </c>
      <c r="BY382" s="71"/>
      <c r="BZ382" s="79">
        <v>72</v>
      </c>
      <c r="CA382" s="79">
        <v>4</v>
      </c>
      <c r="CB382" s="79">
        <f t="shared" si="223"/>
        <v>76</v>
      </c>
      <c r="CC382" s="79" t="str">
        <f t="shared" si="227"/>
        <v>No Aplica</v>
      </c>
      <c r="CD382" s="79" t="s">
        <v>177</v>
      </c>
      <c r="CE382" s="79"/>
      <c r="CF382" s="79"/>
      <c r="CG382" s="83" t="s">
        <v>2827</v>
      </c>
      <c r="CH382" s="41"/>
      <c r="CI382" s="79" t="s">
        <v>153</v>
      </c>
      <c r="CJ382" s="71"/>
      <c r="CK382" s="79">
        <f t="shared" si="177"/>
        <v>0</v>
      </c>
      <c r="CL382" s="79"/>
      <c r="CM382" s="79"/>
      <c r="CN382" s="79"/>
      <c r="CO382" s="79"/>
      <c r="CP382" s="79"/>
      <c r="CQ382" s="79"/>
      <c r="CR382" s="83" t="s">
        <v>179</v>
      </c>
      <c r="CS382" s="83" t="s">
        <v>179</v>
      </c>
      <c r="CT382" s="83" t="s">
        <v>179</v>
      </c>
      <c r="CU382" s="83" t="s">
        <v>179</v>
      </c>
      <c r="CV382" s="83" t="s">
        <v>179</v>
      </c>
      <c r="CW382" s="83" t="s">
        <v>179</v>
      </c>
      <c r="CX382" s="79" t="s">
        <v>153</v>
      </c>
      <c r="CY382" s="79">
        <f t="shared" si="232"/>
        <v>0</v>
      </c>
      <c r="CZ382" s="79">
        <v>0</v>
      </c>
      <c r="DA382" s="79">
        <f t="shared" si="233"/>
        <v>0</v>
      </c>
      <c r="DB382" s="84" t="str">
        <f t="shared" si="221"/>
        <v/>
      </c>
      <c r="DC382" s="41"/>
      <c r="DD382" s="79" t="s">
        <v>153</v>
      </c>
      <c r="DE382" s="71"/>
      <c r="DF382" s="85" t="s">
        <v>2828</v>
      </c>
      <c r="DG382" s="79">
        <v>372</v>
      </c>
      <c r="DH382" s="86">
        <v>3</v>
      </c>
      <c r="DI382" s="79" t="s">
        <v>181</v>
      </c>
      <c r="DJ382" s="79" t="s">
        <v>182</v>
      </c>
      <c r="DK382" s="79"/>
      <c r="DL382" s="79">
        <v>0</v>
      </c>
      <c r="DM382" s="79">
        <v>0</v>
      </c>
      <c r="DN382" s="79" t="s">
        <v>182</v>
      </c>
      <c r="DO382" s="79"/>
      <c r="DP382" s="79"/>
      <c r="DQ382" s="79"/>
      <c r="DR382" s="75" t="str">
        <f t="shared" si="208"/>
        <v>No aplica</v>
      </c>
      <c r="DS382" s="79"/>
      <c r="DT382" s="79"/>
      <c r="DU382" s="75" t="str">
        <f t="shared" si="209"/>
        <v>No aplica</v>
      </c>
      <c r="DV382" s="79" t="s">
        <v>182</v>
      </c>
      <c r="DW382" s="79" t="s">
        <v>182</v>
      </c>
      <c r="DX382" s="79"/>
      <c r="DY382" s="79"/>
      <c r="DZ382" s="79"/>
      <c r="EA382" s="79"/>
      <c r="EB382" s="79" t="s">
        <v>182</v>
      </c>
      <c r="EC382" s="79" t="s">
        <v>2829</v>
      </c>
      <c r="ED382" s="79" t="s">
        <v>2830</v>
      </c>
      <c r="EE382" s="79" t="str">
        <f>IF(DI382="Subsanado","Completo","Por Completar")</f>
        <v>Completo</v>
      </c>
      <c r="EF382" s="41"/>
      <c r="EG382" s="79" t="s">
        <v>153</v>
      </c>
      <c r="EH382" s="71"/>
      <c r="EI382" s="80"/>
      <c r="EJ382" s="71"/>
      <c r="EK382" s="79"/>
      <c r="EL382" s="76" t="str">
        <f t="shared" si="210"/>
        <v>No requiere</v>
      </c>
      <c r="EM382" s="76" t="str">
        <f t="shared" si="211"/>
        <v>No requiere</v>
      </c>
      <c r="EN382" s="76" t="str">
        <f t="shared" si="228"/>
        <v>No requiere</v>
      </c>
      <c r="EO382" s="71"/>
      <c r="EP382" s="73" t="str">
        <f t="shared" si="212"/>
        <v>No requiere</v>
      </c>
      <c r="EQ382" s="77" t="str">
        <f t="shared" si="213"/>
        <v>No requiere</v>
      </c>
      <c r="ER382" s="71"/>
      <c r="ES382" s="79"/>
      <c r="ET382" s="73" t="str">
        <f t="shared" si="214"/>
        <v>No requiere</v>
      </c>
      <c r="EU382" s="73" t="str">
        <f t="shared" si="229"/>
        <v>No requiere</v>
      </c>
      <c r="EV382" s="73" t="str">
        <f t="shared" si="215"/>
        <v>No requiere</v>
      </c>
      <c r="EW382" s="73" t="str">
        <f t="shared" si="216"/>
        <v>No requiere</v>
      </c>
      <c r="EX382" s="78"/>
      <c r="EY382" s="78"/>
    </row>
    <row r="383" spans="1:155" ht="46.5" customHeight="1">
      <c r="A383" s="79">
        <v>379</v>
      </c>
      <c r="B383" s="80" t="s">
        <v>2831</v>
      </c>
      <c r="C383" s="81">
        <v>45415</v>
      </c>
      <c r="D383" s="82">
        <v>0.33333333333333331</v>
      </c>
      <c r="E383" s="79" t="s">
        <v>151</v>
      </c>
      <c r="F383" s="79" t="s">
        <v>153</v>
      </c>
      <c r="G383" s="79" t="s">
        <v>152</v>
      </c>
      <c r="H383" s="79" t="s">
        <v>152</v>
      </c>
      <c r="I383" s="79" t="s">
        <v>153</v>
      </c>
      <c r="J383" s="79" t="s">
        <v>227</v>
      </c>
      <c r="K383" s="79" t="s">
        <v>155</v>
      </c>
      <c r="L383" s="80" t="s">
        <v>2832</v>
      </c>
      <c r="M383" s="80" t="s">
        <v>303</v>
      </c>
      <c r="N383" s="79" t="s">
        <v>749</v>
      </c>
      <c r="O383" s="80" t="str">
        <f t="shared" si="204"/>
        <v>PENDIENTE</v>
      </c>
      <c r="P383" s="79" t="s">
        <v>196</v>
      </c>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t="s">
        <v>304</v>
      </c>
      <c r="AP383" s="79"/>
      <c r="AQ383" s="80" t="s">
        <v>2833</v>
      </c>
      <c r="AR383" s="83" t="s">
        <v>1989</v>
      </c>
      <c r="AS383" s="80" t="s">
        <v>2834</v>
      </c>
      <c r="AT383" s="80" t="str">
        <f t="shared" si="205"/>
        <v>Puente Aranda</v>
      </c>
      <c r="AU383" s="79" t="s">
        <v>1235</v>
      </c>
      <c r="AV383" s="79"/>
      <c r="AW383" s="79"/>
      <c r="AX383" s="79"/>
      <c r="AY383" s="79"/>
      <c r="AZ383" s="79"/>
      <c r="BA383" s="80" t="str">
        <f t="shared" si="206"/>
        <v>Centro Ampliado</v>
      </c>
      <c r="BB383" s="79" t="s">
        <v>636</v>
      </c>
      <c r="BC383" s="79"/>
      <c r="BD383" s="79"/>
      <c r="BE383" s="79"/>
      <c r="BF383" s="79"/>
      <c r="BG383" s="79"/>
      <c r="BH383" s="80" t="str">
        <f t="shared" si="207"/>
        <v>Puente Aranda</v>
      </c>
      <c r="BI383" s="79" t="s">
        <v>1235</v>
      </c>
      <c r="BJ383" s="79"/>
      <c r="BK383" s="79"/>
      <c r="BL383" s="79"/>
      <c r="BM383" s="79"/>
      <c r="BN383" s="79"/>
      <c r="BO383" s="79"/>
      <c r="BP383" s="79"/>
      <c r="BQ383" s="79"/>
      <c r="BR383" s="79"/>
      <c r="BS383" s="80" t="s">
        <v>288</v>
      </c>
      <c r="BT383" s="80" t="s">
        <v>174</v>
      </c>
      <c r="BU383" s="80" t="s">
        <v>2835</v>
      </c>
      <c r="BV383" s="71"/>
      <c r="BW383" s="79" t="s">
        <v>152</v>
      </c>
      <c r="BX383" s="79" t="s">
        <v>179</v>
      </c>
      <c r="BY383" s="71"/>
      <c r="BZ383" s="79">
        <v>14</v>
      </c>
      <c r="CA383" s="79">
        <v>3</v>
      </c>
      <c r="CB383" s="79">
        <f t="shared" si="223"/>
        <v>17</v>
      </c>
      <c r="CC383" s="79" t="str">
        <f t="shared" si="227"/>
        <v>No Aplica</v>
      </c>
      <c r="CD383" s="79" t="s">
        <v>177</v>
      </c>
      <c r="CE383" s="79"/>
      <c r="CF383" s="79"/>
      <c r="CG383" s="83" t="s">
        <v>2836</v>
      </c>
      <c r="CH383" s="41"/>
      <c r="CI383" s="79" t="s">
        <v>153</v>
      </c>
      <c r="CJ383" s="71"/>
      <c r="CK383" s="79">
        <f t="shared" si="177"/>
        <v>0</v>
      </c>
      <c r="CL383" s="79"/>
      <c r="CM383" s="79"/>
      <c r="CN383" s="79"/>
      <c r="CO383" s="79"/>
      <c r="CP383" s="79"/>
      <c r="CQ383" s="79"/>
      <c r="CR383" s="83" t="s">
        <v>179</v>
      </c>
      <c r="CS383" s="83" t="s">
        <v>179</v>
      </c>
      <c r="CT383" s="83" t="s">
        <v>179</v>
      </c>
      <c r="CU383" s="83" t="s">
        <v>179</v>
      </c>
      <c r="CV383" s="83" t="s">
        <v>179</v>
      </c>
      <c r="CW383" s="83" t="s">
        <v>179</v>
      </c>
      <c r="CX383" s="79" t="s">
        <v>153</v>
      </c>
      <c r="CY383" s="79">
        <f t="shared" si="232"/>
        <v>0</v>
      </c>
      <c r="CZ383" s="79">
        <v>0</v>
      </c>
      <c r="DA383" s="79">
        <f t="shared" si="233"/>
        <v>0</v>
      </c>
      <c r="DB383" s="84" t="str">
        <f t="shared" si="221"/>
        <v/>
      </c>
      <c r="DC383" s="41"/>
      <c r="DD383" s="79" t="s">
        <v>153</v>
      </c>
      <c r="DE383" s="71"/>
      <c r="DF383" s="85" t="s">
        <v>2837</v>
      </c>
      <c r="DG383" s="79">
        <v>373</v>
      </c>
      <c r="DH383" s="86" t="str">
        <f t="shared" ref="DH383:DH396" si="234">IF(EE383="Por completar",C383+3,"Completo")</f>
        <v>Completo</v>
      </c>
      <c r="DI383" s="79" t="s">
        <v>181</v>
      </c>
      <c r="DJ383" s="79" t="s">
        <v>182</v>
      </c>
      <c r="DK383" s="79"/>
      <c r="DL383" s="79">
        <v>0</v>
      </c>
      <c r="DM383" s="79">
        <v>0</v>
      </c>
      <c r="DN383" s="79" t="s">
        <v>182</v>
      </c>
      <c r="DO383" s="79"/>
      <c r="DP383" s="79"/>
      <c r="DQ383" s="79"/>
      <c r="DR383" s="75" t="str">
        <f t="shared" si="208"/>
        <v>No aplica</v>
      </c>
      <c r="DS383" s="79"/>
      <c r="DT383" s="79"/>
      <c r="DU383" s="75" t="str">
        <f t="shared" si="209"/>
        <v>No aplica</v>
      </c>
      <c r="DV383" s="79" t="s">
        <v>182</v>
      </c>
      <c r="DW383" s="79" t="s">
        <v>182</v>
      </c>
      <c r="DX383" s="79"/>
      <c r="DY383" s="79"/>
      <c r="DZ383" s="79"/>
      <c r="EA383" s="79"/>
      <c r="EB383" s="79" t="s">
        <v>191</v>
      </c>
      <c r="EC383" s="79"/>
      <c r="ED383" s="79" t="s">
        <v>184</v>
      </c>
      <c r="EE383" s="79" t="str">
        <f>IF(DI383="Subsanado","Completo","Por Completar")</f>
        <v>Completo</v>
      </c>
      <c r="EF383" s="41"/>
      <c r="EG383" s="79" t="s">
        <v>153</v>
      </c>
      <c r="EH383" s="71"/>
      <c r="EI383" s="80"/>
      <c r="EJ383" s="71"/>
      <c r="EK383" s="79"/>
      <c r="EL383" s="76" t="str">
        <f t="shared" si="210"/>
        <v>No requiere</v>
      </c>
      <c r="EM383" s="76" t="str">
        <f t="shared" si="211"/>
        <v>No requiere</v>
      </c>
      <c r="EN383" s="76" t="str">
        <f t="shared" si="228"/>
        <v>No requiere</v>
      </c>
      <c r="EO383" s="71"/>
      <c r="EP383" s="73" t="str">
        <f t="shared" si="212"/>
        <v>No requiere</v>
      </c>
      <c r="EQ383" s="77" t="str">
        <f t="shared" si="213"/>
        <v>No requiere</v>
      </c>
      <c r="ER383" s="71"/>
      <c r="ES383" s="79"/>
      <c r="ET383" s="73" t="str">
        <f t="shared" si="214"/>
        <v>No requiere</v>
      </c>
      <c r="EU383" s="73" t="str">
        <f t="shared" si="229"/>
        <v>No requiere</v>
      </c>
      <c r="EV383" s="73" t="str">
        <f t="shared" si="215"/>
        <v>No requiere</v>
      </c>
      <c r="EW383" s="73" t="str">
        <f t="shared" si="216"/>
        <v>No requiere</v>
      </c>
      <c r="EX383" s="78"/>
      <c r="EY383" s="78"/>
    </row>
    <row r="384" spans="1:155" ht="46.5" customHeight="1">
      <c r="A384" s="79">
        <v>380</v>
      </c>
      <c r="B384" s="80" t="s">
        <v>2838</v>
      </c>
      <c r="C384" s="81">
        <v>45415</v>
      </c>
      <c r="D384" s="82">
        <v>0.375</v>
      </c>
      <c r="E384" s="79" t="s">
        <v>151</v>
      </c>
      <c r="F384" s="79" t="s">
        <v>153</v>
      </c>
      <c r="G384" s="79" t="s">
        <v>153</v>
      </c>
      <c r="H384" s="79" t="s">
        <v>153</v>
      </c>
      <c r="I384" s="79" t="s">
        <v>152</v>
      </c>
      <c r="J384" s="79" t="s">
        <v>154</v>
      </c>
      <c r="K384" s="79" t="s">
        <v>155</v>
      </c>
      <c r="L384" s="80" t="s">
        <v>2596</v>
      </c>
      <c r="M384" s="80" t="s">
        <v>303</v>
      </c>
      <c r="N384" s="79" t="s">
        <v>158</v>
      </c>
      <c r="O384" s="80" t="str">
        <f t="shared" si="204"/>
        <v>Luis Fernando Barreto , Nathalia Guzmán Martínez</v>
      </c>
      <c r="P384" s="79" t="s">
        <v>720</v>
      </c>
      <c r="Q384" s="79" t="s">
        <v>166</v>
      </c>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t="s">
        <v>169</v>
      </c>
      <c r="AP384" s="79" t="s">
        <v>475</v>
      </c>
      <c r="AQ384" s="80" t="s">
        <v>1989</v>
      </c>
      <c r="AR384" s="83" t="s">
        <v>1989</v>
      </c>
      <c r="AS384" s="80" t="s">
        <v>1989</v>
      </c>
      <c r="AT384" s="80" t="str">
        <f t="shared" si="205"/>
        <v>Distrital</v>
      </c>
      <c r="AU384" s="79" t="s">
        <v>172</v>
      </c>
      <c r="AV384" s="79"/>
      <c r="AW384" s="79"/>
      <c r="AX384" s="79"/>
      <c r="AY384" s="79"/>
      <c r="AZ384" s="79"/>
      <c r="BA384" s="80" t="str">
        <f t="shared" si="206"/>
        <v>Distrital</v>
      </c>
      <c r="BB384" s="79" t="s">
        <v>172</v>
      </c>
      <c r="BC384" s="79"/>
      <c r="BD384" s="79"/>
      <c r="BE384" s="79"/>
      <c r="BF384" s="79"/>
      <c r="BG384" s="79"/>
      <c r="BH384" s="80" t="str">
        <f t="shared" si="207"/>
        <v>Distrital</v>
      </c>
      <c r="BI384" s="79" t="s">
        <v>172</v>
      </c>
      <c r="BJ384" s="79"/>
      <c r="BK384" s="79"/>
      <c r="BL384" s="79"/>
      <c r="BM384" s="79"/>
      <c r="BN384" s="79"/>
      <c r="BO384" s="79"/>
      <c r="BP384" s="79"/>
      <c r="BQ384" s="79"/>
      <c r="BR384" s="79"/>
      <c r="BS384" s="80" t="s">
        <v>2598</v>
      </c>
      <c r="BT384" s="80" t="s">
        <v>174</v>
      </c>
      <c r="BU384" s="80" t="s">
        <v>2599</v>
      </c>
      <c r="BV384" s="71"/>
      <c r="BW384" s="79" t="s">
        <v>153</v>
      </c>
      <c r="BX384" s="79" t="s">
        <v>2600</v>
      </c>
      <c r="BY384" s="71"/>
      <c r="BZ384" s="79">
        <v>10</v>
      </c>
      <c r="CA384" s="79">
        <v>4</v>
      </c>
      <c r="CB384" s="79">
        <f t="shared" si="223"/>
        <v>14</v>
      </c>
      <c r="CC384" s="79" t="str">
        <f t="shared" si="227"/>
        <v>Contenidos adaptados</v>
      </c>
      <c r="CD384" s="79" t="s">
        <v>350</v>
      </c>
      <c r="CE384" s="79"/>
      <c r="CF384" s="79"/>
      <c r="CG384" s="83" t="s">
        <v>2839</v>
      </c>
      <c r="CH384" s="41"/>
      <c r="CI384" s="79" t="s">
        <v>153</v>
      </c>
      <c r="CJ384" s="71"/>
      <c r="CK384" s="79">
        <f t="shared" si="177"/>
        <v>1</v>
      </c>
      <c r="CL384" s="79" t="s">
        <v>648</v>
      </c>
      <c r="CM384" s="79"/>
      <c r="CN384" s="79"/>
      <c r="CO384" s="79"/>
      <c r="CP384" s="79"/>
      <c r="CQ384" s="79"/>
      <c r="CR384" s="83" t="s">
        <v>390</v>
      </c>
      <c r="CS384" s="83" t="s">
        <v>179</v>
      </c>
      <c r="CT384" s="83" t="s">
        <v>179</v>
      </c>
      <c r="CU384" s="83" t="s">
        <v>179</v>
      </c>
      <c r="CV384" s="83" t="s">
        <v>179</v>
      </c>
      <c r="CW384" s="83" t="s">
        <v>179</v>
      </c>
      <c r="CX384" s="79" t="s">
        <v>153</v>
      </c>
      <c r="CY384" s="79">
        <f t="shared" si="232"/>
        <v>1</v>
      </c>
      <c r="CZ384" s="79">
        <v>1</v>
      </c>
      <c r="DA384" s="79">
        <f t="shared" si="233"/>
        <v>1</v>
      </c>
      <c r="DB384" s="84">
        <f t="shared" si="221"/>
        <v>1</v>
      </c>
      <c r="DC384" s="41"/>
      <c r="DD384" s="79" t="s">
        <v>153</v>
      </c>
      <c r="DE384" s="71"/>
      <c r="DF384" s="85" t="s">
        <v>2840</v>
      </c>
      <c r="DG384" s="79">
        <v>374</v>
      </c>
      <c r="DH384" s="86">
        <f t="shared" si="234"/>
        <v>45418</v>
      </c>
      <c r="DI384" s="79" t="s">
        <v>181</v>
      </c>
      <c r="DJ384" s="79" t="s">
        <v>182</v>
      </c>
      <c r="DK384" s="79" t="s">
        <v>153</v>
      </c>
      <c r="DL384" s="79">
        <v>19</v>
      </c>
      <c r="DM384" s="79">
        <v>19</v>
      </c>
      <c r="DN384" s="79" t="s">
        <v>182</v>
      </c>
      <c r="DO384" s="79" t="s">
        <v>179</v>
      </c>
      <c r="DP384" s="79" t="s">
        <v>182</v>
      </c>
      <c r="DQ384" s="79">
        <v>2</v>
      </c>
      <c r="DR384" s="75">
        <f t="shared" si="208"/>
        <v>0.66666666666666663</v>
      </c>
      <c r="DS384" s="79" t="s">
        <v>182</v>
      </c>
      <c r="DT384" s="79">
        <v>5</v>
      </c>
      <c r="DU384" s="75">
        <f t="shared" si="209"/>
        <v>1.4285714285714286</v>
      </c>
      <c r="DV384" s="79" t="s">
        <v>182</v>
      </c>
      <c r="DW384" s="79" t="s">
        <v>182</v>
      </c>
      <c r="DX384" s="79">
        <v>1</v>
      </c>
      <c r="DY384" s="79">
        <v>0</v>
      </c>
      <c r="DZ384" s="79"/>
      <c r="EA384" s="79" t="s">
        <v>179</v>
      </c>
      <c r="EB384" s="79" t="s">
        <v>182</v>
      </c>
      <c r="EC384" s="79" t="s">
        <v>2841</v>
      </c>
      <c r="ED384" s="79" t="s">
        <v>184</v>
      </c>
      <c r="EE384" s="79" t="s">
        <v>621</v>
      </c>
      <c r="EF384" s="41"/>
      <c r="EG384" s="79" t="s">
        <v>153</v>
      </c>
      <c r="EH384" s="71"/>
      <c r="EI384" s="89" t="s">
        <v>2842</v>
      </c>
      <c r="EJ384" s="71"/>
      <c r="EK384" s="79" t="s">
        <v>393</v>
      </c>
      <c r="EL384" s="76" t="str">
        <f t="shared" si="210"/>
        <v>No</v>
      </c>
      <c r="EM384" s="76" t="str">
        <f t="shared" si="211"/>
        <v>No</v>
      </c>
      <c r="EN384" s="76" t="str">
        <f t="shared" si="228"/>
        <v>Sí</v>
      </c>
      <c r="EO384" s="71"/>
      <c r="EP384" s="73">
        <f t="shared" si="212"/>
        <v>1</v>
      </c>
      <c r="EQ384" s="77">
        <f t="shared" si="213"/>
        <v>1.4285714285714286</v>
      </c>
      <c r="ER384" s="71"/>
      <c r="ES384" s="79" t="s">
        <v>393</v>
      </c>
      <c r="ET384" s="73">
        <f t="shared" si="214"/>
        <v>1</v>
      </c>
      <c r="EU384" s="73">
        <f t="shared" si="229"/>
        <v>1</v>
      </c>
      <c r="EV384" s="73">
        <f t="shared" si="215"/>
        <v>1</v>
      </c>
      <c r="EW384" s="73" t="str">
        <f t="shared" si="216"/>
        <v>No aplica</v>
      </c>
      <c r="EX384" s="78"/>
      <c r="EY384" s="78"/>
    </row>
    <row r="385" spans="1:155" ht="46.5" customHeight="1">
      <c r="A385" s="79">
        <v>381</v>
      </c>
      <c r="B385" s="80" t="s">
        <v>2843</v>
      </c>
      <c r="C385" s="81">
        <v>45415</v>
      </c>
      <c r="D385" s="82">
        <v>0.375</v>
      </c>
      <c r="E385" s="79" t="s">
        <v>151</v>
      </c>
      <c r="F385" s="79" t="s">
        <v>153</v>
      </c>
      <c r="G385" s="79" t="s">
        <v>152</v>
      </c>
      <c r="H385" s="79" t="s">
        <v>152</v>
      </c>
      <c r="I385" s="79" t="s">
        <v>152</v>
      </c>
      <c r="J385" s="79" t="s">
        <v>154</v>
      </c>
      <c r="K385" s="79" t="s">
        <v>155</v>
      </c>
      <c r="L385" s="80" t="s">
        <v>2844</v>
      </c>
      <c r="M385" s="80" t="s">
        <v>303</v>
      </c>
      <c r="N385" s="79" t="s">
        <v>506</v>
      </c>
      <c r="O385" s="80" t="str">
        <f t="shared" si="204"/>
        <v>Maria Angélica Higuera, Claudia Fernanda Pineda, William Jair Gil</v>
      </c>
      <c r="P385" s="79" t="s">
        <v>328</v>
      </c>
      <c r="Q385" s="79" t="s">
        <v>546</v>
      </c>
      <c r="R385" s="79" t="s">
        <v>862</v>
      </c>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t="s">
        <v>169</v>
      </c>
      <c r="AP385" s="79" t="s">
        <v>475</v>
      </c>
      <c r="AQ385" s="80" t="s">
        <v>2739</v>
      </c>
      <c r="AR385" s="83" t="s">
        <v>2845</v>
      </c>
      <c r="AS385" s="80" t="s">
        <v>2740</v>
      </c>
      <c r="AT385" s="80" t="str">
        <f t="shared" si="205"/>
        <v>Distrital</v>
      </c>
      <c r="AU385" s="79" t="s">
        <v>172</v>
      </c>
      <c r="AV385" s="79"/>
      <c r="AW385" s="79"/>
      <c r="AX385" s="79"/>
      <c r="AY385" s="79"/>
      <c r="AZ385" s="79"/>
      <c r="BA385" s="80" t="str">
        <f t="shared" si="206"/>
        <v>Distrital</v>
      </c>
      <c r="BB385" s="79" t="s">
        <v>172</v>
      </c>
      <c r="BC385" s="79"/>
      <c r="BD385" s="79"/>
      <c r="BE385" s="79"/>
      <c r="BF385" s="79"/>
      <c r="BG385" s="79"/>
      <c r="BH385" s="80" t="str">
        <f t="shared" si="207"/>
        <v>Distrital</v>
      </c>
      <c r="BI385" s="79" t="s">
        <v>172</v>
      </c>
      <c r="BJ385" s="79"/>
      <c r="BK385" s="79"/>
      <c r="BL385" s="79"/>
      <c r="BM385" s="79"/>
      <c r="BN385" s="79"/>
      <c r="BO385" s="79"/>
      <c r="BP385" s="79"/>
      <c r="BQ385" s="79"/>
      <c r="BR385" s="79"/>
      <c r="BS385" s="80" t="s">
        <v>2598</v>
      </c>
      <c r="BT385" s="80" t="s">
        <v>2846</v>
      </c>
      <c r="BU385" s="80" t="s">
        <v>2599</v>
      </c>
      <c r="BV385" s="71"/>
      <c r="BW385" s="79" t="s">
        <v>153</v>
      </c>
      <c r="BX385" s="79" t="s">
        <v>2600</v>
      </c>
      <c r="BY385" s="71"/>
      <c r="BZ385" s="79">
        <v>120</v>
      </c>
      <c r="CA385" s="79">
        <v>6</v>
      </c>
      <c r="CB385" s="79">
        <f t="shared" si="223"/>
        <v>126</v>
      </c>
      <c r="CC385" s="79" t="str">
        <f t="shared" si="227"/>
        <v>No Aplica</v>
      </c>
      <c r="CD385" s="79" t="s">
        <v>177</v>
      </c>
      <c r="CE385" s="79"/>
      <c r="CF385" s="79"/>
      <c r="CG385" s="83" t="s">
        <v>2847</v>
      </c>
      <c r="CH385" s="41"/>
      <c r="CI385" s="79" t="s">
        <v>153</v>
      </c>
      <c r="CJ385" s="71"/>
      <c r="CK385" s="79">
        <f t="shared" si="177"/>
        <v>0</v>
      </c>
      <c r="CL385" s="79"/>
      <c r="CM385" s="79"/>
      <c r="CN385" s="79"/>
      <c r="CO385" s="79"/>
      <c r="CP385" s="79"/>
      <c r="CQ385" s="79"/>
      <c r="CR385" s="83" t="s">
        <v>179</v>
      </c>
      <c r="CS385" s="83" t="s">
        <v>179</v>
      </c>
      <c r="CT385" s="83" t="s">
        <v>179</v>
      </c>
      <c r="CU385" s="83" t="s">
        <v>179</v>
      </c>
      <c r="CV385" s="83" t="s">
        <v>179</v>
      </c>
      <c r="CW385" s="83" t="s">
        <v>179</v>
      </c>
      <c r="CX385" s="79" t="s">
        <v>153</v>
      </c>
      <c r="CY385" s="79">
        <f t="shared" si="232"/>
        <v>0</v>
      </c>
      <c r="CZ385" s="79">
        <v>0</v>
      </c>
      <c r="DA385" s="79">
        <f t="shared" si="233"/>
        <v>0</v>
      </c>
      <c r="DB385" s="84" t="str">
        <f t="shared" si="221"/>
        <v/>
      </c>
      <c r="DC385" s="41"/>
      <c r="DD385" s="79" t="s">
        <v>153</v>
      </c>
      <c r="DE385" s="71"/>
      <c r="DF385" s="85" t="s">
        <v>2848</v>
      </c>
      <c r="DG385" s="79">
        <v>375</v>
      </c>
      <c r="DH385" s="86" t="str">
        <f t="shared" si="234"/>
        <v>Completo</v>
      </c>
      <c r="DI385" s="79" t="s">
        <v>181</v>
      </c>
      <c r="DJ385" s="79" t="s">
        <v>182</v>
      </c>
      <c r="DK385" s="79"/>
      <c r="DL385" s="79">
        <v>0</v>
      </c>
      <c r="DM385" s="79">
        <v>0</v>
      </c>
      <c r="DN385" s="79" t="s">
        <v>182</v>
      </c>
      <c r="DO385" s="79"/>
      <c r="DP385" s="79"/>
      <c r="DQ385" s="79"/>
      <c r="DR385" s="75" t="str">
        <f t="shared" si="208"/>
        <v>No aplica</v>
      </c>
      <c r="DS385" s="79"/>
      <c r="DT385" s="79"/>
      <c r="DU385" s="75" t="str">
        <f t="shared" si="209"/>
        <v>No aplica</v>
      </c>
      <c r="DV385" s="79" t="s">
        <v>182</v>
      </c>
      <c r="DW385" s="79" t="s">
        <v>191</v>
      </c>
      <c r="DX385" s="79"/>
      <c r="DY385" s="79"/>
      <c r="DZ385" s="79"/>
      <c r="EA385" s="79"/>
      <c r="EB385" s="79" t="s">
        <v>182</v>
      </c>
      <c r="EC385" s="79" t="s">
        <v>2849</v>
      </c>
      <c r="ED385" s="79" t="s">
        <v>184</v>
      </c>
      <c r="EE385" s="79" t="str">
        <f t="shared" ref="EE385:EE389" si="235">IF(DI385="Subsanado","Completo","Por Completar")</f>
        <v>Completo</v>
      </c>
      <c r="EF385" s="41"/>
      <c r="EG385" s="79" t="s">
        <v>153</v>
      </c>
      <c r="EH385" s="71"/>
      <c r="EI385" s="80"/>
      <c r="EJ385" s="71"/>
      <c r="EK385" s="79"/>
      <c r="EL385" s="76" t="str">
        <f t="shared" si="210"/>
        <v>No requiere</v>
      </c>
      <c r="EM385" s="76" t="str">
        <f t="shared" si="211"/>
        <v>No requiere</v>
      </c>
      <c r="EN385" s="76" t="str">
        <f t="shared" si="228"/>
        <v>No requiere</v>
      </c>
      <c r="EO385" s="71"/>
      <c r="EP385" s="73" t="str">
        <f t="shared" si="212"/>
        <v>No requiere</v>
      </c>
      <c r="EQ385" s="77" t="str">
        <f t="shared" si="213"/>
        <v>No requiere</v>
      </c>
      <c r="ER385" s="71"/>
      <c r="ES385" s="79"/>
      <c r="ET385" s="73" t="str">
        <f t="shared" si="214"/>
        <v>No requiere</v>
      </c>
      <c r="EU385" s="73" t="str">
        <f t="shared" si="229"/>
        <v>No requiere</v>
      </c>
      <c r="EV385" s="73" t="str">
        <f t="shared" si="215"/>
        <v>No requiere</v>
      </c>
      <c r="EW385" s="73" t="str">
        <f t="shared" si="216"/>
        <v>No requiere</v>
      </c>
      <c r="EX385" s="78"/>
      <c r="EY385" s="78"/>
    </row>
    <row r="386" spans="1:155" ht="46.5" customHeight="1">
      <c r="A386" s="79">
        <v>382</v>
      </c>
      <c r="B386" s="80" t="s">
        <v>799</v>
      </c>
      <c r="C386" s="81">
        <v>45415</v>
      </c>
      <c r="D386" s="82">
        <v>0.375</v>
      </c>
      <c r="E386" s="79" t="s">
        <v>200</v>
      </c>
      <c r="F386" s="79" t="s">
        <v>153</v>
      </c>
      <c r="G386" s="79" t="s">
        <v>152</v>
      </c>
      <c r="H386" s="79" t="s">
        <v>152</v>
      </c>
      <c r="I386" s="79" t="s">
        <v>152</v>
      </c>
      <c r="J386" s="79" t="s">
        <v>504</v>
      </c>
      <c r="K386" s="79" t="s">
        <v>202</v>
      </c>
      <c r="L386" s="80" t="s">
        <v>2850</v>
      </c>
      <c r="M386" s="80" t="s">
        <v>157</v>
      </c>
      <c r="N386" s="79" t="s">
        <v>801</v>
      </c>
      <c r="O386" s="80" t="str">
        <f t="shared" si="204"/>
        <v/>
      </c>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t="s">
        <v>169</v>
      </c>
      <c r="AP386" s="79" t="s">
        <v>2702</v>
      </c>
      <c r="AQ386" s="80" t="s">
        <v>2851</v>
      </c>
      <c r="AR386" s="83" t="s">
        <v>2852</v>
      </c>
      <c r="AS386" s="80" t="s">
        <v>803</v>
      </c>
      <c r="AT386" s="80" t="str">
        <f t="shared" si="205"/>
        <v>Usaquén</v>
      </c>
      <c r="AU386" s="79" t="s">
        <v>661</v>
      </c>
      <c r="AV386" s="79"/>
      <c r="AW386" s="79"/>
      <c r="AX386" s="79"/>
      <c r="AY386" s="79"/>
      <c r="AZ386" s="79"/>
      <c r="BA386" s="80" t="str">
        <f t="shared" si="206"/>
        <v>Norte, Ruralidad</v>
      </c>
      <c r="BB386" s="79" t="s">
        <v>662</v>
      </c>
      <c r="BC386" s="79" t="s">
        <v>219</v>
      </c>
      <c r="BD386" s="79"/>
      <c r="BE386" s="79"/>
      <c r="BF386" s="79"/>
      <c r="BG386" s="79"/>
      <c r="BH386" s="80" t="str">
        <f t="shared" si="207"/>
        <v>Usaquén, Toberín, Cerros Orientales, Torca</v>
      </c>
      <c r="BI386" s="79" t="s">
        <v>661</v>
      </c>
      <c r="BJ386" s="79" t="s">
        <v>804</v>
      </c>
      <c r="BK386" s="79" t="s">
        <v>361</v>
      </c>
      <c r="BL386" s="79" t="s">
        <v>805</v>
      </c>
      <c r="BM386" s="79"/>
      <c r="BN386" s="79"/>
      <c r="BO386" s="79"/>
      <c r="BP386" s="79"/>
      <c r="BQ386" s="79"/>
      <c r="BR386" s="79"/>
      <c r="BS386" s="80" t="s">
        <v>661</v>
      </c>
      <c r="BT386" s="80" t="s">
        <v>174</v>
      </c>
      <c r="BU386" s="89" t="s">
        <v>2853</v>
      </c>
      <c r="BV386" s="71"/>
      <c r="BW386" s="79" t="s">
        <v>152</v>
      </c>
      <c r="BX386" s="79" t="s">
        <v>179</v>
      </c>
      <c r="BY386" s="71"/>
      <c r="BZ386" s="79">
        <v>15</v>
      </c>
      <c r="CA386" s="79">
        <v>1</v>
      </c>
      <c r="CB386" s="79">
        <f t="shared" si="223"/>
        <v>16</v>
      </c>
      <c r="CC386" s="79" t="str">
        <f t="shared" si="227"/>
        <v>No Aplica</v>
      </c>
      <c r="CD386" s="79" t="s">
        <v>177</v>
      </c>
      <c r="CE386" s="79"/>
      <c r="CF386" s="79"/>
      <c r="CG386" s="83" t="s">
        <v>2854</v>
      </c>
      <c r="CH386" s="41"/>
      <c r="CI386" s="79" t="s">
        <v>153</v>
      </c>
      <c r="CJ386" s="71"/>
      <c r="CK386" s="79">
        <f t="shared" si="177"/>
        <v>0</v>
      </c>
      <c r="CL386" s="79"/>
      <c r="CM386" s="79"/>
      <c r="CN386" s="79"/>
      <c r="CO386" s="79"/>
      <c r="CP386" s="79"/>
      <c r="CQ386" s="79"/>
      <c r="CR386" s="83" t="s">
        <v>179</v>
      </c>
      <c r="CS386" s="83" t="s">
        <v>179</v>
      </c>
      <c r="CT386" s="83" t="s">
        <v>179</v>
      </c>
      <c r="CU386" s="83" t="s">
        <v>179</v>
      </c>
      <c r="CV386" s="83" t="s">
        <v>179</v>
      </c>
      <c r="CW386" s="83" t="s">
        <v>179</v>
      </c>
      <c r="CX386" s="79" t="s">
        <v>153</v>
      </c>
      <c r="CY386" s="79">
        <f t="shared" si="232"/>
        <v>0</v>
      </c>
      <c r="CZ386" s="79">
        <v>0</v>
      </c>
      <c r="DA386" s="79">
        <f t="shared" si="233"/>
        <v>0</v>
      </c>
      <c r="DB386" s="84" t="str">
        <f t="shared" si="221"/>
        <v/>
      </c>
      <c r="DC386" s="41"/>
      <c r="DD386" s="79" t="s">
        <v>153</v>
      </c>
      <c r="DE386" s="71"/>
      <c r="DF386" s="85" t="s">
        <v>2855</v>
      </c>
      <c r="DG386" s="79">
        <v>376</v>
      </c>
      <c r="DH386" s="86" t="str">
        <f t="shared" si="234"/>
        <v>Completo</v>
      </c>
      <c r="DI386" s="79" t="s">
        <v>181</v>
      </c>
      <c r="DJ386" s="79" t="s">
        <v>182</v>
      </c>
      <c r="DK386" s="79"/>
      <c r="DL386" s="79">
        <v>0</v>
      </c>
      <c r="DM386" s="79">
        <v>0</v>
      </c>
      <c r="DN386" s="79" t="s">
        <v>182</v>
      </c>
      <c r="DO386" s="79"/>
      <c r="DP386" s="79"/>
      <c r="DQ386" s="79"/>
      <c r="DR386" s="75" t="str">
        <f t="shared" si="208"/>
        <v>No aplica</v>
      </c>
      <c r="DS386" s="79"/>
      <c r="DT386" s="79"/>
      <c r="DU386" s="75" t="str">
        <f t="shared" si="209"/>
        <v>No aplica</v>
      </c>
      <c r="DV386" s="79" t="s">
        <v>182</v>
      </c>
      <c r="DW386" s="79" t="s">
        <v>182</v>
      </c>
      <c r="DX386" s="79"/>
      <c r="DY386" s="79"/>
      <c r="DZ386" s="79"/>
      <c r="EA386" s="79"/>
      <c r="EB386" s="79"/>
      <c r="EC386" s="79"/>
      <c r="ED386" s="79" t="s">
        <v>184</v>
      </c>
      <c r="EE386" s="79" t="str">
        <f t="shared" si="235"/>
        <v>Completo</v>
      </c>
      <c r="EF386" s="41"/>
      <c r="EG386" s="79" t="s">
        <v>153</v>
      </c>
      <c r="EH386" s="71"/>
      <c r="EI386" s="80"/>
      <c r="EJ386" s="71"/>
      <c r="EK386" s="79"/>
      <c r="EL386" s="76" t="str">
        <f t="shared" si="210"/>
        <v>No requiere</v>
      </c>
      <c r="EM386" s="76" t="str">
        <f t="shared" si="211"/>
        <v>No requiere</v>
      </c>
      <c r="EN386" s="76" t="str">
        <f t="shared" si="228"/>
        <v>No requiere</v>
      </c>
      <c r="EO386" s="71"/>
      <c r="EP386" s="73" t="str">
        <f t="shared" si="212"/>
        <v>No requiere</v>
      </c>
      <c r="EQ386" s="77" t="str">
        <f t="shared" si="213"/>
        <v>No requiere</v>
      </c>
      <c r="ER386" s="71"/>
      <c r="ES386" s="79"/>
      <c r="ET386" s="73" t="str">
        <f t="shared" si="214"/>
        <v>No requiere</v>
      </c>
      <c r="EU386" s="73" t="str">
        <f t="shared" si="229"/>
        <v>No requiere</v>
      </c>
      <c r="EV386" s="73" t="str">
        <f t="shared" si="215"/>
        <v>No requiere</v>
      </c>
      <c r="EW386" s="73" t="str">
        <f t="shared" si="216"/>
        <v>No requiere</v>
      </c>
      <c r="EX386" s="78"/>
      <c r="EY386" s="78"/>
    </row>
    <row r="387" spans="1:155" ht="46.5" customHeight="1">
      <c r="A387" s="79">
        <v>383</v>
      </c>
      <c r="B387" s="80" t="s">
        <v>2856</v>
      </c>
      <c r="C387" s="81">
        <v>45415</v>
      </c>
      <c r="D387" s="82">
        <v>0.375</v>
      </c>
      <c r="E387" s="79" t="s">
        <v>151</v>
      </c>
      <c r="F387" s="79" t="s">
        <v>153</v>
      </c>
      <c r="G387" s="79" t="s">
        <v>152</v>
      </c>
      <c r="H387" s="79" t="s">
        <v>152</v>
      </c>
      <c r="I387" s="79" t="s">
        <v>152</v>
      </c>
      <c r="J387" s="79" t="s">
        <v>1711</v>
      </c>
      <c r="K387" s="79" t="s">
        <v>155</v>
      </c>
      <c r="L387" s="80" t="s">
        <v>2857</v>
      </c>
      <c r="M387" s="80" t="s">
        <v>157</v>
      </c>
      <c r="N387" s="79" t="s">
        <v>163</v>
      </c>
      <c r="O387" s="80" t="str">
        <f t="shared" si="204"/>
        <v/>
      </c>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t="s">
        <v>304</v>
      </c>
      <c r="AP387" s="79"/>
      <c r="AQ387" s="80" t="s">
        <v>2858</v>
      </c>
      <c r="AR387" s="83" t="s">
        <v>179</v>
      </c>
      <c r="AS387" s="80" t="s">
        <v>2859</v>
      </c>
      <c r="AT387" s="80" t="str">
        <f t="shared" si="205"/>
        <v>Distrital</v>
      </c>
      <c r="AU387" s="79" t="s">
        <v>172</v>
      </c>
      <c r="AV387" s="79"/>
      <c r="AW387" s="79"/>
      <c r="AX387" s="79"/>
      <c r="AY387" s="79"/>
      <c r="AZ387" s="79"/>
      <c r="BA387" s="80" t="str">
        <f t="shared" si="206"/>
        <v>Distrital</v>
      </c>
      <c r="BB387" s="79" t="s">
        <v>172</v>
      </c>
      <c r="BC387" s="79"/>
      <c r="BD387" s="79"/>
      <c r="BE387" s="79"/>
      <c r="BF387" s="79"/>
      <c r="BG387" s="79"/>
      <c r="BH387" s="80" t="str">
        <f t="shared" si="207"/>
        <v>Distrital</v>
      </c>
      <c r="BI387" s="79" t="s">
        <v>172</v>
      </c>
      <c r="BJ387" s="79"/>
      <c r="BK387" s="79"/>
      <c r="BL387" s="79"/>
      <c r="BM387" s="79"/>
      <c r="BN387" s="79"/>
      <c r="BO387" s="79"/>
      <c r="BP387" s="79"/>
      <c r="BQ387" s="79"/>
      <c r="BR387" s="79"/>
      <c r="BS387" s="80" t="s">
        <v>288</v>
      </c>
      <c r="BT387" s="80" t="s">
        <v>174</v>
      </c>
      <c r="BU387" s="80" t="s">
        <v>2860</v>
      </c>
      <c r="BV387" s="71"/>
      <c r="BW387" s="79" t="s">
        <v>152</v>
      </c>
      <c r="BX387" s="79" t="s">
        <v>179</v>
      </c>
      <c r="BY387" s="71"/>
      <c r="BZ387" s="79">
        <v>9</v>
      </c>
      <c r="CA387" s="79">
        <v>1</v>
      </c>
      <c r="CB387" s="79">
        <f t="shared" si="223"/>
        <v>10</v>
      </c>
      <c r="CC387" s="79" t="str">
        <f t="shared" si="227"/>
        <v>No Aplica</v>
      </c>
      <c r="CD387" s="79" t="s">
        <v>177</v>
      </c>
      <c r="CE387" s="79"/>
      <c r="CF387" s="79"/>
      <c r="CG387" s="83" t="s">
        <v>2861</v>
      </c>
      <c r="CH387" s="41"/>
      <c r="CI387" s="79" t="s">
        <v>153</v>
      </c>
      <c r="CJ387" s="71"/>
      <c r="CK387" s="79">
        <f t="shared" si="177"/>
        <v>0</v>
      </c>
      <c r="CL387" s="79"/>
      <c r="CM387" s="79"/>
      <c r="CN387" s="79"/>
      <c r="CO387" s="79"/>
      <c r="CP387" s="79"/>
      <c r="CQ387" s="79"/>
      <c r="CR387" s="83" t="s">
        <v>179</v>
      </c>
      <c r="CS387" s="83" t="s">
        <v>179</v>
      </c>
      <c r="CT387" s="83" t="s">
        <v>179</v>
      </c>
      <c r="CU387" s="83" t="s">
        <v>179</v>
      </c>
      <c r="CV387" s="83" t="s">
        <v>179</v>
      </c>
      <c r="CW387" s="83" t="s">
        <v>179</v>
      </c>
      <c r="CX387" s="79" t="s">
        <v>153</v>
      </c>
      <c r="CY387" s="79">
        <f t="shared" si="232"/>
        <v>0</v>
      </c>
      <c r="CZ387" s="79">
        <v>0</v>
      </c>
      <c r="DA387" s="79">
        <f t="shared" si="233"/>
        <v>0</v>
      </c>
      <c r="DB387" s="84" t="str">
        <f t="shared" si="221"/>
        <v/>
      </c>
      <c r="DC387" s="41"/>
      <c r="DD387" s="79" t="s">
        <v>153</v>
      </c>
      <c r="DE387" s="71"/>
      <c r="DF387" s="85" t="s">
        <v>2862</v>
      </c>
      <c r="DG387" s="79">
        <v>377</v>
      </c>
      <c r="DH387" s="86" t="str">
        <f t="shared" si="234"/>
        <v>Completo</v>
      </c>
      <c r="DI387" s="79" t="s">
        <v>181</v>
      </c>
      <c r="DJ387" s="79" t="s">
        <v>182</v>
      </c>
      <c r="DK387" s="79"/>
      <c r="DL387" s="79">
        <v>0</v>
      </c>
      <c r="DM387" s="79">
        <v>0</v>
      </c>
      <c r="DN387" s="79" t="s">
        <v>182</v>
      </c>
      <c r="DO387" s="79"/>
      <c r="DP387" s="79"/>
      <c r="DQ387" s="79"/>
      <c r="DR387" s="75" t="str">
        <f t="shared" si="208"/>
        <v>No aplica</v>
      </c>
      <c r="DS387" s="79"/>
      <c r="DT387" s="79"/>
      <c r="DU387" s="75" t="str">
        <f t="shared" si="209"/>
        <v>No aplica</v>
      </c>
      <c r="DV387" s="79" t="s">
        <v>182</v>
      </c>
      <c r="DW387" s="79" t="s">
        <v>182</v>
      </c>
      <c r="DX387" s="79"/>
      <c r="DY387" s="79"/>
      <c r="DZ387" s="79"/>
      <c r="EA387" s="79"/>
      <c r="EB387" s="79"/>
      <c r="EC387" s="79"/>
      <c r="ED387" s="79" t="s">
        <v>2863</v>
      </c>
      <c r="EE387" s="79" t="str">
        <f t="shared" si="235"/>
        <v>Completo</v>
      </c>
      <c r="EF387" s="41"/>
      <c r="EG387" s="79" t="s">
        <v>153</v>
      </c>
      <c r="EH387" s="71"/>
      <c r="EI387" s="80"/>
      <c r="EJ387" s="71"/>
      <c r="EK387" s="79"/>
      <c r="EL387" s="76" t="str">
        <f t="shared" si="210"/>
        <v>No requiere</v>
      </c>
      <c r="EM387" s="76" t="str">
        <f t="shared" si="211"/>
        <v>No requiere</v>
      </c>
      <c r="EN387" s="76" t="str">
        <f t="shared" si="228"/>
        <v>No requiere</v>
      </c>
      <c r="EO387" s="71"/>
      <c r="EP387" s="73" t="str">
        <f t="shared" si="212"/>
        <v>No requiere</v>
      </c>
      <c r="EQ387" s="77" t="str">
        <f t="shared" si="213"/>
        <v>No requiere</v>
      </c>
      <c r="ER387" s="71"/>
      <c r="ES387" s="79"/>
      <c r="ET387" s="73" t="str">
        <f t="shared" si="214"/>
        <v>No requiere</v>
      </c>
      <c r="EU387" s="73" t="str">
        <f t="shared" si="229"/>
        <v>No requiere</v>
      </c>
      <c r="EV387" s="73" t="str">
        <f t="shared" si="215"/>
        <v>No requiere</v>
      </c>
      <c r="EW387" s="73" t="str">
        <f t="shared" si="216"/>
        <v>No requiere</v>
      </c>
      <c r="EX387" s="78"/>
      <c r="EY387" s="78"/>
    </row>
    <row r="388" spans="1:155" ht="46.5" customHeight="1">
      <c r="A388" s="79">
        <v>384</v>
      </c>
      <c r="B388" s="80" t="s">
        <v>2864</v>
      </c>
      <c r="C388" s="81">
        <v>45415</v>
      </c>
      <c r="D388" s="82">
        <v>0.375</v>
      </c>
      <c r="E388" s="79" t="s">
        <v>151</v>
      </c>
      <c r="F388" s="79" t="s">
        <v>153</v>
      </c>
      <c r="G388" s="79" t="s">
        <v>152</v>
      </c>
      <c r="H388" s="79" t="s">
        <v>152</v>
      </c>
      <c r="I388" s="79" t="s">
        <v>152</v>
      </c>
      <c r="J388" s="79" t="s">
        <v>251</v>
      </c>
      <c r="K388" s="79" t="s">
        <v>155</v>
      </c>
      <c r="L388" s="80" t="s">
        <v>2865</v>
      </c>
      <c r="M388" s="80" t="s">
        <v>157</v>
      </c>
      <c r="N388" s="79" t="s">
        <v>195</v>
      </c>
      <c r="O388" s="80" t="str">
        <f t="shared" si="204"/>
        <v/>
      </c>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t="s">
        <v>169</v>
      </c>
      <c r="AP388" s="79"/>
      <c r="AQ388" s="80" t="s">
        <v>171</v>
      </c>
      <c r="AR388" s="83" t="s">
        <v>171</v>
      </c>
      <c r="AS388" s="80" t="s">
        <v>171</v>
      </c>
      <c r="AT388" s="80" t="str">
        <f t="shared" si="205"/>
        <v>Distrital</v>
      </c>
      <c r="AU388" s="79" t="s">
        <v>172</v>
      </c>
      <c r="AV388" s="79"/>
      <c r="AW388" s="79"/>
      <c r="AX388" s="79"/>
      <c r="AY388" s="79"/>
      <c r="AZ388" s="79"/>
      <c r="BA388" s="80" t="str">
        <f t="shared" si="206"/>
        <v>Distrital</v>
      </c>
      <c r="BB388" s="79" t="s">
        <v>172</v>
      </c>
      <c r="BC388" s="79"/>
      <c r="BD388" s="79"/>
      <c r="BE388" s="79"/>
      <c r="BF388" s="79"/>
      <c r="BG388" s="79"/>
      <c r="BH388" s="80" t="str">
        <f t="shared" si="207"/>
        <v>Distrital</v>
      </c>
      <c r="BI388" s="79" t="s">
        <v>172</v>
      </c>
      <c r="BJ388" s="79"/>
      <c r="BK388" s="79"/>
      <c r="BL388" s="79"/>
      <c r="BM388" s="79"/>
      <c r="BN388" s="79"/>
      <c r="BO388" s="79"/>
      <c r="BP388" s="79"/>
      <c r="BQ388" s="79"/>
      <c r="BR388" s="79"/>
      <c r="BS388" s="80" t="s">
        <v>288</v>
      </c>
      <c r="BT388" s="80" t="s">
        <v>174</v>
      </c>
      <c r="BU388" s="80" t="s">
        <v>2866</v>
      </c>
      <c r="BV388" s="71"/>
      <c r="BW388" s="79" t="s">
        <v>152</v>
      </c>
      <c r="BX388" s="79" t="s">
        <v>179</v>
      </c>
      <c r="BY388" s="71"/>
      <c r="BZ388" s="79">
        <v>14</v>
      </c>
      <c r="CA388" s="79">
        <v>6</v>
      </c>
      <c r="CB388" s="79">
        <f t="shared" si="223"/>
        <v>20</v>
      </c>
      <c r="CC388" s="79" t="str">
        <f t="shared" si="227"/>
        <v>No Aplica</v>
      </c>
      <c r="CD388" s="79" t="s">
        <v>177</v>
      </c>
      <c r="CE388" s="79"/>
      <c r="CF388" s="79"/>
      <c r="CG388" s="83" t="s">
        <v>2867</v>
      </c>
      <c r="CH388" s="41"/>
      <c r="CI388" s="79" t="s">
        <v>153</v>
      </c>
      <c r="CJ388" s="71"/>
      <c r="CK388" s="79">
        <f t="shared" si="177"/>
        <v>0</v>
      </c>
      <c r="CL388" s="79"/>
      <c r="CM388" s="79"/>
      <c r="CN388" s="79"/>
      <c r="CO388" s="79"/>
      <c r="CP388" s="79"/>
      <c r="CQ388" s="79"/>
      <c r="CR388" s="83" t="s">
        <v>179</v>
      </c>
      <c r="CS388" s="83" t="s">
        <v>179</v>
      </c>
      <c r="CT388" s="83" t="s">
        <v>179</v>
      </c>
      <c r="CU388" s="83" t="s">
        <v>179</v>
      </c>
      <c r="CV388" s="83" t="s">
        <v>179</v>
      </c>
      <c r="CW388" s="83" t="s">
        <v>179</v>
      </c>
      <c r="CX388" s="79" t="s">
        <v>153</v>
      </c>
      <c r="CY388" s="79">
        <f t="shared" si="232"/>
        <v>0</v>
      </c>
      <c r="CZ388" s="79">
        <v>0</v>
      </c>
      <c r="DA388" s="79">
        <f t="shared" si="233"/>
        <v>0</v>
      </c>
      <c r="DB388" s="84" t="str">
        <f t="shared" si="221"/>
        <v/>
      </c>
      <c r="DC388" s="41"/>
      <c r="DD388" s="79" t="s">
        <v>153</v>
      </c>
      <c r="DE388" s="71"/>
      <c r="DF388" s="85" t="s">
        <v>2868</v>
      </c>
      <c r="DG388" s="79">
        <v>378</v>
      </c>
      <c r="DH388" s="86" t="str">
        <f t="shared" si="234"/>
        <v>Completo</v>
      </c>
      <c r="DI388" s="79" t="s">
        <v>181</v>
      </c>
      <c r="DJ388" s="79" t="s">
        <v>182</v>
      </c>
      <c r="DK388" s="79"/>
      <c r="DL388" s="79">
        <v>0</v>
      </c>
      <c r="DM388" s="79">
        <v>0</v>
      </c>
      <c r="DN388" s="79" t="s">
        <v>182</v>
      </c>
      <c r="DO388" s="79"/>
      <c r="DP388" s="79"/>
      <c r="DQ388" s="79"/>
      <c r="DR388" s="75" t="str">
        <f t="shared" si="208"/>
        <v>No aplica</v>
      </c>
      <c r="DS388" s="79"/>
      <c r="DT388" s="79"/>
      <c r="DU388" s="75" t="str">
        <f t="shared" si="209"/>
        <v>No aplica</v>
      </c>
      <c r="DV388" s="79" t="s">
        <v>182</v>
      </c>
      <c r="DW388" s="79"/>
      <c r="DX388" s="79"/>
      <c r="DY388" s="79"/>
      <c r="DZ388" s="79"/>
      <c r="EA388" s="79"/>
      <c r="EB388" s="79"/>
      <c r="EC388" s="79"/>
      <c r="ED388" s="79" t="s">
        <v>184</v>
      </c>
      <c r="EE388" s="79" t="str">
        <f t="shared" si="235"/>
        <v>Completo</v>
      </c>
      <c r="EF388" s="41"/>
      <c r="EG388" s="79" t="s">
        <v>153</v>
      </c>
      <c r="EH388" s="71"/>
      <c r="EI388" s="80"/>
      <c r="EJ388" s="71"/>
      <c r="EK388" s="79"/>
      <c r="EL388" s="76" t="str">
        <f t="shared" si="210"/>
        <v>No requiere</v>
      </c>
      <c r="EM388" s="76" t="str">
        <f t="shared" si="211"/>
        <v>No requiere</v>
      </c>
      <c r="EN388" s="76" t="str">
        <f t="shared" si="228"/>
        <v>No requiere</v>
      </c>
      <c r="EO388" s="71"/>
      <c r="EP388" s="73" t="str">
        <f t="shared" si="212"/>
        <v>No requiere</v>
      </c>
      <c r="EQ388" s="77" t="str">
        <f t="shared" si="213"/>
        <v>No requiere</v>
      </c>
      <c r="ER388" s="71"/>
      <c r="ES388" s="79"/>
      <c r="ET388" s="73" t="str">
        <f t="shared" si="214"/>
        <v>No requiere</v>
      </c>
      <c r="EU388" s="73" t="str">
        <f t="shared" si="229"/>
        <v>No requiere</v>
      </c>
      <c r="EV388" s="73" t="str">
        <f t="shared" si="215"/>
        <v>No requiere</v>
      </c>
      <c r="EW388" s="73" t="str">
        <f t="shared" si="216"/>
        <v>No requiere</v>
      </c>
      <c r="EX388" s="78"/>
      <c r="EY388" s="78"/>
    </row>
    <row r="389" spans="1:155" ht="46.5" customHeight="1">
      <c r="A389" s="79" t="str">
        <v/>
      </c>
      <c r="B389" s="80" t="s">
        <v>2566</v>
      </c>
      <c r="C389" s="81">
        <v>45415</v>
      </c>
      <c r="D389" s="82">
        <v>0.41666666666666669</v>
      </c>
      <c r="E389" s="79" t="s">
        <v>151</v>
      </c>
      <c r="F389" s="79" t="s">
        <v>152</v>
      </c>
      <c r="G389" s="79" t="s">
        <v>153</v>
      </c>
      <c r="H389" s="79" t="s">
        <v>152</v>
      </c>
      <c r="I389" s="79" t="s">
        <v>152</v>
      </c>
      <c r="J389" s="79" t="s">
        <v>251</v>
      </c>
      <c r="K389" s="79" t="s">
        <v>202</v>
      </c>
      <c r="L389" s="80" t="s">
        <v>2869</v>
      </c>
      <c r="M389" s="80" t="s">
        <v>157</v>
      </c>
      <c r="N389" s="79" t="s">
        <v>346</v>
      </c>
      <c r="O389" s="80" t="str">
        <f t="shared" ref="O389:O452" si="236">_xlfn.TEXTJOIN(", ",TRUE,P389:AN389)</f>
        <v/>
      </c>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t="s">
        <v>304</v>
      </c>
      <c r="AP389" s="79"/>
      <c r="AQ389" s="80" t="s">
        <v>171</v>
      </c>
      <c r="AR389" s="83" t="s">
        <v>171</v>
      </c>
      <c r="AS389" s="80" t="s">
        <v>171</v>
      </c>
      <c r="AT389" s="80" t="str">
        <f t="shared" ref="AT389:AT452" si="237">_xlfn.TEXTJOIN(", ",TRUE,$AU389:$AY389)</f>
        <v>Distrital</v>
      </c>
      <c r="AU389" s="79" t="s">
        <v>172</v>
      </c>
      <c r="AV389" s="79"/>
      <c r="AW389" s="79"/>
      <c r="AX389" s="79"/>
      <c r="AY389" s="79"/>
      <c r="AZ389" s="79"/>
      <c r="BA389" s="80" t="str">
        <f t="shared" ref="BA389:BA452" si="238">_xlfn.TEXTJOIN(", ",TRUE,$BB389:$BG389)</f>
        <v>Distrital</v>
      </c>
      <c r="BB389" s="79" t="s">
        <v>172</v>
      </c>
      <c r="BC389" s="79"/>
      <c r="BD389" s="79"/>
      <c r="BE389" s="79"/>
      <c r="BF389" s="79"/>
      <c r="BG389" s="79"/>
      <c r="BH389" s="80" t="str">
        <f t="shared" ref="BH389:BH452" si="239">_xlfn.TEXTJOIN(", ",TRUE,$BI389:$BR389)</f>
        <v>Distrital</v>
      </c>
      <c r="BI389" s="79" t="s">
        <v>172</v>
      </c>
      <c r="BJ389" s="79"/>
      <c r="BK389" s="79"/>
      <c r="BL389" s="79"/>
      <c r="BM389" s="79"/>
      <c r="BN389" s="79"/>
      <c r="BO389" s="79"/>
      <c r="BP389" s="79"/>
      <c r="BQ389" s="79"/>
      <c r="BR389" s="79"/>
      <c r="BS389" s="80" t="s">
        <v>288</v>
      </c>
      <c r="BT389" s="80" t="s">
        <v>174</v>
      </c>
      <c r="BU389" s="89" t="s">
        <v>2870</v>
      </c>
      <c r="BV389" s="71"/>
      <c r="BW389" s="79" t="s">
        <v>153</v>
      </c>
      <c r="BX389" s="79" t="s">
        <v>176</v>
      </c>
      <c r="BY389" s="71"/>
      <c r="BZ389" s="79">
        <v>5</v>
      </c>
      <c r="CA389" s="79">
        <v>5</v>
      </c>
      <c r="CB389" s="79">
        <f t="shared" si="223"/>
        <v>10</v>
      </c>
      <c r="CC389" s="79" t="str">
        <f t="shared" si="227"/>
        <v>No Aplica</v>
      </c>
      <c r="CD389" s="79" t="s">
        <v>177</v>
      </c>
      <c r="CE389" s="79"/>
      <c r="CF389" s="79"/>
      <c r="CG389" s="83" t="s">
        <v>2871</v>
      </c>
      <c r="CH389" s="41"/>
      <c r="CI389" s="79" t="s">
        <v>153</v>
      </c>
      <c r="CJ389" s="71"/>
      <c r="CK389" s="79">
        <f t="shared" si="177"/>
        <v>0</v>
      </c>
      <c r="CL389" s="79"/>
      <c r="CM389" s="79"/>
      <c r="CN389" s="79"/>
      <c r="CO389" s="79"/>
      <c r="CP389" s="79"/>
      <c r="CQ389" s="79"/>
      <c r="CR389" s="83" t="s">
        <v>179</v>
      </c>
      <c r="CS389" s="83" t="s">
        <v>179</v>
      </c>
      <c r="CT389" s="83" t="s">
        <v>179</v>
      </c>
      <c r="CU389" s="83" t="s">
        <v>179</v>
      </c>
      <c r="CV389" s="83" t="s">
        <v>179</v>
      </c>
      <c r="CW389" s="83" t="s">
        <v>179</v>
      </c>
      <c r="CX389" s="79" t="s">
        <v>153</v>
      </c>
      <c r="CY389" s="79">
        <f t="shared" si="232"/>
        <v>0</v>
      </c>
      <c r="CZ389" s="79">
        <v>0</v>
      </c>
      <c r="DA389" s="79">
        <f t="shared" si="233"/>
        <v>0</v>
      </c>
      <c r="DB389" s="84" t="str">
        <f t="shared" si="221"/>
        <v/>
      </c>
      <c r="DC389" s="41"/>
      <c r="DD389" s="79" t="s">
        <v>153</v>
      </c>
      <c r="DE389" s="71"/>
      <c r="DF389" s="85" t="s">
        <v>2872</v>
      </c>
      <c r="DG389" s="79">
        <v>379</v>
      </c>
      <c r="DH389" s="86" t="str">
        <f t="shared" si="234"/>
        <v>Completo</v>
      </c>
      <c r="DI389" s="79" t="s">
        <v>181</v>
      </c>
      <c r="DJ389" s="79" t="s">
        <v>182</v>
      </c>
      <c r="DK389" s="79"/>
      <c r="DL389" s="79">
        <v>0</v>
      </c>
      <c r="DM389" s="79">
        <v>0</v>
      </c>
      <c r="DN389" s="79"/>
      <c r="DO389" s="79"/>
      <c r="DP389" s="79"/>
      <c r="DQ389" s="79"/>
      <c r="DR389" s="75" t="str">
        <f t="shared" ref="DR389:DR435" si="240">IF(H389="SÍ", (DQ389/(BZ389*0.3)), "No aplica")</f>
        <v>No aplica</v>
      </c>
      <c r="DS389" s="79"/>
      <c r="DT389" s="79"/>
      <c r="DU389" s="75" t="str">
        <f t="shared" ref="DU389:DU435" si="241">IF(H389="SÍ", (DT389/(BZ389*0.35)), "No aplica")</f>
        <v>No aplica</v>
      </c>
      <c r="DV389" s="79" t="s">
        <v>182</v>
      </c>
      <c r="DW389" s="79" t="s">
        <v>182</v>
      </c>
      <c r="DX389" s="79"/>
      <c r="DY389" s="79"/>
      <c r="DZ389" s="79"/>
      <c r="EA389" s="79"/>
      <c r="EB389" s="79"/>
      <c r="EC389" s="79"/>
      <c r="ED389" s="79" t="s">
        <v>2863</v>
      </c>
      <c r="EE389" s="79" t="str">
        <f t="shared" si="235"/>
        <v>Completo</v>
      </c>
      <c r="EF389" s="41"/>
      <c r="EG389" s="79" t="s">
        <v>153</v>
      </c>
      <c r="EH389" s="71"/>
      <c r="EI389" s="80"/>
      <c r="EJ389" s="71"/>
      <c r="EK389" s="79"/>
      <c r="EL389" s="76" t="str">
        <f t="shared" ref="EL389:EL452" si="242">IF(F389="NO","No requiere",IF(H389="No","No requiere",IF(DW389="","",IF(DW389&lt;&gt;"No aplica",IF(DX389&lt;&gt;"No aplica",IF(DX389&gt;=2,"Sí","No"),"No aplica"),"No aplica"))))</f>
        <v>No requiere</v>
      </c>
      <c r="EM389" s="76" t="str">
        <f t="shared" ref="EM389:EM452" si="243">IF(F389="NO","No requiere",IF(H389="No","No requiere",IF(DW389="","",IF(DW389&lt;&gt;"No aplica",IF(DY389&lt;&gt;"No aplica",IF(DY389&gt;=1,"Sí","No"),"No aplica"),"No aplica"))))</f>
        <v>No requiere</v>
      </c>
      <c r="EN389" s="76" t="str">
        <f t="shared" si="228"/>
        <v>No requiere</v>
      </c>
      <c r="EO389" s="71"/>
      <c r="EP389" s="73" t="str">
        <f t="shared" ref="EP389:EP452" si="244">IF(F389="NO","No requiere",IF(H389="No","No requiere",IF(DL389="","",IF(DL389&gt;=1,DM389/DL389,"No aplica"))))</f>
        <v>No requiere</v>
      </c>
      <c r="EQ389" s="77" t="str">
        <f t="shared" ref="EQ389:EQ452" si="245">IFERROR(IF(F389="NO","No requiere",IF(H389="No","No requiere",DU389)),"")</f>
        <v>No requiere</v>
      </c>
      <c r="ER389" s="71"/>
      <c r="ES389" s="79"/>
      <c r="ET389" s="73" t="str">
        <f t="shared" ref="ET389:ET452" si="246">IF(F389="NO","No requiere",IF(H389="No","No requiere",IFERROR(COUNTIF(DJ389:DW389,"Completo")/SUM(COUNTIF(DJ389:DW389,"Completo"),COUNTIF(DJ389:DW389,"Incompleto"),COUNTIF(DJ389:DW389,"No subido"),COUNTIF(DJ389:DW389,"No existente"),COUNTIF(DJ389:DW389,"Pendiente")),"")))</f>
        <v>No requiere</v>
      </c>
      <c r="EU389" s="73" t="str">
        <f t="shared" si="229"/>
        <v>No requiere</v>
      </c>
      <c r="EV389" s="73" t="str">
        <f t="shared" ref="EV389:EV452" si="247">IF(EU389="Por verificar","Por verificar",IF(F389="NO","No requiere",IF(H389="No","No requiere",IFERROR(IF(EU389="","",IF(CK389&gt;=1,DA389/CZ389,"No aplica")),"No aplica"))))</f>
        <v>No requiere</v>
      </c>
      <c r="EW389" s="73" t="str">
        <f t="shared" ref="EW389:EW452" si="248">IF(F389="NO","No requiere",IF(H389="No","No requiere",IFERROR(IF(BZ389="","",IF(EA389&lt;&gt;"No aplica",IF(EA389&gt;=1,DO389/EA389,"0%"),"No aplica")),"")))</f>
        <v>No requiere</v>
      </c>
      <c r="EX389" s="78"/>
      <c r="EY389" s="78"/>
    </row>
    <row r="390" spans="1:155" ht="46.5" customHeight="1">
      <c r="A390" s="79">
        <v>386</v>
      </c>
      <c r="B390" s="80" t="s">
        <v>2873</v>
      </c>
      <c r="C390" s="81">
        <v>45415</v>
      </c>
      <c r="D390" s="82">
        <v>0.41666666666666669</v>
      </c>
      <c r="E390" s="79" t="s">
        <v>151</v>
      </c>
      <c r="F390" s="79" t="s">
        <v>153</v>
      </c>
      <c r="G390" s="79" t="s">
        <v>152</v>
      </c>
      <c r="H390" s="79" t="s">
        <v>152</v>
      </c>
      <c r="I390" s="79" t="s">
        <v>153</v>
      </c>
      <c r="J390" s="79" t="s">
        <v>227</v>
      </c>
      <c r="K390" s="79" t="s">
        <v>155</v>
      </c>
      <c r="L390" s="80" t="s">
        <v>2874</v>
      </c>
      <c r="M390" s="80" t="s">
        <v>303</v>
      </c>
      <c r="N390" s="79" t="s">
        <v>632</v>
      </c>
      <c r="O390" s="80" t="str">
        <f t="shared" si="236"/>
        <v/>
      </c>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t="s">
        <v>230</v>
      </c>
      <c r="AP390" s="79"/>
      <c r="AQ390" s="80" t="s">
        <v>171</v>
      </c>
      <c r="AR390" s="83" t="s">
        <v>171</v>
      </c>
      <c r="AS390" s="80" t="s">
        <v>171</v>
      </c>
      <c r="AT390" s="80" t="str">
        <f t="shared" si="237"/>
        <v>Chapinero</v>
      </c>
      <c r="AU390" s="79" t="s">
        <v>360</v>
      </c>
      <c r="AV390" s="79"/>
      <c r="AW390" s="79"/>
      <c r="AX390" s="79"/>
      <c r="AY390" s="79"/>
      <c r="AZ390" s="79"/>
      <c r="BA390" s="80" t="str">
        <f t="shared" si="238"/>
        <v>Centro Ampliado, Ruralidad</v>
      </c>
      <c r="BB390" s="79" t="s">
        <v>636</v>
      </c>
      <c r="BC390" s="79" t="s">
        <v>219</v>
      </c>
      <c r="BD390" s="79"/>
      <c r="BE390" s="79"/>
      <c r="BF390" s="79"/>
      <c r="BG390" s="79"/>
      <c r="BH390" s="80" t="str">
        <f t="shared" si="239"/>
        <v>Centro Histórico, Chapinero, Cerros Orientales</v>
      </c>
      <c r="BI390" s="79" t="s">
        <v>754</v>
      </c>
      <c r="BJ390" s="79" t="s">
        <v>360</v>
      </c>
      <c r="BK390" s="79" t="s">
        <v>361</v>
      </c>
      <c r="BL390" s="79"/>
      <c r="BM390" s="79"/>
      <c r="BN390" s="79"/>
      <c r="BO390" s="79"/>
      <c r="BP390" s="79"/>
      <c r="BQ390" s="79"/>
      <c r="BR390" s="79"/>
      <c r="BS390" s="80" t="s">
        <v>288</v>
      </c>
      <c r="BT390" s="80" t="s">
        <v>2875</v>
      </c>
      <c r="BU390" s="80" t="s">
        <v>2876</v>
      </c>
      <c r="BV390" s="71"/>
      <c r="BW390" s="79" t="s">
        <v>152</v>
      </c>
      <c r="BX390" s="79" t="s">
        <v>179</v>
      </c>
      <c r="BY390" s="71"/>
      <c r="BZ390" s="79">
        <v>8</v>
      </c>
      <c r="CA390" s="79">
        <v>6</v>
      </c>
      <c r="CB390" s="79">
        <f t="shared" si="223"/>
        <v>14</v>
      </c>
      <c r="CC390" s="79" t="str">
        <f t="shared" si="227"/>
        <v>No Aplica</v>
      </c>
      <c r="CD390" s="79" t="s">
        <v>177</v>
      </c>
      <c r="CE390" s="79"/>
      <c r="CF390" s="79"/>
      <c r="CG390" s="83" t="s">
        <v>2877</v>
      </c>
      <c r="CH390" s="41"/>
      <c r="CI390" s="79" t="s">
        <v>153</v>
      </c>
      <c r="CJ390" s="71"/>
      <c r="CK390" s="79">
        <f t="shared" si="177"/>
        <v>0</v>
      </c>
      <c r="CL390" s="79"/>
      <c r="CM390" s="79"/>
      <c r="CN390" s="79"/>
      <c r="CO390" s="79"/>
      <c r="CP390" s="79"/>
      <c r="CQ390" s="79"/>
      <c r="CR390" s="83" t="s">
        <v>179</v>
      </c>
      <c r="CS390" s="83" t="s">
        <v>179</v>
      </c>
      <c r="CT390" s="83" t="s">
        <v>179</v>
      </c>
      <c r="CU390" s="83" t="s">
        <v>179</v>
      </c>
      <c r="CV390" s="83" t="s">
        <v>179</v>
      </c>
      <c r="CW390" s="83" t="s">
        <v>179</v>
      </c>
      <c r="CX390" s="79" t="s">
        <v>153</v>
      </c>
      <c r="CY390" s="79">
        <f t="shared" si="232"/>
        <v>0</v>
      </c>
      <c r="CZ390" s="79">
        <v>0</v>
      </c>
      <c r="DA390" s="79">
        <f t="shared" si="233"/>
        <v>0</v>
      </c>
      <c r="DB390" s="84" t="str">
        <f t="shared" si="221"/>
        <v/>
      </c>
      <c r="DC390" s="41"/>
      <c r="DD390" s="79" t="s">
        <v>153</v>
      </c>
      <c r="DE390" s="71"/>
      <c r="DF390" s="85" t="s">
        <v>2878</v>
      </c>
      <c r="DG390" s="79">
        <v>380</v>
      </c>
      <c r="DH390" s="86">
        <f t="shared" si="234"/>
        <v>45418</v>
      </c>
      <c r="DI390" s="79" t="s">
        <v>181</v>
      </c>
      <c r="DJ390" s="79" t="s">
        <v>182</v>
      </c>
      <c r="DK390" s="79"/>
      <c r="DL390" s="79">
        <v>0</v>
      </c>
      <c r="DM390" s="79">
        <v>0</v>
      </c>
      <c r="DN390" s="79" t="s">
        <v>182</v>
      </c>
      <c r="DO390" s="79"/>
      <c r="DP390" s="79"/>
      <c r="DQ390" s="79"/>
      <c r="DR390" s="75" t="str">
        <f t="shared" si="240"/>
        <v>No aplica</v>
      </c>
      <c r="DS390" s="79"/>
      <c r="DT390" s="79"/>
      <c r="DU390" s="75" t="str">
        <f t="shared" si="241"/>
        <v>No aplica</v>
      </c>
      <c r="DV390" s="79" t="s">
        <v>182</v>
      </c>
      <c r="DW390" s="79" t="s">
        <v>191</v>
      </c>
      <c r="DX390" s="79"/>
      <c r="DY390" s="79"/>
      <c r="DZ390" s="79"/>
      <c r="EA390" s="79"/>
      <c r="EB390" s="79"/>
      <c r="EC390" s="79" t="s">
        <v>184</v>
      </c>
      <c r="ED390" s="79"/>
      <c r="EE390" s="79" t="s">
        <v>621</v>
      </c>
      <c r="EF390" s="41"/>
      <c r="EG390" s="79" t="s">
        <v>153</v>
      </c>
      <c r="EH390" s="71"/>
      <c r="EI390" s="80"/>
      <c r="EJ390" s="71"/>
      <c r="EK390" s="79"/>
      <c r="EL390" s="76" t="str">
        <f t="shared" si="242"/>
        <v>No requiere</v>
      </c>
      <c r="EM390" s="76" t="str">
        <f t="shared" si="243"/>
        <v>No requiere</v>
      </c>
      <c r="EN390" s="76" t="str">
        <f t="shared" si="228"/>
        <v>No requiere</v>
      </c>
      <c r="EO390" s="71"/>
      <c r="EP390" s="73" t="str">
        <f t="shared" si="244"/>
        <v>No requiere</v>
      </c>
      <c r="EQ390" s="77" t="str">
        <f t="shared" si="245"/>
        <v>No requiere</v>
      </c>
      <c r="ER390" s="71"/>
      <c r="ES390" s="79"/>
      <c r="ET390" s="73" t="str">
        <f t="shared" si="246"/>
        <v>No requiere</v>
      </c>
      <c r="EU390" s="73" t="str">
        <f t="shared" si="229"/>
        <v>No requiere</v>
      </c>
      <c r="EV390" s="73" t="str">
        <f t="shared" si="247"/>
        <v>No requiere</v>
      </c>
      <c r="EW390" s="73" t="str">
        <f t="shared" si="248"/>
        <v>No requiere</v>
      </c>
      <c r="EX390" s="78"/>
      <c r="EY390" s="78"/>
    </row>
    <row r="391" spans="1:155" ht="46.5" customHeight="1">
      <c r="A391" s="79" t="str">
        <v/>
      </c>
      <c r="B391" s="80" t="s">
        <v>2879</v>
      </c>
      <c r="C391" s="81">
        <v>45415</v>
      </c>
      <c r="D391" s="82">
        <v>0.58333333333333337</v>
      </c>
      <c r="E391" s="79" t="s">
        <v>151</v>
      </c>
      <c r="F391" s="79" t="s">
        <v>152</v>
      </c>
      <c r="G391" s="79" t="s">
        <v>153</v>
      </c>
      <c r="H391" s="79" t="s">
        <v>152</v>
      </c>
      <c r="I391" s="79" t="s">
        <v>152</v>
      </c>
      <c r="J391" s="79" t="s">
        <v>251</v>
      </c>
      <c r="K391" s="79" t="s">
        <v>155</v>
      </c>
      <c r="L391" s="80" t="s">
        <v>2880</v>
      </c>
      <c r="M391" s="80" t="s">
        <v>157</v>
      </c>
      <c r="N391" s="79" t="s">
        <v>422</v>
      </c>
      <c r="O391" s="80" t="str">
        <f t="shared" si="236"/>
        <v>Camilo Andrés Vásquez</v>
      </c>
      <c r="P391" s="79" t="s">
        <v>373</v>
      </c>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t="s">
        <v>169</v>
      </c>
      <c r="AP391" s="79" t="s">
        <v>170</v>
      </c>
      <c r="AQ391" s="80" t="s">
        <v>2881</v>
      </c>
      <c r="AR391" s="83">
        <v>3508212744</v>
      </c>
      <c r="AS391" s="80" t="s">
        <v>2882</v>
      </c>
      <c r="AT391" s="80" t="str">
        <f t="shared" si="237"/>
        <v>Distrital</v>
      </c>
      <c r="AU391" s="79" t="s">
        <v>172</v>
      </c>
      <c r="AV391" s="79"/>
      <c r="AW391" s="79"/>
      <c r="AX391" s="79"/>
      <c r="AY391" s="79"/>
      <c r="AZ391" s="79"/>
      <c r="BA391" s="80" t="str">
        <f t="shared" si="238"/>
        <v>Distrital</v>
      </c>
      <c r="BB391" s="79" t="s">
        <v>172</v>
      </c>
      <c r="BC391" s="79"/>
      <c r="BD391" s="79"/>
      <c r="BE391" s="79"/>
      <c r="BF391" s="79"/>
      <c r="BG391" s="79"/>
      <c r="BH391" s="80" t="str">
        <f t="shared" si="239"/>
        <v>Distrital</v>
      </c>
      <c r="BI391" s="79" t="s">
        <v>172</v>
      </c>
      <c r="BJ391" s="79"/>
      <c r="BK391" s="79"/>
      <c r="BL391" s="79"/>
      <c r="BM391" s="79"/>
      <c r="BN391" s="79"/>
      <c r="BO391" s="79"/>
      <c r="BP391" s="79"/>
      <c r="BQ391" s="79"/>
      <c r="BR391" s="79"/>
      <c r="BS391" s="80" t="s">
        <v>2883</v>
      </c>
      <c r="BT391" s="80" t="s">
        <v>174</v>
      </c>
      <c r="BU391" s="80" t="s">
        <v>2884</v>
      </c>
      <c r="BV391" s="71"/>
      <c r="BW391" s="79" t="s">
        <v>152</v>
      </c>
      <c r="BX391" s="79" t="s">
        <v>179</v>
      </c>
      <c r="BY391" s="71"/>
      <c r="BZ391" s="79">
        <v>0</v>
      </c>
      <c r="CA391" s="79">
        <v>12</v>
      </c>
      <c r="CB391" s="79">
        <f t="shared" si="223"/>
        <v>12</v>
      </c>
      <c r="CC391" s="79" t="str">
        <f t="shared" si="227"/>
        <v>No Aplica</v>
      </c>
      <c r="CD391" s="79" t="s">
        <v>177</v>
      </c>
      <c r="CE391" s="79"/>
      <c r="CF391" s="79"/>
      <c r="CG391" s="83" t="s">
        <v>2885</v>
      </c>
      <c r="CH391" s="41"/>
      <c r="CI391" s="79" t="s">
        <v>153</v>
      </c>
      <c r="CJ391" s="71"/>
      <c r="CK391" s="79">
        <f t="shared" si="177"/>
        <v>0</v>
      </c>
      <c r="CL391" s="79"/>
      <c r="CM391" s="79"/>
      <c r="CN391" s="79"/>
      <c r="CO391" s="79"/>
      <c r="CP391" s="79"/>
      <c r="CQ391" s="79"/>
      <c r="CR391" s="83" t="s">
        <v>179</v>
      </c>
      <c r="CS391" s="83" t="s">
        <v>179</v>
      </c>
      <c r="CT391" s="83" t="s">
        <v>179</v>
      </c>
      <c r="CU391" s="83" t="s">
        <v>179</v>
      </c>
      <c r="CV391" s="83" t="s">
        <v>179</v>
      </c>
      <c r="CW391" s="83" t="s">
        <v>179</v>
      </c>
      <c r="CX391" s="79" t="s">
        <v>153</v>
      </c>
      <c r="CY391" s="79">
        <f t="shared" si="232"/>
        <v>0</v>
      </c>
      <c r="CZ391" s="79">
        <v>0</v>
      </c>
      <c r="DA391" s="79">
        <f t="shared" si="233"/>
        <v>0</v>
      </c>
      <c r="DB391" s="84" t="str">
        <f t="shared" si="221"/>
        <v/>
      </c>
      <c r="DC391" s="41"/>
      <c r="DD391" s="79" t="s">
        <v>153</v>
      </c>
      <c r="DE391" s="71"/>
      <c r="DF391" s="85" t="s">
        <v>2886</v>
      </c>
      <c r="DG391" s="79">
        <v>381</v>
      </c>
      <c r="DH391" s="86">
        <f t="shared" si="234"/>
        <v>45418</v>
      </c>
      <c r="DI391" s="79" t="s">
        <v>181</v>
      </c>
      <c r="DJ391" s="79" t="s">
        <v>182</v>
      </c>
      <c r="DK391" s="79"/>
      <c r="DL391" s="79">
        <v>0</v>
      </c>
      <c r="DM391" s="79">
        <v>0</v>
      </c>
      <c r="DN391" s="79" t="s">
        <v>182</v>
      </c>
      <c r="DO391" s="79"/>
      <c r="DP391" s="79"/>
      <c r="DQ391" s="79"/>
      <c r="DR391" s="75" t="str">
        <f t="shared" si="240"/>
        <v>No aplica</v>
      </c>
      <c r="DS391" s="79"/>
      <c r="DT391" s="79"/>
      <c r="DU391" s="75" t="str">
        <f t="shared" si="241"/>
        <v>No aplica</v>
      </c>
      <c r="DV391" s="79" t="s">
        <v>182</v>
      </c>
      <c r="DW391" s="79" t="s">
        <v>182</v>
      </c>
      <c r="DX391" s="79"/>
      <c r="DY391" s="79"/>
      <c r="DZ391" s="79"/>
      <c r="EA391" s="79"/>
      <c r="EB391" s="79" t="s">
        <v>182</v>
      </c>
      <c r="EC391" s="79" t="s">
        <v>2887</v>
      </c>
      <c r="ED391" s="79" t="s">
        <v>2888</v>
      </c>
      <c r="EE391" s="79" t="s">
        <v>621</v>
      </c>
      <c r="EF391" s="41"/>
      <c r="EG391" s="79" t="s">
        <v>153</v>
      </c>
      <c r="EH391" s="71"/>
      <c r="EI391" s="80"/>
      <c r="EJ391" s="71"/>
      <c r="EK391" s="79"/>
      <c r="EL391" s="76" t="str">
        <f t="shared" si="242"/>
        <v>No requiere</v>
      </c>
      <c r="EM391" s="76" t="str">
        <f t="shared" si="243"/>
        <v>No requiere</v>
      </c>
      <c r="EN391" s="76" t="str">
        <f t="shared" si="228"/>
        <v>No requiere</v>
      </c>
      <c r="EO391" s="71"/>
      <c r="EP391" s="73" t="str">
        <f t="shared" si="244"/>
        <v>No requiere</v>
      </c>
      <c r="EQ391" s="77" t="str">
        <f t="shared" si="245"/>
        <v>No requiere</v>
      </c>
      <c r="ER391" s="71"/>
      <c r="ES391" s="79"/>
      <c r="ET391" s="73" t="str">
        <f t="shared" si="246"/>
        <v>No requiere</v>
      </c>
      <c r="EU391" s="73" t="str">
        <f t="shared" si="229"/>
        <v>No requiere</v>
      </c>
      <c r="EV391" s="73" t="str">
        <f t="shared" si="247"/>
        <v>No requiere</v>
      </c>
      <c r="EW391" s="73" t="str">
        <f t="shared" si="248"/>
        <v>No requiere</v>
      </c>
      <c r="EX391" s="78"/>
      <c r="EY391" s="78"/>
    </row>
    <row r="392" spans="1:155" ht="46.5" customHeight="1">
      <c r="A392" s="79">
        <v>388</v>
      </c>
      <c r="B392" s="80" t="s">
        <v>2889</v>
      </c>
      <c r="C392" s="81">
        <v>45418</v>
      </c>
      <c r="D392" s="82">
        <v>0.375</v>
      </c>
      <c r="E392" s="79" t="s">
        <v>151</v>
      </c>
      <c r="F392" s="79" t="s">
        <v>153</v>
      </c>
      <c r="G392" s="79" t="s">
        <v>153</v>
      </c>
      <c r="H392" s="79" t="s">
        <v>153</v>
      </c>
      <c r="I392" s="79" t="s">
        <v>152</v>
      </c>
      <c r="J392" s="79" t="s">
        <v>154</v>
      </c>
      <c r="K392" s="79" t="s">
        <v>155</v>
      </c>
      <c r="L392" s="80" t="s">
        <v>2596</v>
      </c>
      <c r="M392" s="80" t="s">
        <v>303</v>
      </c>
      <c r="N392" s="79" t="s">
        <v>965</v>
      </c>
      <c r="O392" s="80" t="str">
        <f t="shared" si="236"/>
        <v>William Arturo González, Aida Vanessa Rocha</v>
      </c>
      <c r="P392" s="79" t="s">
        <v>2786</v>
      </c>
      <c r="Q392" s="79" t="s">
        <v>801</v>
      </c>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t="s">
        <v>169</v>
      </c>
      <c r="AP392" s="79" t="s">
        <v>475</v>
      </c>
      <c r="AQ392" s="80" t="s">
        <v>2739</v>
      </c>
      <c r="AR392" s="83">
        <v>3105844361</v>
      </c>
      <c r="AS392" s="80" t="s">
        <v>2740</v>
      </c>
      <c r="AT392" s="80" t="str">
        <f t="shared" si="237"/>
        <v>Distrital</v>
      </c>
      <c r="AU392" s="79" t="s">
        <v>172</v>
      </c>
      <c r="AV392" s="79"/>
      <c r="AW392" s="79"/>
      <c r="AX392" s="79"/>
      <c r="AY392" s="79"/>
      <c r="AZ392" s="79"/>
      <c r="BA392" s="80" t="str">
        <f t="shared" si="238"/>
        <v>Distrital</v>
      </c>
      <c r="BB392" s="79" t="s">
        <v>172</v>
      </c>
      <c r="BC392" s="79"/>
      <c r="BD392" s="79"/>
      <c r="BE392" s="79"/>
      <c r="BF392" s="79"/>
      <c r="BG392" s="79"/>
      <c r="BH392" s="80" t="str">
        <f t="shared" si="239"/>
        <v>Distrital</v>
      </c>
      <c r="BI392" s="79" t="s">
        <v>172</v>
      </c>
      <c r="BJ392" s="79"/>
      <c r="BK392" s="79"/>
      <c r="BL392" s="79"/>
      <c r="BM392" s="79"/>
      <c r="BN392" s="79"/>
      <c r="BO392" s="79"/>
      <c r="BP392" s="79"/>
      <c r="BQ392" s="79"/>
      <c r="BR392" s="79"/>
      <c r="BS392" s="80" t="s">
        <v>2598</v>
      </c>
      <c r="BT392" s="80" t="s">
        <v>174</v>
      </c>
      <c r="BU392" s="80" t="s">
        <v>2599</v>
      </c>
      <c r="BV392" s="71"/>
      <c r="BW392" s="79" t="s">
        <v>153</v>
      </c>
      <c r="BX392" s="79" t="s">
        <v>2600</v>
      </c>
      <c r="BY392" s="71"/>
      <c r="BZ392" s="79">
        <v>10</v>
      </c>
      <c r="CA392" s="79">
        <v>3</v>
      </c>
      <c r="CB392" s="79">
        <f t="shared" si="223"/>
        <v>13</v>
      </c>
      <c r="CC392" s="79" t="str">
        <f t="shared" si="227"/>
        <v>Accesibilidad Universal, Horarios Acordes</v>
      </c>
      <c r="CD392" s="79" t="s">
        <v>397</v>
      </c>
      <c r="CE392" s="79" t="s">
        <v>351</v>
      </c>
      <c r="CF392" s="79"/>
      <c r="CG392" s="83" t="s">
        <v>2890</v>
      </c>
      <c r="CH392" s="41"/>
      <c r="CI392" s="79" t="s">
        <v>153</v>
      </c>
      <c r="CJ392" s="71"/>
      <c r="CK392" s="79">
        <f t="shared" si="177"/>
        <v>1</v>
      </c>
      <c r="CL392" s="187" t="s">
        <v>2891</v>
      </c>
      <c r="CM392" s="79"/>
      <c r="CN392" s="79"/>
      <c r="CO392" s="79"/>
      <c r="CP392" s="79"/>
      <c r="CQ392" s="79"/>
      <c r="CR392" s="83" t="s">
        <v>390</v>
      </c>
      <c r="CS392" s="83" t="s">
        <v>179</v>
      </c>
      <c r="CT392" s="83" t="s">
        <v>179</v>
      </c>
      <c r="CU392" s="83" t="s">
        <v>179</v>
      </c>
      <c r="CV392" s="83" t="s">
        <v>179</v>
      </c>
      <c r="CW392" s="83" t="s">
        <v>179</v>
      </c>
      <c r="CX392" s="79" t="s">
        <v>153</v>
      </c>
      <c r="CY392" s="79">
        <v>0</v>
      </c>
      <c r="CZ392" s="79">
        <v>1</v>
      </c>
      <c r="DA392" s="79">
        <v>0</v>
      </c>
      <c r="DB392" s="84">
        <f>IFERROR(CY392/CK392,"")</f>
        <v>0</v>
      </c>
      <c r="DC392" s="41"/>
      <c r="DD392" s="79" t="s">
        <v>153</v>
      </c>
      <c r="DE392" s="71"/>
      <c r="DF392" s="85" t="s">
        <v>2892</v>
      </c>
      <c r="DG392" s="79">
        <v>382</v>
      </c>
      <c r="DH392" s="86">
        <f t="shared" si="234"/>
        <v>45421</v>
      </c>
      <c r="DI392" s="79" t="s">
        <v>181</v>
      </c>
      <c r="DJ392" s="79" t="s">
        <v>182</v>
      </c>
      <c r="DK392" s="79" t="s">
        <v>153</v>
      </c>
      <c r="DL392" s="79">
        <v>24</v>
      </c>
      <c r="DM392" s="79">
        <v>24</v>
      </c>
      <c r="DN392" s="79" t="s">
        <v>182</v>
      </c>
      <c r="DO392" s="79" t="s">
        <v>179</v>
      </c>
      <c r="DP392" s="79" t="s">
        <v>182</v>
      </c>
      <c r="DQ392" s="79">
        <v>3</v>
      </c>
      <c r="DR392" s="75">
        <f t="shared" si="240"/>
        <v>1</v>
      </c>
      <c r="DS392" s="79" t="s">
        <v>182</v>
      </c>
      <c r="DT392" s="79">
        <v>6</v>
      </c>
      <c r="DU392" s="75">
        <f t="shared" si="241"/>
        <v>1.7142857142857142</v>
      </c>
      <c r="DV392" s="79" t="s">
        <v>182</v>
      </c>
      <c r="DW392" s="79" t="s">
        <v>182</v>
      </c>
      <c r="DX392" s="79">
        <v>1</v>
      </c>
      <c r="DY392" s="79">
        <v>0</v>
      </c>
      <c r="DZ392" s="79"/>
      <c r="EA392" s="79" t="s">
        <v>179</v>
      </c>
      <c r="EB392" s="79" t="s">
        <v>182</v>
      </c>
      <c r="EC392" s="79" t="s">
        <v>2893</v>
      </c>
      <c r="ED392" s="79" t="s">
        <v>184</v>
      </c>
      <c r="EE392" s="79" t="s">
        <v>621</v>
      </c>
      <c r="EF392" s="41"/>
      <c r="EG392" s="79" t="s">
        <v>153</v>
      </c>
      <c r="EH392" s="71"/>
      <c r="EI392" s="89" t="s">
        <v>2894</v>
      </c>
      <c r="EJ392" s="71"/>
      <c r="EK392" s="79" t="s">
        <v>409</v>
      </c>
      <c r="EL392" s="76" t="str">
        <f t="shared" si="242"/>
        <v>No</v>
      </c>
      <c r="EM392" s="76" t="str">
        <f t="shared" si="243"/>
        <v>No</v>
      </c>
      <c r="EN392" s="76" t="str">
        <f t="shared" si="228"/>
        <v>Sí</v>
      </c>
      <c r="EO392" s="71"/>
      <c r="EP392" s="73">
        <f t="shared" si="244"/>
        <v>1</v>
      </c>
      <c r="EQ392" s="77">
        <f t="shared" si="245"/>
        <v>1.7142857142857142</v>
      </c>
      <c r="ER392" s="71"/>
      <c r="ES392" s="79" t="s">
        <v>409</v>
      </c>
      <c r="ET392" s="73">
        <f t="shared" si="246"/>
        <v>1</v>
      </c>
      <c r="EU392" s="73">
        <f t="shared" si="229"/>
        <v>0</v>
      </c>
      <c r="EV392" s="73">
        <f t="shared" si="247"/>
        <v>0</v>
      </c>
      <c r="EW392" s="73" t="str">
        <f t="shared" si="248"/>
        <v>No aplica</v>
      </c>
      <c r="EX392" s="78"/>
      <c r="EY392" s="78"/>
    </row>
    <row r="393" spans="1:155" ht="46.5" customHeight="1">
      <c r="A393" s="79">
        <v>389</v>
      </c>
      <c r="B393" s="80" t="s">
        <v>2895</v>
      </c>
      <c r="C393" s="81">
        <v>45418</v>
      </c>
      <c r="D393" s="82">
        <v>0.375</v>
      </c>
      <c r="E393" s="79" t="s">
        <v>151</v>
      </c>
      <c r="F393" s="79" t="s">
        <v>153</v>
      </c>
      <c r="G393" s="79" t="s">
        <v>152</v>
      </c>
      <c r="H393" s="79" t="s">
        <v>152</v>
      </c>
      <c r="I393" s="79" t="s">
        <v>152</v>
      </c>
      <c r="J393" s="79" t="s">
        <v>154</v>
      </c>
      <c r="K393" s="79" t="s">
        <v>155</v>
      </c>
      <c r="L393" s="80" t="s">
        <v>2844</v>
      </c>
      <c r="M393" s="80" t="s">
        <v>303</v>
      </c>
      <c r="N393" s="79" t="s">
        <v>525</v>
      </c>
      <c r="O393" s="80" t="str">
        <f t="shared" si="236"/>
        <v>César Augusto Barrantes, James Fernando Núñez, Germán Ramón Jacome</v>
      </c>
      <c r="P393" s="79" t="s">
        <v>729</v>
      </c>
      <c r="Q393" s="79" t="s">
        <v>632</v>
      </c>
      <c r="R393" s="79" t="s">
        <v>525</v>
      </c>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t="s">
        <v>169</v>
      </c>
      <c r="AP393" s="79" t="s">
        <v>475</v>
      </c>
      <c r="AQ393" s="80" t="s">
        <v>171</v>
      </c>
      <c r="AR393" s="83" t="s">
        <v>171</v>
      </c>
      <c r="AS393" s="80" t="s">
        <v>171</v>
      </c>
      <c r="AT393" s="80" t="str">
        <f t="shared" si="237"/>
        <v>Distrital</v>
      </c>
      <c r="AU393" s="79" t="s">
        <v>172</v>
      </c>
      <c r="AV393" s="79"/>
      <c r="AW393" s="79"/>
      <c r="AX393" s="79"/>
      <c r="AY393" s="79"/>
      <c r="AZ393" s="79"/>
      <c r="BA393" s="80" t="str">
        <f t="shared" si="238"/>
        <v>Distrital</v>
      </c>
      <c r="BB393" s="79" t="s">
        <v>172</v>
      </c>
      <c r="BC393" s="79"/>
      <c r="BD393" s="79"/>
      <c r="BE393" s="79"/>
      <c r="BF393" s="79"/>
      <c r="BG393" s="79"/>
      <c r="BH393" s="80" t="str">
        <f t="shared" si="239"/>
        <v>Distrital</v>
      </c>
      <c r="BI393" s="79" t="s">
        <v>172</v>
      </c>
      <c r="BJ393" s="79"/>
      <c r="BK393" s="79"/>
      <c r="BL393" s="79"/>
      <c r="BM393" s="79"/>
      <c r="BN393" s="79"/>
      <c r="BO393" s="79"/>
      <c r="BP393" s="79"/>
      <c r="BQ393" s="79"/>
      <c r="BR393" s="79"/>
      <c r="BS393" s="80" t="s">
        <v>2598</v>
      </c>
      <c r="BT393" s="80" t="s">
        <v>174</v>
      </c>
      <c r="BU393" s="80" t="s">
        <v>2599</v>
      </c>
      <c r="BV393" s="71"/>
      <c r="BW393" s="79" t="s">
        <v>153</v>
      </c>
      <c r="BX393" s="79" t="s">
        <v>607</v>
      </c>
      <c r="BY393" s="71"/>
      <c r="BZ393" s="79">
        <v>95</v>
      </c>
      <c r="CA393" s="79">
        <v>3</v>
      </c>
      <c r="CB393" s="79">
        <f t="shared" si="223"/>
        <v>98</v>
      </c>
      <c r="CC393" s="79" t="str">
        <f t="shared" si="227"/>
        <v>Horarios Acordes</v>
      </c>
      <c r="CD393" s="79" t="s">
        <v>351</v>
      </c>
      <c r="CE393" s="79"/>
      <c r="CF393" s="79"/>
      <c r="CG393" s="83" t="s">
        <v>2896</v>
      </c>
      <c r="CH393" s="41"/>
      <c r="CI393" s="79" t="s">
        <v>153</v>
      </c>
      <c r="CJ393" s="71"/>
      <c r="CK393" s="79">
        <f t="shared" si="177"/>
        <v>0</v>
      </c>
      <c r="CL393" s="79"/>
      <c r="CM393" s="79"/>
      <c r="CN393" s="79"/>
      <c r="CO393" s="79"/>
      <c r="CP393" s="79"/>
      <c r="CQ393" s="79"/>
      <c r="CR393" s="83" t="s">
        <v>179</v>
      </c>
      <c r="CS393" s="83" t="s">
        <v>179</v>
      </c>
      <c r="CT393" s="83" t="s">
        <v>179</v>
      </c>
      <c r="CU393" s="83" t="s">
        <v>179</v>
      </c>
      <c r="CV393" s="83" t="s">
        <v>179</v>
      </c>
      <c r="CW393" s="83" t="s">
        <v>179</v>
      </c>
      <c r="CX393" s="79" t="s">
        <v>153</v>
      </c>
      <c r="CY393" s="79">
        <f t="shared" ref="CY393:CY396" si="249">SUM(COUNTIF(CR393:CW393,"Realizado y Devuelto a la Ciudadanía"),COUNTIF(CR393:CW393,"Realizado y Trasladado por competencia"), COUNTIF(CR393:CW393,"Realizado y Gestionado"))</f>
        <v>0</v>
      </c>
      <c r="CZ393" s="79">
        <v>0</v>
      </c>
      <c r="DA393" s="79">
        <f t="shared" ref="DA393:DA396" si="250">COUNTIF(CR393:CW393,"Realizado y Devuelto a la Ciudadanía")</f>
        <v>0</v>
      </c>
      <c r="DB393" s="84" t="str">
        <f t="shared" ref="DB393:DB396" si="251">IFERROR(CY393/CK393,"")</f>
        <v/>
      </c>
      <c r="DC393" s="41"/>
      <c r="DD393" s="79" t="s">
        <v>153</v>
      </c>
      <c r="DE393" s="71"/>
      <c r="DF393" s="85" t="s">
        <v>2897</v>
      </c>
      <c r="DG393" s="79">
        <v>383</v>
      </c>
      <c r="DH393" s="86">
        <f t="shared" si="234"/>
        <v>45421</v>
      </c>
      <c r="DI393" s="79" t="s">
        <v>181</v>
      </c>
      <c r="DJ393" s="79" t="s">
        <v>182</v>
      </c>
      <c r="DK393" s="79"/>
      <c r="DL393" s="79">
        <v>0</v>
      </c>
      <c r="DM393" s="79">
        <v>0</v>
      </c>
      <c r="DN393" s="79" t="s">
        <v>182</v>
      </c>
      <c r="DO393" s="79"/>
      <c r="DP393" s="79"/>
      <c r="DQ393" s="79"/>
      <c r="DR393" s="75" t="str">
        <f t="shared" si="240"/>
        <v>No aplica</v>
      </c>
      <c r="DS393" s="79"/>
      <c r="DT393" s="79"/>
      <c r="DU393" s="75" t="str">
        <f t="shared" si="241"/>
        <v>No aplica</v>
      </c>
      <c r="DV393" s="79" t="s">
        <v>182</v>
      </c>
      <c r="DW393" s="79"/>
      <c r="DX393" s="79"/>
      <c r="DY393" s="79"/>
      <c r="DZ393" s="79"/>
      <c r="EA393" s="79"/>
      <c r="EB393" s="79" t="s">
        <v>182</v>
      </c>
      <c r="EC393" s="79" t="s">
        <v>2898</v>
      </c>
      <c r="ED393" s="79" t="s">
        <v>184</v>
      </c>
      <c r="EE393" s="79" t="s">
        <v>621</v>
      </c>
      <c r="EF393" s="41"/>
      <c r="EG393" s="79" t="s">
        <v>153</v>
      </c>
      <c r="EH393" s="71"/>
      <c r="EI393" s="80"/>
      <c r="EJ393" s="71"/>
      <c r="EK393" s="79"/>
      <c r="EL393" s="76" t="str">
        <f t="shared" si="242"/>
        <v>No requiere</v>
      </c>
      <c r="EM393" s="76" t="str">
        <f t="shared" si="243"/>
        <v>No requiere</v>
      </c>
      <c r="EN393" s="76" t="str">
        <f t="shared" si="228"/>
        <v>No requiere</v>
      </c>
      <c r="EO393" s="71"/>
      <c r="EP393" s="73" t="str">
        <f t="shared" si="244"/>
        <v>No requiere</v>
      </c>
      <c r="EQ393" s="77" t="str">
        <f t="shared" si="245"/>
        <v>No requiere</v>
      </c>
      <c r="ER393" s="71"/>
      <c r="ES393" s="79"/>
      <c r="ET393" s="73" t="str">
        <f t="shared" si="246"/>
        <v>No requiere</v>
      </c>
      <c r="EU393" s="73" t="str">
        <f t="shared" si="229"/>
        <v>No requiere</v>
      </c>
      <c r="EV393" s="73" t="str">
        <f t="shared" si="247"/>
        <v>No requiere</v>
      </c>
      <c r="EW393" s="73" t="str">
        <f t="shared" si="248"/>
        <v>No requiere</v>
      </c>
      <c r="EX393" s="78"/>
      <c r="EY393" s="78"/>
    </row>
    <row r="394" spans="1:155" ht="46.5" customHeight="1">
      <c r="A394" s="79">
        <v>390</v>
      </c>
      <c r="B394" s="80" t="s">
        <v>2899</v>
      </c>
      <c r="C394" s="81">
        <v>45418</v>
      </c>
      <c r="D394" s="82">
        <v>0.45833333333333331</v>
      </c>
      <c r="E394" s="79" t="s">
        <v>200</v>
      </c>
      <c r="F394" s="79" t="s">
        <v>153</v>
      </c>
      <c r="G394" s="79" t="s">
        <v>152</v>
      </c>
      <c r="H394" s="79" t="s">
        <v>152</v>
      </c>
      <c r="I394" s="79" t="s">
        <v>152</v>
      </c>
      <c r="J394" s="79" t="s">
        <v>2715</v>
      </c>
      <c r="K394" s="79" t="s">
        <v>155</v>
      </c>
      <c r="L394" s="80" t="s">
        <v>2900</v>
      </c>
      <c r="M394" s="80" t="s">
        <v>157</v>
      </c>
      <c r="N394" s="79" t="s">
        <v>373</v>
      </c>
      <c r="O394" s="80" t="str">
        <f t="shared" si="236"/>
        <v>María del Pilar Barreto</v>
      </c>
      <c r="P394" s="79" t="s">
        <v>195</v>
      </c>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t="s">
        <v>230</v>
      </c>
      <c r="AP394" s="79" t="s">
        <v>347</v>
      </c>
      <c r="AQ394" s="80" t="s">
        <v>171</v>
      </c>
      <c r="AR394" s="83" t="s">
        <v>171</v>
      </c>
      <c r="AS394" s="80" t="s">
        <v>171</v>
      </c>
      <c r="AT394" s="80" t="str">
        <f t="shared" si="237"/>
        <v>Distrital</v>
      </c>
      <c r="AU394" s="79" t="s">
        <v>172</v>
      </c>
      <c r="AV394" s="79"/>
      <c r="AW394" s="79"/>
      <c r="AX394" s="79"/>
      <c r="AY394" s="79"/>
      <c r="AZ394" s="79"/>
      <c r="BA394" s="80" t="str">
        <f t="shared" si="238"/>
        <v>Distrital</v>
      </c>
      <c r="BB394" s="79" t="s">
        <v>172</v>
      </c>
      <c r="BC394" s="79"/>
      <c r="BD394" s="79"/>
      <c r="BE394" s="79"/>
      <c r="BF394" s="79"/>
      <c r="BG394" s="79"/>
      <c r="BH394" s="80" t="str">
        <f t="shared" si="239"/>
        <v>Distrital</v>
      </c>
      <c r="BI394" s="79" t="s">
        <v>172</v>
      </c>
      <c r="BJ394" s="79"/>
      <c r="BK394" s="79"/>
      <c r="BL394" s="79"/>
      <c r="BM394" s="79"/>
      <c r="BN394" s="79"/>
      <c r="BO394" s="79"/>
      <c r="BP394" s="79"/>
      <c r="BQ394" s="79"/>
      <c r="BR394" s="79"/>
      <c r="BS394" s="80" t="s">
        <v>288</v>
      </c>
      <c r="BT394" s="80" t="s">
        <v>174</v>
      </c>
      <c r="BU394" s="80" t="s">
        <v>2901</v>
      </c>
      <c r="BV394" s="71"/>
      <c r="BW394" s="79" t="s">
        <v>152</v>
      </c>
      <c r="BX394" s="79" t="s">
        <v>179</v>
      </c>
      <c r="BY394" s="71"/>
      <c r="BZ394" s="79">
        <v>6</v>
      </c>
      <c r="CA394" s="79">
        <v>4</v>
      </c>
      <c r="CB394" s="79">
        <f t="shared" si="223"/>
        <v>10</v>
      </c>
      <c r="CC394" s="79" t="str">
        <f t="shared" si="227"/>
        <v>No Aplica</v>
      </c>
      <c r="CD394" s="79" t="s">
        <v>177</v>
      </c>
      <c r="CE394" s="79"/>
      <c r="CF394" s="79"/>
      <c r="CG394" s="83" t="s">
        <v>2902</v>
      </c>
      <c r="CH394" s="41"/>
      <c r="CI394" s="79" t="s">
        <v>153</v>
      </c>
      <c r="CJ394" s="71"/>
      <c r="CK394" s="79">
        <f t="shared" si="177"/>
        <v>0</v>
      </c>
      <c r="CL394" s="79"/>
      <c r="CM394" s="79"/>
      <c r="CN394" s="79"/>
      <c r="CO394" s="79"/>
      <c r="CP394" s="79"/>
      <c r="CQ394" s="79"/>
      <c r="CR394" s="83" t="s">
        <v>179</v>
      </c>
      <c r="CS394" s="83" t="s">
        <v>179</v>
      </c>
      <c r="CT394" s="83" t="s">
        <v>179</v>
      </c>
      <c r="CU394" s="83" t="s">
        <v>179</v>
      </c>
      <c r="CV394" s="83" t="s">
        <v>179</v>
      </c>
      <c r="CW394" s="83" t="s">
        <v>179</v>
      </c>
      <c r="CX394" s="79" t="s">
        <v>153</v>
      </c>
      <c r="CY394" s="79">
        <f t="shared" si="249"/>
        <v>0</v>
      </c>
      <c r="CZ394" s="79">
        <v>0</v>
      </c>
      <c r="DA394" s="79">
        <f t="shared" si="250"/>
        <v>0</v>
      </c>
      <c r="DB394" s="84" t="str">
        <f t="shared" si="251"/>
        <v/>
      </c>
      <c r="DC394" s="41"/>
      <c r="DD394" s="79" t="s">
        <v>153</v>
      </c>
      <c r="DE394" s="71"/>
      <c r="DF394" s="85" t="s">
        <v>2903</v>
      </c>
      <c r="DG394" s="79">
        <v>384</v>
      </c>
      <c r="DH394" s="86" t="str">
        <f t="shared" si="234"/>
        <v>Completo</v>
      </c>
      <c r="DI394" s="79" t="s">
        <v>181</v>
      </c>
      <c r="DJ394" s="79" t="s">
        <v>182</v>
      </c>
      <c r="DK394" s="79"/>
      <c r="DL394" s="79">
        <v>0</v>
      </c>
      <c r="DM394" s="79">
        <v>0</v>
      </c>
      <c r="DN394" s="79" t="s">
        <v>182</v>
      </c>
      <c r="DO394" s="79"/>
      <c r="DP394" s="79"/>
      <c r="DQ394" s="79"/>
      <c r="DR394" s="75" t="str">
        <f t="shared" si="240"/>
        <v>No aplica</v>
      </c>
      <c r="DS394" s="79"/>
      <c r="DT394" s="79"/>
      <c r="DU394" s="75" t="str">
        <f t="shared" si="241"/>
        <v>No aplica</v>
      </c>
      <c r="DV394" s="79" t="s">
        <v>191</v>
      </c>
      <c r="DW394" s="79" t="s">
        <v>191</v>
      </c>
      <c r="DX394" s="79"/>
      <c r="DY394" s="79"/>
      <c r="DZ394" s="79"/>
      <c r="EA394" s="79"/>
      <c r="EB394" s="79" t="s">
        <v>182</v>
      </c>
      <c r="EC394" s="79"/>
      <c r="ED394" s="79" t="s">
        <v>184</v>
      </c>
      <c r="EE394" s="79" t="str">
        <f t="shared" ref="EE394:EE396" si="252">IF(DI394="Subsanado","Completo","Por Completar")</f>
        <v>Completo</v>
      </c>
      <c r="EF394" s="41"/>
      <c r="EG394" s="79" t="s">
        <v>153</v>
      </c>
      <c r="EH394" s="71"/>
      <c r="EI394" s="80"/>
      <c r="EJ394" s="71"/>
      <c r="EK394" s="79"/>
      <c r="EL394" s="76" t="str">
        <f t="shared" si="242"/>
        <v>No requiere</v>
      </c>
      <c r="EM394" s="76" t="str">
        <f t="shared" si="243"/>
        <v>No requiere</v>
      </c>
      <c r="EN394" s="76" t="str">
        <f t="shared" si="228"/>
        <v>No requiere</v>
      </c>
      <c r="EO394" s="71"/>
      <c r="EP394" s="73" t="str">
        <f t="shared" si="244"/>
        <v>No requiere</v>
      </c>
      <c r="EQ394" s="77" t="str">
        <f t="shared" si="245"/>
        <v>No requiere</v>
      </c>
      <c r="ER394" s="71"/>
      <c r="ES394" s="79"/>
      <c r="ET394" s="73" t="str">
        <f t="shared" si="246"/>
        <v>No requiere</v>
      </c>
      <c r="EU394" s="73" t="str">
        <f t="shared" si="229"/>
        <v>No requiere</v>
      </c>
      <c r="EV394" s="73" t="str">
        <f t="shared" si="247"/>
        <v>No requiere</v>
      </c>
      <c r="EW394" s="73" t="str">
        <f t="shared" si="248"/>
        <v>No requiere</v>
      </c>
      <c r="EX394" s="78"/>
      <c r="EY394" s="78"/>
    </row>
    <row r="395" spans="1:155" ht="46.5" customHeight="1">
      <c r="A395" s="79">
        <v>391</v>
      </c>
      <c r="B395" s="80" t="s">
        <v>2904</v>
      </c>
      <c r="C395" s="81">
        <v>45418</v>
      </c>
      <c r="D395" s="82">
        <v>0.6875</v>
      </c>
      <c r="E395" s="79" t="s">
        <v>151</v>
      </c>
      <c r="F395" s="79" t="s">
        <v>153</v>
      </c>
      <c r="G395" s="79" t="s">
        <v>152</v>
      </c>
      <c r="H395" s="79" t="s">
        <v>152</v>
      </c>
      <c r="I395" s="79" t="s">
        <v>152</v>
      </c>
      <c r="J395" s="79" t="s">
        <v>154</v>
      </c>
      <c r="K395" s="79" t="s">
        <v>202</v>
      </c>
      <c r="L395" s="80" t="s">
        <v>2905</v>
      </c>
      <c r="M395" s="80" t="s">
        <v>229</v>
      </c>
      <c r="N395" s="79" t="s">
        <v>506</v>
      </c>
      <c r="O395" s="80" t="str">
        <f t="shared" si="236"/>
        <v>PENDIENTE</v>
      </c>
      <c r="P395" s="79" t="s">
        <v>196</v>
      </c>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t="s">
        <v>169</v>
      </c>
      <c r="AP395" s="79" t="s">
        <v>214</v>
      </c>
      <c r="AQ395" s="80" t="s">
        <v>975</v>
      </c>
      <c r="AR395" s="83">
        <v>3202149489</v>
      </c>
      <c r="AS395" s="80" t="s">
        <v>2906</v>
      </c>
      <c r="AT395" s="80" t="str">
        <f t="shared" si="237"/>
        <v>Sumapaz</v>
      </c>
      <c r="AU395" s="79" t="s">
        <v>510</v>
      </c>
      <c r="AV395" s="79"/>
      <c r="AW395" s="79"/>
      <c r="AX395" s="79"/>
      <c r="AY395" s="79"/>
      <c r="AZ395" s="79"/>
      <c r="BA395" s="80" t="str">
        <f t="shared" si="238"/>
        <v>Ruralidad</v>
      </c>
      <c r="BB395" s="79" t="s">
        <v>219</v>
      </c>
      <c r="BC395" s="79"/>
      <c r="BD395" s="79"/>
      <c r="BE395" s="79"/>
      <c r="BF395" s="79"/>
      <c r="BG395" s="79"/>
      <c r="BH395" s="80" t="str">
        <f t="shared" si="239"/>
        <v>Sumapaz</v>
      </c>
      <c r="BI395" s="79" t="s">
        <v>510</v>
      </c>
      <c r="BJ395" s="79"/>
      <c r="BK395" s="79"/>
      <c r="BL395" s="79"/>
      <c r="BM395" s="79"/>
      <c r="BN395" s="79"/>
      <c r="BO395" s="79"/>
      <c r="BP395" s="79"/>
      <c r="BQ395" s="79"/>
      <c r="BR395" s="79"/>
      <c r="BS395" s="80" t="s">
        <v>510</v>
      </c>
      <c r="BT395" s="80" t="s">
        <v>174</v>
      </c>
      <c r="BU395" s="80" t="s">
        <v>2907</v>
      </c>
      <c r="BV395" s="71"/>
      <c r="BW395" s="79" t="s">
        <v>152</v>
      </c>
      <c r="BX395" s="79" t="s">
        <v>179</v>
      </c>
      <c r="BY395" s="71"/>
      <c r="BZ395" s="79">
        <v>13</v>
      </c>
      <c r="CA395" s="79">
        <v>2</v>
      </c>
      <c r="CB395" s="79">
        <f t="shared" si="223"/>
        <v>15</v>
      </c>
      <c r="CC395" s="79" t="str">
        <f t="shared" si="227"/>
        <v>No Aplica</v>
      </c>
      <c r="CD395" s="79" t="s">
        <v>177</v>
      </c>
      <c r="CE395" s="79"/>
      <c r="CF395" s="79"/>
      <c r="CG395" s="83" t="s">
        <v>2908</v>
      </c>
      <c r="CH395" s="41"/>
      <c r="CI395" s="79" t="s">
        <v>153</v>
      </c>
      <c r="CJ395" s="71"/>
      <c r="CK395" s="79">
        <f t="shared" si="177"/>
        <v>1</v>
      </c>
      <c r="CL395" s="79" t="s">
        <v>2909</v>
      </c>
      <c r="CM395" s="79"/>
      <c r="CN395" s="79"/>
      <c r="CO395" s="79"/>
      <c r="CP395" s="79"/>
      <c r="CQ395" s="79"/>
      <c r="CR395" s="83" t="s">
        <v>390</v>
      </c>
      <c r="CS395" s="83" t="s">
        <v>179</v>
      </c>
      <c r="CT395" s="83" t="s">
        <v>179</v>
      </c>
      <c r="CU395" s="83" t="s">
        <v>179</v>
      </c>
      <c r="CV395" s="83" t="s">
        <v>179</v>
      </c>
      <c r="CW395" s="83" t="s">
        <v>179</v>
      </c>
      <c r="CX395" s="79" t="s">
        <v>153</v>
      </c>
      <c r="CY395" s="79">
        <f t="shared" si="249"/>
        <v>1</v>
      </c>
      <c r="CZ395" s="79">
        <v>1</v>
      </c>
      <c r="DA395" s="79">
        <f t="shared" si="250"/>
        <v>1</v>
      </c>
      <c r="DB395" s="84">
        <f t="shared" si="251"/>
        <v>1</v>
      </c>
      <c r="DC395" s="41"/>
      <c r="DD395" s="79" t="s">
        <v>153</v>
      </c>
      <c r="DE395" s="71"/>
      <c r="DF395" s="85" t="s">
        <v>2910</v>
      </c>
      <c r="DG395" s="79">
        <v>385</v>
      </c>
      <c r="DH395" s="86" t="str">
        <f t="shared" si="234"/>
        <v>Completo</v>
      </c>
      <c r="DI395" s="79" t="s">
        <v>181</v>
      </c>
      <c r="DJ395" s="79" t="s">
        <v>182</v>
      </c>
      <c r="DK395" s="79"/>
      <c r="DL395" s="79">
        <v>0</v>
      </c>
      <c r="DM395" s="79">
        <v>0</v>
      </c>
      <c r="DN395" s="79" t="s">
        <v>182</v>
      </c>
      <c r="DO395" s="79"/>
      <c r="DP395" s="79"/>
      <c r="DQ395" s="79"/>
      <c r="DR395" s="75" t="str">
        <f t="shared" si="240"/>
        <v>No aplica</v>
      </c>
      <c r="DS395" s="79"/>
      <c r="DT395" s="79"/>
      <c r="DU395" s="75" t="str">
        <f t="shared" si="241"/>
        <v>No aplica</v>
      </c>
      <c r="DV395" s="79" t="s">
        <v>182</v>
      </c>
      <c r="DW395" s="79" t="s">
        <v>182</v>
      </c>
      <c r="DX395" s="79"/>
      <c r="DY395" s="79"/>
      <c r="DZ395" s="79"/>
      <c r="EA395" s="79"/>
      <c r="EB395" s="79"/>
      <c r="EC395" s="79"/>
      <c r="ED395" s="79" t="s">
        <v>184</v>
      </c>
      <c r="EE395" s="79" t="str">
        <f t="shared" si="252"/>
        <v>Completo</v>
      </c>
      <c r="EF395" s="41"/>
      <c r="EG395" s="79" t="s">
        <v>153</v>
      </c>
      <c r="EH395" s="71"/>
      <c r="EI395" s="80"/>
      <c r="EJ395" s="71"/>
      <c r="EK395" s="79"/>
      <c r="EL395" s="76" t="str">
        <f t="shared" si="242"/>
        <v>No requiere</v>
      </c>
      <c r="EM395" s="76" t="str">
        <f t="shared" si="243"/>
        <v>No requiere</v>
      </c>
      <c r="EN395" s="76" t="str">
        <f t="shared" si="228"/>
        <v>No requiere</v>
      </c>
      <c r="EO395" s="71"/>
      <c r="EP395" s="73" t="str">
        <f t="shared" si="244"/>
        <v>No requiere</v>
      </c>
      <c r="EQ395" s="77" t="str">
        <f t="shared" si="245"/>
        <v>No requiere</v>
      </c>
      <c r="ER395" s="71"/>
      <c r="ES395" s="79"/>
      <c r="ET395" s="73" t="str">
        <f t="shared" si="246"/>
        <v>No requiere</v>
      </c>
      <c r="EU395" s="73" t="str">
        <f t="shared" si="229"/>
        <v>No requiere</v>
      </c>
      <c r="EV395" s="73" t="str">
        <f t="shared" si="247"/>
        <v>No requiere</v>
      </c>
      <c r="EW395" s="73" t="str">
        <f t="shared" si="248"/>
        <v>No requiere</v>
      </c>
      <c r="EX395" s="78"/>
      <c r="EY395" s="78"/>
    </row>
    <row r="396" spans="1:155" ht="46.5" customHeight="1">
      <c r="A396" s="79">
        <v>392</v>
      </c>
      <c r="B396" s="80" t="s">
        <v>2770</v>
      </c>
      <c r="C396" s="81">
        <v>45418</v>
      </c>
      <c r="D396" s="82">
        <v>0.70833333333333337</v>
      </c>
      <c r="E396" s="79" t="s">
        <v>200</v>
      </c>
      <c r="F396" s="79" t="s">
        <v>153</v>
      </c>
      <c r="G396" s="79" t="s">
        <v>152</v>
      </c>
      <c r="H396" s="79" t="s">
        <v>152</v>
      </c>
      <c r="I396" s="79" t="s">
        <v>152</v>
      </c>
      <c r="J396" s="79" t="s">
        <v>211</v>
      </c>
      <c r="K396" s="79" t="s">
        <v>202</v>
      </c>
      <c r="L396" s="80" t="s">
        <v>2911</v>
      </c>
      <c r="M396" s="80" t="s">
        <v>624</v>
      </c>
      <c r="N396" s="79" t="s">
        <v>253</v>
      </c>
      <c r="O396" s="80" t="str">
        <f t="shared" si="236"/>
        <v>PENDIENTE</v>
      </c>
      <c r="P396" s="79" t="s">
        <v>196</v>
      </c>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t="s">
        <v>230</v>
      </c>
      <c r="AP396" s="79" t="s">
        <v>242</v>
      </c>
      <c r="AQ396" s="80" t="s">
        <v>1511</v>
      </c>
      <c r="AR396" s="83">
        <v>3188799909</v>
      </c>
      <c r="AS396" s="80" t="s">
        <v>682</v>
      </c>
      <c r="AT396" s="80" t="str">
        <f t="shared" si="237"/>
        <v>Distrital</v>
      </c>
      <c r="AU396" s="79" t="s">
        <v>172</v>
      </c>
      <c r="AV396" s="79"/>
      <c r="AW396" s="79"/>
      <c r="AX396" s="79"/>
      <c r="AY396" s="79"/>
      <c r="AZ396" s="79"/>
      <c r="BA396" s="80" t="str">
        <f t="shared" si="238"/>
        <v>Distrital</v>
      </c>
      <c r="BB396" s="79" t="s">
        <v>172</v>
      </c>
      <c r="BC396" s="79"/>
      <c r="BD396" s="79"/>
      <c r="BE396" s="79"/>
      <c r="BF396" s="79"/>
      <c r="BG396" s="79"/>
      <c r="BH396" s="80" t="str">
        <f t="shared" si="239"/>
        <v>Distrital</v>
      </c>
      <c r="BI396" s="79" t="s">
        <v>172</v>
      </c>
      <c r="BJ396" s="79"/>
      <c r="BK396" s="79"/>
      <c r="BL396" s="79"/>
      <c r="BM396" s="79"/>
      <c r="BN396" s="79"/>
      <c r="BO396" s="79"/>
      <c r="BP396" s="79"/>
      <c r="BQ396" s="79"/>
      <c r="BR396" s="79"/>
      <c r="BS396" s="80" t="s">
        <v>288</v>
      </c>
      <c r="BT396" s="80" t="s">
        <v>174</v>
      </c>
      <c r="BU396" s="89" t="s">
        <v>2912</v>
      </c>
      <c r="BV396" s="71"/>
      <c r="BW396" s="79" t="s">
        <v>152</v>
      </c>
      <c r="BX396" s="79" t="s">
        <v>179</v>
      </c>
      <c r="BY396" s="71"/>
      <c r="BZ396" s="79">
        <v>64</v>
      </c>
      <c r="CA396" s="79">
        <v>2</v>
      </c>
      <c r="CB396" s="79">
        <f t="shared" si="223"/>
        <v>66</v>
      </c>
      <c r="CC396" s="79" t="str">
        <f t="shared" si="227"/>
        <v>No Aplica</v>
      </c>
      <c r="CD396" s="79" t="s">
        <v>177</v>
      </c>
      <c r="CE396" s="79"/>
      <c r="CF396" s="79"/>
      <c r="CG396" s="83" t="s">
        <v>2913</v>
      </c>
      <c r="CH396" s="41"/>
      <c r="CI396" s="79" t="s">
        <v>153</v>
      </c>
      <c r="CJ396" s="71"/>
      <c r="CK396" s="79">
        <f t="shared" si="177"/>
        <v>0</v>
      </c>
      <c r="CL396" s="79"/>
      <c r="CM396" s="79"/>
      <c r="CN396" s="79"/>
      <c r="CO396" s="79"/>
      <c r="CP396" s="79"/>
      <c r="CQ396" s="79"/>
      <c r="CR396" s="83" t="s">
        <v>179</v>
      </c>
      <c r="CS396" s="83" t="s">
        <v>179</v>
      </c>
      <c r="CT396" s="83" t="s">
        <v>179</v>
      </c>
      <c r="CU396" s="83" t="s">
        <v>179</v>
      </c>
      <c r="CV396" s="83" t="s">
        <v>179</v>
      </c>
      <c r="CW396" s="83" t="s">
        <v>179</v>
      </c>
      <c r="CX396" s="79" t="s">
        <v>153</v>
      </c>
      <c r="CY396" s="79">
        <f t="shared" si="249"/>
        <v>0</v>
      </c>
      <c r="CZ396" s="79">
        <v>0</v>
      </c>
      <c r="DA396" s="79">
        <f t="shared" si="250"/>
        <v>0</v>
      </c>
      <c r="DB396" s="84" t="str">
        <f t="shared" si="251"/>
        <v/>
      </c>
      <c r="DC396" s="41"/>
      <c r="DD396" s="79" t="s">
        <v>153</v>
      </c>
      <c r="DE396" s="71"/>
      <c r="DF396" s="85" t="s">
        <v>2914</v>
      </c>
      <c r="DG396" s="79">
        <v>386</v>
      </c>
      <c r="DH396" s="86" t="str">
        <f t="shared" si="234"/>
        <v>Completo</v>
      </c>
      <c r="DI396" s="79" t="s">
        <v>181</v>
      </c>
      <c r="DJ396" s="79" t="s">
        <v>182</v>
      </c>
      <c r="DK396" s="79"/>
      <c r="DL396" s="79">
        <v>0</v>
      </c>
      <c r="DM396" s="79">
        <v>0</v>
      </c>
      <c r="DN396" s="79" t="s">
        <v>182</v>
      </c>
      <c r="DO396" s="79"/>
      <c r="DP396" s="79"/>
      <c r="DQ396" s="79"/>
      <c r="DR396" s="75" t="str">
        <f t="shared" si="240"/>
        <v>No aplica</v>
      </c>
      <c r="DS396" s="79"/>
      <c r="DT396" s="79"/>
      <c r="DU396" s="75" t="str">
        <f t="shared" si="241"/>
        <v>No aplica</v>
      </c>
      <c r="DV396" s="79" t="s">
        <v>182</v>
      </c>
      <c r="DW396" s="79" t="s">
        <v>182</v>
      </c>
      <c r="DX396" s="79"/>
      <c r="DY396" s="79"/>
      <c r="DZ396" s="79"/>
      <c r="EA396" s="79"/>
      <c r="EB396" s="79"/>
      <c r="EC396" s="79"/>
      <c r="ED396" s="79" t="s">
        <v>2915</v>
      </c>
      <c r="EE396" s="79" t="str">
        <f t="shared" si="252"/>
        <v>Completo</v>
      </c>
      <c r="EF396" s="41"/>
      <c r="EG396" s="79" t="s">
        <v>153</v>
      </c>
      <c r="EH396" s="71"/>
      <c r="EI396" s="80"/>
      <c r="EJ396" s="71"/>
      <c r="EK396" s="79"/>
      <c r="EL396" s="76" t="str">
        <f t="shared" si="242"/>
        <v>No requiere</v>
      </c>
      <c r="EM396" s="76" t="str">
        <f t="shared" si="243"/>
        <v>No requiere</v>
      </c>
      <c r="EN396" s="76" t="str">
        <f t="shared" si="228"/>
        <v>No requiere</v>
      </c>
      <c r="EO396" s="71"/>
      <c r="EP396" s="73" t="str">
        <f t="shared" si="244"/>
        <v>No requiere</v>
      </c>
      <c r="EQ396" s="77" t="str">
        <f t="shared" si="245"/>
        <v>No requiere</v>
      </c>
      <c r="ER396" s="71"/>
      <c r="ES396" s="79"/>
      <c r="ET396" s="73" t="str">
        <f t="shared" si="246"/>
        <v>No requiere</v>
      </c>
      <c r="EU396" s="73" t="str">
        <f t="shared" si="229"/>
        <v>No requiere</v>
      </c>
      <c r="EV396" s="73" t="str">
        <f t="shared" si="247"/>
        <v>No requiere</v>
      </c>
      <c r="EW396" s="73" t="str">
        <f t="shared" si="248"/>
        <v>No requiere</v>
      </c>
      <c r="EX396" s="78"/>
      <c r="EY396" s="78"/>
    </row>
    <row r="397" spans="1:155" ht="46.5" customHeight="1">
      <c r="A397" s="79">
        <v>393</v>
      </c>
      <c r="B397" s="80" t="s">
        <v>2916</v>
      </c>
      <c r="C397" s="81">
        <v>45419</v>
      </c>
      <c r="D397" s="82">
        <v>0.375</v>
      </c>
      <c r="E397" s="79" t="s">
        <v>151</v>
      </c>
      <c r="F397" s="79" t="s">
        <v>153</v>
      </c>
      <c r="G397" s="79" t="s">
        <v>153</v>
      </c>
      <c r="H397" s="79" t="s">
        <v>153</v>
      </c>
      <c r="I397" s="79" t="s">
        <v>152</v>
      </c>
      <c r="J397" s="79" t="s">
        <v>154</v>
      </c>
      <c r="K397" s="79" t="s">
        <v>155</v>
      </c>
      <c r="L397" s="80" t="s">
        <v>2596</v>
      </c>
      <c r="M397" s="80" t="s">
        <v>303</v>
      </c>
      <c r="N397" s="79" t="s">
        <v>422</v>
      </c>
      <c r="O397" s="80" t="str">
        <f t="shared" si="236"/>
        <v>Reinaldo Terrios Andrade, Andres Castro Latorre</v>
      </c>
      <c r="P397" s="79" t="s">
        <v>675</v>
      </c>
      <c r="Q397" s="79" t="s">
        <v>749</v>
      </c>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t="s">
        <v>169</v>
      </c>
      <c r="AP397" s="79" t="s">
        <v>475</v>
      </c>
      <c r="AQ397" s="80" t="s">
        <v>2739</v>
      </c>
      <c r="AR397" s="83">
        <v>3105844361</v>
      </c>
      <c r="AS397" s="80" t="s">
        <v>2740</v>
      </c>
      <c r="AT397" s="80" t="str">
        <f t="shared" si="237"/>
        <v>Distrital</v>
      </c>
      <c r="AU397" s="79" t="s">
        <v>172</v>
      </c>
      <c r="AV397" s="79"/>
      <c r="AW397" s="79"/>
      <c r="AX397" s="79"/>
      <c r="AY397" s="79"/>
      <c r="AZ397" s="79"/>
      <c r="BA397" s="80" t="str">
        <f t="shared" si="238"/>
        <v>Distrital</v>
      </c>
      <c r="BB397" s="79" t="s">
        <v>172</v>
      </c>
      <c r="BC397" s="79"/>
      <c r="BD397" s="79"/>
      <c r="BE397" s="79"/>
      <c r="BF397" s="79"/>
      <c r="BG397" s="79"/>
      <c r="BH397" s="80" t="str">
        <f t="shared" si="239"/>
        <v>Distrital</v>
      </c>
      <c r="BI397" s="79" t="s">
        <v>172</v>
      </c>
      <c r="BJ397" s="79"/>
      <c r="BK397" s="79"/>
      <c r="BL397" s="79"/>
      <c r="BM397" s="79"/>
      <c r="BN397" s="79"/>
      <c r="BO397" s="79"/>
      <c r="BP397" s="79"/>
      <c r="BQ397" s="79"/>
      <c r="BR397" s="79"/>
      <c r="BS397" s="80" t="s">
        <v>2598</v>
      </c>
      <c r="BT397" s="80" t="s">
        <v>174</v>
      </c>
      <c r="BU397" s="80" t="s">
        <v>2599</v>
      </c>
      <c r="BV397" s="71"/>
      <c r="BW397" s="79" t="s">
        <v>153</v>
      </c>
      <c r="BX397" s="79" t="s">
        <v>2600</v>
      </c>
      <c r="BY397" s="71"/>
      <c r="BZ397" s="79">
        <v>8</v>
      </c>
      <c r="CA397" s="79">
        <v>5</v>
      </c>
      <c r="CB397" s="79">
        <f t="shared" si="223"/>
        <v>13</v>
      </c>
      <c r="CC397" s="79" t="str">
        <f t="shared" si="227"/>
        <v>Ninguna</v>
      </c>
      <c r="CD397" s="79" t="s">
        <v>174</v>
      </c>
      <c r="CE397" s="79"/>
      <c r="CF397" s="79"/>
      <c r="CG397" s="83" t="s">
        <v>2917</v>
      </c>
      <c r="CH397" s="41"/>
      <c r="CI397" s="79" t="s">
        <v>153</v>
      </c>
      <c r="CJ397" s="71"/>
      <c r="CK397" s="79">
        <f t="shared" si="177"/>
        <v>1</v>
      </c>
      <c r="CL397" s="79" t="s">
        <v>389</v>
      </c>
      <c r="CM397" s="79"/>
      <c r="CN397" s="79"/>
      <c r="CO397" s="79"/>
      <c r="CP397" s="79"/>
      <c r="CQ397" s="79"/>
      <c r="CR397" s="83" t="s">
        <v>390</v>
      </c>
      <c r="CS397" s="83" t="s">
        <v>179</v>
      </c>
      <c r="CT397" s="83" t="s">
        <v>179</v>
      </c>
      <c r="CU397" s="83" t="s">
        <v>179</v>
      </c>
      <c r="CV397" s="83" t="s">
        <v>179</v>
      </c>
      <c r="CW397" s="83" t="s">
        <v>179</v>
      </c>
      <c r="CX397" s="79" t="s">
        <v>153</v>
      </c>
      <c r="CY397" s="79">
        <v>0</v>
      </c>
      <c r="CZ397" s="79">
        <v>1</v>
      </c>
      <c r="DA397" s="79">
        <v>0</v>
      </c>
      <c r="DB397" s="84">
        <f>IFERROR(CY397/CK397,"")</f>
        <v>0</v>
      </c>
      <c r="DC397" s="41"/>
      <c r="DD397" s="79" t="s">
        <v>153</v>
      </c>
      <c r="DE397" s="71"/>
      <c r="DF397" s="85" t="s">
        <v>2918</v>
      </c>
      <c r="DG397" s="79">
        <v>387</v>
      </c>
      <c r="DH397" s="86">
        <v>45421</v>
      </c>
      <c r="DI397" s="79" t="s">
        <v>181</v>
      </c>
      <c r="DJ397" s="79" t="s">
        <v>182</v>
      </c>
      <c r="DK397" s="79" t="s">
        <v>153</v>
      </c>
      <c r="DL397" s="79">
        <v>4</v>
      </c>
      <c r="DM397" s="79">
        <v>4</v>
      </c>
      <c r="DN397" s="79" t="s">
        <v>182</v>
      </c>
      <c r="DO397" s="79" t="s">
        <v>179</v>
      </c>
      <c r="DP397" s="79" t="s">
        <v>182</v>
      </c>
      <c r="DQ397" s="79">
        <v>1</v>
      </c>
      <c r="DR397" s="75">
        <f t="shared" si="240"/>
        <v>0.41666666666666669</v>
      </c>
      <c r="DS397" s="79" t="s">
        <v>191</v>
      </c>
      <c r="DT397" s="79">
        <v>0</v>
      </c>
      <c r="DU397" s="75">
        <f t="shared" si="241"/>
        <v>0</v>
      </c>
      <c r="DV397" s="79" t="s">
        <v>182</v>
      </c>
      <c r="DW397" s="79" t="s">
        <v>182</v>
      </c>
      <c r="DX397" s="79">
        <v>1</v>
      </c>
      <c r="DY397" s="79">
        <v>0</v>
      </c>
      <c r="DZ397" s="79"/>
      <c r="EA397" s="79" t="s">
        <v>179</v>
      </c>
      <c r="EB397" s="79" t="s">
        <v>182</v>
      </c>
      <c r="EC397" s="79" t="s">
        <v>2919</v>
      </c>
      <c r="ED397" s="79" t="s">
        <v>184</v>
      </c>
      <c r="EE397" s="79" t="s">
        <v>621</v>
      </c>
      <c r="EF397" s="41"/>
      <c r="EG397" s="79" t="s">
        <v>153</v>
      </c>
      <c r="EH397" s="71"/>
      <c r="EI397" s="89" t="s">
        <v>2920</v>
      </c>
      <c r="EJ397" s="71"/>
      <c r="EK397" s="79" t="s">
        <v>409</v>
      </c>
      <c r="EL397" s="76" t="str">
        <f t="shared" si="242"/>
        <v>No</v>
      </c>
      <c r="EM397" s="76" t="str">
        <f t="shared" si="243"/>
        <v>No</v>
      </c>
      <c r="EN397" s="76" t="str">
        <f t="shared" si="228"/>
        <v>No</v>
      </c>
      <c r="EO397" s="71"/>
      <c r="EP397" s="73">
        <f t="shared" si="244"/>
        <v>1</v>
      </c>
      <c r="EQ397" s="77">
        <f t="shared" si="245"/>
        <v>0</v>
      </c>
      <c r="ER397" s="71"/>
      <c r="ES397" s="79" t="s">
        <v>409</v>
      </c>
      <c r="ET397" s="73">
        <f t="shared" si="246"/>
        <v>0.83333333333333337</v>
      </c>
      <c r="EU397" s="73">
        <f t="shared" si="229"/>
        <v>0</v>
      </c>
      <c r="EV397" s="73">
        <f t="shared" si="247"/>
        <v>0</v>
      </c>
      <c r="EW397" s="73" t="str">
        <f t="shared" si="248"/>
        <v>No aplica</v>
      </c>
      <c r="EX397" s="78"/>
      <c r="EY397" s="78"/>
    </row>
    <row r="398" spans="1:155" ht="46.5" customHeight="1">
      <c r="A398" s="79">
        <v>394</v>
      </c>
      <c r="B398" s="80" t="s">
        <v>2843</v>
      </c>
      <c r="C398" s="81">
        <v>45419</v>
      </c>
      <c r="D398" s="82">
        <v>0.375</v>
      </c>
      <c r="E398" s="79" t="s">
        <v>151</v>
      </c>
      <c r="F398" s="79" t="s">
        <v>153</v>
      </c>
      <c r="G398" s="79" t="s">
        <v>152</v>
      </c>
      <c r="H398" s="79" t="s">
        <v>152</v>
      </c>
      <c r="I398" s="79" t="s">
        <v>152</v>
      </c>
      <c r="J398" s="79" t="s">
        <v>154</v>
      </c>
      <c r="K398" s="79" t="s">
        <v>155</v>
      </c>
      <c r="L398" s="80" t="s">
        <v>2844</v>
      </c>
      <c r="M398" s="80" t="s">
        <v>303</v>
      </c>
      <c r="N398" s="79" t="s">
        <v>820</v>
      </c>
      <c r="O398" s="80" t="str">
        <f t="shared" si="236"/>
        <v>Joan Sebastian García, Juan Pablo Serna, Luis Fernando Barreto , Manuel Fernando Vergara</v>
      </c>
      <c r="P398" s="79" t="s">
        <v>728</v>
      </c>
      <c r="Q398" s="79" t="s">
        <v>818</v>
      </c>
      <c r="R398" s="79" t="s">
        <v>720</v>
      </c>
      <c r="S398" s="79" t="s">
        <v>820</v>
      </c>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t="s">
        <v>169</v>
      </c>
      <c r="AP398" s="79" t="s">
        <v>475</v>
      </c>
      <c r="AQ398" s="80" t="s">
        <v>171</v>
      </c>
      <c r="AR398" s="83" t="s">
        <v>171</v>
      </c>
      <c r="AS398" s="80" t="s">
        <v>171</v>
      </c>
      <c r="AT398" s="80" t="str">
        <f t="shared" si="237"/>
        <v>Distrital</v>
      </c>
      <c r="AU398" s="79" t="s">
        <v>172</v>
      </c>
      <c r="AV398" s="79"/>
      <c r="AW398" s="79"/>
      <c r="AX398" s="79"/>
      <c r="AY398" s="79"/>
      <c r="AZ398" s="79"/>
      <c r="BA398" s="80" t="str">
        <f t="shared" si="238"/>
        <v>Distrital</v>
      </c>
      <c r="BB398" s="79" t="s">
        <v>172</v>
      </c>
      <c r="BC398" s="79"/>
      <c r="BD398" s="79"/>
      <c r="BE398" s="79"/>
      <c r="BF398" s="79"/>
      <c r="BG398" s="79"/>
      <c r="BH398" s="80" t="str">
        <f t="shared" si="239"/>
        <v>Distrital</v>
      </c>
      <c r="BI398" s="79" t="s">
        <v>172</v>
      </c>
      <c r="BJ398" s="79"/>
      <c r="BK398" s="79"/>
      <c r="BL398" s="79"/>
      <c r="BM398" s="79"/>
      <c r="BN398" s="79"/>
      <c r="BO398" s="79"/>
      <c r="BP398" s="79"/>
      <c r="BQ398" s="79"/>
      <c r="BR398" s="79"/>
      <c r="BS398" s="80" t="s">
        <v>2598</v>
      </c>
      <c r="BT398" s="80" t="s">
        <v>174</v>
      </c>
      <c r="BU398" s="80" t="s">
        <v>2599</v>
      </c>
      <c r="BV398" s="71"/>
      <c r="BW398" s="79" t="s">
        <v>153</v>
      </c>
      <c r="BX398" s="79" t="s">
        <v>2600</v>
      </c>
      <c r="BY398" s="71"/>
      <c r="BZ398" s="79">
        <v>100</v>
      </c>
      <c r="CA398" s="79">
        <v>4</v>
      </c>
      <c r="CB398" s="79">
        <f t="shared" si="223"/>
        <v>104</v>
      </c>
      <c r="CC398" s="79" t="str">
        <f t="shared" si="227"/>
        <v>No Aplica</v>
      </c>
      <c r="CD398" s="79" t="s">
        <v>177</v>
      </c>
      <c r="CE398" s="79"/>
      <c r="CF398" s="79"/>
      <c r="CG398" s="83" t="s">
        <v>2921</v>
      </c>
      <c r="CH398" s="41"/>
      <c r="CI398" s="79" t="s">
        <v>153</v>
      </c>
      <c r="CJ398" s="71"/>
      <c r="CK398" s="79">
        <f t="shared" si="177"/>
        <v>0</v>
      </c>
      <c r="CL398" s="79"/>
      <c r="CM398" s="79"/>
      <c r="CN398" s="79"/>
      <c r="CO398" s="79"/>
      <c r="CP398" s="79"/>
      <c r="CQ398" s="79"/>
      <c r="CR398" s="83" t="s">
        <v>179</v>
      </c>
      <c r="CS398" s="83" t="s">
        <v>179</v>
      </c>
      <c r="CT398" s="83" t="s">
        <v>179</v>
      </c>
      <c r="CU398" s="83" t="s">
        <v>179</v>
      </c>
      <c r="CV398" s="83" t="s">
        <v>179</v>
      </c>
      <c r="CW398" s="83" t="s">
        <v>179</v>
      </c>
      <c r="CX398" s="79" t="s">
        <v>153</v>
      </c>
      <c r="CY398" s="79">
        <f t="shared" ref="CY398:CY415" si="253">SUM(COUNTIF(CR398:CW398,"Realizado y Devuelto a la Ciudadanía"),COUNTIF(CR398:CW398,"Realizado y Trasladado por competencia"), COUNTIF(CR398:CW398,"Realizado y Gestionado"))</f>
        <v>0</v>
      </c>
      <c r="CZ398" s="79">
        <v>0</v>
      </c>
      <c r="DA398" s="79">
        <f t="shared" ref="DA398:DA415" si="254">COUNTIF(CR398:CW398,"Realizado y Devuelto a la Ciudadanía")</f>
        <v>0</v>
      </c>
      <c r="DB398" s="84" t="str">
        <f t="shared" ref="DB398:DB402" si="255">IFERROR(CY398/CK398,"")</f>
        <v/>
      </c>
      <c r="DC398" s="41"/>
      <c r="DD398" s="79" t="s">
        <v>153</v>
      </c>
      <c r="DE398" s="71"/>
      <c r="DF398" s="85" t="s">
        <v>2922</v>
      </c>
      <c r="DG398" s="79">
        <v>388</v>
      </c>
      <c r="DH398" s="86">
        <f t="shared" ref="DH398:DH413" si="256">IF(EE398="Por completar",C398+3,"Completo")</f>
        <v>45422</v>
      </c>
      <c r="DI398" s="79" t="s">
        <v>181</v>
      </c>
      <c r="DJ398" s="79" t="s">
        <v>182</v>
      </c>
      <c r="DK398" s="79"/>
      <c r="DL398" s="79">
        <v>0</v>
      </c>
      <c r="DM398" s="79">
        <v>0</v>
      </c>
      <c r="DN398" s="79" t="s">
        <v>182</v>
      </c>
      <c r="DO398" s="79"/>
      <c r="DP398" s="79"/>
      <c r="DQ398" s="79"/>
      <c r="DR398" s="75" t="str">
        <f t="shared" si="240"/>
        <v>No aplica</v>
      </c>
      <c r="DS398" s="79"/>
      <c r="DT398" s="79"/>
      <c r="DU398" s="75" t="str">
        <f t="shared" si="241"/>
        <v>No aplica</v>
      </c>
      <c r="DV398" s="79" t="s">
        <v>182</v>
      </c>
      <c r="DW398" s="79" t="s">
        <v>179</v>
      </c>
      <c r="DX398" s="79"/>
      <c r="DY398" s="79"/>
      <c r="DZ398" s="79"/>
      <c r="EA398" s="79"/>
      <c r="EB398" s="79" t="s">
        <v>182</v>
      </c>
      <c r="EC398" s="79" t="s">
        <v>2923</v>
      </c>
      <c r="ED398" s="79" t="s">
        <v>184</v>
      </c>
      <c r="EE398" s="79" t="s">
        <v>621</v>
      </c>
      <c r="EF398" s="41"/>
      <c r="EG398" s="79" t="s">
        <v>153</v>
      </c>
      <c r="EH398" s="71"/>
      <c r="EI398" s="80"/>
      <c r="EJ398" s="71"/>
      <c r="EK398" s="79"/>
      <c r="EL398" s="76" t="str">
        <f t="shared" si="242"/>
        <v>No requiere</v>
      </c>
      <c r="EM398" s="76" t="str">
        <f t="shared" si="243"/>
        <v>No requiere</v>
      </c>
      <c r="EN398" s="76" t="str">
        <f t="shared" si="228"/>
        <v>No requiere</v>
      </c>
      <c r="EO398" s="71"/>
      <c r="EP398" s="73" t="str">
        <f t="shared" si="244"/>
        <v>No requiere</v>
      </c>
      <c r="EQ398" s="77" t="str">
        <f t="shared" si="245"/>
        <v>No requiere</v>
      </c>
      <c r="ER398" s="71"/>
      <c r="ES398" s="79"/>
      <c r="ET398" s="73" t="str">
        <f t="shared" si="246"/>
        <v>No requiere</v>
      </c>
      <c r="EU398" s="73" t="str">
        <f t="shared" si="229"/>
        <v>No requiere</v>
      </c>
      <c r="EV398" s="73" t="str">
        <f t="shared" si="247"/>
        <v>No requiere</v>
      </c>
      <c r="EW398" s="73" t="str">
        <f t="shared" si="248"/>
        <v>No requiere</v>
      </c>
      <c r="EX398" s="78"/>
      <c r="EY398" s="78"/>
    </row>
    <row r="399" spans="1:155" ht="46.5" customHeight="1">
      <c r="A399" s="79">
        <v>395</v>
      </c>
      <c r="B399" s="80" t="s">
        <v>2924</v>
      </c>
      <c r="C399" s="81">
        <v>45419</v>
      </c>
      <c r="D399" s="82">
        <v>0.4375</v>
      </c>
      <c r="E399" s="79" t="s">
        <v>200</v>
      </c>
      <c r="F399" s="79" t="s">
        <v>153</v>
      </c>
      <c r="G399" s="79" t="s">
        <v>152</v>
      </c>
      <c r="H399" s="79" t="s">
        <v>152</v>
      </c>
      <c r="I399" s="79" t="s">
        <v>152</v>
      </c>
      <c r="J399" s="79" t="s">
        <v>504</v>
      </c>
      <c r="K399" s="79" t="s">
        <v>155</v>
      </c>
      <c r="L399" s="80" t="s">
        <v>1632</v>
      </c>
      <c r="M399" s="80" t="s">
        <v>157</v>
      </c>
      <c r="N399" s="79" t="s">
        <v>632</v>
      </c>
      <c r="O399" s="80" t="str">
        <f t="shared" si="236"/>
        <v/>
      </c>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t="s">
        <v>169</v>
      </c>
      <c r="AP399" s="79" t="s">
        <v>2702</v>
      </c>
      <c r="AQ399" s="80" t="s">
        <v>2925</v>
      </c>
      <c r="AR399" s="83">
        <v>3103111780</v>
      </c>
      <c r="AS399" s="80" t="s">
        <v>2926</v>
      </c>
      <c r="AT399" s="80" t="str">
        <f t="shared" si="237"/>
        <v>Santa Fe</v>
      </c>
      <c r="AU399" s="79" t="s">
        <v>822</v>
      </c>
      <c r="AV399" s="79"/>
      <c r="AW399" s="79"/>
      <c r="AX399" s="79"/>
      <c r="AY399" s="79"/>
      <c r="AZ399" s="79"/>
      <c r="BA399" s="80" t="str">
        <f t="shared" si="238"/>
        <v>Centro Ampliado, Ruralidad</v>
      </c>
      <c r="BB399" s="79" t="s">
        <v>636</v>
      </c>
      <c r="BC399" s="79" t="s">
        <v>219</v>
      </c>
      <c r="BD399" s="79"/>
      <c r="BE399" s="79"/>
      <c r="BF399" s="79"/>
      <c r="BG399" s="79"/>
      <c r="BH399" s="80" t="str">
        <f t="shared" si="239"/>
        <v>Centro Histórico, Cerros Orientales</v>
      </c>
      <c r="BI399" s="79" t="s">
        <v>754</v>
      </c>
      <c r="BJ399" s="79" t="s">
        <v>361</v>
      </c>
      <c r="BK399" s="79"/>
      <c r="BL399" s="79"/>
      <c r="BM399" s="79"/>
      <c r="BN399" s="79"/>
      <c r="BO399" s="79"/>
      <c r="BP399" s="79"/>
      <c r="BQ399" s="79"/>
      <c r="BR399" s="79"/>
      <c r="BS399" s="80" t="s">
        <v>2453</v>
      </c>
      <c r="BT399" s="80" t="s">
        <v>174</v>
      </c>
      <c r="BU399" s="80" t="s">
        <v>2927</v>
      </c>
      <c r="BV399" s="71"/>
      <c r="BW399" s="79" t="s">
        <v>152</v>
      </c>
      <c r="BX399" s="79" t="s">
        <v>179</v>
      </c>
      <c r="BY399" s="71"/>
      <c r="BZ399" s="79">
        <v>19</v>
      </c>
      <c r="CA399" s="79">
        <v>1</v>
      </c>
      <c r="CB399" s="79">
        <f t="shared" si="223"/>
        <v>20</v>
      </c>
      <c r="CC399" s="79" t="str">
        <f t="shared" si="227"/>
        <v>No Aplica</v>
      </c>
      <c r="CD399" s="79" t="s">
        <v>177</v>
      </c>
      <c r="CE399" s="79"/>
      <c r="CF399" s="79"/>
      <c r="CG399" s="83" t="s">
        <v>2928</v>
      </c>
      <c r="CH399" s="41"/>
      <c r="CI399" s="79" t="s">
        <v>153</v>
      </c>
      <c r="CJ399" s="71"/>
      <c r="CK399" s="79">
        <f t="shared" si="177"/>
        <v>0</v>
      </c>
      <c r="CL399" s="79"/>
      <c r="CM399" s="79"/>
      <c r="CN399" s="79"/>
      <c r="CO399" s="79"/>
      <c r="CP399" s="79"/>
      <c r="CQ399" s="79"/>
      <c r="CR399" s="83" t="s">
        <v>179</v>
      </c>
      <c r="CS399" s="83" t="s">
        <v>179</v>
      </c>
      <c r="CT399" s="83" t="s">
        <v>179</v>
      </c>
      <c r="CU399" s="83" t="s">
        <v>179</v>
      </c>
      <c r="CV399" s="83" t="s">
        <v>179</v>
      </c>
      <c r="CW399" s="83" t="s">
        <v>179</v>
      </c>
      <c r="CX399" s="79" t="s">
        <v>153</v>
      </c>
      <c r="CY399" s="79">
        <f t="shared" si="253"/>
        <v>0</v>
      </c>
      <c r="CZ399" s="79">
        <v>0</v>
      </c>
      <c r="DA399" s="79">
        <f t="shared" si="254"/>
        <v>0</v>
      </c>
      <c r="DB399" s="84" t="str">
        <f t="shared" si="255"/>
        <v/>
      </c>
      <c r="DC399" s="41"/>
      <c r="DD399" s="79" t="s">
        <v>153</v>
      </c>
      <c r="DE399" s="71"/>
      <c r="DF399" s="85" t="s">
        <v>2929</v>
      </c>
      <c r="DG399" s="79">
        <v>389</v>
      </c>
      <c r="DH399" s="86" t="str">
        <f t="shared" si="256"/>
        <v>Completo</v>
      </c>
      <c r="DI399" s="79" t="s">
        <v>181</v>
      </c>
      <c r="DJ399" s="79" t="s">
        <v>182</v>
      </c>
      <c r="DK399" s="79"/>
      <c r="DL399" s="79">
        <v>0</v>
      </c>
      <c r="DM399" s="79">
        <v>0</v>
      </c>
      <c r="DN399" s="79" t="s">
        <v>182</v>
      </c>
      <c r="DO399" s="79"/>
      <c r="DP399" s="79"/>
      <c r="DQ399" s="79"/>
      <c r="DR399" s="75" t="str">
        <f t="shared" si="240"/>
        <v>No aplica</v>
      </c>
      <c r="DS399" s="79"/>
      <c r="DT399" s="79"/>
      <c r="DU399" s="75" t="str">
        <f t="shared" si="241"/>
        <v>No aplica</v>
      </c>
      <c r="DV399" s="79" t="s">
        <v>182</v>
      </c>
      <c r="DW399" s="79"/>
      <c r="DX399" s="79"/>
      <c r="DY399" s="79"/>
      <c r="DZ399" s="79"/>
      <c r="EA399" s="79"/>
      <c r="EB399" s="79" t="s">
        <v>182</v>
      </c>
      <c r="EC399" s="79" t="s">
        <v>2930</v>
      </c>
      <c r="ED399" s="79" t="s">
        <v>184</v>
      </c>
      <c r="EE399" s="79" t="str">
        <f t="shared" ref="EE399:EE404" si="257">IF(DI399="Subsanado","Completo","Por Completar")</f>
        <v>Completo</v>
      </c>
      <c r="EF399" s="41"/>
      <c r="EG399" s="79" t="s">
        <v>153</v>
      </c>
      <c r="EH399" s="71"/>
      <c r="EI399" s="80"/>
      <c r="EJ399" s="71"/>
      <c r="EK399" s="79"/>
      <c r="EL399" s="76" t="str">
        <f t="shared" si="242"/>
        <v>No requiere</v>
      </c>
      <c r="EM399" s="76" t="str">
        <f t="shared" si="243"/>
        <v>No requiere</v>
      </c>
      <c r="EN399" s="76" t="str">
        <f t="shared" si="228"/>
        <v>No requiere</v>
      </c>
      <c r="EO399" s="71"/>
      <c r="EP399" s="73" t="str">
        <f t="shared" si="244"/>
        <v>No requiere</v>
      </c>
      <c r="EQ399" s="77" t="str">
        <f t="shared" si="245"/>
        <v>No requiere</v>
      </c>
      <c r="ER399" s="71"/>
      <c r="ES399" s="79"/>
      <c r="ET399" s="73" t="str">
        <f t="shared" si="246"/>
        <v>No requiere</v>
      </c>
      <c r="EU399" s="73" t="str">
        <f t="shared" si="229"/>
        <v>No requiere</v>
      </c>
      <c r="EV399" s="73" t="str">
        <f t="shared" si="247"/>
        <v>No requiere</v>
      </c>
      <c r="EW399" s="73" t="str">
        <f t="shared" si="248"/>
        <v>No requiere</v>
      </c>
      <c r="EX399" s="78"/>
      <c r="EY399" s="78"/>
    </row>
    <row r="400" spans="1:155" ht="46.5" customHeight="1">
      <c r="A400" s="79">
        <v>396</v>
      </c>
      <c r="B400" s="80" t="s">
        <v>1645</v>
      </c>
      <c r="C400" s="81">
        <v>45419</v>
      </c>
      <c r="D400" s="82">
        <v>0.58333333333333337</v>
      </c>
      <c r="E400" s="79" t="s">
        <v>200</v>
      </c>
      <c r="F400" s="79" t="s">
        <v>153</v>
      </c>
      <c r="G400" s="79" t="s">
        <v>152</v>
      </c>
      <c r="H400" s="79" t="s">
        <v>152</v>
      </c>
      <c r="I400" s="79" t="s">
        <v>152</v>
      </c>
      <c r="J400" s="79" t="s">
        <v>504</v>
      </c>
      <c r="K400" s="79" t="s">
        <v>155</v>
      </c>
      <c r="L400" s="80" t="s">
        <v>2931</v>
      </c>
      <c r="M400" s="80" t="s">
        <v>157</v>
      </c>
      <c r="N400" s="79" t="s">
        <v>2786</v>
      </c>
      <c r="O400" s="80" t="str">
        <f t="shared" si="236"/>
        <v/>
      </c>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t="s">
        <v>169</v>
      </c>
      <c r="AP400" s="79" t="s">
        <v>2702</v>
      </c>
      <c r="AQ400" s="80" t="s">
        <v>1647</v>
      </c>
      <c r="AR400" s="83">
        <v>3188356139</v>
      </c>
      <c r="AS400" s="80" t="s">
        <v>1648</v>
      </c>
      <c r="AT400" s="80" t="str">
        <f t="shared" si="237"/>
        <v>Fontibón</v>
      </c>
      <c r="AU400" s="79" t="s">
        <v>646</v>
      </c>
      <c r="AV400" s="79"/>
      <c r="AW400" s="79"/>
      <c r="AX400" s="79"/>
      <c r="AY400" s="79"/>
      <c r="AZ400" s="79"/>
      <c r="BA400" s="80" t="str">
        <f t="shared" si="238"/>
        <v>Occidente</v>
      </c>
      <c r="BB400" s="79" t="s">
        <v>235</v>
      </c>
      <c r="BC400" s="79"/>
      <c r="BD400" s="79"/>
      <c r="BE400" s="79"/>
      <c r="BF400" s="79"/>
      <c r="BG400" s="79"/>
      <c r="BH400" s="80" t="str">
        <f t="shared" si="239"/>
        <v>Fontibón, Salitre</v>
      </c>
      <c r="BI400" s="79" t="s">
        <v>646</v>
      </c>
      <c r="BJ400" s="79" t="s">
        <v>415</v>
      </c>
      <c r="BK400" s="79"/>
      <c r="BL400" s="79"/>
      <c r="BM400" s="79"/>
      <c r="BN400" s="79"/>
      <c r="BO400" s="79"/>
      <c r="BP400" s="79"/>
      <c r="BQ400" s="79"/>
      <c r="BR400" s="79"/>
      <c r="BS400" s="80" t="s">
        <v>646</v>
      </c>
      <c r="BT400" s="80" t="s">
        <v>174</v>
      </c>
      <c r="BU400" s="80" t="s">
        <v>2932</v>
      </c>
      <c r="BV400" s="71"/>
      <c r="BW400" s="79" t="s">
        <v>152</v>
      </c>
      <c r="BX400" s="79" t="s">
        <v>179</v>
      </c>
      <c r="BY400" s="71"/>
      <c r="BZ400" s="79">
        <v>22</v>
      </c>
      <c r="CA400" s="79">
        <v>2</v>
      </c>
      <c r="CB400" s="79">
        <f t="shared" si="223"/>
        <v>24</v>
      </c>
      <c r="CC400" s="79" t="str">
        <f t="shared" si="227"/>
        <v>No Aplica</v>
      </c>
      <c r="CD400" s="79" t="s">
        <v>177</v>
      </c>
      <c r="CE400" s="79"/>
      <c r="CF400" s="79"/>
      <c r="CG400" s="83" t="s">
        <v>2933</v>
      </c>
      <c r="CH400" s="41"/>
      <c r="CI400" s="79" t="s">
        <v>153</v>
      </c>
      <c r="CJ400" s="71"/>
      <c r="CK400" s="79">
        <f t="shared" si="177"/>
        <v>0</v>
      </c>
      <c r="CL400" s="79"/>
      <c r="CM400" s="79"/>
      <c r="CN400" s="79"/>
      <c r="CO400" s="79"/>
      <c r="CP400" s="79"/>
      <c r="CQ400" s="79"/>
      <c r="CR400" s="83" t="s">
        <v>179</v>
      </c>
      <c r="CS400" s="83" t="s">
        <v>179</v>
      </c>
      <c r="CT400" s="83" t="s">
        <v>179</v>
      </c>
      <c r="CU400" s="83" t="s">
        <v>179</v>
      </c>
      <c r="CV400" s="83" t="s">
        <v>179</v>
      </c>
      <c r="CW400" s="83" t="s">
        <v>179</v>
      </c>
      <c r="CX400" s="79" t="s">
        <v>153</v>
      </c>
      <c r="CY400" s="79">
        <f t="shared" si="253"/>
        <v>0</v>
      </c>
      <c r="CZ400" s="79">
        <v>0</v>
      </c>
      <c r="DA400" s="79">
        <f t="shared" si="254"/>
        <v>0</v>
      </c>
      <c r="DB400" s="84" t="str">
        <f t="shared" si="255"/>
        <v/>
      </c>
      <c r="DC400" s="41"/>
      <c r="DD400" s="79" t="s">
        <v>153</v>
      </c>
      <c r="DE400" s="71"/>
      <c r="DF400" s="85" t="s">
        <v>2929</v>
      </c>
      <c r="DG400" s="79">
        <v>390</v>
      </c>
      <c r="DH400" s="86" t="str">
        <f t="shared" si="256"/>
        <v>Completo</v>
      </c>
      <c r="DI400" s="79" t="s">
        <v>181</v>
      </c>
      <c r="DJ400" s="79" t="s">
        <v>182</v>
      </c>
      <c r="DK400" s="79"/>
      <c r="DL400" s="79">
        <v>0</v>
      </c>
      <c r="DM400" s="79">
        <v>0</v>
      </c>
      <c r="DN400" s="79" t="s">
        <v>182</v>
      </c>
      <c r="DO400" s="79"/>
      <c r="DP400" s="79"/>
      <c r="DQ400" s="79"/>
      <c r="DR400" s="75" t="str">
        <f t="shared" si="240"/>
        <v>No aplica</v>
      </c>
      <c r="DS400" s="79"/>
      <c r="DT400" s="79"/>
      <c r="DU400" s="75" t="str">
        <f t="shared" si="241"/>
        <v>No aplica</v>
      </c>
      <c r="DV400" s="79" t="s">
        <v>182</v>
      </c>
      <c r="DW400" s="79" t="s">
        <v>182</v>
      </c>
      <c r="DX400" s="79"/>
      <c r="DY400" s="79"/>
      <c r="DZ400" s="79"/>
      <c r="EA400" s="79"/>
      <c r="EB400" s="79" t="s">
        <v>182</v>
      </c>
      <c r="EC400" s="79" t="s">
        <v>2934</v>
      </c>
      <c r="ED400" s="79" t="s">
        <v>184</v>
      </c>
      <c r="EE400" s="79" t="str">
        <f t="shared" si="257"/>
        <v>Completo</v>
      </c>
      <c r="EF400" s="41"/>
      <c r="EG400" s="79" t="s">
        <v>153</v>
      </c>
      <c r="EH400" s="71"/>
      <c r="EI400" s="80"/>
      <c r="EJ400" s="71"/>
      <c r="EK400" s="79"/>
      <c r="EL400" s="76" t="str">
        <f t="shared" si="242"/>
        <v>No requiere</v>
      </c>
      <c r="EM400" s="76" t="str">
        <f t="shared" si="243"/>
        <v>No requiere</v>
      </c>
      <c r="EN400" s="76" t="str">
        <f t="shared" si="228"/>
        <v>No requiere</v>
      </c>
      <c r="EO400" s="71"/>
      <c r="EP400" s="73" t="str">
        <f t="shared" si="244"/>
        <v>No requiere</v>
      </c>
      <c r="EQ400" s="77" t="str">
        <f t="shared" si="245"/>
        <v>No requiere</v>
      </c>
      <c r="ER400" s="71"/>
      <c r="ES400" s="79"/>
      <c r="ET400" s="73" t="str">
        <f t="shared" si="246"/>
        <v>No requiere</v>
      </c>
      <c r="EU400" s="73" t="str">
        <f t="shared" si="229"/>
        <v>No requiere</v>
      </c>
      <c r="EV400" s="73" t="str">
        <f t="shared" si="247"/>
        <v>No requiere</v>
      </c>
      <c r="EW400" s="73" t="str">
        <f t="shared" si="248"/>
        <v>No requiere</v>
      </c>
      <c r="EX400" s="78"/>
      <c r="EY400" s="78"/>
    </row>
    <row r="401" spans="1:155" ht="46.5" customHeight="1">
      <c r="A401" s="79" t="str">
        <v/>
      </c>
      <c r="B401" s="80" t="s">
        <v>2935</v>
      </c>
      <c r="C401" s="81">
        <v>45419</v>
      </c>
      <c r="D401" s="82">
        <v>0.625</v>
      </c>
      <c r="E401" s="79" t="s">
        <v>151</v>
      </c>
      <c r="F401" s="79" t="s">
        <v>152</v>
      </c>
      <c r="G401" s="79" t="s">
        <v>153</v>
      </c>
      <c r="H401" s="79" t="s">
        <v>152</v>
      </c>
      <c r="I401" s="79" t="s">
        <v>153</v>
      </c>
      <c r="J401" s="79" t="s">
        <v>1806</v>
      </c>
      <c r="K401" s="79" t="s">
        <v>155</v>
      </c>
      <c r="L401" s="80" t="s">
        <v>2936</v>
      </c>
      <c r="M401" s="80" t="s">
        <v>157</v>
      </c>
      <c r="N401" s="79" t="s">
        <v>887</v>
      </c>
      <c r="O401" s="80" t="str">
        <f t="shared" si="236"/>
        <v>Diego Alejandro Camacho</v>
      </c>
      <c r="P401" s="79" t="s">
        <v>422</v>
      </c>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t="s">
        <v>169</v>
      </c>
      <c r="AP401" s="79"/>
      <c r="AQ401" s="80" t="s">
        <v>2937</v>
      </c>
      <c r="AR401" s="83">
        <v>3173738376</v>
      </c>
      <c r="AS401" s="80" t="s">
        <v>2938</v>
      </c>
      <c r="AT401" s="80" t="str">
        <f t="shared" si="237"/>
        <v>Distrital</v>
      </c>
      <c r="AU401" s="79" t="s">
        <v>172</v>
      </c>
      <c r="AV401" s="79"/>
      <c r="AW401" s="79"/>
      <c r="AX401" s="79"/>
      <c r="AY401" s="79"/>
      <c r="AZ401" s="79"/>
      <c r="BA401" s="80" t="str">
        <f t="shared" si="238"/>
        <v>Distrital</v>
      </c>
      <c r="BB401" s="79" t="s">
        <v>172</v>
      </c>
      <c r="BC401" s="79"/>
      <c r="BD401" s="79"/>
      <c r="BE401" s="79"/>
      <c r="BF401" s="79"/>
      <c r="BG401" s="79"/>
      <c r="BH401" s="80" t="str">
        <f t="shared" si="239"/>
        <v>Distrital</v>
      </c>
      <c r="BI401" s="79" t="s">
        <v>172</v>
      </c>
      <c r="BJ401" s="79"/>
      <c r="BK401" s="79"/>
      <c r="BL401" s="79"/>
      <c r="BM401" s="79"/>
      <c r="BN401" s="79"/>
      <c r="BO401" s="79"/>
      <c r="BP401" s="79"/>
      <c r="BQ401" s="79"/>
      <c r="BR401" s="79"/>
      <c r="BS401" s="80" t="s">
        <v>288</v>
      </c>
      <c r="BT401" s="80" t="s">
        <v>174</v>
      </c>
      <c r="BU401" s="80" t="s">
        <v>2939</v>
      </c>
      <c r="BV401" s="71"/>
      <c r="BW401" s="79" t="s">
        <v>152</v>
      </c>
      <c r="BX401" s="79" t="s">
        <v>179</v>
      </c>
      <c r="BY401" s="71"/>
      <c r="BZ401" s="79">
        <v>6</v>
      </c>
      <c r="CA401" s="79">
        <v>2</v>
      </c>
      <c r="CB401" s="79">
        <f t="shared" si="223"/>
        <v>8</v>
      </c>
      <c r="CC401" s="79" t="str">
        <f t="shared" si="227"/>
        <v>No Aplica</v>
      </c>
      <c r="CD401" s="79" t="s">
        <v>177</v>
      </c>
      <c r="CE401" s="79"/>
      <c r="CF401" s="79"/>
      <c r="CG401" s="83" t="s">
        <v>2940</v>
      </c>
      <c r="CH401" s="41"/>
      <c r="CI401" s="79" t="s">
        <v>153</v>
      </c>
      <c r="CJ401" s="71"/>
      <c r="CK401" s="79">
        <f t="shared" si="177"/>
        <v>0</v>
      </c>
      <c r="CL401" s="79"/>
      <c r="CM401" s="79"/>
      <c r="CN401" s="79"/>
      <c r="CO401" s="79"/>
      <c r="CP401" s="79"/>
      <c r="CQ401" s="79"/>
      <c r="CR401" s="83" t="s">
        <v>179</v>
      </c>
      <c r="CS401" s="83" t="s">
        <v>179</v>
      </c>
      <c r="CT401" s="83" t="s">
        <v>179</v>
      </c>
      <c r="CU401" s="83" t="s">
        <v>179</v>
      </c>
      <c r="CV401" s="83" t="s">
        <v>179</v>
      </c>
      <c r="CW401" s="83" t="s">
        <v>179</v>
      </c>
      <c r="CX401" s="79" t="s">
        <v>153</v>
      </c>
      <c r="CY401" s="79">
        <f t="shared" si="253"/>
        <v>0</v>
      </c>
      <c r="CZ401" s="79">
        <v>0</v>
      </c>
      <c r="DA401" s="79">
        <f t="shared" si="254"/>
        <v>0</v>
      </c>
      <c r="DB401" s="84" t="str">
        <f t="shared" si="255"/>
        <v/>
      </c>
      <c r="DC401" s="41"/>
      <c r="DD401" s="79" t="s">
        <v>153</v>
      </c>
      <c r="DE401" s="71"/>
      <c r="DF401" s="85" t="s">
        <v>2941</v>
      </c>
      <c r="DG401" s="79">
        <v>391</v>
      </c>
      <c r="DH401" s="86" t="str">
        <f t="shared" si="256"/>
        <v>Completo</v>
      </c>
      <c r="DI401" s="79" t="s">
        <v>181</v>
      </c>
      <c r="DJ401" s="79" t="s">
        <v>182</v>
      </c>
      <c r="DK401" s="79"/>
      <c r="DL401" s="79">
        <v>0</v>
      </c>
      <c r="DM401" s="79">
        <v>0</v>
      </c>
      <c r="DN401" s="79" t="s">
        <v>182</v>
      </c>
      <c r="DO401" s="79"/>
      <c r="DP401" s="79"/>
      <c r="DQ401" s="79"/>
      <c r="DR401" s="75" t="str">
        <f t="shared" si="240"/>
        <v>No aplica</v>
      </c>
      <c r="DS401" s="79"/>
      <c r="DT401" s="79"/>
      <c r="DU401" s="75" t="str">
        <f t="shared" si="241"/>
        <v>No aplica</v>
      </c>
      <c r="DV401" s="79" t="s">
        <v>182</v>
      </c>
      <c r="DW401" s="79" t="s">
        <v>182</v>
      </c>
      <c r="DX401" s="79"/>
      <c r="DY401" s="79"/>
      <c r="DZ401" s="79"/>
      <c r="EA401" s="79"/>
      <c r="EB401" s="79"/>
      <c r="EC401" s="79"/>
      <c r="ED401" s="79" t="s">
        <v>2942</v>
      </c>
      <c r="EE401" s="79" t="str">
        <f t="shared" si="257"/>
        <v>Completo</v>
      </c>
      <c r="EF401" s="41"/>
      <c r="EG401" s="79" t="s">
        <v>153</v>
      </c>
      <c r="EH401" s="71"/>
      <c r="EI401" s="80"/>
      <c r="EJ401" s="71"/>
      <c r="EK401" s="79"/>
      <c r="EL401" s="76" t="str">
        <f t="shared" si="242"/>
        <v>No requiere</v>
      </c>
      <c r="EM401" s="76" t="str">
        <f t="shared" si="243"/>
        <v>No requiere</v>
      </c>
      <c r="EN401" s="76" t="str">
        <f t="shared" si="228"/>
        <v>No requiere</v>
      </c>
      <c r="EO401" s="71"/>
      <c r="EP401" s="73" t="str">
        <f t="shared" si="244"/>
        <v>No requiere</v>
      </c>
      <c r="EQ401" s="77" t="str">
        <f t="shared" si="245"/>
        <v>No requiere</v>
      </c>
      <c r="ER401" s="71"/>
      <c r="ES401" s="79"/>
      <c r="ET401" s="73" t="str">
        <f t="shared" si="246"/>
        <v>No requiere</v>
      </c>
      <c r="EU401" s="73" t="str">
        <f t="shared" si="229"/>
        <v>No requiere</v>
      </c>
      <c r="EV401" s="73" t="str">
        <f t="shared" si="247"/>
        <v>No requiere</v>
      </c>
      <c r="EW401" s="73" t="str">
        <f t="shared" si="248"/>
        <v>No requiere</v>
      </c>
      <c r="EX401" s="78"/>
      <c r="EY401" s="78"/>
    </row>
    <row r="402" spans="1:155" ht="46.5" customHeight="1">
      <c r="A402" s="79">
        <v>398</v>
      </c>
      <c r="B402" s="80" t="s">
        <v>2943</v>
      </c>
      <c r="C402" s="81">
        <v>45419</v>
      </c>
      <c r="D402" s="82">
        <v>0.625</v>
      </c>
      <c r="E402" s="79" t="s">
        <v>151</v>
      </c>
      <c r="F402" s="79" t="s">
        <v>153</v>
      </c>
      <c r="G402" s="79" t="s">
        <v>152</v>
      </c>
      <c r="H402" s="79" t="s">
        <v>152</v>
      </c>
      <c r="I402" s="79" t="s">
        <v>152</v>
      </c>
      <c r="J402" s="79" t="s">
        <v>154</v>
      </c>
      <c r="K402" s="79" t="s">
        <v>155</v>
      </c>
      <c r="L402" s="80" t="s">
        <v>2944</v>
      </c>
      <c r="M402" s="80" t="s">
        <v>157</v>
      </c>
      <c r="N402" s="79" t="s">
        <v>265</v>
      </c>
      <c r="O402" s="80" t="str">
        <f t="shared" si="236"/>
        <v/>
      </c>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t="s">
        <v>304</v>
      </c>
      <c r="AP402" s="79"/>
      <c r="AQ402" s="80" t="s">
        <v>1674</v>
      </c>
      <c r="AR402" s="83">
        <v>3046044496</v>
      </c>
      <c r="AS402" s="80" t="s">
        <v>1675</v>
      </c>
      <c r="AT402" s="80" t="str">
        <f t="shared" si="237"/>
        <v>Distrital</v>
      </c>
      <c r="AU402" s="79" t="s">
        <v>172</v>
      </c>
      <c r="AV402" s="79"/>
      <c r="AW402" s="79"/>
      <c r="AX402" s="79"/>
      <c r="AY402" s="79"/>
      <c r="AZ402" s="79"/>
      <c r="BA402" s="80" t="str">
        <f t="shared" si="238"/>
        <v>Distrital</v>
      </c>
      <c r="BB402" s="79" t="s">
        <v>172</v>
      </c>
      <c r="BC402" s="79"/>
      <c r="BD402" s="79"/>
      <c r="BE402" s="79"/>
      <c r="BF402" s="79"/>
      <c r="BG402" s="79"/>
      <c r="BH402" s="80" t="str">
        <f t="shared" si="239"/>
        <v>Distrital</v>
      </c>
      <c r="BI402" s="79" t="s">
        <v>172</v>
      </c>
      <c r="BJ402" s="79"/>
      <c r="BK402" s="79"/>
      <c r="BL402" s="79"/>
      <c r="BM402" s="79"/>
      <c r="BN402" s="79"/>
      <c r="BO402" s="79"/>
      <c r="BP402" s="79"/>
      <c r="BQ402" s="79"/>
      <c r="BR402" s="79"/>
      <c r="BS402" s="80" t="s">
        <v>288</v>
      </c>
      <c r="BT402" s="80" t="s">
        <v>174</v>
      </c>
      <c r="BU402" s="80" t="s">
        <v>2945</v>
      </c>
      <c r="BV402" s="71"/>
      <c r="BW402" s="79" t="s">
        <v>152</v>
      </c>
      <c r="BX402" s="79" t="s">
        <v>179</v>
      </c>
      <c r="BY402" s="71"/>
      <c r="BZ402" s="79">
        <v>9</v>
      </c>
      <c r="CA402" s="79">
        <v>1</v>
      </c>
      <c r="CB402" s="79">
        <f t="shared" si="223"/>
        <v>10</v>
      </c>
      <c r="CC402" s="79" t="str">
        <f t="shared" si="227"/>
        <v>No Aplica</v>
      </c>
      <c r="CD402" s="79" t="s">
        <v>177</v>
      </c>
      <c r="CE402" s="79"/>
      <c r="CF402" s="79"/>
      <c r="CG402" s="83" t="s">
        <v>2946</v>
      </c>
      <c r="CH402" s="41"/>
      <c r="CI402" s="79" t="s">
        <v>153</v>
      </c>
      <c r="CJ402" s="71"/>
      <c r="CK402" s="79">
        <f t="shared" si="177"/>
        <v>0</v>
      </c>
      <c r="CL402" s="79"/>
      <c r="CM402" s="79"/>
      <c r="CN402" s="79"/>
      <c r="CO402" s="79"/>
      <c r="CP402" s="79"/>
      <c r="CQ402" s="79"/>
      <c r="CR402" s="83" t="s">
        <v>179</v>
      </c>
      <c r="CS402" s="83" t="s">
        <v>179</v>
      </c>
      <c r="CT402" s="83" t="s">
        <v>179</v>
      </c>
      <c r="CU402" s="83" t="s">
        <v>179</v>
      </c>
      <c r="CV402" s="83" t="s">
        <v>179</v>
      </c>
      <c r="CW402" s="83" t="s">
        <v>179</v>
      </c>
      <c r="CX402" s="79" t="s">
        <v>153</v>
      </c>
      <c r="CY402" s="79">
        <f t="shared" si="253"/>
        <v>0</v>
      </c>
      <c r="CZ402" s="79">
        <v>0</v>
      </c>
      <c r="DA402" s="79">
        <f t="shared" si="254"/>
        <v>0</v>
      </c>
      <c r="DB402" s="84" t="str">
        <f t="shared" si="255"/>
        <v/>
      </c>
      <c r="DC402" s="41"/>
      <c r="DD402" s="79" t="s">
        <v>153</v>
      </c>
      <c r="DE402" s="71"/>
      <c r="DF402" s="85" t="s">
        <v>2947</v>
      </c>
      <c r="DG402" s="79">
        <v>392</v>
      </c>
      <c r="DH402" s="86" t="str">
        <f t="shared" si="256"/>
        <v>Completo</v>
      </c>
      <c r="DI402" s="79" t="s">
        <v>181</v>
      </c>
      <c r="DJ402" s="79" t="s">
        <v>182</v>
      </c>
      <c r="DK402" s="79"/>
      <c r="DL402" s="79">
        <v>0</v>
      </c>
      <c r="DM402" s="79">
        <v>0</v>
      </c>
      <c r="DN402" s="79" t="s">
        <v>182</v>
      </c>
      <c r="DO402" s="79"/>
      <c r="DP402" s="79"/>
      <c r="DQ402" s="79"/>
      <c r="DR402" s="75" t="str">
        <f t="shared" si="240"/>
        <v>No aplica</v>
      </c>
      <c r="DS402" s="79"/>
      <c r="DT402" s="79"/>
      <c r="DU402" s="75" t="str">
        <f t="shared" si="241"/>
        <v>No aplica</v>
      </c>
      <c r="DV402" s="79" t="s">
        <v>182</v>
      </c>
      <c r="DW402" s="79" t="s">
        <v>182</v>
      </c>
      <c r="DX402" s="79"/>
      <c r="DY402" s="79"/>
      <c r="DZ402" s="79"/>
      <c r="EA402" s="79"/>
      <c r="EB402" s="79"/>
      <c r="EC402" s="79"/>
      <c r="ED402" s="79" t="s">
        <v>184</v>
      </c>
      <c r="EE402" s="79" t="str">
        <f t="shared" si="257"/>
        <v>Completo</v>
      </c>
      <c r="EF402" s="41"/>
      <c r="EG402" s="79" t="s">
        <v>153</v>
      </c>
      <c r="EH402" s="71"/>
      <c r="EI402" s="80"/>
      <c r="EJ402" s="71"/>
      <c r="EK402" s="79"/>
      <c r="EL402" s="76" t="str">
        <f t="shared" si="242"/>
        <v>No requiere</v>
      </c>
      <c r="EM402" s="76" t="str">
        <f t="shared" si="243"/>
        <v>No requiere</v>
      </c>
      <c r="EN402" s="76" t="str">
        <f t="shared" si="228"/>
        <v>No requiere</v>
      </c>
      <c r="EO402" s="71"/>
      <c r="EP402" s="73" t="str">
        <f t="shared" si="244"/>
        <v>No requiere</v>
      </c>
      <c r="EQ402" s="77" t="str">
        <f t="shared" si="245"/>
        <v>No requiere</v>
      </c>
      <c r="ER402" s="71"/>
      <c r="ES402" s="79"/>
      <c r="ET402" s="73" t="str">
        <f t="shared" si="246"/>
        <v>No requiere</v>
      </c>
      <c r="EU402" s="73" t="str">
        <f t="shared" si="229"/>
        <v>No requiere</v>
      </c>
      <c r="EV402" s="73" t="str">
        <f t="shared" si="247"/>
        <v>No requiere</v>
      </c>
      <c r="EW402" s="73" t="str">
        <f t="shared" si="248"/>
        <v>No requiere</v>
      </c>
      <c r="EX402" s="78"/>
      <c r="EY402" s="78"/>
    </row>
    <row r="403" spans="1:155" ht="46.5" customHeight="1">
      <c r="A403" s="79">
        <v>399</v>
      </c>
      <c r="B403" s="80" t="s">
        <v>2948</v>
      </c>
      <c r="C403" s="81">
        <v>45420</v>
      </c>
      <c r="D403" s="82">
        <v>0.375</v>
      </c>
      <c r="E403" s="79" t="s">
        <v>151</v>
      </c>
      <c r="F403" s="79" t="s">
        <v>153</v>
      </c>
      <c r="G403" s="79" t="s">
        <v>153</v>
      </c>
      <c r="H403" s="79" t="s">
        <v>153</v>
      </c>
      <c r="I403" s="79" t="s">
        <v>152</v>
      </c>
      <c r="J403" s="79" t="s">
        <v>154</v>
      </c>
      <c r="K403" s="79" t="s">
        <v>155</v>
      </c>
      <c r="L403" s="80" t="s">
        <v>2596</v>
      </c>
      <c r="M403" s="80" t="s">
        <v>303</v>
      </c>
      <c r="N403" s="79" t="s">
        <v>195</v>
      </c>
      <c r="O403" s="80" t="str">
        <f t="shared" si="236"/>
        <v>Nancy Stella Villa , Nixon Sandoval Mateus</v>
      </c>
      <c r="P403" s="79" t="s">
        <v>1611</v>
      </c>
      <c r="Q403" s="79" t="s">
        <v>644</v>
      </c>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t="s">
        <v>169</v>
      </c>
      <c r="AP403" s="79" t="s">
        <v>475</v>
      </c>
      <c r="AQ403" s="80" t="s">
        <v>171</v>
      </c>
      <c r="AR403" s="83" t="s">
        <v>171</v>
      </c>
      <c r="AS403" s="80" t="s">
        <v>171</v>
      </c>
      <c r="AT403" s="80" t="str">
        <f t="shared" si="237"/>
        <v>Distrital</v>
      </c>
      <c r="AU403" s="79" t="s">
        <v>172</v>
      </c>
      <c r="AV403" s="79"/>
      <c r="AW403" s="79"/>
      <c r="AX403" s="79"/>
      <c r="AY403" s="79"/>
      <c r="AZ403" s="79"/>
      <c r="BA403" s="80" t="str">
        <f t="shared" si="238"/>
        <v>Distrital</v>
      </c>
      <c r="BB403" s="79" t="s">
        <v>172</v>
      </c>
      <c r="BC403" s="79"/>
      <c r="BD403" s="79"/>
      <c r="BE403" s="79"/>
      <c r="BF403" s="79"/>
      <c r="BG403" s="79"/>
      <c r="BH403" s="80" t="str">
        <f t="shared" si="239"/>
        <v>Distrital</v>
      </c>
      <c r="BI403" s="79" t="s">
        <v>172</v>
      </c>
      <c r="BJ403" s="79"/>
      <c r="BK403" s="79"/>
      <c r="BL403" s="79"/>
      <c r="BM403" s="79"/>
      <c r="BN403" s="79"/>
      <c r="BO403" s="79"/>
      <c r="BP403" s="79"/>
      <c r="BQ403" s="79"/>
      <c r="BR403" s="79"/>
      <c r="BS403" s="80" t="s">
        <v>2598</v>
      </c>
      <c r="BT403" s="80" t="s">
        <v>174</v>
      </c>
      <c r="BU403" s="80" t="s">
        <v>2599</v>
      </c>
      <c r="BV403" s="71"/>
      <c r="BW403" s="79" t="s">
        <v>153</v>
      </c>
      <c r="BX403" s="79" t="s">
        <v>2600</v>
      </c>
      <c r="BY403" s="71"/>
      <c r="BZ403" s="79">
        <v>9</v>
      </c>
      <c r="CA403" s="79">
        <v>4</v>
      </c>
      <c r="CB403" s="79">
        <f t="shared" si="223"/>
        <v>13</v>
      </c>
      <c r="CC403" s="79" t="str">
        <f t="shared" si="227"/>
        <v>Ninguna</v>
      </c>
      <c r="CD403" s="79" t="s">
        <v>174</v>
      </c>
      <c r="CE403" s="79"/>
      <c r="CF403" s="79"/>
      <c r="CG403" s="83" t="s">
        <v>2949</v>
      </c>
      <c r="CH403" s="41"/>
      <c r="CI403" s="79" t="s">
        <v>153</v>
      </c>
      <c r="CJ403" s="71"/>
      <c r="CK403" s="79"/>
      <c r="CL403" s="79" t="s">
        <v>2950</v>
      </c>
      <c r="CM403" s="79"/>
      <c r="CN403" s="79"/>
      <c r="CO403" s="79"/>
      <c r="CP403" s="79"/>
      <c r="CQ403" s="79"/>
      <c r="CR403" s="83" t="s">
        <v>390</v>
      </c>
      <c r="CS403" s="83" t="s">
        <v>179</v>
      </c>
      <c r="CT403" s="83" t="s">
        <v>179</v>
      </c>
      <c r="CU403" s="83" t="s">
        <v>179</v>
      </c>
      <c r="CV403" s="83" t="s">
        <v>179</v>
      </c>
      <c r="CW403" s="83" t="s">
        <v>179</v>
      </c>
      <c r="CX403" s="79" t="s">
        <v>153</v>
      </c>
      <c r="CY403" s="79">
        <f t="shared" si="253"/>
        <v>1</v>
      </c>
      <c r="CZ403" s="79">
        <v>1</v>
      </c>
      <c r="DA403" s="79">
        <f t="shared" si="254"/>
        <v>1</v>
      </c>
      <c r="DB403" s="84" t="str">
        <f>IFERROR(CY403/CK403,"")</f>
        <v/>
      </c>
      <c r="DC403" s="41"/>
      <c r="DD403" s="79" t="s">
        <v>153</v>
      </c>
      <c r="DE403" s="71"/>
      <c r="DF403" s="85" t="s">
        <v>2951</v>
      </c>
      <c r="DG403" s="79">
        <v>393</v>
      </c>
      <c r="DH403" s="86" t="str">
        <f t="shared" si="256"/>
        <v>Completo</v>
      </c>
      <c r="DI403" s="79" t="s">
        <v>181</v>
      </c>
      <c r="DJ403" s="79" t="s">
        <v>182</v>
      </c>
      <c r="DK403" s="79" t="s">
        <v>153</v>
      </c>
      <c r="DL403" s="79">
        <v>1</v>
      </c>
      <c r="DM403" s="79">
        <v>1</v>
      </c>
      <c r="DN403" s="79" t="s">
        <v>182</v>
      </c>
      <c r="DO403" s="79" t="s">
        <v>179</v>
      </c>
      <c r="DP403" s="79" t="s">
        <v>182</v>
      </c>
      <c r="DQ403" s="79">
        <v>1</v>
      </c>
      <c r="DR403" s="75">
        <f t="shared" si="240"/>
        <v>0.37037037037037041</v>
      </c>
      <c r="DS403" s="79" t="s">
        <v>182</v>
      </c>
      <c r="DT403" s="79">
        <v>1</v>
      </c>
      <c r="DU403" s="75">
        <f t="shared" si="241"/>
        <v>0.31746031746031744</v>
      </c>
      <c r="DV403" s="79" t="s">
        <v>182</v>
      </c>
      <c r="DW403" s="79" t="s">
        <v>182</v>
      </c>
      <c r="DX403" s="79">
        <v>1</v>
      </c>
      <c r="DY403" s="79">
        <v>0</v>
      </c>
      <c r="DZ403" s="79"/>
      <c r="EA403" s="79" t="s">
        <v>179</v>
      </c>
      <c r="EB403" s="79" t="s">
        <v>182</v>
      </c>
      <c r="EC403" s="79" t="s">
        <v>2952</v>
      </c>
      <c r="ED403" s="79" t="s">
        <v>184</v>
      </c>
      <c r="EE403" s="79" t="str">
        <f t="shared" si="257"/>
        <v>Completo</v>
      </c>
      <c r="EF403" s="41"/>
      <c r="EG403" s="79" t="s">
        <v>153</v>
      </c>
      <c r="EH403" s="71"/>
      <c r="EI403" s="89" t="s">
        <v>2953</v>
      </c>
      <c r="EJ403" s="71"/>
      <c r="EK403" s="79" t="s">
        <v>409</v>
      </c>
      <c r="EL403" s="76" t="str">
        <f t="shared" si="242"/>
        <v>No</v>
      </c>
      <c r="EM403" s="76" t="str">
        <f t="shared" si="243"/>
        <v>No</v>
      </c>
      <c r="EN403" s="76" t="str">
        <f t="shared" si="228"/>
        <v>No</v>
      </c>
      <c r="EO403" s="71"/>
      <c r="EP403" s="73">
        <f t="shared" si="244"/>
        <v>1</v>
      </c>
      <c r="EQ403" s="77">
        <f t="shared" si="245"/>
        <v>0.31746031746031744</v>
      </c>
      <c r="ER403" s="71"/>
      <c r="ES403" s="79" t="s">
        <v>409</v>
      </c>
      <c r="ET403" s="73">
        <f t="shared" si="246"/>
        <v>1</v>
      </c>
      <c r="EU403" s="73" t="str">
        <f t="shared" si="229"/>
        <v>Sin compromisos</v>
      </c>
      <c r="EV403" s="73" t="str">
        <f t="shared" si="247"/>
        <v>No aplica</v>
      </c>
      <c r="EW403" s="73" t="str">
        <f t="shared" si="248"/>
        <v>No aplica</v>
      </c>
      <c r="EX403" s="78"/>
      <c r="EY403" s="78"/>
    </row>
    <row r="404" spans="1:155" ht="46.5" customHeight="1">
      <c r="A404" s="79">
        <v>400</v>
      </c>
      <c r="B404" s="80" t="s">
        <v>1000</v>
      </c>
      <c r="C404" s="81">
        <v>45420</v>
      </c>
      <c r="D404" s="82">
        <v>0.35416666666666669</v>
      </c>
      <c r="E404" s="79" t="s">
        <v>200</v>
      </c>
      <c r="F404" s="79" t="s">
        <v>153</v>
      </c>
      <c r="G404" s="79" t="s">
        <v>152</v>
      </c>
      <c r="H404" s="79" t="s">
        <v>152</v>
      </c>
      <c r="I404" s="79" t="s">
        <v>152</v>
      </c>
      <c r="J404" s="79" t="s">
        <v>504</v>
      </c>
      <c r="K404" s="79" t="s">
        <v>155</v>
      </c>
      <c r="L404" s="80" t="s">
        <v>1001</v>
      </c>
      <c r="M404" s="80" t="s">
        <v>157</v>
      </c>
      <c r="N404" s="79" t="s">
        <v>1387</v>
      </c>
      <c r="O404" s="80" t="str">
        <f t="shared" si="236"/>
        <v/>
      </c>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t="s">
        <v>169</v>
      </c>
      <c r="AP404" s="79" t="s">
        <v>2702</v>
      </c>
      <c r="AQ404" s="80" t="s">
        <v>2954</v>
      </c>
      <c r="AR404" s="83" t="s">
        <v>2955</v>
      </c>
      <c r="AS404" s="80" t="s">
        <v>2017</v>
      </c>
      <c r="AT404" s="80" t="str">
        <f t="shared" si="237"/>
        <v>Teusaquillo</v>
      </c>
      <c r="AU404" s="79" t="s">
        <v>1004</v>
      </c>
      <c r="AV404" s="79"/>
      <c r="AW404" s="79"/>
      <c r="AX404" s="79"/>
      <c r="AY404" s="79"/>
      <c r="AZ404" s="79"/>
      <c r="BA404" s="80" t="str">
        <f t="shared" si="238"/>
        <v>Centro Ampliado</v>
      </c>
      <c r="BB404" s="79" t="s">
        <v>636</v>
      </c>
      <c r="BC404" s="79"/>
      <c r="BD404" s="79"/>
      <c r="BE404" s="79"/>
      <c r="BF404" s="79"/>
      <c r="BG404" s="79"/>
      <c r="BH404" s="80" t="str">
        <f t="shared" si="239"/>
        <v>Teusaquillo</v>
      </c>
      <c r="BI404" s="79" t="s">
        <v>1004</v>
      </c>
      <c r="BJ404" s="79"/>
      <c r="BK404" s="79"/>
      <c r="BL404" s="79"/>
      <c r="BM404" s="79"/>
      <c r="BN404" s="79"/>
      <c r="BO404" s="79"/>
      <c r="BP404" s="79"/>
      <c r="BQ404" s="79"/>
      <c r="BR404" s="79"/>
      <c r="BS404" s="80" t="s">
        <v>2518</v>
      </c>
      <c r="BT404" s="80" t="s">
        <v>174</v>
      </c>
      <c r="BU404" s="80" t="s">
        <v>2956</v>
      </c>
      <c r="BV404" s="71"/>
      <c r="BW404" s="79" t="s">
        <v>152</v>
      </c>
      <c r="BX404" s="79" t="s">
        <v>179</v>
      </c>
      <c r="BY404" s="71"/>
      <c r="BZ404" s="79">
        <v>17</v>
      </c>
      <c r="CA404" s="79">
        <v>1</v>
      </c>
      <c r="CB404" s="79">
        <f t="shared" si="223"/>
        <v>18</v>
      </c>
      <c r="CC404" s="79" t="str">
        <f t="shared" si="227"/>
        <v>No Aplica</v>
      </c>
      <c r="CD404" s="79" t="s">
        <v>177</v>
      </c>
      <c r="CE404" s="79"/>
      <c r="CF404" s="79"/>
      <c r="CG404" s="83" t="s">
        <v>2957</v>
      </c>
      <c r="CH404" s="41"/>
      <c r="CI404" s="79" t="s">
        <v>153</v>
      </c>
      <c r="CJ404" s="71"/>
      <c r="CK404" s="79">
        <f t="shared" ref="CK404:CK415" si="258">COUNTIF(CL404:CQ404,"*")</f>
        <v>0</v>
      </c>
      <c r="CL404" s="79"/>
      <c r="CM404" s="79"/>
      <c r="CN404" s="79"/>
      <c r="CO404" s="79"/>
      <c r="CP404" s="79"/>
      <c r="CQ404" s="79"/>
      <c r="CR404" s="83" t="s">
        <v>179</v>
      </c>
      <c r="CS404" s="83" t="s">
        <v>179</v>
      </c>
      <c r="CT404" s="83" t="s">
        <v>179</v>
      </c>
      <c r="CU404" s="83" t="s">
        <v>179</v>
      </c>
      <c r="CV404" s="83" t="s">
        <v>179</v>
      </c>
      <c r="CW404" s="83" t="s">
        <v>179</v>
      </c>
      <c r="CX404" s="79" t="s">
        <v>153</v>
      </c>
      <c r="CY404" s="79">
        <f t="shared" si="253"/>
        <v>0</v>
      </c>
      <c r="CZ404" s="79">
        <v>0</v>
      </c>
      <c r="DA404" s="79">
        <f t="shared" si="254"/>
        <v>0</v>
      </c>
      <c r="DB404" s="84" t="str">
        <f t="shared" ref="DB404:DB415" si="259">IFERROR(CY404/CK404,"")</f>
        <v/>
      </c>
      <c r="DC404" s="41"/>
      <c r="DD404" s="79" t="s">
        <v>153</v>
      </c>
      <c r="DE404" s="71"/>
      <c r="DF404" s="85" t="s">
        <v>2958</v>
      </c>
      <c r="DG404" s="79">
        <v>394</v>
      </c>
      <c r="DH404" s="86" t="str">
        <f t="shared" si="256"/>
        <v>Completo</v>
      </c>
      <c r="DI404" s="79" t="s">
        <v>181</v>
      </c>
      <c r="DJ404" s="79" t="s">
        <v>182</v>
      </c>
      <c r="DK404" s="79"/>
      <c r="DL404" s="79">
        <v>0</v>
      </c>
      <c r="DM404" s="79">
        <v>0</v>
      </c>
      <c r="DN404" s="79" t="s">
        <v>182</v>
      </c>
      <c r="DO404" s="79"/>
      <c r="DP404" s="79"/>
      <c r="DQ404" s="79"/>
      <c r="DR404" s="75" t="str">
        <f t="shared" si="240"/>
        <v>No aplica</v>
      </c>
      <c r="DS404" s="79"/>
      <c r="DT404" s="79"/>
      <c r="DU404" s="75" t="str">
        <f t="shared" si="241"/>
        <v>No aplica</v>
      </c>
      <c r="DV404" s="79" t="s">
        <v>182</v>
      </c>
      <c r="DW404" s="79" t="s">
        <v>182</v>
      </c>
      <c r="DX404" s="79"/>
      <c r="DY404" s="79"/>
      <c r="DZ404" s="79"/>
      <c r="EA404" s="79"/>
      <c r="EB404" s="79"/>
      <c r="EC404" s="79"/>
      <c r="ED404" s="79" t="s">
        <v>184</v>
      </c>
      <c r="EE404" s="79" t="str">
        <f t="shared" si="257"/>
        <v>Completo</v>
      </c>
      <c r="EF404" s="41"/>
      <c r="EG404" s="79" t="s">
        <v>153</v>
      </c>
      <c r="EH404" s="71"/>
      <c r="EI404" s="80"/>
      <c r="EJ404" s="71"/>
      <c r="EK404" s="79"/>
      <c r="EL404" s="76" t="str">
        <f t="shared" si="242"/>
        <v>No requiere</v>
      </c>
      <c r="EM404" s="76" t="str">
        <f t="shared" si="243"/>
        <v>No requiere</v>
      </c>
      <c r="EN404" s="76" t="str">
        <f t="shared" si="228"/>
        <v>No requiere</v>
      </c>
      <c r="EO404" s="71"/>
      <c r="EP404" s="73" t="str">
        <f t="shared" si="244"/>
        <v>No requiere</v>
      </c>
      <c r="EQ404" s="77" t="str">
        <f t="shared" si="245"/>
        <v>No requiere</v>
      </c>
      <c r="ER404" s="71"/>
      <c r="ES404" s="79"/>
      <c r="ET404" s="73" t="str">
        <f t="shared" si="246"/>
        <v>No requiere</v>
      </c>
      <c r="EU404" s="73" t="str">
        <f t="shared" si="229"/>
        <v>No requiere</v>
      </c>
      <c r="EV404" s="73" t="str">
        <f t="shared" si="247"/>
        <v>No requiere</v>
      </c>
      <c r="EW404" s="73" t="str">
        <f t="shared" si="248"/>
        <v>No requiere</v>
      </c>
      <c r="EX404" s="78"/>
      <c r="EY404" s="78"/>
    </row>
    <row r="405" spans="1:155" ht="46.5" customHeight="1">
      <c r="A405" s="79">
        <v>401</v>
      </c>
      <c r="B405" s="80" t="s">
        <v>2843</v>
      </c>
      <c r="C405" s="81">
        <v>45420</v>
      </c>
      <c r="D405" s="82">
        <v>0.375</v>
      </c>
      <c r="E405" s="79" t="s">
        <v>151</v>
      </c>
      <c r="F405" s="79" t="s">
        <v>153</v>
      </c>
      <c r="G405" s="79" t="s">
        <v>152</v>
      </c>
      <c r="H405" s="79" t="s">
        <v>152</v>
      </c>
      <c r="I405" s="79" t="s">
        <v>152</v>
      </c>
      <c r="J405" s="79" t="s">
        <v>154</v>
      </c>
      <c r="K405" s="79" t="s">
        <v>202</v>
      </c>
      <c r="L405" s="80" t="s">
        <v>2844</v>
      </c>
      <c r="M405" s="80" t="s">
        <v>303</v>
      </c>
      <c r="N405" s="79" t="s">
        <v>166</v>
      </c>
      <c r="O405" s="80" t="str">
        <f t="shared" si="236"/>
        <v>Nathalia Guzmán Martínez, Renata Rengifo Moyano, Nestor Jecfrid Sánchez, Nicolás Enrique Moncaleano, David Reinaldo Jojoa</v>
      </c>
      <c r="P405" s="79" t="s">
        <v>166</v>
      </c>
      <c r="Q405" s="79" t="s">
        <v>1066</v>
      </c>
      <c r="R405" s="79" t="s">
        <v>965</v>
      </c>
      <c r="S405" s="79" t="s">
        <v>966</v>
      </c>
      <c r="T405" s="79" t="s">
        <v>548</v>
      </c>
      <c r="U405" s="79"/>
      <c r="V405" s="79"/>
      <c r="W405" s="79"/>
      <c r="X405" s="79"/>
      <c r="Y405" s="79"/>
      <c r="Z405" s="79"/>
      <c r="AA405" s="79"/>
      <c r="AB405" s="79"/>
      <c r="AC405" s="79"/>
      <c r="AD405" s="79"/>
      <c r="AE405" s="79"/>
      <c r="AF405" s="79"/>
      <c r="AG405" s="79"/>
      <c r="AH405" s="79"/>
      <c r="AI405" s="79"/>
      <c r="AJ405" s="79"/>
      <c r="AK405" s="79"/>
      <c r="AL405" s="79"/>
      <c r="AM405" s="79"/>
      <c r="AN405" s="79"/>
      <c r="AO405" s="79" t="s">
        <v>169</v>
      </c>
      <c r="AP405" s="79" t="s">
        <v>475</v>
      </c>
      <c r="AQ405" s="80" t="s">
        <v>171</v>
      </c>
      <c r="AR405" s="83" t="s">
        <v>171</v>
      </c>
      <c r="AS405" s="80" t="s">
        <v>171</v>
      </c>
      <c r="AT405" s="80" t="str">
        <f t="shared" si="237"/>
        <v>Distrital</v>
      </c>
      <c r="AU405" s="79" t="s">
        <v>172</v>
      </c>
      <c r="AV405" s="79"/>
      <c r="AW405" s="79"/>
      <c r="AX405" s="79"/>
      <c r="AY405" s="79"/>
      <c r="AZ405" s="79"/>
      <c r="BA405" s="80" t="str">
        <f t="shared" si="238"/>
        <v>Distrital</v>
      </c>
      <c r="BB405" s="79" t="s">
        <v>172</v>
      </c>
      <c r="BC405" s="79"/>
      <c r="BD405" s="79"/>
      <c r="BE405" s="79"/>
      <c r="BF405" s="79"/>
      <c r="BG405" s="79"/>
      <c r="BH405" s="80" t="str">
        <f t="shared" si="239"/>
        <v>Distrital</v>
      </c>
      <c r="BI405" s="79" t="s">
        <v>172</v>
      </c>
      <c r="BJ405" s="79"/>
      <c r="BK405" s="79"/>
      <c r="BL405" s="79"/>
      <c r="BM405" s="79"/>
      <c r="BN405" s="79"/>
      <c r="BO405" s="79"/>
      <c r="BP405" s="79"/>
      <c r="BQ405" s="79"/>
      <c r="BR405" s="79"/>
      <c r="BS405" s="80" t="s">
        <v>2598</v>
      </c>
      <c r="BT405" s="80" t="s">
        <v>174</v>
      </c>
      <c r="BU405" s="80" t="s">
        <v>2599</v>
      </c>
      <c r="BV405" s="71"/>
      <c r="BW405" s="79" t="s">
        <v>153</v>
      </c>
      <c r="BX405" s="79" t="s">
        <v>2600</v>
      </c>
      <c r="BY405" s="71"/>
      <c r="BZ405" s="79">
        <v>225</v>
      </c>
      <c r="CA405" s="79">
        <v>4</v>
      </c>
      <c r="CB405" s="79">
        <f t="shared" si="223"/>
        <v>229</v>
      </c>
      <c r="CC405" s="79" t="str">
        <f t="shared" si="227"/>
        <v>Horarios Acordes</v>
      </c>
      <c r="CD405" s="79" t="s">
        <v>351</v>
      </c>
      <c r="CE405" s="79"/>
      <c r="CF405" s="79"/>
      <c r="CG405" s="83" t="s">
        <v>2959</v>
      </c>
      <c r="CH405" s="41"/>
      <c r="CI405" s="79" t="s">
        <v>153</v>
      </c>
      <c r="CJ405" s="71"/>
      <c r="CK405" s="79">
        <f t="shared" si="258"/>
        <v>0</v>
      </c>
      <c r="CL405" s="79"/>
      <c r="CM405" s="79"/>
      <c r="CN405" s="79"/>
      <c r="CO405" s="79"/>
      <c r="CP405" s="79"/>
      <c r="CQ405" s="79"/>
      <c r="CR405" s="83" t="s">
        <v>179</v>
      </c>
      <c r="CS405" s="83" t="s">
        <v>179</v>
      </c>
      <c r="CT405" s="83" t="s">
        <v>179</v>
      </c>
      <c r="CU405" s="83" t="s">
        <v>179</v>
      </c>
      <c r="CV405" s="83" t="s">
        <v>179</v>
      </c>
      <c r="CW405" s="83" t="s">
        <v>179</v>
      </c>
      <c r="CX405" s="79" t="s">
        <v>153</v>
      </c>
      <c r="CY405" s="79">
        <f t="shared" si="253"/>
        <v>0</v>
      </c>
      <c r="CZ405" s="79">
        <v>0</v>
      </c>
      <c r="DA405" s="79">
        <f t="shared" si="254"/>
        <v>0</v>
      </c>
      <c r="DB405" s="84" t="str">
        <f t="shared" si="259"/>
        <v/>
      </c>
      <c r="DC405" s="41"/>
      <c r="DD405" s="79" t="s">
        <v>153</v>
      </c>
      <c r="DE405" s="71"/>
      <c r="DF405" s="85" t="s">
        <v>2960</v>
      </c>
      <c r="DG405" s="79">
        <v>395</v>
      </c>
      <c r="DH405" s="86">
        <f t="shared" si="256"/>
        <v>45423</v>
      </c>
      <c r="DI405" s="79" t="s">
        <v>181</v>
      </c>
      <c r="DJ405" s="79" t="s">
        <v>182</v>
      </c>
      <c r="DK405" s="79"/>
      <c r="DL405" s="79">
        <v>0</v>
      </c>
      <c r="DM405" s="79">
        <v>0</v>
      </c>
      <c r="DN405" s="79" t="s">
        <v>191</v>
      </c>
      <c r="DO405" s="79"/>
      <c r="DP405" s="79"/>
      <c r="DQ405" s="79"/>
      <c r="DR405" s="75" t="str">
        <f t="shared" si="240"/>
        <v>No aplica</v>
      </c>
      <c r="DS405" s="79"/>
      <c r="DT405" s="79"/>
      <c r="DU405" s="75" t="str">
        <f t="shared" si="241"/>
        <v>No aplica</v>
      </c>
      <c r="DV405" s="79" t="s">
        <v>182</v>
      </c>
      <c r="DW405" s="79" t="s">
        <v>191</v>
      </c>
      <c r="DX405" s="79"/>
      <c r="DY405" s="79"/>
      <c r="DZ405" s="79"/>
      <c r="EA405" s="79"/>
      <c r="EB405" s="79" t="s">
        <v>182</v>
      </c>
      <c r="EC405" s="79" t="s">
        <v>2961</v>
      </c>
      <c r="ED405" s="79" t="s">
        <v>184</v>
      </c>
      <c r="EE405" s="79" t="s">
        <v>621</v>
      </c>
      <c r="EF405" s="41"/>
      <c r="EG405" s="79" t="s">
        <v>153</v>
      </c>
      <c r="EH405" s="71"/>
      <c r="EI405" s="80"/>
      <c r="EJ405" s="71"/>
      <c r="EK405" s="79"/>
      <c r="EL405" s="76" t="str">
        <f t="shared" si="242"/>
        <v>No requiere</v>
      </c>
      <c r="EM405" s="76" t="str">
        <f t="shared" si="243"/>
        <v>No requiere</v>
      </c>
      <c r="EN405" s="76" t="str">
        <f t="shared" si="228"/>
        <v>No requiere</v>
      </c>
      <c r="EO405" s="71"/>
      <c r="EP405" s="73" t="str">
        <f t="shared" si="244"/>
        <v>No requiere</v>
      </c>
      <c r="EQ405" s="77" t="str">
        <f t="shared" si="245"/>
        <v>No requiere</v>
      </c>
      <c r="ER405" s="71"/>
      <c r="ES405" s="79"/>
      <c r="ET405" s="73" t="str">
        <f t="shared" si="246"/>
        <v>No requiere</v>
      </c>
      <c r="EU405" s="73" t="str">
        <f t="shared" si="229"/>
        <v>No requiere</v>
      </c>
      <c r="EV405" s="73" t="str">
        <f t="shared" si="247"/>
        <v>No requiere</v>
      </c>
      <c r="EW405" s="73" t="str">
        <f t="shared" si="248"/>
        <v>No requiere</v>
      </c>
      <c r="EX405" s="78"/>
      <c r="EY405" s="78"/>
    </row>
    <row r="406" spans="1:155" ht="46.5" customHeight="1">
      <c r="A406" s="79">
        <v>402</v>
      </c>
      <c r="B406" s="80" t="s">
        <v>993</v>
      </c>
      <c r="C406" s="81">
        <v>45420</v>
      </c>
      <c r="D406" s="82">
        <v>0.41666666666666669</v>
      </c>
      <c r="E406" s="79" t="s">
        <v>200</v>
      </c>
      <c r="F406" s="79" t="s">
        <v>153</v>
      </c>
      <c r="G406" s="79" t="s">
        <v>152</v>
      </c>
      <c r="H406" s="79" t="s">
        <v>152</v>
      </c>
      <c r="I406" s="79" t="s">
        <v>152</v>
      </c>
      <c r="J406" s="79" t="s">
        <v>504</v>
      </c>
      <c r="K406" s="79" t="s">
        <v>202</v>
      </c>
      <c r="L406" s="80" t="s">
        <v>2053</v>
      </c>
      <c r="M406" s="80" t="s">
        <v>157</v>
      </c>
      <c r="N406" s="79" t="s">
        <v>818</v>
      </c>
      <c r="O406" s="80" t="str">
        <f t="shared" si="236"/>
        <v/>
      </c>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t="s">
        <v>169</v>
      </c>
      <c r="AP406" s="79" t="s">
        <v>2702</v>
      </c>
      <c r="AQ406" s="80" t="s">
        <v>2962</v>
      </c>
      <c r="AR406" s="83">
        <v>3002578468</v>
      </c>
      <c r="AS406" s="80" t="s">
        <v>2963</v>
      </c>
      <c r="AT406" s="80" t="str">
        <f t="shared" si="237"/>
        <v>Antonio Nariño</v>
      </c>
      <c r="AU406" s="79" t="s">
        <v>634</v>
      </c>
      <c r="AV406" s="79"/>
      <c r="AW406" s="79"/>
      <c r="AX406" s="79"/>
      <c r="AY406" s="79"/>
      <c r="AZ406" s="79"/>
      <c r="BA406" s="80" t="str">
        <f t="shared" si="238"/>
        <v>Centro Ampliado</v>
      </c>
      <c r="BB406" s="79" t="s">
        <v>636</v>
      </c>
      <c r="BC406" s="79"/>
      <c r="BD406" s="79"/>
      <c r="BE406" s="79"/>
      <c r="BF406" s="79"/>
      <c r="BG406" s="79"/>
      <c r="BH406" s="80" t="str">
        <f t="shared" si="239"/>
        <v>Restrepo</v>
      </c>
      <c r="BI406" s="79" t="s">
        <v>637</v>
      </c>
      <c r="BJ406" s="79"/>
      <c r="BK406" s="79"/>
      <c r="BL406" s="79"/>
      <c r="BM406" s="79"/>
      <c r="BN406" s="79"/>
      <c r="BO406" s="79"/>
      <c r="BP406" s="79"/>
      <c r="BQ406" s="79"/>
      <c r="BR406" s="79"/>
      <c r="BS406" s="80" t="s">
        <v>637</v>
      </c>
      <c r="BT406" s="80" t="s">
        <v>174</v>
      </c>
      <c r="BU406" s="89" t="s">
        <v>2964</v>
      </c>
      <c r="BV406" s="71"/>
      <c r="BW406" s="79" t="s">
        <v>152</v>
      </c>
      <c r="BX406" s="79" t="s">
        <v>179</v>
      </c>
      <c r="BY406" s="71"/>
      <c r="BZ406" s="79">
        <v>22</v>
      </c>
      <c r="CA406" s="79">
        <v>1</v>
      </c>
      <c r="CB406" s="79">
        <f t="shared" si="223"/>
        <v>23</v>
      </c>
      <c r="CC406" s="79" t="str">
        <f t="shared" si="227"/>
        <v>No Aplica</v>
      </c>
      <c r="CD406" s="79" t="s">
        <v>177</v>
      </c>
      <c r="CE406" s="79"/>
      <c r="CF406" s="79"/>
      <c r="CG406" s="83" t="s">
        <v>2965</v>
      </c>
      <c r="CH406" s="41"/>
      <c r="CI406" s="79" t="s">
        <v>153</v>
      </c>
      <c r="CJ406" s="71"/>
      <c r="CK406" s="79">
        <f t="shared" si="258"/>
        <v>0</v>
      </c>
      <c r="CL406" s="79"/>
      <c r="CM406" s="79"/>
      <c r="CN406" s="79"/>
      <c r="CO406" s="79"/>
      <c r="CP406" s="79"/>
      <c r="CQ406" s="79"/>
      <c r="CR406" s="83" t="s">
        <v>179</v>
      </c>
      <c r="CS406" s="83" t="s">
        <v>179</v>
      </c>
      <c r="CT406" s="83" t="s">
        <v>179</v>
      </c>
      <c r="CU406" s="83" t="s">
        <v>179</v>
      </c>
      <c r="CV406" s="83" t="s">
        <v>179</v>
      </c>
      <c r="CW406" s="83" t="s">
        <v>179</v>
      </c>
      <c r="CX406" s="79" t="s">
        <v>153</v>
      </c>
      <c r="CY406" s="79">
        <f t="shared" si="253"/>
        <v>0</v>
      </c>
      <c r="CZ406" s="79">
        <v>0</v>
      </c>
      <c r="DA406" s="79">
        <f t="shared" si="254"/>
        <v>0</v>
      </c>
      <c r="DB406" s="84" t="str">
        <f t="shared" si="259"/>
        <v/>
      </c>
      <c r="DC406" s="41"/>
      <c r="DD406" s="79" t="s">
        <v>153</v>
      </c>
      <c r="DE406" s="71"/>
      <c r="DF406" s="85" t="s">
        <v>2958</v>
      </c>
      <c r="DG406" s="79">
        <v>396</v>
      </c>
      <c r="DH406" s="86" t="str">
        <f t="shared" si="256"/>
        <v>Completo</v>
      </c>
      <c r="DI406" s="79" t="s">
        <v>181</v>
      </c>
      <c r="DJ406" s="79" t="s">
        <v>182</v>
      </c>
      <c r="DK406" s="79"/>
      <c r="DL406" s="79">
        <v>0</v>
      </c>
      <c r="DM406" s="79">
        <v>0</v>
      </c>
      <c r="DN406" s="79" t="s">
        <v>182</v>
      </c>
      <c r="DO406" s="79"/>
      <c r="DP406" s="79"/>
      <c r="DQ406" s="79"/>
      <c r="DR406" s="75" t="str">
        <f t="shared" si="240"/>
        <v>No aplica</v>
      </c>
      <c r="DS406" s="79"/>
      <c r="DT406" s="79"/>
      <c r="DU406" s="75" t="str">
        <f t="shared" si="241"/>
        <v>No aplica</v>
      </c>
      <c r="DV406" s="79" t="s">
        <v>182</v>
      </c>
      <c r="DW406" s="79" t="s">
        <v>182</v>
      </c>
      <c r="DX406" s="79"/>
      <c r="DY406" s="79"/>
      <c r="DZ406" s="79"/>
      <c r="EA406" s="79"/>
      <c r="EB406" s="79" t="s">
        <v>191</v>
      </c>
      <c r="EC406" s="79"/>
      <c r="ED406" s="79" t="s">
        <v>184</v>
      </c>
      <c r="EE406" s="79" t="str">
        <f t="shared" ref="EE406:EE412" si="260">IF(DI406="Subsanado","Completo","Por Completar")</f>
        <v>Completo</v>
      </c>
      <c r="EF406" s="41"/>
      <c r="EG406" s="79" t="s">
        <v>153</v>
      </c>
      <c r="EH406" s="71"/>
      <c r="EI406" s="80"/>
      <c r="EJ406" s="71"/>
      <c r="EK406" s="79"/>
      <c r="EL406" s="76" t="str">
        <f t="shared" si="242"/>
        <v>No requiere</v>
      </c>
      <c r="EM406" s="76" t="str">
        <f t="shared" si="243"/>
        <v>No requiere</v>
      </c>
      <c r="EN406" s="76" t="str">
        <f t="shared" si="228"/>
        <v>No requiere</v>
      </c>
      <c r="EO406" s="71"/>
      <c r="EP406" s="73" t="str">
        <f t="shared" si="244"/>
        <v>No requiere</v>
      </c>
      <c r="EQ406" s="77" t="str">
        <f t="shared" si="245"/>
        <v>No requiere</v>
      </c>
      <c r="ER406" s="71"/>
      <c r="ES406" s="79"/>
      <c r="ET406" s="73" t="str">
        <f t="shared" si="246"/>
        <v>No requiere</v>
      </c>
      <c r="EU406" s="73" t="str">
        <f t="shared" si="229"/>
        <v>No requiere</v>
      </c>
      <c r="EV406" s="73" t="str">
        <f t="shared" si="247"/>
        <v>No requiere</v>
      </c>
      <c r="EW406" s="73" t="str">
        <f t="shared" si="248"/>
        <v>No requiere</v>
      </c>
      <c r="EX406" s="78"/>
      <c r="EY406" s="78"/>
    </row>
    <row r="407" spans="1:155" ht="46.5" customHeight="1">
      <c r="A407" s="79">
        <v>403</v>
      </c>
      <c r="B407" s="80" t="s">
        <v>2966</v>
      </c>
      <c r="C407" s="81">
        <v>45420</v>
      </c>
      <c r="D407" s="82">
        <v>0.625</v>
      </c>
      <c r="E407" s="79" t="s">
        <v>200</v>
      </c>
      <c r="F407" s="79" t="s">
        <v>153</v>
      </c>
      <c r="G407" s="79" t="s">
        <v>152</v>
      </c>
      <c r="H407" s="79" t="s">
        <v>152</v>
      </c>
      <c r="I407" s="79" t="s">
        <v>152</v>
      </c>
      <c r="J407" s="79" t="s">
        <v>211</v>
      </c>
      <c r="K407" s="79" t="s">
        <v>155</v>
      </c>
      <c r="L407" s="80" t="s">
        <v>2967</v>
      </c>
      <c r="M407" s="80" t="s">
        <v>624</v>
      </c>
      <c r="N407" s="79" t="s">
        <v>213</v>
      </c>
      <c r="O407" s="80" t="str">
        <f t="shared" si="236"/>
        <v>Humberto Díaz Acosta</v>
      </c>
      <c r="P407" s="79" t="s">
        <v>253</v>
      </c>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t="s">
        <v>230</v>
      </c>
      <c r="AP407" s="79" t="s">
        <v>242</v>
      </c>
      <c r="AQ407" s="80" t="s">
        <v>1945</v>
      </c>
      <c r="AR407" s="83">
        <v>3108148740</v>
      </c>
      <c r="AS407" s="80" t="s">
        <v>682</v>
      </c>
      <c r="AT407" s="80" t="str">
        <f t="shared" si="237"/>
        <v>Distrital</v>
      </c>
      <c r="AU407" s="79" t="s">
        <v>172</v>
      </c>
      <c r="AV407" s="79"/>
      <c r="AW407" s="79"/>
      <c r="AX407" s="79"/>
      <c r="AY407" s="79"/>
      <c r="AZ407" s="79"/>
      <c r="BA407" s="80" t="str">
        <f t="shared" si="238"/>
        <v>Distrital</v>
      </c>
      <c r="BB407" s="79" t="s">
        <v>172</v>
      </c>
      <c r="BC407" s="79"/>
      <c r="BD407" s="79"/>
      <c r="BE407" s="79"/>
      <c r="BF407" s="79"/>
      <c r="BG407" s="79"/>
      <c r="BH407" s="80" t="str">
        <f t="shared" si="239"/>
        <v>Distrital</v>
      </c>
      <c r="BI407" s="79" t="s">
        <v>172</v>
      </c>
      <c r="BJ407" s="79"/>
      <c r="BK407" s="79"/>
      <c r="BL407" s="79"/>
      <c r="BM407" s="79"/>
      <c r="BN407" s="79"/>
      <c r="BO407" s="79"/>
      <c r="BP407" s="79"/>
      <c r="BQ407" s="79"/>
      <c r="BR407" s="79"/>
      <c r="BS407" s="80" t="s">
        <v>288</v>
      </c>
      <c r="BT407" s="80" t="s">
        <v>174</v>
      </c>
      <c r="BU407" s="80" t="s">
        <v>2968</v>
      </c>
      <c r="BV407" s="71"/>
      <c r="BW407" s="79" t="s">
        <v>152</v>
      </c>
      <c r="BX407" s="79" t="s">
        <v>179</v>
      </c>
      <c r="BY407" s="71"/>
      <c r="BZ407" s="79">
        <v>2</v>
      </c>
      <c r="CA407" s="79">
        <v>3</v>
      </c>
      <c r="CB407" s="79">
        <f t="shared" si="223"/>
        <v>5</v>
      </c>
      <c r="CC407" s="79" t="str">
        <f t="shared" si="227"/>
        <v>No Aplica</v>
      </c>
      <c r="CD407" s="79" t="s">
        <v>177</v>
      </c>
      <c r="CE407" s="79"/>
      <c r="CF407" s="79"/>
      <c r="CG407" s="83" t="s">
        <v>2969</v>
      </c>
      <c r="CH407" s="41"/>
      <c r="CI407" s="79" t="s">
        <v>153</v>
      </c>
      <c r="CJ407" s="71"/>
      <c r="CK407" s="79">
        <f t="shared" si="258"/>
        <v>0</v>
      </c>
      <c r="CL407" s="79"/>
      <c r="CM407" s="79"/>
      <c r="CN407" s="79"/>
      <c r="CO407" s="79"/>
      <c r="CP407" s="79"/>
      <c r="CQ407" s="79"/>
      <c r="CR407" s="83" t="s">
        <v>179</v>
      </c>
      <c r="CS407" s="83" t="s">
        <v>179</v>
      </c>
      <c r="CT407" s="83" t="s">
        <v>179</v>
      </c>
      <c r="CU407" s="83" t="s">
        <v>179</v>
      </c>
      <c r="CV407" s="83" t="s">
        <v>179</v>
      </c>
      <c r="CW407" s="83" t="s">
        <v>179</v>
      </c>
      <c r="CX407" s="79" t="s">
        <v>153</v>
      </c>
      <c r="CY407" s="79">
        <f t="shared" si="253"/>
        <v>0</v>
      </c>
      <c r="CZ407" s="79">
        <v>0</v>
      </c>
      <c r="DA407" s="79">
        <f t="shared" si="254"/>
        <v>0</v>
      </c>
      <c r="DB407" s="84" t="str">
        <f t="shared" si="259"/>
        <v/>
      </c>
      <c r="DC407" s="41"/>
      <c r="DD407" s="79" t="s">
        <v>153</v>
      </c>
      <c r="DE407" s="71"/>
      <c r="DF407" s="85" t="s">
        <v>2970</v>
      </c>
      <c r="DG407" s="79">
        <v>397</v>
      </c>
      <c r="DH407" s="86" t="str">
        <f t="shared" si="256"/>
        <v>Completo</v>
      </c>
      <c r="DI407" s="79" t="s">
        <v>181</v>
      </c>
      <c r="DJ407" s="79" t="s">
        <v>182</v>
      </c>
      <c r="DK407" s="79"/>
      <c r="DL407" s="79">
        <v>0</v>
      </c>
      <c r="DM407" s="79">
        <v>0</v>
      </c>
      <c r="DN407" s="79" t="s">
        <v>182</v>
      </c>
      <c r="DO407" s="79"/>
      <c r="DP407" s="79"/>
      <c r="DQ407" s="79"/>
      <c r="DR407" s="75" t="str">
        <f t="shared" si="240"/>
        <v>No aplica</v>
      </c>
      <c r="DS407" s="79"/>
      <c r="DT407" s="79"/>
      <c r="DU407" s="75" t="str">
        <f t="shared" si="241"/>
        <v>No aplica</v>
      </c>
      <c r="DV407" s="79" t="s">
        <v>182</v>
      </c>
      <c r="DW407" s="79" t="s">
        <v>182</v>
      </c>
      <c r="DX407" s="79"/>
      <c r="DY407" s="79"/>
      <c r="DZ407" s="79"/>
      <c r="EA407" s="79"/>
      <c r="EB407" s="79"/>
      <c r="EC407" s="79"/>
      <c r="ED407" s="79" t="s">
        <v>184</v>
      </c>
      <c r="EE407" s="79" t="str">
        <f t="shared" si="260"/>
        <v>Completo</v>
      </c>
      <c r="EF407" s="41"/>
      <c r="EG407" s="79" t="s">
        <v>153</v>
      </c>
      <c r="EH407" s="71"/>
      <c r="EI407" s="80"/>
      <c r="EJ407" s="71"/>
      <c r="EK407" s="79"/>
      <c r="EL407" s="76" t="str">
        <f t="shared" si="242"/>
        <v>No requiere</v>
      </c>
      <c r="EM407" s="76" t="str">
        <f t="shared" si="243"/>
        <v>No requiere</v>
      </c>
      <c r="EN407" s="76" t="str">
        <f t="shared" si="228"/>
        <v>No requiere</v>
      </c>
      <c r="EO407" s="71"/>
      <c r="EP407" s="73" t="str">
        <f t="shared" si="244"/>
        <v>No requiere</v>
      </c>
      <c r="EQ407" s="77" t="str">
        <f t="shared" si="245"/>
        <v>No requiere</v>
      </c>
      <c r="ER407" s="71"/>
      <c r="ES407" s="79"/>
      <c r="ET407" s="73" t="str">
        <f t="shared" si="246"/>
        <v>No requiere</v>
      </c>
      <c r="EU407" s="73" t="str">
        <f t="shared" si="229"/>
        <v>No requiere</v>
      </c>
      <c r="EV407" s="73" t="str">
        <f t="shared" si="247"/>
        <v>No requiere</v>
      </c>
      <c r="EW407" s="73" t="str">
        <f t="shared" si="248"/>
        <v>No requiere</v>
      </c>
      <c r="EX407" s="78"/>
      <c r="EY407" s="78"/>
    </row>
    <row r="408" spans="1:155" ht="46.5" customHeight="1">
      <c r="A408" s="79">
        <v>404</v>
      </c>
      <c r="B408" s="80" t="s">
        <v>2971</v>
      </c>
      <c r="C408" s="81">
        <v>45420</v>
      </c>
      <c r="D408" s="82">
        <v>0.66666666666666663</v>
      </c>
      <c r="E408" s="79" t="s">
        <v>200</v>
      </c>
      <c r="F408" s="79" t="s">
        <v>153</v>
      </c>
      <c r="G408" s="79" t="s">
        <v>152</v>
      </c>
      <c r="H408" s="79" t="s">
        <v>152</v>
      </c>
      <c r="I408" s="79" t="s">
        <v>152</v>
      </c>
      <c r="J408" s="79" t="s">
        <v>211</v>
      </c>
      <c r="K408" s="79" t="s">
        <v>202</v>
      </c>
      <c r="L408" s="80" t="s">
        <v>2972</v>
      </c>
      <c r="M408" s="80" t="s">
        <v>624</v>
      </c>
      <c r="N408" s="79" t="s">
        <v>888</v>
      </c>
      <c r="O408" s="80" t="str">
        <f t="shared" si="236"/>
        <v/>
      </c>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t="s">
        <v>230</v>
      </c>
      <c r="AP408" s="79" t="s">
        <v>242</v>
      </c>
      <c r="AQ408" s="80" t="s">
        <v>1322</v>
      </c>
      <c r="AR408" s="83" t="s">
        <v>1323</v>
      </c>
      <c r="AS408" s="80" t="s">
        <v>1324</v>
      </c>
      <c r="AT408" s="80" t="str">
        <f t="shared" si="237"/>
        <v>Distrital</v>
      </c>
      <c r="AU408" s="79" t="s">
        <v>172</v>
      </c>
      <c r="AV408" s="79"/>
      <c r="AW408" s="79"/>
      <c r="AX408" s="79"/>
      <c r="AY408" s="79"/>
      <c r="AZ408" s="79"/>
      <c r="BA408" s="80" t="str">
        <f t="shared" si="238"/>
        <v>Distrital</v>
      </c>
      <c r="BB408" s="79" t="s">
        <v>172</v>
      </c>
      <c r="BC408" s="79"/>
      <c r="BD408" s="79"/>
      <c r="BE408" s="79"/>
      <c r="BF408" s="79"/>
      <c r="BG408" s="79"/>
      <c r="BH408" s="80" t="str">
        <f t="shared" si="239"/>
        <v>Distrital</v>
      </c>
      <c r="BI408" s="79" t="s">
        <v>172</v>
      </c>
      <c r="BJ408" s="79"/>
      <c r="BK408" s="79"/>
      <c r="BL408" s="79"/>
      <c r="BM408" s="79"/>
      <c r="BN408" s="79"/>
      <c r="BO408" s="79"/>
      <c r="BP408" s="79"/>
      <c r="BQ408" s="79"/>
      <c r="BR408" s="79"/>
      <c r="BS408" s="80" t="s">
        <v>288</v>
      </c>
      <c r="BT408" s="80" t="s">
        <v>174</v>
      </c>
      <c r="BU408" s="89" t="s">
        <v>2973</v>
      </c>
      <c r="BV408" s="71"/>
      <c r="BW408" s="79" t="s">
        <v>152</v>
      </c>
      <c r="BX408" s="79" t="s">
        <v>179</v>
      </c>
      <c r="BY408" s="71"/>
      <c r="BZ408" s="79">
        <v>7</v>
      </c>
      <c r="CA408" s="79">
        <v>1</v>
      </c>
      <c r="CB408" s="79">
        <f t="shared" si="223"/>
        <v>8</v>
      </c>
      <c r="CC408" s="79" t="str">
        <f t="shared" si="227"/>
        <v>No Aplica</v>
      </c>
      <c r="CD408" s="79" t="s">
        <v>177</v>
      </c>
      <c r="CE408" s="79"/>
      <c r="CF408" s="79"/>
      <c r="CG408" s="83" t="s">
        <v>2974</v>
      </c>
      <c r="CH408" s="41"/>
      <c r="CI408" s="79" t="s">
        <v>153</v>
      </c>
      <c r="CJ408" s="71"/>
      <c r="CK408" s="79">
        <f t="shared" si="258"/>
        <v>0</v>
      </c>
      <c r="CL408" s="79"/>
      <c r="CM408" s="79"/>
      <c r="CN408" s="79"/>
      <c r="CO408" s="79"/>
      <c r="CP408" s="79"/>
      <c r="CQ408" s="79"/>
      <c r="CR408" s="83" t="s">
        <v>179</v>
      </c>
      <c r="CS408" s="83" t="s">
        <v>179</v>
      </c>
      <c r="CT408" s="83" t="s">
        <v>179</v>
      </c>
      <c r="CU408" s="83" t="s">
        <v>179</v>
      </c>
      <c r="CV408" s="83" t="s">
        <v>179</v>
      </c>
      <c r="CW408" s="83" t="s">
        <v>179</v>
      </c>
      <c r="CX408" s="79" t="s">
        <v>153</v>
      </c>
      <c r="CY408" s="79">
        <f t="shared" si="253"/>
        <v>0</v>
      </c>
      <c r="CZ408" s="79">
        <v>0</v>
      </c>
      <c r="DA408" s="79">
        <f t="shared" si="254"/>
        <v>0</v>
      </c>
      <c r="DB408" s="84" t="str">
        <f t="shared" si="259"/>
        <v/>
      </c>
      <c r="DC408" s="41"/>
      <c r="DD408" s="79" t="s">
        <v>153</v>
      </c>
      <c r="DE408" s="71"/>
      <c r="DF408" s="85" t="s">
        <v>2975</v>
      </c>
      <c r="DG408" s="79">
        <v>398</v>
      </c>
      <c r="DH408" s="86" t="str">
        <f t="shared" si="256"/>
        <v>Completo</v>
      </c>
      <c r="DI408" s="79" t="s">
        <v>181</v>
      </c>
      <c r="DJ408" s="79" t="s">
        <v>182</v>
      </c>
      <c r="DK408" s="79"/>
      <c r="DL408" s="79">
        <v>0</v>
      </c>
      <c r="DM408" s="79">
        <v>0</v>
      </c>
      <c r="DN408" s="79" t="s">
        <v>182</v>
      </c>
      <c r="DO408" s="79"/>
      <c r="DP408" s="79"/>
      <c r="DQ408" s="79"/>
      <c r="DR408" s="75" t="str">
        <f t="shared" si="240"/>
        <v>No aplica</v>
      </c>
      <c r="DS408" s="79"/>
      <c r="DT408" s="79"/>
      <c r="DU408" s="75" t="str">
        <f t="shared" si="241"/>
        <v>No aplica</v>
      </c>
      <c r="DV408" s="79" t="s">
        <v>182</v>
      </c>
      <c r="DW408" s="79" t="s">
        <v>182</v>
      </c>
      <c r="DX408" s="79"/>
      <c r="DY408" s="79"/>
      <c r="DZ408" s="79"/>
      <c r="EA408" s="79"/>
      <c r="EB408" s="79" t="s">
        <v>182</v>
      </c>
      <c r="EC408" s="79" t="s">
        <v>2976</v>
      </c>
      <c r="ED408" s="79" t="s">
        <v>184</v>
      </c>
      <c r="EE408" s="79" t="str">
        <f t="shared" si="260"/>
        <v>Completo</v>
      </c>
      <c r="EF408" s="41"/>
      <c r="EG408" s="79" t="s">
        <v>153</v>
      </c>
      <c r="EH408" s="71"/>
      <c r="EI408" s="80"/>
      <c r="EJ408" s="71"/>
      <c r="EK408" s="79"/>
      <c r="EL408" s="76" t="str">
        <f t="shared" si="242"/>
        <v>No requiere</v>
      </c>
      <c r="EM408" s="76" t="str">
        <f t="shared" si="243"/>
        <v>No requiere</v>
      </c>
      <c r="EN408" s="76" t="str">
        <f t="shared" si="228"/>
        <v>No requiere</v>
      </c>
      <c r="EO408" s="71"/>
      <c r="EP408" s="73" t="str">
        <f t="shared" si="244"/>
        <v>No requiere</v>
      </c>
      <c r="EQ408" s="77" t="str">
        <f t="shared" si="245"/>
        <v>No requiere</v>
      </c>
      <c r="ER408" s="71"/>
      <c r="ES408" s="79"/>
      <c r="ET408" s="73" t="str">
        <f t="shared" si="246"/>
        <v>No requiere</v>
      </c>
      <c r="EU408" s="73" t="str">
        <f t="shared" si="229"/>
        <v>No requiere</v>
      </c>
      <c r="EV408" s="73" t="str">
        <f t="shared" si="247"/>
        <v>No requiere</v>
      </c>
      <c r="EW408" s="73" t="str">
        <f t="shared" si="248"/>
        <v>No requiere</v>
      </c>
      <c r="EX408" s="78"/>
      <c r="EY408" s="78"/>
    </row>
    <row r="409" spans="1:155" ht="46.5" customHeight="1">
      <c r="A409" s="79">
        <v>405</v>
      </c>
      <c r="B409" s="80" t="s">
        <v>2977</v>
      </c>
      <c r="C409" s="81">
        <v>45420</v>
      </c>
      <c r="D409" s="82">
        <v>0.70833333333333337</v>
      </c>
      <c r="E409" s="79" t="s">
        <v>200</v>
      </c>
      <c r="F409" s="79" t="s">
        <v>153</v>
      </c>
      <c r="G409" s="79" t="s">
        <v>152</v>
      </c>
      <c r="H409" s="79" t="s">
        <v>152</v>
      </c>
      <c r="I409" s="79" t="s">
        <v>152</v>
      </c>
      <c r="J409" s="79" t="s">
        <v>211</v>
      </c>
      <c r="K409" s="79" t="s">
        <v>155</v>
      </c>
      <c r="L409" s="80" t="s">
        <v>2978</v>
      </c>
      <c r="M409" s="80" t="s">
        <v>624</v>
      </c>
      <c r="N409" s="79" t="s">
        <v>888</v>
      </c>
      <c r="O409" s="80" t="str">
        <f t="shared" si="236"/>
        <v/>
      </c>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t="s">
        <v>230</v>
      </c>
      <c r="AP409" s="79" t="s">
        <v>242</v>
      </c>
      <c r="AQ409" s="80" t="s">
        <v>625</v>
      </c>
      <c r="AR409" s="83">
        <v>3188799909</v>
      </c>
      <c r="AS409" s="80" t="s">
        <v>2040</v>
      </c>
      <c r="AT409" s="80" t="str">
        <f t="shared" si="237"/>
        <v>Distrital</v>
      </c>
      <c r="AU409" s="79" t="s">
        <v>172</v>
      </c>
      <c r="AV409" s="79"/>
      <c r="AW409" s="79"/>
      <c r="AX409" s="79"/>
      <c r="AY409" s="79"/>
      <c r="AZ409" s="79"/>
      <c r="BA409" s="80" t="str">
        <f t="shared" si="238"/>
        <v>Distrital</v>
      </c>
      <c r="BB409" s="79" t="s">
        <v>172</v>
      </c>
      <c r="BC409" s="79"/>
      <c r="BD409" s="79"/>
      <c r="BE409" s="79"/>
      <c r="BF409" s="79"/>
      <c r="BG409" s="79"/>
      <c r="BH409" s="80" t="str">
        <f t="shared" si="239"/>
        <v>Distrital</v>
      </c>
      <c r="BI409" s="79" t="s">
        <v>172</v>
      </c>
      <c r="BJ409" s="79"/>
      <c r="BK409" s="79"/>
      <c r="BL409" s="79"/>
      <c r="BM409" s="79"/>
      <c r="BN409" s="79"/>
      <c r="BO409" s="79"/>
      <c r="BP409" s="79"/>
      <c r="BQ409" s="79"/>
      <c r="BR409" s="79"/>
      <c r="BS409" s="80" t="s">
        <v>288</v>
      </c>
      <c r="BT409" s="80" t="s">
        <v>174</v>
      </c>
      <c r="BU409" s="80" t="s">
        <v>2979</v>
      </c>
      <c r="BV409" s="71"/>
      <c r="BW409" s="79" t="s">
        <v>152</v>
      </c>
      <c r="BX409" s="79" t="s">
        <v>179</v>
      </c>
      <c r="BY409" s="71"/>
      <c r="BZ409" s="79">
        <v>5</v>
      </c>
      <c r="CA409" s="79">
        <v>3</v>
      </c>
      <c r="CB409" s="79">
        <f t="shared" si="223"/>
        <v>8</v>
      </c>
      <c r="CC409" s="79" t="str">
        <f t="shared" si="227"/>
        <v>No Aplica</v>
      </c>
      <c r="CD409" s="79" t="s">
        <v>177</v>
      </c>
      <c r="CE409" s="79"/>
      <c r="CF409" s="79"/>
      <c r="CG409" s="83" t="s">
        <v>2980</v>
      </c>
      <c r="CH409" s="41"/>
      <c r="CI409" s="79" t="s">
        <v>153</v>
      </c>
      <c r="CJ409" s="71"/>
      <c r="CK409" s="79">
        <f t="shared" si="258"/>
        <v>0</v>
      </c>
      <c r="CL409" s="79"/>
      <c r="CM409" s="79"/>
      <c r="CN409" s="79"/>
      <c r="CO409" s="79"/>
      <c r="CP409" s="79"/>
      <c r="CQ409" s="79"/>
      <c r="CR409" s="83" t="s">
        <v>179</v>
      </c>
      <c r="CS409" s="83" t="s">
        <v>179</v>
      </c>
      <c r="CT409" s="83" t="s">
        <v>179</v>
      </c>
      <c r="CU409" s="83" t="s">
        <v>179</v>
      </c>
      <c r="CV409" s="83" t="s">
        <v>179</v>
      </c>
      <c r="CW409" s="83" t="s">
        <v>179</v>
      </c>
      <c r="CX409" s="79" t="s">
        <v>153</v>
      </c>
      <c r="CY409" s="79">
        <f t="shared" si="253"/>
        <v>0</v>
      </c>
      <c r="CZ409" s="79">
        <v>0</v>
      </c>
      <c r="DA409" s="79">
        <f t="shared" si="254"/>
        <v>0</v>
      </c>
      <c r="DB409" s="84" t="str">
        <f t="shared" si="259"/>
        <v/>
      </c>
      <c r="DC409" s="41"/>
      <c r="DD409" s="79" t="s">
        <v>153</v>
      </c>
      <c r="DE409" s="71"/>
      <c r="DF409" s="85" t="s">
        <v>2981</v>
      </c>
      <c r="DG409" s="79">
        <v>399</v>
      </c>
      <c r="DH409" s="86" t="str">
        <f t="shared" si="256"/>
        <v>Completo</v>
      </c>
      <c r="DI409" s="79" t="s">
        <v>181</v>
      </c>
      <c r="DJ409" s="79" t="s">
        <v>182</v>
      </c>
      <c r="DK409" s="79"/>
      <c r="DL409" s="79">
        <v>0</v>
      </c>
      <c r="DM409" s="79">
        <v>0</v>
      </c>
      <c r="DN409" s="79" t="s">
        <v>182</v>
      </c>
      <c r="DO409" s="79"/>
      <c r="DP409" s="79"/>
      <c r="DQ409" s="79"/>
      <c r="DR409" s="75" t="str">
        <f t="shared" si="240"/>
        <v>No aplica</v>
      </c>
      <c r="DS409" s="79"/>
      <c r="DT409" s="79"/>
      <c r="DU409" s="75" t="str">
        <f t="shared" si="241"/>
        <v>No aplica</v>
      </c>
      <c r="DV409" s="79" t="s">
        <v>182</v>
      </c>
      <c r="DW409" s="79" t="s">
        <v>182</v>
      </c>
      <c r="DX409" s="79"/>
      <c r="DY409" s="79"/>
      <c r="DZ409" s="79"/>
      <c r="EA409" s="79"/>
      <c r="EB409" s="79" t="s">
        <v>182</v>
      </c>
      <c r="EC409" s="79" t="s">
        <v>1578</v>
      </c>
      <c r="ED409" s="79" t="s">
        <v>1743</v>
      </c>
      <c r="EE409" s="79" t="str">
        <f t="shared" si="260"/>
        <v>Completo</v>
      </c>
      <c r="EF409" s="41"/>
      <c r="EG409" s="79" t="s">
        <v>153</v>
      </c>
      <c r="EH409" s="71"/>
      <c r="EI409" s="80"/>
      <c r="EJ409" s="71"/>
      <c r="EK409" s="79"/>
      <c r="EL409" s="76" t="str">
        <f t="shared" si="242"/>
        <v>No requiere</v>
      </c>
      <c r="EM409" s="76" t="str">
        <f t="shared" si="243"/>
        <v>No requiere</v>
      </c>
      <c r="EN409" s="76" t="str">
        <f t="shared" si="228"/>
        <v>No requiere</v>
      </c>
      <c r="EO409" s="71"/>
      <c r="EP409" s="73" t="str">
        <f t="shared" si="244"/>
        <v>No requiere</v>
      </c>
      <c r="EQ409" s="77" t="str">
        <f t="shared" si="245"/>
        <v>No requiere</v>
      </c>
      <c r="ER409" s="71"/>
      <c r="ES409" s="79"/>
      <c r="ET409" s="73" t="str">
        <f t="shared" si="246"/>
        <v>No requiere</v>
      </c>
      <c r="EU409" s="73" t="str">
        <f t="shared" si="229"/>
        <v>No requiere</v>
      </c>
      <c r="EV409" s="73" t="str">
        <f t="shared" si="247"/>
        <v>No requiere</v>
      </c>
      <c r="EW409" s="73" t="str">
        <f t="shared" si="248"/>
        <v>No requiere</v>
      </c>
      <c r="EX409" s="78"/>
      <c r="EY409" s="78"/>
    </row>
    <row r="410" spans="1:155" ht="46.5" customHeight="1">
      <c r="A410" s="79">
        <v>406</v>
      </c>
      <c r="B410" s="80" t="s">
        <v>2982</v>
      </c>
      <c r="C410" s="81">
        <v>45421</v>
      </c>
      <c r="D410" s="82">
        <v>0.375</v>
      </c>
      <c r="E410" s="79" t="s">
        <v>151</v>
      </c>
      <c r="F410" s="79" t="s">
        <v>153</v>
      </c>
      <c r="G410" s="79" t="s">
        <v>153</v>
      </c>
      <c r="H410" s="79" t="s">
        <v>153</v>
      </c>
      <c r="I410" s="79" t="s">
        <v>152</v>
      </c>
      <c r="J410" s="79" t="s">
        <v>154</v>
      </c>
      <c r="K410" s="79" t="s">
        <v>155</v>
      </c>
      <c r="L410" s="80" t="s">
        <v>2596</v>
      </c>
      <c r="M410" s="80" t="s">
        <v>303</v>
      </c>
      <c r="N410" s="79" t="s">
        <v>195</v>
      </c>
      <c r="O410" s="80" t="str">
        <f t="shared" si="236"/>
        <v>Nixon Sandoval Mateus</v>
      </c>
      <c r="P410" s="79" t="s">
        <v>644</v>
      </c>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t="s">
        <v>169</v>
      </c>
      <c r="AP410" s="79" t="s">
        <v>475</v>
      </c>
      <c r="AQ410" s="80" t="s">
        <v>171</v>
      </c>
      <c r="AR410" s="83" t="s">
        <v>171</v>
      </c>
      <c r="AS410" s="80" t="s">
        <v>171</v>
      </c>
      <c r="AT410" s="80" t="str">
        <f t="shared" si="237"/>
        <v>Distrital</v>
      </c>
      <c r="AU410" s="79" t="s">
        <v>172</v>
      </c>
      <c r="AV410" s="79"/>
      <c r="AW410" s="79"/>
      <c r="AX410" s="79"/>
      <c r="AY410" s="79"/>
      <c r="AZ410" s="79"/>
      <c r="BA410" s="80" t="str">
        <f t="shared" si="238"/>
        <v>Distrital</v>
      </c>
      <c r="BB410" s="79" t="s">
        <v>172</v>
      </c>
      <c r="BC410" s="79"/>
      <c r="BD410" s="79"/>
      <c r="BE410" s="79"/>
      <c r="BF410" s="79"/>
      <c r="BG410" s="79"/>
      <c r="BH410" s="80" t="str">
        <f t="shared" si="239"/>
        <v>Distrital</v>
      </c>
      <c r="BI410" s="79" t="s">
        <v>172</v>
      </c>
      <c r="BJ410" s="79"/>
      <c r="BK410" s="79"/>
      <c r="BL410" s="79"/>
      <c r="BM410" s="79"/>
      <c r="BN410" s="79"/>
      <c r="BO410" s="79"/>
      <c r="BP410" s="79"/>
      <c r="BQ410" s="79"/>
      <c r="BR410" s="79"/>
      <c r="BS410" s="80" t="s">
        <v>2598</v>
      </c>
      <c r="BT410" s="80" t="s">
        <v>174</v>
      </c>
      <c r="BU410" s="80" t="s">
        <v>2599</v>
      </c>
      <c r="BV410" s="71"/>
      <c r="BW410" s="79" t="s">
        <v>153</v>
      </c>
      <c r="BX410" s="79" t="s">
        <v>2600</v>
      </c>
      <c r="BY410" s="71"/>
      <c r="BZ410" s="79">
        <v>7</v>
      </c>
      <c r="CA410" s="79">
        <v>4</v>
      </c>
      <c r="CB410" s="79">
        <f t="shared" si="223"/>
        <v>11</v>
      </c>
      <c r="CC410" s="79" t="str">
        <f t="shared" si="227"/>
        <v>Ninguna</v>
      </c>
      <c r="CD410" s="79" t="s">
        <v>174</v>
      </c>
      <c r="CE410" s="79"/>
      <c r="CF410" s="79"/>
      <c r="CG410" s="83" t="s">
        <v>2983</v>
      </c>
      <c r="CH410" s="41"/>
      <c r="CI410" s="79" t="s">
        <v>153</v>
      </c>
      <c r="CJ410" s="71"/>
      <c r="CK410" s="79">
        <f t="shared" si="258"/>
        <v>1</v>
      </c>
      <c r="CL410" s="93" t="s">
        <v>2984</v>
      </c>
      <c r="CM410" s="79"/>
      <c r="CN410" s="79"/>
      <c r="CO410" s="79"/>
      <c r="CP410" s="79"/>
      <c r="CQ410" s="79"/>
      <c r="CR410" s="83" t="s">
        <v>390</v>
      </c>
      <c r="CS410" s="83" t="s">
        <v>179</v>
      </c>
      <c r="CT410" s="83" t="s">
        <v>179</v>
      </c>
      <c r="CU410" s="83" t="s">
        <v>179</v>
      </c>
      <c r="CV410" s="83" t="s">
        <v>179</v>
      </c>
      <c r="CW410" s="83" t="s">
        <v>179</v>
      </c>
      <c r="CX410" s="79" t="s">
        <v>153</v>
      </c>
      <c r="CY410" s="79">
        <f t="shared" si="253"/>
        <v>1</v>
      </c>
      <c r="CZ410" s="79">
        <v>1</v>
      </c>
      <c r="DA410" s="79">
        <f t="shared" si="254"/>
        <v>1</v>
      </c>
      <c r="DB410" s="84">
        <f t="shared" si="259"/>
        <v>1</v>
      </c>
      <c r="DC410" s="41"/>
      <c r="DD410" s="79" t="s">
        <v>153</v>
      </c>
      <c r="DE410" s="71"/>
      <c r="DF410" s="85" t="s">
        <v>2985</v>
      </c>
      <c r="DG410" s="79">
        <v>400</v>
      </c>
      <c r="DH410" s="86" t="str">
        <f t="shared" si="256"/>
        <v>Completo</v>
      </c>
      <c r="DI410" s="79" t="s">
        <v>181</v>
      </c>
      <c r="DJ410" s="79" t="s">
        <v>182</v>
      </c>
      <c r="DK410" s="79" t="s">
        <v>153</v>
      </c>
      <c r="DL410" s="79">
        <v>14</v>
      </c>
      <c r="DM410" s="79">
        <v>14</v>
      </c>
      <c r="DN410" s="79" t="s">
        <v>182</v>
      </c>
      <c r="DO410" s="79" t="s">
        <v>179</v>
      </c>
      <c r="DP410" s="79" t="s">
        <v>182</v>
      </c>
      <c r="DQ410" s="79">
        <v>2</v>
      </c>
      <c r="DR410" s="75">
        <f t="shared" si="240"/>
        <v>0.95238095238095233</v>
      </c>
      <c r="DS410" s="79" t="s">
        <v>182</v>
      </c>
      <c r="DT410" s="79">
        <v>2</v>
      </c>
      <c r="DU410" s="75">
        <f t="shared" si="241"/>
        <v>0.81632653061224503</v>
      </c>
      <c r="DV410" s="79" t="s">
        <v>182</v>
      </c>
      <c r="DW410" s="79" t="s">
        <v>182</v>
      </c>
      <c r="DX410" s="79">
        <v>1</v>
      </c>
      <c r="DY410" s="79" t="s">
        <v>179</v>
      </c>
      <c r="DZ410" s="79"/>
      <c r="EA410" s="79" t="s">
        <v>179</v>
      </c>
      <c r="EB410" s="79" t="s">
        <v>182</v>
      </c>
      <c r="EC410" s="79" t="s">
        <v>769</v>
      </c>
      <c r="ED410" s="79" t="s">
        <v>249</v>
      </c>
      <c r="EE410" s="79" t="str">
        <f t="shared" si="260"/>
        <v>Completo</v>
      </c>
      <c r="EF410" s="41"/>
      <c r="EG410" s="79" t="s">
        <v>153</v>
      </c>
      <c r="EH410" s="71"/>
      <c r="EI410" s="89" t="s">
        <v>2986</v>
      </c>
      <c r="EJ410" s="71"/>
      <c r="EK410" s="79" t="s">
        <v>393</v>
      </c>
      <c r="EL410" s="76" t="str">
        <f t="shared" si="242"/>
        <v>No</v>
      </c>
      <c r="EM410" s="76" t="str">
        <f t="shared" si="243"/>
        <v>No aplica</v>
      </c>
      <c r="EN410" s="76" t="str">
        <f t="shared" si="228"/>
        <v>No</v>
      </c>
      <c r="EO410" s="71"/>
      <c r="EP410" s="73">
        <f t="shared" si="244"/>
        <v>1</v>
      </c>
      <c r="EQ410" s="77">
        <f t="shared" si="245"/>
        <v>0.81632653061224503</v>
      </c>
      <c r="ER410" s="71"/>
      <c r="ES410" s="79" t="s">
        <v>393</v>
      </c>
      <c r="ET410" s="73">
        <f t="shared" si="246"/>
        <v>1</v>
      </c>
      <c r="EU410" s="73">
        <f t="shared" si="229"/>
        <v>1</v>
      </c>
      <c r="EV410" s="73">
        <f t="shared" si="247"/>
        <v>1</v>
      </c>
      <c r="EW410" s="73" t="str">
        <f t="shared" si="248"/>
        <v>No aplica</v>
      </c>
      <c r="EX410" s="78"/>
      <c r="EY410" s="78"/>
    </row>
    <row r="411" spans="1:155" ht="46.5" customHeight="1">
      <c r="A411" s="79">
        <v>407</v>
      </c>
      <c r="B411" s="80" t="s">
        <v>2987</v>
      </c>
      <c r="C411" s="81">
        <v>45421</v>
      </c>
      <c r="D411" s="82">
        <v>0.33333333333333331</v>
      </c>
      <c r="E411" s="79" t="s">
        <v>151</v>
      </c>
      <c r="F411" s="79" t="s">
        <v>153</v>
      </c>
      <c r="G411" s="79"/>
      <c r="H411" s="79" t="s">
        <v>152</v>
      </c>
      <c r="I411" s="79" t="s">
        <v>152</v>
      </c>
      <c r="J411" s="79" t="s">
        <v>154</v>
      </c>
      <c r="K411" s="79" t="s">
        <v>155</v>
      </c>
      <c r="L411" s="80" t="s">
        <v>2988</v>
      </c>
      <c r="M411" s="80" t="s">
        <v>303</v>
      </c>
      <c r="N411" s="79" t="s">
        <v>801</v>
      </c>
      <c r="O411" s="80" t="str">
        <f t="shared" si="236"/>
        <v>James Fernando Núñez</v>
      </c>
      <c r="P411" s="79" t="s">
        <v>632</v>
      </c>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t="s">
        <v>169</v>
      </c>
      <c r="AP411" s="79" t="s">
        <v>475</v>
      </c>
      <c r="AQ411" s="80" t="s">
        <v>171</v>
      </c>
      <c r="AR411" s="83" t="s">
        <v>171</v>
      </c>
      <c r="AS411" s="80" t="s">
        <v>171</v>
      </c>
      <c r="AT411" s="80" t="str">
        <f t="shared" si="237"/>
        <v>Distrital</v>
      </c>
      <c r="AU411" s="79" t="s">
        <v>172</v>
      </c>
      <c r="AV411" s="79"/>
      <c r="AW411" s="79"/>
      <c r="AX411" s="79"/>
      <c r="AY411" s="79"/>
      <c r="AZ411" s="79"/>
      <c r="BA411" s="80" t="str">
        <f t="shared" si="238"/>
        <v>Distrital</v>
      </c>
      <c r="BB411" s="79" t="s">
        <v>172</v>
      </c>
      <c r="BC411" s="79"/>
      <c r="BD411" s="79"/>
      <c r="BE411" s="79"/>
      <c r="BF411" s="79"/>
      <c r="BG411" s="79"/>
      <c r="BH411" s="80" t="str">
        <f t="shared" si="239"/>
        <v>Distrital</v>
      </c>
      <c r="BI411" s="79" t="s">
        <v>172</v>
      </c>
      <c r="BJ411" s="79"/>
      <c r="BK411" s="79"/>
      <c r="BL411" s="79"/>
      <c r="BM411" s="79"/>
      <c r="BN411" s="79"/>
      <c r="BO411" s="79"/>
      <c r="BP411" s="79"/>
      <c r="BQ411" s="79"/>
      <c r="BR411" s="79"/>
      <c r="BS411" s="80" t="s">
        <v>288</v>
      </c>
      <c r="BT411" s="80" t="s">
        <v>174</v>
      </c>
      <c r="BU411" s="80" t="s">
        <v>2989</v>
      </c>
      <c r="BV411" s="71"/>
      <c r="BW411" s="79" t="s">
        <v>153</v>
      </c>
      <c r="BX411" s="79" t="s">
        <v>2600</v>
      </c>
      <c r="BY411" s="71"/>
      <c r="BZ411" s="79">
        <v>20</v>
      </c>
      <c r="CA411" s="79">
        <v>10</v>
      </c>
      <c r="CB411" s="79">
        <f t="shared" si="223"/>
        <v>30</v>
      </c>
      <c r="CC411" s="79" t="str">
        <f t="shared" si="227"/>
        <v>No Aplica</v>
      </c>
      <c r="CD411" s="79" t="s">
        <v>177</v>
      </c>
      <c r="CE411" s="79"/>
      <c r="CF411" s="79"/>
      <c r="CG411" s="83" t="s">
        <v>2990</v>
      </c>
      <c r="CH411" s="41"/>
      <c r="CI411" s="79" t="s">
        <v>153</v>
      </c>
      <c r="CJ411" s="71"/>
      <c r="CK411" s="79">
        <f t="shared" si="258"/>
        <v>0</v>
      </c>
      <c r="CL411" s="79"/>
      <c r="CM411" s="79"/>
      <c r="CN411" s="79"/>
      <c r="CO411" s="79"/>
      <c r="CP411" s="79"/>
      <c r="CQ411" s="79"/>
      <c r="CR411" s="83" t="s">
        <v>179</v>
      </c>
      <c r="CS411" s="83" t="s">
        <v>179</v>
      </c>
      <c r="CT411" s="83" t="s">
        <v>179</v>
      </c>
      <c r="CU411" s="83" t="s">
        <v>179</v>
      </c>
      <c r="CV411" s="83" t="s">
        <v>179</v>
      </c>
      <c r="CW411" s="83" t="s">
        <v>179</v>
      </c>
      <c r="CX411" s="79" t="s">
        <v>152</v>
      </c>
      <c r="CY411" s="79">
        <f t="shared" si="253"/>
        <v>0</v>
      </c>
      <c r="CZ411" s="79">
        <v>0</v>
      </c>
      <c r="DA411" s="79">
        <f t="shared" si="254"/>
        <v>0</v>
      </c>
      <c r="DB411" s="84" t="str">
        <f t="shared" si="259"/>
        <v/>
      </c>
      <c r="DC411" s="41"/>
      <c r="DD411" s="79" t="s">
        <v>153</v>
      </c>
      <c r="DE411" s="71"/>
      <c r="DF411" s="85" t="s">
        <v>2991</v>
      </c>
      <c r="DG411" s="79">
        <v>401</v>
      </c>
      <c r="DH411" s="86" t="str">
        <f t="shared" si="256"/>
        <v>Completo</v>
      </c>
      <c r="DI411" s="79" t="s">
        <v>181</v>
      </c>
      <c r="DJ411" s="79" t="s">
        <v>182</v>
      </c>
      <c r="DK411" s="79"/>
      <c r="DL411" s="79">
        <v>11</v>
      </c>
      <c r="DM411" s="79">
        <v>11</v>
      </c>
      <c r="DN411" s="79" t="s">
        <v>182</v>
      </c>
      <c r="DO411" s="79"/>
      <c r="DP411" s="79"/>
      <c r="DQ411" s="79"/>
      <c r="DR411" s="75" t="str">
        <f t="shared" si="240"/>
        <v>No aplica</v>
      </c>
      <c r="DS411" s="79"/>
      <c r="DT411" s="79"/>
      <c r="DU411" s="75" t="str">
        <f t="shared" si="241"/>
        <v>No aplica</v>
      </c>
      <c r="DV411" s="79" t="s">
        <v>182</v>
      </c>
      <c r="DW411" s="79" t="s">
        <v>191</v>
      </c>
      <c r="DX411" s="79"/>
      <c r="DY411" s="79"/>
      <c r="DZ411" s="79"/>
      <c r="EA411" s="79"/>
      <c r="EB411" s="79"/>
      <c r="EC411" s="79"/>
      <c r="ED411" s="79" t="s">
        <v>184</v>
      </c>
      <c r="EE411" s="79" t="str">
        <f t="shared" si="260"/>
        <v>Completo</v>
      </c>
      <c r="EF411" s="41"/>
      <c r="EG411" s="79" t="s">
        <v>153</v>
      </c>
      <c r="EH411" s="71"/>
      <c r="EI411" s="80"/>
      <c r="EJ411" s="71"/>
      <c r="EK411" s="79"/>
      <c r="EL411" s="76" t="str">
        <f t="shared" si="242"/>
        <v>No requiere</v>
      </c>
      <c r="EM411" s="76" t="str">
        <f t="shared" si="243"/>
        <v>No requiere</v>
      </c>
      <c r="EN411" s="76" t="str">
        <f t="shared" si="228"/>
        <v>No requiere</v>
      </c>
      <c r="EO411" s="71"/>
      <c r="EP411" s="73" t="str">
        <f t="shared" si="244"/>
        <v>No requiere</v>
      </c>
      <c r="EQ411" s="77" t="str">
        <f t="shared" si="245"/>
        <v>No requiere</v>
      </c>
      <c r="ER411" s="71"/>
      <c r="ES411" s="79"/>
      <c r="ET411" s="73" t="str">
        <f t="shared" si="246"/>
        <v>No requiere</v>
      </c>
      <c r="EU411" s="73" t="str">
        <f t="shared" si="229"/>
        <v>No requiere</v>
      </c>
      <c r="EV411" s="73" t="str">
        <f t="shared" si="247"/>
        <v>No requiere</v>
      </c>
      <c r="EW411" s="73" t="str">
        <f t="shared" si="248"/>
        <v>No requiere</v>
      </c>
      <c r="EX411" s="78"/>
      <c r="EY411" s="78"/>
    </row>
    <row r="412" spans="1:155" ht="46.5" customHeight="1">
      <c r="A412" s="79">
        <v>408</v>
      </c>
      <c r="B412" s="80" t="s">
        <v>1052</v>
      </c>
      <c r="C412" s="81">
        <v>45421</v>
      </c>
      <c r="D412" s="82">
        <v>0.35416666666666669</v>
      </c>
      <c r="E412" s="79" t="s">
        <v>200</v>
      </c>
      <c r="F412" s="79" t="s">
        <v>153</v>
      </c>
      <c r="G412" s="79" t="s">
        <v>152</v>
      </c>
      <c r="H412" s="79" t="s">
        <v>152</v>
      </c>
      <c r="I412" s="79" t="s">
        <v>152</v>
      </c>
      <c r="J412" s="79" t="s">
        <v>504</v>
      </c>
      <c r="K412" s="79" t="s">
        <v>155</v>
      </c>
      <c r="L412" s="80" t="s">
        <v>2070</v>
      </c>
      <c r="M412" s="80" t="s">
        <v>157</v>
      </c>
      <c r="N412" s="79" t="s">
        <v>675</v>
      </c>
      <c r="O412" s="80" t="str">
        <f t="shared" si="236"/>
        <v/>
      </c>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t="s">
        <v>169</v>
      </c>
      <c r="AP412" s="79" t="s">
        <v>2702</v>
      </c>
      <c r="AQ412" s="80" t="s">
        <v>2071</v>
      </c>
      <c r="AR412" s="83" t="s">
        <v>2992</v>
      </c>
      <c r="AS412" s="80" t="s">
        <v>1056</v>
      </c>
      <c r="AT412" s="80" t="str">
        <f t="shared" si="237"/>
        <v>Bosa</v>
      </c>
      <c r="AU412" s="79" t="s">
        <v>730</v>
      </c>
      <c r="AV412" s="79"/>
      <c r="AW412" s="79"/>
      <c r="AX412" s="79"/>
      <c r="AY412" s="79"/>
      <c r="AZ412" s="79"/>
      <c r="BA412" s="80" t="str">
        <f t="shared" si="238"/>
        <v>Suroccidente</v>
      </c>
      <c r="BB412" s="79" t="s">
        <v>732</v>
      </c>
      <c r="BC412" s="79"/>
      <c r="BD412" s="79"/>
      <c r="BE412" s="79"/>
      <c r="BF412" s="79"/>
      <c r="BG412" s="79"/>
      <c r="BH412" s="80" t="str">
        <f t="shared" si="239"/>
        <v>Edén, Porvenir, Bosa</v>
      </c>
      <c r="BI412" s="79" t="s">
        <v>1057</v>
      </c>
      <c r="BJ412" s="79" t="s">
        <v>1058</v>
      </c>
      <c r="BK412" s="79" t="s">
        <v>730</v>
      </c>
      <c r="BL412" s="79"/>
      <c r="BM412" s="79"/>
      <c r="BN412" s="79"/>
      <c r="BO412" s="79"/>
      <c r="BP412" s="79"/>
      <c r="BQ412" s="79"/>
      <c r="BR412" s="79"/>
      <c r="BS412" s="80" t="s">
        <v>2493</v>
      </c>
      <c r="BT412" s="80" t="s">
        <v>174</v>
      </c>
      <c r="BU412" s="80" t="s">
        <v>2993</v>
      </c>
      <c r="BV412" s="71"/>
      <c r="BW412" s="79" t="s">
        <v>152</v>
      </c>
      <c r="BX412" s="79" t="s">
        <v>179</v>
      </c>
      <c r="BY412" s="71"/>
      <c r="BZ412" s="79">
        <v>12</v>
      </c>
      <c r="CA412" s="79">
        <v>2</v>
      </c>
      <c r="CB412" s="79">
        <f t="shared" si="223"/>
        <v>14</v>
      </c>
      <c r="CC412" s="79" t="str">
        <f t="shared" si="227"/>
        <v>No Aplica</v>
      </c>
      <c r="CD412" s="79" t="s">
        <v>177</v>
      </c>
      <c r="CE412" s="79"/>
      <c r="CF412" s="79"/>
      <c r="CG412" s="83" t="s">
        <v>2994</v>
      </c>
      <c r="CH412" s="41"/>
      <c r="CI412" s="79" t="s">
        <v>153</v>
      </c>
      <c r="CJ412" s="71"/>
      <c r="CK412" s="79">
        <f t="shared" si="258"/>
        <v>0</v>
      </c>
      <c r="CL412" s="79"/>
      <c r="CM412" s="79"/>
      <c r="CN412" s="79"/>
      <c r="CO412" s="79"/>
      <c r="CP412" s="79"/>
      <c r="CQ412" s="79"/>
      <c r="CR412" s="83" t="s">
        <v>179</v>
      </c>
      <c r="CS412" s="83" t="s">
        <v>179</v>
      </c>
      <c r="CT412" s="83" t="s">
        <v>179</v>
      </c>
      <c r="CU412" s="83" t="s">
        <v>179</v>
      </c>
      <c r="CV412" s="83" t="s">
        <v>179</v>
      </c>
      <c r="CW412" s="83" t="s">
        <v>179</v>
      </c>
      <c r="CX412" s="79" t="s">
        <v>153</v>
      </c>
      <c r="CY412" s="79">
        <f t="shared" si="253"/>
        <v>0</v>
      </c>
      <c r="CZ412" s="79">
        <v>0</v>
      </c>
      <c r="DA412" s="79">
        <f t="shared" si="254"/>
        <v>0</v>
      </c>
      <c r="DB412" s="84" t="str">
        <f t="shared" si="259"/>
        <v/>
      </c>
      <c r="DC412" s="41"/>
      <c r="DD412" s="79" t="s">
        <v>153</v>
      </c>
      <c r="DE412" s="71"/>
      <c r="DF412" s="85" t="s">
        <v>2995</v>
      </c>
      <c r="DG412" s="79">
        <v>402</v>
      </c>
      <c r="DH412" s="86" t="str">
        <f t="shared" si="256"/>
        <v>Completo</v>
      </c>
      <c r="DI412" s="79" t="s">
        <v>181</v>
      </c>
      <c r="DJ412" s="79" t="s">
        <v>182</v>
      </c>
      <c r="DK412" s="79"/>
      <c r="DL412" s="79">
        <v>0</v>
      </c>
      <c r="DM412" s="79">
        <v>0</v>
      </c>
      <c r="DN412" s="79" t="s">
        <v>182</v>
      </c>
      <c r="DO412" s="79"/>
      <c r="DP412" s="79"/>
      <c r="DQ412" s="79"/>
      <c r="DR412" s="75" t="str">
        <f t="shared" si="240"/>
        <v>No aplica</v>
      </c>
      <c r="DS412" s="79"/>
      <c r="DT412" s="79"/>
      <c r="DU412" s="75" t="str">
        <f t="shared" si="241"/>
        <v>No aplica</v>
      </c>
      <c r="DV412" s="79" t="s">
        <v>182</v>
      </c>
      <c r="DW412" s="79" t="s">
        <v>182</v>
      </c>
      <c r="DX412" s="79"/>
      <c r="DY412" s="79"/>
      <c r="DZ412" s="79"/>
      <c r="EA412" s="79"/>
      <c r="EB412" s="79"/>
      <c r="EC412" s="79"/>
      <c r="ED412" s="79" t="s">
        <v>184</v>
      </c>
      <c r="EE412" s="79" t="str">
        <f t="shared" si="260"/>
        <v>Completo</v>
      </c>
      <c r="EF412" s="41"/>
      <c r="EG412" s="79" t="s">
        <v>153</v>
      </c>
      <c r="EH412" s="71"/>
      <c r="EI412" s="80"/>
      <c r="EJ412" s="71"/>
      <c r="EK412" s="79"/>
      <c r="EL412" s="76" t="str">
        <f t="shared" si="242"/>
        <v>No requiere</v>
      </c>
      <c r="EM412" s="76" t="str">
        <f t="shared" si="243"/>
        <v>No requiere</v>
      </c>
      <c r="EN412" s="76" t="str">
        <f t="shared" si="228"/>
        <v>No requiere</v>
      </c>
      <c r="EO412" s="71"/>
      <c r="EP412" s="73" t="str">
        <f t="shared" si="244"/>
        <v>No requiere</v>
      </c>
      <c r="EQ412" s="77" t="str">
        <f t="shared" si="245"/>
        <v>No requiere</v>
      </c>
      <c r="ER412" s="71"/>
      <c r="ES412" s="79"/>
      <c r="ET412" s="73" t="str">
        <f t="shared" si="246"/>
        <v>No requiere</v>
      </c>
      <c r="EU412" s="73" t="str">
        <f t="shared" si="229"/>
        <v>No requiere</v>
      </c>
      <c r="EV412" s="73" t="str">
        <f t="shared" si="247"/>
        <v>No requiere</v>
      </c>
      <c r="EW412" s="73" t="str">
        <f t="shared" si="248"/>
        <v>No requiere</v>
      </c>
      <c r="EX412" s="78"/>
      <c r="EY412" s="78"/>
    </row>
    <row r="413" spans="1:155" ht="46.5" customHeight="1">
      <c r="A413" s="79">
        <v>409</v>
      </c>
      <c r="B413" s="80" t="s">
        <v>2843</v>
      </c>
      <c r="C413" s="81">
        <v>45421</v>
      </c>
      <c r="D413" s="82">
        <v>0.375</v>
      </c>
      <c r="E413" s="79" t="s">
        <v>151</v>
      </c>
      <c r="F413" s="79" t="s">
        <v>153</v>
      </c>
      <c r="G413" s="79" t="s">
        <v>152</v>
      </c>
      <c r="H413" s="79" t="s">
        <v>152</v>
      </c>
      <c r="I413" s="79" t="s">
        <v>152</v>
      </c>
      <c r="J413" s="79" t="s">
        <v>154</v>
      </c>
      <c r="K413" s="79" t="s">
        <v>155</v>
      </c>
      <c r="L413" s="80" t="s">
        <v>2844</v>
      </c>
      <c r="M413" s="80" t="s">
        <v>303</v>
      </c>
      <c r="N413" s="79" t="s">
        <v>819</v>
      </c>
      <c r="O413" s="80" t="str">
        <f t="shared" si="236"/>
        <v>Nicolas Esteban Hernández, Joan Sebastian García, Paola Andrea González, Laura Sofia Morales, Disney Sánchez, David Alejandro Mendieta</v>
      </c>
      <c r="P413" s="79" t="s">
        <v>645</v>
      </c>
      <c r="Q413" s="79" t="s">
        <v>728</v>
      </c>
      <c r="R413" s="79" t="s">
        <v>924</v>
      </c>
      <c r="S413" s="79" t="s">
        <v>506</v>
      </c>
      <c r="T413" s="79" t="s">
        <v>721</v>
      </c>
      <c r="U413" s="79" t="s">
        <v>1444</v>
      </c>
      <c r="V413" s="79"/>
      <c r="W413" s="79"/>
      <c r="X413" s="79"/>
      <c r="Y413" s="79"/>
      <c r="Z413" s="79"/>
      <c r="AA413" s="79"/>
      <c r="AB413" s="79"/>
      <c r="AC413" s="79"/>
      <c r="AD413" s="79"/>
      <c r="AE413" s="79"/>
      <c r="AF413" s="79"/>
      <c r="AG413" s="79"/>
      <c r="AH413" s="79"/>
      <c r="AI413" s="79"/>
      <c r="AJ413" s="79"/>
      <c r="AK413" s="79"/>
      <c r="AL413" s="79"/>
      <c r="AM413" s="79"/>
      <c r="AN413" s="79"/>
      <c r="AO413" s="79" t="s">
        <v>169</v>
      </c>
      <c r="AP413" s="79" t="s">
        <v>475</v>
      </c>
      <c r="AQ413" s="80" t="s">
        <v>171</v>
      </c>
      <c r="AR413" s="83" t="s">
        <v>171</v>
      </c>
      <c r="AS413" s="80" t="s">
        <v>171</v>
      </c>
      <c r="AT413" s="80" t="str">
        <f t="shared" si="237"/>
        <v>Distrital</v>
      </c>
      <c r="AU413" s="79" t="s">
        <v>172</v>
      </c>
      <c r="AV413" s="79"/>
      <c r="AW413" s="79"/>
      <c r="AX413" s="79"/>
      <c r="AY413" s="79"/>
      <c r="AZ413" s="79"/>
      <c r="BA413" s="80" t="str">
        <f t="shared" si="238"/>
        <v>Distrital</v>
      </c>
      <c r="BB413" s="79" t="s">
        <v>172</v>
      </c>
      <c r="BC413" s="79"/>
      <c r="BD413" s="79"/>
      <c r="BE413" s="79"/>
      <c r="BF413" s="79"/>
      <c r="BG413" s="79"/>
      <c r="BH413" s="80" t="str">
        <f t="shared" si="239"/>
        <v>Distrital</v>
      </c>
      <c r="BI413" s="79" t="s">
        <v>172</v>
      </c>
      <c r="BJ413" s="79"/>
      <c r="BK413" s="79"/>
      <c r="BL413" s="79"/>
      <c r="BM413" s="79"/>
      <c r="BN413" s="79"/>
      <c r="BO413" s="79"/>
      <c r="BP413" s="79"/>
      <c r="BQ413" s="79"/>
      <c r="BR413" s="79"/>
      <c r="BS413" s="80" t="s">
        <v>2598</v>
      </c>
      <c r="BT413" s="80" t="s">
        <v>174</v>
      </c>
      <c r="BU413" s="80" t="s">
        <v>2599</v>
      </c>
      <c r="BV413" s="71"/>
      <c r="BW413" s="79" t="s">
        <v>153</v>
      </c>
      <c r="BX413" s="79" t="s">
        <v>2600</v>
      </c>
      <c r="BY413" s="71"/>
      <c r="BZ413" s="79">
        <v>50</v>
      </c>
      <c r="CA413" s="79">
        <v>4</v>
      </c>
      <c r="CB413" s="79">
        <f t="shared" si="223"/>
        <v>54</v>
      </c>
      <c r="CC413" s="79" t="str">
        <f t="shared" si="227"/>
        <v>No Aplica</v>
      </c>
      <c r="CD413" s="79" t="s">
        <v>177</v>
      </c>
      <c r="CE413" s="79"/>
      <c r="CF413" s="79"/>
      <c r="CG413" s="83" t="s">
        <v>2996</v>
      </c>
      <c r="CH413" s="41"/>
      <c r="CI413" s="79" t="s">
        <v>153</v>
      </c>
      <c r="CJ413" s="71"/>
      <c r="CK413" s="79">
        <f t="shared" si="258"/>
        <v>0</v>
      </c>
      <c r="CL413" s="79"/>
      <c r="CM413" s="79"/>
      <c r="CN413" s="79"/>
      <c r="CO413" s="79"/>
      <c r="CP413" s="79"/>
      <c r="CQ413" s="79"/>
      <c r="CR413" s="83" t="s">
        <v>179</v>
      </c>
      <c r="CS413" s="83" t="s">
        <v>179</v>
      </c>
      <c r="CT413" s="83" t="s">
        <v>179</v>
      </c>
      <c r="CU413" s="83" t="s">
        <v>179</v>
      </c>
      <c r="CV413" s="83" t="s">
        <v>179</v>
      </c>
      <c r="CW413" s="83" t="s">
        <v>179</v>
      </c>
      <c r="CX413" s="79" t="s">
        <v>153</v>
      </c>
      <c r="CY413" s="79">
        <f t="shared" si="253"/>
        <v>0</v>
      </c>
      <c r="CZ413" s="79">
        <v>0</v>
      </c>
      <c r="DA413" s="79">
        <f t="shared" si="254"/>
        <v>0</v>
      </c>
      <c r="DB413" s="84" t="str">
        <f t="shared" si="259"/>
        <v/>
      </c>
      <c r="DC413" s="41"/>
      <c r="DD413" s="79" t="s">
        <v>153</v>
      </c>
      <c r="DE413" s="71"/>
      <c r="DF413" s="85" t="s">
        <v>2997</v>
      </c>
      <c r="DG413" s="79">
        <v>403</v>
      </c>
      <c r="DH413" s="86">
        <f t="shared" si="256"/>
        <v>45424</v>
      </c>
      <c r="DI413" s="79" t="s">
        <v>181</v>
      </c>
      <c r="DJ413" s="79" t="s">
        <v>182</v>
      </c>
      <c r="DK413" s="79"/>
      <c r="DL413" s="79">
        <v>0</v>
      </c>
      <c r="DM413" s="79">
        <v>0</v>
      </c>
      <c r="DN413" s="79" t="s">
        <v>182</v>
      </c>
      <c r="DO413" s="79"/>
      <c r="DP413" s="79"/>
      <c r="DQ413" s="79"/>
      <c r="DR413" s="75" t="str">
        <f t="shared" si="240"/>
        <v>No aplica</v>
      </c>
      <c r="DS413" s="79"/>
      <c r="DT413" s="79"/>
      <c r="DU413" s="75" t="str">
        <f t="shared" si="241"/>
        <v>No aplica</v>
      </c>
      <c r="DV413" s="79" t="s">
        <v>182</v>
      </c>
      <c r="DW413" s="79" t="s">
        <v>179</v>
      </c>
      <c r="DX413" s="79"/>
      <c r="DY413" s="79"/>
      <c r="DZ413" s="79"/>
      <c r="EA413" s="79"/>
      <c r="EB413" s="79" t="s">
        <v>182</v>
      </c>
      <c r="EC413" s="79" t="s">
        <v>2998</v>
      </c>
      <c r="ED413" s="79" t="s">
        <v>2999</v>
      </c>
      <c r="EE413" s="79" t="s">
        <v>621</v>
      </c>
      <c r="EF413" s="41"/>
      <c r="EG413" s="79" t="s">
        <v>153</v>
      </c>
      <c r="EH413" s="71"/>
      <c r="EI413" s="80"/>
      <c r="EJ413" s="71"/>
      <c r="EK413" s="79"/>
      <c r="EL413" s="76" t="str">
        <f t="shared" si="242"/>
        <v>No requiere</v>
      </c>
      <c r="EM413" s="76" t="str">
        <f t="shared" si="243"/>
        <v>No requiere</v>
      </c>
      <c r="EN413" s="76" t="str">
        <f t="shared" si="228"/>
        <v>No requiere</v>
      </c>
      <c r="EO413" s="71"/>
      <c r="EP413" s="73" t="str">
        <f t="shared" si="244"/>
        <v>No requiere</v>
      </c>
      <c r="EQ413" s="77" t="str">
        <f t="shared" si="245"/>
        <v>No requiere</v>
      </c>
      <c r="ER413" s="71"/>
      <c r="ES413" s="79"/>
      <c r="ET413" s="73" t="str">
        <f t="shared" si="246"/>
        <v>No requiere</v>
      </c>
      <c r="EU413" s="73" t="str">
        <f t="shared" si="229"/>
        <v>No requiere</v>
      </c>
      <c r="EV413" s="73" t="str">
        <f t="shared" si="247"/>
        <v>No requiere</v>
      </c>
      <c r="EW413" s="73" t="str">
        <f t="shared" si="248"/>
        <v>No requiere</v>
      </c>
      <c r="EX413" s="78"/>
      <c r="EY413" s="78"/>
    </row>
    <row r="414" spans="1:155" ht="46.5" customHeight="1">
      <c r="A414" s="79">
        <v>410</v>
      </c>
      <c r="B414" s="80" t="s">
        <v>3000</v>
      </c>
      <c r="C414" s="81">
        <v>45421</v>
      </c>
      <c r="D414" s="82">
        <v>0.41666666666666669</v>
      </c>
      <c r="E414" s="79" t="s">
        <v>200</v>
      </c>
      <c r="F414" s="79" t="s">
        <v>153</v>
      </c>
      <c r="G414" s="79" t="s">
        <v>152</v>
      </c>
      <c r="H414" s="79" t="s">
        <v>152</v>
      </c>
      <c r="I414" s="79" t="s">
        <v>152</v>
      </c>
      <c r="J414" s="79" t="s">
        <v>504</v>
      </c>
      <c r="K414" s="79" t="s">
        <v>155</v>
      </c>
      <c r="L414" s="80" t="s">
        <v>3001</v>
      </c>
      <c r="M414" s="80" t="s">
        <v>157</v>
      </c>
      <c r="N414" s="79" t="s">
        <v>1387</v>
      </c>
      <c r="O414" s="80" t="str">
        <f t="shared" si="236"/>
        <v/>
      </c>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t="s">
        <v>169</v>
      </c>
      <c r="AP414" s="79" t="s">
        <v>2702</v>
      </c>
      <c r="AQ414" s="80" t="s">
        <v>3002</v>
      </c>
      <c r="AR414" s="83" t="s">
        <v>3003</v>
      </c>
      <c r="AS414" s="80" t="s">
        <v>960</v>
      </c>
      <c r="AT414" s="80" t="str">
        <f t="shared" si="237"/>
        <v>Barrios Unidos</v>
      </c>
      <c r="AU414" s="79" t="s">
        <v>1031</v>
      </c>
      <c r="AV414" s="79"/>
      <c r="AW414" s="79"/>
      <c r="AX414" s="79"/>
      <c r="AY414" s="79"/>
      <c r="AZ414" s="79"/>
      <c r="BA414" s="80" t="str">
        <f t="shared" si="238"/>
        <v>Centro Ampliado</v>
      </c>
      <c r="BB414" s="79" t="s">
        <v>636</v>
      </c>
      <c r="BC414" s="79"/>
      <c r="BD414" s="79"/>
      <c r="BE414" s="79"/>
      <c r="BF414" s="79"/>
      <c r="BG414" s="79"/>
      <c r="BH414" s="80" t="str">
        <f t="shared" si="239"/>
        <v>Barrios Unidos</v>
      </c>
      <c r="BI414" s="79" t="s">
        <v>1031</v>
      </c>
      <c r="BJ414" s="79"/>
      <c r="BK414" s="79"/>
      <c r="BL414" s="79"/>
      <c r="BM414" s="79"/>
      <c r="BN414" s="79"/>
      <c r="BO414" s="79"/>
      <c r="BP414" s="79"/>
      <c r="BQ414" s="79"/>
      <c r="BR414" s="79"/>
      <c r="BS414" s="80" t="s">
        <v>3004</v>
      </c>
      <c r="BT414" s="80" t="s">
        <v>174</v>
      </c>
      <c r="BU414" s="80" t="s">
        <v>3005</v>
      </c>
      <c r="BV414" s="71"/>
      <c r="BW414" s="79" t="s">
        <v>152</v>
      </c>
      <c r="BX414" s="79" t="s">
        <v>179</v>
      </c>
      <c r="BY414" s="71"/>
      <c r="BZ414" s="79">
        <v>27</v>
      </c>
      <c r="CA414" s="79">
        <v>2</v>
      </c>
      <c r="CB414" s="79">
        <f t="shared" si="223"/>
        <v>29</v>
      </c>
      <c r="CC414" s="79" t="str">
        <f t="shared" si="227"/>
        <v>No Aplica</v>
      </c>
      <c r="CD414" s="79" t="s">
        <v>177</v>
      </c>
      <c r="CE414" s="79"/>
      <c r="CF414" s="79"/>
      <c r="CG414" s="83" t="s">
        <v>3006</v>
      </c>
      <c r="CH414" s="41"/>
      <c r="CI414" s="79" t="s">
        <v>153</v>
      </c>
      <c r="CJ414" s="71"/>
      <c r="CK414" s="79">
        <f t="shared" si="258"/>
        <v>0</v>
      </c>
      <c r="CL414" s="79"/>
      <c r="CM414" s="79"/>
      <c r="CN414" s="79"/>
      <c r="CO414" s="79"/>
      <c r="CP414" s="79"/>
      <c r="CQ414" s="79"/>
      <c r="CR414" s="83" t="s">
        <v>179</v>
      </c>
      <c r="CS414" s="83" t="s">
        <v>179</v>
      </c>
      <c r="CT414" s="83" t="s">
        <v>179</v>
      </c>
      <c r="CU414" s="83" t="s">
        <v>179</v>
      </c>
      <c r="CV414" s="83" t="s">
        <v>179</v>
      </c>
      <c r="CW414" s="83" t="s">
        <v>179</v>
      </c>
      <c r="CX414" s="79" t="s">
        <v>153</v>
      </c>
      <c r="CY414" s="79">
        <f t="shared" si="253"/>
        <v>0</v>
      </c>
      <c r="CZ414" s="79">
        <v>0</v>
      </c>
      <c r="DA414" s="79">
        <f t="shared" si="254"/>
        <v>0</v>
      </c>
      <c r="DB414" s="84" t="str">
        <f t="shared" si="259"/>
        <v/>
      </c>
      <c r="DC414" s="41"/>
      <c r="DD414" s="79" t="s">
        <v>153</v>
      </c>
      <c r="DE414" s="71"/>
      <c r="DF414" s="85" t="s">
        <v>2995</v>
      </c>
      <c r="DG414" s="79">
        <v>404</v>
      </c>
      <c r="DH414" s="86">
        <v>3</v>
      </c>
      <c r="DI414" s="79" t="s">
        <v>181</v>
      </c>
      <c r="DJ414" s="79" t="s">
        <v>182</v>
      </c>
      <c r="DK414" s="79"/>
      <c r="DL414" s="79">
        <v>0</v>
      </c>
      <c r="DM414" s="79">
        <v>0</v>
      </c>
      <c r="DN414" s="79" t="s">
        <v>182</v>
      </c>
      <c r="DO414" s="79"/>
      <c r="DP414" s="79"/>
      <c r="DQ414" s="79"/>
      <c r="DR414" s="75" t="str">
        <f t="shared" si="240"/>
        <v>No aplica</v>
      </c>
      <c r="DS414" s="79"/>
      <c r="DT414" s="79"/>
      <c r="DU414" s="75" t="str">
        <f t="shared" si="241"/>
        <v>No aplica</v>
      </c>
      <c r="DV414" s="79" t="s">
        <v>182</v>
      </c>
      <c r="DW414" s="79" t="s">
        <v>182</v>
      </c>
      <c r="DX414" s="79"/>
      <c r="DY414" s="79"/>
      <c r="DZ414" s="79"/>
      <c r="EA414" s="79"/>
      <c r="EB414" s="79"/>
      <c r="EC414" s="79"/>
      <c r="ED414" s="79" t="s">
        <v>184</v>
      </c>
      <c r="EE414" s="79" t="s">
        <v>621</v>
      </c>
      <c r="EF414" s="41"/>
      <c r="EG414" s="79" t="s">
        <v>153</v>
      </c>
      <c r="EH414" s="71"/>
      <c r="EI414" s="80"/>
      <c r="EJ414" s="71"/>
      <c r="EK414" s="79"/>
      <c r="EL414" s="76" t="str">
        <f t="shared" si="242"/>
        <v>No requiere</v>
      </c>
      <c r="EM414" s="76" t="str">
        <f t="shared" si="243"/>
        <v>No requiere</v>
      </c>
      <c r="EN414" s="76" t="str">
        <f t="shared" si="228"/>
        <v>No requiere</v>
      </c>
      <c r="EO414" s="71"/>
      <c r="EP414" s="73" t="str">
        <f t="shared" si="244"/>
        <v>No requiere</v>
      </c>
      <c r="EQ414" s="77" t="str">
        <f t="shared" si="245"/>
        <v>No requiere</v>
      </c>
      <c r="ER414" s="71"/>
      <c r="ES414" s="79"/>
      <c r="ET414" s="73" t="str">
        <f t="shared" si="246"/>
        <v>No requiere</v>
      </c>
      <c r="EU414" s="73" t="str">
        <f t="shared" si="229"/>
        <v>No requiere</v>
      </c>
      <c r="EV414" s="73" t="str">
        <f t="shared" si="247"/>
        <v>No requiere</v>
      </c>
      <c r="EW414" s="73" t="str">
        <f t="shared" si="248"/>
        <v>No requiere</v>
      </c>
      <c r="EX414" s="78"/>
      <c r="EY414" s="78"/>
    </row>
    <row r="415" spans="1:155" ht="46.5" customHeight="1">
      <c r="A415" s="79">
        <v>411</v>
      </c>
      <c r="B415" s="80" t="s">
        <v>3007</v>
      </c>
      <c r="C415" s="81">
        <v>45421</v>
      </c>
      <c r="D415" s="82">
        <v>0.70833333333333337</v>
      </c>
      <c r="E415" s="79" t="s">
        <v>151</v>
      </c>
      <c r="F415" s="79" t="s">
        <v>153</v>
      </c>
      <c r="G415" s="79" t="s">
        <v>152</v>
      </c>
      <c r="H415" s="79" t="s">
        <v>152</v>
      </c>
      <c r="I415" s="79" t="s">
        <v>153</v>
      </c>
      <c r="J415" s="79" t="s">
        <v>1768</v>
      </c>
      <c r="K415" s="79" t="s">
        <v>155</v>
      </c>
      <c r="L415" s="80" t="s">
        <v>3008</v>
      </c>
      <c r="M415" s="80" t="s">
        <v>229</v>
      </c>
      <c r="N415" s="79" t="s">
        <v>675</v>
      </c>
      <c r="O415" s="80" t="str">
        <f t="shared" si="236"/>
        <v/>
      </c>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t="s">
        <v>304</v>
      </c>
      <c r="AP415" s="79"/>
      <c r="AQ415" s="80" t="s">
        <v>3009</v>
      </c>
      <c r="AR415" s="83" t="s">
        <v>171</v>
      </c>
      <c r="AS415" s="80" t="s">
        <v>3010</v>
      </c>
      <c r="AT415" s="80" t="str">
        <f t="shared" si="237"/>
        <v>Bosa</v>
      </c>
      <c r="AU415" s="79" t="s">
        <v>730</v>
      </c>
      <c r="AV415" s="79"/>
      <c r="AW415" s="79"/>
      <c r="AX415" s="79"/>
      <c r="AY415" s="79"/>
      <c r="AZ415" s="79"/>
      <c r="BA415" s="80" t="str">
        <f t="shared" si="238"/>
        <v>Suroccidente</v>
      </c>
      <c r="BB415" s="79" t="s">
        <v>732</v>
      </c>
      <c r="BC415" s="79"/>
      <c r="BD415" s="79"/>
      <c r="BE415" s="79"/>
      <c r="BF415" s="79"/>
      <c r="BG415" s="79"/>
      <c r="BH415" s="80" t="str">
        <f t="shared" si="239"/>
        <v>Edén, Porvenir, Bosa</v>
      </c>
      <c r="BI415" s="79" t="s">
        <v>1057</v>
      </c>
      <c r="BJ415" s="79" t="s">
        <v>1058</v>
      </c>
      <c r="BK415" s="79" t="s">
        <v>730</v>
      </c>
      <c r="BL415" s="79"/>
      <c r="BM415" s="79"/>
      <c r="BN415" s="79"/>
      <c r="BO415" s="79"/>
      <c r="BP415" s="79"/>
      <c r="BQ415" s="79"/>
      <c r="BR415" s="79"/>
      <c r="BS415" s="80" t="s">
        <v>3011</v>
      </c>
      <c r="BT415" s="80" t="s">
        <v>174</v>
      </c>
      <c r="BU415" s="80" t="s">
        <v>3012</v>
      </c>
      <c r="BV415" s="71"/>
      <c r="BW415" s="79" t="s">
        <v>152</v>
      </c>
      <c r="BX415" s="79" t="s">
        <v>179</v>
      </c>
      <c r="BY415" s="71"/>
      <c r="BZ415" s="79">
        <v>67</v>
      </c>
      <c r="CA415" s="79">
        <v>2</v>
      </c>
      <c r="CB415" s="79">
        <f t="shared" si="223"/>
        <v>69</v>
      </c>
      <c r="CC415" s="79" t="str">
        <f t="shared" si="227"/>
        <v>No Aplica</v>
      </c>
      <c r="CD415" s="79" t="s">
        <v>177</v>
      </c>
      <c r="CE415" s="79"/>
      <c r="CF415" s="79"/>
      <c r="CG415" s="83" t="s">
        <v>3013</v>
      </c>
      <c r="CH415" s="41"/>
      <c r="CI415" s="79" t="s">
        <v>153</v>
      </c>
      <c r="CJ415" s="71"/>
      <c r="CK415" s="79">
        <f t="shared" si="258"/>
        <v>0</v>
      </c>
      <c r="CL415" s="79"/>
      <c r="CM415" s="79"/>
      <c r="CN415" s="79"/>
      <c r="CO415" s="79"/>
      <c r="CP415" s="79"/>
      <c r="CQ415" s="79"/>
      <c r="CR415" s="83" t="s">
        <v>179</v>
      </c>
      <c r="CS415" s="83" t="s">
        <v>179</v>
      </c>
      <c r="CT415" s="83" t="s">
        <v>179</v>
      </c>
      <c r="CU415" s="83" t="s">
        <v>179</v>
      </c>
      <c r="CV415" s="83" t="s">
        <v>179</v>
      </c>
      <c r="CW415" s="83" t="s">
        <v>179</v>
      </c>
      <c r="CX415" s="79" t="s">
        <v>153</v>
      </c>
      <c r="CY415" s="79">
        <f t="shared" si="253"/>
        <v>0</v>
      </c>
      <c r="CZ415" s="79">
        <v>0</v>
      </c>
      <c r="DA415" s="79">
        <f t="shared" si="254"/>
        <v>0</v>
      </c>
      <c r="DB415" s="84" t="str">
        <f t="shared" si="259"/>
        <v/>
      </c>
      <c r="DC415" s="41"/>
      <c r="DD415" s="79" t="s">
        <v>153</v>
      </c>
      <c r="DE415" s="71"/>
      <c r="DF415" s="85" t="s">
        <v>3014</v>
      </c>
      <c r="DG415" s="79">
        <v>405</v>
      </c>
      <c r="DH415" s="86" t="str">
        <f t="shared" ref="DH415:DH440" si="261">IF(EE415="Por completar",C415+3,"Completo")</f>
        <v>Completo</v>
      </c>
      <c r="DI415" s="79" t="s">
        <v>181</v>
      </c>
      <c r="DJ415" s="79" t="s">
        <v>182</v>
      </c>
      <c r="DK415" s="79"/>
      <c r="DL415" s="79">
        <v>0</v>
      </c>
      <c r="DM415" s="79">
        <v>0</v>
      </c>
      <c r="DN415" s="79" t="s">
        <v>182</v>
      </c>
      <c r="DO415" s="79"/>
      <c r="DP415" s="79"/>
      <c r="DQ415" s="79"/>
      <c r="DR415" s="75" t="str">
        <f t="shared" si="240"/>
        <v>No aplica</v>
      </c>
      <c r="DS415" s="79"/>
      <c r="DT415" s="79"/>
      <c r="DU415" s="75" t="str">
        <f t="shared" si="241"/>
        <v>No aplica</v>
      </c>
      <c r="DV415" s="79" t="s">
        <v>182</v>
      </c>
      <c r="DW415" s="79" t="s">
        <v>191</v>
      </c>
      <c r="DX415" s="79"/>
      <c r="DY415" s="79"/>
      <c r="DZ415" s="79"/>
      <c r="EA415" s="79"/>
      <c r="EB415" s="79"/>
      <c r="EC415" s="79"/>
      <c r="ED415" s="79" t="s">
        <v>184</v>
      </c>
      <c r="EE415" s="79" t="str">
        <f t="shared" ref="EE415:EE418" si="262">IF(DI415="Subsanado","Completo","Por Completar")</f>
        <v>Completo</v>
      </c>
      <c r="EF415" s="41"/>
      <c r="EG415" s="79" t="s">
        <v>153</v>
      </c>
      <c r="EH415" s="71"/>
      <c r="EI415" s="80"/>
      <c r="EJ415" s="71"/>
      <c r="EK415" s="79"/>
      <c r="EL415" s="76" t="str">
        <f t="shared" si="242"/>
        <v>No requiere</v>
      </c>
      <c r="EM415" s="76" t="str">
        <f t="shared" si="243"/>
        <v>No requiere</v>
      </c>
      <c r="EN415" s="76" t="str">
        <f t="shared" si="228"/>
        <v>No requiere</v>
      </c>
      <c r="EO415" s="71"/>
      <c r="EP415" s="73" t="str">
        <f t="shared" si="244"/>
        <v>No requiere</v>
      </c>
      <c r="EQ415" s="77" t="str">
        <f t="shared" si="245"/>
        <v>No requiere</v>
      </c>
      <c r="ER415" s="71"/>
      <c r="ES415" s="79"/>
      <c r="ET415" s="73" t="str">
        <f t="shared" si="246"/>
        <v>No requiere</v>
      </c>
      <c r="EU415" s="73" t="str">
        <f t="shared" si="229"/>
        <v>No requiere</v>
      </c>
      <c r="EV415" s="73" t="str">
        <f t="shared" si="247"/>
        <v>No requiere</v>
      </c>
      <c r="EW415" s="73" t="str">
        <f t="shared" si="248"/>
        <v>No requiere</v>
      </c>
      <c r="EX415" s="78"/>
      <c r="EY415" s="78"/>
    </row>
    <row r="416" spans="1:155" ht="46.5" customHeight="1">
      <c r="A416" s="79">
        <v>412</v>
      </c>
      <c r="B416" s="80" t="s">
        <v>2770</v>
      </c>
      <c r="C416" s="81">
        <v>45421</v>
      </c>
      <c r="D416" s="82">
        <v>0.70833333333333337</v>
      </c>
      <c r="E416" s="79" t="s">
        <v>200</v>
      </c>
      <c r="F416" s="79" t="s">
        <v>153</v>
      </c>
      <c r="G416" s="79" t="s">
        <v>152</v>
      </c>
      <c r="H416" s="79" t="s">
        <v>152</v>
      </c>
      <c r="I416" s="79" t="s">
        <v>152</v>
      </c>
      <c r="J416" s="79" t="s">
        <v>211</v>
      </c>
      <c r="K416" s="79" t="s">
        <v>202</v>
      </c>
      <c r="L416" s="80" t="s">
        <v>3015</v>
      </c>
      <c r="M416" s="80" t="s">
        <v>624</v>
      </c>
      <c r="N416" s="79" t="s">
        <v>253</v>
      </c>
      <c r="O416" s="80" t="str">
        <f t="shared" si="236"/>
        <v>PENDIENTE</v>
      </c>
      <c r="P416" s="79" t="s">
        <v>196</v>
      </c>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t="s">
        <v>230</v>
      </c>
      <c r="AP416" s="79" t="s">
        <v>242</v>
      </c>
      <c r="AQ416" s="80" t="s">
        <v>3016</v>
      </c>
      <c r="AR416" s="83">
        <v>3188799909</v>
      </c>
      <c r="AS416" s="80" t="s">
        <v>682</v>
      </c>
      <c r="AT416" s="80" t="str">
        <f t="shared" si="237"/>
        <v>Distrital</v>
      </c>
      <c r="AU416" s="79" t="s">
        <v>172</v>
      </c>
      <c r="AV416" s="79"/>
      <c r="AW416" s="79"/>
      <c r="AX416" s="79"/>
      <c r="AY416" s="79"/>
      <c r="AZ416" s="79"/>
      <c r="BA416" s="80" t="str">
        <f t="shared" si="238"/>
        <v>Distrital</v>
      </c>
      <c r="BB416" s="79" t="s">
        <v>172</v>
      </c>
      <c r="BC416" s="79"/>
      <c r="BD416" s="79"/>
      <c r="BE416" s="79"/>
      <c r="BF416" s="79"/>
      <c r="BG416" s="79"/>
      <c r="BH416" s="80" t="str">
        <f t="shared" si="239"/>
        <v>Distrital</v>
      </c>
      <c r="BI416" s="79" t="s">
        <v>172</v>
      </c>
      <c r="BJ416" s="79"/>
      <c r="BK416" s="79"/>
      <c r="BL416" s="79"/>
      <c r="BM416" s="79"/>
      <c r="BN416" s="79"/>
      <c r="BO416" s="79"/>
      <c r="BP416" s="79"/>
      <c r="BQ416" s="79"/>
      <c r="BR416" s="79"/>
      <c r="BS416" s="80" t="s">
        <v>288</v>
      </c>
      <c r="BT416" s="80" t="s">
        <v>174</v>
      </c>
      <c r="BU416" s="89" t="s">
        <v>3017</v>
      </c>
      <c r="BV416" s="71"/>
      <c r="BW416" s="79" t="s">
        <v>152</v>
      </c>
      <c r="BX416" s="79" t="s">
        <v>179</v>
      </c>
      <c r="BY416" s="71"/>
      <c r="BZ416" s="79">
        <v>53</v>
      </c>
      <c r="CA416" s="79">
        <v>2</v>
      </c>
      <c r="CB416" s="79">
        <f t="shared" si="223"/>
        <v>55</v>
      </c>
      <c r="CC416" s="79" t="str">
        <f t="shared" si="227"/>
        <v>No Aplica</v>
      </c>
      <c r="CD416" s="79" t="s">
        <v>177</v>
      </c>
      <c r="CE416" s="79"/>
      <c r="CF416" s="79"/>
      <c r="CG416" s="83" t="s">
        <v>3018</v>
      </c>
      <c r="CH416" s="41"/>
      <c r="CI416" s="79" t="s">
        <v>153</v>
      </c>
      <c r="CJ416" s="71"/>
      <c r="CK416" s="79"/>
      <c r="CL416" s="79"/>
      <c r="CM416" s="79"/>
      <c r="CN416" s="79"/>
      <c r="CO416" s="79"/>
      <c r="CP416" s="79"/>
      <c r="CQ416" s="79"/>
      <c r="CR416" s="83" t="s">
        <v>179</v>
      </c>
      <c r="CS416" s="83" t="s">
        <v>179</v>
      </c>
      <c r="CT416" s="83" t="s">
        <v>179</v>
      </c>
      <c r="CU416" s="83" t="s">
        <v>179</v>
      </c>
      <c r="CV416" s="83" t="s">
        <v>179</v>
      </c>
      <c r="CW416" s="83" t="s">
        <v>179</v>
      </c>
      <c r="CX416" s="79" t="s">
        <v>153</v>
      </c>
      <c r="CY416" s="79"/>
      <c r="CZ416" s="79"/>
      <c r="DA416" s="79"/>
      <c r="DB416" s="84"/>
      <c r="DC416" s="41"/>
      <c r="DD416" s="79" t="s">
        <v>153</v>
      </c>
      <c r="DE416" s="71"/>
      <c r="DF416" s="85" t="s">
        <v>3019</v>
      </c>
      <c r="DG416" s="79">
        <v>406</v>
      </c>
      <c r="DH416" s="86" t="str">
        <f t="shared" si="261"/>
        <v>Completo</v>
      </c>
      <c r="DI416" s="79" t="s">
        <v>181</v>
      </c>
      <c r="DJ416" s="79" t="s">
        <v>182</v>
      </c>
      <c r="DK416" s="79"/>
      <c r="DL416" s="79"/>
      <c r="DM416" s="79"/>
      <c r="DN416" s="79" t="s">
        <v>182</v>
      </c>
      <c r="DO416" s="79"/>
      <c r="DP416" s="79"/>
      <c r="DQ416" s="79"/>
      <c r="DR416" s="75" t="str">
        <f t="shared" si="240"/>
        <v>No aplica</v>
      </c>
      <c r="DS416" s="79"/>
      <c r="DT416" s="79"/>
      <c r="DU416" s="75" t="str">
        <f t="shared" si="241"/>
        <v>No aplica</v>
      </c>
      <c r="DV416" s="79" t="s">
        <v>182</v>
      </c>
      <c r="DW416" s="79" t="s">
        <v>182</v>
      </c>
      <c r="DX416" s="79"/>
      <c r="DY416" s="79"/>
      <c r="DZ416" s="79"/>
      <c r="EA416" s="79"/>
      <c r="EB416" s="79" t="s">
        <v>182</v>
      </c>
      <c r="EC416" s="79" t="s">
        <v>3020</v>
      </c>
      <c r="ED416" s="79" t="s">
        <v>2915</v>
      </c>
      <c r="EE416" s="79" t="str">
        <f t="shared" si="262"/>
        <v>Completo</v>
      </c>
      <c r="EF416" s="41"/>
      <c r="EG416" s="79" t="s">
        <v>153</v>
      </c>
      <c r="EH416" s="71"/>
      <c r="EI416" s="80"/>
      <c r="EJ416" s="71"/>
      <c r="EK416" s="79"/>
      <c r="EL416" s="76" t="str">
        <f t="shared" si="242"/>
        <v>No requiere</v>
      </c>
      <c r="EM416" s="76" t="str">
        <f t="shared" si="243"/>
        <v>No requiere</v>
      </c>
      <c r="EN416" s="76" t="str">
        <f t="shared" si="228"/>
        <v>No requiere</v>
      </c>
      <c r="EO416" s="71"/>
      <c r="EP416" s="73" t="str">
        <f t="shared" si="244"/>
        <v>No requiere</v>
      </c>
      <c r="EQ416" s="77" t="str">
        <f t="shared" si="245"/>
        <v>No requiere</v>
      </c>
      <c r="ER416" s="71"/>
      <c r="ES416" s="79"/>
      <c r="ET416" s="73" t="str">
        <f t="shared" si="246"/>
        <v>No requiere</v>
      </c>
      <c r="EU416" s="73" t="str">
        <f t="shared" si="229"/>
        <v>No requiere</v>
      </c>
      <c r="EV416" s="73" t="str">
        <f t="shared" si="247"/>
        <v>No requiere</v>
      </c>
      <c r="EW416" s="73" t="str">
        <f t="shared" si="248"/>
        <v>No requiere</v>
      </c>
      <c r="EX416" s="78"/>
      <c r="EY416" s="78"/>
    </row>
    <row r="417" spans="1:155" ht="46.5" customHeight="1">
      <c r="A417" s="79">
        <v>413</v>
      </c>
      <c r="B417" s="80" t="s">
        <v>2987</v>
      </c>
      <c r="C417" s="81">
        <v>45422</v>
      </c>
      <c r="D417" s="82">
        <v>0.33333333333333331</v>
      </c>
      <c r="E417" s="79" t="s">
        <v>151</v>
      </c>
      <c r="F417" s="79" t="s">
        <v>153</v>
      </c>
      <c r="G417" s="79"/>
      <c r="H417" s="79" t="s">
        <v>152</v>
      </c>
      <c r="I417" s="79" t="s">
        <v>152</v>
      </c>
      <c r="J417" s="79" t="s">
        <v>154</v>
      </c>
      <c r="K417" s="79" t="s">
        <v>155</v>
      </c>
      <c r="L417" s="80" t="s">
        <v>2988</v>
      </c>
      <c r="M417" s="80" t="s">
        <v>303</v>
      </c>
      <c r="N417" s="79" t="s">
        <v>1387</v>
      </c>
      <c r="O417" s="80" t="str">
        <f t="shared" si="236"/>
        <v>Germán Ramón Jacome</v>
      </c>
      <c r="P417" s="79" t="s">
        <v>525</v>
      </c>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t="s">
        <v>169</v>
      </c>
      <c r="AP417" s="79" t="s">
        <v>475</v>
      </c>
      <c r="AQ417" s="80"/>
      <c r="AR417" s="83"/>
      <c r="AS417" s="80"/>
      <c r="AT417" s="80" t="str">
        <f t="shared" si="237"/>
        <v>Distrital</v>
      </c>
      <c r="AU417" s="79" t="s">
        <v>172</v>
      </c>
      <c r="AV417" s="79"/>
      <c r="AW417" s="79"/>
      <c r="AX417" s="79"/>
      <c r="AY417" s="79"/>
      <c r="AZ417" s="79"/>
      <c r="BA417" s="80" t="str">
        <f t="shared" si="238"/>
        <v>Distrital</v>
      </c>
      <c r="BB417" s="79" t="s">
        <v>172</v>
      </c>
      <c r="BC417" s="79"/>
      <c r="BD417" s="79"/>
      <c r="BE417" s="79"/>
      <c r="BF417" s="79"/>
      <c r="BG417" s="79"/>
      <c r="BH417" s="80" t="str">
        <f t="shared" si="239"/>
        <v>Distrital</v>
      </c>
      <c r="BI417" s="79" t="s">
        <v>172</v>
      </c>
      <c r="BJ417" s="79"/>
      <c r="BK417" s="79"/>
      <c r="BL417" s="79"/>
      <c r="BM417" s="79"/>
      <c r="BN417" s="79"/>
      <c r="BO417" s="79"/>
      <c r="BP417" s="79"/>
      <c r="BQ417" s="79"/>
      <c r="BR417" s="79"/>
      <c r="BS417" s="80" t="s">
        <v>288</v>
      </c>
      <c r="BT417" s="80"/>
      <c r="BU417" s="80" t="s">
        <v>2989</v>
      </c>
      <c r="BV417" s="71"/>
      <c r="BW417" s="79" t="s">
        <v>153</v>
      </c>
      <c r="BX417" s="79" t="s">
        <v>2600</v>
      </c>
      <c r="BY417" s="71"/>
      <c r="BZ417" s="79">
        <v>2</v>
      </c>
      <c r="CA417" s="79">
        <v>10</v>
      </c>
      <c r="CB417" s="79">
        <f t="shared" si="223"/>
        <v>12</v>
      </c>
      <c r="CC417" s="79" t="str">
        <f t="shared" si="227"/>
        <v>No Aplica</v>
      </c>
      <c r="CD417" s="79" t="s">
        <v>177</v>
      </c>
      <c r="CE417" s="79"/>
      <c r="CF417" s="79"/>
      <c r="CG417" s="83" t="s">
        <v>3021</v>
      </c>
      <c r="CH417" s="41"/>
      <c r="CI417" s="79" t="s">
        <v>153</v>
      </c>
      <c r="CJ417" s="71"/>
      <c r="CK417" s="79">
        <f t="shared" ref="CK417:CK429" si="263">COUNTIF(CL417:CQ417,"*")</f>
        <v>0</v>
      </c>
      <c r="CL417" s="79"/>
      <c r="CM417" s="79"/>
      <c r="CN417" s="79"/>
      <c r="CO417" s="79"/>
      <c r="CP417" s="79"/>
      <c r="CQ417" s="79"/>
      <c r="CR417" s="83" t="s">
        <v>179</v>
      </c>
      <c r="CS417" s="83" t="s">
        <v>179</v>
      </c>
      <c r="CT417" s="83" t="s">
        <v>179</v>
      </c>
      <c r="CU417" s="83" t="s">
        <v>179</v>
      </c>
      <c r="CV417" s="83" t="s">
        <v>179</v>
      </c>
      <c r="CW417" s="83" t="s">
        <v>179</v>
      </c>
      <c r="CX417" s="79" t="s">
        <v>153</v>
      </c>
      <c r="CY417" s="79">
        <f t="shared" ref="CY417:CY429" si="264">SUM(COUNTIF(CR417:CW417,"Realizado y Devuelto a la Ciudadanía"),COUNTIF(CR417:CW417,"Realizado y Trasladado por competencia"), COUNTIF(CR417:CW417,"Realizado y Gestionado"))</f>
        <v>0</v>
      </c>
      <c r="CZ417" s="79">
        <v>0</v>
      </c>
      <c r="DA417" s="79">
        <f t="shared" ref="DA417:DA429" si="265">COUNTIF(CR417:CW417,"Realizado y Devuelto a la Ciudadanía")</f>
        <v>0</v>
      </c>
      <c r="DB417" s="84" t="str">
        <f t="shared" ref="DB417:DB429" si="266">IFERROR(CY417/CK417,"")</f>
        <v/>
      </c>
      <c r="DC417" s="41"/>
      <c r="DD417" s="79" t="s">
        <v>153</v>
      </c>
      <c r="DE417" s="71"/>
      <c r="DF417" s="85" t="s">
        <v>3022</v>
      </c>
      <c r="DG417" s="79">
        <v>407</v>
      </c>
      <c r="DH417" s="86" t="str">
        <f t="shared" si="261"/>
        <v>Completo</v>
      </c>
      <c r="DI417" s="79" t="s">
        <v>181</v>
      </c>
      <c r="DJ417" s="79" t="s">
        <v>182</v>
      </c>
      <c r="DK417" s="79"/>
      <c r="DL417" s="79">
        <v>17</v>
      </c>
      <c r="DM417" s="79">
        <v>17</v>
      </c>
      <c r="DN417" s="79" t="s">
        <v>182</v>
      </c>
      <c r="DO417" s="79"/>
      <c r="DP417" s="79"/>
      <c r="DQ417" s="79"/>
      <c r="DR417" s="75" t="str">
        <f t="shared" si="240"/>
        <v>No aplica</v>
      </c>
      <c r="DS417" s="79"/>
      <c r="DT417" s="79"/>
      <c r="DU417" s="75" t="str">
        <f t="shared" si="241"/>
        <v>No aplica</v>
      </c>
      <c r="DV417" s="79" t="s">
        <v>182</v>
      </c>
      <c r="DW417" s="79" t="s">
        <v>191</v>
      </c>
      <c r="DX417" s="79"/>
      <c r="DY417" s="79"/>
      <c r="DZ417" s="79"/>
      <c r="EA417" s="79"/>
      <c r="EB417" s="79"/>
      <c r="EC417" s="79"/>
      <c r="ED417" s="79" t="s">
        <v>1743</v>
      </c>
      <c r="EE417" s="79" t="str">
        <f t="shared" si="262"/>
        <v>Completo</v>
      </c>
      <c r="EF417" s="41"/>
      <c r="EG417" s="79" t="s">
        <v>153</v>
      </c>
      <c r="EH417" s="71"/>
      <c r="EI417" s="80"/>
      <c r="EJ417" s="71"/>
      <c r="EK417" s="79"/>
      <c r="EL417" s="76" t="str">
        <f t="shared" si="242"/>
        <v>No requiere</v>
      </c>
      <c r="EM417" s="76" t="str">
        <f t="shared" si="243"/>
        <v>No requiere</v>
      </c>
      <c r="EN417" s="76" t="str">
        <f t="shared" si="228"/>
        <v>No requiere</v>
      </c>
      <c r="EO417" s="71"/>
      <c r="EP417" s="73" t="str">
        <f t="shared" si="244"/>
        <v>No requiere</v>
      </c>
      <c r="EQ417" s="77" t="str">
        <f t="shared" si="245"/>
        <v>No requiere</v>
      </c>
      <c r="ER417" s="71"/>
      <c r="ES417" s="79"/>
      <c r="ET417" s="73" t="str">
        <f t="shared" si="246"/>
        <v>No requiere</v>
      </c>
      <c r="EU417" s="73" t="str">
        <f t="shared" si="229"/>
        <v>No requiere</v>
      </c>
      <c r="EV417" s="73" t="str">
        <f t="shared" si="247"/>
        <v>No requiere</v>
      </c>
      <c r="EW417" s="73" t="str">
        <f t="shared" si="248"/>
        <v>No requiere</v>
      </c>
      <c r="EX417" s="78"/>
      <c r="EY417" s="78"/>
    </row>
    <row r="418" spans="1:155" ht="46.5" customHeight="1">
      <c r="A418" s="79">
        <v>414</v>
      </c>
      <c r="B418" s="80" t="s">
        <v>3023</v>
      </c>
      <c r="C418" s="81">
        <v>45422</v>
      </c>
      <c r="D418" s="82">
        <v>0.375</v>
      </c>
      <c r="E418" s="79" t="s">
        <v>151</v>
      </c>
      <c r="F418" s="79" t="s">
        <v>153</v>
      </c>
      <c r="G418" s="79" t="s">
        <v>153</v>
      </c>
      <c r="H418" s="79" t="s">
        <v>153</v>
      </c>
      <c r="I418" s="79" t="s">
        <v>152</v>
      </c>
      <c r="J418" s="79" t="s">
        <v>154</v>
      </c>
      <c r="K418" s="79" t="s">
        <v>155</v>
      </c>
      <c r="L418" s="80" t="s">
        <v>2596</v>
      </c>
      <c r="M418" s="80" t="s">
        <v>303</v>
      </c>
      <c r="N418" s="79" t="s">
        <v>818</v>
      </c>
      <c r="O418" s="80" t="str">
        <f t="shared" si="236"/>
        <v>Nicolás Enrique Moncaleano, Renata Rengifo Moyano</v>
      </c>
      <c r="P418" s="79" t="s">
        <v>966</v>
      </c>
      <c r="Q418" s="79" t="s">
        <v>1066</v>
      </c>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t="s">
        <v>169</v>
      </c>
      <c r="AP418" s="79" t="s">
        <v>475</v>
      </c>
      <c r="AQ418" s="80" t="s">
        <v>171</v>
      </c>
      <c r="AR418" s="83" t="s">
        <v>171</v>
      </c>
      <c r="AS418" s="83" t="s">
        <v>171</v>
      </c>
      <c r="AT418" s="80" t="str">
        <f t="shared" si="237"/>
        <v>Distrital</v>
      </c>
      <c r="AU418" s="79" t="s">
        <v>172</v>
      </c>
      <c r="AV418" s="79"/>
      <c r="AW418" s="79"/>
      <c r="AX418" s="79"/>
      <c r="AY418" s="79"/>
      <c r="AZ418" s="79"/>
      <c r="BA418" s="80" t="str">
        <f t="shared" si="238"/>
        <v>Distrital</v>
      </c>
      <c r="BB418" s="79" t="s">
        <v>172</v>
      </c>
      <c r="BC418" s="79"/>
      <c r="BD418" s="79"/>
      <c r="BE418" s="79"/>
      <c r="BF418" s="79"/>
      <c r="BG418" s="79"/>
      <c r="BH418" s="80" t="str">
        <f t="shared" si="239"/>
        <v>Distrital</v>
      </c>
      <c r="BI418" s="79" t="s">
        <v>172</v>
      </c>
      <c r="BJ418" s="79"/>
      <c r="BK418" s="79"/>
      <c r="BL418" s="79"/>
      <c r="BM418" s="79"/>
      <c r="BN418" s="79"/>
      <c r="BO418" s="79"/>
      <c r="BP418" s="79"/>
      <c r="BQ418" s="79"/>
      <c r="BR418" s="79"/>
      <c r="BS418" s="80" t="s">
        <v>2598</v>
      </c>
      <c r="BT418" s="80" t="s">
        <v>174</v>
      </c>
      <c r="BU418" s="80" t="s">
        <v>2599</v>
      </c>
      <c r="BV418" s="71"/>
      <c r="BW418" s="79" t="s">
        <v>153</v>
      </c>
      <c r="BX418" s="79" t="s">
        <v>2600</v>
      </c>
      <c r="BY418" s="71"/>
      <c r="BZ418" s="79">
        <v>17</v>
      </c>
      <c r="CA418" s="79">
        <v>3</v>
      </c>
      <c r="CB418" s="79">
        <f t="shared" si="223"/>
        <v>20</v>
      </c>
      <c r="CC418" s="79" t="str">
        <f t="shared" si="227"/>
        <v>Accesibilidad Universal, Horarios Acordes, Contenidos adaptados</v>
      </c>
      <c r="CD418" s="79" t="s">
        <v>397</v>
      </c>
      <c r="CE418" s="79" t="s">
        <v>351</v>
      </c>
      <c r="CF418" s="79" t="s">
        <v>350</v>
      </c>
      <c r="CG418" s="83" t="s">
        <v>3024</v>
      </c>
      <c r="CH418" s="41"/>
      <c r="CI418" s="79" t="s">
        <v>153</v>
      </c>
      <c r="CJ418" s="71"/>
      <c r="CK418" s="79">
        <f t="shared" si="263"/>
        <v>1</v>
      </c>
      <c r="CL418" s="93" t="s">
        <v>648</v>
      </c>
      <c r="CM418" s="79"/>
      <c r="CN418" s="79"/>
      <c r="CO418" s="79"/>
      <c r="CP418" s="79"/>
      <c r="CQ418" s="79"/>
      <c r="CR418" s="83" t="s">
        <v>390</v>
      </c>
      <c r="CS418" s="83" t="s">
        <v>179</v>
      </c>
      <c r="CT418" s="83" t="s">
        <v>179</v>
      </c>
      <c r="CU418" s="83" t="s">
        <v>179</v>
      </c>
      <c r="CV418" s="83" t="s">
        <v>179</v>
      </c>
      <c r="CW418" s="83" t="s">
        <v>179</v>
      </c>
      <c r="CX418" s="79" t="s">
        <v>153</v>
      </c>
      <c r="CY418" s="79">
        <f t="shared" si="264"/>
        <v>1</v>
      </c>
      <c r="CZ418" s="79">
        <v>1</v>
      </c>
      <c r="DA418" s="79">
        <f t="shared" si="265"/>
        <v>1</v>
      </c>
      <c r="DB418" s="84">
        <f t="shared" si="266"/>
        <v>1</v>
      </c>
      <c r="DC418" s="41"/>
      <c r="DD418" s="79" t="s">
        <v>153</v>
      </c>
      <c r="DE418" s="71"/>
      <c r="DF418" s="85" t="s">
        <v>3025</v>
      </c>
      <c r="DG418" s="79">
        <v>408</v>
      </c>
      <c r="DH418" s="86" t="str">
        <f t="shared" si="261"/>
        <v>Completo</v>
      </c>
      <c r="DI418" s="79" t="s">
        <v>181</v>
      </c>
      <c r="DJ418" s="79" t="s">
        <v>182</v>
      </c>
      <c r="DK418" s="79" t="s">
        <v>153</v>
      </c>
      <c r="DL418" s="79">
        <v>7</v>
      </c>
      <c r="DM418" s="79">
        <v>7</v>
      </c>
      <c r="DN418" s="79" t="s">
        <v>182</v>
      </c>
      <c r="DO418" s="79" t="s">
        <v>179</v>
      </c>
      <c r="DP418" s="79" t="s">
        <v>182</v>
      </c>
      <c r="DQ418" s="79">
        <v>1</v>
      </c>
      <c r="DR418" s="75">
        <f t="shared" si="240"/>
        <v>0.19607843137254904</v>
      </c>
      <c r="DS418" s="79" t="s">
        <v>191</v>
      </c>
      <c r="DT418" s="79">
        <v>0</v>
      </c>
      <c r="DU418" s="75">
        <f t="shared" si="241"/>
        <v>0</v>
      </c>
      <c r="DV418" s="79" t="s">
        <v>182</v>
      </c>
      <c r="DW418" s="79" t="s">
        <v>191</v>
      </c>
      <c r="DX418" s="79">
        <v>0</v>
      </c>
      <c r="DY418" s="79" t="s">
        <v>179</v>
      </c>
      <c r="DZ418" s="79"/>
      <c r="EA418" s="79" t="s">
        <v>179</v>
      </c>
      <c r="EB418" s="79" t="s">
        <v>182</v>
      </c>
      <c r="EC418" s="79" t="s">
        <v>3026</v>
      </c>
      <c r="ED418" s="79" t="s">
        <v>249</v>
      </c>
      <c r="EE418" s="79" t="str">
        <f t="shared" si="262"/>
        <v>Completo</v>
      </c>
      <c r="EF418" s="41"/>
      <c r="EG418" s="79" t="s">
        <v>153</v>
      </c>
      <c r="EH418" s="71"/>
      <c r="EI418" s="202" t="s">
        <v>3027</v>
      </c>
      <c r="EJ418" s="71"/>
      <c r="EK418" s="79" t="s">
        <v>409</v>
      </c>
      <c r="EL418" s="76" t="str">
        <f t="shared" si="242"/>
        <v>No</v>
      </c>
      <c r="EM418" s="76" t="str">
        <f t="shared" si="243"/>
        <v>No aplica</v>
      </c>
      <c r="EN418" s="76" t="str">
        <f t="shared" si="228"/>
        <v>Sí</v>
      </c>
      <c r="EO418" s="71"/>
      <c r="EP418" s="73">
        <f t="shared" si="244"/>
        <v>1</v>
      </c>
      <c r="EQ418" s="77">
        <f t="shared" si="245"/>
        <v>0</v>
      </c>
      <c r="ER418" s="71"/>
      <c r="ES418" s="79" t="s">
        <v>409</v>
      </c>
      <c r="ET418" s="73">
        <f t="shared" si="246"/>
        <v>0.66666666666666663</v>
      </c>
      <c r="EU418" s="73">
        <f t="shared" si="229"/>
        <v>1</v>
      </c>
      <c r="EV418" s="73">
        <f t="shared" si="247"/>
        <v>1</v>
      </c>
      <c r="EW418" s="73" t="str">
        <f t="shared" si="248"/>
        <v>No aplica</v>
      </c>
      <c r="EX418" s="78"/>
      <c r="EY418" s="78"/>
    </row>
    <row r="419" spans="1:155" ht="46.5" customHeight="1">
      <c r="A419" s="79">
        <v>415</v>
      </c>
      <c r="B419" s="80" t="s">
        <v>3028</v>
      </c>
      <c r="C419" s="81">
        <v>45422</v>
      </c>
      <c r="D419" s="82">
        <v>0.375</v>
      </c>
      <c r="E419" s="79" t="s">
        <v>151</v>
      </c>
      <c r="F419" s="79" t="s">
        <v>153</v>
      </c>
      <c r="G419" s="79" t="s">
        <v>152</v>
      </c>
      <c r="H419" s="79" t="s">
        <v>152</v>
      </c>
      <c r="I419" s="79" t="s">
        <v>152</v>
      </c>
      <c r="J419" s="79" t="s">
        <v>154</v>
      </c>
      <c r="K419" s="79" t="s">
        <v>155</v>
      </c>
      <c r="L419" s="80" t="s">
        <v>2844</v>
      </c>
      <c r="M419" s="80" t="s">
        <v>303</v>
      </c>
      <c r="N419" s="79" t="s">
        <v>675</v>
      </c>
      <c r="O419" s="80" t="str">
        <f t="shared" si="236"/>
        <v>Daniela Velasco Vega, William Arturo González, Aida Vanessa Rocha, Andres Castro Latorre, Derly Adriana Castillo</v>
      </c>
      <c r="P419" s="79" t="s">
        <v>660</v>
      </c>
      <c r="Q419" s="79" t="s">
        <v>2786</v>
      </c>
      <c r="R419" s="79" t="s">
        <v>801</v>
      </c>
      <c r="S419" s="79" t="s">
        <v>749</v>
      </c>
      <c r="T419" s="79" t="s">
        <v>526</v>
      </c>
      <c r="U419" s="79"/>
      <c r="V419" s="79"/>
      <c r="W419" s="79"/>
      <c r="X419" s="79"/>
      <c r="Y419" s="79"/>
      <c r="Z419" s="79"/>
      <c r="AA419" s="79"/>
      <c r="AB419" s="79"/>
      <c r="AC419" s="79"/>
      <c r="AD419" s="79"/>
      <c r="AE419" s="79"/>
      <c r="AF419" s="79"/>
      <c r="AG419" s="79"/>
      <c r="AH419" s="79"/>
      <c r="AI419" s="79"/>
      <c r="AJ419" s="79"/>
      <c r="AK419" s="79"/>
      <c r="AL419" s="79"/>
      <c r="AM419" s="79"/>
      <c r="AN419" s="79"/>
      <c r="AO419" s="79" t="s">
        <v>169</v>
      </c>
      <c r="AP419" s="79" t="s">
        <v>475</v>
      </c>
      <c r="AQ419" s="80" t="s">
        <v>171</v>
      </c>
      <c r="AR419" s="83" t="s">
        <v>171</v>
      </c>
      <c r="AS419" s="80" t="s">
        <v>171</v>
      </c>
      <c r="AT419" s="80" t="str">
        <f t="shared" si="237"/>
        <v>Distrital</v>
      </c>
      <c r="AU419" s="79" t="s">
        <v>172</v>
      </c>
      <c r="AV419" s="79"/>
      <c r="AW419" s="79"/>
      <c r="AX419" s="79"/>
      <c r="AY419" s="79"/>
      <c r="AZ419" s="79"/>
      <c r="BA419" s="80" t="str">
        <f t="shared" si="238"/>
        <v>Distrital</v>
      </c>
      <c r="BB419" s="79" t="s">
        <v>172</v>
      </c>
      <c r="BC419" s="79"/>
      <c r="BD419" s="79"/>
      <c r="BE419" s="79"/>
      <c r="BF419" s="79"/>
      <c r="BG419" s="79"/>
      <c r="BH419" s="80" t="str">
        <f t="shared" si="239"/>
        <v>Distrital</v>
      </c>
      <c r="BI419" s="79" t="s">
        <v>172</v>
      </c>
      <c r="BJ419" s="79"/>
      <c r="BK419" s="79"/>
      <c r="BL419" s="79"/>
      <c r="BM419" s="79"/>
      <c r="BN419" s="79"/>
      <c r="BO419" s="79"/>
      <c r="BP419" s="79"/>
      <c r="BQ419" s="79"/>
      <c r="BR419" s="79"/>
      <c r="BS419" s="80" t="s">
        <v>2598</v>
      </c>
      <c r="BT419" s="80" t="s">
        <v>174</v>
      </c>
      <c r="BU419" s="80" t="s">
        <v>2599</v>
      </c>
      <c r="BV419" s="71"/>
      <c r="BW419" s="79" t="s">
        <v>153</v>
      </c>
      <c r="BX419" s="79" t="s">
        <v>2600</v>
      </c>
      <c r="BY419" s="71"/>
      <c r="BZ419" s="79">
        <v>120</v>
      </c>
      <c r="CA419" s="79">
        <v>4</v>
      </c>
      <c r="CB419" s="79">
        <f t="shared" si="223"/>
        <v>124</v>
      </c>
      <c r="CC419" s="79" t="str">
        <f t="shared" si="227"/>
        <v>No Aplica</v>
      </c>
      <c r="CD419" s="79" t="s">
        <v>177</v>
      </c>
      <c r="CE419" s="79"/>
      <c r="CF419" s="79"/>
      <c r="CG419" s="83" t="s">
        <v>3029</v>
      </c>
      <c r="CH419" s="41"/>
      <c r="CI419" s="79" t="s">
        <v>153</v>
      </c>
      <c r="CJ419" s="71"/>
      <c r="CK419" s="79">
        <f t="shared" si="263"/>
        <v>0</v>
      </c>
      <c r="CL419" s="79"/>
      <c r="CM419" s="79"/>
      <c r="CN419" s="79"/>
      <c r="CO419" s="79"/>
      <c r="CP419" s="79"/>
      <c r="CQ419" s="79"/>
      <c r="CR419" s="83" t="s">
        <v>179</v>
      </c>
      <c r="CS419" s="83" t="s">
        <v>179</v>
      </c>
      <c r="CT419" s="83" t="s">
        <v>179</v>
      </c>
      <c r="CU419" s="83" t="s">
        <v>179</v>
      </c>
      <c r="CV419" s="83" t="s">
        <v>179</v>
      </c>
      <c r="CW419" s="83" t="s">
        <v>179</v>
      </c>
      <c r="CX419" s="79" t="s">
        <v>153</v>
      </c>
      <c r="CY419" s="79">
        <f t="shared" si="264"/>
        <v>0</v>
      </c>
      <c r="CZ419" s="79">
        <v>0</v>
      </c>
      <c r="DA419" s="79">
        <f t="shared" si="265"/>
        <v>0</v>
      </c>
      <c r="DB419" s="84" t="str">
        <f t="shared" si="266"/>
        <v/>
      </c>
      <c r="DC419" s="41"/>
      <c r="DD419" s="79" t="s">
        <v>153</v>
      </c>
      <c r="DE419" s="71"/>
      <c r="DF419" s="85" t="s">
        <v>3030</v>
      </c>
      <c r="DG419" s="79">
        <v>409</v>
      </c>
      <c r="DH419" s="86">
        <f t="shared" si="261"/>
        <v>45425</v>
      </c>
      <c r="DI419" s="79" t="s">
        <v>181</v>
      </c>
      <c r="DJ419" s="79" t="s">
        <v>182</v>
      </c>
      <c r="DK419" s="79"/>
      <c r="DL419" s="79">
        <v>0</v>
      </c>
      <c r="DM419" s="79">
        <v>0</v>
      </c>
      <c r="DN419" s="79" t="s">
        <v>182</v>
      </c>
      <c r="DO419" s="79"/>
      <c r="DP419" s="79"/>
      <c r="DQ419" s="79"/>
      <c r="DR419" s="75" t="str">
        <f t="shared" si="240"/>
        <v>No aplica</v>
      </c>
      <c r="DS419" s="79"/>
      <c r="DT419" s="79"/>
      <c r="DU419" s="75" t="str">
        <f t="shared" si="241"/>
        <v>No aplica</v>
      </c>
      <c r="DV419" s="79" t="s">
        <v>182</v>
      </c>
      <c r="DW419" s="79" t="s">
        <v>191</v>
      </c>
      <c r="DX419" s="79"/>
      <c r="DY419" s="79"/>
      <c r="DZ419" s="79"/>
      <c r="EA419" s="79"/>
      <c r="EB419" s="79" t="s">
        <v>182</v>
      </c>
      <c r="EC419" s="79" t="s">
        <v>3031</v>
      </c>
      <c r="ED419" s="79" t="s">
        <v>184</v>
      </c>
      <c r="EE419" s="79" t="s">
        <v>621</v>
      </c>
      <c r="EF419" s="41"/>
      <c r="EG419" s="79" t="s">
        <v>153</v>
      </c>
      <c r="EH419" s="71"/>
      <c r="EI419" s="80"/>
      <c r="EJ419" s="71"/>
      <c r="EK419" s="79"/>
      <c r="EL419" s="76" t="str">
        <f t="shared" si="242"/>
        <v>No requiere</v>
      </c>
      <c r="EM419" s="76" t="str">
        <f t="shared" si="243"/>
        <v>No requiere</v>
      </c>
      <c r="EN419" s="76" t="str">
        <f t="shared" si="228"/>
        <v>No requiere</v>
      </c>
      <c r="EO419" s="71"/>
      <c r="EP419" s="73" t="str">
        <f t="shared" si="244"/>
        <v>No requiere</v>
      </c>
      <c r="EQ419" s="77" t="str">
        <f t="shared" si="245"/>
        <v>No requiere</v>
      </c>
      <c r="ER419" s="71"/>
      <c r="ES419" s="79"/>
      <c r="ET419" s="73" t="str">
        <f t="shared" si="246"/>
        <v>No requiere</v>
      </c>
      <c r="EU419" s="73" t="str">
        <f t="shared" si="229"/>
        <v>No requiere</v>
      </c>
      <c r="EV419" s="73" t="str">
        <f t="shared" si="247"/>
        <v>No requiere</v>
      </c>
      <c r="EW419" s="73" t="str">
        <f t="shared" si="248"/>
        <v>No requiere</v>
      </c>
      <c r="EX419" s="78"/>
      <c r="EY419" s="78"/>
    </row>
    <row r="420" spans="1:155" ht="46.5" customHeight="1">
      <c r="A420" s="79" t="str">
        <v/>
      </c>
      <c r="B420" s="80" t="s">
        <v>2566</v>
      </c>
      <c r="C420" s="81">
        <v>45422</v>
      </c>
      <c r="D420" s="82">
        <v>0.41666666666666669</v>
      </c>
      <c r="E420" s="79" t="s">
        <v>151</v>
      </c>
      <c r="F420" s="79" t="s">
        <v>152</v>
      </c>
      <c r="G420" s="79" t="s">
        <v>153</v>
      </c>
      <c r="H420" s="79" t="s">
        <v>152</v>
      </c>
      <c r="I420" s="79" t="s">
        <v>152</v>
      </c>
      <c r="J420" s="79" t="s">
        <v>251</v>
      </c>
      <c r="K420" s="79" t="s">
        <v>202</v>
      </c>
      <c r="L420" s="80" t="s">
        <v>2869</v>
      </c>
      <c r="M420" s="80" t="s">
        <v>157</v>
      </c>
      <c r="N420" s="79" t="s">
        <v>265</v>
      </c>
      <c r="O420" s="80" t="str">
        <f t="shared" si="236"/>
        <v>César Augusto Barrantes</v>
      </c>
      <c r="P420" s="79" t="s">
        <v>729</v>
      </c>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t="s">
        <v>304</v>
      </c>
      <c r="AP420" s="79"/>
      <c r="AQ420" s="80" t="s">
        <v>171</v>
      </c>
      <c r="AR420" s="83" t="s">
        <v>171</v>
      </c>
      <c r="AS420" s="80" t="s">
        <v>171</v>
      </c>
      <c r="AT420" s="80" t="str">
        <f t="shared" si="237"/>
        <v>Distrital</v>
      </c>
      <c r="AU420" s="79" t="s">
        <v>172</v>
      </c>
      <c r="AV420" s="79"/>
      <c r="AW420" s="79"/>
      <c r="AX420" s="79"/>
      <c r="AY420" s="79"/>
      <c r="AZ420" s="79"/>
      <c r="BA420" s="80" t="str">
        <f t="shared" si="238"/>
        <v>Distrital</v>
      </c>
      <c r="BB420" s="79" t="s">
        <v>172</v>
      </c>
      <c r="BC420" s="79"/>
      <c r="BD420" s="79"/>
      <c r="BE420" s="79"/>
      <c r="BF420" s="79"/>
      <c r="BG420" s="79"/>
      <c r="BH420" s="80" t="str">
        <f t="shared" si="239"/>
        <v>Distrital</v>
      </c>
      <c r="BI420" s="79" t="s">
        <v>172</v>
      </c>
      <c r="BJ420" s="79"/>
      <c r="BK420" s="79"/>
      <c r="BL420" s="79"/>
      <c r="BM420" s="79"/>
      <c r="BN420" s="79"/>
      <c r="BO420" s="79"/>
      <c r="BP420" s="79"/>
      <c r="BQ420" s="79"/>
      <c r="BR420" s="79"/>
      <c r="BS420" s="80" t="s">
        <v>288</v>
      </c>
      <c r="BT420" s="80" t="s">
        <v>174</v>
      </c>
      <c r="BU420" s="89" t="s">
        <v>2870</v>
      </c>
      <c r="BV420" s="71"/>
      <c r="BW420" s="79" t="s">
        <v>153</v>
      </c>
      <c r="BX420" s="79" t="s">
        <v>176</v>
      </c>
      <c r="BY420" s="71"/>
      <c r="BZ420" s="79">
        <v>5</v>
      </c>
      <c r="CA420" s="79">
        <v>5</v>
      </c>
      <c r="CB420" s="79">
        <f t="shared" si="223"/>
        <v>10</v>
      </c>
      <c r="CC420" s="79" t="str">
        <f t="shared" si="227"/>
        <v>No Aplica</v>
      </c>
      <c r="CD420" s="79" t="s">
        <v>177</v>
      </c>
      <c r="CE420" s="79"/>
      <c r="CF420" s="79"/>
      <c r="CG420" s="83" t="s">
        <v>3032</v>
      </c>
      <c r="CH420" s="41"/>
      <c r="CI420" s="79" t="s">
        <v>153</v>
      </c>
      <c r="CJ420" s="71"/>
      <c r="CK420" s="79">
        <f t="shared" si="263"/>
        <v>0</v>
      </c>
      <c r="CL420" s="79"/>
      <c r="CM420" s="79"/>
      <c r="CN420" s="79"/>
      <c r="CO420" s="79"/>
      <c r="CP420" s="79"/>
      <c r="CQ420" s="79"/>
      <c r="CR420" s="83" t="s">
        <v>179</v>
      </c>
      <c r="CS420" s="83" t="s">
        <v>179</v>
      </c>
      <c r="CT420" s="83" t="s">
        <v>179</v>
      </c>
      <c r="CU420" s="83" t="s">
        <v>179</v>
      </c>
      <c r="CV420" s="83" t="s">
        <v>179</v>
      </c>
      <c r="CW420" s="83" t="s">
        <v>179</v>
      </c>
      <c r="CX420" s="79" t="s">
        <v>153</v>
      </c>
      <c r="CY420" s="79">
        <f t="shared" si="264"/>
        <v>0</v>
      </c>
      <c r="CZ420" s="79">
        <v>0</v>
      </c>
      <c r="DA420" s="79">
        <f t="shared" si="265"/>
        <v>0</v>
      </c>
      <c r="DB420" s="84" t="str">
        <f t="shared" si="266"/>
        <v/>
      </c>
      <c r="DC420" s="41"/>
      <c r="DD420" s="79" t="s">
        <v>153</v>
      </c>
      <c r="DE420" s="71"/>
      <c r="DF420" s="85" t="s">
        <v>3033</v>
      </c>
      <c r="DG420" s="79">
        <v>410</v>
      </c>
      <c r="DH420" s="86" t="str">
        <f t="shared" si="261"/>
        <v>Completo</v>
      </c>
      <c r="DI420" s="79" t="s">
        <v>181</v>
      </c>
      <c r="DJ420" s="79" t="s">
        <v>182</v>
      </c>
      <c r="DK420" s="79"/>
      <c r="DL420" s="79">
        <v>0</v>
      </c>
      <c r="DM420" s="79">
        <v>0</v>
      </c>
      <c r="DN420" s="79"/>
      <c r="DO420" s="79"/>
      <c r="DP420" s="79"/>
      <c r="DQ420" s="79"/>
      <c r="DR420" s="75" t="str">
        <f t="shared" si="240"/>
        <v>No aplica</v>
      </c>
      <c r="DS420" s="79"/>
      <c r="DT420" s="79"/>
      <c r="DU420" s="75" t="str">
        <f t="shared" si="241"/>
        <v>No aplica</v>
      </c>
      <c r="DV420" s="79" t="s">
        <v>182</v>
      </c>
      <c r="DW420" s="79"/>
      <c r="DX420" s="79"/>
      <c r="DY420" s="79"/>
      <c r="DZ420" s="79"/>
      <c r="EA420" s="79"/>
      <c r="EB420" s="79"/>
      <c r="EC420" s="79"/>
      <c r="ED420" s="79" t="s">
        <v>3034</v>
      </c>
      <c r="EE420" s="79" t="str">
        <f t="shared" ref="EE420:EE426" si="267">IF(DI420="Subsanado","Completo","Por Completar")</f>
        <v>Completo</v>
      </c>
      <c r="EF420" s="41"/>
      <c r="EG420" s="79" t="s">
        <v>153</v>
      </c>
      <c r="EH420" s="71"/>
      <c r="EI420" s="80"/>
      <c r="EJ420" s="71"/>
      <c r="EK420" s="79"/>
      <c r="EL420" s="76" t="str">
        <f t="shared" si="242"/>
        <v>No requiere</v>
      </c>
      <c r="EM420" s="76" t="str">
        <f t="shared" si="243"/>
        <v>No requiere</v>
      </c>
      <c r="EN420" s="76" t="str">
        <f t="shared" si="228"/>
        <v>No requiere</v>
      </c>
      <c r="EO420" s="71"/>
      <c r="EP420" s="73" t="str">
        <f t="shared" si="244"/>
        <v>No requiere</v>
      </c>
      <c r="EQ420" s="77" t="str">
        <f t="shared" si="245"/>
        <v>No requiere</v>
      </c>
      <c r="ER420" s="71"/>
      <c r="ES420" s="79"/>
      <c r="ET420" s="73" t="str">
        <f t="shared" si="246"/>
        <v>No requiere</v>
      </c>
      <c r="EU420" s="73" t="str">
        <f t="shared" si="229"/>
        <v>No requiere</v>
      </c>
      <c r="EV420" s="73" t="str">
        <f t="shared" si="247"/>
        <v>No requiere</v>
      </c>
      <c r="EW420" s="73" t="str">
        <f t="shared" si="248"/>
        <v>No requiere</v>
      </c>
      <c r="EX420" s="78"/>
      <c r="EY420" s="78"/>
    </row>
    <row r="421" spans="1:155" ht="46.5" customHeight="1">
      <c r="A421" s="79">
        <v>417</v>
      </c>
      <c r="B421" s="80" t="s">
        <v>3035</v>
      </c>
      <c r="C421" s="81">
        <v>45422</v>
      </c>
      <c r="D421" s="82">
        <v>0.58333333333333337</v>
      </c>
      <c r="E421" s="79" t="s">
        <v>151</v>
      </c>
      <c r="F421" s="79" t="s">
        <v>153</v>
      </c>
      <c r="G421" s="79" t="s">
        <v>152</v>
      </c>
      <c r="H421" s="79" t="s">
        <v>152</v>
      </c>
      <c r="I421" s="79" t="s">
        <v>152</v>
      </c>
      <c r="J421" s="79" t="s">
        <v>154</v>
      </c>
      <c r="K421" s="79" t="s">
        <v>155</v>
      </c>
      <c r="L421" s="80" t="s">
        <v>3036</v>
      </c>
      <c r="M421" s="80" t="s">
        <v>303</v>
      </c>
      <c r="N421" s="79" t="s">
        <v>820</v>
      </c>
      <c r="O421" s="80" t="str">
        <f t="shared" si="236"/>
        <v xml:space="preserve">Nancy Stella Villa </v>
      </c>
      <c r="P421" s="79" t="s">
        <v>1611</v>
      </c>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t="s">
        <v>169</v>
      </c>
      <c r="AP421" s="79" t="s">
        <v>475</v>
      </c>
      <c r="AQ421" s="80" t="s">
        <v>171</v>
      </c>
      <c r="AR421" s="83" t="s">
        <v>171</v>
      </c>
      <c r="AS421" s="80" t="s">
        <v>171</v>
      </c>
      <c r="AT421" s="80" t="str">
        <f t="shared" si="237"/>
        <v>Distrital</v>
      </c>
      <c r="AU421" s="79" t="s">
        <v>172</v>
      </c>
      <c r="AV421" s="79"/>
      <c r="AW421" s="79"/>
      <c r="AX421" s="79"/>
      <c r="AY421" s="79"/>
      <c r="AZ421" s="79"/>
      <c r="BA421" s="80" t="str">
        <f t="shared" si="238"/>
        <v>Distrital</v>
      </c>
      <c r="BB421" s="79" t="s">
        <v>172</v>
      </c>
      <c r="BC421" s="79"/>
      <c r="BD421" s="79"/>
      <c r="BE421" s="79"/>
      <c r="BF421" s="79"/>
      <c r="BG421" s="79"/>
      <c r="BH421" s="80" t="str">
        <f t="shared" si="239"/>
        <v>Distrital</v>
      </c>
      <c r="BI421" s="79" t="s">
        <v>172</v>
      </c>
      <c r="BJ421" s="79"/>
      <c r="BK421" s="79"/>
      <c r="BL421" s="79"/>
      <c r="BM421" s="79"/>
      <c r="BN421" s="79"/>
      <c r="BO421" s="79"/>
      <c r="BP421" s="79"/>
      <c r="BQ421" s="79"/>
      <c r="BR421" s="79"/>
      <c r="BS421" s="80" t="s">
        <v>2598</v>
      </c>
      <c r="BT421" s="80" t="s">
        <v>174</v>
      </c>
      <c r="BU421" s="80" t="s">
        <v>2599</v>
      </c>
      <c r="BV421" s="71"/>
      <c r="BW421" s="79" t="s">
        <v>153</v>
      </c>
      <c r="BX421" s="79" t="s">
        <v>2600</v>
      </c>
      <c r="BY421" s="71"/>
      <c r="BZ421" s="79">
        <v>50</v>
      </c>
      <c r="CA421" s="79">
        <v>2</v>
      </c>
      <c r="CB421" s="79">
        <f t="shared" si="223"/>
        <v>52</v>
      </c>
      <c r="CC421" s="79" t="str">
        <f t="shared" si="227"/>
        <v>No Aplica</v>
      </c>
      <c r="CD421" s="79" t="s">
        <v>177</v>
      </c>
      <c r="CE421" s="79"/>
      <c r="CF421" s="79"/>
      <c r="CG421" s="83" t="s">
        <v>3037</v>
      </c>
      <c r="CH421" s="41"/>
      <c r="CI421" s="79" t="s">
        <v>153</v>
      </c>
      <c r="CJ421" s="71"/>
      <c r="CK421" s="79">
        <f t="shared" si="263"/>
        <v>0</v>
      </c>
      <c r="CL421" s="79"/>
      <c r="CM421" s="79"/>
      <c r="CN421" s="79"/>
      <c r="CO421" s="79"/>
      <c r="CP421" s="79"/>
      <c r="CQ421" s="79"/>
      <c r="CR421" s="83" t="s">
        <v>179</v>
      </c>
      <c r="CS421" s="83" t="s">
        <v>179</v>
      </c>
      <c r="CT421" s="83" t="s">
        <v>179</v>
      </c>
      <c r="CU421" s="83" t="s">
        <v>179</v>
      </c>
      <c r="CV421" s="83" t="s">
        <v>179</v>
      </c>
      <c r="CW421" s="83" t="s">
        <v>179</v>
      </c>
      <c r="CX421" s="79" t="s">
        <v>153</v>
      </c>
      <c r="CY421" s="79">
        <f t="shared" si="264"/>
        <v>0</v>
      </c>
      <c r="CZ421" s="79">
        <v>0</v>
      </c>
      <c r="DA421" s="79">
        <f t="shared" si="265"/>
        <v>0</v>
      </c>
      <c r="DB421" s="84" t="str">
        <f t="shared" si="266"/>
        <v/>
      </c>
      <c r="DC421" s="41"/>
      <c r="DD421" s="79" t="s">
        <v>153</v>
      </c>
      <c r="DE421" s="71"/>
      <c r="DF421" s="85" t="s">
        <v>3038</v>
      </c>
      <c r="DG421" s="79">
        <v>411</v>
      </c>
      <c r="DH421" s="86" t="str">
        <f t="shared" si="261"/>
        <v>Completo</v>
      </c>
      <c r="DI421" s="79" t="s">
        <v>181</v>
      </c>
      <c r="DJ421" s="79" t="s">
        <v>182</v>
      </c>
      <c r="DK421" s="79"/>
      <c r="DL421" s="79">
        <v>0</v>
      </c>
      <c r="DM421" s="79">
        <v>0</v>
      </c>
      <c r="DN421" s="79" t="s">
        <v>182</v>
      </c>
      <c r="DO421" s="79"/>
      <c r="DP421" s="79"/>
      <c r="DQ421" s="79"/>
      <c r="DR421" s="75" t="str">
        <f t="shared" si="240"/>
        <v>No aplica</v>
      </c>
      <c r="DS421" s="79"/>
      <c r="DT421" s="79"/>
      <c r="DU421" s="75" t="str">
        <f t="shared" si="241"/>
        <v>No aplica</v>
      </c>
      <c r="DV421" s="79" t="s">
        <v>182</v>
      </c>
      <c r="DW421" s="79" t="s">
        <v>191</v>
      </c>
      <c r="DX421" s="79"/>
      <c r="DY421" s="79"/>
      <c r="DZ421" s="79"/>
      <c r="EA421" s="79"/>
      <c r="EB421" s="79"/>
      <c r="EC421" s="79"/>
      <c r="ED421" s="79" t="s">
        <v>184</v>
      </c>
      <c r="EE421" s="79" t="str">
        <f t="shared" si="267"/>
        <v>Completo</v>
      </c>
      <c r="EF421" s="41"/>
      <c r="EG421" s="79" t="s">
        <v>153</v>
      </c>
      <c r="EH421" s="71"/>
      <c r="EI421" s="80"/>
      <c r="EJ421" s="71"/>
      <c r="EK421" s="79"/>
      <c r="EL421" s="76" t="str">
        <f t="shared" si="242"/>
        <v>No requiere</v>
      </c>
      <c r="EM421" s="76" t="str">
        <f t="shared" si="243"/>
        <v>No requiere</v>
      </c>
      <c r="EN421" s="76" t="str">
        <f t="shared" si="228"/>
        <v>No requiere</v>
      </c>
      <c r="EO421" s="71"/>
      <c r="EP421" s="73" t="str">
        <f t="shared" si="244"/>
        <v>No requiere</v>
      </c>
      <c r="EQ421" s="77" t="str">
        <f t="shared" si="245"/>
        <v>No requiere</v>
      </c>
      <c r="ER421" s="71"/>
      <c r="ES421" s="79"/>
      <c r="ET421" s="73" t="str">
        <f t="shared" si="246"/>
        <v>No requiere</v>
      </c>
      <c r="EU421" s="73" t="str">
        <f t="shared" si="229"/>
        <v>No requiere</v>
      </c>
      <c r="EV421" s="73" t="str">
        <f t="shared" si="247"/>
        <v>No requiere</v>
      </c>
      <c r="EW421" s="73" t="str">
        <f t="shared" si="248"/>
        <v>No requiere</v>
      </c>
      <c r="EX421" s="78"/>
      <c r="EY421" s="78"/>
    </row>
    <row r="422" spans="1:155" ht="46.5" customHeight="1">
      <c r="A422" s="79">
        <v>418</v>
      </c>
      <c r="B422" s="80" t="s">
        <v>3039</v>
      </c>
      <c r="C422" s="81">
        <v>45422</v>
      </c>
      <c r="D422" s="82">
        <v>0.58333333333333337</v>
      </c>
      <c r="E422" s="79" t="s">
        <v>151</v>
      </c>
      <c r="F422" s="79" t="s">
        <v>153</v>
      </c>
      <c r="G422" s="79" t="s">
        <v>152</v>
      </c>
      <c r="H422" s="79" t="s">
        <v>152</v>
      </c>
      <c r="I422" s="79" t="s">
        <v>152</v>
      </c>
      <c r="J422" s="79" t="s">
        <v>1711</v>
      </c>
      <c r="K422" s="79" t="s">
        <v>155</v>
      </c>
      <c r="L422" s="80" t="s">
        <v>3040</v>
      </c>
      <c r="M422" s="80" t="s">
        <v>157</v>
      </c>
      <c r="N422" s="79" t="s">
        <v>163</v>
      </c>
      <c r="O422" s="80" t="str">
        <f t="shared" si="236"/>
        <v>Laura Camila Bechara</v>
      </c>
      <c r="P422" s="79" t="s">
        <v>887</v>
      </c>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t="s">
        <v>230</v>
      </c>
      <c r="AP422" s="79" t="s">
        <v>925</v>
      </c>
      <c r="AQ422" s="80" t="s">
        <v>3041</v>
      </c>
      <c r="AR422" s="83">
        <v>3104955381</v>
      </c>
      <c r="AS422" s="80" t="s">
        <v>3042</v>
      </c>
      <c r="AT422" s="80" t="str">
        <f t="shared" si="237"/>
        <v>Distrital</v>
      </c>
      <c r="AU422" s="79" t="s">
        <v>172</v>
      </c>
      <c r="AV422" s="79"/>
      <c r="AW422" s="79"/>
      <c r="AX422" s="79"/>
      <c r="AY422" s="79"/>
      <c r="AZ422" s="79"/>
      <c r="BA422" s="80" t="str">
        <f t="shared" si="238"/>
        <v>Distrital</v>
      </c>
      <c r="BB422" s="79" t="s">
        <v>172</v>
      </c>
      <c r="BC422" s="79"/>
      <c r="BD422" s="79"/>
      <c r="BE422" s="79"/>
      <c r="BF422" s="79"/>
      <c r="BG422" s="79"/>
      <c r="BH422" s="80" t="str">
        <f t="shared" si="239"/>
        <v>Distrital</v>
      </c>
      <c r="BI422" s="79" t="s">
        <v>172</v>
      </c>
      <c r="BJ422" s="79"/>
      <c r="BK422" s="79"/>
      <c r="BL422" s="79"/>
      <c r="BM422" s="79"/>
      <c r="BN422" s="79"/>
      <c r="BO422" s="79"/>
      <c r="BP422" s="79"/>
      <c r="BQ422" s="79"/>
      <c r="BR422" s="79"/>
      <c r="BS422" s="80" t="s">
        <v>288</v>
      </c>
      <c r="BT422" s="80" t="s">
        <v>174</v>
      </c>
      <c r="BU422" s="80" t="s">
        <v>3043</v>
      </c>
      <c r="BV422" s="71"/>
      <c r="BW422" s="79" t="s">
        <v>152</v>
      </c>
      <c r="BX422" s="79" t="s">
        <v>179</v>
      </c>
      <c r="BY422" s="71"/>
      <c r="BZ422" s="79">
        <v>50</v>
      </c>
      <c r="CA422" s="79">
        <v>2</v>
      </c>
      <c r="CB422" s="79">
        <f t="shared" si="223"/>
        <v>52</v>
      </c>
      <c r="CC422" s="79" t="str">
        <f t="shared" si="227"/>
        <v>No Aplica</v>
      </c>
      <c r="CD422" s="79" t="s">
        <v>177</v>
      </c>
      <c r="CE422" s="79"/>
      <c r="CF422" s="79"/>
      <c r="CG422" s="83" t="s">
        <v>3044</v>
      </c>
      <c r="CH422" s="41"/>
      <c r="CI422" s="79" t="s">
        <v>153</v>
      </c>
      <c r="CJ422" s="71"/>
      <c r="CK422" s="79">
        <f t="shared" si="263"/>
        <v>0</v>
      </c>
      <c r="CL422" s="79"/>
      <c r="CM422" s="79"/>
      <c r="CN422" s="79"/>
      <c r="CO422" s="79"/>
      <c r="CP422" s="79"/>
      <c r="CQ422" s="79"/>
      <c r="CR422" s="83" t="s">
        <v>179</v>
      </c>
      <c r="CS422" s="83" t="s">
        <v>179</v>
      </c>
      <c r="CT422" s="83" t="s">
        <v>179</v>
      </c>
      <c r="CU422" s="83" t="s">
        <v>179</v>
      </c>
      <c r="CV422" s="83" t="s">
        <v>179</v>
      </c>
      <c r="CW422" s="83" t="s">
        <v>179</v>
      </c>
      <c r="CX422" s="79" t="s">
        <v>153</v>
      </c>
      <c r="CY422" s="79">
        <f t="shared" si="264"/>
        <v>0</v>
      </c>
      <c r="CZ422" s="79">
        <v>0</v>
      </c>
      <c r="DA422" s="79">
        <f t="shared" si="265"/>
        <v>0</v>
      </c>
      <c r="DB422" s="84" t="str">
        <f t="shared" si="266"/>
        <v/>
      </c>
      <c r="DC422" s="41"/>
      <c r="DD422" s="79" t="s">
        <v>153</v>
      </c>
      <c r="DE422" s="71"/>
      <c r="DF422" s="85" t="s">
        <v>3045</v>
      </c>
      <c r="DG422" s="79">
        <v>412</v>
      </c>
      <c r="DH422" s="86" t="str">
        <f t="shared" si="261"/>
        <v>Completo</v>
      </c>
      <c r="DI422" s="79" t="s">
        <v>181</v>
      </c>
      <c r="DJ422" s="79" t="s">
        <v>182</v>
      </c>
      <c r="DK422" s="79"/>
      <c r="DL422" s="79">
        <v>0</v>
      </c>
      <c r="DM422" s="79">
        <v>0</v>
      </c>
      <c r="DN422" s="79" t="s">
        <v>182</v>
      </c>
      <c r="DO422" s="79"/>
      <c r="DP422" s="79"/>
      <c r="DQ422" s="79"/>
      <c r="DR422" s="75" t="str">
        <f t="shared" si="240"/>
        <v>No aplica</v>
      </c>
      <c r="DS422" s="79"/>
      <c r="DT422" s="79"/>
      <c r="DU422" s="75" t="str">
        <f t="shared" si="241"/>
        <v>No aplica</v>
      </c>
      <c r="DV422" s="79" t="s">
        <v>182</v>
      </c>
      <c r="DW422" s="79"/>
      <c r="DX422" s="79"/>
      <c r="DY422" s="79"/>
      <c r="DZ422" s="79"/>
      <c r="EA422" s="79"/>
      <c r="EB422" s="79"/>
      <c r="EC422" s="79"/>
      <c r="ED422" s="79" t="s">
        <v>3046</v>
      </c>
      <c r="EE422" s="79" t="str">
        <f t="shared" si="267"/>
        <v>Completo</v>
      </c>
      <c r="EF422" s="41"/>
      <c r="EG422" s="79" t="s">
        <v>153</v>
      </c>
      <c r="EH422" s="71"/>
      <c r="EI422" s="80"/>
      <c r="EJ422" s="71"/>
      <c r="EK422" s="79"/>
      <c r="EL422" s="76" t="str">
        <f t="shared" si="242"/>
        <v>No requiere</v>
      </c>
      <c r="EM422" s="76" t="str">
        <f t="shared" si="243"/>
        <v>No requiere</v>
      </c>
      <c r="EN422" s="76" t="str">
        <f t="shared" si="228"/>
        <v>No requiere</v>
      </c>
      <c r="EO422" s="71"/>
      <c r="EP422" s="73" t="str">
        <f t="shared" si="244"/>
        <v>No requiere</v>
      </c>
      <c r="EQ422" s="77" t="str">
        <f t="shared" si="245"/>
        <v>No requiere</v>
      </c>
      <c r="ER422" s="71"/>
      <c r="ES422" s="79"/>
      <c r="ET422" s="73" t="str">
        <f t="shared" si="246"/>
        <v>No requiere</v>
      </c>
      <c r="EU422" s="73" t="str">
        <f t="shared" si="229"/>
        <v>No requiere</v>
      </c>
      <c r="EV422" s="73" t="str">
        <f t="shared" si="247"/>
        <v>No requiere</v>
      </c>
      <c r="EW422" s="73" t="str">
        <f t="shared" si="248"/>
        <v>No requiere</v>
      </c>
      <c r="EX422" s="78"/>
      <c r="EY422" s="78"/>
    </row>
    <row r="423" spans="1:155" ht="46.5" customHeight="1">
      <c r="A423" s="79" t="str">
        <v/>
      </c>
      <c r="B423" s="80" t="s">
        <v>3047</v>
      </c>
      <c r="C423" s="81">
        <v>45422</v>
      </c>
      <c r="D423" s="82">
        <v>0.58333333333333337</v>
      </c>
      <c r="E423" s="79" t="s">
        <v>151</v>
      </c>
      <c r="F423" s="79" t="s">
        <v>152</v>
      </c>
      <c r="G423" s="79" t="s">
        <v>153</v>
      </c>
      <c r="H423" s="79" t="s">
        <v>152</v>
      </c>
      <c r="I423" s="79" t="s">
        <v>152</v>
      </c>
      <c r="J423" s="79" t="s">
        <v>251</v>
      </c>
      <c r="K423" s="79" t="s">
        <v>155</v>
      </c>
      <c r="L423" s="80" t="s">
        <v>3048</v>
      </c>
      <c r="M423" s="80" t="s">
        <v>157</v>
      </c>
      <c r="N423" s="79" t="s">
        <v>632</v>
      </c>
      <c r="O423" s="80" t="str">
        <f t="shared" si="236"/>
        <v>César Augusto Barrantes, Freddy Martínez, James Fernando Núñez, Jimmy Alejandro Osorio</v>
      </c>
      <c r="P423" s="79" t="s">
        <v>729</v>
      </c>
      <c r="Q423" s="79" t="s">
        <v>3049</v>
      </c>
      <c r="R423" s="79" t="s">
        <v>632</v>
      </c>
      <c r="S423" s="79" t="s">
        <v>549</v>
      </c>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t="s">
        <v>169</v>
      </c>
      <c r="AP423" s="79"/>
      <c r="AQ423" s="80" t="s">
        <v>3050</v>
      </c>
      <c r="AR423" s="83">
        <v>3163309109</v>
      </c>
      <c r="AS423" s="80" t="s">
        <v>3051</v>
      </c>
      <c r="AT423" s="80" t="str">
        <f t="shared" si="237"/>
        <v>Distrital</v>
      </c>
      <c r="AU423" s="79" t="s">
        <v>172</v>
      </c>
      <c r="AV423" s="79"/>
      <c r="AW423" s="79"/>
      <c r="AX423" s="79"/>
      <c r="AY423" s="79"/>
      <c r="AZ423" s="79"/>
      <c r="BA423" s="80" t="str">
        <f t="shared" si="238"/>
        <v>Distrital</v>
      </c>
      <c r="BB423" s="79" t="s">
        <v>172</v>
      </c>
      <c r="BC423" s="79"/>
      <c r="BD423" s="79"/>
      <c r="BE423" s="79"/>
      <c r="BF423" s="79"/>
      <c r="BG423" s="79"/>
      <c r="BH423" s="80" t="str">
        <f t="shared" si="239"/>
        <v>Distrital</v>
      </c>
      <c r="BI423" s="79" t="s">
        <v>172</v>
      </c>
      <c r="BJ423" s="79"/>
      <c r="BK423" s="79"/>
      <c r="BL423" s="79"/>
      <c r="BM423" s="79"/>
      <c r="BN423" s="79"/>
      <c r="BO423" s="79"/>
      <c r="BP423" s="79"/>
      <c r="BQ423" s="79"/>
      <c r="BR423" s="79"/>
      <c r="BS423" s="80" t="s">
        <v>288</v>
      </c>
      <c r="BT423" s="80" t="s">
        <v>174</v>
      </c>
      <c r="BU423" s="80" t="s">
        <v>3052</v>
      </c>
      <c r="BV423" s="71"/>
      <c r="BW423" s="79" t="s">
        <v>152</v>
      </c>
      <c r="BX423" s="79" t="s">
        <v>179</v>
      </c>
      <c r="BY423" s="71"/>
      <c r="BZ423" s="79">
        <v>0</v>
      </c>
      <c r="CA423" s="79">
        <v>7</v>
      </c>
      <c r="CB423" s="79">
        <f t="shared" si="223"/>
        <v>7</v>
      </c>
      <c r="CC423" s="79" t="str">
        <f t="shared" si="227"/>
        <v>No Aplica</v>
      </c>
      <c r="CD423" s="79" t="s">
        <v>177</v>
      </c>
      <c r="CE423" s="79"/>
      <c r="CF423" s="79"/>
      <c r="CG423" s="83" t="s">
        <v>3053</v>
      </c>
      <c r="CH423" s="41"/>
      <c r="CI423" s="79" t="s">
        <v>153</v>
      </c>
      <c r="CJ423" s="71"/>
      <c r="CK423" s="79">
        <f t="shared" si="263"/>
        <v>0</v>
      </c>
      <c r="CL423" s="79"/>
      <c r="CM423" s="79"/>
      <c r="CN423" s="79"/>
      <c r="CO423" s="79"/>
      <c r="CP423" s="79"/>
      <c r="CQ423" s="79"/>
      <c r="CR423" s="83" t="s">
        <v>179</v>
      </c>
      <c r="CS423" s="83" t="s">
        <v>179</v>
      </c>
      <c r="CT423" s="83" t="s">
        <v>179</v>
      </c>
      <c r="CU423" s="83" t="s">
        <v>179</v>
      </c>
      <c r="CV423" s="83" t="s">
        <v>179</v>
      </c>
      <c r="CW423" s="83" t="s">
        <v>179</v>
      </c>
      <c r="CX423" s="79" t="s">
        <v>153</v>
      </c>
      <c r="CY423" s="79">
        <f t="shared" si="264"/>
        <v>0</v>
      </c>
      <c r="CZ423" s="79">
        <v>0</v>
      </c>
      <c r="DA423" s="79">
        <f t="shared" si="265"/>
        <v>0</v>
      </c>
      <c r="DB423" s="84" t="str">
        <f t="shared" si="266"/>
        <v/>
      </c>
      <c r="DC423" s="41"/>
      <c r="DD423" s="79" t="s">
        <v>153</v>
      </c>
      <c r="DE423" s="71"/>
      <c r="DF423" s="85" t="s">
        <v>3054</v>
      </c>
      <c r="DG423" s="79">
        <v>413</v>
      </c>
      <c r="DH423" s="86" t="str">
        <f t="shared" si="261"/>
        <v>Completo</v>
      </c>
      <c r="DI423" s="79" t="s">
        <v>181</v>
      </c>
      <c r="DJ423" s="79" t="s">
        <v>182</v>
      </c>
      <c r="DK423" s="79"/>
      <c r="DL423" s="79">
        <v>0</v>
      </c>
      <c r="DM423" s="79">
        <v>0</v>
      </c>
      <c r="DN423" s="79" t="s">
        <v>182</v>
      </c>
      <c r="DO423" s="79"/>
      <c r="DP423" s="79"/>
      <c r="DQ423" s="79"/>
      <c r="DR423" s="75" t="str">
        <f t="shared" si="240"/>
        <v>No aplica</v>
      </c>
      <c r="DS423" s="79"/>
      <c r="DT423" s="79"/>
      <c r="DU423" s="75" t="str">
        <f t="shared" si="241"/>
        <v>No aplica</v>
      </c>
      <c r="DV423" s="79" t="s">
        <v>182</v>
      </c>
      <c r="DW423" s="79"/>
      <c r="DX423" s="79"/>
      <c r="DY423" s="79"/>
      <c r="DZ423" s="79"/>
      <c r="EA423" s="79"/>
      <c r="EB423" s="79"/>
      <c r="EC423" s="79"/>
      <c r="ED423" s="79" t="s">
        <v>184</v>
      </c>
      <c r="EE423" s="79" t="str">
        <f t="shared" si="267"/>
        <v>Completo</v>
      </c>
      <c r="EF423" s="41"/>
      <c r="EG423" s="79" t="s">
        <v>153</v>
      </c>
      <c r="EH423" s="71"/>
      <c r="EI423" s="80"/>
      <c r="EJ423" s="71"/>
      <c r="EK423" s="79"/>
      <c r="EL423" s="76" t="str">
        <f t="shared" si="242"/>
        <v>No requiere</v>
      </c>
      <c r="EM423" s="76" t="str">
        <f t="shared" si="243"/>
        <v>No requiere</v>
      </c>
      <c r="EN423" s="76" t="str">
        <f t="shared" si="228"/>
        <v>No requiere</v>
      </c>
      <c r="EO423" s="71"/>
      <c r="EP423" s="73" t="str">
        <f t="shared" si="244"/>
        <v>No requiere</v>
      </c>
      <c r="EQ423" s="77" t="str">
        <f t="shared" si="245"/>
        <v>No requiere</v>
      </c>
      <c r="ER423" s="71"/>
      <c r="ES423" s="79"/>
      <c r="ET423" s="73" t="str">
        <f t="shared" si="246"/>
        <v>No requiere</v>
      </c>
      <c r="EU423" s="73" t="str">
        <f t="shared" si="229"/>
        <v>No requiere</v>
      </c>
      <c r="EV423" s="73" t="str">
        <f t="shared" si="247"/>
        <v>No requiere</v>
      </c>
      <c r="EW423" s="73" t="str">
        <f t="shared" si="248"/>
        <v>No requiere</v>
      </c>
      <c r="EX423" s="78"/>
      <c r="EY423" s="78"/>
    </row>
    <row r="424" spans="1:155" ht="46.5" customHeight="1">
      <c r="A424" s="79">
        <v>420</v>
      </c>
      <c r="B424" s="80" t="s">
        <v>3055</v>
      </c>
      <c r="C424" s="81">
        <v>45423</v>
      </c>
      <c r="D424" s="82">
        <v>0.375</v>
      </c>
      <c r="E424" s="79" t="s">
        <v>151</v>
      </c>
      <c r="F424" s="79" t="s">
        <v>153</v>
      </c>
      <c r="G424" s="79" t="s">
        <v>152</v>
      </c>
      <c r="H424" s="79" t="s">
        <v>152</v>
      </c>
      <c r="I424" s="79" t="s">
        <v>153</v>
      </c>
      <c r="J424" s="79" t="s">
        <v>227</v>
      </c>
      <c r="K424" s="79" t="s">
        <v>155</v>
      </c>
      <c r="L424" s="80" t="s">
        <v>2874</v>
      </c>
      <c r="M424" s="80" t="s">
        <v>303</v>
      </c>
      <c r="N424" s="79" t="s">
        <v>1387</v>
      </c>
      <c r="O424" s="80" t="str">
        <f t="shared" si="236"/>
        <v/>
      </c>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t="s">
        <v>304</v>
      </c>
      <c r="AP424" s="79"/>
      <c r="AQ424" s="80" t="s">
        <v>2833</v>
      </c>
      <c r="AR424" s="83" t="s">
        <v>3056</v>
      </c>
      <c r="AS424" s="80" t="s">
        <v>2834</v>
      </c>
      <c r="AT424" s="80" t="str">
        <f t="shared" si="237"/>
        <v>Teusaquillo</v>
      </c>
      <c r="AU424" s="79" t="s">
        <v>1004</v>
      </c>
      <c r="AV424" s="79"/>
      <c r="AW424" s="79"/>
      <c r="AX424" s="79"/>
      <c r="AY424" s="79"/>
      <c r="AZ424" s="79"/>
      <c r="BA424" s="80" t="str">
        <f t="shared" si="238"/>
        <v>Centro Ampliado</v>
      </c>
      <c r="BB424" s="79"/>
      <c r="BC424" s="79" t="s">
        <v>636</v>
      </c>
      <c r="BD424" s="79"/>
      <c r="BE424" s="79"/>
      <c r="BF424" s="79"/>
      <c r="BG424" s="79"/>
      <c r="BH424" s="80" t="str">
        <f t="shared" si="239"/>
        <v>Teusaquillo</v>
      </c>
      <c r="BI424" s="79" t="s">
        <v>1004</v>
      </c>
      <c r="BJ424" s="79"/>
      <c r="BK424" s="79"/>
      <c r="BL424" s="79"/>
      <c r="BM424" s="79"/>
      <c r="BN424" s="79"/>
      <c r="BO424" s="79"/>
      <c r="BP424" s="79"/>
      <c r="BQ424" s="79"/>
      <c r="BR424" s="79"/>
      <c r="BS424" s="80" t="s">
        <v>3057</v>
      </c>
      <c r="BT424" s="80" t="s">
        <v>2362</v>
      </c>
      <c r="BU424" s="80" t="s">
        <v>3058</v>
      </c>
      <c r="BV424" s="71"/>
      <c r="BW424" s="79" t="s">
        <v>152</v>
      </c>
      <c r="BX424" s="79" t="s">
        <v>179</v>
      </c>
      <c r="BY424" s="71"/>
      <c r="BZ424" s="79">
        <v>20</v>
      </c>
      <c r="CA424" s="79">
        <v>4</v>
      </c>
      <c r="CB424" s="79">
        <f t="shared" si="223"/>
        <v>24</v>
      </c>
      <c r="CC424" s="79" t="str">
        <f t="shared" si="227"/>
        <v>No Aplica</v>
      </c>
      <c r="CD424" s="79" t="s">
        <v>177</v>
      </c>
      <c r="CE424" s="79"/>
      <c r="CF424" s="79"/>
      <c r="CG424" s="83" t="s">
        <v>3059</v>
      </c>
      <c r="CH424" s="41"/>
      <c r="CI424" s="79" t="s">
        <v>153</v>
      </c>
      <c r="CJ424" s="71"/>
      <c r="CK424" s="79">
        <f t="shared" si="263"/>
        <v>0</v>
      </c>
      <c r="CL424" s="79"/>
      <c r="CM424" s="79"/>
      <c r="CN424" s="79"/>
      <c r="CO424" s="79"/>
      <c r="CP424" s="79"/>
      <c r="CQ424" s="79"/>
      <c r="CR424" s="83" t="s">
        <v>179</v>
      </c>
      <c r="CS424" s="83" t="s">
        <v>179</v>
      </c>
      <c r="CT424" s="83" t="s">
        <v>179</v>
      </c>
      <c r="CU424" s="83" t="s">
        <v>179</v>
      </c>
      <c r="CV424" s="83" t="s">
        <v>179</v>
      </c>
      <c r="CW424" s="83" t="s">
        <v>179</v>
      </c>
      <c r="CX424" s="79" t="s">
        <v>153</v>
      </c>
      <c r="CY424" s="79">
        <f t="shared" si="264"/>
        <v>0</v>
      </c>
      <c r="CZ424" s="79">
        <v>0</v>
      </c>
      <c r="DA424" s="79">
        <f t="shared" si="265"/>
        <v>0</v>
      </c>
      <c r="DB424" s="84" t="str">
        <f t="shared" si="266"/>
        <v/>
      </c>
      <c r="DC424" s="41"/>
      <c r="DD424" s="79" t="s">
        <v>153</v>
      </c>
      <c r="DE424" s="71"/>
      <c r="DF424" s="85" t="s">
        <v>3060</v>
      </c>
      <c r="DG424" s="79">
        <v>414</v>
      </c>
      <c r="DH424" s="86" t="str">
        <f t="shared" si="261"/>
        <v>Completo</v>
      </c>
      <c r="DI424" s="79" t="s">
        <v>181</v>
      </c>
      <c r="DJ424" s="79" t="s">
        <v>182</v>
      </c>
      <c r="DK424" s="79"/>
      <c r="DL424" s="79">
        <v>0</v>
      </c>
      <c r="DM424" s="79">
        <v>0</v>
      </c>
      <c r="DN424" s="79" t="s">
        <v>182</v>
      </c>
      <c r="DO424" s="79"/>
      <c r="DP424" s="79"/>
      <c r="DQ424" s="79"/>
      <c r="DR424" s="75" t="str">
        <f t="shared" si="240"/>
        <v>No aplica</v>
      </c>
      <c r="DS424" s="79"/>
      <c r="DT424" s="79"/>
      <c r="DU424" s="75" t="str">
        <f t="shared" si="241"/>
        <v>No aplica</v>
      </c>
      <c r="DV424" s="79" t="s">
        <v>182</v>
      </c>
      <c r="DW424" s="79" t="s">
        <v>191</v>
      </c>
      <c r="DX424" s="79"/>
      <c r="DY424" s="79"/>
      <c r="DZ424" s="79"/>
      <c r="EA424" s="79"/>
      <c r="EB424" s="79" t="s">
        <v>182</v>
      </c>
      <c r="EC424" s="79" t="s">
        <v>3061</v>
      </c>
      <c r="ED424" s="79" t="s">
        <v>3062</v>
      </c>
      <c r="EE424" s="79" t="str">
        <f t="shared" si="267"/>
        <v>Completo</v>
      </c>
      <c r="EF424" s="41"/>
      <c r="EG424" s="79" t="s">
        <v>153</v>
      </c>
      <c r="EH424" s="71"/>
      <c r="EI424" s="80"/>
      <c r="EJ424" s="71"/>
      <c r="EK424" s="79"/>
      <c r="EL424" s="76" t="str">
        <f t="shared" si="242"/>
        <v>No requiere</v>
      </c>
      <c r="EM424" s="76" t="str">
        <f t="shared" si="243"/>
        <v>No requiere</v>
      </c>
      <c r="EN424" s="76" t="str">
        <f t="shared" si="228"/>
        <v>No requiere</v>
      </c>
      <c r="EO424" s="71"/>
      <c r="EP424" s="73" t="str">
        <f t="shared" si="244"/>
        <v>No requiere</v>
      </c>
      <c r="EQ424" s="77" t="str">
        <f t="shared" si="245"/>
        <v>No requiere</v>
      </c>
      <c r="ER424" s="71"/>
      <c r="ES424" s="79"/>
      <c r="ET424" s="73" t="str">
        <f t="shared" si="246"/>
        <v>No requiere</v>
      </c>
      <c r="EU424" s="73" t="str">
        <f t="shared" si="229"/>
        <v>No requiere</v>
      </c>
      <c r="EV424" s="73" t="str">
        <f t="shared" si="247"/>
        <v>No requiere</v>
      </c>
      <c r="EW424" s="73" t="str">
        <f t="shared" si="248"/>
        <v>No requiere</v>
      </c>
      <c r="EX424" s="78"/>
      <c r="EY424" s="78"/>
    </row>
    <row r="425" spans="1:155" ht="46.5" customHeight="1">
      <c r="A425" s="79">
        <v>421</v>
      </c>
      <c r="B425" s="80" t="s">
        <v>3063</v>
      </c>
      <c r="C425" s="81">
        <v>45423</v>
      </c>
      <c r="D425" s="82">
        <v>0.375</v>
      </c>
      <c r="E425" s="79" t="s">
        <v>151</v>
      </c>
      <c r="F425" s="79" t="s">
        <v>153</v>
      </c>
      <c r="G425" s="79" t="s">
        <v>152</v>
      </c>
      <c r="H425" s="79" t="s">
        <v>152</v>
      </c>
      <c r="I425" s="79" t="s">
        <v>152</v>
      </c>
      <c r="J425" s="79" t="s">
        <v>154</v>
      </c>
      <c r="K425" s="79" t="s">
        <v>155</v>
      </c>
      <c r="L425" s="80" t="s">
        <v>3064</v>
      </c>
      <c r="M425" s="80" t="s">
        <v>157</v>
      </c>
      <c r="N425" s="79" t="s">
        <v>887</v>
      </c>
      <c r="O425" s="80" t="str">
        <f t="shared" si="236"/>
        <v>Juan Carlos Prieto</v>
      </c>
      <c r="P425" s="79" t="s">
        <v>474</v>
      </c>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t="s">
        <v>304</v>
      </c>
      <c r="AP425" s="79"/>
      <c r="AQ425" s="80" t="s">
        <v>3065</v>
      </c>
      <c r="AR425" s="83">
        <v>6013387000</v>
      </c>
      <c r="AS425" s="80" t="s">
        <v>3066</v>
      </c>
      <c r="AT425" s="80" t="str">
        <f t="shared" si="237"/>
        <v>Distrital</v>
      </c>
      <c r="AU425" s="79" t="s">
        <v>172</v>
      </c>
      <c r="AV425" s="79"/>
      <c r="AW425" s="79"/>
      <c r="AX425" s="79"/>
      <c r="AY425" s="79"/>
      <c r="AZ425" s="79"/>
      <c r="BA425" s="80" t="str">
        <f t="shared" si="238"/>
        <v>Distrital</v>
      </c>
      <c r="BB425" s="79" t="s">
        <v>172</v>
      </c>
      <c r="BC425" s="79"/>
      <c r="BD425" s="79"/>
      <c r="BE425" s="79"/>
      <c r="BF425" s="79"/>
      <c r="BG425" s="79"/>
      <c r="BH425" s="80" t="str">
        <f t="shared" si="239"/>
        <v>Distrital</v>
      </c>
      <c r="BI425" s="79" t="s">
        <v>172</v>
      </c>
      <c r="BJ425" s="79"/>
      <c r="BK425" s="79"/>
      <c r="BL425" s="79"/>
      <c r="BM425" s="79"/>
      <c r="BN425" s="79"/>
      <c r="BO425" s="79"/>
      <c r="BP425" s="79"/>
      <c r="BQ425" s="79"/>
      <c r="BR425" s="79"/>
      <c r="BS425" s="80" t="s">
        <v>2598</v>
      </c>
      <c r="BT425" s="80" t="s">
        <v>174</v>
      </c>
      <c r="BU425" s="80" t="s">
        <v>2599</v>
      </c>
      <c r="BV425" s="71"/>
      <c r="BW425" s="79" t="s">
        <v>153</v>
      </c>
      <c r="BX425" s="79" t="s">
        <v>176</v>
      </c>
      <c r="BY425" s="71"/>
      <c r="BZ425" s="79">
        <v>31</v>
      </c>
      <c r="CA425" s="79">
        <v>3</v>
      </c>
      <c r="CB425" s="79">
        <f t="shared" si="223"/>
        <v>34</v>
      </c>
      <c r="CC425" s="79" t="str">
        <f t="shared" si="227"/>
        <v>No Aplica</v>
      </c>
      <c r="CD425" s="79" t="s">
        <v>177</v>
      </c>
      <c r="CE425" s="79"/>
      <c r="CF425" s="79"/>
      <c r="CG425" s="83" t="s">
        <v>3067</v>
      </c>
      <c r="CH425" s="41"/>
      <c r="CI425" s="79" t="s">
        <v>153</v>
      </c>
      <c r="CJ425" s="71"/>
      <c r="CK425" s="79">
        <f t="shared" si="263"/>
        <v>0</v>
      </c>
      <c r="CL425" s="79"/>
      <c r="CM425" s="79"/>
      <c r="CN425" s="79"/>
      <c r="CO425" s="79"/>
      <c r="CP425" s="79"/>
      <c r="CQ425" s="79"/>
      <c r="CR425" s="83" t="s">
        <v>179</v>
      </c>
      <c r="CS425" s="83" t="s">
        <v>179</v>
      </c>
      <c r="CT425" s="83" t="s">
        <v>179</v>
      </c>
      <c r="CU425" s="83" t="s">
        <v>179</v>
      </c>
      <c r="CV425" s="83" t="s">
        <v>179</v>
      </c>
      <c r="CW425" s="83" t="s">
        <v>179</v>
      </c>
      <c r="CX425" s="79" t="s">
        <v>153</v>
      </c>
      <c r="CY425" s="79">
        <f t="shared" si="264"/>
        <v>0</v>
      </c>
      <c r="CZ425" s="79">
        <v>0</v>
      </c>
      <c r="DA425" s="79">
        <f t="shared" si="265"/>
        <v>0</v>
      </c>
      <c r="DB425" s="84" t="str">
        <f t="shared" si="266"/>
        <v/>
      </c>
      <c r="DC425" s="41"/>
      <c r="DD425" s="79" t="s">
        <v>153</v>
      </c>
      <c r="DE425" s="71"/>
      <c r="DF425" s="85" t="s">
        <v>3068</v>
      </c>
      <c r="DG425" s="79">
        <v>415</v>
      </c>
      <c r="DH425" s="86" t="str">
        <f t="shared" si="261"/>
        <v>Completo</v>
      </c>
      <c r="DI425" s="79" t="s">
        <v>181</v>
      </c>
      <c r="DJ425" s="79" t="s">
        <v>182</v>
      </c>
      <c r="DK425" s="79"/>
      <c r="DL425" s="79">
        <v>0</v>
      </c>
      <c r="DM425" s="79">
        <v>0</v>
      </c>
      <c r="DN425" s="79" t="s">
        <v>182</v>
      </c>
      <c r="DO425" s="79"/>
      <c r="DP425" s="79"/>
      <c r="DQ425" s="79"/>
      <c r="DR425" s="75" t="str">
        <f t="shared" si="240"/>
        <v>No aplica</v>
      </c>
      <c r="DS425" s="79"/>
      <c r="DT425" s="79"/>
      <c r="DU425" s="75" t="str">
        <f t="shared" si="241"/>
        <v>No aplica</v>
      </c>
      <c r="DV425" s="79" t="s">
        <v>182</v>
      </c>
      <c r="DW425" s="79" t="s">
        <v>182</v>
      </c>
      <c r="DX425" s="79"/>
      <c r="DY425" s="79"/>
      <c r="DZ425" s="79"/>
      <c r="EA425" s="79"/>
      <c r="EB425" s="79"/>
      <c r="EC425" s="79"/>
      <c r="ED425" s="79" t="s">
        <v>184</v>
      </c>
      <c r="EE425" s="79" t="str">
        <f t="shared" si="267"/>
        <v>Completo</v>
      </c>
      <c r="EF425" s="41"/>
      <c r="EG425" s="79" t="s">
        <v>153</v>
      </c>
      <c r="EH425" s="71"/>
      <c r="EI425" s="80"/>
      <c r="EJ425" s="71"/>
      <c r="EK425" s="79"/>
      <c r="EL425" s="76" t="str">
        <f t="shared" si="242"/>
        <v>No requiere</v>
      </c>
      <c r="EM425" s="76" t="str">
        <f t="shared" si="243"/>
        <v>No requiere</v>
      </c>
      <c r="EN425" s="76" t="str">
        <f t="shared" si="228"/>
        <v>No requiere</v>
      </c>
      <c r="EO425" s="71"/>
      <c r="EP425" s="73" t="str">
        <f t="shared" si="244"/>
        <v>No requiere</v>
      </c>
      <c r="EQ425" s="77" t="str">
        <f t="shared" si="245"/>
        <v>No requiere</v>
      </c>
      <c r="ER425" s="71"/>
      <c r="ES425" s="79"/>
      <c r="ET425" s="73" t="str">
        <f t="shared" si="246"/>
        <v>No requiere</v>
      </c>
      <c r="EU425" s="73" t="str">
        <f t="shared" si="229"/>
        <v>No requiere</v>
      </c>
      <c r="EV425" s="73" t="str">
        <f t="shared" si="247"/>
        <v>No requiere</v>
      </c>
      <c r="EW425" s="73" t="str">
        <f t="shared" si="248"/>
        <v>No requiere</v>
      </c>
      <c r="EX425" s="78"/>
      <c r="EY425" s="78"/>
    </row>
    <row r="426" spans="1:155" ht="46.5" customHeight="1">
      <c r="A426" s="79" t="str">
        <v/>
      </c>
      <c r="B426" s="80" t="s">
        <v>3069</v>
      </c>
      <c r="C426" s="81">
        <v>45425</v>
      </c>
      <c r="D426" s="82">
        <v>0.41666666666666669</v>
      </c>
      <c r="E426" s="79" t="s">
        <v>151</v>
      </c>
      <c r="F426" s="79" t="s">
        <v>152</v>
      </c>
      <c r="G426" s="79" t="s">
        <v>153</v>
      </c>
      <c r="H426" s="79" t="s">
        <v>152</v>
      </c>
      <c r="I426" s="79" t="s">
        <v>152</v>
      </c>
      <c r="J426" s="79" t="s">
        <v>251</v>
      </c>
      <c r="K426" s="79" t="s">
        <v>202</v>
      </c>
      <c r="L426" s="80" t="s">
        <v>3070</v>
      </c>
      <c r="M426" s="80" t="s">
        <v>157</v>
      </c>
      <c r="N426" s="79" t="s">
        <v>632</v>
      </c>
      <c r="O426" s="80" t="str">
        <f t="shared" si="236"/>
        <v>Michael Cruz Roa, Freddy Martínez, César Augusto Barrantes, Juan Carlos Prieto</v>
      </c>
      <c r="P426" s="79" t="s">
        <v>265</v>
      </c>
      <c r="Q426" s="79" t="s">
        <v>3049</v>
      </c>
      <c r="R426" s="79" t="s">
        <v>729</v>
      </c>
      <c r="S426" s="79" t="s">
        <v>474</v>
      </c>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t="s">
        <v>169</v>
      </c>
      <c r="AP426" s="79"/>
      <c r="AQ426" s="80" t="s">
        <v>3050</v>
      </c>
      <c r="AR426" s="83">
        <v>3163309109</v>
      </c>
      <c r="AS426" s="80" t="s">
        <v>3051</v>
      </c>
      <c r="AT426" s="80" t="str">
        <f t="shared" si="237"/>
        <v>Distrital</v>
      </c>
      <c r="AU426" s="79" t="s">
        <v>172</v>
      </c>
      <c r="AV426" s="79"/>
      <c r="AW426" s="79"/>
      <c r="AX426" s="79"/>
      <c r="AY426" s="79"/>
      <c r="AZ426" s="79"/>
      <c r="BA426" s="80" t="str">
        <f t="shared" si="238"/>
        <v>Distrital</v>
      </c>
      <c r="BB426" s="79" t="s">
        <v>172</v>
      </c>
      <c r="BC426" s="79"/>
      <c r="BD426" s="79"/>
      <c r="BE426" s="79"/>
      <c r="BF426" s="79"/>
      <c r="BG426" s="79"/>
      <c r="BH426" s="80" t="str">
        <f t="shared" si="239"/>
        <v>Distrital</v>
      </c>
      <c r="BI426" s="79" t="s">
        <v>172</v>
      </c>
      <c r="BJ426" s="79"/>
      <c r="BK426" s="79"/>
      <c r="BL426" s="79"/>
      <c r="BM426" s="79"/>
      <c r="BN426" s="79"/>
      <c r="BO426" s="79"/>
      <c r="BP426" s="79"/>
      <c r="BQ426" s="79"/>
      <c r="BR426" s="79"/>
      <c r="BS426" s="80" t="s">
        <v>288</v>
      </c>
      <c r="BT426" s="80" t="s">
        <v>174</v>
      </c>
      <c r="BU426" s="89" t="s">
        <v>3071</v>
      </c>
      <c r="BV426" s="71"/>
      <c r="BW426" s="79" t="s">
        <v>152</v>
      </c>
      <c r="BX426" s="79" t="s">
        <v>179</v>
      </c>
      <c r="BY426" s="71"/>
      <c r="BZ426" s="79">
        <v>0</v>
      </c>
      <c r="CA426" s="79">
        <v>6</v>
      </c>
      <c r="CB426" s="79">
        <f t="shared" si="223"/>
        <v>6</v>
      </c>
      <c r="CC426" s="79" t="str">
        <f t="shared" si="227"/>
        <v>No Aplica</v>
      </c>
      <c r="CD426" s="79" t="s">
        <v>177</v>
      </c>
      <c r="CE426" s="79"/>
      <c r="CF426" s="79"/>
      <c r="CG426" s="83" t="s">
        <v>3072</v>
      </c>
      <c r="CH426" s="41"/>
      <c r="CI426" s="79" t="s">
        <v>153</v>
      </c>
      <c r="CJ426" s="71"/>
      <c r="CK426" s="79">
        <f t="shared" si="263"/>
        <v>0</v>
      </c>
      <c r="CL426" s="79"/>
      <c r="CM426" s="79"/>
      <c r="CN426" s="79"/>
      <c r="CO426" s="79"/>
      <c r="CP426" s="79"/>
      <c r="CQ426" s="79"/>
      <c r="CR426" s="83" t="s">
        <v>179</v>
      </c>
      <c r="CS426" s="83" t="s">
        <v>179</v>
      </c>
      <c r="CT426" s="83" t="s">
        <v>179</v>
      </c>
      <c r="CU426" s="83" t="s">
        <v>179</v>
      </c>
      <c r="CV426" s="83" t="s">
        <v>179</v>
      </c>
      <c r="CW426" s="83" t="s">
        <v>179</v>
      </c>
      <c r="CX426" s="79" t="s">
        <v>153</v>
      </c>
      <c r="CY426" s="79">
        <f t="shared" si="264"/>
        <v>0</v>
      </c>
      <c r="CZ426" s="79">
        <v>0</v>
      </c>
      <c r="DA426" s="79">
        <f t="shared" si="265"/>
        <v>0</v>
      </c>
      <c r="DB426" s="84" t="str">
        <f t="shared" si="266"/>
        <v/>
      </c>
      <c r="DC426" s="41"/>
      <c r="DD426" s="79" t="s">
        <v>153</v>
      </c>
      <c r="DE426" s="71"/>
      <c r="DF426" s="85" t="s">
        <v>3073</v>
      </c>
      <c r="DG426" s="79">
        <v>416</v>
      </c>
      <c r="DH426" s="86" t="str">
        <f t="shared" si="261"/>
        <v>Completo</v>
      </c>
      <c r="DI426" s="79" t="s">
        <v>181</v>
      </c>
      <c r="DJ426" s="79" t="s">
        <v>182</v>
      </c>
      <c r="DK426" s="79"/>
      <c r="DL426" s="79">
        <v>0</v>
      </c>
      <c r="DM426" s="79">
        <v>0</v>
      </c>
      <c r="DN426" s="79" t="s">
        <v>191</v>
      </c>
      <c r="DO426" s="79"/>
      <c r="DP426" s="79"/>
      <c r="DQ426" s="79"/>
      <c r="DR426" s="75" t="str">
        <f t="shared" si="240"/>
        <v>No aplica</v>
      </c>
      <c r="DS426" s="79"/>
      <c r="DT426" s="79"/>
      <c r="DU426" s="75" t="str">
        <f t="shared" si="241"/>
        <v>No aplica</v>
      </c>
      <c r="DV426" s="79" t="s">
        <v>182</v>
      </c>
      <c r="DW426" s="79" t="s">
        <v>191</v>
      </c>
      <c r="DX426" s="79"/>
      <c r="DY426" s="79"/>
      <c r="DZ426" s="79"/>
      <c r="EA426" s="79"/>
      <c r="EB426" s="79" t="s">
        <v>191</v>
      </c>
      <c r="EC426" s="79"/>
      <c r="ED426" s="79" t="s">
        <v>184</v>
      </c>
      <c r="EE426" s="79" t="str">
        <f t="shared" si="267"/>
        <v>Completo</v>
      </c>
      <c r="EF426" s="41"/>
      <c r="EG426" s="79" t="s">
        <v>153</v>
      </c>
      <c r="EH426" s="71"/>
      <c r="EI426" s="80"/>
      <c r="EJ426" s="71"/>
      <c r="EK426" s="79"/>
      <c r="EL426" s="76" t="str">
        <f t="shared" si="242"/>
        <v>No requiere</v>
      </c>
      <c r="EM426" s="76" t="str">
        <f t="shared" si="243"/>
        <v>No requiere</v>
      </c>
      <c r="EN426" s="76" t="str">
        <f t="shared" si="228"/>
        <v>No requiere</v>
      </c>
      <c r="EO426" s="71"/>
      <c r="EP426" s="73" t="str">
        <f t="shared" si="244"/>
        <v>No requiere</v>
      </c>
      <c r="EQ426" s="77" t="str">
        <f t="shared" si="245"/>
        <v>No requiere</v>
      </c>
      <c r="ER426" s="71"/>
      <c r="ES426" s="79"/>
      <c r="ET426" s="73" t="str">
        <f t="shared" si="246"/>
        <v>No requiere</v>
      </c>
      <c r="EU426" s="73" t="str">
        <f t="shared" si="229"/>
        <v>No requiere</v>
      </c>
      <c r="EV426" s="73" t="str">
        <f t="shared" si="247"/>
        <v>No requiere</v>
      </c>
      <c r="EW426" s="73" t="str">
        <f t="shared" si="248"/>
        <v>No requiere</v>
      </c>
      <c r="EX426" s="78"/>
      <c r="EY426" s="78"/>
    </row>
    <row r="427" spans="1:155" ht="46.5" customHeight="1">
      <c r="A427" s="79" t="str">
        <v/>
      </c>
      <c r="B427" s="80" t="s">
        <v>3074</v>
      </c>
      <c r="C427" s="81">
        <v>45426</v>
      </c>
      <c r="D427" s="82">
        <v>0.33333333333333331</v>
      </c>
      <c r="E427" s="79" t="s">
        <v>151</v>
      </c>
      <c r="F427" s="79" t="s">
        <v>152</v>
      </c>
      <c r="G427" s="79" t="s">
        <v>153</v>
      </c>
      <c r="H427" s="79" t="s">
        <v>152</v>
      </c>
      <c r="I427" s="79" t="s">
        <v>152</v>
      </c>
      <c r="J427" s="79" t="s">
        <v>251</v>
      </c>
      <c r="K427" s="79" t="s">
        <v>155</v>
      </c>
      <c r="L427" s="80" t="s">
        <v>3075</v>
      </c>
      <c r="M427" s="80" t="s">
        <v>157</v>
      </c>
      <c r="N427" s="79" t="s">
        <v>3076</v>
      </c>
      <c r="O427" s="80" t="str">
        <f t="shared" si="236"/>
        <v/>
      </c>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t="s">
        <v>169</v>
      </c>
      <c r="AP427" s="79" t="s">
        <v>170</v>
      </c>
      <c r="AQ427" s="80" t="s">
        <v>171</v>
      </c>
      <c r="AR427" s="83" t="s">
        <v>171</v>
      </c>
      <c r="AS427" s="80" t="s">
        <v>171</v>
      </c>
      <c r="AT427" s="80" t="str">
        <f t="shared" si="237"/>
        <v>Distrital</v>
      </c>
      <c r="AU427" s="79" t="s">
        <v>172</v>
      </c>
      <c r="AV427" s="79"/>
      <c r="AW427" s="79"/>
      <c r="AX427" s="79"/>
      <c r="AY427" s="79"/>
      <c r="AZ427" s="79"/>
      <c r="BA427" s="80" t="str">
        <f t="shared" si="238"/>
        <v>Distrital</v>
      </c>
      <c r="BB427" s="79" t="s">
        <v>172</v>
      </c>
      <c r="BC427" s="79"/>
      <c r="BD427" s="79"/>
      <c r="BE427" s="79"/>
      <c r="BF427" s="79"/>
      <c r="BG427" s="79"/>
      <c r="BH427" s="80" t="str">
        <f t="shared" si="239"/>
        <v>Distrital</v>
      </c>
      <c r="BI427" s="79" t="s">
        <v>172</v>
      </c>
      <c r="BJ427" s="79"/>
      <c r="BK427" s="79"/>
      <c r="BL427" s="79"/>
      <c r="BM427" s="79"/>
      <c r="BN427" s="79"/>
      <c r="BO427" s="79"/>
      <c r="BP427" s="79"/>
      <c r="BQ427" s="79"/>
      <c r="BR427" s="79"/>
      <c r="BS427" s="80" t="s">
        <v>288</v>
      </c>
      <c r="BT427" s="80" t="s">
        <v>174</v>
      </c>
      <c r="BU427" s="89" t="s">
        <v>3077</v>
      </c>
      <c r="BV427" s="71"/>
      <c r="BW427" s="79" t="s">
        <v>152</v>
      </c>
      <c r="BX427" s="79" t="s">
        <v>179</v>
      </c>
      <c r="BY427" s="71"/>
      <c r="BZ427" s="79">
        <v>0</v>
      </c>
      <c r="CA427" s="79">
        <v>50</v>
      </c>
      <c r="CB427" s="79">
        <f>BZ427+CA427</f>
        <v>50</v>
      </c>
      <c r="CC427" s="79" t="str">
        <f t="shared" si="227"/>
        <v>No Aplica</v>
      </c>
      <c r="CD427" s="79" t="s">
        <v>177</v>
      </c>
      <c r="CE427" s="79"/>
      <c r="CF427" s="79"/>
      <c r="CG427" s="83" t="s">
        <v>3078</v>
      </c>
      <c r="CH427" s="41"/>
      <c r="CI427" s="79" t="s">
        <v>153</v>
      </c>
      <c r="CJ427" s="71"/>
      <c r="CK427" s="79">
        <f>COUNTIF(CL427:CQ427,"*")</f>
        <v>0</v>
      </c>
      <c r="CL427" s="79"/>
      <c r="CM427" s="79"/>
      <c r="CN427" s="79"/>
      <c r="CO427" s="79"/>
      <c r="CP427" s="79"/>
      <c r="CQ427" s="79"/>
      <c r="CR427" s="83" t="s">
        <v>179</v>
      </c>
      <c r="CS427" s="83" t="s">
        <v>179</v>
      </c>
      <c r="CT427" s="83" t="s">
        <v>179</v>
      </c>
      <c r="CU427" s="83" t="s">
        <v>179</v>
      </c>
      <c r="CV427" s="83" t="s">
        <v>179</v>
      </c>
      <c r="CW427" s="83" t="s">
        <v>179</v>
      </c>
      <c r="CX427" s="79" t="s">
        <v>153</v>
      </c>
      <c r="CY427" s="79">
        <f>SUM(COUNTIF(CR427:CW427,"Realizado y Devuelto a la Ciudadanía"),COUNTIF(CR427:CW427,"Realizado y Trasladado por competencia"), COUNTIF(CR427:CW427,"Realizado y Gestionado"))</f>
        <v>0</v>
      </c>
      <c r="CZ427" s="79">
        <v>0</v>
      </c>
      <c r="DA427" s="79">
        <f>COUNTIF(CR427:CW427,"Realizado y Devuelto a la Ciudadanía")</f>
        <v>0</v>
      </c>
      <c r="DB427" s="84" t="str">
        <f>IFERROR(CY427/CK427,"")</f>
        <v/>
      </c>
      <c r="DC427" s="41"/>
      <c r="DD427" s="79" t="s">
        <v>153</v>
      </c>
      <c r="DE427" s="71"/>
      <c r="DF427" s="85" t="s">
        <v>3079</v>
      </c>
      <c r="DG427" s="79" t="s">
        <v>3080</v>
      </c>
      <c r="DH427" s="86">
        <f t="shared" si="261"/>
        <v>45429</v>
      </c>
      <c r="DI427" s="79" t="s">
        <v>181</v>
      </c>
      <c r="DJ427" s="79" t="s">
        <v>182</v>
      </c>
      <c r="DK427" s="79"/>
      <c r="DL427" s="79">
        <v>0</v>
      </c>
      <c r="DM427" s="79">
        <v>0</v>
      </c>
      <c r="DN427" s="79"/>
      <c r="DO427" s="79"/>
      <c r="DP427" s="79"/>
      <c r="DQ427" s="79"/>
      <c r="DR427" s="75" t="str">
        <f t="shared" si="240"/>
        <v>No aplica</v>
      </c>
      <c r="DS427" s="79"/>
      <c r="DT427" s="79"/>
      <c r="DU427" s="75" t="str">
        <f t="shared" si="241"/>
        <v>No aplica</v>
      </c>
      <c r="DV427" s="79"/>
      <c r="DW427" s="79"/>
      <c r="DX427" s="79"/>
      <c r="DY427" s="79"/>
      <c r="DZ427" s="79"/>
      <c r="EA427" s="79"/>
      <c r="EB427" s="79"/>
      <c r="EC427" s="79"/>
      <c r="ED427" s="79"/>
      <c r="EE427" s="79" t="s">
        <v>621</v>
      </c>
      <c r="EF427" s="41"/>
      <c r="EG427" s="79" t="s">
        <v>153</v>
      </c>
      <c r="EH427" s="71"/>
      <c r="EI427" s="80"/>
      <c r="EJ427" s="71"/>
      <c r="EK427" s="79"/>
      <c r="EL427" s="76" t="str">
        <f t="shared" si="242"/>
        <v>No requiere</v>
      </c>
      <c r="EM427" s="76" t="str">
        <f t="shared" si="243"/>
        <v>No requiere</v>
      </c>
      <c r="EN427" s="76" t="str">
        <f t="shared" si="228"/>
        <v>No requiere</v>
      </c>
      <c r="EO427" s="71"/>
      <c r="EP427" s="73" t="str">
        <f t="shared" si="244"/>
        <v>No requiere</v>
      </c>
      <c r="EQ427" s="77" t="str">
        <f t="shared" si="245"/>
        <v>No requiere</v>
      </c>
      <c r="ER427" s="71"/>
      <c r="ES427" s="79"/>
      <c r="ET427" s="73" t="str">
        <f t="shared" si="246"/>
        <v>No requiere</v>
      </c>
      <c r="EU427" s="73" t="str">
        <f t="shared" si="229"/>
        <v>No requiere</v>
      </c>
      <c r="EV427" s="73" t="str">
        <f t="shared" si="247"/>
        <v>No requiere</v>
      </c>
      <c r="EW427" s="73" t="str">
        <f t="shared" si="248"/>
        <v>No requiere</v>
      </c>
      <c r="EX427" s="78"/>
      <c r="EY427" s="78"/>
    </row>
    <row r="428" spans="1:155" ht="46.5" customHeight="1">
      <c r="A428" s="79">
        <v>424</v>
      </c>
      <c r="B428" s="80" t="s">
        <v>957</v>
      </c>
      <c r="C428" s="81">
        <v>45426</v>
      </c>
      <c r="D428" s="82">
        <v>0.35416666666666669</v>
      </c>
      <c r="E428" s="79" t="s">
        <v>200</v>
      </c>
      <c r="F428" s="79" t="s">
        <v>153</v>
      </c>
      <c r="G428" s="79" t="s">
        <v>152</v>
      </c>
      <c r="H428" s="79" t="s">
        <v>152</v>
      </c>
      <c r="I428" s="79" t="s">
        <v>152</v>
      </c>
      <c r="J428" s="79" t="s">
        <v>504</v>
      </c>
      <c r="K428" s="79" t="s">
        <v>155</v>
      </c>
      <c r="L428" s="80" t="s">
        <v>3081</v>
      </c>
      <c r="M428" s="80" t="s">
        <v>157</v>
      </c>
      <c r="N428" s="79" t="s">
        <v>644</v>
      </c>
      <c r="O428" s="80" t="str">
        <f t="shared" si="236"/>
        <v/>
      </c>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t="s">
        <v>169</v>
      </c>
      <c r="AP428" s="79" t="s">
        <v>2702</v>
      </c>
      <c r="AQ428" s="80" t="s">
        <v>3082</v>
      </c>
      <c r="AR428" s="83">
        <v>3005698632</v>
      </c>
      <c r="AS428" s="80" t="s">
        <v>960</v>
      </c>
      <c r="AT428" s="80" t="str">
        <f t="shared" si="237"/>
        <v>Engativá</v>
      </c>
      <c r="AU428" s="79" t="s">
        <v>234</v>
      </c>
      <c r="AV428" s="79"/>
      <c r="AW428" s="79"/>
      <c r="AX428" s="79"/>
      <c r="AY428" s="79"/>
      <c r="AZ428" s="79"/>
      <c r="BA428" s="80" t="str">
        <f t="shared" si="238"/>
        <v>Occidente</v>
      </c>
      <c r="BB428" s="79" t="s">
        <v>235</v>
      </c>
      <c r="BC428" s="79"/>
      <c r="BD428" s="79"/>
      <c r="BE428" s="79"/>
      <c r="BF428" s="79"/>
      <c r="BG428" s="79"/>
      <c r="BH428" s="80" t="str">
        <f t="shared" si="239"/>
        <v>Engativá, Tabora, Salitre</v>
      </c>
      <c r="BI428" s="79" t="s">
        <v>234</v>
      </c>
      <c r="BJ428" s="79" t="s">
        <v>414</v>
      </c>
      <c r="BK428" s="79" t="s">
        <v>415</v>
      </c>
      <c r="BL428" s="79"/>
      <c r="BM428" s="79"/>
      <c r="BN428" s="79"/>
      <c r="BO428" s="79"/>
      <c r="BP428" s="79"/>
      <c r="BQ428" s="79"/>
      <c r="BR428" s="79"/>
      <c r="BS428" s="80" t="s">
        <v>2525</v>
      </c>
      <c r="BT428" s="80" t="s">
        <v>174</v>
      </c>
      <c r="BU428" s="80" t="s">
        <v>3083</v>
      </c>
      <c r="BV428" s="71"/>
      <c r="BW428" s="79" t="s">
        <v>152</v>
      </c>
      <c r="BX428" s="79" t="s">
        <v>179</v>
      </c>
      <c r="BY428" s="71"/>
      <c r="BZ428" s="79">
        <v>23</v>
      </c>
      <c r="CA428" s="79">
        <v>1</v>
      </c>
      <c r="CB428" s="79">
        <f t="shared" si="223"/>
        <v>24</v>
      </c>
      <c r="CC428" s="79" t="str">
        <f t="shared" si="227"/>
        <v>No Aplica</v>
      </c>
      <c r="CD428" s="79" t="s">
        <v>177</v>
      </c>
      <c r="CE428" s="79"/>
      <c r="CF428" s="79"/>
      <c r="CG428" s="83" t="s">
        <v>3084</v>
      </c>
      <c r="CH428" s="41"/>
      <c r="CI428" s="79" t="s">
        <v>153</v>
      </c>
      <c r="CJ428" s="71"/>
      <c r="CK428" s="79">
        <f t="shared" si="263"/>
        <v>0</v>
      </c>
      <c r="CL428" s="79"/>
      <c r="CM428" s="79"/>
      <c r="CN428" s="79"/>
      <c r="CO428" s="79"/>
      <c r="CP428" s="79"/>
      <c r="CQ428" s="79"/>
      <c r="CR428" s="83" t="s">
        <v>179</v>
      </c>
      <c r="CS428" s="83" t="s">
        <v>179</v>
      </c>
      <c r="CT428" s="83" t="s">
        <v>179</v>
      </c>
      <c r="CU428" s="83" t="s">
        <v>179</v>
      </c>
      <c r="CV428" s="83" t="s">
        <v>179</v>
      </c>
      <c r="CW428" s="83" t="s">
        <v>179</v>
      </c>
      <c r="CX428" s="79" t="s">
        <v>153</v>
      </c>
      <c r="CY428" s="79">
        <f t="shared" si="264"/>
        <v>0</v>
      </c>
      <c r="CZ428" s="79">
        <v>0</v>
      </c>
      <c r="DA428" s="79">
        <f t="shared" si="265"/>
        <v>0</v>
      </c>
      <c r="DB428" s="84" t="str">
        <f t="shared" si="266"/>
        <v/>
      </c>
      <c r="DC428" s="41"/>
      <c r="DD428" s="79" t="s">
        <v>153</v>
      </c>
      <c r="DE428" s="71"/>
      <c r="DF428" s="85" t="s">
        <v>3085</v>
      </c>
      <c r="DG428" s="79">
        <v>417</v>
      </c>
      <c r="DH428" s="86">
        <f t="shared" si="261"/>
        <v>45429</v>
      </c>
      <c r="DI428" s="79" t="s">
        <v>181</v>
      </c>
      <c r="DJ428" s="79" t="s">
        <v>182</v>
      </c>
      <c r="DK428" s="79"/>
      <c r="DL428" s="79">
        <v>0</v>
      </c>
      <c r="DM428" s="79">
        <v>0</v>
      </c>
      <c r="DN428" s="79" t="s">
        <v>182</v>
      </c>
      <c r="DO428" s="79"/>
      <c r="DP428" s="79"/>
      <c r="DQ428" s="79"/>
      <c r="DR428" s="75" t="str">
        <f t="shared" si="240"/>
        <v>No aplica</v>
      </c>
      <c r="DS428" s="79"/>
      <c r="DT428" s="79"/>
      <c r="DU428" s="75" t="str">
        <f t="shared" si="241"/>
        <v>No aplica</v>
      </c>
      <c r="DV428" s="79" t="s">
        <v>182</v>
      </c>
      <c r="DW428" s="79" t="s">
        <v>182</v>
      </c>
      <c r="DX428" s="79"/>
      <c r="DY428" s="79"/>
      <c r="DZ428" s="79"/>
      <c r="EA428" s="79"/>
      <c r="EB428" s="79" t="s">
        <v>191</v>
      </c>
      <c r="EC428" s="79"/>
      <c r="ED428" s="79" t="s">
        <v>184</v>
      </c>
      <c r="EE428" s="79" t="s">
        <v>621</v>
      </c>
      <c r="EF428" s="41"/>
      <c r="EG428" s="79" t="s">
        <v>153</v>
      </c>
      <c r="EH428" s="71"/>
      <c r="EI428" s="80"/>
      <c r="EJ428" s="71"/>
      <c r="EK428" s="79"/>
      <c r="EL428" s="76" t="str">
        <f t="shared" si="242"/>
        <v>No requiere</v>
      </c>
      <c r="EM428" s="76" t="str">
        <f t="shared" si="243"/>
        <v>No requiere</v>
      </c>
      <c r="EN428" s="76" t="str">
        <f t="shared" si="228"/>
        <v>No requiere</v>
      </c>
      <c r="EO428" s="71"/>
      <c r="EP428" s="73" t="str">
        <f t="shared" si="244"/>
        <v>No requiere</v>
      </c>
      <c r="EQ428" s="77" t="str">
        <f t="shared" si="245"/>
        <v>No requiere</v>
      </c>
      <c r="ER428" s="71"/>
      <c r="ES428" s="79"/>
      <c r="ET428" s="73" t="str">
        <f t="shared" si="246"/>
        <v>No requiere</v>
      </c>
      <c r="EU428" s="73" t="str">
        <f t="shared" si="229"/>
        <v>No requiere</v>
      </c>
      <c r="EV428" s="73" t="str">
        <f t="shared" si="247"/>
        <v>No requiere</v>
      </c>
      <c r="EW428" s="73" t="str">
        <f t="shared" si="248"/>
        <v>No requiere</v>
      </c>
      <c r="EX428" s="78"/>
      <c r="EY428" s="78"/>
    </row>
    <row r="429" spans="1:155" ht="46.5" customHeight="1">
      <c r="A429" s="79">
        <v>425</v>
      </c>
      <c r="B429" s="80" t="s">
        <v>3086</v>
      </c>
      <c r="C429" s="81">
        <v>45426</v>
      </c>
      <c r="D429" s="82">
        <v>0.375</v>
      </c>
      <c r="E429" s="79" t="s">
        <v>151</v>
      </c>
      <c r="F429" s="79" t="s">
        <v>153</v>
      </c>
      <c r="G429" s="79" t="s">
        <v>153</v>
      </c>
      <c r="H429" s="79" t="s">
        <v>153</v>
      </c>
      <c r="I429" s="79" t="s">
        <v>152</v>
      </c>
      <c r="J429" s="79" t="s">
        <v>154</v>
      </c>
      <c r="K429" s="79" t="s">
        <v>155</v>
      </c>
      <c r="L429" s="80" t="s">
        <v>2596</v>
      </c>
      <c r="M429" s="80" t="s">
        <v>303</v>
      </c>
      <c r="N429" s="79" t="s">
        <v>373</v>
      </c>
      <c r="O429" s="80" t="str">
        <f t="shared" si="236"/>
        <v>Renata Rengifo Moyano, Carlos Eduardo Escandón</v>
      </c>
      <c r="P429" s="79" t="s">
        <v>1066</v>
      </c>
      <c r="Q429" s="79" t="s">
        <v>819</v>
      </c>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t="s">
        <v>169</v>
      </c>
      <c r="AP429" s="79" t="s">
        <v>475</v>
      </c>
      <c r="AQ429" s="80" t="s">
        <v>2739</v>
      </c>
      <c r="AR429" s="83">
        <v>3105844361</v>
      </c>
      <c r="AS429" s="80" t="s">
        <v>2740</v>
      </c>
      <c r="AT429" s="80" t="str">
        <f t="shared" si="237"/>
        <v>Distrital</v>
      </c>
      <c r="AU429" s="79" t="s">
        <v>172</v>
      </c>
      <c r="AV429" s="79"/>
      <c r="AW429" s="79"/>
      <c r="AX429" s="79"/>
      <c r="AY429" s="79"/>
      <c r="AZ429" s="79"/>
      <c r="BA429" s="80" t="str">
        <f t="shared" si="238"/>
        <v>Distrital</v>
      </c>
      <c r="BB429" s="79" t="s">
        <v>172</v>
      </c>
      <c r="BC429" s="79"/>
      <c r="BD429" s="79"/>
      <c r="BE429" s="79"/>
      <c r="BF429" s="79"/>
      <c r="BG429" s="79"/>
      <c r="BH429" s="80" t="str">
        <f t="shared" si="239"/>
        <v>Distrital</v>
      </c>
      <c r="BI429" s="79" t="s">
        <v>172</v>
      </c>
      <c r="BJ429" s="79"/>
      <c r="BK429" s="79"/>
      <c r="BL429" s="79"/>
      <c r="BM429" s="79"/>
      <c r="BN429" s="79"/>
      <c r="BO429" s="79"/>
      <c r="BP429" s="79"/>
      <c r="BQ429" s="79"/>
      <c r="BR429" s="79"/>
      <c r="BS429" s="80" t="s">
        <v>2598</v>
      </c>
      <c r="BT429" s="80" t="s">
        <v>174</v>
      </c>
      <c r="BU429" s="80" t="s">
        <v>2599</v>
      </c>
      <c r="BV429" s="71"/>
      <c r="BW429" s="79" t="s">
        <v>153</v>
      </c>
      <c r="BX429" s="79" t="s">
        <v>2600</v>
      </c>
      <c r="BY429" s="71"/>
      <c r="BZ429" s="79">
        <v>18</v>
      </c>
      <c r="CA429" s="79">
        <v>3</v>
      </c>
      <c r="CB429" s="79">
        <f t="shared" si="223"/>
        <v>21</v>
      </c>
      <c r="CC429" s="79" t="str">
        <f t="shared" ref="CC429:CC471" si="268">_xlfn.TEXTJOIN(", ",TRUE,$CD429:$CF429)</f>
        <v>Horarios Acordes</v>
      </c>
      <c r="CD429" s="79" t="s">
        <v>351</v>
      </c>
      <c r="CE429" s="79"/>
      <c r="CF429" s="79"/>
      <c r="CG429" s="83" t="s">
        <v>3087</v>
      </c>
      <c r="CH429" s="41"/>
      <c r="CI429" s="79" t="s">
        <v>153</v>
      </c>
      <c r="CJ429" s="71"/>
      <c r="CK429" s="79">
        <f t="shared" si="263"/>
        <v>1</v>
      </c>
      <c r="CL429" s="188" t="s">
        <v>389</v>
      </c>
      <c r="CM429" s="79"/>
      <c r="CN429" s="79"/>
      <c r="CO429" s="79"/>
      <c r="CP429" s="79"/>
      <c r="CQ429" s="79"/>
      <c r="CR429" s="83" t="s">
        <v>390</v>
      </c>
      <c r="CS429" s="83" t="s">
        <v>179</v>
      </c>
      <c r="CT429" s="83" t="s">
        <v>179</v>
      </c>
      <c r="CU429" s="83" t="s">
        <v>179</v>
      </c>
      <c r="CV429" s="83" t="s">
        <v>179</v>
      </c>
      <c r="CW429" s="83" t="s">
        <v>179</v>
      </c>
      <c r="CX429" s="79" t="s">
        <v>153</v>
      </c>
      <c r="CY429" s="79">
        <f t="shared" si="264"/>
        <v>1</v>
      </c>
      <c r="CZ429" s="79">
        <v>1</v>
      </c>
      <c r="DA429" s="79">
        <f t="shared" si="265"/>
        <v>1</v>
      </c>
      <c r="DB429" s="84">
        <f t="shared" si="266"/>
        <v>1</v>
      </c>
      <c r="DC429" s="41"/>
      <c r="DD429" s="79" t="s">
        <v>153</v>
      </c>
      <c r="DE429" s="71"/>
      <c r="DF429" s="85" t="s">
        <v>3088</v>
      </c>
      <c r="DG429" s="79">
        <v>418</v>
      </c>
      <c r="DH429" s="86" t="str">
        <f t="shared" si="261"/>
        <v>Completo</v>
      </c>
      <c r="DI429" s="79" t="s">
        <v>181</v>
      </c>
      <c r="DJ429" s="79" t="s">
        <v>182</v>
      </c>
      <c r="DK429" s="79" t="s">
        <v>153</v>
      </c>
      <c r="DL429" s="79">
        <v>21</v>
      </c>
      <c r="DM429" s="79">
        <v>21</v>
      </c>
      <c r="DN429" s="79" t="s">
        <v>182</v>
      </c>
      <c r="DO429" s="79" t="s">
        <v>179</v>
      </c>
      <c r="DP429" s="79" t="s">
        <v>191</v>
      </c>
      <c r="DQ429" s="79">
        <v>0</v>
      </c>
      <c r="DR429" s="75">
        <f t="shared" si="240"/>
        <v>0</v>
      </c>
      <c r="DS429" s="79" t="s">
        <v>191</v>
      </c>
      <c r="DT429" s="79">
        <v>0</v>
      </c>
      <c r="DU429" s="75">
        <f t="shared" si="241"/>
        <v>0</v>
      </c>
      <c r="DV429" s="79" t="s">
        <v>182</v>
      </c>
      <c r="DW429" s="79" t="s">
        <v>191</v>
      </c>
      <c r="DX429" s="79">
        <v>0</v>
      </c>
      <c r="DY429" s="79" t="s">
        <v>179</v>
      </c>
      <c r="DZ429" s="79"/>
      <c r="EA429" s="79" t="s">
        <v>179</v>
      </c>
      <c r="EB429" s="79" t="s">
        <v>182</v>
      </c>
      <c r="EC429" s="79" t="s">
        <v>3089</v>
      </c>
      <c r="ED429" s="79" t="s">
        <v>184</v>
      </c>
      <c r="EE429" s="79" t="str">
        <f>IF(DI429="Subsanado","Completo","Por Completar")</f>
        <v>Completo</v>
      </c>
      <c r="EF429" s="41"/>
      <c r="EG429" s="79" t="s">
        <v>153</v>
      </c>
      <c r="EH429" s="71"/>
      <c r="EI429" s="90" t="s">
        <v>3090</v>
      </c>
      <c r="EJ429" s="71"/>
      <c r="EK429" s="79" t="s">
        <v>191</v>
      </c>
      <c r="EL429" s="76" t="str">
        <f t="shared" si="242"/>
        <v>No</v>
      </c>
      <c r="EM429" s="76" t="str">
        <f t="shared" si="243"/>
        <v>No aplica</v>
      </c>
      <c r="EN429" s="76" t="str">
        <f t="shared" ref="EN429:EN492" si="269">IF(F429="NO","No requiere",IF(H429="No","No requiere",IF(CC429="","",IF(CD429&lt;&gt;"No aplica",IF(CD429&lt;&gt;"Ninguna",IF(COUNTIF(CD429:CF429,"*")&gt;=1,"Sí","No"),"No"),"No aplica"))))</f>
        <v>Sí</v>
      </c>
      <c r="EO429" s="71"/>
      <c r="EP429" s="73">
        <f t="shared" si="244"/>
        <v>1</v>
      </c>
      <c r="EQ429" s="77">
        <f t="shared" si="245"/>
        <v>0</v>
      </c>
      <c r="ER429" s="71"/>
      <c r="ES429" s="79" t="s">
        <v>191</v>
      </c>
      <c r="ET429" s="73">
        <f t="shared" si="246"/>
        <v>0.5</v>
      </c>
      <c r="EU429" s="73">
        <f t="shared" ref="EU429:EU492" si="270">IF(F429="NO","No requiere",IF(H429="No","No requiere",IF(B429="","",IF(CX429="SÍ",IF(CK429&gt;=1,CY429/CK429,"Sin compromisos"),"Por verificar"))))</f>
        <v>1</v>
      </c>
      <c r="EV429" s="73">
        <f t="shared" si="247"/>
        <v>1</v>
      </c>
      <c r="EW429" s="73" t="str">
        <f t="shared" si="248"/>
        <v>No aplica</v>
      </c>
      <c r="EX429" s="78"/>
      <c r="EY429" s="78"/>
    </row>
    <row r="430" spans="1:155" ht="46.5" customHeight="1">
      <c r="A430" s="79">
        <v>426</v>
      </c>
      <c r="B430" s="80" t="s">
        <v>3028</v>
      </c>
      <c r="C430" s="81">
        <v>45426</v>
      </c>
      <c r="D430" s="82">
        <v>0.375</v>
      </c>
      <c r="E430" s="79" t="s">
        <v>151</v>
      </c>
      <c r="F430" s="79" t="s">
        <v>153</v>
      </c>
      <c r="G430" s="79" t="s">
        <v>152</v>
      </c>
      <c r="H430" s="79" t="s">
        <v>152</v>
      </c>
      <c r="I430" s="79" t="s">
        <v>152</v>
      </c>
      <c r="J430" s="79" t="s">
        <v>154</v>
      </c>
      <c r="K430" s="79" t="s">
        <v>155</v>
      </c>
      <c r="L430" s="80" t="s">
        <v>2844</v>
      </c>
      <c r="M430" s="80" t="s">
        <v>303</v>
      </c>
      <c r="N430" s="79" t="s">
        <v>924</v>
      </c>
      <c r="O430" s="80" t="str">
        <f t="shared" si="236"/>
        <v>César Augusto Barrantes, Daniela Velasco Vega, Germán Ramón Jacome, Camila María Santana, Jimmy Alejandro Osorio</v>
      </c>
      <c r="P430" s="79" t="s">
        <v>729</v>
      </c>
      <c r="Q430" s="79" t="s">
        <v>660</v>
      </c>
      <c r="R430" s="79" t="s">
        <v>525</v>
      </c>
      <c r="S430" s="79" t="s">
        <v>861</v>
      </c>
      <c r="T430" s="79" t="s">
        <v>549</v>
      </c>
      <c r="U430" s="79"/>
      <c r="V430" s="79"/>
      <c r="W430" s="79"/>
      <c r="X430" s="79"/>
      <c r="Y430" s="79"/>
      <c r="Z430" s="79"/>
      <c r="AA430" s="79"/>
      <c r="AB430" s="79"/>
      <c r="AC430" s="79"/>
      <c r="AD430" s="79"/>
      <c r="AE430" s="79"/>
      <c r="AF430" s="79"/>
      <c r="AG430" s="79"/>
      <c r="AH430" s="79"/>
      <c r="AI430" s="79"/>
      <c r="AJ430" s="79"/>
      <c r="AK430" s="79"/>
      <c r="AL430" s="79"/>
      <c r="AM430" s="79"/>
      <c r="AN430" s="79"/>
      <c r="AO430" s="79" t="s">
        <v>169</v>
      </c>
      <c r="AP430" s="79" t="s">
        <v>475</v>
      </c>
      <c r="AQ430" s="80" t="s">
        <v>171</v>
      </c>
      <c r="AR430" s="83" t="s">
        <v>171</v>
      </c>
      <c r="AS430" s="80" t="s">
        <v>171</v>
      </c>
      <c r="AT430" s="80" t="str">
        <f t="shared" si="237"/>
        <v>Distrital</v>
      </c>
      <c r="AU430" s="79" t="s">
        <v>172</v>
      </c>
      <c r="AV430" s="79"/>
      <c r="AW430" s="79"/>
      <c r="AX430" s="79"/>
      <c r="AY430" s="79"/>
      <c r="AZ430" s="79"/>
      <c r="BA430" s="80" t="str">
        <f t="shared" si="238"/>
        <v>Distrital</v>
      </c>
      <c r="BB430" s="79" t="s">
        <v>172</v>
      </c>
      <c r="BC430" s="79"/>
      <c r="BD430" s="79"/>
      <c r="BE430" s="79"/>
      <c r="BF430" s="79"/>
      <c r="BG430" s="79"/>
      <c r="BH430" s="80" t="str">
        <f t="shared" si="239"/>
        <v>Distrital</v>
      </c>
      <c r="BI430" s="79" t="s">
        <v>172</v>
      </c>
      <c r="BJ430" s="79"/>
      <c r="BK430" s="79"/>
      <c r="BL430" s="79"/>
      <c r="BM430" s="79"/>
      <c r="BN430" s="79"/>
      <c r="BO430" s="79"/>
      <c r="BP430" s="79"/>
      <c r="BQ430" s="79"/>
      <c r="BR430" s="79"/>
      <c r="BS430" s="80" t="s">
        <v>2598</v>
      </c>
      <c r="BT430" s="80" t="s">
        <v>174</v>
      </c>
      <c r="BU430" s="80" t="s">
        <v>2599</v>
      </c>
      <c r="BV430" s="71"/>
      <c r="BW430" s="79" t="s">
        <v>153</v>
      </c>
      <c r="BX430" s="79" t="s">
        <v>2600</v>
      </c>
      <c r="BY430" s="71"/>
      <c r="BZ430" s="79">
        <v>130</v>
      </c>
      <c r="CA430" s="79">
        <v>7</v>
      </c>
      <c r="CB430" s="79">
        <f t="shared" si="223"/>
        <v>137</v>
      </c>
      <c r="CC430" s="79" t="str">
        <f t="shared" si="268"/>
        <v>No Aplica</v>
      </c>
      <c r="CD430" s="79" t="s">
        <v>177</v>
      </c>
      <c r="CE430" s="79"/>
      <c r="CF430" s="79"/>
      <c r="CG430" s="83" t="s">
        <v>3091</v>
      </c>
      <c r="CH430" s="41"/>
      <c r="CI430" s="79" t="s">
        <v>153</v>
      </c>
      <c r="CJ430" s="71"/>
      <c r="CK430" s="79"/>
      <c r="CL430" s="188"/>
      <c r="CM430" s="79"/>
      <c r="CN430" s="79"/>
      <c r="CO430" s="79"/>
      <c r="CP430" s="79"/>
      <c r="CQ430" s="79"/>
      <c r="CR430" s="83" t="s">
        <v>179</v>
      </c>
      <c r="CS430" s="83" t="s">
        <v>179</v>
      </c>
      <c r="CT430" s="83" t="s">
        <v>179</v>
      </c>
      <c r="CU430" s="83" t="s">
        <v>179</v>
      </c>
      <c r="CV430" s="83" t="s">
        <v>179</v>
      </c>
      <c r="CW430" s="83" t="s">
        <v>179</v>
      </c>
      <c r="CX430" s="79" t="s">
        <v>153</v>
      </c>
      <c r="CY430" s="79"/>
      <c r="CZ430" s="79"/>
      <c r="DA430" s="79"/>
      <c r="DB430" s="84"/>
      <c r="DC430" s="41"/>
      <c r="DD430" s="79" t="s">
        <v>153</v>
      </c>
      <c r="DE430" s="71"/>
      <c r="DF430" s="85" t="s">
        <v>3092</v>
      </c>
      <c r="DG430" s="79">
        <v>419</v>
      </c>
      <c r="DH430" s="86">
        <f t="shared" si="261"/>
        <v>45429</v>
      </c>
      <c r="DI430" s="79" t="s">
        <v>181</v>
      </c>
      <c r="DJ430" s="79" t="s">
        <v>182</v>
      </c>
      <c r="DK430" s="79"/>
      <c r="DL430" s="79"/>
      <c r="DM430" s="79"/>
      <c r="DN430" s="79" t="s">
        <v>182</v>
      </c>
      <c r="DO430" s="79"/>
      <c r="DP430" s="79"/>
      <c r="DQ430" s="79"/>
      <c r="DR430" s="75" t="str">
        <f t="shared" si="240"/>
        <v>No aplica</v>
      </c>
      <c r="DS430" s="79"/>
      <c r="DT430" s="79"/>
      <c r="DU430" s="75" t="str">
        <f t="shared" si="241"/>
        <v>No aplica</v>
      </c>
      <c r="DV430" s="79" t="s">
        <v>182</v>
      </c>
      <c r="DW430" s="79" t="s">
        <v>191</v>
      </c>
      <c r="DX430" s="79"/>
      <c r="DY430" s="79"/>
      <c r="DZ430" s="79"/>
      <c r="EA430" s="79"/>
      <c r="EB430" s="79" t="s">
        <v>182</v>
      </c>
      <c r="EC430" s="79" t="s">
        <v>3093</v>
      </c>
      <c r="ED430" s="79" t="s">
        <v>184</v>
      </c>
      <c r="EE430" s="79" t="s">
        <v>621</v>
      </c>
      <c r="EF430" s="41"/>
      <c r="EG430" s="79" t="s">
        <v>153</v>
      </c>
      <c r="EH430" s="71"/>
      <c r="EI430" s="80"/>
      <c r="EJ430" s="71"/>
      <c r="EK430" s="79"/>
      <c r="EL430" s="76" t="str">
        <f t="shared" si="242"/>
        <v>No requiere</v>
      </c>
      <c r="EM430" s="76" t="str">
        <f t="shared" si="243"/>
        <v>No requiere</v>
      </c>
      <c r="EN430" s="76" t="str">
        <f t="shared" si="269"/>
        <v>No requiere</v>
      </c>
      <c r="EO430" s="71"/>
      <c r="EP430" s="73" t="str">
        <f t="shared" si="244"/>
        <v>No requiere</v>
      </c>
      <c r="EQ430" s="77" t="str">
        <f t="shared" si="245"/>
        <v>No requiere</v>
      </c>
      <c r="ER430" s="71"/>
      <c r="ES430" s="79"/>
      <c r="ET430" s="73" t="str">
        <f t="shared" si="246"/>
        <v>No requiere</v>
      </c>
      <c r="EU430" s="73" t="str">
        <f t="shared" si="270"/>
        <v>No requiere</v>
      </c>
      <c r="EV430" s="73" t="str">
        <f t="shared" si="247"/>
        <v>No requiere</v>
      </c>
      <c r="EW430" s="73" t="str">
        <f t="shared" si="248"/>
        <v>No requiere</v>
      </c>
      <c r="EX430" s="78"/>
      <c r="EY430" s="78"/>
    </row>
    <row r="431" spans="1:155" ht="46.5" customHeight="1">
      <c r="A431" s="79">
        <v>427</v>
      </c>
      <c r="B431" s="80" t="s">
        <v>1360</v>
      </c>
      <c r="C431" s="81">
        <v>45426</v>
      </c>
      <c r="D431" s="82">
        <v>0.41666666666666669</v>
      </c>
      <c r="E431" s="79" t="s">
        <v>200</v>
      </c>
      <c r="F431" s="79" t="s">
        <v>153</v>
      </c>
      <c r="G431" s="79" t="s">
        <v>152</v>
      </c>
      <c r="H431" s="79" t="s">
        <v>152</v>
      </c>
      <c r="I431" s="79" t="s">
        <v>152</v>
      </c>
      <c r="J431" s="79" t="s">
        <v>504</v>
      </c>
      <c r="K431" s="79" t="s">
        <v>155</v>
      </c>
      <c r="L431" s="80" t="s">
        <v>1361</v>
      </c>
      <c r="M431" s="80" t="s">
        <v>157</v>
      </c>
      <c r="N431" s="79" t="s">
        <v>862</v>
      </c>
      <c r="O431" s="80" t="str">
        <f t="shared" si="236"/>
        <v/>
      </c>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t="s">
        <v>169</v>
      </c>
      <c r="AP431" s="79" t="s">
        <v>2702</v>
      </c>
      <c r="AQ431" s="80" t="s">
        <v>1362</v>
      </c>
      <c r="AR431" s="83">
        <v>3202026914</v>
      </c>
      <c r="AS431" s="80" t="s">
        <v>1364</v>
      </c>
      <c r="AT431" s="80" t="str">
        <f t="shared" si="237"/>
        <v>Tunjuelito</v>
      </c>
      <c r="AU431" s="79" t="s">
        <v>937</v>
      </c>
      <c r="AV431" s="79"/>
      <c r="AW431" s="79"/>
      <c r="AX431" s="79"/>
      <c r="AY431" s="79"/>
      <c r="AZ431" s="79"/>
      <c r="BA431" s="80" t="str">
        <f t="shared" si="238"/>
        <v>Suroriente</v>
      </c>
      <c r="BB431" s="79" t="s">
        <v>218</v>
      </c>
      <c r="BC431" s="79"/>
      <c r="BD431" s="79"/>
      <c r="BE431" s="79"/>
      <c r="BF431" s="79"/>
      <c r="BG431" s="79"/>
      <c r="BH431" s="80" t="str">
        <f t="shared" si="239"/>
        <v>Tunjuelito, Arborizadora</v>
      </c>
      <c r="BI431" s="79" t="s">
        <v>937</v>
      </c>
      <c r="BJ431" s="79" t="s">
        <v>220</v>
      </c>
      <c r="BK431" s="79"/>
      <c r="BL431" s="79"/>
      <c r="BM431" s="79"/>
      <c r="BN431" s="79"/>
      <c r="BO431" s="79"/>
      <c r="BP431" s="79"/>
      <c r="BQ431" s="79"/>
      <c r="BR431" s="79"/>
      <c r="BS431" s="80" t="s">
        <v>288</v>
      </c>
      <c r="BT431" s="80" t="s">
        <v>174</v>
      </c>
      <c r="BU431" s="80" t="s">
        <v>3094</v>
      </c>
      <c r="BV431" s="71"/>
      <c r="BW431" s="79" t="s">
        <v>152</v>
      </c>
      <c r="BX431" s="79" t="s">
        <v>179</v>
      </c>
      <c r="BY431" s="71"/>
      <c r="BZ431" s="79">
        <v>19</v>
      </c>
      <c r="CA431" s="79">
        <v>1</v>
      </c>
      <c r="CB431" s="79">
        <f t="shared" si="223"/>
        <v>20</v>
      </c>
      <c r="CC431" s="79" t="str">
        <f t="shared" si="268"/>
        <v>No Aplica</v>
      </c>
      <c r="CD431" s="79" t="s">
        <v>177</v>
      </c>
      <c r="CE431" s="79"/>
      <c r="CF431" s="79"/>
      <c r="CG431" s="83" t="s">
        <v>3095</v>
      </c>
      <c r="CH431" s="41"/>
      <c r="CI431" s="79" t="s">
        <v>153</v>
      </c>
      <c r="CJ431" s="71"/>
      <c r="CK431" s="79">
        <f t="shared" ref="CK431:CK436" si="271">COUNTIF(CL431:CQ431,"*")</f>
        <v>0</v>
      </c>
      <c r="CL431" s="79"/>
      <c r="CM431" s="79"/>
      <c r="CN431" s="79"/>
      <c r="CO431" s="79"/>
      <c r="CP431" s="79"/>
      <c r="CQ431" s="79"/>
      <c r="CR431" s="83" t="s">
        <v>179</v>
      </c>
      <c r="CS431" s="83" t="s">
        <v>179</v>
      </c>
      <c r="CT431" s="83" t="s">
        <v>179</v>
      </c>
      <c r="CU431" s="83" t="s">
        <v>179</v>
      </c>
      <c r="CV431" s="83" t="s">
        <v>179</v>
      </c>
      <c r="CW431" s="83" t="s">
        <v>179</v>
      </c>
      <c r="CX431" s="79" t="s">
        <v>153</v>
      </c>
      <c r="CY431" s="79">
        <f t="shared" ref="CY431:CY440" si="272">SUM(COUNTIF(CR431:CW431,"Realizado y Devuelto a la Ciudadanía"),COUNTIF(CR431:CW431,"Realizado y Trasladado por competencia"), COUNTIF(CR431:CW431,"Realizado y Gestionado"))</f>
        <v>0</v>
      </c>
      <c r="CZ431" s="79">
        <v>0</v>
      </c>
      <c r="DA431" s="79">
        <f t="shared" ref="DA431:DA440" si="273">COUNTIF(CR431:CW431,"Realizado y Devuelto a la Ciudadanía")</f>
        <v>0</v>
      </c>
      <c r="DB431" s="84" t="str">
        <f t="shared" ref="DB431:DB436" si="274">IFERROR(CY431/CK431,"")</f>
        <v/>
      </c>
      <c r="DC431" s="41"/>
      <c r="DD431" s="79" t="s">
        <v>153</v>
      </c>
      <c r="DE431" s="71"/>
      <c r="DF431" s="85" t="s">
        <v>3085</v>
      </c>
      <c r="DG431" s="79">
        <v>420</v>
      </c>
      <c r="DH431" s="86">
        <f t="shared" si="261"/>
        <v>45429</v>
      </c>
      <c r="DI431" s="79" t="s">
        <v>181</v>
      </c>
      <c r="DJ431" s="79" t="s">
        <v>182</v>
      </c>
      <c r="DK431" s="79"/>
      <c r="DL431" s="79">
        <v>0</v>
      </c>
      <c r="DM431" s="79">
        <v>0</v>
      </c>
      <c r="DN431" s="79" t="s">
        <v>182</v>
      </c>
      <c r="DO431" s="79"/>
      <c r="DP431" s="79"/>
      <c r="DQ431" s="79"/>
      <c r="DR431" s="75" t="str">
        <f t="shared" si="240"/>
        <v>No aplica</v>
      </c>
      <c r="DS431" s="79"/>
      <c r="DT431" s="79"/>
      <c r="DU431" s="75" t="str">
        <f t="shared" si="241"/>
        <v>No aplica</v>
      </c>
      <c r="DV431" s="79" t="s">
        <v>182</v>
      </c>
      <c r="DW431" s="79" t="s">
        <v>182</v>
      </c>
      <c r="DX431" s="79"/>
      <c r="DY431" s="79"/>
      <c r="DZ431" s="79"/>
      <c r="EA431" s="79"/>
      <c r="EB431" s="79"/>
      <c r="EC431" s="79"/>
      <c r="ED431" s="79" t="s">
        <v>184</v>
      </c>
      <c r="EE431" s="79" t="s">
        <v>621</v>
      </c>
      <c r="EF431" s="41"/>
      <c r="EG431" s="79" t="s">
        <v>153</v>
      </c>
      <c r="EH431" s="71"/>
      <c r="EI431" s="80"/>
      <c r="EJ431" s="71"/>
      <c r="EK431" s="79"/>
      <c r="EL431" s="76" t="str">
        <f t="shared" si="242"/>
        <v>No requiere</v>
      </c>
      <c r="EM431" s="76" t="str">
        <f t="shared" si="243"/>
        <v>No requiere</v>
      </c>
      <c r="EN431" s="76" t="str">
        <f t="shared" si="269"/>
        <v>No requiere</v>
      </c>
      <c r="EO431" s="71"/>
      <c r="EP431" s="73" t="str">
        <f t="shared" si="244"/>
        <v>No requiere</v>
      </c>
      <c r="EQ431" s="77" t="str">
        <f t="shared" si="245"/>
        <v>No requiere</v>
      </c>
      <c r="ER431" s="71"/>
      <c r="ES431" s="79"/>
      <c r="ET431" s="73" t="str">
        <f t="shared" si="246"/>
        <v>No requiere</v>
      </c>
      <c r="EU431" s="73" t="str">
        <f t="shared" si="270"/>
        <v>No requiere</v>
      </c>
      <c r="EV431" s="73" t="str">
        <f t="shared" si="247"/>
        <v>No requiere</v>
      </c>
      <c r="EW431" s="73" t="str">
        <f t="shared" si="248"/>
        <v>No requiere</v>
      </c>
      <c r="EX431" s="78"/>
      <c r="EY431" s="78"/>
    </row>
    <row r="432" spans="1:155" ht="46.5" customHeight="1">
      <c r="A432" s="79" t="str">
        <v/>
      </c>
      <c r="B432" s="80" t="s">
        <v>3096</v>
      </c>
      <c r="C432" s="81">
        <v>45426</v>
      </c>
      <c r="D432" s="82">
        <v>0.58333333333333337</v>
      </c>
      <c r="E432" s="79" t="s">
        <v>151</v>
      </c>
      <c r="F432" s="79" t="s">
        <v>152</v>
      </c>
      <c r="G432" s="79" t="s">
        <v>152</v>
      </c>
      <c r="H432" s="79" t="s">
        <v>152</v>
      </c>
      <c r="I432" s="79" t="s">
        <v>152</v>
      </c>
      <c r="J432" s="79" t="s">
        <v>2615</v>
      </c>
      <c r="K432" s="79" t="s">
        <v>202</v>
      </c>
      <c r="L432" s="80" t="s">
        <v>3097</v>
      </c>
      <c r="M432" s="80" t="s">
        <v>157</v>
      </c>
      <c r="N432" s="79" t="s">
        <v>632</v>
      </c>
      <c r="O432" s="80" t="str">
        <f t="shared" si="236"/>
        <v/>
      </c>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t="s">
        <v>169</v>
      </c>
      <c r="AP432" s="79" t="s">
        <v>170</v>
      </c>
      <c r="AQ432" s="80" t="s">
        <v>171</v>
      </c>
      <c r="AR432" s="83" t="s">
        <v>171</v>
      </c>
      <c r="AS432" s="80" t="s">
        <v>171</v>
      </c>
      <c r="AT432" s="80" t="str">
        <f t="shared" si="237"/>
        <v>Distrital</v>
      </c>
      <c r="AU432" s="79" t="s">
        <v>172</v>
      </c>
      <c r="AV432" s="79"/>
      <c r="AW432" s="79"/>
      <c r="AX432" s="79"/>
      <c r="AY432" s="79"/>
      <c r="AZ432" s="79"/>
      <c r="BA432" s="80" t="str">
        <f t="shared" si="238"/>
        <v>Distrital</v>
      </c>
      <c r="BB432" s="79" t="s">
        <v>172</v>
      </c>
      <c r="BC432" s="79"/>
      <c r="BD432" s="79"/>
      <c r="BE432" s="79"/>
      <c r="BF432" s="79"/>
      <c r="BG432" s="79"/>
      <c r="BH432" s="80" t="str">
        <f t="shared" si="239"/>
        <v>Distrital</v>
      </c>
      <c r="BI432" s="79" t="s">
        <v>172</v>
      </c>
      <c r="BJ432" s="79"/>
      <c r="BK432" s="79"/>
      <c r="BL432" s="79"/>
      <c r="BM432" s="79"/>
      <c r="BN432" s="79"/>
      <c r="BO432" s="79"/>
      <c r="BP432" s="79"/>
      <c r="BQ432" s="79"/>
      <c r="BR432" s="79"/>
      <c r="BS432" s="80" t="s">
        <v>288</v>
      </c>
      <c r="BT432" s="80" t="s">
        <v>3098</v>
      </c>
      <c r="BU432" s="80"/>
      <c r="BV432" s="71"/>
      <c r="BW432" s="79" t="s">
        <v>152</v>
      </c>
      <c r="BX432" s="79" t="s">
        <v>179</v>
      </c>
      <c r="BY432" s="71"/>
      <c r="BZ432" s="79">
        <v>0</v>
      </c>
      <c r="CA432" s="79">
        <v>8</v>
      </c>
      <c r="CB432" s="79">
        <f t="shared" si="223"/>
        <v>8</v>
      </c>
      <c r="CC432" s="79" t="str">
        <f t="shared" si="268"/>
        <v>No Aplica</v>
      </c>
      <c r="CD432" s="79" t="s">
        <v>177</v>
      </c>
      <c r="CE432" s="79"/>
      <c r="CF432" s="79"/>
      <c r="CG432" s="83" t="s">
        <v>3099</v>
      </c>
      <c r="CH432" s="41"/>
      <c r="CI432" s="79" t="s">
        <v>153</v>
      </c>
      <c r="CJ432" s="71"/>
      <c r="CK432" s="79">
        <f t="shared" si="271"/>
        <v>0</v>
      </c>
      <c r="CL432" s="79"/>
      <c r="CM432" s="79"/>
      <c r="CN432" s="79"/>
      <c r="CO432" s="79"/>
      <c r="CP432" s="79"/>
      <c r="CQ432" s="79"/>
      <c r="CR432" s="83" t="s">
        <v>179</v>
      </c>
      <c r="CS432" s="83" t="s">
        <v>179</v>
      </c>
      <c r="CT432" s="83" t="s">
        <v>179</v>
      </c>
      <c r="CU432" s="83" t="s">
        <v>179</v>
      </c>
      <c r="CV432" s="83" t="s">
        <v>179</v>
      </c>
      <c r="CW432" s="83" t="s">
        <v>179</v>
      </c>
      <c r="CX432" s="79" t="s">
        <v>153</v>
      </c>
      <c r="CY432" s="79">
        <f t="shared" si="272"/>
        <v>0</v>
      </c>
      <c r="CZ432" s="79">
        <v>0</v>
      </c>
      <c r="DA432" s="79">
        <f t="shared" si="273"/>
        <v>0</v>
      </c>
      <c r="DB432" s="84" t="str">
        <f t="shared" si="274"/>
        <v/>
      </c>
      <c r="DC432" s="41"/>
      <c r="DD432" s="79" t="s">
        <v>153</v>
      </c>
      <c r="DE432" s="71"/>
      <c r="DF432" s="85" t="s">
        <v>3100</v>
      </c>
      <c r="DG432" s="79">
        <v>421</v>
      </c>
      <c r="DH432" s="86" t="str">
        <f t="shared" si="261"/>
        <v>Completo</v>
      </c>
      <c r="DI432" s="79" t="s">
        <v>181</v>
      </c>
      <c r="DJ432" s="79" t="s">
        <v>182</v>
      </c>
      <c r="DK432" s="79"/>
      <c r="DL432" s="79">
        <v>0</v>
      </c>
      <c r="DM432" s="79">
        <v>0</v>
      </c>
      <c r="DN432" s="79" t="s">
        <v>182</v>
      </c>
      <c r="DO432" s="79"/>
      <c r="DP432" s="79"/>
      <c r="DQ432" s="79"/>
      <c r="DR432" s="75" t="str">
        <f t="shared" si="240"/>
        <v>No aplica</v>
      </c>
      <c r="DS432" s="79"/>
      <c r="DT432" s="79"/>
      <c r="DU432" s="75" t="str">
        <f t="shared" si="241"/>
        <v>No aplica</v>
      </c>
      <c r="DV432" s="79" t="s">
        <v>182</v>
      </c>
      <c r="DW432" s="79" t="s">
        <v>182</v>
      </c>
      <c r="DX432" s="79"/>
      <c r="DY432" s="79"/>
      <c r="DZ432" s="79"/>
      <c r="EA432" s="79"/>
      <c r="EB432" s="79" t="s">
        <v>182</v>
      </c>
      <c r="EC432" s="79" t="s">
        <v>3101</v>
      </c>
      <c r="ED432" s="79" t="s">
        <v>3102</v>
      </c>
      <c r="EE432" s="79" t="str">
        <f t="shared" ref="EE432:EE435" si="275">IF(DI432="Subsanado","Completo","Por Completar")</f>
        <v>Completo</v>
      </c>
      <c r="EF432" s="41"/>
      <c r="EG432" s="79" t="s">
        <v>153</v>
      </c>
      <c r="EH432" s="71"/>
      <c r="EI432" s="80"/>
      <c r="EJ432" s="71"/>
      <c r="EK432" s="79"/>
      <c r="EL432" s="76" t="str">
        <f t="shared" si="242"/>
        <v>No requiere</v>
      </c>
      <c r="EM432" s="76" t="str">
        <f t="shared" si="243"/>
        <v>No requiere</v>
      </c>
      <c r="EN432" s="76" t="str">
        <f t="shared" si="269"/>
        <v>No requiere</v>
      </c>
      <c r="EO432" s="71"/>
      <c r="EP432" s="73" t="str">
        <f t="shared" si="244"/>
        <v>No requiere</v>
      </c>
      <c r="EQ432" s="77" t="str">
        <f t="shared" si="245"/>
        <v>No requiere</v>
      </c>
      <c r="ER432" s="71"/>
      <c r="ES432" s="79"/>
      <c r="ET432" s="73" t="str">
        <f t="shared" si="246"/>
        <v>No requiere</v>
      </c>
      <c r="EU432" s="73" t="str">
        <f t="shared" si="270"/>
        <v>No requiere</v>
      </c>
      <c r="EV432" s="73" t="str">
        <f t="shared" si="247"/>
        <v>No requiere</v>
      </c>
      <c r="EW432" s="73" t="str">
        <f t="shared" si="248"/>
        <v>No requiere</v>
      </c>
      <c r="EX432" s="78"/>
      <c r="EY432" s="78"/>
    </row>
    <row r="433" spans="1:155" ht="46.5" customHeight="1">
      <c r="A433" s="79">
        <v>429</v>
      </c>
      <c r="B433" s="80" t="s">
        <v>3103</v>
      </c>
      <c r="C433" s="81">
        <v>45426</v>
      </c>
      <c r="D433" s="82">
        <v>0.625</v>
      </c>
      <c r="E433" s="79" t="s">
        <v>151</v>
      </c>
      <c r="F433" s="79" t="s">
        <v>153</v>
      </c>
      <c r="G433" s="79" t="s">
        <v>153</v>
      </c>
      <c r="H433" s="79" t="s">
        <v>152</v>
      </c>
      <c r="I433" s="79" t="s">
        <v>152</v>
      </c>
      <c r="J433" s="79" t="s">
        <v>154</v>
      </c>
      <c r="K433" s="79" t="s">
        <v>155</v>
      </c>
      <c r="L433" s="80" t="s">
        <v>3104</v>
      </c>
      <c r="M433" s="80" t="s">
        <v>157</v>
      </c>
      <c r="N433" s="79" t="s">
        <v>265</v>
      </c>
      <c r="O433" s="80" t="str">
        <f t="shared" si="236"/>
        <v>PENDIENTE</v>
      </c>
      <c r="P433" s="79" t="s">
        <v>196</v>
      </c>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t="s">
        <v>578</v>
      </c>
      <c r="AP433" s="79"/>
      <c r="AQ433" s="80" t="s">
        <v>1674</v>
      </c>
      <c r="AR433" s="83" t="s">
        <v>171</v>
      </c>
      <c r="AS433" s="80" t="s">
        <v>1675</v>
      </c>
      <c r="AT433" s="80" t="str">
        <f t="shared" si="237"/>
        <v>Distrital</v>
      </c>
      <c r="AU433" s="79" t="s">
        <v>172</v>
      </c>
      <c r="AV433" s="79"/>
      <c r="AW433" s="79"/>
      <c r="AX433" s="79"/>
      <c r="AY433" s="79"/>
      <c r="AZ433" s="79"/>
      <c r="BA433" s="80" t="str">
        <f t="shared" si="238"/>
        <v>Distrital</v>
      </c>
      <c r="BB433" s="79" t="s">
        <v>172</v>
      </c>
      <c r="BC433" s="79"/>
      <c r="BD433" s="79"/>
      <c r="BE433" s="79"/>
      <c r="BF433" s="79"/>
      <c r="BG433" s="79"/>
      <c r="BH433" s="80" t="str">
        <f t="shared" si="239"/>
        <v>Distrital</v>
      </c>
      <c r="BI433" s="79" t="s">
        <v>172</v>
      </c>
      <c r="BJ433" s="79"/>
      <c r="BK433" s="79"/>
      <c r="BL433" s="79"/>
      <c r="BM433" s="79"/>
      <c r="BN433" s="79"/>
      <c r="BO433" s="79"/>
      <c r="BP433" s="79"/>
      <c r="BQ433" s="79"/>
      <c r="BR433" s="79"/>
      <c r="BS433" s="80" t="s">
        <v>288</v>
      </c>
      <c r="BT433" s="80" t="s">
        <v>174</v>
      </c>
      <c r="BU433" s="89" t="s">
        <v>3105</v>
      </c>
      <c r="BV433" s="71"/>
      <c r="BW433" s="79" t="s">
        <v>152</v>
      </c>
      <c r="BX433" s="79" t="s">
        <v>176</v>
      </c>
      <c r="BY433" s="71"/>
      <c r="BZ433" s="79">
        <v>3</v>
      </c>
      <c r="CA433" s="79">
        <v>3</v>
      </c>
      <c r="CB433" s="79">
        <f t="shared" si="223"/>
        <v>6</v>
      </c>
      <c r="CC433" s="79" t="str">
        <f t="shared" si="268"/>
        <v>No Aplica</v>
      </c>
      <c r="CD433" s="79" t="s">
        <v>177</v>
      </c>
      <c r="CE433" s="79"/>
      <c r="CF433" s="79"/>
      <c r="CG433" s="83" t="s">
        <v>3106</v>
      </c>
      <c r="CH433" s="41"/>
      <c r="CI433" s="79" t="s">
        <v>153</v>
      </c>
      <c r="CJ433" s="71"/>
      <c r="CK433" s="79">
        <f t="shared" si="271"/>
        <v>0</v>
      </c>
      <c r="CL433" s="79"/>
      <c r="CM433" s="79"/>
      <c r="CN433" s="79"/>
      <c r="CO433" s="79"/>
      <c r="CP433" s="79"/>
      <c r="CQ433" s="79"/>
      <c r="CR433" s="83"/>
      <c r="CS433" s="83"/>
      <c r="CT433" s="83"/>
      <c r="CU433" s="83"/>
      <c r="CV433" s="83"/>
      <c r="CW433" s="83"/>
      <c r="CX433" s="79"/>
      <c r="CY433" s="79">
        <f t="shared" si="272"/>
        <v>0</v>
      </c>
      <c r="CZ433" s="79">
        <v>0</v>
      </c>
      <c r="DA433" s="79">
        <f t="shared" si="273"/>
        <v>0</v>
      </c>
      <c r="DB433" s="84" t="str">
        <f t="shared" si="274"/>
        <v/>
      </c>
      <c r="DC433" s="41"/>
      <c r="DD433" s="79"/>
      <c r="DE433" s="71"/>
      <c r="DF433" s="85" t="s">
        <v>3107</v>
      </c>
      <c r="DG433" s="79">
        <v>422</v>
      </c>
      <c r="DH433" s="86" t="str">
        <f t="shared" si="261"/>
        <v>Completo</v>
      </c>
      <c r="DI433" s="79" t="s">
        <v>181</v>
      </c>
      <c r="DJ433" s="79" t="s">
        <v>182</v>
      </c>
      <c r="DK433" s="79"/>
      <c r="DL433" s="79">
        <v>0</v>
      </c>
      <c r="DM433" s="79">
        <v>0</v>
      </c>
      <c r="DN433" s="79"/>
      <c r="DO433" s="79"/>
      <c r="DP433" s="79"/>
      <c r="DQ433" s="79"/>
      <c r="DR433" s="75" t="str">
        <f t="shared" si="240"/>
        <v>No aplica</v>
      </c>
      <c r="DS433" s="79"/>
      <c r="DT433" s="79"/>
      <c r="DU433" s="75" t="str">
        <f t="shared" si="241"/>
        <v>No aplica</v>
      </c>
      <c r="DV433" s="79" t="s">
        <v>182</v>
      </c>
      <c r="DW433" s="79" t="s">
        <v>182</v>
      </c>
      <c r="DX433" s="79"/>
      <c r="DY433" s="79"/>
      <c r="DZ433" s="79"/>
      <c r="EA433" s="79"/>
      <c r="EB433" s="79"/>
      <c r="EC433" s="79"/>
      <c r="ED433" s="79" t="s">
        <v>3108</v>
      </c>
      <c r="EE433" s="79" t="str">
        <f t="shared" si="275"/>
        <v>Completo</v>
      </c>
      <c r="EF433" s="41"/>
      <c r="EG433" s="79" t="s">
        <v>152</v>
      </c>
      <c r="EH433" s="71"/>
      <c r="EI433" s="80"/>
      <c r="EJ433" s="71"/>
      <c r="EK433" s="79"/>
      <c r="EL433" s="76" t="str">
        <f t="shared" si="242"/>
        <v>No requiere</v>
      </c>
      <c r="EM433" s="76" t="str">
        <f t="shared" si="243"/>
        <v>No requiere</v>
      </c>
      <c r="EN433" s="76" t="str">
        <f t="shared" si="269"/>
        <v>No requiere</v>
      </c>
      <c r="EO433" s="71"/>
      <c r="EP433" s="73" t="str">
        <f t="shared" si="244"/>
        <v>No requiere</v>
      </c>
      <c r="EQ433" s="77" t="str">
        <f t="shared" si="245"/>
        <v>No requiere</v>
      </c>
      <c r="ER433" s="71"/>
      <c r="ES433" s="79"/>
      <c r="ET433" s="73" t="str">
        <f t="shared" si="246"/>
        <v>No requiere</v>
      </c>
      <c r="EU433" s="73" t="str">
        <f t="shared" si="270"/>
        <v>No requiere</v>
      </c>
      <c r="EV433" s="73" t="str">
        <f t="shared" si="247"/>
        <v>No requiere</v>
      </c>
      <c r="EW433" s="73" t="str">
        <f t="shared" si="248"/>
        <v>No requiere</v>
      </c>
      <c r="EX433" s="78"/>
      <c r="EY433" s="78"/>
    </row>
    <row r="434" spans="1:155" ht="46.5" customHeight="1">
      <c r="A434" s="79">
        <v>430</v>
      </c>
      <c r="B434" s="80" t="s">
        <v>3035</v>
      </c>
      <c r="C434" s="81">
        <v>45426</v>
      </c>
      <c r="D434" s="82">
        <v>0.58333333333333337</v>
      </c>
      <c r="E434" s="79" t="s">
        <v>151</v>
      </c>
      <c r="F434" s="79" t="s">
        <v>153</v>
      </c>
      <c r="G434" s="79" t="s">
        <v>152</v>
      </c>
      <c r="H434" s="79" t="s">
        <v>152</v>
      </c>
      <c r="I434" s="79" t="s">
        <v>152</v>
      </c>
      <c r="J434" s="79" t="s">
        <v>154</v>
      </c>
      <c r="K434" s="79" t="s">
        <v>155</v>
      </c>
      <c r="L434" s="80" t="s">
        <v>3109</v>
      </c>
      <c r="M434" s="80" t="s">
        <v>303</v>
      </c>
      <c r="N434" s="79" t="s">
        <v>965</v>
      </c>
      <c r="O434" s="80" t="str">
        <f t="shared" si="236"/>
        <v>Reinaldo Terrios Andrade, Maria Angélica Higuera</v>
      </c>
      <c r="P434" s="79" t="s">
        <v>675</v>
      </c>
      <c r="Q434" s="79" t="s">
        <v>328</v>
      </c>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t="s">
        <v>169</v>
      </c>
      <c r="AP434" s="79" t="s">
        <v>475</v>
      </c>
      <c r="AQ434" s="80" t="s">
        <v>171</v>
      </c>
      <c r="AR434" s="83" t="s">
        <v>171</v>
      </c>
      <c r="AS434" s="80" t="s">
        <v>171</v>
      </c>
      <c r="AT434" s="80" t="str">
        <f t="shared" si="237"/>
        <v>Distrital</v>
      </c>
      <c r="AU434" s="79" t="s">
        <v>172</v>
      </c>
      <c r="AV434" s="79"/>
      <c r="AW434" s="79"/>
      <c r="AX434" s="79"/>
      <c r="AY434" s="79"/>
      <c r="AZ434" s="79"/>
      <c r="BA434" s="80" t="str">
        <f t="shared" si="238"/>
        <v>Distrital</v>
      </c>
      <c r="BB434" s="79" t="s">
        <v>172</v>
      </c>
      <c r="BC434" s="79"/>
      <c r="BD434" s="79"/>
      <c r="BE434" s="79"/>
      <c r="BF434" s="79"/>
      <c r="BG434" s="79"/>
      <c r="BH434" s="80" t="str">
        <f t="shared" si="239"/>
        <v>Distrital</v>
      </c>
      <c r="BI434" s="79" t="s">
        <v>172</v>
      </c>
      <c r="BJ434" s="79"/>
      <c r="BK434" s="79"/>
      <c r="BL434" s="79"/>
      <c r="BM434" s="79"/>
      <c r="BN434" s="79"/>
      <c r="BO434" s="79"/>
      <c r="BP434" s="79"/>
      <c r="BQ434" s="79"/>
      <c r="BR434" s="79"/>
      <c r="BS434" s="80" t="s">
        <v>2598</v>
      </c>
      <c r="BT434" s="80" t="s">
        <v>174</v>
      </c>
      <c r="BU434" s="80" t="s">
        <v>2599</v>
      </c>
      <c r="BV434" s="71"/>
      <c r="BW434" s="79" t="s">
        <v>153</v>
      </c>
      <c r="BX434" s="79" t="s">
        <v>2600</v>
      </c>
      <c r="BY434" s="71"/>
      <c r="BZ434" s="79">
        <v>60</v>
      </c>
      <c r="CA434" s="79">
        <v>5</v>
      </c>
      <c r="CB434" s="79">
        <f t="shared" si="223"/>
        <v>65</v>
      </c>
      <c r="CC434" s="79" t="str">
        <f t="shared" si="268"/>
        <v>Lenguaje de señas, Horarios Acordes, Accesibilidad Universal</v>
      </c>
      <c r="CD434" s="79" t="s">
        <v>349</v>
      </c>
      <c r="CE434" s="79" t="s">
        <v>351</v>
      </c>
      <c r="CF434" s="79" t="s">
        <v>397</v>
      </c>
      <c r="CG434" s="83" t="s">
        <v>3110</v>
      </c>
      <c r="CH434" s="41"/>
      <c r="CI434" s="79" t="s">
        <v>153</v>
      </c>
      <c r="CJ434" s="71"/>
      <c r="CK434" s="79">
        <f t="shared" si="271"/>
        <v>0</v>
      </c>
      <c r="CL434" s="79"/>
      <c r="CM434" s="79"/>
      <c r="CN434" s="79"/>
      <c r="CO434" s="79"/>
      <c r="CP434" s="79"/>
      <c r="CQ434" s="79"/>
      <c r="CR434" s="83" t="s">
        <v>179</v>
      </c>
      <c r="CS434" s="83" t="s">
        <v>179</v>
      </c>
      <c r="CT434" s="83" t="s">
        <v>179</v>
      </c>
      <c r="CU434" s="83" t="s">
        <v>179</v>
      </c>
      <c r="CV434" s="83" t="s">
        <v>179</v>
      </c>
      <c r="CW434" s="83" t="s">
        <v>179</v>
      </c>
      <c r="CX434" s="79" t="s">
        <v>153</v>
      </c>
      <c r="CY434" s="79">
        <f t="shared" si="272"/>
        <v>0</v>
      </c>
      <c r="CZ434" s="79">
        <v>0</v>
      </c>
      <c r="DA434" s="79">
        <f t="shared" si="273"/>
        <v>0</v>
      </c>
      <c r="DB434" s="84" t="str">
        <f t="shared" si="274"/>
        <v/>
      </c>
      <c r="DC434" s="41"/>
      <c r="DD434" s="79" t="s">
        <v>153</v>
      </c>
      <c r="DE434" s="71"/>
      <c r="DF434" s="85" t="s">
        <v>3111</v>
      </c>
      <c r="DG434" s="79">
        <v>423</v>
      </c>
      <c r="DH434" s="86" t="str">
        <f t="shared" si="261"/>
        <v>Completo</v>
      </c>
      <c r="DI434" s="79" t="s">
        <v>181</v>
      </c>
      <c r="DJ434" s="79" t="s">
        <v>182</v>
      </c>
      <c r="DK434" s="79"/>
      <c r="DL434" s="79">
        <v>0</v>
      </c>
      <c r="DM434" s="79">
        <v>0</v>
      </c>
      <c r="DN434" s="79" t="s">
        <v>191</v>
      </c>
      <c r="DO434" s="79"/>
      <c r="DP434" s="79"/>
      <c r="DQ434" s="79"/>
      <c r="DR434" s="75" t="str">
        <f t="shared" si="240"/>
        <v>No aplica</v>
      </c>
      <c r="DS434" s="79"/>
      <c r="DT434" s="79"/>
      <c r="DU434" s="75" t="str">
        <f t="shared" si="241"/>
        <v>No aplica</v>
      </c>
      <c r="DV434" s="79" t="s">
        <v>182</v>
      </c>
      <c r="DW434" s="79" t="s">
        <v>182</v>
      </c>
      <c r="DX434" s="79"/>
      <c r="DY434" s="79"/>
      <c r="DZ434" s="79"/>
      <c r="EA434" s="79"/>
      <c r="EB434" s="79" t="s">
        <v>191</v>
      </c>
      <c r="EC434" s="79"/>
      <c r="ED434" s="79" t="s">
        <v>184</v>
      </c>
      <c r="EE434" s="79" t="str">
        <f t="shared" si="275"/>
        <v>Completo</v>
      </c>
      <c r="EF434" s="41"/>
      <c r="EG434" s="79" t="s">
        <v>153</v>
      </c>
      <c r="EH434" s="71"/>
      <c r="EI434" s="80"/>
      <c r="EJ434" s="71"/>
      <c r="EK434" s="79"/>
      <c r="EL434" s="76" t="str">
        <f t="shared" si="242"/>
        <v>No requiere</v>
      </c>
      <c r="EM434" s="76" t="str">
        <f t="shared" si="243"/>
        <v>No requiere</v>
      </c>
      <c r="EN434" s="76" t="str">
        <f t="shared" si="269"/>
        <v>No requiere</v>
      </c>
      <c r="EO434" s="71"/>
      <c r="EP434" s="73" t="str">
        <f t="shared" si="244"/>
        <v>No requiere</v>
      </c>
      <c r="EQ434" s="77" t="str">
        <f t="shared" si="245"/>
        <v>No requiere</v>
      </c>
      <c r="ER434" s="71"/>
      <c r="ES434" s="79"/>
      <c r="ET434" s="73" t="str">
        <f t="shared" si="246"/>
        <v>No requiere</v>
      </c>
      <c r="EU434" s="73" t="str">
        <f t="shared" si="270"/>
        <v>No requiere</v>
      </c>
      <c r="EV434" s="73" t="str">
        <f t="shared" si="247"/>
        <v>No requiere</v>
      </c>
      <c r="EW434" s="73" t="str">
        <f t="shared" si="248"/>
        <v>No requiere</v>
      </c>
      <c r="EX434" s="78"/>
      <c r="EY434" s="78"/>
    </row>
    <row r="435" spans="1:155" ht="46.5" customHeight="1">
      <c r="A435" s="79">
        <v>431</v>
      </c>
      <c r="B435" s="80" t="s">
        <v>3112</v>
      </c>
      <c r="C435" s="81">
        <v>45426</v>
      </c>
      <c r="D435" s="82">
        <v>0.58333333333333337</v>
      </c>
      <c r="E435" s="79" t="s">
        <v>200</v>
      </c>
      <c r="F435" s="79" t="s">
        <v>153</v>
      </c>
      <c r="G435" s="79" t="s">
        <v>152</v>
      </c>
      <c r="H435" s="79" t="s">
        <v>152</v>
      </c>
      <c r="I435" s="79" t="s">
        <v>152</v>
      </c>
      <c r="J435" s="79" t="s">
        <v>211</v>
      </c>
      <c r="K435" s="79" t="s">
        <v>155</v>
      </c>
      <c r="L435" s="80" t="s">
        <v>3113</v>
      </c>
      <c r="M435" s="80" t="s">
        <v>624</v>
      </c>
      <c r="N435" s="79" t="s">
        <v>213</v>
      </c>
      <c r="O435" s="80" t="str">
        <f t="shared" si="236"/>
        <v/>
      </c>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t="s">
        <v>230</v>
      </c>
      <c r="AP435" s="79" t="s">
        <v>242</v>
      </c>
      <c r="AQ435" s="80" t="s">
        <v>3114</v>
      </c>
      <c r="AR435" s="83">
        <v>3142993840</v>
      </c>
      <c r="AS435" s="80" t="s">
        <v>3115</v>
      </c>
      <c r="AT435" s="80" t="str">
        <f t="shared" si="237"/>
        <v>Distrital</v>
      </c>
      <c r="AU435" s="79" t="s">
        <v>172</v>
      </c>
      <c r="AV435" s="79"/>
      <c r="AW435" s="79"/>
      <c r="AX435" s="79"/>
      <c r="AY435" s="79"/>
      <c r="AZ435" s="79"/>
      <c r="BA435" s="80" t="str">
        <f t="shared" si="238"/>
        <v>Distrital</v>
      </c>
      <c r="BB435" s="79" t="s">
        <v>172</v>
      </c>
      <c r="BC435" s="79"/>
      <c r="BD435" s="79"/>
      <c r="BE435" s="79"/>
      <c r="BF435" s="79"/>
      <c r="BG435" s="79"/>
      <c r="BH435" s="80" t="str">
        <f t="shared" si="239"/>
        <v>Distrital</v>
      </c>
      <c r="BI435" s="79" t="s">
        <v>172</v>
      </c>
      <c r="BJ435" s="79"/>
      <c r="BK435" s="79"/>
      <c r="BL435" s="79"/>
      <c r="BM435" s="79"/>
      <c r="BN435" s="79"/>
      <c r="BO435" s="79"/>
      <c r="BP435" s="79"/>
      <c r="BQ435" s="79"/>
      <c r="BR435" s="79"/>
      <c r="BS435" s="80" t="s">
        <v>288</v>
      </c>
      <c r="BT435" s="80" t="s">
        <v>174</v>
      </c>
      <c r="BU435" s="80" t="s">
        <v>3116</v>
      </c>
      <c r="BV435" s="71"/>
      <c r="BW435" s="79" t="s">
        <v>153</v>
      </c>
      <c r="BX435" s="79" t="s">
        <v>176</v>
      </c>
      <c r="BY435" s="71"/>
      <c r="BZ435" s="79">
        <v>2</v>
      </c>
      <c r="CA435" s="79">
        <v>2</v>
      </c>
      <c r="CB435" s="79">
        <f t="shared" si="223"/>
        <v>4</v>
      </c>
      <c r="CC435" s="79" t="str">
        <f t="shared" si="268"/>
        <v>No Aplica</v>
      </c>
      <c r="CD435" s="79" t="s">
        <v>177</v>
      </c>
      <c r="CE435" s="79"/>
      <c r="CF435" s="79"/>
      <c r="CG435" s="83" t="s">
        <v>3117</v>
      </c>
      <c r="CH435" s="41"/>
      <c r="CI435" s="79" t="s">
        <v>153</v>
      </c>
      <c r="CJ435" s="71"/>
      <c r="CK435" s="79">
        <f t="shared" si="271"/>
        <v>0</v>
      </c>
      <c r="CL435" s="79"/>
      <c r="CM435" s="79"/>
      <c r="CN435" s="79"/>
      <c r="CO435" s="79"/>
      <c r="CP435" s="79"/>
      <c r="CQ435" s="79"/>
      <c r="CR435" s="83" t="s">
        <v>179</v>
      </c>
      <c r="CS435" s="83" t="s">
        <v>179</v>
      </c>
      <c r="CT435" s="83" t="s">
        <v>179</v>
      </c>
      <c r="CU435" s="83" t="s">
        <v>179</v>
      </c>
      <c r="CV435" s="83" t="s">
        <v>179</v>
      </c>
      <c r="CW435" s="83" t="s">
        <v>179</v>
      </c>
      <c r="CX435" s="79" t="s">
        <v>153</v>
      </c>
      <c r="CY435" s="79">
        <f t="shared" si="272"/>
        <v>0</v>
      </c>
      <c r="CZ435" s="79">
        <v>0</v>
      </c>
      <c r="DA435" s="79">
        <f t="shared" si="273"/>
        <v>0</v>
      </c>
      <c r="DB435" s="84" t="str">
        <f t="shared" si="274"/>
        <v/>
      </c>
      <c r="DC435" s="41"/>
      <c r="DD435" s="79" t="s">
        <v>153</v>
      </c>
      <c r="DE435" s="71"/>
      <c r="DF435" s="85" t="s">
        <v>3118</v>
      </c>
      <c r="DG435" s="79">
        <v>424</v>
      </c>
      <c r="DH435" s="86" t="str">
        <f t="shared" si="261"/>
        <v>Completo</v>
      </c>
      <c r="DI435" s="79" t="s">
        <v>181</v>
      </c>
      <c r="DJ435" s="79" t="s">
        <v>182</v>
      </c>
      <c r="DK435" s="79"/>
      <c r="DL435" s="79">
        <v>0</v>
      </c>
      <c r="DM435" s="79">
        <v>0</v>
      </c>
      <c r="DN435" s="79" t="s">
        <v>182</v>
      </c>
      <c r="DO435" s="79"/>
      <c r="DP435" s="79"/>
      <c r="DQ435" s="79"/>
      <c r="DR435" s="75" t="str">
        <f t="shared" si="240"/>
        <v>No aplica</v>
      </c>
      <c r="DS435" s="79"/>
      <c r="DT435" s="79"/>
      <c r="DU435" s="75" t="str">
        <f t="shared" si="241"/>
        <v>No aplica</v>
      </c>
      <c r="DV435" s="79" t="s">
        <v>182</v>
      </c>
      <c r="DW435" s="79" t="s">
        <v>182</v>
      </c>
      <c r="DX435" s="79"/>
      <c r="DY435" s="79"/>
      <c r="DZ435" s="79"/>
      <c r="EA435" s="79"/>
      <c r="EB435" s="79" t="s">
        <v>182</v>
      </c>
      <c r="EC435" s="79" t="s">
        <v>746</v>
      </c>
      <c r="ED435" s="79" t="s">
        <v>1743</v>
      </c>
      <c r="EE435" s="79" t="str">
        <f t="shared" si="275"/>
        <v>Completo</v>
      </c>
      <c r="EF435" s="41"/>
      <c r="EG435" s="79" t="s">
        <v>153</v>
      </c>
      <c r="EH435" s="71"/>
      <c r="EI435" s="80"/>
      <c r="EJ435" s="71"/>
      <c r="EK435" s="79"/>
      <c r="EL435" s="76" t="str">
        <f t="shared" si="242"/>
        <v>No requiere</v>
      </c>
      <c r="EM435" s="76" t="str">
        <f t="shared" si="243"/>
        <v>No requiere</v>
      </c>
      <c r="EN435" s="76" t="str">
        <f t="shared" si="269"/>
        <v>No requiere</v>
      </c>
      <c r="EO435" s="71"/>
      <c r="EP435" s="73" t="str">
        <f t="shared" si="244"/>
        <v>No requiere</v>
      </c>
      <c r="EQ435" s="77" t="str">
        <f t="shared" si="245"/>
        <v>No requiere</v>
      </c>
      <c r="ER435" s="71"/>
      <c r="ES435" s="79"/>
      <c r="ET435" s="73" t="str">
        <f t="shared" si="246"/>
        <v>No requiere</v>
      </c>
      <c r="EU435" s="73" t="str">
        <f t="shared" si="270"/>
        <v>No requiere</v>
      </c>
      <c r="EV435" s="73" t="str">
        <f t="shared" si="247"/>
        <v>No requiere</v>
      </c>
      <c r="EW435" s="73" t="str">
        <f t="shared" si="248"/>
        <v>No requiere</v>
      </c>
      <c r="EX435" s="78"/>
      <c r="EY435" s="78"/>
    </row>
    <row r="436" spans="1:155" ht="46.5" customHeight="1">
      <c r="A436" s="79">
        <v>432</v>
      </c>
      <c r="B436" s="80" t="s">
        <v>3119</v>
      </c>
      <c r="C436" s="81">
        <v>45427</v>
      </c>
      <c r="D436" s="82">
        <v>0.375</v>
      </c>
      <c r="E436" s="79" t="s">
        <v>151</v>
      </c>
      <c r="F436" s="79" t="s">
        <v>153</v>
      </c>
      <c r="G436" s="79" t="s">
        <v>153</v>
      </c>
      <c r="H436" s="79" t="s">
        <v>153</v>
      </c>
      <c r="I436" s="79" t="s">
        <v>152</v>
      </c>
      <c r="J436" s="79" t="s">
        <v>154</v>
      </c>
      <c r="K436" s="79" t="s">
        <v>155</v>
      </c>
      <c r="L436" s="80" t="s">
        <v>2596</v>
      </c>
      <c r="M436" s="80" t="s">
        <v>303</v>
      </c>
      <c r="N436" s="79" t="s">
        <v>548</v>
      </c>
      <c r="O436" s="80" t="str">
        <f t="shared" si="236"/>
        <v>William Arturo González, Nicolas Esteban Hernández</v>
      </c>
      <c r="P436" s="79" t="s">
        <v>2786</v>
      </c>
      <c r="Q436" s="79" t="s">
        <v>645</v>
      </c>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t="s">
        <v>169</v>
      </c>
      <c r="AP436" s="79" t="s">
        <v>475</v>
      </c>
      <c r="AQ436" s="80" t="s">
        <v>3120</v>
      </c>
      <c r="AR436" s="83" t="s">
        <v>171</v>
      </c>
      <c r="AS436" s="80" t="s">
        <v>171</v>
      </c>
      <c r="AT436" s="80" t="str">
        <f t="shared" si="237"/>
        <v>Distrital</v>
      </c>
      <c r="AU436" s="79" t="s">
        <v>172</v>
      </c>
      <c r="AV436" s="79"/>
      <c r="AW436" s="79"/>
      <c r="AX436" s="79"/>
      <c r="AY436" s="79"/>
      <c r="AZ436" s="79"/>
      <c r="BA436" s="80" t="str">
        <f t="shared" si="238"/>
        <v>Distrital</v>
      </c>
      <c r="BB436" s="79" t="s">
        <v>172</v>
      </c>
      <c r="BC436" s="79"/>
      <c r="BD436" s="79"/>
      <c r="BE436" s="79"/>
      <c r="BF436" s="79"/>
      <c r="BG436" s="79"/>
      <c r="BH436" s="80" t="str">
        <f t="shared" si="239"/>
        <v>Distrital</v>
      </c>
      <c r="BI436" s="79" t="s">
        <v>172</v>
      </c>
      <c r="BJ436" s="79"/>
      <c r="BK436" s="79"/>
      <c r="BL436" s="79"/>
      <c r="BM436" s="79"/>
      <c r="BN436" s="79"/>
      <c r="BO436" s="79"/>
      <c r="BP436" s="79"/>
      <c r="BQ436" s="79"/>
      <c r="BR436" s="79"/>
      <c r="BS436" s="80" t="s">
        <v>2598</v>
      </c>
      <c r="BT436" s="80" t="s">
        <v>174</v>
      </c>
      <c r="BU436" s="80" t="s">
        <v>2599</v>
      </c>
      <c r="BV436" s="71"/>
      <c r="BW436" s="79" t="s">
        <v>153</v>
      </c>
      <c r="BX436" s="79" t="s">
        <v>2600</v>
      </c>
      <c r="BY436" s="71"/>
      <c r="BZ436" s="79">
        <v>0</v>
      </c>
      <c r="CA436" s="79">
        <v>3</v>
      </c>
      <c r="CB436" s="79">
        <f t="shared" si="223"/>
        <v>3</v>
      </c>
      <c r="CC436" s="79" t="str">
        <f t="shared" si="268"/>
        <v>Ninguna</v>
      </c>
      <c r="CD436" s="79" t="s">
        <v>174</v>
      </c>
      <c r="CE436" s="79"/>
      <c r="CF436" s="79"/>
      <c r="CG436" s="83" t="s">
        <v>3121</v>
      </c>
      <c r="CH436" s="41"/>
      <c r="CI436" s="79" t="s">
        <v>153</v>
      </c>
      <c r="CJ436" s="71"/>
      <c r="CK436" s="79">
        <f t="shared" si="271"/>
        <v>1</v>
      </c>
      <c r="CL436" s="79" t="s">
        <v>3122</v>
      </c>
      <c r="CM436" s="79"/>
      <c r="CN436" s="79"/>
      <c r="CO436" s="79"/>
      <c r="CP436" s="79"/>
      <c r="CQ436" s="79"/>
      <c r="CR436" s="83" t="s">
        <v>179</v>
      </c>
      <c r="CS436" s="83" t="s">
        <v>179</v>
      </c>
      <c r="CT436" s="83" t="s">
        <v>179</v>
      </c>
      <c r="CU436" s="83" t="s">
        <v>179</v>
      </c>
      <c r="CV436" s="83" t="s">
        <v>179</v>
      </c>
      <c r="CW436" s="83" t="s">
        <v>179</v>
      </c>
      <c r="CX436" s="79" t="s">
        <v>153</v>
      </c>
      <c r="CY436" s="79">
        <f t="shared" si="272"/>
        <v>0</v>
      </c>
      <c r="CZ436" s="79">
        <v>0</v>
      </c>
      <c r="DA436" s="79">
        <f t="shared" si="273"/>
        <v>0</v>
      </c>
      <c r="DB436" s="84">
        <f t="shared" si="274"/>
        <v>0</v>
      </c>
      <c r="DC436" s="41"/>
      <c r="DD436" s="79" t="s">
        <v>153</v>
      </c>
      <c r="DE436" s="71"/>
      <c r="DF436" s="85" t="s">
        <v>3123</v>
      </c>
      <c r="DG436" s="79">
        <v>425</v>
      </c>
      <c r="DH436" s="86" t="str">
        <f t="shared" si="261"/>
        <v>Completo</v>
      </c>
      <c r="DI436" s="79" t="s">
        <v>181</v>
      </c>
      <c r="DJ436" s="79" t="s">
        <v>182</v>
      </c>
      <c r="DK436" s="79" t="s">
        <v>153</v>
      </c>
      <c r="DL436" s="79">
        <v>0</v>
      </c>
      <c r="DM436" s="79">
        <v>0</v>
      </c>
      <c r="DN436" s="79" t="s">
        <v>182</v>
      </c>
      <c r="DO436" s="79" t="s">
        <v>179</v>
      </c>
      <c r="DP436" s="79" t="s">
        <v>191</v>
      </c>
      <c r="DQ436" s="79">
        <v>0</v>
      </c>
      <c r="DR436" s="75">
        <v>0</v>
      </c>
      <c r="DS436" s="79" t="s">
        <v>191</v>
      </c>
      <c r="DT436" s="79">
        <v>0</v>
      </c>
      <c r="DU436" s="75">
        <v>0</v>
      </c>
      <c r="DV436" s="79" t="s">
        <v>182</v>
      </c>
      <c r="DW436" s="79" t="s">
        <v>182</v>
      </c>
      <c r="DX436" s="79">
        <v>1</v>
      </c>
      <c r="DY436" s="79" t="s">
        <v>179</v>
      </c>
      <c r="DZ436" s="79"/>
      <c r="EA436" s="79" t="s">
        <v>179</v>
      </c>
      <c r="EB436" s="79" t="s">
        <v>191</v>
      </c>
      <c r="EC436" s="79"/>
      <c r="ED436" s="79" t="s">
        <v>184</v>
      </c>
      <c r="EE436" s="79" t="str">
        <f>IF(DI436="Subsanado","Completo","Por Completar")</f>
        <v>Completo</v>
      </c>
      <c r="EF436" s="41"/>
      <c r="EG436" s="79" t="s">
        <v>153</v>
      </c>
      <c r="EH436" s="71"/>
      <c r="EI436" s="89" t="s">
        <v>3124</v>
      </c>
      <c r="EJ436" s="71"/>
      <c r="EK436" s="79" t="s">
        <v>191</v>
      </c>
      <c r="EL436" s="76" t="str">
        <f t="shared" si="242"/>
        <v>No</v>
      </c>
      <c r="EM436" s="76" t="str">
        <f t="shared" si="243"/>
        <v>No aplica</v>
      </c>
      <c r="EN436" s="76" t="str">
        <f t="shared" si="269"/>
        <v>No</v>
      </c>
      <c r="EO436" s="71"/>
      <c r="EP436" s="73" t="str">
        <f t="shared" si="244"/>
        <v>No aplica</v>
      </c>
      <c r="EQ436" s="77">
        <f t="shared" si="245"/>
        <v>0</v>
      </c>
      <c r="ER436" s="71"/>
      <c r="ES436" s="79" t="s">
        <v>191</v>
      </c>
      <c r="ET436" s="73">
        <f t="shared" si="246"/>
        <v>0.66666666666666663</v>
      </c>
      <c r="EU436" s="73">
        <f t="shared" si="270"/>
        <v>0</v>
      </c>
      <c r="EV436" s="73" t="str">
        <f t="shared" si="247"/>
        <v>No aplica</v>
      </c>
      <c r="EW436" s="73" t="str">
        <f t="shared" si="248"/>
        <v>No aplica</v>
      </c>
      <c r="EX436" s="78"/>
      <c r="EY436" s="78"/>
    </row>
    <row r="437" spans="1:155" ht="46.5" customHeight="1">
      <c r="A437" s="79">
        <v>433</v>
      </c>
      <c r="B437" s="80" t="s">
        <v>2843</v>
      </c>
      <c r="C437" s="81">
        <v>45427</v>
      </c>
      <c r="D437" s="82">
        <v>0.375</v>
      </c>
      <c r="E437" s="79" t="s">
        <v>151</v>
      </c>
      <c r="F437" s="79" t="s">
        <v>153</v>
      </c>
      <c r="G437" s="79" t="s">
        <v>152</v>
      </c>
      <c r="H437" s="79" t="s">
        <v>152</v>
      </c>
      <c r="I437" s="79" t="s">
        <v>152</v>
      </c>
      <c r="J437" s="79" t="s">
        <v>154</v>
      </c>
      <c r="K437" s="79" t="s">
        <v>155</v>
      </c>
      <c r="L437" s="80" t="s">
        <v>2844</v>
      </c>
      <c r="M437" s="80" t="s">
        <v>303</v>
      </c>
      <c r="N437" s="79" t="s">
        <v>720</v>
      </c>
      <c r="O437" s="80" t="str">
        <f t="shared" si="236"/>
        <v>Joan Sebastian García, Juan Pablo Serna, Manuel Fernando Vergara, Renata Rengifo Moyano, Zuly Marcela Mesa</v>
      </c>
      <c r="P437" s="79" t="s">
        <v>728</v>
      </c>
      <c r="Q437" s="79" t="s">
        <v>818</v>
      </c>
      <c r="R437" s="79" t="s">
        <v>820</v>
      </c>
      <c r="S437" s="79" t="s">
        <v>1066</v>
      </c>
      <c r="T437" s="79" t="s">
        <v>547</v>
      </c>
      <c r="U437" s="79"/>
      <c r="V437" s="79"/>
      <c r="W437" s="79"/>
      <c r="X437" s="79"/>
      <c r="Y437" s="79"/>
      <c r="Z437" s="79"/>
      <c r="AA437" s="79"/>
      <c r="AB437" s="79"/>
      <c r="AC437" s="79"/>
      <c r="AD437" s="79"/>
      <c r="AE437" s="79"/>
      <c r="AF437" s="79"/>
      <c r="AG437" s="79"/>
      <c r="AH437" s="79"/>
      <c r="AI437" s="79"/>
      <c r="AJ437" s="79"/>
      <c r="AK437" s="79"/>
      <c r="AL437" s="79"/>
      <c r="AM437" s="79"/>
      <c r="AN437" s="79"/>
      <c r="AO437" s="79" t="s">
        <v>169</v>
      </c>
      <c r="AP437" s="79" t="s">
        <v>475</v>
      </c>
      <c r="AQ437" s="80" t="s">
        <v>171</v>
      </c>
      <c r="AR437" s="83" t="s">
        <v>171</v>
      </c>
      <c r="AS437" s="80" t="s">
        <v>171</v>
      </c>
      <c r="AT437" s="80" t="str">
        <f t="shared" si="237"/>
        <v>Distrital</v>
      </c>
      <c r="AU437" s="79" t="s">
        <v>172</v>
      </c>
      <c r="AV437" s="79"/>
      <c r="AW437" s="79"/>
      <c r="AX437" s="79"/>
      <c r="AY437" s="79"/>
      <c r="AZ437" s="79"/>
      <c r="BA437" s="80" t="str">
        <f t="shared" si="238"/>
        <v>Distrital</v>
      </c>
      <c r="BB437" s="79" t="s">
        <v>172</v>
      </c>
      <c r="BC437" s="79"/>
      <c r="BD437" s="79"/>
      <c r="BE437" s="79"/>
      <c r="BF437" s="79"/>
      <c r="BG437" s="79"/>
      <c r="BH437" s="80" t="str">
        <f t="shared" si="239"/>
        <v>Distrital</v>
      </c>
      <c r="BI437" s="79" t="s">
        <v>172</v>
      </c>
      <c r="BJ437" s="79"/>
      <c r="BK437" s="79"/>
      <c r="BL437" s="79"/>
      <c r="BM437" s="79"/>
      <c r="BN437" s="79"/>
      <c r="BO437" s="79"/>
      <c r="BP437" s="79"/>
      <c r="BQ437" s="79"/>
      <c r="BR437" s="79"/>
      <c r="BS437" s="80" t="s">
        <v>2598</v>
      </c>
      <c r="BT437" s="80" t="s">
        <v>174</v>
      </c>
      <c r="BU437" s="80" t="s">
        <v>3125</v>
      </c>
      <c r="BV437" s="71"/>
      <c r="BW437" s="79" t="s">
        <v>153</v>
      </c>
      <c r="BX437" s="79" t="s">
        <v>2600</v>
      </c>
      <c r="BY437" s="71"/>
      <c r="BZ437" s="79">
        <v>200</v>
      </c>
      <c r="CA437" s="79">
        <v>7</v>
      </c>
      <c r="CB437" s="79">
        <f t="shared" si="223"/>
        <v>207</v>
      </c>
      <c r="CC437" s="79" t="str">
        <f t="shared" si="268"/>
        <v>No Aplica</v>
      </c>
      <c r="CD437" s="79" t="s">
        <v>177</v>
      </c>
      <c r="CE437" s="79"/>
      <c r="CF437" s="79"/>
      <c r="CG437" s="83" t="s">
        <v>3126</v>
      </c>
      <c r="CH437" s="41"/>
      <c r="CI437" s="79" t="s">
        <v>153</v>
      </c>
      <c r="CJ437" s="71"/>
      <c r="CK437" s="79"/>
      <c r="CL437" s="79"/>
      <c r="CM437" s="79"/>
      <c r="CN437" s="79"/>
      <c r="CO437" s="79"/>
      <c r="CP437" s="79"/>
      <c r="CQ437" s="79"/>
      <c r="CR437" s="83" t="s">
        <v>179</v>
      </c>
      <c r="CS437" s="83" t="s">
        <v>179</v>
      </c>
      <c r="CT437" s="83" t="s">
        <v>179</v>
      </c>
      <c r="CU437" s="83" t="s">
        <v>179</v>
      </c>
      <c r="CV437" s="83" t="s">
        <v>179</v>
      </c>
      <c r="CW437" s="83" t="s">
        <v>179</v>
      </c>
      <c r="CX437" s="79" t="s">
        <v>153</v>
      </c>
      <c r="CY437" s="79">
        <f t="shared" si="272"/>
        <v>0</v>
      </c>
      <c r="CZ437" s="79">
        <v>0</v>
      </c>
      <c r="DA437" s="79">
        <f t="shared" si="273"/>
        <v>0</v>
      </c>
      <c r="DB437" s="84"/>
      <c r="DC437" s="41"/>
      <c r="DD437" s="79" t="s">
        <v>153</v>
      </c>
      <c r="DE437" s="71"/>
      <c r="DF437" s="85" t="s">
        <v>3127</v>
      </c>
      <c r="DG437" s="79">
        <v>426</v>
      </c>
      <c r="DH437" s="86">
        <f t="shared" si="261"/>
        <v>45430</v>
      </c>
      <c r="DI437" s="79" t="s">
        <v>181</v>
      </c>
      <c r="DJ437" s="79" t="s">
        <v>182</v>
      </c>
      <c r="DK437" s="79"/>
      <c r="DL437" s="79"/>
      <c r="DM437" s="79"/>
      <c r="DN437" s="79" t="s">
        <v>182</v>
      </c>
      <c r="DO437" s="79"/>
      <c r="DP437" s="79"/>
      <c r="DQ437" s="79"/>
      <c r="DR437" s="75" t="str">
        <f t="shared" ref="DR437:DR468" si="276">IF(H437="SÍ", (DQ437/(BZ437*0.3)), "No aplica")</f>
        <v>No aplica</v>
      </c>
      <c r="DS437" s="79"/>
      <c r="DT437" s="79"/>
      <c r="DU437" s="75" t="str">
        <f t="shared" ref="DU437:DU468" si="277">IF(H437="SÍ", (DT437/(BZ437*0.35)), "No aplica")</f>
        <v>No aplica</v>
      </c>
      <c r="DV437" s="79" t="s">
        <v>182</v>
      </c>
      <c r="DW437" s="79" t="s">
        <v>191</v>
      </c>
      <c r="DX437" s="79"/>
      <c r="DY437" s="79"/>
      <c r="DZ437" s="79"/>
      <c r="EA437" s="79"/>
      <c r="EB437" s="79" t="s">
        <v>182</v>
      </c>
      <c r="EC437" s="79" t="s">
        <v>3128</v>
      </c>
      <c r="ED437" s="79" t="s">
        <v>184</v>
      </c>
      <c r="EE437" s="79" t="s">
        <v>621</v>
      </c>
      <c r="EF437" s="41"/>
      <c r="EG437" s="79" t="s">
        <v>152</v>
      </c>
      <c r="EH437" s="71"/>
      <c r="EI437" s="80"/>
      <c r="EJ437" s="71"/>
      <c r="EK437" s="79"/>
      <c r="EL437" s="76" t="str">
        <f t="shared" si="242"/>
        <v>No requiere</v>
      </c>
      <c r="EM437" s="76" t="str">
        <f t="shared" si="243"/>
        <v>No requiere</v>
      </c>
      <c r="EN437" s="76" t="str">
        <f t="shared" si="269"/>
        <v>No requiere</v>
      </c>
      <c r="EO437" s="71"/>
      <c r="EP437" s="73" t="str">
        <f t="shared" si="244"/>
        <v>No requiere</v>
      </c>
      <c r="EQ437" s="77" t="str">
        <f t="shared" si="245"/>
        <v>No requiere</v>
      </c>
      <c r="ER437" s="71"/>
      <c r="ES437" s="79"/>
      <c r="ET437" s="73" t="str">
        <f t="shared" si="246"/>
        <v>No requiere</v>
      </c>
      <c r="EU437" s="73" t="str">
        <f t="shared" si="270"/>
        <v>No requiere</v>
      </c>
      <c r="EV437" s="73" t="str">
        <f t="shared" si="247"/>
        <v>No requiere</v>
      </c>
      <c r="EW437" s="73" t="str">
        <f t="shared" si="248"/>
        <v>No requiere</v>
      </c>
      <c r="EX437" s="78"/>
      <c r="EY437" s="78"/>
    </row>
    <row r="438" spans="1:155" ht="46.5" customHeight="1">
      <c r="A438" s="79">
        <v>434</v>
      </c>
      <c r="B438" s="80" t="s">
        <v>2321</v>
      </c>
      <c r="C438" s="81">
        <v>45427</v>
      </c>
      <c r="D438" s="82">
        <v>0.58333333333333337</v>
      </c>
      <c r="E438" s="79" t="s">
        <v>200</v>
      </c>
      <c r="F438" s="79" t="s">
        <v>153</v>
      </c>
      <c r="G438" s="79" t="s">
        <v>152</v>
      </c>
      <c r="H438" s="79" t="s">
        <v>152</v>
      </c>
      <c r="I438" s="79" t="s">
        <v>152</v>
      </c>
      <c r="J438" s="79" t="s">
        <v>504</v>
      </c>
      <c r="K438" s="79" t="s">
        <v>155</v>
      </c>
      <c r="L438" s="80" t="s">
        <v>2322</v>
      </c>
      <c r="M438" s="80" t="s">
        <v>157</v>
      </c>
      <c r="N438" s="79" t="s">
        <v>924</v>
      </c>
      <c r="O438" s="80" t="str">
        <f t="shared" si="236"/>
        <v/>
      </c>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t="s">
        <v>169</v>
      </c>
      <c r="AP438" s="79" t="s">
        <v>2702</v>
      </c>
      <c r="AQ438" s="80" t="s">
        <v>2323</v>
      </c>
      <c r="AR438" s="83">
        <v>3228582649</v>
      </c>
      <c r="AS438" s="80" t="s">
        <v>171</v>
      </c>
      <c r="AT438" s="80" t="str">
        <f t="shared" si="237"/>
        <v>Kennedy</v>
      </c>
      <c r="AU438" s="79" t="s">
        <v>731</v>
      </c>
      <c r="AV438" s="79"/>
      <c r="AW438" s="79"/>
      <c r="AX438" s="79"/>
      <c r="AY438" s="79"/>
      <c r="AZ438" s="79"/>
      <c r="BA438" s="80" t="str">
        <f t="shared" si="238"/>
        <v>Suroccidente</v>
      </c>
      <c r="BB438" s="79" t="s">
        <v>732</v>
      </c>
      <c r="BC438" s="79"/>
      <c r="BD438" s="79"/>
      <c r="BE438" s="79"/>
      <c r="BF438" s="79"/>
      <c r="BG438" s="79"/>
      <c r="BH438" s="80" t="str">
        <f t="shared" si="239"/>
        <v>Kennedy, Tintal, Patio Bonito, Edén, Porvenir, Bosa</v>
      </c>
      <c r="BI438" s="79" t="s">
        <v>731</v>
      </c>
      <c r="BJ438" s="79" t="s">
        <v>1697</v>
      </c>
      <c r="BK438" s="79" t="s">
        <v>967</v>
      </c>
      <c r="BL438" s="79" t="s">
        <v>1057</v>
      </c>
      <c r="BM438" s="79" t="s">
        <v>1058</v>
      </c>
      <c r="BN438" s="79" t="s">
        <v>730</v>
      </c>
      <c r="BO438" s="79"/>
      <c r="BP438" s="79"/>
      <c r="BQ438" s="79"/>
      <c r="BR438" s="79"/>
      <c r="BS438" s="80" t="s">
        <v>731</v>
      </c>
      <c r="BT438" s="80" t="s">
        <v>174</v>
      </c>
      <c r="BU438" s="80" t="s">
        <v>2324</v>
      </c>
      <c r="BV438" s="71"/>
      <c r="BW438" s="79" t="s">
        <v>152</v>
      </c>
      <c r="BX438" s="79" t="s">
        <v>179</v>
      </c>
      <c r="BY438" s="71"/>
      <c r="BZ438" s="79">
        <v>14</v>
      </c>
      <c r="CA438" s="79">
        <v>1</v>
      </c>
      <c r="CB438" s="79">
        <f t="shared" si="223"/>
        <v>15</v>
      </c>
      <c r="CC438" s="79" t="str">
        <f t="shared" si="268"/>
        <v>No Aplica</v>
      </c>
      <c r="CD438" s="79" t="s">
        <v>177</v>
      </c>
      <c r="CE438" s="79"/>
      <c r="CF438" s="79"/>
      <c r="CG438" s="83" t="s">
        <v>3129</v>
      </c>
      <c r="CH438" s="41"/>
      <c r="CI438" s="79" t="s">
        <v>153</v>
      </c>
      <c r="CJ438" s="71"/>
      <c r="CK438" s="79">
        <f t="shared" ref="CK438:CK440" si="278">COUNTIF(CL438:CQ438,"*")</f>
        <v>0</v>
      </c>
      <c r="CL438" s="79"/>
      <c r="CM438" s="79"/>
      <c r="CN438" s="79"/>
      <c r="CO438" s="79"/>
      <c r="CP438" s="79"/>
      <c r="CQ438" s="79"/>
      <c r="CR438" s="83" t="s">
        <v>179</v>
      </c>
      <c r="CS438" s="83" t="s">
        <v>179</v>
      </c>
      <c r="CT438" s="83" t="s">
        <v>179</v>
      </c>
      <c r="CU438" s="83" t="s">
        <v>179</v>
      </c>
      <c r="CV438" s="83" t="s">
        <v>179</v>
      </c>
      <c r="CW438" s="83" t="s">
        <v>179</v>
      </c>
      <c r="CX438" s="79" t="s">
        <v>153</v>
      </c>
      <c r="CY438" s="79">
        <f t="shared" si="272"/>
        <v>0</v>
      </c>
      <c r="CZ438" s="79">
        <v>0</v>
      </c>
      <c r="DA438" s="79">
        <f t="shared" si="273"/>
        <v>0</v>
      </c>
      <c r="DB438" s="84" t="str">
        <f t="shared" ref="DB438:DB440" si="279">IFERROR(CY438/CK438,"")</f>
        <v/>
      </c>
      <c r="DC438" s="41"/>
      <c r="DD438" s="79" t="s">
        <v>153</v>
      </c>
      <c r="DE438" s="71"/>
      <c r="DF438" s="85" t="s">
        <v>3130</v>
      </c>
      <c r="DG438" s="79">
        <v>427</v>
      </c>
      <c r="DH438" s="86" t="str">
        <f t="shared" si="261"/>
        <v>Completo</v>
      </c>
      <c r="DI438" s="79" t="s">
        <v>181</v>
      </c>
      <c r="DJ438" s="79" t="s">
        <v>182</v>
      </c>
      <c r="DK438" s="79"/>
      <c r="DL438" s="79">
        <v>0</v>
      </c>
      <c r="DM438" s="79">
        <v>0</v>
      </c>
      <c r="DN438" s="79" t="s">
        <v>182</v>
      </c>
      <c r="DO438" s="79"/>
      <c r="DP438" s="79"/>
      <c r="DQ438" s="79"/>
      <c r="DR438" s="75" t="str">
        <f t="shared" si="276"/>
        <v>No aplica</v>
      </c>
      <c r="DS438" s="79"/>
      <c r="DT438" s="79"/>
      <c r="DU438" s="75" t="str">
        <f t="shared" si="277"/>
        <v>No aplica</v>
      </c>
      <c r="DV438" s="79" t="s">
        <v>182</v>
      </c>
      <c r="DW438" s="79" t="s">
        <v>182</v>
      </c>
      <c r="DX438" s="79"/>
      <c r="DY438" s="79"/>
      <c r="DZ438" s="79"/>
      <c r="EA438" s="79"/>
      <c r="EB438" s="79" t="s">
        <v>182</v>
      </c>
      <c r="EC438" s="79" t="s">
        <v>3131</v>
      </c>
      <c r="ED438" s="79" t="s">
        <v>184</v>
      </c>
      <c r="EE438" s="79" t="str">
        <f t="shared" ref="EE438:EE440" si="280">IF(DI438="Subsanado","Completo","Por Completar")</f>
        <v>Completo</v>
      </c>
      <c r="EF438" s="41"/>
      <c r="EG438" s="79" t="s">
        <v>153</v>
      </c>
      <c r="EH438" s="71"/>
      <c r="EI438" s="80"/>
      <c r="EJ438" s="71"/>
      <c r="EK438" s="79"/>
      <c r="EL438" s="76" t="str">
        <f t="shared" si="242"/>
        <v>No requiere</v>
      </c>
      <c r="EM438" s="76" t="str">
        <f t="shared" si="243"/>
        <v>No requiere</v>
      </c>
      <c r="EN438" s="76" t="str">
        <f t="shared" si="269"/>
        <v>No requiere</v>
      </c>
      <c r="EO438" s="71"/>
      <c r="EP438" s="73" t="str">
        <f t="shared" si="244"/>
        <v>No requiere</v>
      </c>
      <c r="EQ438" s="77" t="str">
        <f t="shared" si="245"/>
        <v>No requiere</v>
      </c>
      <c r="ER438" s="71"/>
      <c r="ES438" s="79"/>
      <c r="ET438" s="73" t="str">
        <f t="shared" si="246"/>
        <v>No requiere</v>
      </c>
      <c r="EU438" s="73" t="str">
        <f t="shared" si="270"/>
        <v>No requiere</v>
      </c>
      <c r="EV438" s="73" t="str">
        <f t="shared" si="247"/>
        <v>No requiere</v>
      </c>
      <c r="EW438" s="73" t="str">
        <f t="shared" si="248"/>
        <v>No requiere</v>
      </c>
      <c r="EX438" s="78"/>
      <c r="EY438" s="78"/>
    </row>
    <row r="439" spans="1:155" ht="46.5" customHeight="1">
      <c r="A439" s="79" t="str">
        <v/>
      </c>
      <c r="B439" s="80" t="s">
        <v>3132</v>
      </c>
      <c r="C439" s="81">
        <v>45427</v>
      </c>
      <c r="D439" s="82">
        <v>0.58333333333333337</v>
      </c>
      <c r="E439" s="79" t="s">
        <v>151</v>
      </c>
      <c r="F439" s="79" t="s">
        <v>152</v>
      </c>
      <c r="G439" s="79" t="s">
        <v>153</v>
      </c>
      <c r="H439" s="79" t="s">
        <v>152</v>
      </c>
      <c r="I439" s="79" t="s">
        <v>152</v>
      </c>
      <c r="J439" s="79" t="s">
        <v>251</v>
      </c>
      <c r="K439" s="79" t="s">
        <v>155</v>
      </c>
      <c r="L439" s="80" t="s">
        <v>3133</v>
      </c>
      <c r="M439" s="80" t="s">
        <v>157</v>
      </c>
      <c r="N439" s="79" t="s">
        <v>422</v>
      </c>
      <c r="O439" s="80" t="str">
        <f t="shared" si="236"/>
        <v>Maria Angélica Higuera, Juan Pablo Serna, Camilo Andrés Vásquez, Nathalia Guzmán Martínez, Luis Fernando Barreto , Manuel Fernando Vergara, María del Pilar Barreto, Paola Andrea González, Paula Andrea González, Nancy Stella Villa , Laura Camila Bechara, Luz Maritza Acero, Yeiker Guerra Sarmiento, Renata Rengifo Moyano, Aida Vanessa Rocha</v>
      </c>
      <c r="P439" s="79" t="s">
        <v>328</v>
      </c>
      <c r="Q439" s="79" t="s">
        <v>818</v>
      </c>
      <c r="R439" s="79" t="s">
        <v>373</v>
      </c>
      <c r="S439" s="79" t="s">
        <v>166</v>
      </c>
      <c r="T439" s="79" t="s">
        <v>720</v>
      </c>
      <c r="U439" s="79" t="s">
        <v>820</v>
      </c>
      <c r="V439" s="79" t="s">
        <v>195</v>
      </c>
      <c r="W439" s="79" t="s">
        <v>924</v>
      </c>
      <c r="X439" s="79" t="s">
        <v>158</v>
      </c>
      <c r="Y439" s="79" t="s">
        <v>1611</v>
      </c>
      <c r="Z439" s="79" t="s">
        <v>887</v>
      </c>
      <c r="AA439" s="79" t="s">
        <v>167</v>
      </c>
      <c r="AB439" s="79" t="s">
        <v>163</v>
      </c>
      <c r="AC439" s="79" t="s">
        <v>1066</v>
      </c>
      <c r="AD439" s="79" t="s">
        <v>801</v>
      </c>
      <c r="AE439" s="79"/>
      <c r="AF439" s="79"/>
      <c r="AG439" s="79"/>
      <c r="AH439" s="79"/>
      <c r="AI439" s="79"/>
      <c r="AJ439" s="79"/>
      <c r="AK439" s="79"/>
      <c r="AL439" s="79"/>
      <c r="AM439" s="79"/>
      <c r="AN439" s="79"/>
      <c r="AO439" s="79" t="s">
        <v>169</v>
      </c>
      <c r="AP439" s="79"/>
      <c r="AQ439" s="80" t="s">
        <v>3134</v>
      </c>
      <c r="AR439" s="83" t="s">
        <v>3135</v>
      </c>
      <c r="AS439" s="80" t="s">
        <v>3136</v>
      </c>
      <c r="AT439" s="80" t="str">
        <f t="shared" si="237"/>
        <v>Distrital</v>
      </c>
      <c r="AU439" s="79" t="s">
        <v>172</v>
      </c>
      <c r="AV439" s="79"/>
      <c r="AW439" s="79"/>
      <c r="AX439" s="79"/>
      <c r="AY439" s="79"/>
      <c r="AZ439" s="79"/>
      <c r="BA439" s="80" t="str">
        <f t="shared" si="238"/>
        <v>Distrital</v>
      </c>
      <c r="BB439" s="79" t="s">
        <v>172</v>
      </c>
      <c r="BC439" s="79"/>
      <c r="BD439" s="79"/>
      <c r="BE439" s="79"/>
      <c r="BF439" s="79"/>
      <c r="BG439" s="79"/>
      <c r="BH439" s="80" t="str">
        <f t="shared" si="239"/>
        <v>Distrital</v>
      </c>
      <c r="BI439" s="79" t="s">
        <v>172</v>
      </c>
      <c r="BJ439" s="79"/>
      <c r="BK439" s="79"/>
      <c r="BL439" s="79"/>
      <c r="BM439" s="79"/>
      <c r="BN439" s="79"/>
      <c r="BO439" s="79"/>
      <c r="BP439" s="79"/>
      <c r="BQ439" s="79"/>
      <c r="BR439" s="79"/>
      <c r="BS439" s="80" t="s">
        <v>3137</v>
      </c>
      <c r="BT439" s="80" t="s">
        <v>174</v>
      </c>
      <c r="BU439" s="80" t="s">
        <v>3138</v>
      </c>
      <c r="BV439" s="71"/>
      <c r="BW439" s="79" t="s">
        <v>152</v>
      </c>
      <c r="BX439" s="79" t="s">
        <v>179</v>
      </c>
      <c r="BY439" s="71"/>
      <c r="BZ439" s="79">
        <v>0</v>
      </c>
      <c r="CA439" s="79">
        <v>5</v>
      </c>
      <c r="CB439" s="79">
        <f t="shared" si="223"/>
        <v>5</v>
      </c>
      <c r="CC439" s="79" t="str">
        <f t="shared" si="268"/>
        <v>No Aplica</v>
      </c>
      <c r="CD439" s="79" t="s">
        <v>177</v>
      </c>
      <c r="CE439" s="79"/>
      <c r="CF439" s="79"/>
      <c r="CG439" s="83" t="s">
        <v>3139</v>
      </c>
      <c r="CH439" s="41"/>
      <c r="CI439" s="79" t="s">
        <v>153</v>
      </c>
      <c r="CJ439" s="71"/>
      <c r="CK439" s="79">
        <f t="shared" si="278"/>
        <v>0</v>
      </c>
      <c r="CL439" s="79"/>
      <c r="CM439" s="79"/>
      <c r="CN439" s="79"/>
      <c r="CO439" s="79"/>
      <c r="CP439" s="79"/>
      <c r="CQ439" s="79"/>
      <c r="CR439" s="83" t="s">
        <v>179</v>
      </c>
      <c r="CS439" s="83" t="s">
        <v>179</v>
      </c>
      <c r="CT439" s="83" t="s">
        <v>179</v>
      </c>
      <c r="CU439" s="83" t="s">
        <v>179</v>
      </c>
      <c r="CV439" s="83" t="s">
        <v>179</v>
      </c>
      <c r="CW439" s="83" t="s">
        <v>179</v>
      </c>
      <c r="CX439" s="79" t="s">
        <v>153</v>
      </c>
      <c r="CY439" s="79">
        <f t="shared" si="272"/>
        <v>0</v>
      </c>
      <c r="CZ439" s="79">
        <v>0</v>
      </c>
      <c r="DA439" s="79">
        <f t="shared" si="273"/>
        <v>0</v>
      </c>
      <c r="DB439" s="84" t="str">
        <f t="shared" si="279"/>
        <v/>
      </c>
      <c r="DC439" s="41"/>
      <c r="DD439" s="79" t="s">
        <v>153</v>
      </c>
      <c r="DE439" s="71"/>
      <c r="DF439" s="85" t="s">
        <v>3140</v>
      </c>
      <c r="DG439" s="79">
        <v>428</v>
      </c>
      <c r="DH439" s="86" t="str">
        <f t="shared" si="261"/>
        <v>Completo</v>
      </c>
      <c r="DI439" s="79" t="s">
        <v>181</v>
      </c>
      <c r="DJ439" s="79" t="s">
        <v>182</v>
      </c>
      <c r="DK439" s="79"/>
      <c r="DL439" s="79">
        <v>0</v>
      </c>
      <c r="DM439" s="79">
        <v>0</v>
      </c>
      <c r="DN439" s="79" t="s">
        <v>182</v>
      </c>
      <c r="DO439" s="79"/>
      <c r="DP439" s="79"/>
      <c r="DQ439" s="79"/>
      <c r="DR439" s="75" t="str">
        <f t="shared" si="276"/>
        <v>No aplica</v>
      </c>
      <c r="DS439" s="79"/>
      <c r="DT439" s="79"/>
      <c r="DU439" s="75" t="str">
        <f t="shared" si="277"/>
        <v>No aplica</v>
      </c>
      <c r="DV439" s="79" t="s">
        <v>182</v>
      </c>
      <c r="DW439" s="79" t="s">
        <v>182</v>
      </c>
      <c r="DX439" s="79"/>
      <c r="DY439" s="79"/>
      <c r="DZ439" s="79"/>
      <c r="EA439" s="79"/>
      <c r="EB439" s="79"/>
      <c r="EC439" s="79"/>
      <c r="ED439" s="79" t="s">
        <v>3141</v>
      </c>
      <c r="EE439" s="79" t="str">
        <f t="shared" si="280"/>
        <v>Completo</v>
      </c>
      <c r="EF439" s="41"/>
      <c r="EG439" s="79" t="s">
        <v>153</v>
      </c>
      <c r="EH439" s="71"/>
      <c r="EI439" s="80"/>
      <c r="EJ439" s="71"/>
      <c r="EK439" s="79"/>
      <c r="EL439" s="76" t="str">
        <f t="shared" si="242"/>
        <v>No requiere</v>
      </c>
      <c r="EM439" s="76" t="str">
        <f t="shared" si="243"/>
        <v>No requiere</v>
      </c>
      <c r="EN439" s="76" t="str">
        <f t="shared" si="269"/>
        <v>No requiere</v>
      </c>
      <c r="EO439" s="71"/>
      <c r="EP439" s="73" t="str">
        <f t="shared" si="244"/>
        <v>No requiere</v>
      </c>
      <c r="EQ439" s="77" t="str">
        <f t="shared" si="245"/>
        <v>No requiere</v>
      </c>
      <c r="ER439" s="71"/>
      <c r="ES439" s="79"/>
      <c r="ET439" s="73" t="str">
        <f t="shared" si="246"/>
        <v>No requiere</v>
      </c>
      <c r="EU439" s="73" t="str">
        <f t="shared" si="270"/>
        <v>No requiere</v>
      </c>
      <c r="EV439" s="73" t="str">
        <f t="shared" si="247"/>
        <v>No requiere</v>
      </c>
      <c r="EW439" s="73" t="str">
        <f t="shared" si="248"/>
        <v>No requiere</v>
      </c>
      <c r="EX439" s="78"/>
      <c r="EY439" s="78"/>
    </row>
    <row r="440" spans="1:155" ht="46.5" customHeight="1">
      <c r="A440" s="79" t="str">
        <v/>
      </c>
      <c r="B440" s="80" t="s">
        <v>3142</v>
      </c>
      <c r="C440" s="81">
        <v>45427</v>
      </c>
      <c r="D440" s="82">
        <v>0.58333333333333337</v>
      </c>
      <c r="E440" s="79" t="s">
        <v>151</v>
      </c>
      <c r="F440" s="79" t="s">
        <v>152</v>
      </c>
      <c r="G440" s="79" t="s">
        <v>153</v>
      </c>
      <c r="H440" s="79" t="s">
        <v>152</v>
      </c>
      <c r="I440" s="79" t="s">
        <v>152</v>
      </c>
      <c r="J440" s="79" t="s">
        <v>251</v>
      </c>
      <c r="K440" s="79" t="s">
        <v>202</v>
      </c>
      <c r="L440" s="80" t="s">
        <v>3143</v>
      </c>
      <c r="M440" s="80" t="s">
        <v>157</v>
      </c>
      <c r="N440" s="79" t="s">
        <v>328</v>
      </c>
      <c r="O440" s="80" t="str">
        <f t="shared" si="236"/>
        <v/>
      </c>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t="s">
        <v>169</v>
      </c>
      <c r="AP440" s="79"/>
      <c r="AQ440" s="80" t="s">
        <v>3144</v>
      </c>
      <c r="AR440" s="83" t="s">
        <v>3145</v>
      </c>
      <c r="AS440" s="80" t="s">
        <v>3146</v>
      </c>
      <c r="AT440" s="80" t="str">
        <f t="shared" si="237"/>
        <v>Distrital</v>
      </c>
      <c r="AU440" s="79" t="s">
        <v>172</v>
      </c>
      <c r="AV440" s="79"/>
      <c r="AW440" s="79"/>
      <c r="AX440" s="79"/>
      <c r="AY440" s="79"/>
      <c r="AZ440" s="79"/>
      <c r="BA440" s="80" t="str">
        <f t="shared" si="238"/>
        <v>Distrital</v>
      </c>
      <c r="BB440" s="79" t="s">
        <v>172</v>
      </c>
      <c r="BC440" s="79"/>
      <c r="BD440" s="79"/>
      <c r="BE440" s="79"/>
      <c r="BF440" s="79"/>
      <c r="BG440" s="79"/>
      <c r="BH440" s="80" t="str">
        <f t="shared" si="239"/>
        <v>Distrital</v>
      </c>
      <c r="BI440" s="79" t="s">
        <v>172</v>
      </c>
      <c r="BJ440" s="79"/>
      <c r="BK440" s="79"/>
      <c r="BL440" s="79"/>
      <c r="BM440" s="79"/>
      <c r="BN440" s="79"/>
      <c r="BO440" s="79"/>
      <c r="BP440" s="79"/>
      <c r="BQ440" s="79"/>
      <c r="BR440" s="79"/>
      <c r="BS440" s="80" t="s">
        <v>288</v>
      </c>
      <c r="BT440" s="80" t="s">
        <v>174</v>
      </c>
      <c r="BU440" s="89" t="s">
        <v>3147</v>
      </c>
      <c r="BV440" s="71"/>
      <c r="BW440" s="79" t="s">
        <v>152</v>
      </c>
      <c r="BX440" s="79" t="s">
        <v>179</v>
      </c>
      <c r="BY440" s="71"/>
      <c r="BZ440" s="79">
        <v>0</v>
      </c>
      <c r="CA440" s="79">
        <v>11</v>
      </c>
      <c r="CB440" s="79">
        <f t="shared" si="223"/>
        <v>11</v>
      </c>
      <c r="CC440" s="79" t="str">
        <f t="shared" si="268"/>
        <v>No Aplica</v>
      </c>
      <c r="CD440" s="79" t="s">
        <v>177</v>
      </c>
      <c r="CE440" s="79"/>
      <c r="CF440" s="79"/>
      <c r="CG440" s="83" t="s">
        <v>3148</v>
      </c>
      <c r="CH440" s="41"/>
      <c r="CI440" s="79" t="s">
        <v>153</v>
      </c>
      <c r="CJ440" s="71"/>
      <c r="CK440" s="79">
        <f t="shared" si="278"/>
        <v>0</v>
      </c>
      <c r="CL440" s="79"/>
      <c r="CM440" s="79"/>
      <c r="CN440" s="79"/>
      <c r="CO440" s="79"/>
      <c r="CP440" s="79"/>
      <c r="CQ440" s="79"/>
      <c r="CR440" s="83" t="s">
        <v>179</v>
      </c>
      <c r="CS440" s="83" t="s">
        <v>179</v>
      </c>
      <c r="CT440" s="83" t="s">
        <v>179</v>
      </c>
      <c r="CU440" s="83" t="s">
        <v>179</v>
      </c>
      <c r="CV440" s="83" t="s">
        <v>179</v>
      </c>
      <c r="CW440" s="83" t="s">
        <v>179</v>
      </c>
      <c r="CX440" s="79" t="s">
        <v>153</v>
      </c>
      <c r="CY440" s="79">
        <f t="shared" si="272"/>
        <v>0</v>
      </c>
      <c r="CZ440" s="79">
        <v>0</v>
      </c>
      <c r="DA440" s="79">
        <f t="shared" si="273"/>
        <v>0</v>
      </c>
      <c r="DB440" s="84" t="str">
        <f t="shared" si="279"/>
        <v/>
      </c>
      <c r="DC440" s="41"/>
      <c r="DD440" s="79" t="s">
        <v>153</v>
      </c>
      <c r="DE440" s="71"/>
      <c r="DF440" s="85" t="s">
        <v>3149</v>
      </c>
      <c r="DG440" s="79">
        <v>429</v>
      </c>
      <c r="DH440" s="86" t="str">
        <f t="shared" si="261"/>
        <v>Completo</v>
      </c>
      <c r="DI440" s="79" t="s">
        <v>181</v>
      </c>
      <c r="DJ440" s="79" t="s">
        <v>182</v>
      </c>
      <c r="DK440" s="79"/>
      <c r="DL440" s="79">
        <v>0</v>
      </c>
      <c r="DM440" s="79">
        <v>0</v>
      </c>
      <c r="DN440" s="79"/>
      <c r="DO440" s="79"/>
      <c r="DP440" s="79"/>
      <c r="DQ440" s="79"/>
      <c r="DR440" s="75" t="str">
        <f t="shared" si="276"/>
        <v>No aplica</v>
      </c>
      <c r="DS440" s="79"/>
      <c r="DT440" s="79"/>
      <c r="DU440" s="75" t="str">
        <f t="shared" si="277"/>
        <v>No aplica</v>
      </c>
      <c r="DV440" s="79" t="s">
        <v>182</v>
      </c>
      <c r="DW440" s="79" t="s">
        <v>182</v>
      </c>
      <c r="DX440" s="79"/>
      <c r="DY440" s="79"/>
      <c r="DZ440" s="79"/>
      <c r="EA440" s="79"/>
      <c r="EB440" s="79"/>
      <c r="EC440" s="79"/>
      <c r="ED440" s="79" t="s">
        <v>3150</v>
      </c>
      <c r="EE440" s="79" t="str">
        <f t="shared" si="280"/>
        <v>Completo</v>
      </c>
      <c r="EF440" s="41"/>
      <c r="EG440" s="79" t="s">
        <v>153</v>
      </c>
      <c r="EH440" s="71"/>
      <c r="EI440" s="80"/>
      <c r="EJ440" s="71"/>
      <c r="EK440" s="79"/>
      <c r="EL440" s="76" t="str">
        <f t="shared" si="242"/>
        <v>No requiere</v>
      </c>
      <c r="EM440" s="76" t="str">
        <f t="shared" si="243"/>
        <v>No requiere</v>
      </c>
      <c r="EN440" s="76" t="str">
        <f t="shared" si="269"/>
        <v>No requiere</v>
      </c>
      <c r="EO440" s="71"/>
      <c r="EP440" s="73" t="str">
        <f t="shared" si="244"/>
        <v>No requiere</v>
      </c>
      <c r="EQ440" s="77" t="str">
        <f t="shared" si="245"/>
        <v>No requiere</v>
      </c>
      <c r="ER440" s="71"/>
      <c r="ES440" s="79"/>
      <c r="ET440" s="73" t="str">
        <f t="shared" si="246"/>
        <v>No requiere</v>
      </c>
      <c r="EU440" s="73" t="str">
        <f t="shared" si="270"/>
        <v>No requiere</v>
      </c>
      <c r="EV440" s="73" t="str">
        <f t="shared" si="247"/>
        <v>No requiere</v>
      </c>
      <c r="EW440" s="73" t="str">
        <f t="shared" si="248"/>
        <v>No requiere</v>
      </c>
      <c r="EX440" s="78"/>
      <c r="EY440" s="78"/>
    </row>
    <row r="441" spans="1:155" ht="46.5" customHeight="1">
      <c r="A441" s="79">
        <v>437</v>
      </c>
      <c r="B441" s="80" t="s">
        <v>2679</v>
      </c>
      <c r="C441" s="81">
        <v>45427</v>
      </c>
      <c r="D441" s="82">
        <v>0.70833333333333337</v>
      </c>
      <c r="E441" s="79" t="s">
        <v>200</v>
      </c>
      <c r="F441" s="79" t="s">
        <v>153</v>
      </c>
      <c r="G441" s="79" t="s">
        <v>152</v>
      </c>
      <c r="H441" s="79" t="s">
        <v>152</v>
      </c>
      <c r="I441" s="79" t="s">
        <v>152</v>
      </c>
      <c r="J441" s="79" t="s">
        <v>211</v>
      </c>
      <c r="K441" s="79" t="s">
        <v>202</v>
      </c>
      <c r="L441" s="80" t="s">
        <v>3151</v>
      </c>
      <c r="M441" s="80" t="s">
        <v>624</v>
      </c>
      <c r="N441" s="79" t="s">
        <v>522</v>
      </c>
      <c r="O441" s="80" t="str">
        <f t="shared" si="236"/>
        <v/>
      </c>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t="s">
        <v>230</v>
      </c>
      <c r="AP441" s="79" t="s">
        <v>242</v>
      </c>
      <c r="AQ441" s="80" t="s">
        <v>3152</v>
      </c>
      <c r="AR441" s="83">
        <v>3013090210</v>
      </c>
      <c r="AS441" s="80" t="s">
        <v>1042</v>
      </c>
      <c r="AT441" s="80" t="str">
        <f t="shared" si="237"/>
        <v>Distrital</v>
      </c>
      <c r="AU441" s="79" t="s">
        <v>172</v>
      </c>
      <c r="AV441" s="79"/>
      <c r="AW441" s="79"/>
      <c r="AX441" s="79"/>
      <c r="AY441" s="79"/>
      <c r="AZ441" s="79"/>
      <c r="BA441" s="80" t="str">
        <f t="shared" si="238"/>
        <v>Distrital</v>
      </c>
      <c r="BB441" s="79" t="s">
        <v>172</v>
      </c>
      <c r="BC441" s="79"/>
      <c r="BD441" s="79"/>
      <c r="BE441" s="79"/>
      <c r="BF441" s="79"/>
      <c r="BG441" s="79"/>
      <c r="BH441" s="80" t="str">
        <f t="shared" si="239"/>
        <v>Distrital</v>
      </c>
      <c r="BI441" s="79" t="s">
        <v>172</v>
      </c>
      <c r="BJ441" s="79"/>
      <c r="BK441" s="79"/>
      <c r="BL441" s="79"/>
      <c r="BM441" s="79"/>
      <c r="BN441" s="79"/>
      <c r="BO441" s="79"/>
      <c r="BP441" s="79"/>
      <c r="BQ441" s="79"/>
      <c r="BR441" s="79"/>
      <c r="BS441" s="80" t="s">
        <v>288</v>
      </c>
      <c r="BT441" s="80" t="s">
        <v>174</v>
      </c>
      <c r="BU441" s="80" t="s">
        <v>3153</v>
      </c>
      <c r="BV441" s="71"/>
      <c r="BW441" s="79" t="s">
        <v>152</v>
      </c>
      <c r="BX441" s="79" t="s">
        <v>179</v>
      </c>
      <c r="BY441" s="71"/>
      <c r="BZ441" s="79">
        <v>10</v>
      </c>
      <c r="CA441" s="79">
        <v>1</v>
      </c>
      <c r="CB441" s="79">
        <v>0</v>
      </c>
      <c r="CC441" s="79" t="str">
        <f t="shared" si="268"/>
        <v>No Aplica</v>
      </c>
      <c r="CD441" s="79" t="s">
        <v>177</v>
      </c>
      <c r="CE441" s="79"/>
      <c r="CF441" s="79"/>
      <c r="CG441" s="83" t="s">
        <v>3154</v>
      </c>
      <c r="CH441" s="41"/>
      <c r="CI441" s="79" t="s">
        <v>153</v>
      </c>
      <c r="CJ441" s="71"/>
      <c r="CK441" s="79">
        <v>0</v>
      </c>
      <c r="CL441" s="79"/>
      <c r="CM441" s="79"/>
      <c r="CN441" s="79"/>
      <c r="CO441" s="79"/>
      <c r="CP441" s="79"/>
      <c r="CQ441" s="79"/>
      <c r="CR441" s="83" t="s">
        <v>179</v>
      </c>
      <c r="CS441" s="83" t="s">
        <v>179</v>
      </c>
      <c r="CT441" s="83" t="s">
        <v>179</v>
      </c>
      <c r="CU441" s="83" t="s">
        <v>179</v>
      </c>
      <c r="CV441" s="83" t="s">
        <v>179</v>
      </c>
      <c r="CW441" s="83" t="s">
        <v>179</v>
      </c>
      <c r="CX441" s="79" t="s">
        <v>153</v>
      </c>
      <c r="CY441" s="79">
        <v>0</v>
      </c>
      <c r="CZ441" s="79">
        <v>0</v>
      </c>
      <c r="DA441" s="79">
        <v>0</v>
      </c>
      <c r="DB441" s="84" t="s">
        <v>316</v>
      </c>
      <c r="DC441" s="41"/>
      <c r="DD441" s="79" t="s">
        <v>153</v>
      </c>
      <c r="DE441" s="71"/>
      <c r="DF441" s="85" t="s">
        <v>3155</v>
      </c>
      <c r="DG441" s="79">
        <v>430</v>
      </c>
      <c r="DH441" s="86">
        <v>45429</v>
      </c>
      <c r="DI441" s="79" t="s">
        <v>181</v>
      </c>
      <c r="DJ441" s="79" t="s">
        <v>182</v>
      </c>
      <c r="DK441" s="79"/>
      <c r="DL441" s="79">
        <v>0</v>
      </c>
      <c r="DM441" s="79">
        <v>0</v>
      </c>
      <c r="DN441" s="79" t="s">
        <v>182</v>
      </c>
      <c r="DO441" s="79"/>
      <c r="DP441" s="79"/>
      <c r="DQ441" s="79"/>
      <c r="DR441" s="75" t="str">
        <f t="shared" si="276"/>
        <v>No aplica</v>
      </c>
      <c r="DS441" s="79"/>
      <c r="DT441" s="79"/>
      <c r="DU441" s="75" t="str">
        <f t="shared" si="277"/>
        <v>No aplica</v>
      </c>
      <c r="DV441" s="79" t="s">
        <v>182</v>
      </c>
      <c r="DW441" s="79" t="s">
        <v>182</v>
      </c>
      <c r="DX441" s="79"/>
      <c r="DY441" s="79"/>
      <c r="DZ441" s="79"/>
      <c r="EA441" s="79"/>
      <c r="EB441" s="79"/>
      <c r="EC441" s="79"/>
      <c r="ED441" s="79" t="s">
        <v>184</v>
      </c>
      <c r="EE441" s="79" t="s">
        <v>621</v>
      </c>
      <c r="EF441" s="41"/>
      <c r="EG441" s="79" t="s">
        <v>153</v>
      </c>
      <c r="EH441" s="71"/>
      <c r="EI441" s="80"/>
      <c r="EJ441" s="71"/>
      <c r="EK441" s="79"/>
      <c r="EL441" s="76" t="str">
        <f t="shared" si="242"/>
        <v>No requiere</v>
      </c>
      <c r="EM441" s="76" t="str">
        <f t="shared" si="243"/>
        <v>No requiere</v>
      </c>
      <c r="EN441" s="76" t="str">
        <f t="shared" si="269"/>
        <v>No requiere</v>
      </c>
      <c r="EO441" s="71"/>
      <c r="EP441" s="73" t="str">
        <f t="shared" si="244"/>
        <v>No requiere</v>
      </c>
      <c r="EQ441" s="77" t="str">
        <f t="shared" si="245"/>
        <v>No requiere</v>
      </c>
      <c r="ER441" s="71"/>
      <c r="ES441" s="79"/>
      <c r="ET441" s="73" t="str">
        <f t="shared" si="246"/>
        <v>No requiere</v>
      </c>
      <c r="EU441" s="73" t="str">
        <f t="shared" si="270"/>
        <v>No requiere</v>
      </c>
      <c r="EV441" s="73" t="str">
        <f t="shared" si="247"/>
        <v>No requiere</v>
      </c>
      <c r="EW441" s="73" t="str">
        <f t="shared" si="248"/>
        <v>No requiere</v>
      </c>
      <c r="EX441" s="78"/>
      <c r="EY441" s="78"/>
    </row>
    <row r="442" spans="1:155" ht="46.5" customHeight="1">
      <c r="A442" s="79" t="str">
        <v/>
      </c>
      <c r="B442" s="80" t="s">
        <v>3156</v>
      </c>
      <c r="C442" s="81">
        <v>45427</v>
      </c>
      <c r="D442" s="82">
        <v>0.72916666666666663</v>
      </c>
      <c r="E442" s="79" t="s">
        <v>151</v>
      </c>
      <c r="F442" s="79" t="s">
        <v>152</v>
      </c>
      <c r="G442" s="79" t="s">
        <v>153</v>
      </c>
      <c r="H442" s="79" t="s">
        <v>152</v>
      </c>
      <c r="I442" s="79" t="s">
        <v>152</v>
      </c>
      <c r="J442" s="79" t="s">
        <v>251</v>
      </c>
      <c r="K442" s="79" t="s">
        <v>202</v>
      </c>
      <c r="L442" s="80" t="s">
        <v>3157</v>
      </c>
      <c r="M442" s="80" t="s">
        <v>229</v>
      </c>
      <c r="N442" s="79" t="s">
        <v>373</v>
      </c>
      <c r="O442" s="80" t="str">
        <f t="shared" si="236"/>
        <v/>
      </c>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t="s">
        <v>169</v>
      </c>
      <c r="AP442" s="79" t="s">
        <v>170</v>
      </c>
      <c r="AQ442" s="80" t="s">
        <v>171</v>
      </c>
      <c r="AR442" s="83" t="s">
        <v>171</v>
      </c>
      <c r="AS442" s="80" t="s">
        <v>171</v>
      </c>
      <c r="AT442" s="80" t="str">
        <f t="shared" si="237"/>
        <v>Distrital</v>
      </c>
      <c r="AU442" s="79" t="s">
        <v>172</v>
      </c>
      <c r="AV442" s="79"/>
      <c r="AW442" s="79"/>
      <c r="AX442" s="79"/>
      <c r="AY442" s="79"/>
      <c r="AZ442" s="79"/>
      <c r="BA442" s="80" t="str">
        <f t="shared" si="238"/>
        <v>Distrital</v>
      </c>
      <c r="BB442" s="79" t="s">
        <v>172</v>
      </c>
      <c r="BC442" s="79"/>
      <c r="BD442" s="79"/>
      <c r="BE442" s="79"/>
      <c r="BF442" s="79"/>
      <c r="BG442" s="79"/>
      <c r="BH442" s="80" t="str">
        <f t="shared" si="239"/>
        <v>Distrital</v>
      </c>
      <c r="BI442" s="79" t="s">
        <v>172</v>
      </c>
      <c r="BJ442" s="79"/>
      <c r="BK442" s="79"/>
      <c r="BL442" s="79"/>
      <c r="BM442" s="79"/>
      <c r="BN442" s="79"/>
      <c r="BO442" s="79"/>
      <c r="BP442" s="79"/>
      <c r="BQ442" s="79"/>
      <c r="BR442" s="79"/>
      <c r="BS442" s="80" t="s">
        <v>3137</v>
      </c>
      <c r="BT442" s="80" t="s">
        <v>174</v>
      </c>
      <c r="BU442" s="89" t="s">
        <v>3158</v>
      </c>
      <c r="BV442" s="71"/>
      <c r="BW442" s="79" t="s">
        <v>152</v>
      </c>
      <c r="BX442" s="79" t="s">
        <v>179</v>
      </c>
      <c r="BY442" s="71"/>
      <c r="BZ442" s="79">
        <v>0</v>
      </c>
      <c r="CA442" s="79">
        <v>23</v>
      </c>
      <c r="CB442" s="79">
        <f t="shared" ref="CB442:CB935" si="281">BZ442+CA442</f>
        <v>23</v>
      </c>
      <c r="CC442" s="79" t="str">
        <f t="shared" si="268"/>
        <v>No Aplica</v>
      </c>
      <c r="CD442" s="79" t="s">
        <v>177</v>
      </c>
      <c r="CE442" s="79"/>
      <c r="CF442" s="79"/>
      <c r="CG442" s="83" t="s">
        <v>3159</v>
      </c>
      <c r="CH442" s="41"/>
      <c r="CI442" s="79" t="s">
        <v>153</v>
      </c>
      <c r="CJ442" s="71"/>
      <c r="CK442" s="79">
        <f t="shared" ref="CK442:CK446" si="282">COUNTIF(CL442:CQ442,"*")</f>
        <v>0</v>
      </c>
      <c r="CL442" s="79"/>
      <c r="CM442" s="79"/>
      <c r="CN442" s="79"/>
      <c r="CO442" s="79"/>
      <c r="CP442" s="79"/>
      <c r="CQ442" s="79"/>
      <c r="CR442" s="83" t="s">
        <v>179</v>
      </c>
      <c r="CS442" s="83" t="s">
        <v>179</v>
      </c>
      <c r="CT442" s="83" t="s">
        <v>179</v>
      </c>
      <c r="CU442" s="83" t="s">
        <v>179</v>
      </c>
      <c r="CV442" s="83" t="s">
        <v>179</v>
      </c>
      <c r="CW442" s="83" t="s">
        <v>179</v>
      </c>
      <c r="CX442" s="79" t="s">
        <v>153</v>
      </c>
      <c r="CY442" s="79">
        <f t="shared" ref="CY442:CY446" si="283">SUM(COUNTIF(CR442:CW442,"Realizado y Devuelto a la Ciudadanía"),COUNTIF(CR442:CW442,"Realizado y Trasladado por competencia"), COUNTIF(CR442:CW442,"Realizado y Gestionado"))</f>
        <v>0</v>
      </c>
      <c r="CZ442" s="79">
        <v>0</v>
      </c>
      <c r="DA442" s="79">
        <f t="shared" ref="DA442:DA446" si="284">COUNTIF(CR442:CW442,"Realizado y Devuelto a la Ciudadanía")</f>
        <v>0</v>
      </c>
      <c r="DB442" s="84" t="str">
        <f t="shared" ref="DB442:DB446" si="285">IFERROR(CY442/CK442,"")</f>
        <v/>
      </c>
      <c r="DC442" s="41"/>
      <c r="DD442" s="79" t="s">
        <v>153</v>
      </c>
      <c r="DE442" s="71"/>
      <c r="DF442" s="85" t="s">
        <v>3160</v>
      </c>
      <c r="DG442" s="79">
        <v>431</v>
      </c>
      <c r="DH442" s="86" t="str">
        <f t="shared" ref="DH442:DH479" si="286">IF(EE442="Por completar",C442+3,"Completo")</f>
        <v>Completo</v>
      </c>
      <c r="DI442" s="79" t="s">
        <v>181</v>
      </c>
      <c r="DJ442" s="79" t="s">
        <v>182</v>
      </c>
      <c r="DK442" s="79"/>
      <c r="DL442" s="79">
        <v>0</v>
      </c>
      <c r="DM442" s="79">
        <v>0</v>
      </c>
      <c r="DN442" s="79" t="s">
        <v>182</v>
      </c>
      <c r="DO442" s="79"/>
      <c r="DP442" s="79"/>
      <c r="DQ442" s="79"/>
      <c r="DR442" s="75" t="str">
        <f t="shared" si="276"/>
        <v>No aplica</v>
      </c>
      <c r="DS442" s="79"/>
      <c r="DT442" s="79"/>
      <c r="DU442" s="75" t="str">
        <f t="shared" si="277"/>
        <v>No aplica</v>
      </c>
      <c r="DV442" s="79" t="s">
        <v>182</v>
      </c>
      <c r="DW442" s="79" t="s">
        <v>182</v>
      </c>
      <c r="DX442" s="79"/>
      <c r="DY442" s="79"/>
      <c r="DZ442" s="79"/>
      <c r="EA442" s="79"/>
      <c r="EB442" s="79"/>
      <c r="EC442" s="79"/>
      <c r="ED442" s="79" t="s">
        <v>3161</v>
      </c>
      <c r="EE442" s="79" t="str">
        <f>IF(DI442="Subsanado","Completo","Por Completar")</f>
        <v>Completo</v>
      </c>
      <c r="EF442" s="41"/>
      <c r="EG442" s="79" t="s">
        <v>153</v>
      </c>
      <c r="EH442" s="71"/>
      <c r="EI442" s="80"/>
      <c r="EJ442" s="71"/>
      <c r="EK442" s="79"/>
      <c r="EL442" s="76" t="str">
        <f t="shared" si="242"/>
        <v>No requiere</v>
      </c>
      <c r="EM442" s="76" t="str">
        <f t="shared" si="243"/>
        <v>No requiere</v>
      </c>
      <c r="EN442" s="76" t="str">
        <f t="shared" si="269"/>
        <v>No requiere</v>
      </c>
      <c r="EO442" s="71"/>
      <c r="EP442" s="73" t="str">
        <f t="shared" si="244"/>
        <v>No requiere</v>
      </c>
      <c r="EQ442" s="77" t="str">
        <f t="shared" si="245"/>
        <v>No requiere</v>
      </c>
      <c r="ER442" s="71"/>
      <c r="ES442" s="79"/>
      <c r="ET442" s="73" t="str">
        <f t="shared" si="246"/>
        <v>No requiere</v>
      </c>
      <c r="EU442" s="73" t="str">
        <f t="shared" si="270"/>
        <v>No requiere</v>
      </c>
      <c r="EV442" s="73" t="str">
        <f t="shared" si="247"/>
        <v>No requiere</v>
      </c>
      <c r="EW442" s="73" t="str">
        <f t="shared" si="248"/>
        <v>No requiere</v>
      </c>
      <c r="EX442" s="78"/>
      <c r="EY442" s="78"/>
    </row>
    <row r="443" spans="1:155" ht="46.5" customHeight="1">
      <c r="A443" s="79">
        <v>439</v>
      </c>
      <c r="B443" s="80" t="s">
        <v>3162</v>
      </c>
      <c r="C443" s="81">
        <v>45428</v>
      </c>
      <c r="D443" s="82">
        <v>0.33333333333333331</v>
      </c>
      <c r="E443" s="79" t="s">
        <v>151</v>
      </c>
      <c r="F443" s="79" t="s">
        <v>153</v>
      </c>
      <c r="G443" s="79" t="s">
        <v>153</v>
      </c>
      <c r="H443" s="79" t="s">
        <v>153</v>
      </c>
      <c r="I443" s="79" t="s">
        <v>152</v>
      </c>
      <c r="J443" s="79" t="s">
        <v>154</v>
      </c>
      <c r="K443" s="79" t="s">
        <v>155</v>
      </c>
      <c r="L443" s="80" t="s">
        <v>2596</v>
      </c>
      <c r="M443" s="80" t="s">
        <v>303</v>
      </c>
      <c r="N443" s="79" t="s">
        <v>166</v>
      </c>
      <c r="O443" s="80" t="str">
        <f t="shared" si="236"/>
        <v>César Augusto Barrantes, Reinaldo Terrios Andrade</v>
      </c>
      <c r="P443" s="79" t="s">
        <v>729</v>
      </c>
      <c r="Q443" s="79" t="s">
        <v>675</v>
      </c>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t="s">
        <v>169</v>
      </c>
      <c r="AP443" s="79" t="s">
        <v>475</v>
      </c>
      <c r="AQ443" s="80" t="s">
        <v>3120</v>
      </c>
      <c r="AR443" s="83" t="s">
        <v>171</v>
      </c>
      <c r="AS443" s="80" t="s">
        <v>171</v>
      </c>
      <c r="AT443" s="80" t="str">
        <f t="shared" si="237"/>
        <v>Distrital</v>
      </c>
      <c r="AU443" s="79" t="s">
        <v>172</v>
      </c>
      <c r="AV443" s="79"/>
      <c r="AW443" s="79"/>
      <c r="AX443" s="79"/>
      <c r="AY443" s="79"/>
      <c r="AZ443" s="79"/>
      <c r="BA443" s="80" t="str">
        <f t="shared" si="238"/>
        <v>Distrital</v>
      </c>
      <c r="BB443" s="79" t="s">
        <v>172</v>
      </c>
      <c r="BC443" s="79"/>
      <c r="BD443" s="79"/>
      <c r="BE443" s="79"/>
      <c r="BF443" s="79"/>
      <c r="BG443" s="79"/>
      <c r="BH443" s="80" t="str">
        <f t="shared" si="239"/>
        <v>Distrital</v>
      </c>
      <c r="BI443" s="79" t="s">
        <v>172</v>
      </c>
      <c r="BJ443" s="79"/>
      <c r="BK443" s="79"/>
      <c r="BL443" s="79"/>
      <c r="BM443" s="79"/>
      <c r="BN443" s="79"/>
      <c r="BO443" s="79"/>
      <c r="BP443" s="79"/>
      <c r="BQ443" s="79"/>
      <c r="BR443" s="79"/>
      <c r="BS443" s="80" t="s">
        <v>2598</v>
      </c>
      <c r="BT443" s="80" t="s">
        <v>3163</v>
      </c>
      <c r="BU443" s="80" t="s">
        <v>2599</v>
      </c>
      <c r="BV443" s="71"/>
      <c r="BW443" s="79" t="s">
        <v>153</v>
      </c>
      <c r="BX443" s="79" t="s">
        <v>2600</v>
      </c>
      <c r="BY443" s="71"/>
      <c r="BZ443" s="79">
        <v>6</v>
      </c>
      <c r="CA443" s="79">
        <v>4</v>
      </c>
      <c r="CB443" s="79">
        <f t="shared" si="281"/>
        <v>10</v>
      </c>
      <c r="CC443" s="79" t="str">
        <f t="shared" si="268"/>
        <v>Horarios Acordes</v>
      </c>
      <c r="CD443" s="79" t="s">
        <v>351</v>
      </c>
      <c r="CE443" s="79"/>
      <c r="CF443" s="79"/>
      <c r="CG443" s="83" t="s">
        <v>3121</v>
      </c>
      <c r="CH443" s="41"/>
      <c r="CI443" s="79" t="s">
        <v>153</v>
      </c>
      <c r="CJ443" s="71"/>
      <c r="CK443" s="79">
        <v>1</v>
      </c>
      <c r="CL443" s="79" t="s">
        <v>3164</v>
      </c>
      <c r="CM443" s="79"/>
      <c r="CN443" s="79"/>
      <c r="CO443" s="79"/>
      <c r="CP443" s="79"/>
      <c r="CQ443" s="79"/>
      <c r="CR443" s="83" t="s">
        <v>390</v>
      </c>
      <c r="CS443" s="83" t="s">
        <v>179</v>
      </c>
      <c r="CT443" s="83" t="s">
        <v>179</v>
      </c>
      <c r="CU443" s="83" t="s">
        <v>179</v>
      </c>
      <c r="CV443" s="83" t="s">
        <v>179</v>
      </c>
      <c r="CW443" s="83" t="s">
        <v>179</v>
      </c>
      <c r="CX443" s="79" t="s">
        <v>153</v>
      </c>
      <c r="CY443" s="79">
        <f t="shared" si="283"/>
        <v>1</v>
      </c>
      <c r="CZ443" s="79">
        <v>0</v>
      </c>
      <c r="DA443" s="79">
        <f t="shared" si="284"/>
        <v>1</v>
      </c>
      <c r="DB443" s="84">
        <f t="shared" si="285"/>
        <v>1</v>
      </c>
      <c r="DC443" s="41"/>
      <c r="DD443" s="79" t="s">
        <v>152</v>
      </c>
      <c r="DE443" s="71"/>
      <c r="DF443" s="85" t="s">
        <v>3165</v>
      </c>
      <c r="DG443" s="79">
        <v>432</v>
      </c>
      <c r="DH443" s="86" t="str">
        <f t="shared" si="286"/>
        <v>Completo</v>
      </c>
      <c r="DI443" s="79" t="s">
        <v>181</v>
      </c>
      <c r="DJ443" s="79" t="s">
        <v>182</v>
      </c>
      <c r="DK443" s="79" t="s">
        <v>153</v>
      </c>
      <c r="DL443" s="79">
        <v>0</v>
      </c>
      <c r="DM443" s="79">
        <v>0</v>
      </c>
      <c r="DN443" s="79" t="s">
        <v>182</v>
      </c>
      <c r="DO443" s="79" t="s">
        <v>179</v>
      </c>
      <c r="DP443" s="79" t="s">
        <v>191</v>
      </c>
      <c r="DQ443" s="79">
        <v>0</v>
      </c>
      <c r="DR443" s="75">
        <f t="shared" si="276"/>
        <v>0</v>
      </c>
      <c r="DS443" s="79" t="s">
        <v>191</v>
      </c>
      <c r="DT443" s="79">
        <v>0</v>
      </c>
      <c r="DU443" s="75">
        <f t="shared" si="277"/>
        <v>0</v>
      </c>
      <c r="DV443" s="79" t="s">
        <v>182</v>
      </c>
      <c r="DW443" s="79" t="s">
        <v>182</v>
      </c>
      <c r="DX443" s="79">
        <v>1</v>
      </c>
      <c r="DY443" s="79" t="s">
        <v>179</v>
      </c>
      <c r="DZ443" s="79"/>
      <c r="EA443" s="79" t="s">
        <v>179</v>
      </c>
      <c r="EB443" s="79" t="s">
        <v>182</v>
      </c>
      <c r="EC443" s="79" t="s">
        <v>769</v>
      </c>
      <c r="ED443" s="79" t="s">
        <v>184</v>
      </c>
      <c r="EE443" s="79" t="str">
        <f>IF(DI443="Subsanado","Completo","Por Completar")</f>
        <v>Completo</v>
      </c>
      <c r="EF443" s="41"/>
      <c r="EG443" s="79" t="s">
        <v>153</v>
      </c>
      <c r="EH443" s="71"/>
      <c r="EI443" s="89" t="s">
        <v>3166</v>
      </c>
      <c r="EJ443" s="71"/>
      <c r="EK443" s="79" t="s">
        <v>191</v>
      </c>
      <c r="EL443" s="76" t="str">
        <f t="shared" si="242"/>
        <v>No</v>
      </c>
      <c r="EM443" s="76" t="str">
        <f t="shared" si="243"/>
        <v>No aplica</v>
      </c>
      <c r="EN443" s="76" t="str">
        <f t="shared" si="269"/>
        <v>Sí</v>
      </c>
      <c r="EO443" s="71"/>
      <c r="EP443" s="73" t="str">
        <f t="shared" si="244"/>
        <v>No aplica</v>
      </c>
      <c r="EQ443" s="77">
        <f t="shared" si="245"/>
        <v>0</v>
      </c>
      <c r="ER443" s="71"/>
      <c r="ES443" s="79" t="s">
        <v>191</v>
      </c>
      <c r="ET443" s="73">
        <f t="shared" si="246"/>
        <v>0.66666666666666663</v>
      </c>
      <c r="EU443" s="73">
        <f t="shared" si="270"/>
        <v>1</v>
      </c>
      <c r="EV443" s="73" t="str">
        <f t="shared" si="247"/>
        <v>No aplica</v>
      </c>
      <c r="EW443" s="73" t="str">
        <f t="shared" si="248"/>
        <v>No aplica</v>
      </c>
      <c r="EX443" s="78"/>
      <c r="EY443" s="78"/>
    </row>
    <row r="444" spans="1:155" ht="46.5" customHeight="1">
      <c r="A444" s="79" t="str">
        <v/>
      </c>
      <c r="B444" s="80" t="s">
        <v>3156</v>
      </c>
      <c r="C444" s="81">
        <v>45428</v>
      </c>
      <c r="D444" s="82">
        <v>0.33333333333333331</v>
      </c>
      <c r="E444" s="79" t="s">
        <v>151</v>
      </c>
      <c r="F444" s="79" t="s">
        <v>152</v>
      </c>
      <c r="G444" s="79" t="s">
        <v>153</v>
      </c>
      <c r="H444" s="79" t="s">
        <v>152</v>
      </c>
      <c r="I444" s="79" t="s">
        <v>152</v>
      </c>
      <c r="J444" s="79" t="s">
        <v>251</v>
      </c>
      <c r="K444" s="79" t="s">
        <v>202</v>
      </c>
      <c r="L444" s="80" t="s">
        <v>3157</v>
      </c>
      <c r="M444" s="80" t="s">
        <v>229</v>
      </c>
      <c r="N444" s="79" t="s">
        <v>422</v>
      </c>
      <c r="O444" s="80" t="str">
        <f t="shared" si="236"/>
        <v/>
      </c>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t="s">
        <v>169</v>
      </c>
      <c r="AP444" s="79" t="s">
        <v>170</v>
      </c>
      <c r="AQ444" s="80" t="s">
        <v>171</v>
      </c>
      <c r="AR444" s="83" t="s">
        <v>171</v>
      </c>
      <c r="AS444" s="80" t="s">
        <v>171</v>
      </c>
      <c r="AT444" s="80" t="str">
        <f t="shared" si="237"/>
        <v>Distrital</v>
      </c>
      <c r="AU444" s="79" t="s">
        <v>172</v>
      </c>
      <c r="AV444" s="79"/>
      <c r="AW444" s="79"/>
      <c r="AX444" s="79"/>
      <c r="AY444" s="79"/>
      <c r="AZ444" s="79"/>
      <c r="BA444" s="80" t="str">
        <f t="shared" si="238"/>
        <v>Distrital</v>
      </c>
      <c r="BB444" s="79" t="s">
        <v>172</v>
      </c>
      <c r="BC444" s="79"/>
      <c r="BD444" s="79"/>
      <c r="BE444" s="79"/>
      <c r="BF444" s="79"/>
      <c r="BG444" s="79"/>
      <c r="BH444" s="80" t="str">
        <f t="shared" si="239"/>
        <v/>
      </c>
      <c r="BI444" s="79"/>
      <c r="BJ444" s="79"/>
      <c r="BK444" s="79"/>
      <c r="BL444" s="79"/>
      <c r="BM444" s="79"/>
      <c r="BN444" s="79"/>
      <c r="BO444" s="79"/>
      <c r="BP444" s="79"/>
      <c r="BQ444" s="79"/>
      <c r="BR444" s="79"/>
      <c r="BS444" s="80" t="s">
        <v>3137</v>
      </c>
      <c r="BT444" s="80" t="s">
        <v>174</v>
      </c>
      <c r="BU444" s="89" t="s">
        <v>3158</v>
      </c>
      <c r="BV444" s="71"/>
      <c r="BW444" s="79" t="s">
        <v>152</v>
      </c>
      <c r="BX444" s="79" t="s">
        <v>179</v>
      </c>
      <c r="BY444" s="71"/>
      <c r="BZ444" s="79">
        <v>0</v>
      </c>
      <c r="CA444" s="79">
        <v>15</v>
      </c>
      <c r="CB444" s="79">
        <f t="shared" si="281"/>
        <v>15</v>
      </c>
      <c r="CC444" s="79" t="str">
        <f t="shared" si="268"/>
        <v>No Aplica</v>
      </c>
      <c r="CD444" s="79" t="s">
        <v>177</v>
      </c>
      <c r="CE444" s="79"/>
      <c r="CF444" s="79"/>
      <c r="CG444" s="83" t="s">
        <v>3167</v>
      </c>
      <c r="CH444" s="41"/>
      <c r="CI444" s="79" t="s">
        <v>153</v>
      </c>
      <c r="CJ444" s="71"/>
      <c r="CK444" s="79">
        <f t="shared" si="282"/>
        <v>0</v>
      </c>
      <c r="CL444" s="79"/>
      <c r="CM444" s="79"/>
      <c r="CN444" s="79"/>
      <c r="CO444" s="79"/>
      <c r="CP444" s="79"/>
      <c r="CQ444" s="79"/>
      <c r="CR444" s="83" t="s">
        <v>179</v>
      </c>
      <c r="CS444" s="83" t="s">
        <v>179</v>
      </c>
      <c r="CT444" s="83" t="s">
        <v>179</v>
      </c>
      <c r="CU444" s="83" t="s">
        <v>179</v>
      </c>
      <c r="CV444" s="83" t="s">
        <v>179</v>
      </c>
      <c r="CW444" s="83" t="s">
        <v>179</v>
      </c>
      <c r="CX444" s="79" t="s">
        <v>153</v>
      </c>
      <c r="CY444" s="79">
        <f t="shared" si="283"/>
        <v>0</v>
      </c>
      <c r="CZ444" s="79">
        <v>0</v>
      </c>
      <c r="DA444" s="79">
        <f t="shared" si="284"/>
        <v>0</v>
      </c>
      <c r="DB444" s="84" t="str">
        <f t="shared" si="285"/>
        <v/>
      </c>
      <c r="DC444" s="41"/>
      <c r="DD444" s="79" t="s">
        <v>153</v>
      </c>
      <c r="DE444" s="71"/>
      <c r="DF444" s="85" t="s">
        <v>3168</v>
      </c>
      <c r="DG444" s="79">
        <v>433</v>
      </c>
      <c r="DH444" s="86" t="str">
        <f t="shared" si="286"/>
        <v>Completo</v>
      </c>
      <c r="DI444" s="79" t="s">
        <v>181</v>
      </c>
      <c r="DJ444" s="79" t="s">
        <v>182</v>
      </c>
      <c r="DK444" s="79"/>
      <c r="DL444" s="79">
        <v>0</v>
      </c>
      <c r="DM444" s="79">
        <v>0</v>
      </c>
      <c r="DN444" s="79" t="s">
        <v>182</v>
      </c>
      <c r="DO444" s="79"/>
      <c r="DP444" s="79"/>
      <c r="DQ444" s="79"/>
      <c r="DR444" s="75" t="str">
        <f t="shared" si="276"/>
        <v>No aplica</v>
      </c>
      <c r="DS444" s="79"/>
      <c r="DT444" s="79"/>
      <c r="DU444" s="75" t="str">
        <f t="shared" si="277"/>
        <v>No aplica</v>
      </c>
      <c r="DV444" s="79" t="s">
        <v>182</v>
      </c>
      <c r="DW444" s="79" t="s">
        <v>182</v>
      </c>
      <c r="DX444" s="79"/>
      <c r="DY444" s="79"/>
      <c r="DZ444" s="79"/>
      <c r="EA444" s="79"/>
      <c r="EB444" s="79"/>
      <c r="EC444" s="79"/>
      <c r="ED444" s="79" t="s">
        <v>3169</v>
      </c>
      <c r="EE444" s="79" t="str">
        <f t="shared" ref="EE444:EE448" si="287">IF(DI444="Subsanado","Completo","Por Completar")</f>
        <v>Completo</v>
      </c>
      <c r="EF444" s="41"/>
      <c r="EG444" s="79" t="s">
        <v>153</v>
      </c>
      <c r="EH444" s="71"/>
      <c r="EI444" s="80"/>
      <c r="EJ444" s="71"/>
      <c r="EK444" s="79"/>
      <c r="EL444" s="76" t="str">
        <f t="shared" si="242"/>
        <v>No requiere</v>
      </c>
      <c r="EM444" s="76" t="str">
        <f t="shared" si="243"/>
        <v>No requiere</v>
      </c>
      <c r="EN444" s="76" t="str">
        <f t="shared" si="269"/>
        <v>No requiere</v>
      </c>
      <c r="EO444" s="71"/>
      <c r="EP444" s="73" t="str">
        <f t="shared" si="244"/>
        <v>No requiere</v>
      </c>
      <c r="EQ444" s="77" t="str">
        <f t="shared" si="245"/>
        <v>No requiere</v>
      </c>
      <c r="ER444" s="71"/>
      <c r="ES444" s="79"/>
      <c r="ET444" s="73" t="str">
        <f t="shared" si="246"/>
        <v>No requiere</v>
      </c>
      <c r="EU444" s="73" t="str">
        <f t="shared" si="270"/>
        <v>No requiere</v>
      </c>
      <c r="EV444" s="73" t="str">
        <f t="shared" si="247"/>
        <v>No requiere</v>
      </c>
      <c r="EW444" s="73" t="str">
        <f t="shared" si="248"/>
        <v>No requiere</v>
      </c>
      <c r="EX444" s="78"/>
      <c r="EY444" s="78"/>
    </row>
    <row r="445" spans="1:155" ht="46.5" customHeight="1">
      <c r="A445" s="79">
        <v>441</v>
      </c>
      <c r="B445" s="80" t="s">
        <v>3170</v>
      </c>
      <c r="C445" s="81">
        <v>45428</v>
      </c>
      <c r="D445" s="82">
        <v>0.375</v>
      </c>
      <c r="E445" s="79" t="s">
        <v>151</v>
      </c>
      <c r="F445" s="79" t="s">
        <v>153</v>
      </c>
      <c r="G445" s="79" t="s">
        <v>153</v>
      </c>
      <c r="H445" s="79" t="s">
        <v>153</v>
      </c>
      <c r="I445" s="79" t="s">
        <v>152</v>
      </c>
      <c r="J445" s="79" t="s">
        <v>154</v>
      </c>
      <c r="K445" s="79" t="s">
        <v>155</v>
      </c>
      <c r="L445" s="80" t="s">
        <v>2596</v>
      </c>
      <c r="M445" s="80" t="s">
        <v>303</v>
      </c>
      <c r="N445" s="79" t="s">
        <v>632</v>
      </c>
      <c r="O445" s="80" t="str">
        <f t="shared" si="236"/>
        <v>Nicolas Esteban Hernández, Nixon Sandoval Mateus</v>
      </c>
      <c r="P445" s="79" t="s">
        <v>645</v>
      </c>
      <c r="Q445" s="79" t="s">
        <v>644</v>
      </c>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t="s">
        <v>169</v>
      </c>
      <c r="AP445" s="79" t="s">
        <v>475</v>
      </c>
      <c r="AQ445" s="80" t="s">
        <v>171</v>
      </c>
      <c r="AR445" s="83" t="s">
        <v>171</v>
      </c>
      <c r="AS445" s="80" t="s">
        <v>171</v>
      </c>
      <c r="AT445" s="80" t="str">
        <f t="shared" si="237"/>
        <v>Distrital</v>
      </c>
      <c r="AU445" s="79" t="s">
        <v>172</v>
      </c>
      <c r="AV445" s="79"/>
      <c r="AW445" s="79"/>
      <c r="AX445" s="79"/>
      <c r="AY445" s="79"/>
      <c r="AZ445" s="79"/>
      <c r="BA445" s="80" t="str">
        <f t="shared" si="238"/>
        <v>Distrital</v>
      </c>
      <c r="BB445" s="79" t="s">
        <v>172</v>
      </c>
      <c r="BC445" s="79"/>
      <c r="BD445" s="79"/>
      <c r="BE445" s="79"/>
      <c r="BF445" s="79"/>
      <c r="BG445" s="79"/>
      <c r="BH445" s="80" t="str">
        <f t="shared" si="239"/>
        <v>Distrital</v>
      </c>
      <c r="BI445" s="79" t="s">
        <v>172</v>
      </c>
      <c r="BJ445" s="79"/>
      <c r="BK445" s="79"/>
      <c r="BL445" s="79"/>
      <c r="BM445" s="79"/>
      <c r="BN445" s="79"/>
      <c r="BO445" s="79"/>
      <c r="BP445" s="79"/>
      <c r="BQ445" s="79"/>
      <c r="BR445" s="79"/>
      <c r="BS445" s="80" t="s">
        <v>2598</v>
      </c>
      <c r="BT445" s="80" t="s">
        <v>174</v>
      </c>
      <c r="BU445" s="80" t="s">
        <v>2599</v>
      </c>
      <c r="BV445" s="71"/>
      <c r="BW445" s="79" t="s">
        <v>153</v>
      </c>
      <c r="BX445" s="79" t="s">
        <v>2600</v>
      </c>
      <c r="BY445" s="71"/>
      <c r="BZ445" s="79">
        <v>6</v>
      </c>
      <c r="CA445" s="79">
        <v>4</v>
      </c>
      <c r="CB445" s="79">
        <f t="shared" si="281"/>
        <v>10</v>
      </c>
      <c r="CC445" s="79" t="str">
        <f t="shared" si="268"/>
        <v>Ninguna</v>
      </c>
      <c r="CD445" s="79" t="s">
        <v>174</v>
      </c>
      <c r="CE445" s="79"/>
      <c r="CF445" s="79"/>
      <c r="CG445" s="83" t="s">
        <v>3121</v>
      </c>
      <c r="CH445" s="41"/>
      <c r="CI445" s="79" t="s">
        <v>153</v>
      </c>
      <c r="CJ445" s="71"/>
      <c r="CK445" s="79">
        <f t="shared" si="282"/>
        <v>1</v>
      </c>
      <c r="CL445" s="93" t="s">
        <v>3171</v>
      </c>
      <c r="CM445" s="79"/>
      <c r="CN445" s="79"/>
      <c r="CO445" s="79"/>
      <c r="CP445" s="79"/>
      <c r="CQ445" s="79"/>
      <c r="CR445" s="83" t="s">
        <v>390</v>
      </c>
      <c r="CS445" s="83" t="s">
        <v>179</v>
      </c>
      <c r="CT445" s="83" t="s">
        <v>179</v>
      </c>
      <c r="CU445" s="83" t="s">
        <v>179</v>
      </c>
      <c r="CV445" s="83" t="s">
        <v>179</v>
      </c>
      <c r="CW445" s="83" t="s">
        <v>179</v>
      </c>
      <c r="CX445" s="79" t="s">
        <v>153</v>
      </c>
      <c r="CY445" s="79">
        <f t="shared" si="283"/>
        <v>1</v>
      </c>
      <c r="CZ445" s="79">
        <v>1</v>
      </c>
      <c r="DA445" s="79">
        <f t="shared" si="284"/>
        <v>1</v>
      </c>
      <c r="DB445" s="84">
        <f t="shared" si="285"/>
        <v>1</v>
      </c>
      <c r="DC445" s="41"/>
      <c r="DD445" s="79" t="s">
        <v>153</v>
      </c>
      <c r="DE445" s="71"/>
      <c r="DF445" s="85" t="s">
        <v>3172</v>
      </c>
      <c r="DG445" s="79">
        <v>434</v>
      </c>
      <c r="DH445" s="86" t="str">
        <f t="shared" si="286"/>
        <v>Completo</v>
      </c>
      <c r="DI445" s="79" t="s">
        <v>181</v>
      </c>
      <c r="DJ445" s="79" t="s">
        <v>182</v>
      </c>
      <c r="DK445" s="79" t="s">
        <v>153</v>
      </c>
      <c r="DL445" s="79">
        <v>0</v>
      </c>
      <c r="DM445" s="79">
        <v>0</v>
      </c>
      <c r="DN445" s="79" t="s">
        <v>182</v>
      </c>
      <c r="DO445" s="79" t="s">
        <v>179</v>
      </c>
      <c r="DP445" s="79" t="s">
        <v>191</v>
      </c>
      <c r="DQ445" s="79">
        <v>0</v>
      </c>
      <c r="DR445" s="75">
        <f t="shared" si="276"/>
        <v>0</v>
      </c>
      <c r="DS445" s="79" t="s">
        <v>191</v>
      </c>
      <c r="DT445" s="79">
        <v>0</v>
      </c>
      <c r="DU445" s="75">
        <f t="shared" si="277"/>
        <v>0</v>
      </c>
      <c r="DV445" s="79" t="s">
        <v>182</v>
      </c>
      <c r="DW445" s="79" t="s">
        <v>182</v>
      </c>
      <c r="DX445" s="79">
        <v>1</v>
      </c>
      <c r="DY445" s="79" t="s">
        <v>179</v>
      </c>
      <c r="DZ445" s="79"/>
      <c r="EA445" s="79" t="s">
        <v>179</v>
      </c>
      <c r="EB445" s="79" t="s">
        <v>182</v>
      </c>
      <c r="EC445" s="79" t="s">
        <v>769</v>
      </c>
      <c r="ED445" s="79" t="s">
        <v>184</v>
      </c>
      <c r="EE445" s="79" t="str">
        <f t="shared" si="287"/>
        <v>Completo</v>
      </c>
      <c r="EF445" s="41"/>
      <c r="EG445" s="79" t="s">
        <v>153</v>
      </c>
      <c r="EH445" s="71"/>
      <c r="EI445" s="89" t="s">
        <v>3173</v>
      </c>
      <c r="EJ445" s="71"/>
      <c r="EK445" s="79" t="s">
        <v>191</v>
      </c>
      <c r="EL445" s="76" t="str">
        <f t="shared" si="242"/>
        <v>No</v>
      </c>
      <c r="EM445" s="76" t="str">
        <f t="shared" si="243"/>
        <v>No aplica</v>
      </c>
      <c r="EN445" s="76" t="str">
        <f t="shared" si="269"/>
        <v>No</v>
      </c>
      <c r="EO445" s="71"/>
      <c r="EP445" s="73" t="str">
        <f t="shared" si="244"/>
        <v>No aplica</v>
      </c>
      <c r="EQ445" s="77">
        <f t="shared" si="245"/>
        <v>0</v>
      </c>
      <c r="ER445" s="71"/>
      <c r="ES445" s="79" t="s">
        <v>191</v>
      </c>
      <c r="ET445" s="73">
        <f t="shared" si="246"/>
        <v>0.66666666666666663</v>
      </c>
      <c r="EU445" s="73">
        <f t="shared" si="270"/>
        <v>1</v>
      </c>
      <c r="EV445" s="73">
        <f t="shared" si="247"/>
        <v>1</v>
      </c>
      <c r="EW445" s="73" t="str">
        <f t="shared" si="248"/>
        <v>No aplica</v>
      </c>
      <c r="EX445" s="78"/>
      <c r="EY445" s="78"/>
    </row>
    <row r="446" spans="1:155" ht="46.5" customHeight="1">
      <c r="A446" s="79" t="str">
        <v/>
      </c>
      <c r="B446" s="80" t="s">
        <v>3174</v>
      </c>
      <c r="C446" s="81">
        <v>45428</v>
      </c>
      <c r="D446" s="82">
        <v>0.45833333333333331</v>
      </c>
      <c r="E446" s="79" t="s">
        <v>151</v>
      </c>
      <c r="F446" s="79" t="s">
        <v>152</v>
      </c>
      <c r="G446" s="79" t="s">
        <v>152</v>
      </c>
      <c r="H446" s="79" t="s">
        <v>152</v>
      </c>
      <c r="I446" s="79" t="s">
        <v>152</v>
      </c>
      <c r="J446" s="79" t="s">
        <v>3175</v>
      </c>
      <c r="K446" s="79" t="s">
        <v>155</v>
      </c>
      <c r="L446" s="80" t="s">
        <v>3176</v>
      </c>
      <c r="M446" s="80" t="s">
        <v>229</v>
      </c>
      <c r="N446" s="79" t="s">
        <v>422</v>
      </c>
      <c r="O446" s="80" t="str">
        <f t="shared" si="236"/>
        <v/>
      </c>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t="s">
        <v>169</v>
      </c>
      <c r="AP446" s="79"/>
      <c r="AQ446" s="80" t="s">
        <v>3177</v>
      </c>
      <c r="AR446" s="83">
        <v>3508212744</v>
      </c>
      <c r="AS446" s="80" t="s">
        <v>3136</v>
      </c>
      <c r="AT446" s="80" t="str">
        <f t="shared" si="237"/>
        <v>Distrital</v>
      </c>
      <c r="AU446" s="79" t="s">
        <v>172</v>
      </c>
      <c r="AV446" s="79"/>
      <c r="AW446" s="79"/>
      <c r="AX446" s="79"/>
      <c r="AY446" s="79"/>
      <c r="AZ446" s="79"/>
      <c r="BA446" s="80" t="str">
        <f t="shared" si="238"/>
        <v>Distrital</v>
      </c>
      <c r="BB446" s="79" t="s">
        <v>172</v>
      </c>
      <c r="BC446" s="79"/>
      <c r="BD446" s="79"/>
      <c r="BE446" s="79"/>
      <c r="BF446" s="79"/>
      <c r="BG446" s="79"/>
      <c r="BH446" s="80" t="str">
        <f t="shared" si="239"/>
        <v>Distrital</v>
      </c>
      <c r="BI446" s="79" t="s">
        <v>172</v>
      </c>
      <c r="BJ446" s="79"/>
      <c r="BK446" s="79"/>
      <c r="BL446" s="79"/>
      <c r="BM446" s="79"/>
      <c r="BN446" s="79"/>
      <c r="BO446" s="79"/>
      <c r="BP446" s="79"/>
      <c r="BQ446" s="79"/>
      <c r="BR446" s="79"/>
      <c r="BS446" s="80" t="s">
        <v>3178</v>
      </c>
      <c r="BT446" s="80" t="s">
        <v>174</v>
      </c>
      <c r="BU446" s="80" t="s">
        <v>3179</v>
      </c>
      <c r="BV446" s="71"/>
      <c r="BW446" s="79" t="s">
        <v>152</v>
      </c>
      <c r="BX446" s="79" t="s">
        <v>179</v>
      </c>
      <c r="BY446" s="71"/>
      <c r="BZ446" s="79">
        <v>32</v>
      </c>
      <c r="CA446" s="79">
        <v>2</v>
      </c>
      <c r="CB446" s="79">
        <f t="shared" si="281"/>
        <v>34</v>
      </c>
      <c r="CC446" s="79" t="str">
        <f t="shared" si="268"/>
        <v>No Aplica</v>
      </c>
      <c r="CD446" s="79" t="s">
        <v>177</v>
      </c>
      <c r="CE446" s="79"/>
      <c r="CF446" s="79"/>
      <c r="CG446" s="83" t="s">
        <v>3180</v>
      </c>
      <c r="CH446" s="41"/>
      <c r="CI446" s="79" t="s">
        <v>153</v>
      </c>
      <c r="CJ446" s="71"/>
      <c r="CK446" s="79">
        <f t="shared" si="282"/>
        <v>0</v>
      </c>
      <c r="CL446" s="79"/>
      <c r="CM446" s="79"/>
      <c r="CN446" s="79"/>
      <c r="CO446" s="79"/>
      <c r="CP446" s="79"/>
      <c r="CQ446" s="79"/>
      <c r="CR446" s="83" t="s">
        <v>179</v>
      </c>
      <c r="CS446" s="83" t="s">
        <v>179</v>
      </c>
      <c r="CT446" s="83" t="s">
        <v>179</v>
      </c>
      <c r="CU446" s="83" t="s">
        <v>179</v>
      </c>
      <c r="CV446" s="83" t="s">
        <v>179</v>
      </c>
      <c r="CW446" s="83" t="s">
        <v>179</v>
      </c>
      <c r="CX446" s="79" t="s">
        <v>153</v>
      </c>
      <c r="CY446" s="79">
        <f t="shared" si="283"/>
        <v>0</v>
      </c>
      <c r="CZ446" s="79">
        <v>0</v>
      </c>
      <c r="DA446" s="79">
        <f t="shared" si="284"/>
        <v>0</v>
      </c>
      <c r="DB446" s="84" t="str">
        <f t="shared" si="285"/>
        <v/>
      </c>
      <c r="DC446" s="41"/>
      <c r="DD446" s="79" t="s">
        <v>153</v>
      </c>
      <c r="DE446" s="71"/>
      <c r="DF446" s="85" t="s">
        <v>3181</v>
      </c>
      <c r="DG446" s="79">
        <v>435</v>
      </c>
      <c r="DH446" s="86" t="str">
        <f t="shared" si="286"/>
        <v>Completo</v>
      </c>
      <c r="DI446" s="79" t="s">
        <v>181</v>
      </c>
      <c r="DJ446" s="79" t="s">
        <v>182</v>
      </c>
      <c r="DK446" s="79"/>
      <c r="DL446" s="79">
        <v>0</v>
      </c>
      <c r="DM446" s="79">
        <v>0</v>
      </c>
      <c r="DN446" s="79" t="s">
        <v>182</v>
      </c>
      <c r="DO446" s="79"/>
      <c r="DP446" s="79"/>
      <c r="DQ446" s="79"/>
      <c r="DR446" s="75" t="str">
        <f t="shared" si="276"/>
        <v>No aplica</v>
      </c>
      <c r="DS446" s="79"/>
      <c r="DT446" s="79"/>
      <c r="DU446" s="75" t="str">
        <f t="shared" si="277"/>
        <v>No aplica</v>
      </c>
      <c r="DV446" s="79"/>
      <c r="DW446" s="79" t="s">
        <v>182</v>
      </c>
      <c r="DX446" s="79"/>
      <c r="DY446" s="79"/>
      <c r="DZ446" s="79"/>
      <c r="EA446" s="79"/>
      <c r="EB446" s="79" t="s">
        <v>182</v>
      </c>
      <c r="EC446" s="79" t="s">
        <v>3182</v>
      </c>
      <c r="ED446" s="79" t="s">
        <v>3183</v>
      </c>
      <c r="EE446" s="79" t="str">
        <f t="shared" si="287"/>
        <v>Completo</v>
      </c>
      <c r="EF446" s="41"/>
      <c r="EG446" s="79" t="s">
        <v>153</v>
      </c>
      <c r="EH446" s="71"/>
      <c r="EI446" s="80"/>
      <c r="EJ446" s="71"/>
      <c r="EK446" s="79"/>
      <c r="EL446" s="76" t="str">
        <f t="shared" si="242"/>
        <v>No requiere</v>
      </c>
      <c r="EM446" s="76" t="str">
        <f t="shared" si="243"/>
        <v>No requiere</v>
      </c>
      <c r="EN446" s="76" t="str">
        <f t="shared" si="269"/>
        <v>No requiere</v>
      </c>
      <c r="EO446" s="71"/>
      <c r="EP446" s="73" t="str">
        <f t="shared" si="244"/>
        <v>No requiere</v>
      </c>
      <c r="EQ446" s="77" t="str">
        <f t="shared" si="245"/>
        <v>No requiere</v>
      </c>
      <c r="ER446" s="71"/>
      <c r="ES446" s="79"/>
      <c r="ET446" s="73" t="str">
        <f t="shared" si="246"/>
        <v>No requiere</v>
      </c>
      <c r="EU446" s="73" t="str">
        <f t="shared" si="270"/>
        <v>No requiere</v>
      </c>
      <c r="EV446" s="73" t="str">
        <f t="shared" si="247"/>
        <v>No requiere</v>
      </c>
      <c r="EW446" s="73" t="str">
        <f t="shared" si="248"/>
        <v>No requiere</v>
      </c>
      <c r="EX446" s="78"/>
      <c r="EY446" s="78"/>
    </row>
    <row r="447" spans="1:155" ht="46.5" customHeight="1">
      <c r="A447" s="79">
        <v>443</v>
      </c>
      <c r="B447" s="80" t="s">
        <v>3184</v>
      </c>
      <c r="C447" s="81">
        <v>45428</v>
      </c>
      <c r="D447" s="82">
        <v>0.58333333333333337</v>
      </c>
      <c r="E447" s="79" t="s">
        <v>200</v>
      </c>
      <c r="F447" s="79" t="s">
        <v>153</v>
      </c>
      <c r="G447" s="79" t="s">
        <v>152</v>
      </c>
      <c r="H447" s="79" t="s">
        <v>152</v>
      </c>
      <c r="I447" s="79" t="s">
        <v>152</v>
      </c>
      <c r="J447" s="79" t="s">
        <v>211</v>
      </c>
      <c r="K447" s="79" t="s">
        <v>202</v>
      </c>
      <c r="L447" s="80" t="s">
        <v>3185</v>
      </c>
      <c r="M447" s="80" t="s">
        <v>624</v>
      </c>
      <c r="N447" s="79" t="s">
        <v>888</v>
      </c>
      <c r="O447" s="80" t="str">
        <f t="shared" si="236"/>
        <v/>
      </c>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t="s">
        <v>230</v>
      </c>
      <c r="AP447" s="79" t="s">
        <v>242</v>
      </c>
      <c r="AQ447" s="80" t="s">
        <v>1322</v>
      </c>
      <c r="AR447" s="83" t="s">
        <v>1323</v>
      </c>
      <c r="AS447" s="80" t="s">
        <v>1324</v>
      </c>
      <c r="AT447" s="80" t="str">
        <f t="shared" si="237"/>
        <v>Distrital</v>
      </c>
      <c r="AU447" s="79" t="s">
        <v>172</v>
      </c>
      <c r="AV447" s="79"/>
      <c r="AW447" s="79"/>
      <c r="AX447" s="79"/>
      <c r="AY447" s="79"/>
      <c r="AZ447" s="79"/>
      <c r="BA447" s="80" t="str">
        <f t="shared" si="238"/>
        <v>Distrital</v>
      </c>
      <c r="BB447" s="79" t="s">
        <v>172</v>
      </c>
      <c r="BC447" s="79"/>
      <c r="BD447" s="79"/>
      <c r="BE447" s="79"/>
      <c r="BF447" s="79"/>
      <c r="BG447" s="79"/>
      <c r="BH447" s="80" t="str">
        <f t="shared" si="239"/>
        <v>Distrital</v>
      </c>
      <c r="BI447" s="79" t="s">
        <v>172</v>
      </c>
      <c r="BJ447" s="79"/>
      <c r="BK447" s="79"/>
      <c r="BL447" s="79"/>
      <c r="BM447" s="79"/>
      <c r="BN447" s="79"/>
      <c r="BO447" s="79"/>
      <c r="BP447" s="79"/>
      <c r="BQ447" s="79"/>
      <c r="BR447" s="79"/>
      <c r="BS447" s="80" t="s">
        <v>288</v>
      </c>
      <c r="BT447" s="80" t="s">
        <v>174</v>
      </c>
      <c r="BU447" s="89" t="s">
        <v>3186</v>
      </c>
      <c r="BV447" s="71"/>
      <c r="BW447" s="79" t="s">
        <v>152</v>
      </c>
      <c r="BX447" s="79" t="s">
        <v>179</v>
      </c>
      <c r="BY447" s="71"/>
      <c r="BZ447" s="79">
        <v>9</v>
      </c>
      <c r="CA447" s="79">
        <v>1</v>
      </c>
      <c r="CB447" s="79">
        <f t="shared" si="281"/>
        <v>10</v>
      </c>
      <c r="CC447" s="79" t="str">
        <f t="shared" si="268"/>
        <v>No Aplica</v>
      </c>
      <c r="CD447" s="79" t="s">
        <v>177</v>
      </c>
      <c r="CE447" s="79"/>
      <c r="CF447" s="79"/>
      <c r="CG447" s="83" t="s">
        <v>3187</v>
      </c>
      <c r="CH447" s="41"/>
      <c r="CI447" s="79" t="s">
        <v>153</v>
      </c>
      <c r="CJ447" s="71"/>
      <c r="CK447" s="79">
        <v>0</v>
      </c>
      <c r="CL447" s="79"/>
      <c r="CM447" s="79"/>
      <c r="CN447" s="79"/>
      <c r="CO447" s="79"/>
      <c r="CP447" s="79"/>
      <c r="CQ447" s="79"/>
      <c r="CR447" s="83" t="s">
        <v>179</v>
      </c>
      <c r="CS447" s="83" t="s">
        <v>179</v>
      </c>
      <c r="CT447" s="83" t="s">
        <v>179</v>
      </c>
      <c r="CU447" s="83" t="s">
        <v>179</v>
      </c>
      <c r="CV447" s="83" t="s">
        <v>179</v>
      </c>
      <c r="CW447" s="83" t="s">
        <v>179</v>
      </c>
      <c r="CX447" s="79" t="s">
        <v>153</v>
      </c>
      <c r="CY447" s="79"/>
      <c r="CZ447" s="79"/>
      <c r="DA447" s="79"/>
      <c r="DB447" s="84"/>
      <c r="DC447" s="41"/>
      <c r="DD447" s="79" t="s">
        <v>153</v>
      </c>
      <c r="DE447" s="71"/>
      <c r="DF447" s="85" t="s">
        <v>3188</v>
      </c>
      <c r="DG447" s="79">
        <v>436</v>
      </c>
      <c r="DH447" s="86" t="str">
        <f t="shared" si="286"/>
        <v>Completo</v>
      </c>
      <c r="DI447" s="79" t="s">
        <v>181</v>
      </c>
      <c r="DJ447" s="79" t="s">
        <v>182</v>
      </c>
      <c r="DK447" s="79"/>
      <c r="DL447" s="79">
        <v>0</v>
      </c>
      <c r="DM447" s="79">
        <v>0</v>
      </c>
      <c r="DN447" s="79" t="s">
        <v>182</v>
      </c>
      <c r="DO447" s="79"/>
      <c r="DP447" s="79"/>
      <c r="DQ447" s="79"/>
      <c r="DR447" s="75" t="str">
        <f t="shared" si="276"/>
        <v>No aplica</v>
      </c>
      <c r="DS447" s="79"/>
      <c r="DT447" s="79"/>
      <c r="DU447" s="75" t="str">
        <f t="shared" si="277"/>
        <v>No aplica</v>
      </c>
      <c r="DV447" s="79" t="s">
        <v>182</v>
      </c>
      <c r="DW447" s="79" t="s">
        <v>182</v>
      </c>
      <c r="DX447" s="79"/>
      <c r="DY447" s="79"/>
      <c r="DZ447" s="79"/>
      <c r="EA447" s="79"/>
      <c r="EB447" s="79" t="s">
        <v>182</v>
      </c>
      <c r="EC447" s="79" t="s">
        <v>3189</v>
      </c>
      <c r="ED447" s="79" t="s">
        <v>3190</v>
      </c>
      <c r="EE447" s="79" t="str">
        <f t="shared" si="287"/>
        <v>Completo</v>
      </c>
      <c r="EF447" s="41"/>
      <c r="EG447" s="79" t="s">
        <v>153</v>
      </c>
      <c r="EH447" s="71"/>
      <c r="EI447" s="80"/>
      <c r="EJ447" s="71"/>
      <c r="EK447" s="79"/>
      <c r="EL447" s="76" t="str">
        <f t="shared" si="242"/>
        <v>No requiere</v>
      </c>
      <c r="EM447" s="76" t="str">
        <f t="shared" si="243"/>
        <v>No requiere</v>
      </c>
      <c r="EN447" s="76" t="str">
        <f t="shared" si="269"/>
        <v>No requiere</v>
      </c>
      <c r="EO447" s="71"/>
      <c r="EP447" s="73" t="str">
        <f t="shared" si="244"/>
        <v>No requiere</v>
      </c>
      <c r="EQ447" s="77" t="str">
        <f t="shared" si="245"/>
        <v>No requiere</v>
      </c>
      <c r="ER447" s="71"/>
      <c r="ES447" s="79"/>
      <c r="ET447" s="73" t="str">
        <f t="shared" si="246"/>
        <v>No requiere</v>
      </c>
      <c r="EU447" s="73" t="str">
        <f t="shared" si="270"/>
        <v>No requiere</v>
      </c>
      <c r="EV447" s="73" t="str">
        <f t="shared" si="247"/>
        <v>No requiere</v>
      </c>
      <c r="EW447" s="73" t="str">
        <f t="shared" si="248"/>
        <v>No requiere</v>
      </c>
      <c r="EX447" s="78"/>
      <c r="EY447" s="78"/>
    </row>
    <row r="448" spans="1:155" ht="46.5" customHeight="1">
      <c r="A448" s="79">
        <v>444</v>
      </c>
      <c r="B448" s="80" t="s">
        <v>3191</v>
      </c>
      <c r="C448" s="81">
        <v>45428</v>
      </c>
      <c r="D448" s="82">
        <v>0.625</v>
      </c>
      <c r="E448" s="79" t="s">
        <v>151</v>
      </c>
      <c r="F448" s="79" t="s">
        <v>153</v>
      </c>
      <c r="G448" s="79" t="s">
        <v>153</v>
      </c>
      <c r="H448" s="79" t="s">
        <v>152</v>
      </c>
      <c r="I448" s="79" t="s">
        <v>153</v>
      </c>
      <c r="J448" s="79" t="s">
        <v>1806</v>
      </c>
      <c r="K448" s="79" t="s">
        <v>155</v>
      </c>
      <c r="L448" s="80" t="s">
        <v>3192</v>
      </c>
      <c r="M448" s="80" t="s">
        <v>624</v>
      </c>
      <c r="N448" s="79" t="s">
        <v>887</v>
      </c>
      <c r="O448" s="80" t="str">
        <f t="shared" si="236"/>
        <v>Diego Alejandro Camacho, Paola Andrea González, Manuel Fernando Vergara</v>
      </c>
      <c r="P448" s="79" t="s">
        <v>422</v>
      </c>
      <c r="Q448" s="79" t="s">
        <v>924</v>
      </c>
      <c r="R448" s="79" t="s">
        <v>820</v>
      </c>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t="s">
        <v>304</v>
      </c>
      <c r="AP448" s="79"/>
      <c r="AQ448" s="80" t="s">
        <v>3193</v>
      </c>
      <c r="AR448" s="83">
        <v>3007852431</v>
      </c>
      <c r="AS448" s="80" t="s">
        <v>3194</v>
      </c>
      <c r="AT448" s="80" t="str">
        <f t="shared" si="237"/>
        <v>Suba, Bosa</v>
      </c>
      <c r="AU448" s="79" t="s">
        <v>602</v>
      </c>
      <c r="AV448" s="79" t="s">
        <v>730</v>
      </c>
      <c r="AW448" s="79"/>
      <c r="AX448" s="79"/>
      <c r="AY448" s="79"/>
      <c r="AZ448" s="79"/>
      <c r="BA448" s="80" t="str">
        <f t="shared" si="238"/>
        <v>Noroccidente, Norte, Suroccidente</v>
      </c>
      <c r="BB448" s="79" t="s">
        <v>603</v>
      </c>
      <c r="BC448" s="79" t="s">
        <v>662</v>
      </c>
      <c r="BD448" s="79" t="s">
        <v>732</v>
      </c>
      <c r="BE448" s="79"/>
      <c r="BF448" s="79"/>
      <c r="BG448" s="79"/>
      <c r="BH448" s="80" t="str">
        <f t="shared" si="239"/>
        <v>Suba, Suba Rincón, Tibabuyes, Niza, Torca, Bosa, Porvenir</v>
      </c>
      <c r="BI448" s="79" t="s">
        <v>602</v>
      </c>
      <c r="BJ448" s="79" t="s">
        <v>604</v>
      </c>
      <c r="BK448" s="79" t="s">
        <v>1378</v>
      </c>
      <c r="BL448" s="79" t="s">
        <v>865</v>
      </c>
      <c r="BM448" s="79" t="s">
        <v>805</v>
      </c>
      <c r="BN448" s="79" t="s">
        <v>730</v>
      </c>
      <c r="BO448" s="79" t="s">
        <v>1058</v>
      </c>
      <c r="BP448" s="79"/>
      <c r="BQ448" s="79"/>
      <c r="BR448" s="79"/>
      <c r="BS448" s="80" t="s">
        <v>3195</v>
      </c>
      <c r="BT448" s="80" t="s">
        <v>3196</v>
      </c>
      <c r="BU448" s="80" t="s">
        <v>3197</v>
      </c>
      <c r="BV448" s="71"/>
      <c r="BW448" s="79" t="s">
        <v>152</v>
      </c>
      <c r="BX448" s="79" t="s">
        <v>179</v>
      </c>
      <c r="BY448" s="71"/>
      <c r="BZ448" s="79">
        <v>14</v>
      </c>
      <c r="CA448" s="79">
        <v>7</v>
      </c>
      <c r="CB448" s="79">
        <f t="shared" si="281"/>
        <v>21</v>
      </c>
      <c r="CC448" s="79" t="str">
        <f t="shared" si="268"/>
        <v>No Aplica</v>
      </c>
      <c r="CD448" s="79" t="s">
        <v>177</v>
      </c>
      <c r="CE448" s="79"/>
      <c r="CF448" s="79"/>
      <c r="CG448" s="83" t="s">
        <v>3198</v>
      </c>
      <c r="CH448" s="41"/>
      <c r="CI448" s="79" t="s">
        <v>153</v>
      </c>
      <c r="CJ448" s="71"/>
      <c r="CK448" s="79">
        <f t="shared" ref="CK448:CK459" si="288">COUNTIF(CL448:CQ448,"*")</f>
        <v>0</v>
      </c>
      <c r="CL448" s="79"/>
      <c r="CM448" s="79"/>
      <c r="CN448" s="79"/>
      <c r="CO448" s="79"/>
      <c r="CP448" s="79"/>
      <c r="CQ448" s="79"/>
      <c r="CR448" s="83" t="s">
        <v>179</v>
      </c>
      <c r="CS448" s="83" t="s">
        <v>179</v>
      </c>
      <c r="CT448" s="83" t="s">
        <v>179</v>
      </c>
      <c r="CU448" s="83" t="s">
        <v>179</v>
      </c>
      <c r="CV448" s="83" t="s">
        <v>179</v>
      </c>
      <c r="CW448" s="83" t="s">
        <v>179</v>
      </c>
      <c r="CX448" s="79" t="s">
        <v>153</v>
      </c>
      <c r="CY448" s="79">
        <f>SUM(COUNTIF(CR448:CW448,"Realizado y Devuelto a la Ciudadanía"),COUNTIF(CR448:CW448,"Realizado y Trasladado por competencia"), COUNTIF(CR448:CW448,"Realizado y Gestionado"))</f>
        <v>0</v>
      </c>
      <c r="CZ448" s="79">
        <v>0</v>
      </c>
      <c r="DA448" s="79">
        <f>COUNTIF(CR448:CW448,"Realizado y Devuelto a la Ciudadanía")</f>
        <v>0</v>
      </c>
      <c r="DB448" s="84" t="str">
        <f t="shared" ref="DB448:DB459" si="289">IFERROR(CY448/CK448,"")</f>
        <v/>
      </c>
      <c r="DC448" s="41"/>
      <c r="DD448" s="79" t="s">
        <v>153</v>
      </c>
      <c r="DE448" s="71"/>
      <c r="DF448" s="85" t="s">
        <v>3199</v>
      </c>
      <c r="DG448" s="79">
        <v>437</v>
      </c>
      <c r="DH448" s="86" t="str">
        <f t="shared" si="286"/>
        <v>Completo</v>
      </c>
      <c r="DI448" s="79" t="s">
        <v>181</v>
      </c>
      <c r="DJ448" s="79" t="s">
        <v>182</v>
      </c>
      <c r="DK448" s="79"/>
      <c r="DL448" s="79">
        <v>0</v>
      </c>
      <c r="DM448" s="79">
        <v>0</v>
      </c>
      <c r="DN448" s="79" t="s">
        <v>182</v>
      </c>
      <c r="DO448" s="79"/>
      <c r="DP448" s="79"/>
      <c r="DQ448" s="79"/>
      <c r="DR448" s="75" t="str">
        <f t="shared" si="276"/>
        <v>No aplica</v>
      </c>
      <c r="DS448" s="79"/>
      <c r="DT448" s="79"/>
      <c r="DU448" s="75" t="str">
        <f t="shared" si="277"/>
        <v>No aplica</v>
      </c>
      <c r="DV448" s="79" t="s">
        <v>182</v>
      </c>
      <c r="DW448" s="79" t="s">
        <v>182</v>
      </c>
      <c r="DX448" s="79"/>
      <c r="DY448" s="79"/>
      <c r="DZ448" s="79"/>
      <c r="EA448" s="79"/>
      <c r="EB448" s="79"/>
      <c r="EC448" s="79"/>
      <c r="ED448" s="79" t="s">
        <v>184</v>
      </c>
      <c r="EE448" s="79" t="str">
        <f t="shared" si="287"/>
        <v>Completo</v>
      </c>
      <c r="EF448" s="41"/>
      <c r="EG448" s="79" t="s">
        <v>153</v>
      </c>
      <c r="EH448" s="71"/>
      <c r="EI448" s="80"/>
      <c r="EJ448" s="71"/>
      <c r="EK448" s="79"/>
      <c r="EL448" s="76" t="str">
        <f t="shared" si="242"/>
        <v>No requiere</v>
      </c>
      <c r="EM448" s="76" t="str">
        <f t="shared" si="243"/>
        <v>No requiere</v>
      </c>
      <c r="EN448" s="76" t="str">
        <f t="shared" si="269"/>
        <v>No requiere</v>
      </c>
      <c r="EO448" s="71"/>
      <c r="EP448" s="73" t="str">
        <f t="shared" si="244"/>
        <v>No requiere</v>
      </c>
      <c r="EQ448" s="77" t="str">
        <f t="shared" si="245"/>
        <v>No requiere</v>
      </c>
      <c r="ER448" s="71"/>
      <c r="ES448" s="79"/>
      <c r="ET448" s="73" t="str">
        <f t="shared" si="246"/>
        <v>No requiere</v>
      </c>
      <c r="EU448" s="73" t="str">
        <f t="shared" si="270"/>
        <v>No requiere</v>
      </c>
      <c r="EV448" s="73" t="str">
        <f t="shared" si="247"/>
        <v>No requiere</v>
      </c>
      <c r="EW448" s="73" t="str">
        <f t="shared" si="248"/>
        <v>No requiere</v>
      </c>
      <c r="EX448" s="78"/>
      <c r="EY448" s="78"/>
    </row>
    <row r="449" spans="1:155" ht="46.5" customHeight="1">
      <c r="A449" s="79" t="str">
        <v/>
      </c>
      <c r="B449" s="80" t="s">
        <v>3200</v>
      </c>
      <c r="C449" s="81">
        <v>45428</v>
      </c>
      <c r="D449" s="82">
        <v>0.625</v>
      </c>
      <c r="E449" s="79" t="s">
        <v>151</v>
      </c>
      <c r="F449" s="79" t="s">
        <v>152</v>
      </c>
      <c r="G449" s="79" t="s">
        <v>153</v>
      </c>
      <c r="H449" s="79" t="s">
        <v>152</v>
      </c>
      <c r="I449" s="79" t="s">
        <v>152</v>
      </c>
      <c r="J449" s="79" t="s">
        <v>251</v>
      </c>
      <c r="K449" s="79" t="s">
        <v>202</v>
      </c>
      <c r="L449" s="80" t="s">
        <v>3201</v>
      </c>
      <c r="M449" s="80" t="s">
        <v>157</v>
      </c>
      <c r="N449" s="79" t="s">
        <v>749</v>
      </c>
      <c r="O449" s="80" t="str">
        <f t="shared" si="236"/>
        <v/>
      </c>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t="s">
        <v>169</v>
      </c>
      <c r="AP449" s="79"/>
      <c r="AQ449" s="80" t="s">
        <v>3202</v>
      </c>
      <c r="AR449" s="83" t="s">
        <v>3203</v>
      </c>
      <c r="AS449" s="80" t="s">
        <v>3204</v>
      </c>
      <c r="AT449" s="80" t="str">
        <f t="shared" si="237"/>
        <v>Distrital</v>
      </c>
      <c r="AU449" s="79" t="s">
        <v>172</v>
      </c>
      <c r="AV449" s="79"/>
      <c r="AW449" s="79"/>
      <c r="AX449" s="79"/>
      <c r="AY449" s="79"/>
      <c r="AZ449" s="79"/>
      <c r="BA449" s="80" t="str">
        <f t="shared" si="238"/>
        <v>Distrital</v>
      </c>
      <c r="BB449" s="79" t="s">
        <v>172</v>
      </c>
      <c r="BC449" s="79"/>
      <c r="BD449" s="79"/>
      <c r="BE449" s="79"/>
      <c r="BF449" s="79"/>
      <c r="BG449" s="79"/>
      <c r="BH449" s="80" t="str">
        <f t="shared" si="239"/>
        <v>Distrital</v>
      </c>
      <c r="BI449" s="79" t="s">
        <v>172</v>
      </c>
      <c r="BJ449" s="79"/>
      <c r="BK449" s="79"/>
      <c r="BL449" s="79"/>
      <c r="BM449" s="79"/>
      <c r="BN449" s="79"/>
      <c r="BO449" s="79"/>
      <c r="BP449" s="79"/>
      <c r="BQ449" s="79"/>
      <c r="BR449" s="79"/>
      <c r="BS449" s="80" t="s">
        <v>288</v>
      </c>
      <c r="BT449" s="80" t="s">
        <v>3205</v>
      </c>
      <c r="BU449" s="89" t="s">
        <v>3206</v>
      </c>
      <c r="BV449" s="71"/>
      <c r="BW449" s="79" t="s">
        <v>152</v>
      </c>
      <c r="BX449" s="79" t="s">
        <v>179</v>
      </c>
      <c r="BY449" s="71"/>
      <c r="BZ449" s="79">
        <v>0</v>
      </c>
      <c r="CA449" s="79">
        <v>5</v>
      </c>
      <c r="CB449" s="79">
        <f t="shared" si="281"/>
        <v>5</v>
      </c>
      <c r="CC449" s="79" t="str">
        <f t="shared" si="268"/>
        <v>No Aplica</v>
      </c>
      <c r="CD449" s="79" t="s">
        <v>177</v>
      </c>
      <c r="CE449" s="79"/>
      <c r="CF449" s="79"/>
      <c r="CG449" s="83" t="s">
        <v>3207</v>
      </c>
      <c r="CH449" s="41"/>
      <c r="CI449" s="79" t="s">
        <v>153</v>
      </c>
      <c r="CJ449" s="71"/>
      <c r="CK449" s="79">
        <f t="shared" si="288"/>
        <v>0</v>
      </c>
      <c r="CL449" s="79"/>
      <c r="CM449" s="79"/>
      <c r="CN449" s="79"/>
      <c r="CO449" s="79"/>
      <c r="CP449" s="79"/>
      <c r="CQ449" s="79"/>
      <c r="CR449" s="83" t="s">
        <v>179</v>
      </c>
      <c r="CS449" s="83" t="s">
        <v>179</v>
      </c>
      <c r="CT449" s="83" t="s">
        <v>179</v>
      </c>
      <c r="CU449" s="83" t="s">
        <v>179</v>
      </c>
      <c r="CV449" s="83" t="s">
        <v>179</v>
      </c>
      <c r="CW449" s="83" t="s">
        <v>179</v>
      </c>
      <c r="CX449" s="79" t="s">
        <v>153</v>
      </c>
      <c r="CY449" s="79">
        <f t="shared" ref="CY449:CY459" si="290">SUM(COUNTIF(CR449:CW449,"Realizado y Devuelto a la Ciudadanía"),COUNTIF(CR449:CW449,"Realizado y Trasladado por competencia"), COUNTIF(CR449:CW449,"Realizado y Gestionado"))</f>
        <v>0</v>
      </c>
      <c r="CZ449" s="79">
        <v>0</v>
      </c>
      <c r="DA449" s="79">
        <f t="shared" ref="DA449:DA459" si="291">COUNTIF(CR449:CW449,"Realizado y Devuelto a la Ciudadanía")</f>
        <v>0</v>
      </c>
      <c r="DB449" s="84" t="str">
        <f t="shared" si="289"/>
        <v/>
      </c>
      <c r="DC449" s="41"/>
      <c r="DD449" s="79" t="s">
        <v>153</v>
      </c>
      <c r="DE449" s="71"/>
      <c r="DF449" s="85" t="s">
        <v>3208</v>
      </c>
      <c r="DG449" s="79">
        <v>438</v>
      </c>
      <c r="DH449" s="86">
        <f t="shared" si="286"/>
        <v>45431</v>
      </c>
      <c r="DI449" s="79" t="s">
        <v>181</v>
      </c>
      <c r="DJ449" s="79" t="s">
        <v>182</v>
      </c>
      <c r="DK449" s="79"/>
      <c r="DL449" s="79">
        <v>0</v>
      </c>
      <c r="DM449" s="79">
        <v>0</v>
      </c>
      <c r="DN449" s="79" t="s">
        <v>182</v>
      </c>
      <c r="DO449" s="79"/>
      <c r="DP449" s="79"/>
      <c r="DQ449" s="79"/>
      <c r="DR449" s="75" t="str">
        <f t="shared" si="276"/>
        <v>No aplica</v>
      </c>
      <c r="DS449" s="79"/>
      <c r="DT449" s="79"/>
      <c r="DU449" s="75" t="str">
        <f t="shared" si="277"/>
        <v>No aplica</v>
      </c>
      <c r="DV449" s="79" t="s">
        <v>182</v>
      </c>
      <c r="DW449" s="79" t="s">
        <v>182</v>
      </c>
      <c r="DX449" s="79"/>
      <c r="DY449" s="79"/>
      <c r="DZ449" s="79" t="s">
        <v>3209</v>
      </c>
      <c r="EA449" s="79"/>
      <c r="EB449" s="79"/>
      <c r="EC449" s="79"/>
      <c r="ED449" s="79" t="s">
        <v>3210</v>
      </c>
      <c r="EE449" s="79" t="s">
        <v>621</v>
      </c>
      <c r="EF449" s="41"/>
      <c r="EG449" s="79" t="s">
        <v>153</v>
      </c>
      <c r="EH449" s="71"/>
      <c r="EI449" s="80"/>
      <c r="EJ449" s="71"/>
      <c r="EK449" s="79"/>
      <c r="EL449" s="76" t="str">
        <f t="shared" si="242"/>
        <v>No requiere</v>
      </c>
      <c r="EM449" s="76" t="str">
        <f t="shared" si="243"/>
        <v>No requiere</v>
      </c>
      <c r="EN449" s="76" t="str">
        <f t="shared" si="269"/>
        <v>No requiere</v>
      </c>
      <c r="EO449" s="71"/>
      <c r="EP449" s="73" t="str">
        <f t="shared" si="244"/>
        <v>No requiere</v>
      </c>
      <c r="EQ449" s="77" t="str">
        <f t="shared" si="245"/>
        <v>No requiere</v>
      </c>
      <c r="ER449" s="71"/>
      <c r="ES449" s="79"/>
      <c r="ET449" s="73" t="str">
        <f t="shared" si="246"/>
        <v>No requiere</v>
      </c>
      <c r="EU449" s="73" t="str">
        <f t="shared" si="270"/>
        <v>No requiere</v>
      </c>
      <c r="EV449" s="73" t="str">
        <f t="shared" si="247"/>
        <v>No requiere</v>
      </c>
      <c r="EW449" s="73" t="str">
        <f t="shared" si="248"/>
        <v>No requiere</v>
      </c>
      <c r="EX449" s="78"/>
      <c r="EY449" s="78"/>
    </row>
    <row r="450" spans="1:155" ht="46.5" customHeight="1">
      <c r="A450" s="79">
        <v>446</v>
      </c>
      <c r="B450" s="80" t="s">
        <v>3211</v>
      </c>
      <c r="C450" s="81">
        <v>45428</v>
      </c>
      <c r="D450" s="82">
        <v>0.70833333333333337</v>
      </c>
      <c r="E450" s="79" t="s">
        <v>200</v>
      </c>
      <c r="F450" s="79" t="s">
        <v>153</v>
      </c>
      <c r="G450" s="79" t="s">
        <v>152</v>
      </c>
      <c r="H450" s="79" t="s">
        <v>152</v>
      </c>
      <c r="I450" s="79" t="s">
        <v>152</v>
      </c>
      <c r="J450" s="79" t="s">
        <v>211</v>
      </c>
      <c r="K450" s="79" t="s">
        <v>202</v>
      </c>
      <c r="L450" s="80" t="s">
        <v>3212</v>
      </c>
      <c r="M450" s="80" t="s">
        <v>624</v>
      </c>
      <c r="N450" s="79" t="s">
        <v>253</v>
      </c>
      <c r="O450" s="80" t="str">
        <f t="shared" si="236"/>
        <v>PENDIENTE</v>
      </c>
      <c r="P450" s="79" t="s">
        <v>196</v>
      </c>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t="s">
        <v>230</v>
      </c>
      <c r="AP450" s="79" t="s">
        <v>242</v>
      </c>
      <c r="AQ450" s="80" t="s">
        <v>1511</v>
      </c>
      <c r="AR450" s="83">
        <v>3188799909</v>
      </c>
      <c r="AS450" s="80" t="s">
        <v>2040</v>
      </c>
      <c r="AT450" s="80" t="str">
        <f t="shared" si="237"/>
        <v>Distrital</v>
      </c>
      <c r="AU450" s="79" t="s">
        <v>172</v>
      </c>
      <c r="AV450" s="79"/>
      <c r="AW450" s="79"/>
      <c r="AX450" s="79"/>
      <c r="AY450" s="79"/>
      <c r="AZ450" s="79"/>
      <c r="BA450" s="80" t="str">
        <f t="shared" si="238"/>
        <v>Distrital</v>
      </c>
      <c r="BB450" s="79" t="s">
        <v>172</v>
      </c>
      <c r="BC450" s="79"/>
      <c r="BD450" s="79"/>
      <c r="BE450" s="79"/>
      <c r="BF450" s="79"/>
      <c r="BG450" s="79"/>
      <c r="BH450" s="80" t="str">
        <f t="shared" si="239"/>
        <v>Distrital</v>
      </c>
      <c r="BI450" s="79" t="s">
        <v>172</v>
      </c>
      <c r="BJ450" s="79"/>
      <c r="BK450" s="79"/>
      <c r="BL450" s="79"/>
      <c r="BM450" s="79"/>
      <c r="BN450" s="79"/>
      <c r="BO450" s="79"/>
      <c r="BP450" s="79"/>
      <c r="BQ450" s="79"/>
      <c r="BR450" s="79"/>
      <c r="BS450" s="80" t="s">
        <v>288</v>
      </c>
      <c r="BT450" s="80" t="s">
        <v>174</v>
      </c>
      <c r="BU450" s="89" t="s">
        <v>3213</v>
      </c>
      <c r="BV450" s="71"/>
      <c r="BW450" s="79" t="s">
        <v>152</v>
      </c>
      <c r="BX450" s="79" t="s">
        <v>179</v>
      </c>
      <c r="BY450" s="71"/>
      <c r="BZ450" s="79">
        <v>59</v>
      </c>
      <c r="CA450" s="79">
        <v>2</v>
      </c>
      <c r="CB450" s="79">
        <f t="shared" si="281"/>
        <v>61</v>
      </c>
      <c r="CC450" s="79" t="str">
        <f t="shared" si="268"/>
        <v>No Aplica</v>
      </c>
      <c r="CD450" s="79" t="s">
        <v>177</v>
      </c>
      <c r="CE450" s="79"/>
      <c r="CF450" s="79"/>
      <c r="CG450" s="83" t="s">
        <v>3214</v>
      </c>
      <c r="CH450" s="41"/>
      <c r="CI450" s="79" t="s">
        <v>153</v>
      </c>
      <c r="CJ450" s="71"/>
      <c r="CK450" s="79">
        <f t="shared" si="288"/>
        <v>0</v>
      </c>
      <c r="CL450" s="79"/>
      <c r="CM450" s="79"/>
      <c r="CN450" s="79"/>
      <c r="CO450" s="79"/>
      <c r="CP450" s="79"/>
      <c r="CQ450" s="79"/>
      <c r="CR450" s="83" t="s">
        <v>179</v>
      </c>
      <c r="CS450" s="83" t="s">
        <v>179</v>
      </c>
      <c r="CT450" s="83" t="s">
        <v>179</v>
      </c>
      <c r="CU450" s="83" t="s">
        <v>179</v>
      </c>
      <c r="CV450" s="83" t="s">
        <v>179</v>
      </c>
      <c r="CW450" s="83" t="s">
        <v>179</v>
      </c>
      <c r="CX450" s="79" t="s">
        <v>153</v>
      </c>
      <c r="CY450" s="79">
        <f t="shared" si="290"/>
        <v>0</v>
      </c>
      <c r="CZ450" s="79">
        <v>0</v>
      </c>
      <c r="DA450" s="79">
        <f t="shared" si="291"/>
        <v>0</v>
      </c>
      <c r="DB450" s="84" t="str">
        <f t="shared" si="289"/>
        <v/>
      </c>
      <c r="DC450" s="41"/>
      <c r="DD450" s="79" t="s">
        <v>153</v>
      </c>
      <c r="DE450" s="71"/>
      <c r="DF450" s="85" t="s">
        <v>3215</v>
      </c>
      <c r="DG450" s="79">
        <v>439</v>
      </c>
      <c r="DH450" s="86" t="str">
        <f t="shared" si="286"/>
        <v>Completo</v>
      </c>
      <c r="DI450" s="79" t="s">
        <v>181</v>
      </c>
      <c r="DJ450" s="79" t="s">
        <v>182</v>
      </c>
      <c r="DK450" s="79"/>
      <c r="DL450" s="79">
        <v>0</v>
      </c>
      <c r="DM450" s="79">
        <v>0</v>
      </c>
      <c r="DN450" s="79" t="s">
        <v>182</v>
      </c>
      <c r="DO450" s="79"/>
      <c r="DP450" s="79"/>
      <c r="DQ450" s="79"/>
      <c r="DR450" s="75" t="str">
        <f t="shared" si="276"/>
        <v>No aplica</v>
      </c>
      <c r="DS450" s="79"/>
      <c r="DT450" s="79"/>
      <c r="DU450" s="75" t="str">
        <f t="shared" si="277"/>
        <v>No aplica</v>
      </c>
      <c r="DV450" s="79" t="s">
        <v>182</v>
      </c>
      <c r="DW450" s="79" t="s">
        <v>182</v>
      </c>
      <c r="DX450" s="79"/>
      <c r="DY450" s="79"/>
      <c r="DZ450" s="79"/>
      <c r="EA450" s="79"/>
      <c r="EB450" s="79" t="s">
        <v>182</v>
      </c>
      <c r="EC450" s="79" t="s">
        <v>1578</v>
      </c>
      <c r="ED450" s="79" t="s">
        <v>2915</v>
      </c>
      <c r="EE450" s="79" t="str">
        <f t="shared" ref="EE450:EE454" si="292">IF(DI450="Subsanado","Completo","Por Completar")</f>
        <v>Completo</v>
      </c>
      <c r="EF450" s="41"/>
      <c r="EG450" s="79" t="s">
        <v>153</v>
      </c>
      <c r="EH450" s="71"/>
      <c r="EI450" s="80"/>
      <c r="EJ450" s="71"/>
      <c r="EK450" s="79"/>
      <c r="EL450" s="76" t="str">
        <f t="shared" si="242"/>
        <v>No requiere</v>
      </c>
      <c r="EM450" s="76" t="str">
        <f t="shared" si="243"/>
        <v>No requiere</v>
      </c>
      <c r="EN450" s="76" t="str">
        <f t="shared" si="269"/>
        <v>No requiere</v>
      </c>
      <c r="EO450" s="71"/>
      <c r="EP450" s="73" t="str">
        <f t="shared" si="244"/>
        <v>No requiere</v>
      </c>
      <c r="EQ450" s="77" t="str">
        <f t="shared" si="245"/>
        <v>No requiere</v>
      </c>
      <c r="ER450" s="71"/>
      <c r="ES450" s="79"/>
      <c r="ET450" s="73" t="str">
        <f t="shared" si="246"/>
        <v>No requiere</v>
      </c>
      <c r="EU450" s="73" t="str">
        <f t="shared" si="270"/>
        <v>No requiere</v>
      </c>
      <c r="EV450" s="73" t="str">
        <f t="shared" si="247"/>
        <v>No requiere</v>
      </c>
      <c r="EW450" s="73" t="str">
        <f t="shared" si="248"/>
        <v>No requiere</v>
      </c>
      <c r="EX450" s="78"/>
      <c r="EY450" s="78"/>
    </row>
    <row r="451" spans="1:155" ht="46.5" customHeight="1">
      <c r="A451" s="79">
        <v>447</v>
      </c>
      <c r="B451" s="80" t="s">
        <v>3216</v>
      </c>
      <c r="C451" s="81">
        <v>45429</v>
      </c>
      <c r="D451" s="82">
        <v>0.375</v>
      </c>
      <c r="E451" s="79" t="s">
        <v>151</v>
      </c>
      <c r="F451" s="79" t="s">
        <v>153</v>
      </c>
      <c r="G451" s="79" t="s">
        <v>152</v>
      </c>
      <c r="H451" s="79" t="s">
        <v>152</v>
      </c>
      <c r="I451" s="79" t="s">
        <v>153</v>
      </c>
      <c r="J451" s="79" t="s">
        <v>227</v>
      </c>
      <c r="K451" s="79" t="s">
        <v>202</v>
      </c>
      <c r="L451" s="80" t="s">
        <v>3217</v>
      </c>
      <c r="M451" s="80" t="s">
        <v>229</v>
      </c>
      <c r="N451" s="79" t="s">
        <v>1387</v>
      </c>
      <c r="O451" s="80" t="str">
        <f t="shared" si="236"/>
        <v/>
      </c>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t="s">
        <v>304</v>
      </c>
      <c r="AP451" s="79"/>
      <c r="AQ451" s="80" t="s">
        <v>3218</v>
      </c>
      <c r="AR451" s="83">
        <v>3194686812</v>
      </c>
      <c r="AS451" s="80" t="s">
        <v>3219</v>
      </c>
      <c r="AT451" s="80" t="str">
        <f t="shared" si="237"/>
        <v>Barrios Unidos</v>
      </c>
      <c r="AU451" s="79" t="s">
        <v>1031</v>
      </c>
      <c r="AV451" s="79"/>
      <c r="AW451" s="79"/>
      <c r="AX451" s="79"/>
      <c r="AY451" s="79"/>
      <c r="AZ451" s="79"/>
      <c r="BA451" s="80" t="str">
        <f t="shared" si="238"/>
        <v>Centro Ampliado</v>
      </c>
      <c r="BB451" s="79" t="s">
        <v>636</v>
      </c>
      <c r="BC451" s="79"/>
      <c r="BD451" s="79"/>
      <c r="BE451" s="79"/>
      <c r="BF451" s="79"/>
      <c r="BG451" s="79"/>
      <c r="BH451" s="80" t="str">
        <f t="shared" si="239"/>
        <v>Barrios Unidos</v>
      </c>
      <c r="BI451" s="79" t="s">
        <v>1031</v>
      </c>
      <c r="BJ451" s="79"/>
      <c r="BK451" s="79"/>
      <c r="BL451" s="79"/>
      <c r="BM451" s="79"/>
      <c r="BN451" s="79"/>
      <c r="BO451" s="79"/>
      <c r="BP451" s="79"/>
      <c r="BQ451" s="79"/>
      <c r="BR451" s="79"/>
      <c r="BS451" s="80" t="s">
        <v>288</v>
      </c>
      <c r="BT451" s="80" t="s">
        <v>174</v>
      </c>
      <c r="BU451" s="89" t="s">
        <v>3220</v>
      </c>
      <c r="BV451" s="71"/>
      <c r="BW451" s="79" t="s">
        <v>152</v>
      </c>
      <c r="BX451" s="79" t="s">
        <v>179</v>
      </c>
      <c r="BY451" s="71"/>
      <c r="BZ451" s="79">
        <v>14</v>
      </c>
      <c r="CA451" s="79">
        <v>1</v>
      </c>
      <c r="CB451" s="79">
        <f t="shared" si="281"/>
        <v>15</v>
      </c>
      <c r="CC451" s="79" t="str">
        <f t="shared" si="268"/>
        <v>No Aplica</v>
      </c>
      <c r="CD451" s="79" t="s">
        <v>177</v>
      </c>
      <c r="CE451" s="79"/>
      <c r="CF451" s="79"/>
      <c r="CG451" s="83" t="s">
        <v>3221</v>
      </c>
      <c r="CH451" s="41"/>
      <c r="CI451" s="79" t="s">
        <v>153</v>
      </c>
      <c r="CJ451" s="71"/>
      <c r="CK451" s="79">
        <f t="shared" si="288"/>
        <v>0</v>
      </c>
      <c r="CL451" s="79"/>
      <c r="CM451" s="79"/>
      <c r="CN451" s="79"/>
      <c r="CO451" s="79"/>
      <c r="CP451" s="79"/>
      <c r="CQ451" s="79"/>
      <c r="CR451" s="83"/>
      <c r="CS451" s="83"/>
      <c r="CT451" s="83" t="s">
        <v>179</v>
      </c>
      <c r="CU451" s="83" t="s">
        <v>179</v>
      </c>
      <c r="CV451" s="83" t="s">
        <v>179</v>
      </c>
      <c r="CW451" s="83" t="s">
        <v>179</v>
      </c>
      <c r="CX451" s="79" t="s">
        <v>153</v>
      </c>
      <c r="CY451" s="79">
        <f t="shared" si="290"/>
        <v>0</v>
      </c>
      <c r="CZ451" s="79">
        <v>0</v>
      </c>
      <c r="DA451" s="79">
        <f t="shared" si="291"/>
        <v>0</v>
      </c>
      <c r="DB451" s="84" t="str">
        <f t="shared" si="289"/>
        <v/>
      </c>
      <c r="DC451" s="41"/>
      <c r="DD451" s="79" t="s">
        <v>153</v>
      </c>
      <c r="DE451" s="71"/>
      <c r="DF451" s="85" t="s">
        <v>3222</v>
      </c>
      <c r="DG451" s="79">
        <v>440</v>
      </c>
      <c r="DH451" s="86" t="str">
        <f t="shared" si="286"/>
        <v>Completo</v>
      </c>
      <c r="DI451" s="79" t="s">
        <v>181</v>
      </c>
      <c r="DJ451" s="79" t="s">
        <v>182</v>
      </c>
      <c r="DK451" s="79"/>
      <c r="DL451" s="79">
        <v>0</v>
      </c>
      <c r="DM451" s="79">
        <v>0</v>
      </c>
      <c r="DN451" s="79" t="s">
        <v>191</v>
      </c>
      <c r="DO451" s="79"/>
      <c r="DP451" s="79"/>
      <c r="DQ451" s="79"/>
      <c r="DR451" s="75" t="str">
        <f t="shared" si="276"/>
        <v>No aplica</v>
      </c>
      <c r="DS451" s="79"/>
      <c r="DT451" s="79"/>
      <c r="DU451" s="75" t="str">
        <f t="shared" si="277"/>
        <v>No aplica</v>
      </c>
      <c r="DV451" s="79" t="s">
        <v>182</v>
      </c>
      <c r="DW451" s="79" t="s">
        <v>182</v>
      </c>
      <c r="DX451" s="79"/>
      <c r="DY451" s="79"/>
      <c r="DZ451" s="79"/>
      <c r="EA451" s="79"/>
      <c r="EB451" s="79" t="s">
        <v>182</v>
      </c>
      <c r="EC451" s="79" t="s">
        <v>3223</v>
      </c>
      <c r="ED451" s="79" t="s">
        <v>3224</v>
      </c>
      <c r="EE451" s="79" t="str">
        <f t="shared" si="292"/>
        <v>Completo</v>
      </c>
      <c r="EF451" s="41"/>
      <c r="EG451" s="79" t="s">
        <v>153</v>
      </c>
      <c r="EH451" s="71"/>
      <c r="EI451" s="80"/>
      <c r="EJ451" s="71"/>
      <c r="EK451" s="79"/>
      <c r="EL451" s="76" t="str">
        <f t="shared" si="242"/>
        <v>No requiere</v>
      </c>
      <c r="EM451" s="76" t="str">
        <f t="shared" si="243"/>
        <v>No requiere</v>
      </c>
      <c r="EN451" s="76" t="str">
        <f t="shared" si="269"/>
        <v>No requiere</v>
      </c>
      <c r="EO451" s="71"/>
      <c r="EP451" s="73" t="str">
        <f t="shared" si="244"/>
        <v>No requiere</v>
      </c>
      <c r="EQ451" s="77" t="str">
        <f t="shared" si="245"/>
        <v>No requiere</v>
      </c>
      <c r="ER451" s="71"/>
      <c r="ES451" s="79"/>
      <c r="ET451" s="73" t="str">
        <f t="shared" si="246"/>
        <v>No requiere</v>
      </c>
      <c r="EU451" s="73" t="str">
        <f t="shared" si="270"/>
        <v>No requiere</v>
      </c>
      <c r="EV451" s="73" t="str">
        <f t="shared" si="247"/>
        <v>No requiere</v>
      </c>
      <c r="EW451" s="73" t="str">
        <f t="shared" si="248"/>
        <v>No requiere</v>
      </c>
      <c r="EX451" s="78"/>
      <c r="EY451" s="78"/>
    </row>
    <row r="452" spans="1:155" ht="46.5" customHeight="1">
      <c r="A452" s="79" t="str">
        <v/>
      </c>
      <c r="B452" s="80" t="s">
        <v>3225</v>
      </c>
      <c r="C452" s="81">
        <v>45429</v>
      </c>
      <c r="D452" s="82">
        <v>0.41666666666666669</v>
      </c>
      <c r="E452" s="79" t="s">
        <v>151</v>
      </c>
      <c r="F452" s="79" t="s">
        <v>152</v>
      </c>
      <c r="G452" s="79" t="s">
        <v>153</v>
      </c>
      <c r="H452" s="79" t="s">
        <v>152</v>
      </c>
      <c r="I452" s="79" t="s">
        <v>152</v>
      </c>
      <c r="J452" s="79" t="s">
        <v>251</v>
      </c>
      <c r="K452" s="79" t="s">
        <v>155</v>
      </c>
      <c r="L452" s="80" t="s">
        <v>3226</v>
      </c>
      <c r="M452" s="80" t="s">
        <v>157</v>
      </c>
      <c r="N452" s="79" t="s">
        <v>373</v>
      </c>
      <c r="O452" s="80" t="str">
        <f t="shared" si="236"/>
        <v/>
      </c>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t="s">
        <v>169</v>
      </c>
      <c r="AP452" s="79"/>
      <c r="AQ452" s="80" t="s">
        <v>171</v>
      </c>
      <c r="AR452" s="83" t="s">
        <v>171</v>
      </c>
      <c r="AS452" s="80" t="s">
        <v>171</v>
      </c>
      <c r="AT452" s="80" t="str">
        <f t="shared" si="237"/>
        <v>Distrital</v>
      </c>
      <c r="AU452" s="79" t="s">
        <v>172</v>
      </c>
      <c r="AV452" s="79"/>
      <c r="AW452" s="79"/>
      <c r="AX452" s="79"/>
      <c r="AY452" s="79"/>
      <c r="AZ452" s="79"/>
      <c r="BA452" s="80" t="str">
        <f t="shared" si="238"/>
        <v>Distrital</v>
      </c>
      <c r="BB452" s="79" t="s">
        <v>172</v>
      </c>
      <c r="BC452" s="79"/>
      <c r="BD452" s="79"/>
      <c r="BE452" s="79"/>
      <c r="BF452" s="79"/>
      <c r="BG452" s="79"/>
      <c r="BH452" s="80" t="str">
        <f t="shared" si="239"/>
        <v>Distrital</v>
      </c>
      <c r="BI452" s="79" t="s">
        <v>172</v>
      </c>
      <c r="BJ452" s="79"/>
      <c r="BK452" s="79"/>
      <c r="BL452" s="79"/>
      <c r="BM452" s="79"/>
      <c r="BN452" s="79"/>
      <c r="BO452" s="79"/>
      <c r="BP452" s="79"/>
      <c r="BQ452" s="79"/>
      <c r="BR452" s="79"/>
      <c r="BS452" s="80" t="s">
        <v>2598</v>
      </c>
      <c r="BT452" s="80" t="s">
        <v>174</v>
      </c>
      <c r="BU452" s="80" t="s">
        <v>2599</v>
      </c>
      <c r="BV452" s="71"/>
      <c r="BW452" s="79" t="s">
        <v>152</v>
      </c>
      <c r="BX452" s="79" t="s">
        <v>179</v>
      </c>
      <c r="BY452" s="71"/>
      <c r="BZ452" s="79">
        <v>0</v>
      </c>
      <c r="CA452" s="79">
        <v>10</v>
      </c>
      <c r="CB452" s="79">
        <f t="shared" si="281"/>
        <v>10</v>
      </c>
      <c r="CC452" s="79" t="str">
        <f t="shared" si="268"/>
        <v>No Aplica</v>
      </c>
      <c r="CD452" s="79" t="s">
        <v>177</v>
      </c>
      <c r="CE452" s="79"/>
      <c r="CF452" s="79"/>
      <c r="CG452" s="83" t="s">
        <v>3227</v>
      </c>
      <c r="CH452" s="41"/>
      <c r="CI452" s="79" t="s">
        <v>153</v>
      </c>
      <c r="CJ452" s="71"/>
      <c r="CK452" s="79">
        <f t="shared" si="288"/>
        <v>0</v>
      </c>
      <c r="CL452" s="79"/>
      <c r="CM452" s="79"/>
      <c r="CN452" s="79"/>
      <c r="CO452" s="79"/>
      <c r="CP452" s="79"/>
      <c r="CQ452" s="79"/>
      <c r="CR452" s="83" t="s">
        <v>179</v>
      </c>
      <c r="CS452" s="83" t="s">
        <v>179</v>
      </c>
      <c r="CT452" s="83" t="s">
        <v>179</v>
      </c>
      <c r="CU452" s="83" t="s">
        <v>179</v>
      </c>
      <c r="CV452" s="83" t="s">
        <v>179</v>
      </c>
      <c r="CW452" s="83" t="s">
        <v>179</v>
      </c>
      <c r="CX452" s="79" t="s">
        <v>153</v>
      </c>
      <c r="CY452" s="79">
        <f t="shared" si="290"/>
        <v>0</v>
      </c>
      <c r="CZ452" s="79">
        <v>0</v>
      </c>
      <c r="DA452" s="79">
        <f t="shared" si="291"/>
        <v>0</v>
      </c>
      <c r="DB452" s="84" t="str">
        <f t="shared" si="289"/>
        <v/>
      </c>
      <c r="DC452" s="41"/>
      <c r="DD452" s="79" t="s">
        <v>153</v>
      </c>
      <c r="DE452" s="71"/>
      <c r="DF452" s="85" t="s">
        <v>3228</v>
      </c>
      <c r="DG452" s="79">
        <v>441</v>
      </c>
      <c r="DH452" s="86" t="str">
        <f t="shared" si="286"/>
        <v>Completo</v>
      </c>
      <c r="DI452" s="79" t="s">
        <v>181</v>
      </c>
      <c r="DJ452" s="79" t="s">
        <v>182</v>
      </c>
      <c r="DK452" s="79"/>
      <c r="DL452" s="79">
        <v>0</v>
      </c>
      <c r="DM452" s="79">
        <v>0</v>
      </c>
      <c r="DN452" s="79" t="s">
        <v>182</v>
      </c>
      <c r="DO452" s="79"/>
      <c r="DP452" s="79"/>
      <c r="DQ452" s="79"/>
      <c r="DR452" s="75" t="str">
        <f t="shared" si="276"/>
        <v>No aplica</v>
      </c>
      <c r="DS452" s="79"/>
      <c r="DT452" s="79"/>
      <c r="DU452" s="75" t="str">
        <f t="shared" si="277"/>
        <v>No aplica</v>
      </c>
      <c r="DV452" s="79"/>
      <c r="DW452" s="79"/>
      <c r="DX452" s="79"/>
      <c r="DY452" s="79"/>
      <c r="DZ452" s="79"/>
      <c r="EA452" s="79"/>
      <c r="EB452" s="79" t="s">
        <v>182</v>
      </c>
      <c r="EC452" s="79" t="s">
        <v>3229</v>
      </c>
      <c r="ED452" s="79" t="s">
        <v>3230</v>
      </c>
      <c r="EE452" s="79" t="str">
        <f t="shared" si="292"/>
        <v>Completo</v>
      </c>
      <c r="EF452" s="41"/>
      <c r="EG452" s="79" t="s">
        <v>153</v>
      </c>
      <c r="EH452" s="71"/>
      <c r="EI452" s="80"/>
      <c r="EJ452" s="71"/>
      <c r="EK452" s="79"/>
      <c r="EL452" s="76" t="str">
        <f t="shared" si="242"/>
        <v>No requiere</v>
      </c>
      <c r="EM452" s="76" t="str">
        <f t="shared" si="243"/>
        <v>No requiere</v>
      </c>
      <c r="EN452" s="76" t="str">
        <f t="shared" si="269"/>
        <v>No requiere</v>
      </c>
      <c r="EO452" s="71"/>
      <c r="EP452" s="73" t="str">
        <f t="shared" si="244"/>
        <v>No requiere</v>
      </c>
      <c r="EQ452" s="77" t="str">
        <f t="shared" si="245"/>
        <v>No requiere</v>
      </c>
      <c r="ER452" s="71"/>
      <c r="ES452" s="79"/>
      <c r="ET452" s="73" t="str">
        <f t="shared" si="246"/>
        <v>No requiere</v>
      </c>
      <c r="EU452" s="73" t="str">
        <f t="shared" si="270"/>
        <v>No requiere</v>
      </c>
      <c r="EV452" s="73" t="str">
        <f t="shared" si="247"/>
        <v>No requiere</v>
      </c>
      <c r="EW452" s="73" t="str">
        <f t="shared" si="248"/>
        <v>No requiere</v>
      </c>
      <c r="EX452" s="78"/>
      <c r="EY452" s="78"/>
    </row>
    <row r="453" spans="1:155" ht="46.5" customHeight="1">
      <c r="A453" s="79">
        <v>449</v>
      </c>
      <c r="B453" s="80" t="s">
        <v>3231</v>
      </c>
      <c r="C453" s="81">
        <v>45429</v>
      </c>
      <c r="D453" s="82">
        <v>0.58333333333333337</v>
      </c>
      <c r="E453" s="79" t="s">
        <v>151</v>
      </c>
      <c r="F453" s="79" t="s">
        <v>153</v>
      </c>
      <c r="G453" s="79" t="s">
        <v>153</v>
      </c>
      <c r="H453" s="79" t="s">
        <v>152</v>
      </c>
      <c r="I453" s="79" t="s">
        <v>152</v>
      </c>
      <c r="J453" s="79" t="s">
        <v>3175</v>
      </c>
      <c r="K453" s="79" t="s">
        <v>155</v>
      </c>
      <c r="L453" s="80" t="s">
        <v>3232</v>
      </c>
      <c r="M453" s="80" t="s">
        <v>157</v>
      </c>
      <c r="N453" s="79" t="s">
        <v>422</v>
      </c>
      <c r="O453" s="80" t="str">
        <f t="shared" ref="O453:O516" si="293">_xlfn.TEXTJOIN(", ",TRUE,P453:AN453)</f>
        <v>María del Pilar Barreto, Paola Andrea González, Manuel Fernando Vergara, Juan Pablo Serna, Camilo Andrés Vásquez, Maria Angélica Higuera, Nathalia Guzmán Martínez</v>
      </c>
      <c r="P453" s="79" t="s">
        <v>195</v>
      </c>
      <c r="Q453" s="79" t="s">
        <v>924</v>
      </c>
      <c r="R453" s="79" t="s">
        <v>820</v>
      </c>
      <c r="S453" s="79" t="s">
        <v>818</v>
      </c>
      <c r="T453" s="79" t="s">
        <v>373</v>
      </c>
      <c r="U453" s="79" t="s">
        <v>328</v>
      </c>
      <c r="V453" s="79" t="s">
        <v>166</v>
      </c>
      <c r="W453" s="79"/>
      <c r="X453" s="79"/>
      <c r="Y453" s="79"/>
      <c r="Z453" s="79"/>
      <c r="AA453" s="79"/>
      <c r="AB453" s="79"/>
      <c r="AC453" s="79"/>
      <c r="AD453" s="79"/>
      <c r="AE453" s="79"/>
      <c r="AF453" s="79"/>
      <c r="AG453" s="79"/>
      <c r="AH453" s="79"/>
      <c r="AI453" s="79"/>
      <c r="AJ453" s="79"/>
      <c r="AK453" s="79"/>
      <c r="AL453" s="79"/>
      <c r="AM453" s="79"/>
      <c r="AN453" s="79"/>
      <c r="AO453" s="79" t="s">
        <v>169</v>
      </c>
      <c r="AP453" s="79" t="s">
        <v>170</v>
      </c>
      <c r="AQ453" s="80" t="s">
        <v>3233</v>
      </c>
      <c r="AR453" s="83" t="s">
        <v>3234</v>
      </c>
      <c r="AS453" s="80" t="s">
        <v>3235</v>
      </c>
      <c r="AT453" s="80" t="str">
        <f t="shared" ref="AT453:AT516" si="294">_xlfn.TEXTJOIN(", ",TRUE,$AU453:$AY453)</f>
        <v>Distrital</v>
      </c>
      <c r="AU453" s="79" t="s">
        <v>172</v>
      </c>
      <c r="AV453" s="79"/>
      <c r="AW453" s="79"/>
      <c r="AX453" s="79"/>
      <c r="AY453" s="79"/>
      <c r="AZ453" s="79"/>
      <c r="BA453" s="80" t="str">
        <f t="shared" ref="BA453:BA516" si="295">_xlfn.TEXTJOIN(", ",TRUE,$BB453:$BG453)</f>
        <v>Distrital</v>
      </c>
      <c r="BB453" s="79" t="s">
        <v>172</v>
      </c>
      <c r="BC453" s="79"/>
      <c r="BD453" s="79"/>
      <c r="BE453" s="79"/>
      <c r="BF453" s="79"/>
      <c r="BG453" s="79"/>
      <c r="BH453" s="80" t="str">
        <f t="shared" ref="BH453:BH516" si="296">_xlfn.TEXTJOIN(", ",TRUE,$BI453:$BR453)</f>
        <v>Distrital</v>
      </c>
      <c r="BI453" s="79" t="s">
        <v>172</v>
      </c>
      <c r="BJ453" s="79"/>
      <c r="BK453" s="79"/>
      <c r="BL453" s="79"/>
      <c r="BM453" s="79"/>
      <c r="BN453" s="79"/>
      <c r="BO453" s="79"/>
      <c r="BP453" s="79"/>
      <c r="BQ453" s="79"/>
      <c r="BR453" s="79"/>
      <c r="BS453" s="80" t="s">
        <v>3175</v>
      </c>
      <c r="BT453" s="80" t="s">
        <v>174</v>
      </c>
      <c r="BU453" s="80" t="s">
        <v>2884</v>
      </c>
      <c r="BV453" s="71"/>
      <c r="BW453" s="79" t="s">
        <v>152</v>
      </c>
      <c r="BX453" s="79" t="s">
        <v>179</v>
      </c>
      <c r="BY453" s="71"/>
      <c r="BZ453" s="79">
        <v>15</v>
      </c>
      <c r="CA453" s="79">
        <v>11</v>
      </c>
      <c r="CB453" s="79">
        <f t="shared" si="281"/>
        <v>26</v>
      </c>
      <c r="CC453" s="79" t="str">
        <f t="shared" si="268"/>
        <v>No Aplica</v>
      </c>
      <c r="CD453" s="79" t="s">
        <v>177</v>
      </c>
      <c r="CE453" s="79"/>
      <c r="CF453" s="79"/>
      <c r="CG453" s="83" t="s">
        <v>3236</v>
      </c>
      <c r="CH453" s="41"/>
      <c r="CI453" s="79" t="s">
        <v>153</v>
      </c>
      <c r="CJ453" s="71"/>
      <c r="CK453" s="79">
        <f t="shared" si="288"/>
        <v>0</v>
      </c>
      <c r="CL453" s="79"/>
      <c r="CM453" s="79"/>
      <c r="CN453" s="79"/>
      <c r="CO453" s="79"/>
      <c r="CP453" s="79"/>
      <c r="CQ453" s="79"/>
      <c r="CR453" s="83" t="s">
        <v>179</v>
      </c>
      <c r="CS453" s="83" t="s">
        <v>179</v>
      </c>
      <c r="CT453" s="83" t="s">
        <v>179</v>
      </c>
      <c r="CU453" s="83" t="s">
        <v>179</v>
      </c>
      <c r="CV453" s="83" t="s">
        <v>179</v>
      </c>
      <c r="CW453" s="83" t="s">
        <v>179</v>
      </c>
      <c r="CX453" s="79" t="s">
        <v>153</v>
      </c>
      <c r="CY453" s="79">
        <f t="shared" si="290"/>
        <v>0</v>
      </c>
      <c r="CZ453" s="79">
        <v>0</v>
      </c>
      <c r="DA453" s="79">
        <f t="shared" si="291"/>
        <v>0</v>
      </c>
      <c r="DB453" s="84" t="str">
        <f t="shared" si="289"/>
        <v/>
      </c>
      <c r="DC453" s="41"/>
      <c r="DD453" s="79" t="s">
        <v>153</v>
      </c>
      <c r="DE453" s="71"/>
      <c r="DF453" s="85" t="s">
        <v>3237</v>
      </c>
      <c r="DG453" s="79">
        <v>442</v>
      </c>
      <c r="DH453" s="86" t="str">
        <f t="shared" si="286"/>
        <v>Completo</v>
      </c>
      <c r="DI453" s="79" t="s">
        <v>181</v>
      </c>
      <c r="DJ453" s="79" t="s">
        <v>182</v>
      </c>
      <c r="DK453" s="79"/>
      <c r="DL453" s="79">
        <v>0</v>
      </c>
      <c r="DM453" s="79">
        <v>0</v>
      </c>
      <c r="DN453" s="79" t="s">
        <v>182</v>
      </c>
      <c r="DO453" s="79"/>
      <c r="DP453" s="79"/>
      <c r="DQ453" s="79"/>
      <c r="DR453" s="75" t="str">
        <f t="shared" si="276"/>
        <v>No aplica</v>
      </c>
      <c r="DS453" s="79"/>
      <c r="DT453" s="79"/>
      <c r="DU453" s="75" t="str">
        <f t="shared" si="277"/>
        <v>No aplica</v>
      </c>
      <c r="DV453" s="79" t="s">
        <v>182</v>
      </c>
      <c r="DW453" s="79" t="s">
        <v>182</v>
      </c>
      <c r="DX453" s="79"/>
      <c r="DY453" s="79"/>
      <c r="DZ453" s="79"/>
      <c r="EA453" s="79"/>
      <c r="EB453" s="79" t="s">
        <v>182</v>
      </c>
      <c r="EC453" s="79" t="s">
        <v>3238</v>
      </c>
      <c r="ED453" s="79" t="s">
        <v>184</v>
      </c>
      <c r="EE453" s="79" t="str">
        <f t="shared" si="292"/>
        <v>Completo</v>
      </c>
      <c r="EF453" s="41"/>
      <c r="EG453" s="79" t="s">
        <v>153</v>
      </c>
      <c r="EH453" s="71"/>
      <c r="EI453" s="80"/>
      <c r="EJ453" s="71"/>
      <c r="EK453" s="79"/>
      <c r="EL453" s="76" t="str">
        <f t="shared" ref="EL453:EL516" si="297">IF(F453="NO","No requiere",IF(H453="No","No requiere",IF(DW453="","",IF(DW453&lt;&gt;"No aplica",IF(DX453&lt;&gt;"No aplica",IF(DX453&gt;=2,"Sí","No"),"No aplica"),"No aplica"))))</f>
        <v>No requiere</v>
      </c>
      <c r="EM453" s="76" t="str">
        <f t="shared" ref="EM453:EM516" si="298">IF(F453="NO","No requiere",IF(H453="No","No requiere",IF(DW453="","",IF(DW453&lt;&gt;"No aplica",IF(DY453&lt;&gt;"No aplica",IF(DY453&gt;=1,"Sí","No"),"No aplica"),"No aplica"))))</f>
        <v>No requiere</v>
      </c>
      <c r="EN453" s="76" t="str">
        <f t="shared" si="269"/>
        <v>No requiere</v>
      </c>
      <c r="EO453" s="71"/>
      <c r="EP453" s="73" t="str">
        <f t="shared" ref="EP453:EP516" si="299">IF(F453="NO","No requiere",IF(H453="No","No requiere",IF(DL453="","",IF(DL453&gt;=1,DM453/DL453,"No aplica"))))</f>
        <v>No requiere</v>
      </c>
      <c r="EQ453" s="77" t="str">
        <f t="shared" ref="EQ453:EQ516" si="300">IFERROR(IF(F453="NO","No requiere",IF(H453="No","No requiere",DU453)),"")</f>
        <v>No requiere</v>
      </c>
      <c r="ER453" s="71"/>
      <c r="ES453" s="79"/>
      <c r="ET453" s="73" t="str">
        <f t="shared" ref="ET453:ET516" si="301">IF(F453="NO","No requiere",IF(H453="No","No requiere",IFERROR(COUNTIF(DJ453:DW453,"Completo")/SUM(COUNTIF(DJ453:DW453,"Completo"),COUNTIF(DJ453:DW453,"Incompleto"),COUNTIF(DJ453:DW453,"No subido"),COUNTIF(DJ453:DW453,"No existente"),COUNTIF(DJ453:DW453,"Pendiente")),"")))</f>
        <v>No requiere</v>
      </c>
      <c r="EU453" s="73" t="str">
        <f t="shared" si="270"/>
        <v>No requiere</v>
      </c>
      <c r="EV453" s="73" t="str">
        <f t="shared" ref="EV453:EV516" si="302">IF(EU453="Por verificar","Por verificar",IF(F453="NO","No requiere",IF(H453="No","No requiere",IFERROR(IF(EU453="","",IF(CK453&gt;=1,DA453/CZ453,"No aplica")),"No aplica"))))</f>
        <v>No requiere</v>
      </c>
      <c r="EW453" s="73" t="str">
        <f t="shared" ref="EW453:EW516" si="303">IF(F453="NO","No requiere",IF(H453="No","No requiere",IFERROR(IF(BZ453="","",IF(EA453&lt;&gt;"No aplica",IF(EA453&gt;=1,DO453/EA453,"0%"),"No aplica")),"")))</f>
        <v>No requiere</v>
      </c>
      <c r="EX453" s="78"/>
      <c r="EY453" s="78"/>
    </row>
    <row r="454" spans="1:155" ht="46.5" customHeight="1">
      <c r="A454" s="79" t="str">
        <v/>
      </c>
      <c r="B454" s="80" t="s">
        <v>3239</v>
      </c>
      <c r="C454" s="81">
        <v>45429</v>
      </c>
      <c r="D454" s="82">
        <v>0.58333333333333337</v>
      </c>
      <c r="E454" s="79" t="s">
        <v>151</v>
      </c>
      <c r="F454" s="79" t="s">
        <v>152</v>
      </c>
      <c r="G454" s="79" t="s">
        <v>152</v>
      </c>
      <c r="H454" s="79" t="s">
        <v>152</v>
      </c>
      <c r="I454" s="79" t="s">
        <v>152</v>
      </c>
      <c r="J454" s="79" t="s">
        <v>2615</v>
      </c>
      <c r="K454" s="79" t="s">
        <v>202</v>
      </c>
      <c r="L454" s="80" t="s">
        <v>3097</v>
      </c>
      <c r="M454" s="80" t="s">
        <v>157</v>
      </c>
      <c r="N454" s="79" t="s">
        <v>632</v>
      </c>
      <c r="O454" s="80" t="str">
        <f t="shared" si="293"/>
        <v/>
      </c>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t="s">
        <v>169</v>
      </c>
      <c r="AP454" s="79" t="s">
        <v>170</v>
      </c>
      <c r="AQ454" s="80" t="s">
        <v>171</v>
      </c>
      <c r="AR454" s="83" t="s">
        <v>171</v>
      </c>
      <c r="AS454" s="80" t="s">
        <v>171</v>
      </c>
      <c r="AT454" s="80" t="str">
        <f t="shared" si="294"/>
        <v>Distrital</v>
      </c>
      <c r="AU454" s="79" t="s">
        <v>172</v>
      </c>
      <c r="AV454" s="79"/>
      <c r="AW454" s="79"/>
      <c r="AX454" s="79"/>
      <c r="AY454" s="79"/>
      <c r="AZ454" s="79"/>
      <c r="BA454" s="80" t="str">
        <f t="shared" si="295"/>
        <v>Distrital</v>
      </c>
      <c r="BB454" s="79" t="s">
        <v>172</v>
      </c>
      <c r="BC454" s="79"/>
      <c r="BD454" s="79"/>
      <c r="BE454" s="79"/>
      <c r="BF454" s="79"/>
      <c r="BG454" s="79"/>
      <c r="BH454" s="80" t="str">
        <f t="shared" si="296"/>
        <v>Distrital</v>
      </c>
      <c r="BI454" s="79" t="s">
        <v>172</v>
      </c>
      <c r="BJ454" s="79"/>
      <c r="BK454" s="79"/>
      <c r="BL454" s="79"/>
      <c r="BM454" s="79"/>
      <c r="BN454" s="79"/>
      <c r="BO454" s="79"/>
      <c r="BP454" s="79"/>
      <c r="BQ454" s="79"/>
      <c r="BR454" s="79"/>
      <c r="BS454" s="80" t="s">
        <v>288</v>
      </c>
      <c r="BT454" s="80" t="s">
        <v>3098</v>
      </c>
      <c r="BU454" s="80" t="s">
        <v>2907</v>
      </c>
      <c r="BV454" s="71"/>
      <c r="BW454" s="79" t="s">
        <v>152</v>
      </c>
      <c r="BX454" s="79" t="s">
        <v>179</v>
      </c>
      <c r="BY454" s="71"/>
      <c r="BZ454" s="79">
        <v>0</v>
      </c>
      <c r="CA454" s="79">
        <v>11</v>
      </c>
      <c r="CB454" s="79">
        <f t="shared" si="281"/>
        <v>11</v>
      </c>
      <c r="CC454" s="79" t="str">
        <f t="shared" si="268"/>
        <v>No Aplica</v>
      </c>
      <c r="CD454" s="79" t="s">
        <v>177</v>
      </c>
      <c r="CE454" s="79"/>
      <c r="CF454" s="79"/>
      <c r="CG454" s="83" t="s">
        <v>3240</v>
      </c>
      <c r="CH454" s="41"/>
      <c r="CI454" s="79" t="s">
        <v>153</v>
      </c>
      <c r="CJ454" s="71"/>
      <c r="CK454" s="79">
        <f t="shared" si="288"/>
        <v>0</v>
      </c>
      <c r="CL454" s="79"/>
      <c r="CM454" s="79"/>
      <c r="CN454" s="79"/>
      <c r="CO454" s="79"/>
      <c r="CP454" s="79"/>
      <c r="CQ454" s="79"/>
      <c r="CR454" s="83" t="s">
        <v>179</v>
      </c>
      <c r="CS454" s="83" t="s">
        <v>179</v>
      </c>
      <c r="CT454" s="83" t="s">
        <v>179</v>
      </c>
      <c r="CU454" s="83" t="s">
        <v>179</v>
      </c>
      <c r="CV454" s="83" t="s">
        <v>179</v>
      </c>
      <c r="CW454" s="83" t="s">
        <v>179</v>
      </c>
      <c r="CX454" s="79" t="s">
        <v>153</v>
      </c>
      <c r="CY454" s="79">
        <f t="shared" si="290"/>
        <v>0</v>
      </c>
      <c r="CZ454" s="79">
        <v>0</v>
      </c>
      <c r="DA454" s="79">
        <f t="shared" si="291"/>
        <v>0</v>
      </c>
      <c r="DB454" s="84" t="str">
        <f t="shared" si="289"/>
        <v/>
      </c>
      <c r="DC454" s="41"/>
      <c r="DD454" s="79" t="s">
        <v>153</v>
      </c>
      <c r="DE454" s="71"/>
      <c r="DF454" s="85" t="s">
        <v>3241</v>
      </c>
      <c r="DG454" s="79">
        <v>443</v>
      </c>
      <c r="DH454" s="86" t="str">
        <f t="shared" si="286"/>
        <v>Completo</v>
      </c>
      <c r="DI454" s="79" t="s">
        <v>181</v>
      </c>
      <c r="DJ454" s="79" t="s">
        <v>182</v>
      </c>
      <c r="DK454" s="79"/>
      <c r="DL454" s="79">
        <v>0</v>
      </c>
      <c r="DM454" s="79">
        <v>0</v>
      </c>
      <c r="DN454" s="79" t="s">
        <v>182</v>
      </c>
      <c r="DO454" s="79"/>
      <c r="DP454" s="79"/>
      <c r="DQ454" s="79"/>
      <c r="DR454" s="75" t="str">
        <f t="shared" si="276"/>
        <v>No aplica</v>
      </c>
      <c r="DS454" s="79"/>
      <c r="DT454" s="79"/>
      <c r="DU454" s="75" t="str">
        <f t="shared" si="277"/>
        <v>No aplica</v>
      </c>
      <c r="DV454" s="79" t="s">
        <v>182</v>
      </c>
      <c r="DW454" s="79"/>
      <c r="DX454" s="79"/>
      <c r="DY454" s="79"/>
      <c r="DZ454" s="79"/>
      <c r="EA454" s="79"/>
      <c r="EB454" s="79"/>
      <c r="EC454" s="79"/>
      <c r="ED454" s="79" t="s">
        <v>3242</v>
      </c>
      <c r="EE454" s="79" t="str">
        <f t="shared" si="292"/>
        <v>Completo</v>
      </c>
      <c r="EF454" s="41"/>
      <c r="EG454" s="79" t="s">
        <v>153</v>
      </c>
      <c r="EH454" s="71"/>
      <c r="EI454" s="80"/>
      <c r="EJ454" s="71"/>
      <c r="EK454" s="79"/>
      <c r="EL454" s="76" t="str">
        <f t="shared" si="297"/>
        <v>No requiere</v>
      </c>
      <c r="EM454" s="76" t="str">
        <f t="shared" si="298"/>
        <v>No requiere</v>
      </c>
      <c r="EN454" s="76" t="str">
        <f t="shared" si="269"/>
        <v>No requiere</v>
      </c>
      <c r="EO454" s="71"/>
      <c r="EP454" s="73" t="str">
        <f t="shared" si="299"/>
        <v>No requiere</v>
      </c>
      <c r="EQ454" s="77" t="str">
        <f t="shared" si="300"/>
        <v>No requiere</v>
      </c>
      <c r="ER454" s="71"/>
      <c r="ES454" s="79"/>
      <c r="ET454" s="73" t="str">
        <f t="shared" si="301"/>
        <v>No requiere</v>
      </c>
      <c r="EU454" s="73" t="str">
        <f t="shared" si="270"/>
        <v>No requiere</v>
      </c>
      <c r="EV454" s="73" t="str">
        <f t="shared" si="302"/>
        <v>No requiere</v>
      </c>
      <c r="EW454" s="73" t="str">
        <f t="shared" si="303"/>
        <v>No requiere</v>
      </c>
      <c r="EX454" s="78"/>
      <c r="EY454" s="78"/>
    </row>
    <row r="455" spans="1:155" ht="46.5" customHeight="1">
      <c r="A455" s="79">
        <v>451</v>
      </c>
      <c r="B455" s="80" t="s">
        <v>3243</v>
      </c>
      <c r="C455" s="81">
        <v>45429</v>
      </c>
      <c r="D455" s="82">
        <v>0.60416666666666663</v>
      </c>
      <c r="E455" s="79" t="s">
        <v>151</v>
      </c>
      <c r="F455" s="79" t="s">
        <v>153</v>
      </c>
      <c r="G455" s="79" t="s">
        <v>152</v>
      </c>
      <c r="H455" s="79" t="s">
        <v>152</v>
      </c>
      <c r="I455" s="79" t="s">
        <v>152</v>
      </c>
      <c r="J455" s="79" t="s">
        <v>1711</v>
      </c>
      <c r="K455" s="79" t="s">
        <v>202</v>
      </c>
      <c r="L455" s="80" t="s">
        <v>3244</v>
      </c>
      <c r="M455" s="80" t="s">
        <v>157</v>
      </c>
      <c r="N455" s="79" t="s">
        <v>887</v>
      </c>
      <c r="O455" s="80" t="str">
        <f t="shared" si="293"/>
        <v>Yeiker Guerra Sarmiento</v>
      </c>
      <c r="P455" s="79" t="s">
        <v>163</v>
      </c>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t="s">
        <v>169</v>
      </c>
      <c r="AP455" s="79"/>
      <c r="AQ455" s="80" t="s">
        <v>1839</v>
      </c>
      <c r="AR455" s="83">
        <v>3013547532</v>
      </c>
      <c r="AS455" s="80" t="s">
        <v>1840</v>
      </c>
      <c r="AT455" s="80" t="str">
        <f t="shared" si="294"/>
        <v>Distrital</v>
      </c>
      <c r="AU455" s="79" t="s">
        <v>172</v>
      </c>
      <c r="AV455" s="79"/>
      <c r="AW455" s="79"/>
      <c r="AX455" s="79"/>
      <c r="AY455" s="79"/>
      <c r="AZ455" s="79"/>
      <c r="BA455" s="80" t="str">
        <f t="shared" si="295"/>
        <v>Distrital</v>
      </c>
      <c r="BB455" s="79" t="s">
        <v>172</v>
      </c>
      <c r="BC455" s="79"/>
      <c r="BD455" s="79"/>
      <c r="BE455" s="79"/>
      <c r="BF455" s="79"/>
      <c r="BG455" s="79"/>
      <c r="BH455" s="80" t="str">
        <f t="shared" si="296"/>
        <v>Distrital</v>
      </c>
      <c r="BI455" s="79" t="s">
        <v>172</v>
      </c>
      <c r="BJ455" s="79"/>
      <c r="BK455" s="79"/>
      <c r="BL455" s="79"/>
      <c r="BM455" s="79"/>
      <c r="BN455" s="79"/>
      <c r="BO455" s="79"/>
      <c r="BP455" s="79"/>
      <c r="BQ455" s="79"/>
      <c r="BR455" s="79"/>
      <c r="BS455" s="80" t="s">
        <v>3245</v>
      </c>
      <c r="BT455" s="80" t="s">
        <v>174</v>
      </c>
      <c r="BU455" s="89" t="s">
        <v>3246</v>
      </c>
      <c r="BV455" s="71"/>
      <c r="BW455" s="79" t="s">
        <v>152</v>
      </c>
      <c r="BX455" s="79" t="s">
        <v>179</v>
      </c>
      <c r="BY455" s="71"/>
      <c r="BZ455" s="79">
        <v>1</v>
      </c>
      <c r="CA455" s="79">
        <v>2</v>
      </c>
      <c r="CB455" s="79">
        <f t="shared" si="281"/>
        <v>3</v>
      </c>
      <c r="CC455" s="79" t="str">
        <f t="shared" si="268"/>
        <v>No Aplica</v>
      </c>
      <c r="CD455" s="79" t="s">
        <v>177</v>
      </c>
      <c r="CE455" s="79"/>
      <c r="CF455" s="79"/>
      <c r="CG455" s="83" t="s">
        <v>3247</v>
      </c>
      <c r="CH455" s="41"/>
      <c r="CI455" s="79" t="s">
        <v>153</v>
      </c>
      <c r="CJ455" s="71"/>
      <c r="CK455" s="79">
        <f t="shared" si="288"/>
        <v>0</v>
      </c>
      <c r="CL455" s="79"/>
      <c r="CM455" s="79"/>
      <c r="CN455" s="79"/>
      <c r="CO455" s="79"/>
      <c r="CP455" s="79"/>
      <c r="CQ455" s="79"/>
      <c r="CR455" s="83" t="s">
        <v>179</v>
      </c>
      <c r="CS455" s="83" t="s">
        <v>179</v>
      </c>
      <c r="CT455" s="83" t="s">
        <v>179</v>
      </c>
      <c r="CU455" s="83" t="s">
        <v>179</v>
      </c>
      <c r="CV455" s="83" t="s">
        <v>179</v>
      </c>
      <c r="CW455" s="83" t="s">
        <v>179</v>
      </c>
      <c r="CX455" s="79" t="s">
        <v>153</v>
      </c>
      <c r="CY455" s="79">
        <f t="shared" si="290"/>
        <v>0</v>
      </c>
      <c r="CZ455" s="79">
        <v>0</v>
      </c>
      <c r="DA455" s="79">
        <f t="shared" si="291"/>
        <v>0</v>
      </c>
      <c r="DB455" s="84" t="str">
        <f t="shared" si="289"/>
        <v/>
      </c>
      <c r="DC455" s="41"/>
      <c r="DD455" s="79" t="s">
        <v>153</v>
      </c>
      <c r="DE455" s="71"/>
      <c r="DF455" s="85" t="s">
        <v>3248</v>
      </c>
      <c r="DG455" s="79">
        <v>444</v>
      </c>
      <c r="DH455" s="86">
        <f t="shared" si="286"/>
        <v>45432</v>
      </c>
      <c r="DI455" s="79" t="s">
        <v>181</v>
      </c>
      <c r="DJ455" s="79" t="s">
        <v>182</v>
      </c>
      <c r="DK455" s="79"/>
      <c r="DL455" s="79">
        <v>0</v>
      </c>
      <c r="DM455" s="79">
        <v>0</v>
      </c>
      <c r="DN455" s="79" t="s">
        <v>182</v>
      </c>
      <c r="DO455" s="79"/>
      <c r="DP455" s="79"/>
      <c r="DQ455" s="79"/>
      <c r="DR455" s="75" t="str">
        <f t="shared" si="276"/>
        <v>No aplica</v>
      </c>
      <c r="DS455" s="79"/>
      <c r="DT455" s="79"/>
      <c r="DU455" s="75" t="str">
        <f t="shared" si="277"/>
        <v>No aplica</v>
      </c>
      <c r="DV455" s="79" t="s">
        <v>182</v>
      </c>
      <c r="DW455" s="79" t="s">
        <v>182</v>
      </c>
      <c r="DX455" s="79"/>
      <c r="DY455" s="79"/>
      <c r="DZ455" s="79"/>
      <c r="EA455" s="79"/>
      <c r="EB455" s="79"/>
      <c r="EC455" s="79"/>
      <c r="ED455" s="79" t="s">
        <v>3249</v>
      </c>
      <c r="EE455" s="79" t="s">
        <v>621</v>
      </c>
      <c r="EF455" s="41"/>
      <c r="EG455" s="79" t="s">
        <v>153</v>
      </c>
      <c r="EH455" s="71"/>
      <c r="EI455" s="80"/>
      <c r="EJ455" s="71"/>
      <c r="EK455" s="79"/>
      <c r="EL455" s="76" t="str">
        <f t="shared" si="297"/>
        <v>No requiere</v>
      </c>
      <c r="EM455" s="76" t="str">
        <f t="shared" si="298"/>
        <v>No requiere</v>
      </c>
      <c r="EN455" s="76" t="str">
        <f t="shared" si="269"/>
        <v>No requiere</v>
      </c>
      <c r="EO455" s="71"/>
      <c r="EP455" s="73" t="str">
        <f t="shared" si="299"/>
        <v>No requiere</v>
      </c>
      <c r="EQ455" s="77" t="str">
        <f t="shared" si="300"/>
        <v>No requiere</v>
      </c>
      <c r="ER455" s="71"/>
      <c r="ES455" s="79"/>
      <c r="ET455" s="73" t="str">
        <f t="shared" si="301"/>
        <v>No requiere</v>
      </c>
      <c r="EU455" s="73" t="str">
        <f t="shared" si="270"/>
        <v>No requiere</v>
      </c>
      <c r="EV455" s="73" t="str">
        <f t="shared" si="302"/>
        <v>No requiere</v>
      </c>
      <c r="EW455" s="73" t="str">
        <f t="shared" si="303"/>
        <v>No requiere</v>
      </c>
      <c r="EX455" s="78"/>
      <c r="EY455" s="78"/>
    </row>
    <row r="456" spans="1:155" ht="46.5" customHeight="1">
      <c r="A456" s="79">
        <v>452</v>
      </c>
      <c r="B456" s="80" t="s">
        <v>3250</v>
      </c>
      <c r="C456" s="81">
        <v>45429</v>
      </c>
      <c r="D456" s="82">
        <v>0.70833333333333337</v>
      </c>
      <c r="E456" s="79" t="s">
        <v>200</v>
      </c>
      <c r="F456" s="79" t="s">
        <v>153</v>
      </c>
      <c r="G456" s="79" t="s">
        <v>152</v>
      </c>
      <c r="H456" s="79" t="s">
        <v>152</v>
      </c>
      <c r="I456" s="79" t="s">
        <v>152</v>
      </c>
      <c r="J456" s="79" t="s">
        <v>211</v>
      </c>
      <c r="K456" s="79" t="s">
        <v>202</v>
      </c>
      <c r="L456" s="80" t="s">
        <v>3251</v>
      </c>
      <c r="M456" s="80" t="s">
        <v>624</v>
      </c>
      <c r="N456" s="79" t="s">
        <v>523</v>
      </c>
      <c r="O456" s="80" t="str">
        <f t="shared" si="293"/>
        <v/>
      </c>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t="s">
        <v>230</v>
      </c>
      <c r="AP456" s="79" t="s">
        <v>242</v>
      </c>
      <c r="AQ456" s="80" t="s">
        <v>1334</v>
      </c>
      <c r="AR456" s="83" t="s">
        <v>1555</v>
      </c>
      <c r="AS456" s="80" t="s">
        <v>3252</v>
      </c>
      <c r="AT456" s="80" t="str">
        <f t="shared" si="294"/>
        <v>Distrital</v>
      </c>
      <c r="AU456" s="79" t="s">
        <v>172</v>
      </c>
      <c r="AV456" s="79"/>
      <c r="AW456" s="79"/>
      <c r="AX456" s="79"/>
      <c r="AY456" s="79"/>
      <c r="AZ456" s="79"/>
      <c r="BA456" s="80" t="str">
        <f t="shared" si="295"/>
        <v>Distrital</v>
      </c>
      <c r="BB456" s="79" t="s">
        <v>172</v>
      </c>
      <c r="BC456" s="79"/>
      <c r="BD456" s="79"/>
      <c r="BE456" s="79"/>
      <c r="BF456" s="79"/>
      <c r="BG456" s="79"/>
      <c r="BH456" s="80" t="str">
        <f t="shared" si="296"/>
        <v>Distrital</v>
      </c>
      <c r="BI456" s="79" t="s">
        <v>172</v>
      </c>
      <c r="BJ456" s="79"/>
      <c r="BK456" s="79"/>
      <c r="BL456" s="79"/>
      <c r="BM456" s="79"/>
      <c r="BN456" s="79"/>
      <c r="BO456" s="79"/>
      <c r="BP456" s="79"/>
      <c r="BQ456" s="79"/>
      <c r="BR456" s="79"/>
      <c r="BS456" s="80" t="s">
        <v>288</v>
      </c>
      <c r="BT456" s="80" t="s">
        <v>174</v>
      </c>
      <c r="BU456" s="89" t="s">
        <v>3253</v>
      </c>
      <c r="BV456" s="71"/>
      <c r="BW456" s="79" t="s">
        <v>152</v>
      </c>
      <c r="BX456" s="79" t="s">
        <v>179</v>
      </c>
      <c r="BY456" s="71"/>
      <c r="BZ456" s="79">
        <v>9</v>
      </c>
      <c r="CA456" s="79">
        <v>1</v>
      </c>
      <c r="CB456" s="79">
        <f t="shared" si="281"/>
        <v>10</v>
      </c>
      <c r="CC456" s="79" t="str">
        <f t="shared" si="268"/>
        <v>No Aplica</v>
      </c>
      <c r="CD456" s="79" t="s">
        <v>177</v>
      </c>
      <c r="CE456" s="79"/>
      <c r="CF456" s="79"/>
      <c r="CG456" s="83" t="s">
        <v>3254</v>
      </c>
      <c r="CH456" s="41"/>
      <c r="CI456" s="79" t="s">
        <v>153</v>
      </c>
      <c r="CJ456" s="71"/>
      <c r="CK456" s="79">
        <f t="shared" si="288"/>
        <v>0</v>
      </c>
      <c r="CL456" s="79"/>
      <c r="CM456" s="79"/>
      <c r="CN456" s="79"/>
      <c r="CO456" s="79"/>
      <c r="CP456" s="79"/>
      <c r="CQ456" s="79"/>
      <c r="CR456" s="83"/>
      <c r="CS456" s="83" t="s">
        <v>179</v>
      </c>
      <c r="CT456" s="83" t="s">
        <v>179</v>
      </c>
      <c r="CU456" s="83" t="s">
        <v>179</v>
      </c>
      <c r="CV456" s="83" t="s">
        <v>179</v>
      </c>
      <c r="CW456" s="83" t="s">
        <v>179</v>
      </c>
      <c r="CX456" s="79" t="s">
        <v>153</v>
      </c>
      <c r="CY456" s="79">
        <f t="shared" si="290"/>
        <v>0</v>
      </c>
      <c r="CZ456" s="79">
        <v>0</v>
      </c>
      <c r="DA456" s="79">
        <f t="shared" si="291"/>
        <v>0</v>
      </c>
      <c r="DB456" s="84" t="str">
        <f t="shared" si="289"/>
        <v/>
      </c>
      <c r="DC456" s="41"/>
      <c r="DD456" s="79"/>
      <c r="DE456" s="71"/>
      <c r="DF456" s="85" t="s">
        <v>3255</v>
      </c>
      <c r="DG456" s="79">
        <v>445</v>
      </c>
      <c r="DH456" s="86">
        <f t="shared" si="286"/>
        <v>45432</v>
      </c>
      <c r="DI456" s="79" t="s">
        <v>1246</v>
      </c>
      <c r="DJ456" s="79"/>
      <c r="DK456" s="79"/>
      <c r="DL456" s="79">
        <v>0</v>
      </c>
      <c r="DM456" s="79">
        <v>0</v>
      </c>
      <c r="DN456" s="79"/>
      <c r="DO456" s="79"/>
      <c r="DP456" s="79"/>
      <c r="DQ456" s="79"/>
      <c r="DR456" s="75" t="str">
        <f t="shared" si="276"/>
        <v>No aplica</v>
      </c>
      <c r="DS456" s="79"/>
      <c r="DT456" s="79"/>
      <c r="DU456" s="75" t="str">
        <f t="shared" si="277"/>
        <v>No aplica</v>
      </c>
      <c r="DV456" s="79"/>
      <c r="DW456" s="79"/>
      <c r="DX456" s="79"/>
      <c r="DY456" s="79"/>
      <c r="DZ456" s="79"/>
      <c r="EA456" s="79"/>
      <c r="EB456" s="79"/>
      <c r="EC456" s="79"/>
      <c r="ED456" s="79"/>
      <c r="EE456" s="79" t="s">
        <v>621</v>
      </c>
      <c r="EF456" s="41"/>
      <c r="EG456" s="79" t="s">
        <v>152</v>
      </c>
      <c r="EH456" s="71"/>
      <c r="EI456" s="80"/>
      <c r="EJ456" s="71"/>
      <c r="EK456" s="79"/>
      <c r="EL456" s="76" t="str">
        <f t="shared" si="297"/>
        <v>No requiere</v>
      </c>
      <c r="EM456" s="76" t="str">
        <f t="shared" si="298"/>
        <v>No requiere</v>
      </c>
      <c r="EN456" s="76" t="str">
        <f t="shared" si="269"/>
        <v>No requiere</v>
      </c>
      <c r="EO456" s="71"/>
      <c r="EP456" s="73" t="str">
        <f t="shared" si="299"/>
        <v>No requiere</v>
      </c>
      <c r="EQ456" s="77" t="str">
        <f t="shared" si="300"/>
        <v>No requiere</v>
      </c>
      <c r="ER456" s="71"/>
      <c r="ES456" s="79"/>
      <c r="ET456" s="73" t="str">
        <f t="shared" si="301"/>
        <v>No requiere</v>
      </c>
      <c r="EU456" s="73" t="str">
        <f t="shared" si="270"/>
        <v>No requiere</v>
      </c>
      <c r="EV456" s="73" t="str">
        <f t="shared" si="302"/>
        <v>No requiere</v>
      </c>
      <c r="EW456" s="73" t="str">
        <f t="shared" si="303"/>
        <v>No requiere</v>
      </c>
      <c r="EX456" s="78"/>
      <c r="EY456" s="78"/>
    </row>
    <row r="457" spans="1:155" ht="46.5" customHeight="1">
      <c r="A457" s="79" t="str">
        <v/>
      </c>
      <c r="B457" s="80" t="s">
        <v>3256</v>
      </c>
      <c r="C457" s="81">
        <v>45430</v>
      </c>
      <c r="D457" s="82">
        <v>0.33333333333333331</v>
      </c>
      <c r="E457" s="79" t="s">
        <v>151</v>
      </c>
      <c r="F457" s="79" t="s">
        <v>152</v>
      </c>
      <c r="G457" s="79" t="s">
        <v>152</v>
      </c>
      <c r="H457" s="79" t="s">
        <v>152</v>
      </c>
      <c r="I457" s="79" t="s">
        <v>152</v>
      </c>
      <c r="J457" s="79" t="s">
        <v>272</v>
      </c>
      <c r="K457" s="79" t="s">
        <v>155</v>
      </c>
      <c r="L457" s="80" t="s">
        <v>3257</v>
      </c>
      <c r="M457" s="80" t="s">
        <v>157</v>
      </c>
      <c r="N457" s="79" t="s">
        <v>720</v>
      </c>
      <c r="O457" s="80" t="str">
        <f t="shared" si="293"/>
        <v>Claudia Fernanda Pineda</v>
      </c>
      <c r="P457" s="79" t="s">
        <v>546</v>
      </c>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t="s">
        <v>169</v>
      </c>
      <c r="AP457" s="79" t="s">
        <v>214</v>
      </c>
      <c r="AQ457" s="80" t="s">
        <v>3258</v>
      </c>
      <c r="AR457" s="83">
        <v>3219263192</v>
      </c>
      <c r="AS457" s="80" t="s">
        <v>3259</v>
      </c>
      <c r="AT457" s="80" t="str">
        <f t="shared" si="294"/>
        <v>San Cristóbal</v>
      </c>
      <c r="AU457" s="79" t="s">
        <v>570</v>
      </c>
      <c r="AV457" s="79"/>
      <c r="AW457" s="79"/>
      <c r="AX457" s="79"/>
      <c r="AY457" s="79"/>
      <c r="AZ457" s="79"/>
      <c r="BA457" s="80" t="str">
        <f t="shared" si="295"/>
        <v>Suroriente, Ruralidad</v>
      </c>
      <c r="BB457" s="79" t="s">
        <v>218</v>
      </c>
      <c r="BC457" s="79" t="s">
        <v>219</v>
      </c>
      <c r="BD457" s="79"/>
      <c r="BE457" s="79"/>
      <c r="BF457" s="79"/>
      <c r="BG457" s="79"/>
      <c r="BH457" s="80" t="str">
        <f t="shared" si="296"/>
        <v>San Cristobal, Cerros Orientales</v>
      </c>
      <c r="BI457" s="79" t="s">
        <v>571</v>
      </c>
      <c r="BJ457" s="79" t="s">
        <v>361</v>
      </c>
      <c r="BK457" s="79"/>
      <c r="BL457" s="79"/>
      <c r="BM457" s="79"/>
      <c r="BN457" s="79"/>
      <c r="BO457" s="79"/>
      <c r="BP457" s="79"/>
      <c r="BQ457" s="79"/>
      <c r="BR457" s="79"/>
      <c r="BS457" s="80" t="s">
        <v>2309</v>
      </c>
      <c r="BT457" s="80" t="s">
        <v>174</v>
      </c>
      <c r="BU457" s="80" t="s">
        <v>3260</v>
      </c>
      <c r="BV457" s="71"/>
      <c r="BW457" s="79" t="s">
        <v>152</v>
      </c>
      <c r="BX457" s="79" t="s">
        <v>179</v>
      </c>
      <c r="BY457" s="71"/>
      <c r="BZ457" s="79">
        <v>30</v>
      </c>
      <c r="CA457" s="79">
        <v>3</v>
      </c>
      <c r="CB457" s="79">
        <f t="shared" si="281"/>
        <v>33</v>
      </c>
      <c r="CC457" s="79" t="str">
        <f t="shared" si="268"/>
        <v>No Aplica</v>
      </c>
      <c r="CD457" s="79" t="s">
        <v>177</v>
      </c>
      <c r="CE457" s="79"/>
      <c r="CF457" s="79"/>
      <c r="CG457" s="83" t="s">
        <v>3261</v>
      </c>
      <c r="CH457" s="41"/>
      <c r="CI457" s="79" t="s">
        <v>153</v>
      </c>
      <c r="CJ457" s="71"/>
      <c r="CK457" s="79">
        <f t="shared" si="288"/>
        <v>0</v>
      </c>
      <c r="CL457" s="79"/>
      <c r="CM457" s="79"/>
      <c r="CN457" s="79"/>
      <c r="CO457" s="79"/>
      <c r="CP457" s="79"/>
      <c r="CQ457" s="79"/>
      <c r="CR457" s="83"/>
      <c r="CS457" s="83" t="s">
        <v>179</v>
      </c>
      <c r="CT457" s="83" t="s">
        <v>179</v>
      </c>
      <c r="CU457" s="83" t="s">
        <v>179</v>
      </c>
      <c r="CV457" s="83" t="s">
        <v>179</v>
      </c>
      <c r="CW457" s="83" t="s">
        <v>179</v>
      </c>
      <c r="CX457" s="79" t="s">
        <v>153</v>
      </c>
      <c r="CY457" s="79">
        <f t="shared" si="290"/>
        <v>0</v>
      </c>
      <c r="CZ457" s="79">
        <v>0</v>
      </c>
      <c r="DA457" s="79">
        <f t="shared" si="291"/>
        <v>0</v>
      </c>
      <c r="DB457" s="84" t="str">
        <f t="shared" si="289"/>
        <v/>
      </c>
      <c r="DC457" s="41"/>
      <c r="DD457" s="79" t="s">
        <v>153</v>
      </c>
      <c r="DE457" s="71"/>
      <c r="DF457" s="85" t="s">
        <v>3262</v>
      </c>
      <c r="DG457" s="79">
        <v>446</v>
      </c>
      <c r="DH457" s="86" t="str">
        <f t="shared" si="286"/>
        <v>Completo</v>
      </c>
      <c r="DI457" s="79" t="s">
        <v>181</v>
      </c>
      <c r="DJ457" s="79" t="s">
        <v>182</v>
      </c>
      <c r="DK457" s="79"/>
      <c r="DL457" s="79">
        <v>0</v>
      </c>
      <c r="DM457" s="79">
        <v>0</v>
      </c>
      <c r="DN457" s="79" t="s">
        <v>182</v>
      </c>
      <c r="DO457" s="79"/>
      <c r="DP457" s="79"/>
      <c r="DQ457" s="79"/>
      <c r="DR457" s="75" t="str">
        <f t="shared" si="276"/>
        <v>No aplica</v>
      </c>
      <c r="DS457" s="79"/>
      <c r="DT457" s="79"/>
      <c r="DU457" s="75" t="str">
        <f t="shared" si="277"/>
        <v>No aplica</v>
      </c>
      <c r="DV457" s="79" t="s">
        <v>182</v>
      </c>
      <c r="DW457" s="79"/>
      <c r="DX457" s="79"/>
      <c r="DY457" s="79"/>
      <c r="DZ457" s="79"/>
      <c r="EA457" s="79"/>
      <c r="EB457" s="79"/>
      <c r="EC457" s="79"/>
      <c r="ED457" s="79" t="s">
        <v>1743</v>
      </c>
      <c r="EE457" s="79" t="str">
        <f t="shared" ref="EE457:EE467" si="304">IF(DI457="Subsanado","Completo","Por Completar")</f>
        <v>Completo</v>
      </c>
      <c r="EF457" s="41"/>
      <c r="EG457" s="79" t="s">
        <v>152</v>
      </c>
      <c r="EH457" s="71"/>
      <c r="EI457" s="80"/>
      <c r="EJ457" s="71"/>
      <c r="EK457" s="79"/>
      <c r="EL457" s="76" t="str">
        <f t="shared" si="297"/>
        <v>No requiere</v>
      </c>
      <c r="EM457" s="76" t="str">
        <f t="shared" si="298"/>
        <v>No requiere</v>
      </c>
      <c r="EN457" s="76" t="str">
        <f t="shared" si="269"/>
        <v>No requiere</v>
      </c>
      <c r="EO457" s="71"/>
      <c r="EP457" s="73" t="str">
        <f t="shared" si="299"/>
        <v>No requiere</v>
      </c>
      <c r="EQ457" s="77" t="str">
        <f t="shared" si="300"/>
        <v>No requiere</v>
      </c>
      <c r="ER457" s="71"/>
      <c r="ES457" s="79"/>
      <c r="ET457" s="73" t="str">
        <f t="shared" si="301"/>
        <v>No requiere</v>
      </c>
      <c r="EU457" s="73" t="str">
        <f t="shared" si="270"/>
        <v>No requiere</v>
      </c>
      <c r="EV457" s="73" t="str">
        <f t="shared" si="302"/>
        <v>No requiere</v>
      </c>
      <c r="EW457" s="73" t="str">
        <f t="shared" si="303"/>
        <v>No requiere</v>
      </c>
      <c r="EX457" s="78"/>
      <c r="EY457" s="78"/>
    </row>
    <row r="458" spans="1:155" ht="46.5" customHeight="1">
      <c r="A458" s="79">
        <v>454</v>
      </c>
      <c r="B458" s="80" t="s">
        <v>3263</v>
      </c>
      <c r="C458" s="81">
        <v>45430</v>
      </c>
      <c r="D458" s="82">
        <v>0.375</v>
      </c>
      <c r="E458" s="79" t="s">
        <v>151</v>
      </c>
      <c r="F458" s="79" t="s">
        <v>153</v>
      </c>
      <c r="G458" s="79" t="s">
        <v>152</v>
      </c>
      <c r="H458" s="79" t="s">
        <v>152</v>
      </c>
      <c r="I458" s="79" t="s">
        <v>153</v>
      </c>
      <c r="J458" s="79" t="s">
        <v>227</v>
      </c>
      <c r="K458" s="79" t="s">
        <v>155</v>
      </c>
      <c r="L458" s="80" t="s">
        <v>3264</v>
      </c>
      <c r="M458" s="80" t="s">
        <v>303</v>
      </c>
      <c r="N458" s="79" t="s">
        <v>373</v>
      </c>
      <c r="O458" s="80" t="str">
        <f t="shared" si="293"/>
        <v/>
      </c>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t="s">
        <v>169</v>
      </c>
      <c r="AP458" s="79" t="s">
        <v>3265</v>
      </c>
      <c r="AQ458" s="80" t="s">
        <v>2083</v>
      </c>
      <c r="AR458" s="83" t="s">
        <v>171</v>
      </c>
      <c r="AS458" s="80" t="s">
        <v>2084</v>
      </c>
      <c r="AT458" s="80" t="str">
        <f t="shared" si="294"/>
        <v>Engativá, Fontibón</v>
      </c>
      <c r="AU458" s="79" t="s">
        <v>234</v>
      </c>
      <c r="AV458" s="79" t="s">
        <v>646</v>
      </c>
      <c r="AW458" s="79"/>
      <c r="AX458" s="79"/>
      <c r="AY458" s="79"/>
      <c r="AZ458" s="79"/>
      <c r="BA458" s="80" t="str">
        <f t="shared" si="295"/>
        <v>Occidente</v>
      </c>
      <c r="BB458" s="79" t="s">
        <v>235</v>
      </c>
      <c r="BC458" s="79"/>
      <c r="BD458" s="79"/>
      <c r="BE458" s="79"/>
      <c r="BF458" s="79"/>
      <c r="BG458" s="79"/>
      <c r="BH458" s="80" t="str">
        <f t="shared" si="296"/>
        <v>Engativá, Tabora, Salitre, Fontibón</v>
      </c>
      <c r="BI458" s="79" t="s">
        <v>234</v>
      </c>
      <c r="BJ458" s="79" t="s">
        <v>414</v>
      </c>
      <c r="BK458" s="79" t="s">
        <v>415</v>
      </c>
      <c r="BL458" s="79" t="s">
        <v>646</v>
      </c>
      <c r="BM458" s="79"/>
      <c r="BN458" s="79"/>
      <c r="BO458" s="79"/>
      <c r="BP458" s="79"/>
      <c r="BQ458" s="79"/>
      <c r="BR458" s="79"/>
      <c r="BS458" s="80" t="s">
        <v>3266</v>
      </c>
      <c r="BT458" s="80" t="s">
        <v>174</v>
      </c>
      <c r="BU458" s="80" t="s">
        <v>3267</v>
      </c>
      <c r="BV458" s="71"/>
      <c r="BW458" s="79" t="s">
        <v>152</v>
      </c>
      <c r="BX458" s="79" t="s">
        <v>179</v>
      </c>
      <c r="BY458" s="71"/>
      <c r="BZ458" s="79">
        <v>39</v>
      </c>
      <c r="CA458" s="79">
        <v>4</v>
      </c>
      <c r="CB458" s="79">
        <f t="shared" si="281"/>
        <v>43</v>
      </c>
      <c r="CC458" s="79" t="str">
        <f t="shared" si="268"/>
        <v>No Aplica</v>
      </c>
      <c r="CD458" s="79" t="s">
        <v>177</v>
      </c>
      <c r="CE458" s="79"/>
      <c r="CF458" s="79"/>
      <c r="CG458" s="83" t="s">
        <v>3268</v>
      </c>
      <c r="CH458" s="41"/>
      <c r="CI458" s="79" t="s">
        <v>153</v>
      </c>
      <c r="CJ458" s="71"/>
      <c r="CK458" s="79">
        <f t="shared" si="288"/>
        <v>0</v>
      </c>
      <c r="CL458" s="79"/>
      <c r="CM458" s="79"/>
      <c r="CN458" s="79"/>
      <c r="CO458" s="79"/>
      <c r="CP458" s="79"/>
      <c r="CQ458" s="79"/>
      <c r="CR458" s="83" t="s">
        <v>179</v>
      </c>
      <c r="CS458" s="83" t="s">
        <v>179</v>
      </c>
      <c r="CT458" s="83" t="s">
        <v>179</v>
      </c>
      <c r="CU458" s="83" t="s">
        <v>179</v>
      </c>
      <c r="CV458" s="83" t="s">
        <v>179</v>
      </c>
      <c r="CW458" s="83" t="s">
        <v>179</v>
      </c>
      <c r="CX458" s="79" t="s">
        <v>153</v>
      </c>
      <c r="CY458" s="79">
        <f t="shared" si="290"/>
        <v>0</v>
      </c>
      <c r="CZ458" s="79">
        <v>0</v>
      </c>
      <c r="DA458" s="79">
        <f t="shared" si="291"/>
        <v>0</v>
      </c>
      <c r="DB458" s="84" t="str">
        <f t="shared" si="289"/>
        <v/>
      </c>
      <c r="DC458" s="41"/>
      <c r="DD458" s="79" t="s">
        <v>153</v>
      </c>
      <c r="DE458" s="71"/>
      <c r="DF458" s="85" t="s">
        <v>3269</v>
      </c>
      <c r="DG458" s="79">
        <v>447</v>
      </c>
      <c r="DH458" s="86" t="str">
        <f t="shared" si="286"/>
        <v>Completo</v>
      </c>
      <c r="DI458" s="79" t="s">
        <v>181</v>
      </c>
      <c r="DJ458" s="79" t="s">
        <v>182</v>
      </c>
      <c r="DK458" s="79"/>
      <c r="DL458" s="79">
        <v>0</v>
      </c>
      <c r="DM458" s="79">
        <v>0</v>
      </c>
      <c r="DN458" s="79" t="s">
        <v>182</v>
      </c>
      <c r="DO458" s="79"/>
      <c r="DP458" s="79"/>
      <c r="DQ458" s="79"/>
      <c r="DR458" s="75" t="str">
        <f t="shared" si="276"/>
        <v>No aplica</v>
      </c>
      <c r="DS458" s="79"/>
      <c r="DT458" s="79"/>
      <c r="DU458" s="75" t="str">
        <f t="shared" si="277"/>
        <v>No aplica</v>
      </c>
      <c r="DV458" s="79" t="s">
        <v>182</v>
      </c>
      <c r="DW458" s="79" t="s">
        <v>182</v>
      </c>
      <c r="DX458" s="79"/>
      <c r="DY458" s="79"/>
      <c r="DZ458" s="79"/>
      <c r="EA458" s="79"/>
      <c r="EB458" s="79" t="s">
        <v>191</v>
      </c>
      <c r="EC458" s="79"/>
      <c r="ED458" s="79" t="s">
        <v>184</v>
      </c>
      <c r="EE458" s="79" t="str">
        <f t="shared" si="304"/>
        <v>Completo</v>
      </c>
      <c r="EF458" s="41"/>
      <c r="EG458" s="79" t="s">
        <v>153</v>
      </c>
      <c r="EH458" s="71"/>
      <c r="EI458" s="80"/>
      <c r="EJ458" s="71"/>
      <c r="EK458" s="79"/>
      <c r="EL458" s="76" t="str">
        <f t="shared" si="297"/>
        <v>No requiere</v>
      </c>
      <c r="EM458" s="76" t="str">
        <f t="shared" si="298"/>
        <v>No requiere</v>
      </c>
      <c r="EN458" s="76" t="str">
        <f t="shared" si="269"/>
        <v>No requiere</v>
      </c>
      <c r="EO458" s="71"/>
      <c r="EP458" s="73" t="str">
        <f t="shared" si="299"/>
        <v>No requiere</v>
      </c>
      <c r="EQ458" s="77" t="str">
        <f t="shared" si="300"/>
        <v>No requiere</v>
      </c>
      <c r="ER458" s="71"/>
      <c r="ES458" s="79"/>
      <c r="ET458" s="73" t="str">
        <f t="shared" si="301"/>
        <v>No requiere</v>
      </c>
      <c r="EU458" s="73" t="str">
        <f t="shared" si="270"/>
        <v>No requiere</v>
      </c>
      <c r="EV458" s="73" t="str">
        <f t="shared" si="302"/>
        <v>No requiere</v>
      </c>
      <c r="EW458" s="73" t="str">
        <f t="shared" si="303"/>
        <v>No requiere</v>
      </c>
      <c r="EX458" s="78"/>
      <c r="EY458" s="78"/>
    </row>
    <row r="459" spans="1:155" ht="46.5" customHeight="1">
      <c r="A459" s="79">
        <v>455</v>
      </c>
      <c r="B459" s="80" t="s">
        <v>2679</v>
      </c>
      <c r="C459" s="81">
        <v>45430</v>
      </c>
      <c r="D459" s="82">
        <v>0.70833333333333337</v>
      </c>
      <c r="E459" s="79" t="s">
        <v>200</v>
      </c>
      <c r="F459" s="79" t="s">
        <v>153</v>
      </c>
      <c r="G459" s="79" t="s">
        <v>152</v>
      </c>
      <c r="H459" s="79" t="s">
        <v>152</v>
      </c>
      <c r="I459" s="79" t="s">
        <v>152</v>
      </c>
      <c r="J459" s="79" t="s">
        <v>211</v>
      </c>
      <c r="K459" s="79" t="s">
        <v>202</v>
      </c>
      <c r="L459" s="80" t="s">
        <v>3270</v>
      </c>
      <c r="M459" s="80" t="s">
        <v>624</v>
      </c>
      <c r="N459" s="79" t="s">
        <v>522</v>
      </c>
      <c r="O459" s="80" t="str">
        <f t="shared" si="293"/>
        <v/>
      </c>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t="s">
        <v>230</v>
      </c>
      <c r="AP459" s="79" t="s">
        <v>242</v>
      </c>
      <c r="AQ459" s="80" t="s">
        <v>3271</v>
      </c>
      <c r="AR459" s="83">
        <v>3013090210</v>
      </c>
      <c r="AS459" s="80" t="s">
        <v>1042</v>
      </c>
      <c r="AT459" s="80" t="str">
        <f t="shared" si="294"/>
        <v>Distrital</v>
      </c>
      <c r="AU459" s="79" t="s">
        <v>172</v>
      </c>
      <c r="AV459" s="79"/>
      <c r="AW459" s="79"/>
      <c r="AX459" s="79"/>
      <c r="AY459" s="79"/>
      <c r="AZ459" s="79"/>
      <c r="BA459" s="80" t="str">
        <f t="shared" si="295"/>
        <v>Distrital</v>
      </c>
      <c r="BB459" s="79" t="s">
        <v>172</v>
      </c>
      <c r="BC459" s="79"/>
      <c r="BD459" s="79"/>
      <c r="BE459" s="79"/>
      <c r="BF459" s="79"/>
      <c r="BG459" s="79"/>
      <c r="BH459" s="80" t="str">
        <f t="shared" si="296"/>
        <v>Distrital</v>
      </c>
      <c r="BI459" s="79" t="s">
        <v>172</v>
      </c>
      <c r="BJ459" s="79"/>
      <c r="BK459" s="79"/>
      <c r="BL459" s="79"/>
      <c r="BM459" s="79"/>
      <c r="BN459" s="79"/>
      <c r="BO459" s="79"/>
      <c r="BP459" s="79"/>
      <c r="BQ459" s="79"/>
      <c r="BR459" s="79"/>
      <c r="BS459" s="80" t="s">
        <v>288</v>
      </c>
      <c r="BT459" s="80" t="s">
        <v>174</v>
      </c>
      <c r="BU459" s="89" t="s">
        <v>3272</v>
      </c>
      <c r="BV459" s="71"/>
      <c r="BW459" s="79" t="s">
        <v>152</v>
      </c>
      <c r="BX459" s="79" t="s">
        <v>179</v>
      </c>
      <c r="BY459" s="71"/>
      <c r="BZ459" s="79">
        <v>12</v>
      </c>
      <c r="CA459" s="79">
        <v>1</v>
      </c>
      <c r="CB459" s="79">
        <f t="shared" si="281"/>
        <v>13</v>
      </c>
      <c r="CC459" s="79" t="str">
        <f t="shared" si="268"/>
        <v>No Aplica</v>
      </c>
      <c r="CD459" s="79" t="s">
        <v>177</v>
      </c>
      <c r="CE459" s="79"/>
      <c r="CF459" s="79"/>
      <c r="CG459" s="83" t="s">
        <v>3273</v>
      </c>
      <c r="CH459" s="41"/>
      <c r="CI459" s="79" t="s">
        <v>153</v>
      </c>
      <c r="CJ459" s="71"/>
      <c r="CK459" s="79">
        <f t="shared" si="288"/>
        <v>0</v>
      </c>
      <c r="CL459" s="79"/>
      <c r="CM459" s="79"/>
      <c r="CN459" s="79"/>
      <c r="CO459" s="79"/>
      <c r="CP459" s="79"/>
      <c r="CQ459" s="79"/>
      <c r="CR459" s="83" t="s">
        <v>179</v>
      </c>
      <c r="CS459" s="83" t="s">
        <v>179</v>
      </c>
      <c r="CT459" s="83" t="s">
        <v>179</v>
      </c>
      <c r="CU459" s="83" t="s">
        <v>179</v>
      </c>
      <c r="CV459" s="83" t="s">
        <v>179</v>
      </c>
      <c r="CW459" s="83" t="s">
        <v>179</v>
      </c>
      <c r="CX459" s="79" t="s">
        <v>153</v>
      </c>
      <c r="CY459" s="79">
        <f t="shared" si="290"/>
        <v>0</v>
      </c>
      <c r="CZ459" s="79">
        <v>0</v>
      </c>
      <c r="DA459" s="79">
        <f t="shared" si="291"/>
        <v>0</v>
      </c>
      <c r="DB459" s="84" t="str">
        <f t="shared" si="289"/>
        <v/>
      </c>
      <c r="DC459" s="41"/>
      <c r="DD459" s="79" t="s">
        <v>153</v>
      </c>
      <c r="DE459" s="71"/>
      <c r="DF459" s="85" t="s">
        <v>3274</v>
      </c>
      <c r="DG459" s="79">
        <v>448</v>
      </c>
      <c r="DH459" s="86" t="str">
        <f t="shared" si="286"/>
        <v>Completo</v>
      </c>
      <c r="DI459" s="79" t="s">
        <v>181</v>
      </c>
      <c r="DJ459" s="79" t="s">
        <v>182</v>
      </c>
      <c r="DK459" s="79"/>
      <c r="DL459" s="79">
        <v>0</v>
      </c>
      <c r="DM459" s="79">
        <v>0</v>
      </c>
      <c r="DN459" s="79" t="s">
        <v>182</v>
      </c>
      <c r="DO459" s="79"/>
      <c r="DP459" s="79"/>
      <c r="DQ459" s="79"/>
      <c r="DR459" s="75" t="str">
        <f t="shared" si="276"/>
        <v>No aplica</v>
      </c>
      <c r="DS459" s="79"/>
      <c r="DT459" s="79"/>
      <c r="DU459" s="75" t="str">
        <f t="shared" si="277"/>
        <v>No aplica</v>
      </c>
      <c r="DV459" s="79" t="s">
        <v>182</v>
      </c>
      <c r="DW459" s="79" t="s">
        <v>182</v>
      </c>
      <c r="DX459" s="79"/>
      <c r="DY459" s="79"/>
      <c r="DZ459" s="79"/>
      <c r="EA459" s="79"/>
      <c r="EB459" s="79"/>
      <c r="EC459" s="79"/>
      <c r="ED459" s="79" t="s">
        <v>184</v>
      </c>
      <c r="EE459" s="79" t="str">
        <f t="shared" si="304"/>
        <v>Completo</v>
      </c>
      <c r="EF459" s="41"/>
      <c r="EG459" s="79" t="s">
        <v>153</v>
      </c>
      <c r="EH459" s="71"/>
      <c r="EI459" s="80"/>
      <c r="EJ459" s="71"/>
      <c r="EK459" s="79"/>
      <c r="EL459" s="76" t="str">
        <f t="shared" si="297"/>
        <v>No requiere</v>
      </c>
      <c r="EM459" s="76" t="str">
        <f t="shared" si="298"/>
        <v>No requiere</v>
      </c>
      <c r="EN459" s="76" t="str">
        <f t="shared" si="269"/>
        <v>No requiere</v>
      </c>
      <c r="EO459" s="71"/>
      <c r="EP459" s="73" t="str">
        <f t="shared" si="299"/>
        <v>No requiere</v>
      </c>
      <c r="EQ459" s="77" t="str">
        <f t="shared" si="300"/>
        <v>No requiere</v>
      </c>
      <c r="ER459" s="71"/>
      <c r="ES459" s="79"/>
      <c r="ET459" s="73" t="str">
        <f t="shared" si="301"/>
        <v>No requiere</v>
      </c>
      <c r="EU459" s="73" t="str">
        <f t="shared" si="270"/>
        <v>No requiere</v>
      </c>
      <c r="EV459" s="73" t="str">
        <f t="shared" si="302"/>
        <v>No requiere</v>
      </c>
      <c r="EW459" s="73" t="str">
        <f t="shared" si="303"/>
        <v>No requiere</v>
      </c>
      <c r="EX459" s="78"/>
      <c r="EY459" s="78"/>
    </row>
    <row r="460" spans="1:155" ht="46.5" customHeight="1">
      <c r="A460" s="79">
        <v>456</v>
      </c>
      <c r="B460" s="80" t="s">
        <v>2843</v>
      </c>
      <c r="C460" s="81">
        <v>45432</v>
      </c>
      <c r="D460" s="82">
        <v>0.75</v>
      </c>
      <c r="E460" s="79" t="s">
        <v>151</v>
      </c>
      <c r="F460" s="79" t="s">
        <v>153</v>
      </c>
      <c r="G460" s="79" t="s">
        <v>152</v>
      </c>
      <c r="H460" s="79" t="s">
        <v>152</v>
      </c>
      <c r="I460" s="79" t="s">
        <v>152</v>
      </c>
      <c r="J460" s="79" t="s">
        <v>154</v>
      </c>
      <c r="K460" s="79" t="s">
        <v>155</v>
      </c>
      <c r="L460" s="80" t="s">
        <v>2844</v>
      </c>
      <c r="M460" s="80" t="s">
        <v>303</v>
      </c>
      <c r="N460" s="79" t="s">
        <v>862</v>
      </c>
      <c r="O460" s="80" t="str">
        <f t="shared" si="293"/>
        <v>Claudia Fernanda Pineda, Laura Sofia Morales, Maria Angélica Higuera, Nancy Stella Villa , Julio César Martínez</v>
      </c>
      <c r="P460" s="79" t="s">
        <v>546</v>
      </c>
      <c r="Q460" s="79" t="s">
        <v>506</v>
      </c>
      <c r="R460" s="79" t="s">
        <v>328</v>
      </c>
      <c r="S460" s="79" t="s">
        <v>1611</v>
      </c>
      <c r="T460" s="79" t="s">
        <v>601</v>
      </c>
      <c r="U460" s="79"/>
      <c r="V460" s="79"/>
      <c r="W460" s="79"/>
      <c r="X460" s="79"/>
      <c r="Y460" s="79"/>
      <c r="Z460" s="79"/>
      <c r="AA460" s="79"/>
      <c r="AB460" s="79"/>
      <c r="AC460" s="79"/>
      <c r="AD460" s="79"/>
      <c r="AE460" s="79"/>
      <c r="AF460" s="79"/>
      <c r="AG460" s="79"/>
      <c r="AH460" s="79"/>
      <c r="AI460" s="79"/>
      <c r="AJ460" s="79"/>
      <c r="AK460" s="79"/>
      <c r="AL460" s="79"/>
      <c r="AM460" s="79"/>
      <c r="AN460" s="79"/>
      <c r="AO460" s="79" t="s">
        <v>169</v>
      </c>
      <c r="AP460" s="79" t="s">
        <v>475</v>
      </c>
      <c r="AQ460" s="80" t="s">
        <v>171</v>
      </c>
      <c r="AR460" s="83" t="s">
        <v>171</v>
      </c>
      <c r="AS460" s="80" t="s">
        <v>171</v>
      </c>
      <c r="AT460" s="80" t="str">
        <f t="shared" si="294"/>
        <v>Distrital</v>
      </c>
      <c r="AU460" s="79" t="s">
        <v>172</v>
      </c>
      <c r="AV460" s="79"/>
      <c r="AW460" s="79"/>
      <c r="AX460" s="79"/>
      <c r="AY460" s="79"/>
      <c r="AZ460" s="79"/>
      <c r="BA460" s="80" t="str">
        <f t="shared" si="295"/>
        <v>Distrital</v>
      </c>
      <c r="BB460" s="79" t="s">
        <v>172</v>
      </c>
      <c r="BC460" s="79"/>
      <c r="BD460" s="79"/>
      <c r="BE460" s="79"/>
      <c r="BF460" s="79"/>
      <c r="BG460" s="79"/>
      <c r="BH460" s="80" t="str">
        <f t="shared" si="296"/>
        <v>Distrital</v>
      </c>
      <c r="BI460" s="79" t="s">
        <v>172</v>
      </c>
      <c r="BJ460" s="79"/>
      <c r="BK460" s="79"/>
      <c r="BL460" s="79"/>
      <c r="BM460" s="79"/>
      <c r="BN460" s="79"/>
      <c r="BO460" s="79"/>
      <c r="BP460" s="79"/>
      <c r="BQ460" s="79"/>
      <c r="BR460" s="79"/>
      <c r="BS460" s="80" t="s">
        <v>2598</v>
      </c>
      <c r="BT460" s="80" t="s">
        <v>174</v>
      </c>
      <c r="BU460" s="80" t="s">
        <v>2599</v>
      </c>
      <c r="BV460" s="71"/>
      <c r="BW460" s="79" t="s">
        <v>153</v>
      </c>
      <c r="BX460" s="79" t="s">
        <v>2600</v>
      </c>
      <c r="BY460" s="71"/>
      <c r="BZ460" s="79">
        <v>144</v>
      </c>
      <c r="CA460" s="79">
        <v>7</v>
      </c>
      <c r="CB460" s="79">
        <f t="shared" si="281"/>
        <v>151</v>
      </c>
      <c r="CC460" s="79" t="str">
        <f t="shared" si="268"/>
        <v>No Aplica</v>
      </c>
      <c r="CD460" s="79" t="s">
        <v>177</v>
      </c>
      <c r="CE460" s="79"/>
      <c r="CF460" s="79"/>
      <c r="CG460" s="83" t="s">
        <v>3275</v>
      </c>
      <c r="CH460" s="41"/>
      <c r="CI460" s="79" t="s">
        <v>153</v>
      </c>
      <c r="CJ460" s="71"/>
      <c r="CK460" s="79"/>
      <c r="CL460" s="79"/>
      <c r="CM460" s="79"/>
      <c r="CN460" s="79"/>
      <c r="CO460" s="79"/>
      <c r="CP460" s="79"/>
      <c r="CQ460" s="79"/>
      <c r="CR460" s="83" t="s">
        <v>179</v>
      </c>
      <c r="CS460" s="83" t="s">
        <v>179</v>
      </c>
      <c r="CT460" s="83" t="s">
        <v>179</v>
      </c>
      <c r="CU460" s="83" t="s">
        <v>179</v>
      </c>
      <c r="CV460" s="83" t="s">
        <v>179</v>
      </c>
      <c r="CW460" s="83" t="s">
        <v>179</v>
      </c>
      <c r="CX460" s="79" t="s">
        <v>153</v>
      </c>
      <c r="CY460" s="79">
        <v>0</v>
      </c>
      <c r="CZ460" s="79"/>
      <c r="DA460" s="79"/>
      <c r="DB460" s="84"/>
      <c r="DC460" s="41"/>
      <c r="DD460" s="79" t="s">
        <v>153</v>
      </c>
      <c r="DE460" s="71"/>
      <c r="DF460" s="85" t="s">
        <v>3276</v>
      </c>
      <c r="DG460" s="79">
        <v>449</v>
      </c>
      <c r="DH460" s="86" t="str">
        <f t="shared" si="286"/>
        <v>Completo</v>
      </c>
      <c r="DI460" s="79" t="s">
        <v>181</v>
      </c>
      <c r="DJ460" s="79" t="s">
        <v>182</v>
      </c>
      <c r="DK460" s="79"/>
      <c r="DL460" s="79"/>
      <c r="DM460" s="79"/>
      <c r="DN460" s="79" t="s">
        <v>182</v>
      </c>
      <c r="DO460" s="79"/>
      <c r="DP460" s="79"/>
      <c r="DQ460" s="79"/>
      <c r="DR460" s="75" t="str">
        <f t="shared" si="276"/>
        <v>No aplica</v>
      </c>
      <c r="DS460" s="79"/>
      <c r="DT460" s="79"/>
      <c r="DU460" s="75" t="str">
        <f t="shared" si="277"/>
        <v>No aplica</v>
      </c>
      <c r="DV460" s="79" t="s">
        <v>182</v>
      </c>
      <c r="DW460" s="79" t="s">
        <v>182</v>
      </c>
      <c r="DX460" s="79"/>
      <c r="DY460" s="79"/>
      <c r="DZ460" s="79"/>
      <c r="EA460" s="79"/>
      <c r="EB460" s="79" t="s">
        <v>182</v>
      </c>
      <c r="EC460" s="79" t="s">
        <v>3277</v>
      </c>
      <c r="ED460" s="79" t="s">
        <v>184</v>
      </c>
      <c r="EE460" s="79" t="str">
        <f t="shared" si="304"/>
        <v>Completo</v>
      </c>
      <c r="EF460" s="41"/>
      <c r="EG460" s="79" t="s">
        <v>153</v>
      </c>
      <c r="EH460" s="71"/>
      <c r="EI460" s="80"/>
      <c r="EJ460" s="71"/>
      <c r="EK460" s="79"/>
      <c r="EL460" s="76" t="str">
        <f t="shared" si="297"/>
        <v>No requiere</v>
      </c>
      <c r="EM460" s="76" t="str">
        <f t="shared" si="298"/>
        <v>No requiere</v>
      </c>
      <c r="EN460" s="76" t="str">
        <f t="shared" si="269"/>
        <v>No requiere</v>
      </c>
      <c r="EO460" s="71"/>
      <c r="EP460" s="73" t="str">
        <f t="shared" si="299"/>
        <v>No requiere</v>
      </c>
      <c r="EQ460" s="77" t="str">
        <f t="shared" si="300"/>
        <v>No requiere</v>
      </c>
      <c r="ER460" s="71"/>
      <c r="ES460" s="79"/>
      <c r="ET460" s="73" t="str">
        <f t="shared" si="301"/>
        <v>No requiere</v>
      </c>
      <c r="EU460" s="73" t="str">
        <f t="shared" si="270"/>
        <v>No requiere</v>
      </c>
      <c r="EV460" s="73" t="str">
        <f t="shared" si="302"/>
        <v>No requiere</v>
      </c>
      <c r="EW460" s="73" t="str">
        <f t="shared" si="303"/>
        <v>No requiere</v>
      </c>
      <c r="EX460" s="78"/>
      <c r="EY460" s="78"/>
    </row>
    <row r="461" spans="1:155" ht="46.5" customHeight="1">
      <c r="A461" s="79" t="str">
        <v/>
      </c>
      <c r="B461" s="80" t="s">
        <v>3278</v>
      </c>
      <c r="C461" s="81">
        <v>45432</v>
      </c>
      <c r="D461" s="82">
        <v>0.625</v>
      </c>
      <c r="E461" s="79" t="s">
        <v>151</v>
      </c>
      <c r="F461" s="79" t="s">
        <v>152</v>
      </c>
      <c r="G461" s="79" t="s">
        <v>152</v>
      </c>
      <c r="H461" s="79" t="s">
        <v>152</v>
      </c>
      <c r="I461" s="79" t="s">
        <v>152</v>
      </c>
      <c r="J461" s="79" t="s">
        <v>251</v>
      </c>
      <c r="K461" s="79" t="s">
        <v>202</v>
      </c>
      <c r="L461" s="80" t="s">
        <v>3279</v>
      </c>
      <c r="M461" s="80" t="s">
        <v>157</v>
      </c>
      <c r="N461" s="79" t="s">
        <v>346</v>
      </c>
      <c r="O461" s="80" t="str">
        <f t="shared" si="293"/>
        <v>Michael Cruz Roa</v>
      </c>
      <c r="P461" s="79" t="s">
        <v>265</v>
      </c>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t="s">
        <v>169</v>
      </c>
      <c r="AP461" s="79" t="s">
        <v>170</v>
      </c>
      <c r="AQ461" s="80" t="s">
        <v>171</v>
      </c>
      <c r="AR461" s="83" t="s">
        <v>171</v>
      </c>
      <c r="AS461" s="80" t="s">
        <v>171</v>
      </c>
      <c r="AT461" s="80" t="str">
        <f t="shared" si="294"/>
        <v>Distrital</v>
      </c>
      <c r="AU461" s="79" t="s">
        <v>172</v>
      </c>
      <c r="AV461" s="79"/>
      <c r="AW461" s="79"/>
      <c r="AX461" s="79"/>
      <c r="AY461" s="79"/>
      <c r="AZ461" s="79"/>
      <c r="BA461" s="80" t="str">
        <f t="shared" si="295"/>
        <v>Distrital</v>
      </c>
      <c r="BB461" s="79" t="s">
        <v>172</v>
      </c>
      <c r="BC461" s="79"/>
      <c r="BD461" s="79"/>
      <c r="BE461" s="79"/>
      <c r="BF461" s="79"/>
      <c r="BG461" s="79"/>
      <c r="BH461" s="80" t="str">
        <f t="shared" si="296"/>
        <v>Distrital</v>
      </c>
      <c r="BI461" s="79" t="s">
        <v>172</v>
      </c>
      <c r="BJ461" s="79"/>
      <c r="BK461" s="79"/>
      <c r="BL461" s="79"/>
      <c r="BM461" s="79"/>
      <c r="BN461" s="79"/>
      <c r="BO461" s="79"/>
      <c r="BP461" s="79"/>
      <c r="BQ461" s="79"/>
      <c r="BR461" s="79"/>
      <c r="BS461" s="80" t="s">
        <v>288</v>
      </c>
      <c r="BT461" s="80" t="s">
        <v>174</v>
      </c>
      <c r="BU461" s="89" t="s">
        <v>3280</v>
      </c>
      <c r="BV461" s="71"/>
      <c r="BW461" s="79" t="s">
        <v>152</v>
      </c>
      <c r="BX461" s="79" t="s">
        <v>179</v>
      </c>
      <c r="BY461" s="71"/>
      <c r="BZ461" s="79">
        <v>0</v>
      </c>
      <c r="CA461" s="79">
        <v>5</v>
      </c>
      <c r="CB461" s="79">
        <f t="shared" si="281"/>
        <v>5</v>
      </c>
      <c r="CC461" s="79" t="str">
        <f t="shared" si="268"/>
        <v>No Aplica</v>
      </c>
      <c r="CD461" s="79" t="s">
        <v>177</v>
      </c>
      <c r="CE461" s="79"/>
      <c r="CF461" s="79"/>
      <c r="CG461" s="83" t="s">
        <v>3281</v>
      </c>
      <c r="CH461" s="41"/>
      <c r="CI461" s="79" t="s">
        <v>153</v>
      </c>
      <c r="CJ461" s="71"/>
      <c r="CK461" s="79">
        <f t="shared" ref="CK461:CK466" si="305">COUNTIF(CL461:CQ461,"*")</f>
        <v>0</v>
      </c>
      <c r="CL461" s="79"/>
      <c r="CM461" s="79"/>
      <c r="CN461" s="79"/>
      <c r="CO461" s="79"/>
      <c r="CP461" s="79"/>
      <c r="CQ461" s="79"/>
      <c r="CR461" s="83" t="s">
        <v>179</v>
      </c>
      <c r="CS461" s="83" t="s">
        <v>179</v>
      </c>
      <c r="CT461" s="83" t="s">
        <v>179</v>
      </c>
      <c r="CU461" s="83" t="s">
        <v>179</v>
      </c>
      <c r="CV461" s="83" t="s">
        <v>179</v>
      </c>
      <c r="CW461" s="83" t="s">
        <v>179</v>
      </c>
      <c r="CX461" s="79" t="s">
        <v>153</v>
      </c>
      <c r="CY461" s="79">
        <f t="shared" ref="CY461:CY466" si="306">SUM(COUNTIF(CR461:CW461,"Realizado y Devuelto a la Ciudadanía"),COUNTIF(CR461:CW461,"Realizado y Trasladado por competencia"), COUNTIF(CR461:CW461,"Realizado y Gestionado"))</f>
        <v>0</v>
      </c>
      <c r="CZ461" s="79">
        <v>0</v>
      </c>
      <c r="DA461" s="79">
        <f t="shared" ref="DA461:DA466" si="307">COUNTIF(CR461:CW461,"Realizado y Devuelto a la Ciudadanía")</f>
        <v>0</v>
      </c>
      <c r="DB461" s="84" t="str">
        <f t="shared" ref="DB461:DB466" si="308">IFERROR(CY461/CK461,"")</f>
        <v/>
      </c>
      <c r="DC461" s="41"/>
      <c r="DD461" s="79" t="s">
        <v>153</v>
      </c>
      <c r="DE461" s="71"/>
      <c r="DF461" s="85" t="s">
        <v>3282</v>
      </c>
      <c r="DG461" s="79">
        <v>450</v>
      </c>
      <c r="DH461" s="86" t="str">
        <f t="shared" si="286"/>
        <v>Completo</v>
      </c>
      <c r="DI461" s="79" t="s">
        <v>181</v>
      </c>
      <c r="DJ461" s="79" t="s">
        <v>182</v>
      </c>
      <c r="DK461" s="79"/>
      <c r="DL461" s="79">
        <v>0</v>
      </c>
      <c r="DM461" s="79">
        <v>0</v>
      </c>
      <c r="DN461" s="79"/>
      <c r="DO461" s="79"/>
      <c r="DP461" s="79"/>
      <c r="DQ461" s="79"/>
      <c r="DR461" s="75" t="str">
        <f t="shared" si="276"/>
        <v>No aplica</v>
      </c>
      <c r="DS461" s="79"/>
      <c r="DT461" s="79"/>
      <c r="DU461" s="75" t="str">
        <f t="shared" si="277"/>
        <v>No aplica</v>
      </c>
      <c r="DV461" s="79"/>
      <c r="DW461" s="79" t="s">
        <v>182</v>
      </c>
      <c r="DX461" s="79"/>
      <c r="DY461" s="79"/>
      <c r="DZ461" s="79"/>
      <c r="EA461" s="79"/>
      <c r="EB461" s="79"/>
      <c r="EC461" s="79"/>
      <c r="ED461" s="79" t="s">
        <v>2282</v>
      </c>
      <c r="EE461" s="79" t="str">
        <f t="shared" si="304"/>
        <v>Completo</v>
      </c>
      <c r="EF461" s="41"/>
      <c r="EG461" s="79" t="s">
        <v>153</v>
      </c>
      <c r="EH461" s="71"/>
      <c r="EI461" s="80"/>
      <c r="EJ461" s="71"/>
      <c r="EK461" s="79"/>
      <c r="EL461" s="76" t="str">
        <f t="shared" si="297"/>
        <v>No requiere</v>
      </c>
      <c r="EM461" s="76" t="str">
        <f t="shared" si="298"/>
        <v>No requiere</v>
      </c>
      <c r="EN461" s="76" t="str">
        <f t="shared" si="269"/>
        <v>No requiere</v>
      </c>
      <c r="EO461" s="71"/>
      <c r="EP461" s="73" t="str">
        <f t="shared" si="299"/>
        <v>No requiere</v>
      </c>
      <c r="EQ461" s="77" t="str">
        <f t="shared" si="300"/>
        <v>No requiere</v>
      </c>
      <c r="ER461" s="71"/>
      <c r="ES461" s="79"/>
      <c r="ET461" s="73" t="str">
        <f t="shared" si="301"/>
        <v>No requiere</v>
      </c>
      <c r="EU461" s="73" t="str">
        <f t="shared" si="270"/>
        <v>No requiere</v>
      </c>
      <c r="EV461" s="73" t="str">
        <f t="shared" si="302"/>
        <v>No requiere</v>
      </c>
      <c r="EW461" s="73" t="str">
        <f t="shared" si="303"/>
        <v>No requiere</v>
      </c>
      <c r="EX461" s="78"/>
      <c r="EY461" s="78"/>
    </row>
    <row r="462" spans="1:155" ht="46.5" customHeight="1">
      <c r="A462" s="79">
        <v>458</v>
      </c>
      <c r="B462" s="80" t="s">
        <v>3283</v>
      </c>
      <c r="C462" s="81">
        <v>45432</v>
      </c>
      <c r="D462" s="82">
        <v>0.70833333333333337</v>
      </c>
      <c r="E462" s="79" t="s">
        <v>200</v>
      </c>
      <c r="F462" s="79" t="s">
        <v>153</v>
      </c>
      <c r="G462" s="79" t="s">
        <v>152</v>
      </c>
      <c r="H462" s="79" t="s">
        <v>152</v>
      </c>
      <c r="I462" s="79" t="s">
        <v>152</v>
      </c>
      <c r="J462" s="79" t="s">
        <v>211</v>
      </c>
      <c r="K462" s="79" t="s">
        <v>202</v>
      </c>
      <c r="L462" s="80" t="s">
        <v>3284</v>
      </c>
      <c r="M462" s="80" t="s">
        <v>303</v>
      </c>
      <c r="N462" s="79" t="s">
        <v>524</v>
      </c>
      <c r="O462" s="80" t="str">
        <f t="shared" si="293"/>
        <v/>
      </c>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t="s">
        <v>230</v>
      </c>
      <c r="AP462" s="79" t="s">
        <v>242</v>
      </c>
      <c r="AQ462" s="80" t="s">
        <v>3285</v>
      </c>
      <c r="AR462" s="83">
        <v>3178255261</v>
      </c>
      <c r="AS462" s="80" t="s">
        <v>1103</v>
      </c>
      <c r="AT462" s="80" t="str">
        <f t="shared" si="294"/>
        <v>Distrital</v>
      </c>
      <c r="AU462" s="79" t="s">
        <v>172</v>
      </c>
      <c r="AV462" s="79"/>
      <c r="AW462" s="79"/>
      <c r="AX462" s="79"/>
      <c r="AY462" s="79"/>
      <c r="AZ462" s="79"/>
      <c r="BA462" s="80" t="str">
        <f t="shared" si="295"/>
        <v>Distrital</v>
      </c>
      <c r="BB462" s="79" t="s">
        <v>172</v>
      </c>
      <c r="BC462" s="79"/>
      <c r="BD462" s="79"/>
      <c r="BE462" s="79"/>
      <c r="BF462" s="79"/>
      <c r="BG462" s="79"/>
      <c r="BH462" s="80" t="str">
        <f t="shared" si="296"/>
        <v>Distrital</v>
      </c>
      <c r="BI462" s="79" t="s">
        <v>172</v>
      </c>
      <c r="BJ462" s="79"/>
      <c r="BK462" s="79"/>
      <c r="BL462" s="79"/>
      <c r="BM462" s="79"/>
      <c r="BN462" s="79"/>
      <c r="BO462" s="79"/>
      <c r="BP462" s="79"/>
      <c r="BQ462" s="79"/>
      <c r="BR462" s="79"/>
      <c r="BS462" s="80" t="s">
        <v>288</v>
      </c>
      <c r="BT462" s="80" t="s">
        <v>174</v>
      </c>
      <c r="BU462" s="89" t="s">
        <v>3286</v>
      </c>
      <c r="BV462" s="71"/>
      <c r="BW462" s="79" t="s">
        <v>152</v>
      </c>
      <c r="BX462" s="79" t="s">
        <v>179</v>
      </c>
      <c r="BY462" s="71"/>
      <c r="BZ462" s="79">
        <v>13</v>
      </c>
      <c r="CA462" s="79">
        <v>1</v>
      </c>
      <c r="CB462" s="79">
        <f t="shared" si="281"/>
        <v>14</v>
      </c>
      <c r="CC462" s="79" t="str">
        <f t="shared" si="268"/>
        <v>No Aplica</v>
      </c>
      <c r="CD462" s="79" t="s">
        <v>177</v>
      </c>
      <c r="CE462" s="79"/>
      <c r="CF462" s="79"/>
      <c r="CG462" s="83" t="s">
        <v>3287</v>
      </c>
      <c r="CH462" s="41"/>
      <c r="CI462" s="79" t="s">
        <v>153</v>
      </c>
      <c r="CJ462" s="71"/>
      <c r="CK462" s="79">
        <f t="shared" si="305"/>
        <v>0</v>
      </c>
      <c r="CL462" s="79"/>
      <c r="CM462" s="79"/>
      <c r="CN462" s="79"/>
      <c r="CO462" s="79"/>
      <c r="CP462" s="79"/>
      <c r="CQ462" s="79"/>
      <c r="CR462" s="83" t="s">
        <v>179</v>
      </c>
      <c r="CS462" s="83" t="s">
        <v>179</v>
      </c>
      <c r="CT462" s="83" t="s">
        <v>179</v>
      </c>
      <c r="CU462" s="83" t="s">
        <v>179</v>
      </c>
      <c r="CV462" s="83" t="s">
        <v>179</v>
      </c>
      <c r="CW462" s="83" t="s">
        <v>179</v>
      </c>
      <c r="CX462" s="79" t="s">
        <v>153</v>
      </c>
      <c r="CY462" s="79">
        <f t="shared" si="306"/>
        <v>0</v>
      </c>
      <c r="CZ462" s="79">
        <v>0</v>
      </c>
      <c r="DA462" s="79">
        <f t="shared" si="307"/>
        <v>0</v>
      </c>
      <c r="DB462" s="84" t="str">
        <f t="shared" si="308"/>
        <v/>
      </c>
      <c r="DC462" s="41"/>
      <c r="DD462" s="79" t="s">
        <v>153</v>
      </c>
      <c r="DE462" s="71"/>
      <c r="DF462" s="85" t="s">
        <v>3288</v>
      </c>
      <c r="DG462" s="79">
        <v>451</v>
      </c>
      <c r="DH462" s="86" t="str">
        <f t="shared" si="286"/>
        <v>Completo</v>
      </c>
      <c r="DI462" s="79" t="s">
        <v>181</v>
      </c>
      <c r="DJ462" s="79" t="s">
        <v>182</v>
      </c>
      <c r="DK462" s="79"/>
      <c r="DL462" s="79">
        <v>0</v>
      </c>
      <c r="DM462" s="79">
        <v>0</v>
      </c>
      <c r="DN462" s="79" t="s">
        <v>182</v>
      </c>
      <c r="DO462" s="79"/>
      <c r="DP462" s="79"/>
      <c r="DQ462" s="79"/>
      <c r="DR462" s="75" t="str">
        <f t="shared" si="276"/>
        <v>No aplica</v>
      </c>
      <c r="DS462" s="79"/>
      <c r="DT462" s="79"/>
      <c r="DU462" s="75" t="str">
        <f t="shared" si="277"/>
        <v>No aplica</v>
      </c>
      <c r="DV462" s="79" t="s">
        <v>182</v>
      </c>
      <c r="DW462" s="79" t="s">
        <v>182</v>
      </c>
      <c r="DX462" s="79"/>
      <c r="DY462" s="79"/>
      <c r="DZ462" s="79"/>
      <c r="EA462" s="79"/>
      <c r="EB462" s="79" t="s">
        <v>182</v>
      </c>
      <c r="EC462" s="79" t="s">
        <v>3289</v>
      </c>
      <c r="ED462" s="79" t="s">
        <v>1743</v>
      </c>
      <c r="EE462" s="79" t="str">
        <f t="shared" si="304"/>
        <v>Completo</v>
      </c>
      <c r="EF462" s="41"/>
      <c r="EG462" s="79" t="s">
        <v>153</v>
      </c>
      <c r="EH462" s="71"/>
      <c r="EI462" s="80"/>
      <c r="EJ462" s="71"/>
      <c r="EK462" s="79"/>
      <c r="EL462" s="76" t="str">
        <f t="shared" si="297"/>
        <v>No requiere</v>
      </c>
      <c r="EM462" s="76" t="str">
        <f t="shared" si="298"/>
        <v>No requiere</v>
      </c>
      <c r="EN462" s="76" t="str">
        <f t="shared" si="269"/>
        <v>No requiere</v>
      </c>
      <c r="EO462" s="71"/>
      <c r="EP462" s="73" t="str">
        <f t="shared" si="299"/>
        <v>No requiere</v>
      </c>
      <c r="EQ462" s="77" t="str">
        <f t="shared" si="300"/>
        <v>No requiere</v>
      </c>
      <c r="ER462" s="71"/>
      <c r="ES462" s="79"/>
      <c r="ET462" s="73" t="str">
        <f t="shared" si="301"/>
        <v>No requiere</v>
      </c>
      <c r="EU462" s="73" t="str">
        <f t="shared" si="270"/>
        <v>No requiere</v>
      </c>
      <c r="EV462" s="73" t="str">
        <f t="shared" si="302"/>
        <v>No requiere</v>
      </c>
      <c r="EW462" s="73" t="str">
        <f t="shared" si="303"/>
        <v>No requiere</v>
      </c>
      <c r="EX462" s="78"/>
      <c r="EY462" s="78"/>
    </row>
    <row r="463" spans="1:155" ht="46.5" customHeight="1">
      <c r="A463" s="79">
        <v>459</v>
      </c>
      <c r="B463" s="80" t="s">
        <v>3290</v>
      </c>
      <c r="C463" s="81">
        <v>45432</v>
      </c>
      <c r="D463" s="82">
        <v>0.70833333333333337</v>
      </c>
      <c r="E463" s="79" t="s">
        <v>200</v>
      </c>
      <c r="F463" s="79" t="s">
        <v>153</v>
      </c>
      <c r="G463" s="79" t="s">
        <v>152</v>
      </c>
      <c r="H463" s="79" t="s">
        <v>152</v>
      </c>
      <c r="I463" s="79" t="s">
        <v>152</v>
      </c>
      <c r="J463" s="79" t="s">
        <v>211</v>
      </c>
      <c r="K463" s="79" t="s">
        <v>202</v>
      </c>
      <c r="L463" s="80" t="s">
        <v>3291</v>
      </c>
      <c r="M463" s="80" t="s">
        <v>624</v>
      </c>
      <c r="N463" s="79" t="s">
        <v>888</v>
      </c>
      <c r="O463" s="80" t="str">
        <f t="shared" si="293"/>
        <v/>
      </c>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t="s">
        <v>230</v>
      </c>
      <c r="AP463" s="79" t="s">
        <v>242</v>
      </c>
      <c r="AQ463" s="80" t="s">
        <v>1354</v>
      </c>
      <c r="AR463" s="83">
        <v>3212029774</v>
      </c>
      <c r="AS463" s="80" t="s">
        <v>1355</v>
      </c>
      <c r="AT463" s="80" t="str">
        <f t="shared" si="294"/>
        <v>Distrital</v>
      </c>
      <c r="AU463" s="79" t="s">
        <v>172</v>
      </c>
      <c r="AV463" s="79"/>
      <c r="AW463" s="79"/>
      <c r="AX463" s="79"/>
      <c r="AY463" s="79"/>
      <c r="AZ463" s="79"/>
      <c r="BA463" s="80" t="str">
        <f t="shared" si="295"/>
        <v>Distrital</v>
      </c>
      <c r="BB463" s="79" t="s">
        <v>172</v>
      </c>
      <c r="BC463" s="79"/>
      <c r="BD463" s="79"/>
      <c r="BE463" s="79"/>
      <c r="BF463" s="79"/>
      <c r="BG463" s="79"/>
      <c r="BH463" s="80" t="str">
        <f t="shared" si="296"/>
        <v>Distrital</v>
      </c>
      <c r="BI463" s="79" t="s">
        <v>172</v>
      </c>
      <c r="BJ463" s="79"/>
      <c r="BK463" s="79"/>
      <c r="BL463" s="79"/>
      <c r="BM463" s="79"/>
      <c r="BN463" s="79"/>
      <c r="BO463" s="79"/>
      <c r="BP463" s="79"/>
      <c r="BQ463" s="79"/>
      <c r="BR463" s="79"/>
      <c r="BS463" s="80" t="s">
        <v>288</v>
      </c>
      <c r="BT463" s="80" t="s">
        <v>174</v>
      </c>
      <c r="BU463" s="89" t="s">
        <v>3292</v>
      </c>
      <c r="BV463" s="71"/>
      <c r="BW463" s="79" t="s">
        <v>152</v>
      </c>
      <c r="BX463" s="79" t="s">
        <v>179</v>
      </c>
      <c r="BY463" s="71"/>
      <c r="BZ463" s="79">
        <v>33</v>
      </c>
      <c r="CA463" s="79">
        <v>1</v>
      </c>
      <c r="CB463" s="79">
        <f t="shared" si="281"/>
        <v>34</v>
      </c>
      <c r="CC463" s="79" t="str">
        <f t="shared" si="268"/>
        <v>No Aplica</v>
      </c>
      <c r="CD463" s="79" t="s">
        <v>177</v>
      </c>
      <c r="CE463" s="79"/>
      <c r="CF463" s="79"/>
      <c r="CG463" s="83" t="s">
        <v>3293</v>
      </c>
      <c r="CH463" s="41"/>
      <c r="CI463" s="79" t="s">
        <v>153</v>
      </c>
      <c r="CJ463" s="71"/>
      <c r="CK463" s="79">
        <f>COUNTIF(CL463:CR463,"*")</f>
        <v>1</v>
      </c>
      <c r="CL463" s="79"/>
      <c r="CM463" s="79"/>
      <c r="CN463" s="79"/>
      <c r="CO463" s="79"/>
      <c r="CP463" s="79"/>
      <c r="CR463" s="79" t="s">
        <v>179</v>
      </c>
      <c r="CS463" s="79" t="s">
        <v>179</v>
      </c>
      <c r="CT463" s="79" t="s">
        <v>179</v>
      </c>
      <c r="CU463" s="79" t="s">
        <v>179</v>
      </c>
      <c r="CV463" s="79" t="s">
        <v>179</v>
      </c>
      <c r="CW463" s="79" t="s">
        <v>179</v>
      </c>
      <c r="CX463" s="79" t="s">
        <v>153</v>
      </c>
      <c r="CY463" s="79">
        <f>SUM(COUNTIF(CR463:CW463,"Realizado y Devuelto a la Ciudadanía"),COUNTIF(CR463:CW463,"Realizado y Trasladado por competencia"), COUNTIF(CR463:CW463,"Realizado y Gestionado"))</f>
        <v>0</v>
      </c>
      <c r="CZ463" s="79">
        <v>0</v>
      </c>
      <c r="DA463" s="79">
        <f>COUNTIF(CR463:CW463,"Realizado y Devuelto a la Ciudadanía")</f>
        <v>0</v>
      </c>
      <c r="DB463" s="84">
        <f t="shared" si="308"/>
        <v>0</v>
      </c>
      <c r="DC463" s="41"/>
      <c r="DD463" s="79" t="s">
        <v>153</v>
      </c>
      <c r="DE463" s="71"/>
      <c r="DF463" s="85" t="s">
        <v>3294</v>
      </c>
      <c r="DG463" s="79">
        <v>452</v>
      </c>
      <c r="DH463" s="86" t="str">
        <f t="shared" si="286"/>
        <v>Completo</v>
      </c>
      <c r="DI463" s="79" t="s">
        <v>181</v>
      </c>
      <c r="DJ463" s="79" t="s">
        <v>182</v>
      </c>
      <c r="DK463" s="79"/>
      <c r="DL463" s="79">
        <v>0</v>
      </c>
      <c r="DM463" s="79">
        <v>0</v>
      </c>
      <c r="DN463" s="79" t="s">
        <v>182</v>
      </c>
      <c r="DO463" s="79"/>
      <c r="DP463" s="79"/>
      <c r="DQ463" s="79"/>
      <c r="DR463" s="75" t="str">
        <f t="shared" si="276"/>
        <v>No aplica</v>
      </c>
      <c r="DS463" s="79"/>
      <c r="DT463" s="79"/>
      <c r="DU463" s="75" t="str">
        <f t="shared" si="277"/>
        <v>No aplica</v>
      </c>
      <c r="DV463" s="79" t="s">
        <v>182</v>
      </c>
      <c r="DW463" s="79" t="s">
        <v>182</v>
      </c>
      <c r="DX463" s="79"/>
      <c r="DY463" s="79"/>
      <c r="DZ463" s="79"/>
      <c r="EA463" s="79"/>
      <c r="EB463" s="79" t="s">
        <v>182</v>
      </c>
      <c r="EC463" s="79" t="s">
        <v>3295</v>
      </c>
      <c r="ED463" s="79" t="s">
        <v>1743</v>
      </c>
      <c r="EE463" s="79" t="str">
        <f t="shared" si="304"/>
        <v>Completo</v>
      </c>
      <c r="EF463" s="41"/>
      <c r="EG463" s="79" t="s">
        <v>153</v>
      </c>
      <c r="EH463" s="71"/>
      <c r="EI463" s="80"/>
      <c r="EJ463" s="71"/>
      <c r="EK463" s="79"/>
      <c r="EL463" s="76" t="str">
        <f t="shared" si="297"/>
        <v>No requiere</v>
      </c>
      <c r="EM463" s="76" t="str">
        <f t="shared" si="298"/>
        <v>No requiere</v>
      </c>
      <c r="EN463" s="76" t="str">
        <f t="shared" si="269"/>
        <v>No requiere</v>
      </c>
      <c r="EO463" s="71"/>
      <c r="EP463" s="73" t="str">
        <f t="shared" si="299"/>
        <v>No requiere</v>
      </c>
      <c r="EQ463" s="77" t="str">
        <f t="shared" si="300"/>
        <v>No requiere</v>
      </c>
      <c r="ER463" s="71"/>
      <c r="ES463" s="79"/>
      <c r="ET463" s="73" t="str">
        <f t="shared" si="301"/>
        <v>No requiere</v>
      </c>
      <c r="EU463" s="73" t="str">
        <f t="shared" si="270"/>
        <v>No requiere</v>
      </c>
      <c r="EV463" s="73" t="str">
        <f t="shared" si="302"/>
        <v>No requiere</v>
      </c>
      <c r="EW463" s="73" t="str">
        <f t="shared" si="303"/>
        <v>No requiere</v>
      </c>
      <c r="EX463" s="78"/>
      <c r="EY463" s="78"/>
    </row>
    <row r="464" spans="1:155" ht="46.5" customHeight="1">
      <c r="A464" s="79">
        <v>460</v>
      </c>
      <c r="B464" s="80" t="s">
        <v>3296</v>
      </c>
      <c r="C464" s="81">
        <v>45433</v>
      </c>
      <c r="D464" s="82">
        <v>0.3125</v>
      </c>
      <c r="E464" s="79" t="s">
        <v>543</v>
      </c>
      <c r="F464" s="79" t="s">
        <v>153</v>
      </c>
      <c r="G464" s="79" t="s">
        <v>152</v>
      </c>
      <c r="H464" s="79" t="s">
        <v>152</v>
      </c>
      <c r="I464" s="79" t="s">
        <v>152</v>
      </c>
      <c r="J464" s="79" t="s">
        <v>3297</v>
      </c>
      <c r="K464" s="79" t="s">
        <v>155</v>
      </c>
      <c r="L464" s="80" t="s">
        <v>3298</v>
      </c>
      <c r="M464" s="80" t="s">
        <v>157</v>
      </c>
      <c r="N464" s="79" t="s">
        <v>195</v>
      </c>
      <c r="O464" s="80" t="str">
        <f t="shared" si="293"/>
        <v>Juan Carlos Prieto</v>
      </c>
      <c r="P464" s="79" t="s">
        <v>474</v>
      </c>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t="s">
        <v>169</v>
      </c>
      <c r="AP464" s="79"/>
      <c r="AQ464" s="80" t="s">
        <v>3299</v>
      </c>
      <c r="AR464" s="83" t="s">
        <v>171</v>
      </c>
      <c r="AS464" s="80" t="s">
        <v>171</v>
      </c>
      <c r="AT464" s="80" t="str">
        <f t="shared" si="294"/>
        <v>Distrital</v>
      </c>
      <c r="AU464" s="79" t="s">
        <v>172</v>
      </c>
      <c r="AV464" s="79"/>
      <c r="AW464" s="79"/>
      <c r="AX464" s="79"/>
      <c r="AY464" s="79"/>
      <c r="AZ464" s="79"/>
      <c r="BA464" s="80" t="str">
        <f t="shared" si="295"/>
        <v>Distrital</v>
      </c>
      <c r="BB464" s="79" t="s">
        <v>172</v>
      </c>
      <c r="BC464" s="79"/>
      <c r="BD464" s="79"/>
      <c r="BE464" s="79"/>
      <c r="BF464" s="79"/>
      <c r="BG464" s="79"/>
      <c r="BH464" s="80" t="str">
        <f t="shared" si="296"/>
        <v>Distrital</v>
      </c>
      <c r="BI464" s="79" t="s">
        <v>172</v>
      </c>
      <c r="BJ464" s="79"/>
      <c r="BK464" s="79"/>
      <c r="BL464" s="79"/>
      <c r="BM464" s="79"/>
      <c r="BN464" s="79"/>
      <c r="BO464" s="79"/>
      <c r="BP464" s="79"/>
      <c r="BQ464" s="79"/>
      <c r="BR464" s="79"/>
      <c r="BS464" s="80" t="s">
        <v>3300</v>
      </c>
      <c r="BT464" s="80" t="s">
        <v>3301</v>
      </c>
      <c r="BU464" s="80" t="s">
        <v>3302</v>
      </c>
      <c r="BV464" s="71"/>
      <c r="BW464" s="79" t="s">
        <v>152</v>
      </c>
      <c r="BX464" s="79" t="s">
        <v>179</v>
      </c>
      <c r="BY464" s="71"/>
      <c r="BZ464" s="79">
        <v>30</v>
      </c>
      <c r="CA464" s="79">
        <v>3</v>
      </c>
      <c r="CB464" s="79">
        <f t="shared" si="281"/>
        <v>33</v>
      </c>
      <c r="CC464" s="79" t="str">
        <f t="shared" si="268"/>
        <v>No Aplica</v>
      </c>
      <c r="CD464" s="79" t="s">
        <v>177</v>
      </c>
      <c r="CE464" s="79"/>
      <c r="CF464" s="79"/>
      <c r="CG464" s="83" t="s">
        <v>3303</v>
      </c>
      <c r="CH464" s="41"/>
      <c r="CI464" s="79" t="s">
        <v>153</v>
      </c>
      <c r="CJ464" s="71"/>
      <c r="CK464" s="79">
        <f t="shared" si="305"/>
        <v>0</v>
      </c>
      <c r="CL464" s="79"/>
      <c r="CM464" s="79"/>
      <c r="CN464" s="79"/>
      <c r="CO464" s="79"/>
      <c r="CP464" s="79"/>
      <c r="CQ464" s="79"/>
      <c r="CR464" s="83" t="s">
        <v>179</v>
      </c>
      <c r="CS464" s="83" t="s">
        <v>179</v>
      </c>
      <c r="CT464" s="83" t="s">
        <v>179</v>
      </c>
      <c r="CU464" s="83" t="s">
        <v>179</v>
      </c>
      <c r="CV464" s="83" t="s">
        <v>179</v>
      </c>
      <c r="CW464" s="83" t="s">
        <v>179</v>
      </c>
      <c r="CX464" s="79" t="s">
        <v>153</v>
      </c>
      <c r="CY464" s="79">
        <f t="shared" si="306"/>
        <v>0</v>
      </c>
      <c r="CZ464" s="79">
        <v>0</v>
      </c>
      <c r="DA464" s="79">
        <f t="shared" si="307"/>
        <v>0</v>
      </c>
      <c r="DB464" s="84" t="str">
        <f t="shared" si="308"/>
        <v/>
      </c>
      <c r="DC464" s="41"/>
      <c r="DD464" s="79" t="s">
        <v>153</v>
      </c>
      <c r="DE464" s="71"/>
      <c r="DF464" s="85" t="s">
        <v>3304</v>
      </c>
      <c r="DG464" s="79">
        <v>453</v>
      </c>
      <c r="DH464" s="86" t="str">
        <f t="shared" si="286"/>
        <v>Completo</v>
      </c>
      <c r="DI464" s="79" t="s">
        <v>181</v>
      </c>
      <c r="DJ464" s="79" t="s">
        <v>182</v>
      </c>
      <c r="DK464" s="79"/>
      <c r="DL464" s="79">
        <v>0</v>
      </c>
      <c r="DM464" s="79">
        <v>0</v>
      </c>
      <c r="DN464" s="79" t="s">
        <v>182</v>
      </c>
      <c r="DO464" s="79"/>
      <c r="DP464" s="79"/>
      <c r="DQ464" s="79"/>
      <c r="DR464" s="75" t="str">
        <f t="shared" si="276"/>
        <v>No aplica</v>
      </c>
      <c r="DS464" s="79"/>
      <c r="DT464" s="79"/>
      <c r="DU464" s="75" t="str">
        <f t="shared" si="277"/>
        <v>No aplica</v>
      </c>
      <c r="DV464" s="79" t="s">
        <v>182</v>
      </c>
      <c r="DW464" s="79" t="s">
        <v>182</v>
      </c>
      <c r="DX464" s="79"/>
      <c r="DY464" s="79"/>
      <c r="DZ464" s="79"/>
      <c r="EA464" s="79"/>
      <c r="EB464" s="79" t="s">
        <v>191</v>
      </c>
      <c r="EC464" s="79"/>
      <c r="ED464" s="79" t="s">
        <v>184</v>
      </c>
      <c r="EE464" s="79" t="str">
        <f t="shared" si="304"/>
        <v>Completo</v>
      </c>
      <c r="EF464" s="41"/>
      <c r="EG464" s="79" t="s">
        <v>153</v>
      </c>
      <c r="EH464" s="71"/>
      <c r="EI464" s="80"/>
      <c r="EJ464" s="71"/>
      <c r="EK464" s="79"/>
      <c r="EL464" s="76" t="str">
        <f t="shared" si="297"/>
        <v>No requiere</v>
      </c>
      <c r="EM464" s="76" t="str">
        <f t="shared" si="298"/>
        <v>No requiere</v>
      </c>
      <c r="EN464" s="76" t="str">
        <f t="shared" si="269"/>
        <v>No requiere</v>
      </c>
      <c r="EO464" s="71"/>
      <c r="EP464" s="73" t="str">
        <f t="shared" si="299"/>
        <v>No requiere</v>
      </c>
      <c r="EQ464" s="77" t="str">
        <f t="shared" si="300"/>
        <v>No requiere</v>
      </c>
      <c r="ER464" s="71"/>
      <c r="ES464" s="79"/>
      <c r="ET464" s="73" t="str">
        <f t="shared" si="301"/>
        <v>No requiere</v>
      </c>
      <c r="EU464" s="73" t="str">
        <f t="shared" si="270"/>
        <v>No requiere</v>
      </c>
      <c r="EV464" s="73" t="str">
        <f t="shared" si="302"/>
        <v>No requiere</v>
      </c>
      <c r="EW464" s="73" t="str">
        <f t="shared" si="303"/>
        <v>No requiere</v>
      </c>
      <c r="EX464" s="78"/>
      <c r="EY464" s="78"/>
    </row>
    <row r="465" spans="1:155" ht="46.5" customHeight="1">
      <c r="A465" s="79">
        <v>461</v>
      </c>
      <c r="B465" s="80" t="s">
        <v>1231</v>
      </c>
      <c r="C465" s="81">
        <v>45433</v>
      </c>
      <c r="D465" s="82">
        <v>0.375</v>
      </c>
      <c r="E465" s="79" t="s">
        <v>200</v>
      </c>
      <c r="F465" s="79" t="s">
        <v>153</v>
      </c>
      <c r="G465" s="79" t="s">
        <v>152</v>
      </c>
      <c r="H465" s="79" t="s">
        <v>152</v>
      </c>
      <c r="I465" s="79" t="s">
        <v>152</v>
      </c>
      <c r="J465" s="79" t="s">
        <v>504</v>
      </c>
      <c r="K465" s="79" t="s">
        <v>155</v>
      </c>
      <c r="L465" s="80" t="s">
        <v>3305</v>
      </c>
      <c r="M465" s="80" t="s">
        <v>157</v>
      </c>
      <c r="N465" s="79" t="s">
        <v>749</v>
      </c>
      <c r="O465" s="80" t="str">
        <f t="shared" si="293"/>
        <v/>
      </c>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t="s">
        <v>169</v>
      </c>
      <c r="AP465" s="79" t="s">
        <v>2702</v>
      </c>
      <c r="AQ465" s="80" t="s">
        <v>3306</v>
      </c>
      <c r="AR465" s="83">
        <v>3156499699</v>
      </c>
      <c r="AS465" s="80" t="s">
        <v>3307</v>
      </c>
      <c r="AT465" s="80" t="str">
        <f t="shared" si="294"/>
        <v>Puente Aranda</v>
      </c>
      <c r="AU465" s="79" t="s">
        <v>1235</v>
      </c>
      <c r="AV465" s="79"/>
      <c r="AW465" s="79"/>
      <c r="AX465" s="79"/>
      <c r="AY465" s="79"/>
      <c r="AZ465" s="79"/>
      <c r="BA465" s="80" t="str">
        <f t="shared" si="295"/>
        <v>Centro Ampliado</v>
      </c>
      <c r="BB465" s="79" t="s">
        <v>636</v>
      </c>
      <c r="BC465" s="79"/>
      <c r="BD465" s="79"/>
      <c r="BE465" s="79"/>
      <c r="BF465" s="79"/>
      <c r="BG465" s="79"/>
      <c r="BH465" s="80" t="str">
        <f t="shared" si="296"/>
        <v>Puente Aranda</v>
      </c>
      <c r="BI465" s="79" t="s">
        <v>1235</v>
      </c>
      <c r="BJ465" s="79"/>
      <c r="BK465" s="79"/>
      <c r="BL465" s="79"/>
      <c r="BM465" s="79"/>
      <c r="BN465" s="79"/>
      <c r="BO465" s="79"/>
      <c r="BP465" s="79"/>
      <c r="BQ465" s="79"/>
      <c r="BR465" s="79"/>
      <c r="BS465" s="80" t="s">
        <v>288</v>
      </c>
      <c r="BT465" s="80" t="s">
        <v>174</v>
      </c>
      <c r="BU465" s="80" t="s">
        <v>3308</v>
      </c>
      <c r="BV465" s="71"/>
      <c r="BW465" s="79" t="s">
        <v>152</v>
      </c>
      <c r="BX465" s="79" t="s">
        <v>179</v>
      </c>
      <c r="BY465" s="71"/>
      <c r="BZ465" s="79">
        <v>21</v>
      </c>
      <c r="CA465" s="79">
        <v>1</v>
      </c>
      <c r="CB465" s="79">
        <f t="shared" si="281"/>
        <v>22</v>
      </c>
      <c r="CC465" s="79" t="str">
        <f t="shared" si="268"/>
        <v>No Aplica</v>
      </c>
      <c r="CD465" s="79" t="s">
        <v>177</v>
      </c>
      <c r="CE465" s="79"/>
      <c r="CF465" s="79"/>
      <c r="CG465" s="83" t="s">
        <v>3309</v>
      </c>
      <c r="CH465" s="41"/>
      <c r="CI465" s="79" t="s">
        <v>153</v>
      </c>
      <c r="CJ465" s="71"/>
      <c r="CK465" s="79">
        <f t="shared" si="305"/>
        <v>0</v>
      </c>
      <c r="CL465" s="79"/>
      <c r="CM465" s="79"/>
      <c r="CN465" s="79"/>
      <c r="CO465" s="79"/>
      <c r="CP465" s="79"/>
      <c r="CQ465" s="79"/>
      <c r="CR465" s="83" t="s">
        <v>179</v>
      </c>
      <c r="CS465" s="83" t="s">
        <v>179</v>
      </c>
      <c r="CT465" s="83" t="s">
        <v>179</v>
      </c>
      <c r="CU465" s="83" t="s">
        <v>179</v>
      </c>
      <c r="CV465" s="83" t="s">
        <v>179</v>
      </c>
      <c r="CW465" s="83" t="s">
        <v>179</v>
      </c>
      <c r="CX465" s="79" t="s">
        <v>153</v>
      </c>
      <c r="CY465" s="79">
        <f t="shared" si="306"/>
        <v>0</v>
      </c>
      <c r="CZ465" s="79">
        <v>0</v>
      </c>
      <c r="DA465" s="79">
        <f t="shared" si="307"/>
        <v>0</v>
      </c>
      <c r="DB465" s="84" t="str">
        <f t="shared" si="308"/>
        <v/>
      </c>
      <c r="DC465" s="41"/>
      <c r="DD465" s="79" t="s">
        <v>153</v>
      </c>
      <c r="DE465" s="71"/>
      <c r="DF465" s="85" t="s">
        <v>3310</v>
      </c>
      <c r="DG465" s="79">
        <v>454</v>
      </c>
      <c r="DH465" s="86" t="str">
        <f t="shared" si="286"/>
        <v>Completo</v>
      </c>
      <c r="DI465" s="79" t="s">
        <v>181</v>
      </c>
      <c r="DJ465" s="79" t="s">
        <v>182</v>
      </c>
      <c r="DK465" s="79"/>
      <c r="DL465" s="79">
        <v>0</v>
      </c>
      <c r="DM465" s="79">
        <v>0</v>
      </c>
      <c r="DN465" s="79" t="s">
        <v>182</v>
      </c>
      <c r="DO465" s="79"/>
      <c r="DP465" s="79"/>
      <c r="DQ465" s="79"/>
      <c r="DR465" s="75" t="str">
        <f t="shared" si="276"/>
        <v>No aplica</v>
      </c>
      <c r="DS465" s="79"/>
      <c r="DT465" s="79"/>
      <c r="DU465" s="75" t="str">
        <f t="shared" si="277"/>
        <v>No aplica</v>
      </c>
      <c r="DV465" s="79" t="s">
        <v>182</v>
      </c>
      <c r="DW465" s="79" t="s">
        <v>182</v>
      </c>
      <c r="DX465" s="79"/>
      <c r="DY465" s="79"/>
      <c r="DZ465" s="79"/>
      <c r="EA465" s="79"/>
      <c r="EB465" s="79"/>
      <c r="EC465" s="79"/>
      <c r="ED465" s="79" t="s">
        <v>184</v>
      </c>
      <c r="EE465" s="79" t="str">
        <f t="shared" si="304"/>
        <v>Completo</v>
      </c>
      <c r="EF465" s="41"/>
      <c r="EG465" s="79" t="s">
        <v>153</v>
      </c>
      <c r="EH465" s="71"/>
      <c r="EI465" s="80"/>
      <c r="EJ465" s="71"/>
      <c r="EK465" s="79"/>
      <c r="EL465" s="76" t="str">
        <f t="shared" si="297"/>
        <v>No requiere</v>
      </c>
      <c r="EM465" s="76" t="str">
        <f t="shared" si="298"/>
        <v>No requiere</v>
      </c>
      <c r="EN465" s="76" t="str">
        <f t="shared" si="269"/>
        <v>No requiere</v>
      </c>
      <c r="EO465" s="71"/>
      <c r="EP465" s="73" t="str">
        <f t="shared" si="299"/>
        <v>No requiere</v>
      </c>
      <c r="EQ465" s="77" t="str">
        <f t="shared" si="300"/>
        <v>No requiere</v>
      </c>
      <c r="ER465" s="71"/>
      <c r="ES465" s="79"/>
      <c r="ET465" s="73" t="str">
        <f t="shared" si="301"/>
        <v>No requiere</v>
      </c>
      <c r="EU465" s="73" t="str">
        <f t="shared" si="270"/>
        <v>No requiere</v>
      </c>
      <c r="EV465" s="73" t="str">
        <f t="shared" si="302"/>
        <v>No requiere</v>
      </c>
      <c r="EW465" s="73" t="str">
        <f t="shared" si="303"/>
        <v>No requiere</v>
      </c>
      <c r="EX465" s="78"/>
      <c r="EY465" s="78"/>
    </row>
    <row r="466" spans="1:155" ht="46.5" customHeight="1">
      <c r="A466" s="79" t="str">
        <v/>
      </c>
      <c r="B466" s="80" t="s">
        <v>3311</v>
      </c>
      <c r="C466" s="81">
        <v>45433</v>
      </c>
      <c r="D466" s="82">
        <v>0.41666666666666669</v>
      </c>
      <c r="E466" s="79" t="s">
        <v>151</v>
      </c>
      <c r="F466" s="79" t="s">
        <v>152</v>
      </c>
      <c r="G466" s="79" t="s">
        <v>152</v>
      </c>
      <c r="H466" s="79" t="s">
        <v>152</v>
      </c>
      <c r="I466" s="79" t="s">
        <v>152</v>
      </c>
      <c r="J466" s="79" t="s">
        <v>251</v>
      </c>
      <c r="K466" s="79" t="s">
        <v>202</v>
      </c>
      <c r="L466" s="80" t="s">
        <v>3312</v>
      </c>
      <c r="M466" s="80" t="s">
        <v>157</v>
      </c>
      <c r="N466" s="79" t="s">
        <v>1611</v>
      </c>
      <c r="O466" s="80" t="str">
        <f t="shared" si="293"/>
        <v/>
      </c>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t="s">
        <v>169</v>
      </c>
      <c r="AP466" s="79" t="s">
        <v>170</v>
      </c>
      <c r="AQ466" s="80" t="s">
        <v>3313</v>
      </c>
      <c r="AR466" s="83">
        <v>3177001630</v>
      </c>
      <c r="AS466" s="80" t="s">
        <v>3314</v>
      </c>
      <c r="AT466" s="80" t="str">
        <f t="shared" si="294"/>
        <v>Distrital</v>
      </c>
      <c r="AU466" s="79" t="s">
        <v>172</v>
      </c>
      <c r="AV466" s="79"/>
      <c r="AW466" s="79"/>
      <c r="AX466" s="79"/>
      <c r="AY466" s="79"/>
      <c r="AZ466" s="79"/>
      <c r="BA466" s="80" t="str">
        <f t="shared" si="295"/>
        <v>Distrital</v>
      </c>
      <c r="BB466" s="79" t="s">
        <v>172</v>
      </c>
      <c r="BC466" s="79"/>
      <c r="BD466" s="79"/>
      <c r="BE466" s="79"/>
      <c r="BF466" s="79"/>
      <c r="BG466" s="79"/>
      <c r="BH466" s="80" t="str">
        <f t="shared" si="296"/>
        <v>Distrital</v>
      </c>
      <c r="BI466" s="79" t="s">
        <v>172</v>
      </c>
      <c r="BJ466" s="79"/>
      <c r="BK466" s="79"/>
      <c r="BL466" s="79"/>
      <c r="BM466" s="79"/>
      <c r="BN466" s="79"/>
      <c r="BO466" s="79"/>
      <c r="BP466" s="79"/>
      <c r="BQ466" s="79"/>
      <c r="BR466" s="79"/>
      <c r="BS466" s="80" t="s">
        <v>3315</v>
      </c>
      <c r="BT466" s="80" t="s">
        <v>174</v>
      </c>
      <c r="BU466" s="89" t="s">
        <v>3316</v>
      </c>
      <c r="BV466" s="71"/>
      <c r="BW466" s="79" t="s">
        <v>152</v>
      </c>
      <c r="BX466" s="79" t="s">
        <v>179</v>
      </c>
      <c r="BY466" s="71"/>
      <c r="BZ466" s="79">
        <v>0</v>
      </c>
      <c r="CA466" s="79">
        <v>7</v>
      </c>
      <c r="CB466" s="79">
        <f t="shared" si="281"/>
        <v>7</v>
      </c>
      <c r="CC466" s="79" t="str">
        <f t="shared" si="268"/>
        <v>No Aplica</v>
      </c>
      <c r="CD466" s="79" t="s">
        <v>177</v>
      </c>
      <c r="CE466" s="79"/>
      <c r="CF466" s="79"/>
      <c r="CG466" s="83" t="s">
        <v>3317</v>
      </c>
      <c r="CH466" s="41"/>
      <c r="CI466" s="79" t="s">
        <v>153</v>
      </c>
      <c r="CJ466" s="71"/>
      <c r="CK466" s="79">
        <f t="shared" si="305"/>
        <v>0</v>
      </c>
      <c r="CL466" s="79"/>
      <c r="CM466" s="79"/>
      <c r="CN466" s="79"/>
      <c r="CO466" s="79"/>
      <c r="CP466" s="79"/>
      <c r="CQ466" s="79"/>
      <c r="CR466" s="83" t="s">
        <v>179</v>
      </c>
      <c r="CS466" s="83" t="s">
        <v>179</v>
      </c>
      <c r="CT466" s="83" t="s">
        <v>179</v>
      </c>
      <c r="CU466" s="83" t="s">
        <v>179</v>
      </c>
      <c r="CV466" s="83" t="s">
        <v>179</v>
      </c>
      <c r="CW466" s="83" t="s">
        <v>179</v>
      </c>
      <c r="CX466" s="79" t="s">
        <v>153</v>
      </c>
      <c r="CY466" s="79">
        <f t="shared" si="306"/>
        <v>0</v>
      </c>
      <c r="CZ466" s="79">
        <v>0</v>
      </c>
      <c r="DA466" s="79">
        <f t="shared" si="307"/>
        <v>0</v>
      </c>
      <c r="DB466" s="84" t="str">
        <f t="shared" si="308"/>
        <v/>
      </c>
      <c r="DC466" s="41"/>
      <c r="DD466" s="79" t="s">
        <v>153</v>
      </c>
      <c r="DE466" s="71"/>
      <c r="DF466" s="85" t="s">
        <v>3318</v>
      </c>
      <c r="DG466" s="79">
        <v>455</v>
      </c>
      <c r="DH466" s="86" t="str">
        <f t="shared" si="286"/>
        <v>Completo</v>
      </c>
      <c r="DI466" s="79" t="s">
        <v>181</v>
      </c>
      <c r="DJ466" s="79" t="s">
        <v>182</v>
      </c>
      <c r="DK466" s="79"/>
      <c r="DL466" s="79">
        <v>0</v>
      </c>
      <c r="DM466" s="79">
        <v>0</v>
      </c>
      <c r="DN466" s="79" t="s">
        <v>191</v>
      </c>
      <c r="DO466" s="79"/>
      <c r="DP466" s="79"/>
      <c r="DQ466" s="79"/>
      <c r="DR466" s="75" t="str">
        <f t="shared" si="276"/>
        <v>No aplica</v>
      </c>
      <c r="DS466" s="79"/>
      <c r="DT466" s="79"/>
      <c r="DU466" s="75" t="str">
        <f t="shared" si="277"/>
        <v>No aplica</v>
      </c>
      <c r="DV466" s="79" t="s">
        <v>182</v>
      </c>
      <c r="DW466" s="79" t="s">
        <v>182</v>
      </c>
      <c r="DX466" s="79"/>
      <c r="DY466" s="79"/>
      <c r="DZ466" s="79"/>
      <c r="EA466" s="79"/>
      <c r="EB466" s="79" t="s">
        <v>191</v>
      </c>
      <c r="EC466" s="79"/>
      <c r="ED466" s="79" t="s">
        <v>3319</v>
      </c>
      <c r="EE466" s="79" t="str">
        <f t="shared" si="304"/>
        <v>Completo</v>
      </c>
      <c r="EF466" s="41"/>
      <c r="EG466" s="79" t="s">
        <v>153</v>
      </c>
      <c r="EH466" s="71"/>
      <c r="EI466" s="80"/>
      <c r="EJ466" s="71"/>
      <c r="EK466" s="79"/>
      <c r="EL466" s="76" t="str">
        <f t="shared" si="297"/>
        <v>No requiere</v>
      </c>
      <c r="EM466" s="76" t="str">
        <f t="shared" si="298"/>
        <v>No requiere</v>
      </c>
      <c r="EN466" s="76" t="str">
        <f t="shared" si="269"/>
        <v>No requiere</v>
      </c>
      <c r="EO466" s="71"/>
      <c r="EP466" s="73" t="str">
        <f t="shared" si="299"/>
        <v>No requiere</v>
      </c>
      <c r="EQ466" s="77" t="str">
        <f t="shared" si="300"/>
        <v>No requiere</v>
      </c>
      <c r="ER466" s="71"/>
      <c r="ES466" s="79"/>
      <c r="ET466" s="73" t="str">
        <f t="shared" si="301"/>
        <v>No requiere</v>
      </c>
      <c r="EU466" s="73" t="str">
        <f t="shared" si="270"/>
        <v>No requiere</v>
      </c>
      <c r="EV466" s="73" t="str">
        <f t="shared" si="302"/>
        <v>No requiere</v>
      </c>
      <c r="EW466" s="73" t="str">
        <f t="shared" si="303"/>
        <v>No requiere</v>
      </c>
      <c r="EX466" s="78"/>
      <c r="EY466" s="78"/>
    </row>
    <row r="467" spans="1:155" ht="46.5" customHeight="1">
      <c r="A467" s="79">
        <v>463</v>
      </c>
      <c r="B467" s="80" t="s">
        <v>2843</v>
      </c>
      <c r="C467" s="81">
        <v>45433</v>
      </c>
      <c r="D467" s="82">
        <v>0.375</v>
      </c>
      <c r="E467" s="79" t="s">
        <v>151</v>
      </c>
      <c r="F467" s="79" t="s">
        <v>153</v>
      </c>
      <c r="G467" s="79" t="s">
        <v>152</v>
      </c>
      <c r="H467" s="79" t="s">
        <v>152</v>
      </c>
      <c r="I467" s="79" t="s">
        <v>152</v>
      </c>
      <c r="J467" s="79" t="s">
        <v>154</v>
      </c>
      <c r="K467" s="79" t="s">
        <v>155</v>
      </c>
      <c r="L467" s="80" t="s">
        <v>2844</v>
      </c>
      <c r="M467" s="80" t="s">
        <v>303</v>
      </c>
      <c r="N467" s="79" t="s">
        <v>801</v>
      </c>
      <c r="O467" s="80" t="str">
        <f t="shared" si="293"/>
        <v>Nicolas Esteban Hernández, Reinaldo Terrios Andrade, Nicolás Enrique Moncaleano, Carlos Eduardo Escandón, David Reinaldo Jojoa</v>
      </c>
      <c r="P467" s="79" t="s">
        <v>645</v>
      </c>
      <c r="Q467" s="79" t="s">
        <v>675</v>
      </c>
      <c r="R467" s="79" t="s">
        <v>966</v>
      </c>
      <c r="S467" s="79" t="s">
        <v>819</v>
      </c>
      <c r="T467" s="79" t="s">
        <v>548</v>
      </c>
      <c r="U467" s="79"/>
      <c r="V467" s="79"/>
      <c r="W467" s="79"/>
      <c r="X467" s="79"/>
      <c r="Y467" s="79"/>
      <c r="Z467" s="79"/>
      <c r="AA467" s="79"/>
      <c r="AB467" s="79"/>
      <c r="AC467" s="79"/>
      <c r="AD467" s="79"/>
      <c r="AE467" s="79"/>
      <c r="AF467" s="79"/>
      <c r="AG467" s="79"/>
      <c r="AH467" s="79"/>
      <c r="AI467" s="79"/>
      <c r="AJ467" s="79"/>
      <c r="AK467" s="79"/>
      <c r="AL467" s="79"/>
      <c r="AM467" s="79"/>
      <c r="AN467" s="79"/>
      <c r="AO467" s="79" t="s">
        <v>169</v>
      </c>
      <c r="AP467" s="79" t="s">
        <v>475</v>
      </c>
      <c r="AQ467" s="80" t="s">
        <v>171</v>
      </c>
      <c r="AR467" s="83" t="s">
        <v>171</v>
      </c>
      <c r="AS467" s="80" t="s">
        <v>171</v>
      </c>
      <c r="AT467" s="80" t="str">
        <f t="shared" si="294"/>
        <v>Distrital</v>
      </c>
      <c r="AU467" s="79" t="s">
        <v>172</v>
      </c>
      <c r="AV467" s="79"/>
      <c r="AW467" s="79"/>
      <c r="AX467" s="79"/>
      <c r="AY467" s="79"/>
      <c r="AZ467" s="79"/>
      <c r="BA467" s="80" t="str">
        <f t="shared" si="295"/>
        <v>Distrital</v>
      </c>
      <c r="BB467" s="79" t="s">
        <v>172</v>
      </c>
      <c r="BC467" s="79"/>
      <c r="BD467" s="79"/>
      <c r="BE467" s="79"/>
      <c r="BF467" s="79"/>
      <c r="BG467" s="79"/>
      <c r="BH467" s="80" t="str">
        <f t="shared" si="296"/>
        <v>Distrital</v>
      </c>
      <c r="BI467" s="79" t="s">
        <v>172</v>
      </c>
      <c r="BJ467" s="79"/>
      <c r="BK467" s="79"/>
      <c r="BL467" s="79"/>
      <c r="BM467" s="79"/>
      <c r="BN467" s="79"/>
      <c r="BO467" s="79"/>
      <c r="BP467" s="79"/>
      <c r="BQ467" s="79"/>
      <c r="BR467" s="79"/>
      <c r="BS467" s="80" t="s">
        <v>2598</v>
      </c>
      <c r="BT467" s="80" t="s">
        <v>174</v>
      </c>
      <c r="BU467" s="80" t="s">
        <v>2599</v>
      </c>
      <c r="BV467" s="71"/>
      <c r="BW467" s="79" t="s">
        <v>153</v>
      </c>
      <c r="BX467" s="79" t="s">
        <v>2600</v>
      </c>
      <c r="BY467" s="71"/>
      <c r="BZ467" s="79">
        <v>224</v>
      </c>
      <c r="CA467" s="79">
        <v>8</v>
      </c>
      <c r="CB467" s="79">
        <f t="shared" si="281"/>
        <v>232</v>
      </c>
      <c r="CC467" s="79" t="str">
        <f t="shared" si="268"/>
        <v>No Aplica</v>
      </c>
      <c r="CD467" s="79" t="s">
        <v>177</v>
      </c>
      <c r="CE467" s="79"/>
      <c r="CF467" s="79"/>
      <c r="CG467" s="83" t="s">
        <v>3320</v>
      </c>
      <c r="CH467" s="41"/>
      <c r="CI467" s="79" t="s">
        <v>153</v>
      </c>
      <c r="CJ467" s="71"/>
      <c r="CK467" s="79"/>
      <c r="CL467" s="79"/>
      <c r="CM467" s="79"/>
      <c r="CN467" s="79"/>
      <c r="CO467" s="79"/>
      <c r="CP467" s="79"/>
      <c r="CQ467" s="79"/>
      <c r="CR467" s="83" t="s">
        <v>179</v>
      </c>
      <c r="CS467" s="83" t="s">
        <v>179</v>
      </c>
      <c r="CT467" s="83" t="s">
        <v>179</v>
      </c>
      <c r="CU467" s="83" t="s">
        <v>179</v>
      </c>
      <c r="CV467" s="83" t="s">
        <v>179</v>
      </c>
      <c r="CW467" s="83" t="s">
        <v>179</v>
      </c>
      <c r="CX467" s="79" t="s">
        <v>153</v>
      </c>
      <c r="CY467" s="79"/>
      <c r="CZ467" s="79"/>
      <c r="DA467" s="79"/>
      <c r="DB467" s="84"/>
      <c r="DC467" s="41"/>
      <c r="DD467" s="79" t="s">
        <v>153</v>
      </c>
      <c r="DE467" s="71"/>
      <c r="DF467" s="85" t="s">
        <v>3321</v>
      </c>
      <c r="DG467" s="79">
        <v>456</v>
      </c>
      <c r="DH467" s="86" t="str">
        <f t="shared" si="286"/>
        <v>Completo</v>
      </c>
      <c r="DI467" s="79" t="s">
        <v>181</v>
      </c>
      <c r="DJ467" s="79" t="s">
        <v>182</v>
      </c>
      <c r="DK467" s="79"/>
      <c r="DL467" s="79"/>
      <c r="DM467" s="79"/>
      <c r="DN467" s="79" t="s">
        <v>182</v>
      </c>
      <c r="DO467" s="79"/>
      <c r="DP467" s="79"/>
      <c r="DQ467" s="79"/>
      <c r="DR467" s="75" t="str">
        <f t="shared" si="276"/>
        <v>No aplica</v>
      </c>
      <c r="DS467" s="79"/>
      <c r="DT467" s="79"/>
      <c r="DU467" s="75" t="str">
        <f t="shared" si="277"/>
        <v>No aplica</v>
      </c>
      <c r="DV467" s="79" t="s">
        <v>182</v>
      </c>
      <c r="DW467" s="79" t="s">
        <v>182</v>
      </c>
      <c r="DX467" s="79"/>
      <c r="DY467" s="79"/>
      <c r="DZ467" s="79"/>
      <c r="EA467" s="79"/>
      <c r="EB467" s="79" t="s">
        <v>182</v>
      </c>
      <c r="EC467" s="79" t="s">
        <v>3322</v>
      </c>
      <c r="ED467" s="79" t="s">
        <v>184</v>
      </c>
      <c r="EE467" s="79" t="str">
        <f t="shared" si="304"/>
        <v>Completo</v>
      </c>
      <c r="EF467" s="41"/>
      <c r="EG467" s="79" t="s">
        <v>153</v>
      </c>
      <c r="EH467" s="71"/>
      <c r="EI467" s="80"/>
      <c r="EJ467" s="71"/>
      <c r="EK467" s="79"/>
      <c r="EL467" s="76" t="str">
        <f t="shared" si="297"/>
        <v>No requiere</v>
      </c>
      <c r="EM467" s="76" t="str">
        <f t="shared" si="298"/>
        <v>No requiere</v>
      </c>
      <c r="EN467" s="76" t="str">
        <f t="shared" si="269"/>
        <v>No requiere</v>
      </c>
      <c r="EO467" s="71"/>
      <c r="EP467" s="73" t="str">
        <f t="shared" si="299"/>
        <v>No requiere</v>
      </c>
      <c r="EQ467" s="77" t="str">
        <f t="shared" si="300"/>
        <v>No requiere</v>
      </c>
      <c r="ER467" s="71"/>
      <c r="ES467" s="79"/>
      <c r="ET467" s="73" t="str">
        <f t="shared" si="301"/>
        <v>No requiere</v>
      </c>
      <c r="EU467" s="73" t="str">
        <f t="shared" si="270"/>
        <v>No requiere</v>
      </c>
      <c r="EV467" s="73" t="str">
        <f t="shared" si="302"/>
        <v>No requiere</v>
      </c>
      <c r="EW467" s="73" t="str">
        <f t="shared" si="303"/>
        <v>No requiere</v>
      </c>
      <c r="EX467" s="78"/>
      <c r="EY467" s="78"/>
    </row>
    <row r="468" spans="1:155" ht="46.5" customHeight="1">
      <c r="A468" s="79">
        <v>464</v>
      </c>
      <c r="B468" s="80" t="s">
        <v>3323</v>
      </c>
      <c r="C468" s="81">
        <v>45433</v>
      </c>
      <c r="D468" s="82">
        <v>0.64583333333333337</v>
      </c>
      <c r="E468" s="79" t="s">
        <v>151</v>
      </c>
      <c r="F468" s="79" t="s">
        <v>153</v>
      </c>
      <c r="G468" s="79" t="s">
        <v>153</v>
      </c>
      <c r="H468" s="79" t="s">
        <v>153</v>
      </c>
      <c r="I468" s="79" t="s">
        <v>153</v>
      </c>
      <c r="J468" s="79" t="s">
        <v>3324</v>
      </c>
      <c r="K468" s="79" t="s">
        <v>155</v>
      </c>
      <c r="L468" s="80" t="s">
        <v>3325</v>
      </c>
      <c r="M468" s="80" t="s">
        <v>303</v>
      </c>
      <c r="N468" s="79" t="s">
        <v>818</v>
      </c>
      <c r="O468" s="80" t="str">
        <f t="shared" si="293"/>
        <v>James Fernando Núñez, Armando Alberto Montañez, Manuel Fernando Vergara, Andres Castro Latorre, William Arturo González</v>
      </c>
      <c r="P468" s="79" t="s">
        <v>632</v>
      </c>
      <c r="Q468" s="79" t="s">
        <v>1387</v>
      </c>
      <c r="R468" s="79" t="s">
        <v>820</v>
      </c>
      <c r="S468" s="79" t="s">
        <v>749</v>
      </c>
      <c r="T468" s="79" t="s">
        <v>2786</v>
      </c>
      <c r="U468" s="79"/>
      <c r="V468" s="79"/>
      <c r="W468" s="79"/>
      <c r="X468" s="79"/>
      <c r="Y468" s="79"/>
      <c r="Z468" s="79"/>
      <c r="AA468" s="79"/>
      <c r="AB468" s="79"/>
      <c r="AC468" s="79"/>
      <c r="AD468" s="79"/>
      <c r="AE468" s="79"/>
      <c r="AF468" s="79"/>
      <c r="AG468" s="79"/>
      <c r="AH468" s="79"/>
      <c r="AI468" s="79"/>
      <c r="AJ468" s="79"/>
      <c r="AK468" s="79"/>
      <c r="AL468" s="79"/>
      <c r="AM468" s="79"/>
      <c r="AN468" s="79"/>
      <c r="AO468" s="79" t="s">
        <v>304</v>
      </c>
      <c r="AP468" s="79"/>
      <c r="AQ468" s="80" t="s">
        <v>3326</v>
      </c>
      <c r="AR468" s="83">
        <v>3105663416</v>
      </c>
      <c r="AS468" s="80" t="s">
        <v>171</v>
      </c>
      <c r="AT468" s="80" t="str">
        <f t="shared" si="294"/>
        <v>Teusaquillo</v>
      </c>
      <c r="AU468" s="79" t="s">
        <v>1004</v>
      </c>
      <c r="AV468" s="79"/>
      <c r="AW468" s="79"/>
      <c r="AX468" s="79"/>
      <c r="AY468" s="79"/>
      <c r="AZ468" s="79"/>
      <c r="BA468" s="80" t="str">
        <f t="shared" si="295"/>
        <v>Centro Ampliado</v>
      </c>
      <c r="BB468" s="79" t="s">
        <v>636</v>
      </c>
      <c r="BC468" s="79"/>
      <c r="BD468" s="79"/>
      <c r="BE468" s="79"/>
      <c r="BF468" s="79"/>
      <c r="BG468" s="79"/>
      <c r="BH468" s="80" t="str">
        <f t="shared" si="296"/>
        <v>Teusaquillo</v>
      </c>
      <c r="BI468" s="79" t="s">
        <v>1004</v>
      </c>
      <c r="BJ468" s="79"/>
      <c r="BK468" s="79"/>
      <c r="BL468" s="79"/>
      <c r="BM468" s="79"/>
      <c r="BN468" s="79"/>
      <c r="BO468" s="79"/>
      <c r="BP468" s="79"/>
      <c r="BQ468" s="79"/>
      <c r="BR468" s="79"/>
      <c r="BS468" s="80" t="s">
        <v>3327</v>
      </c>
      <c r="BT468" s="80" t="s">
        <v>3328</v>
      </c>
      <c r="BU468" s="80" t="s">
        <v>3329</v>
      </c>
      <c r="BV468" s="71"/>
      <c r="BW468" s="79" t="s">
        <v>152</v>
      </c>
      <c r="BX468" s="79" t="s">
        <v>179</v>
      </c>
      <c r="BY468" s="71"/>
      <c r="BZ468" s="79">
        <v>40</v>
      </c>
      <c r="CA468" s="79">
        <v>11</v>
      </c>
      <c r="CB468" s="79">
        <f t="shared" si="281"/>
        <v>51</v>
      </c>
      <c r="CC468" s="79" t="str">
        <f t="shared" si="268"/>
        <v>Accesibilidad Universal, Horarios Acordes, Contenidos adaptados</v>
      </c>
      <c r="CD468" s="79" t="s">
        <v>397</v>
      </c>
      <c r="CE468" s="79" t="s">
        <v>351</v>
      </c>
      <c r="CF468" s="79" t="s">
        <v>350</v>
      </c>
      <c r="CG468" s="83" t="s">
        <v>3330</v>
      </c>
      <c r="CH468" s="41"/>
      <c r="CI468" s="79" t="s">
        <v>153</v>
      </c>
      <c r="CJ468" s="71"/>
      <c r="CK468" s="79">
        <f>COUNTIF(CL468:CQ468,"*")</f>
        <v>3</v>
      </c>
      <c r="CL468" s="79" t="s">
        <v>3331</v>
      </c>
      <c r="CM468" s="79" t="s">
        <v>3332</v>
      </c>
      <c r="CN468" s="79" t="s">
        <v>3333</v>
      </c>
      <c r="CO468" s="79"/>
      <c r="CP468" s="79"/>
      <c r="CQ468" s="79"/>
      <c r="CR468" s="83" t="s">
        <v>390</v>
      </c>
      <c r="CS468" s="83" t="s">
        <v>1246</v>
      </c>
      <c r="CT468" s="83" t="s">
        <v>1246</v>
      </c>
      <c r="CU468" s="83" t="s">
        <v>179</v>
      </c>
      <c r="CV468" s="83" t="s">
        <v>179</v>
      </c>
      <c r="CW468" s="83" t="s">
        <v>179</v>
      </c>
      <c r="CX468" s="79" t="s">
        <v>153</v>
      </c>
      <c r="CY468" s="79">
        <f>SUM(COUNTIF(CR468:CW468,"Realizado y Devuelto a la Ciudadanía"),COUNTIF(CR468:CW468,"Realizado y Trasladado por competencia"), COUNTIF(CR468:CW468,"Realizado y Gestionado"))</f>
        <v>1</v>
      </c>
      <c r="CZ468" s="79">
        <v>3</v>
      </c>
      <c r="DA468" s="79">
        <f>COUNTIF(CR468:CW468,"Realizado y Devuelto a la Ciudadanía")</f>
        <v>1</v>
      </c>
      <c r="DB468" s="84">
        <f>IFERROR(CY468/CK468,"")</f>
        <v>0.33333333333333331</v>
      </c>
      <c r="DC468" s="41"/>
      <c r="DD468" s="79" t="s">
        <v>152</v>
      </c>
      <c r="DE468" s="71"/>
      <c r="DF468" s="85" t="s">
        <v>3334</v>
      </c>
      <c r="DG468" s="79">
        <v>457</v>
      </c>
      <c r="DH468" s="86" t="str">
        <f t="shared" si="286"/>
        <v>Completo</v>
      </c>
      <c r="DI468" s="79" t="s">
        <v>181</v>
      </c>
      <c r="DJ468" s="79" t="s">
        <v>182</v>
      </c>
      <c r="DK468" s="79" t="s">
        <v>153</v>
      </c>
      <c r="DL468" s="79">
        <v>0</v>
      </c>
      <c r="DM468" s="79">
        <v>0</v>
      </c>
      <c r="DN468" s="79" t="s">
        <v>182</v>
      </c>
      <c r="DO468" s="79">
        <v>140</v>
      </c>
      <c r="DP468" s="79" t="s">
        <v>191</v>
      </c>
      <c r="DQ468" s="79">
        <v>0</v>
      </c>
      <c r="DR468" s="75">
        <f t="shared" si="276"/>
        <v>0</v>
      </c>
      <c r="DS468" s="79" t="s">
        <v>182</v>
      </c>
      <c r="DT468" s="79">
        <v>30</v>
      </c>
      <c r="DU468" s="75">
        <f t="shared" si="277"/>
        <v>2.1428571428571428</v>
      </c>
      <c r="DV468" s="79" t="s">
        <v>182</v>
      </c>
      <c r="DW468" s="79" t="s">
        <v>182</v>
      </c>
      <c r="DX468" s="79">
        <v>3</v>
      </c>
      <c r="DY468" s="79">
        <v>0</v>
      </c>
      <c r="DZ468" s="79"/>
      <c r="EA468" s="79">
        <v>140</v>
      </c>
      <c r="EB468" s="79" t="s">
        <v>182</v>
      </c>
      <c r="EC468" s="79" t="s">
        <v>3335</v>
      </c>
      <c r="ED468" s="79" t="s">
        <v>184</v>
      </c>
      <c r="EE468" s="79" t="str">
        <f>IF(DI468="Subsanado","Completo","Por Completar")</f>
        <v>Completo</v>
      </c>
      <c r="EF468" s="41"/>
      <c r="EG468" s="79" t="s">
        <v>152</v>
      </c>
      <c r="EH468" s="71"/>
      <c r="EI468" s="89" t="s">
        <v>3336</v>
      </c>
      <c r="EJ468" s="71"/>
      <c r="EK468" s="79" t="s">
        <v>191</v>
      </c>
      <c r="EL468" s="76" t="str">
        <f t="shared" si="297"/>
        <v>Sí</v>
      </c>
      <c r="EM468" s="76" t="str">
        <f t="shared" si="298"/>
        <v>No</v>
      </c>
      <c r="EN468" s="76" t="str">
        <f t="shared" si="269"/>
        <v>Sí</v>
      </c>
      <c r="EO468" s="71"/>
      <c r="EP468" s="73" t="str">
        <f t="shared" si="299"/>
        <v>No aplica</v>
      </c>
      <c r="EQ468" s="77">
        <f t="shared" si="300"/>
        <v>2.1428571428571428</v>
      </c>
      <c r="ER468" s="71"/>
      <c r="ES468" s="79" t="s">
        <v>191</v>
      </c>
      <c r="ET468" s="73">
        <f t="shared" si="301"/>
        <v>0.83333333333333337</v>
      </c>
      <c r="EU468" s="73">
        <f t="shared" si="270"/>
        <v>0.33333333333333331</v>
      </c>
      <c r="EV468" s="73">
        <f t="shared" si="302"/>
        <v>0.33333333333333331</v>
      </c>
      <c r="EW468" s="73">
        <f t="shared" si="303"/>
        <v>1</v>
      </c>
      <c r="EX468" s="78"/>
      <c r="EY468" s="78"/>
    </row>
    <row r="469" spans="1:155" ht="46.5" customHeight="1">
      <c r="A469" s="79">
        <v>465</v>
      </c>
      <c r="B469" s="80" t="s">
        <v>3028</v>
      </c>
      <c r="C469" s="81">
        <v>45434</v>
      </c>
      <c r="D469" s="82">
        <v>0.375</v>
      </c>
      <c r="E469" s="79" t="s">
        <v>151</v>
      </c>
      <c r="F469" s="79" t="s">
        <v>153</v>
      </c>
      <c r="G469" s="79" t="s">
        <v>152</v>
      </c>
      <c r="H469" s="79" t="s">
        <v>152</v>
      </c>
      <c r="I469" s="79" t="s">
        <v>152</v>
      </c>
      <c r="J469" s="79" t="s">
        <v>154</v>
      </c>
      <c r="K469" s="79" t="s">
        <v>155</v>
      </c>
      <c r="L469" s="80" t="s">
        <v>2844</v>
      </c>
      <c r="M469" s="80" t="s">
        <v>303</v>
      </c>
      <c r="N469" s="79" t="s">
        <v>632</v>
      </c>
      <c r="O469" s="80" t="str">
        <f t="shared" si="293"/>
        <v>Joan Sebastian García, William Arturo González, Germán Ramón Jacome, Paola Andrea González, Mario Herrera</v>
      </c>
      <c r="P469" s="79" t="s">
        <v>728</v>
      </c>
      <c r="Q469" s="79" t="s">
        <v>2786</v>
      </c>
      <c r="R469" s="79" t="s">
        <v>525</v>
      </c>
      <c r="S469" s="79" t="s">
        <v>924</v>
      </c>
      <c r="T469" s="79" t="s">
        <v>631</v>
      </c>
      <c r="U469" s="79"/>
      <c r="V469" s="79"/>
      <c r="W469" s="79"/>
      <c r="X469" s="79"/>
      <c r="Y469" s="79"/>
      <c r="Z469" s="79"/>
      <c r="AA469" s="79"/>
      <c r="AB469" s="79"/>
      <c r="AC469" s="79"/>
      <c r="AD469" s="79"/>
      <c r="AE469" s="79"/>
      <c r="AF469" s="79"/>
      <c r="AG469" s="79"/>
      <c r="AH469" s="79"/>
      <c r="AI469" s="79"/>
      <c r="AJ469" s="79"/>
      <c r="AK469" s="79"/>
      <c r="AL469" s="79"/>
      <c r="AM469" s="79"/>
      <c r="AN469" s="79"/>
      <c r="AO469" s="79" t="s">
        <v>169</v>
      </c>
      <c r="AP469" s="79" t="s">
        <v>475</v>
      </c>
      <c r="AQ469" s="80" t="s">
        <v>171</v>
      </c>
      <c r="AR469" s="83" t="s">
        <v>171</v>
      </c>
      <c r="AS469" s="80" t="s">
        <v>171</v>
      </c>
      <c r="AT469" s="80" t="str">
        <f t="shared" si="294"/>
        <v>Distrital</v>
      </c>
      <c r="AU469" s="79" t="s">
        <v>172</v>
      </c>
      <c r="AV469" s="79"/>
      <c r="AW469" s="79"/>
      <c r="AX469" s="79"/>
      <c r="AY469" s="79"/>
      <c r="AZ469" s="79"/>
      <c r="BA469" s="80" t="str">
        <f t="shared" si="295"/>
        <v>Distrital</v>
      </c>
      <c r="BB469" s="79" t="s">
        <v>172</v>
      </c>
      <c r="BC469" s="79"/>
      <c r="BD469" s="79"/>
      <c r="BE469" s="79"/>
      <c r="BF469" s="79"/>
      <c r="BG469" s="79"/>
      <c r="BH469" s="80" t="str">
        <f t="shared" si="296"/>
        <v>Distrital</v>
      </c>
      <c r="BI469" s="79" t="s">
        <v>172</v>
      </c>
      <c r="BJ469" s="79"/>
      <c r="BK469" s="79"/>
      <c r="BL469" s="79"/>
      <c r="BM469" s="79"/>
      <c r="BN469" s="79"/>
      <c r="BO469" s="79"/>
      <c r="BP469" s="79"/>
      <c r="BQ469" s="79"/>
      <c r="BR469" s="79"/>
      <c r="BS469" s="80" t="s">
        <v>2598</v>
      </c>
      <c r="BT469" s="80" t="s">
        <v>174</v>
      </c>
      <c r="BU469" s="80" t="s">
        <v>2599</v>
      </c>
      <c r="BV469" s="71"/>
      <c r="BW469" s="79" t="s">
        <v>153</v>
      </c>
      <c r="BX469" s="79" t="s">
        <v>2600</v>
      </c>
      <c r="BY469" s="71"/>
      <c r="BZ469" s="79">
        <v>50</v>
      </c>
      <c r="CA469" s="79">
        <v>7</v>
      </c>
      <c r="CB469" s="79">
        <f t="shared" si="281"/>
        <v>57</v>
      </c>
      <c r="CC469" s="79" t="str">
        <f t="shared" si="268"/>
        <v>No Aplica</v>
      </c>
      <c r="CD469" s="79" t="s">
        <v>177</v>
      </c>
      <c r="CE469" s="79"/>
      <c r="CF469" s="79"/>
      <c r="CG469" s="83" t="s">
        <v>3337</v>
      </c>
      <c r="CH469" s="41"/>
      <c r="CI469" s="79" t="s">
        <v>153</v>
      </c>
      <c r="CJ469" s="71"/>
      <c r="CK469" s="79"/>
      <c r="CL469" s="79"/>
      <c r="CM469" s="79"/>
      <c r="CN469" s="79"/>
      <c r="CO469" s="79"/>
      <c r="CP469" s="79"/>
      <c r="CQ469" s="79"/>
      <c r="CR469" s="83" t="s">
        <v>179</v>
      </c>
      <c r="CS469" s="83" t="s">
        <v>179</v>
      </c>
      <c r="CT469" s="83" t="s">
        <v>179</v>
      </c>
      <c r="CU469" s="83" t="s">
        <v>179</v>
      </c>
      <c r="CV469" s="83" t="s">
        <v>179</v>
      </c>
      <c r="CW469" s="83" t="s">
        <v>179</v>
      </c>
      <c r="CX469" s="79" t="s">
        <v>153</v>
      </c>
      <c r="CY469" s="79"/>
      <c r="CZ469" s="79"/>
      <c r="DA469" s="79"/>
      <c r="DB469" s="84"/>
      <c r="DC469" s="41"/>
      <c r="DD469" s="79" t="s">
        <v>153</v>
      </c>
      <c r="DE469" s="71"/>
      <c r="DF469" s="85" t="s">
        <v>3338</v>
      </c>
      <c r="DG469" s="79">
        <v>458</v>
      </c>
      <c r="DH469" s="86" t="str">
        <f t="shared" si="286"/>
        <v>Completo</v>
      </c>
      <c r="DI469" s="79" t="s">
        <v>181</v>
      </c>
      <c r="DJ469" s="79" t="s">
        <v>182</v>
      </c>
      <c r="DK469" s="79"/>
      <c r="DL469" s="79"/>
      <c r="DM469" s="79"/>
      <c r="DN469" s="79" t="s">
        <v>182</v>
      </c>
      <c r="DO469" s="79"/>
      <c r="DP469" s="79"/>
      <c r="DQ469" s="79"/>
      <c r="DR469" s="75" t="str">
        <f t="shared" ref="DR469:DR500" si="309">IF(H469="SÍ", (DQ469/(BZ469*0.3)), "No aplica")</f>
        <v>No aplica</v>
      </c>
      <c r="DS469" s="79"/>
      <c r="DT469" s="79"/>
      <c r="DU469" s="75" t="str">
        <f t="shared" ref="DU469:DU500" si="310">IF(H469="SÍ", (DT469/(BZ469*0.35)), "No aplica")</f>
        <v>No aplica</v>
      </c>
      <c r="DV469" s="79" t="s">
        <v>182</v>
      </c>
      <c r="DW469" s="79" t="s">
        <v>182</v>
      </c>
      <c r="DX469" s="79"/>
      <c r="DY469" s="79"/>
      <c r="DZ469" s="79"/>
      <c r="EA469" s="79"/>
      <c r="EB469" s="79" t="s">
        <v>182</v>
      </c>
      <c r="EC469" s="79"/>
      <c r="ED469" s="79" t="s">
        <v>184</v>
      </c>
      <c r="EE469" s="79" t="str">
        <f t="shared" ref="EE469:EE477" si="311">IF(DI469="Subsanado","Completo","Por Completar")</f>
        <v>Completo</v>
      </c>
      <c r="EF469" s="41"/>
      <c r="EG469" s="79" t="s">
        <v>153</v>
      </c>
      <c r="EH469" s="71"/>
      <c r="EI469" s="80"/>
      <c r="EJ469" s="71"/>
      <c r="EK469" s="79"/>
      <c r="EL469" s="76" t="str">
        <f t="shared" si="297"/>
        <v>No requiere</v>
      </c>
      <c r="EM469" s="76" t="str">
        <f t="shared" si="298"/>
        <v>No requiere</v>
      </c>
      <c r="EN469" s="76" t="str">
        <f t="shared" si="269"/>
        <v>No requiere</v>
      </c>
      <c r="EO469" s="71"/>
      <c r="EP469" s="73" t="str">
        <f t="shared" si="299"/>
        <v>No requiere</v>
      </c>
      <c r="EQ469" s="77" t="str">
        <f t="shared" si="300"/>
        <v>No requiere</v>
      </c>
      <c r="ER469" s="71"/>
      <c r="ES469" s="79"/>
      <c r="ET469" s="73" t="str">
        <f t="shared" si="301"/>
        <v>No requiere</v>
      </c>
      <c r="EU469" s="73" t="str">
        <f t="shared" si="270"/>
        <v>No requiere</v>
      </c>
      <c r="EV469" s="73" t="str">
        <f t="shared" si="302"/>
        <v>No requiere</v>
      </c>
      <c r="EW469" s="73" t="str">
        <f t="shared" si="303"/>
        <v>No requiere</v>
      </c>
      <c r="EX469" s="78"/>
      <c r="EY469" s="78"/>
    </row>
    <row r="470" spans="1:155" ht="46.5" customHeight="1">
      <c r="A470" s="79">
        <v>466</v>
      </c>
      <c r="B470" s="80" t="s">
        <v>3339</v>
      </c>
      <c r="C470" s="81">
        <v>45434</v>
      </c>
      <c r="D470" s="82">
        <v>0.41666666666666669</v>
      </c>
      <c r="E470" s="79" t="s">
        <v>151</v>
      </c>
      <c r="F470" s="79" t="s">
        <v>153</v>
      </c>
      <c r="G470" s="79" t="s">
        <v>152</v>
      </c>
      <c r="H470" s="79" t="s">
        <v>152</v>
      </c>
      <c r="I470" s="79" t="s">
        <v>152</v>
      </c>
      <c r="J470" s="79" t="s">
        <v>3175</v>
      </c>
      <c r="K470" s="79" t="s">
        <v>155</v>
      </c>
      <c r="L470" s="80" t="s">
        <v>3340</v>
      </c>
      <c r="M470" s="80" t="s">
        <v>229</v>
      </c>
      <c r="N470" s="79" t="s">
        <v>346</v>
      </c>
      <c r="O470" s="80" t="str">
        <f t="shared" si="293"/>
        <v>Juan Carlos Prieto</v>
      </c>
      <c r="P470" s="79" t="s">
        <v>474</v>
      </c>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t="s">
        <v>169</v>
      </c>
      <c r="AP470" s="79" t="s">
        <v>347</v>
      </c>
      <c r="AQ470" s="80" t="s">
        <v>475</v>
      </c>
      <c r="AR470" s="83" t="s">
        <v>171</v>
      </c>
      <c r="AS470" s="80" t="s">
        <v>171</v>
      </c>
      <c r="AT470" s="80" t="str">
        <f t="shared" si="294"/>
        <v>Distrital</v>
      </c>
      <c r="AU470" s="79" t="s">
        <v>172</v>
      </c>
      <c r="AV470" s="79"/>
      <c r="AW470" s="79"/>
      <c r="AX470" s="79"/>
      <c r="AY470" s="79"/>
      <c r="AZ470" s="79"/>
      <c r="BA470" s="80" t="str">
        <f t="shared" si="295"/>
        <v>Distrital</v>
      </c>
      <c r="BB470" s="79" t="s">
        <v>172</v>
      </c>
      <c r="BC470" s="79"/>
      <c r="BD470" s="79"/>
      <c r="BE470" s="79"/>
      <c r="BF470" s="79"/>
      <c r="BG470" s="79"/>
      <c r="BH470" s="80" t="str">
        <f t="shared" si="296"/>
        <v>Distrital</v>
      </c>
      <c r="BI470" s="79" t="s">
        <v>172</v>
      </c>
      <c r="BJ470" s="79"/>
      <c r="BK470" s="79"/>
      <c r="BL470" s="79"/>
      <c r="BM470" s="79"/>
      <c r="BN470" s="79"/>
      <c r="BO470" s="79"/>
      <c r="BP470" s="79"/>
      <c r="BQ470" s="79"/>
      <c r="BR470" s="79"/>
      <c r="BS470" s="80" t="s">
        <v>288</v>
      </c>
      <c r="BT470" s="80" t="s">
        <v>174</v>
      </c>
      <c r="BU470" s="80" t="s">
        <v>2599</v>
      </c>
      <c r="BV470" s="71"/>
      <c r="BW470" s="79" t="s">
        <v>152</v>
      </c>
      <c r="BX470" s="79" t="s">
        <v>179</v>
      </c>
      <c r="BY470" s="71"/>
      <c r="BZ470" s="79">
        <v>2</v>
      </c>
      <c r="CA470" s="79">
        <v>3</v>
      </c>
      <c r="CB470" s="79">
        <f t="shared" si="281"/>
        <v>5</v>
      </c>
      <c r="CC470" s="79" t="str">
        <f t="shared" si="268"/>
        <v>No Aplica</v>
      </c>
      <c r="CD470" s="79" t="s">
        <v>177</v>
      </c>
      <c r="CE470" s="79"/>
      <c r="CF470" s="79"/>
      <c r="CG470" s="83" t="s">
        <v>3341</v>
      </c>
      <c r="CH470" s="41"/>
      <c r="CI470" s="79" t="s">
        <v>153</v>
      </c>
      <c r="CJ470" s="71"/>
      <c r="CK470" s="79">
        <f t="shared" ref="CK470:CK471" si="312">COUNTIF(CL470:CQ470,"*")</f>
        <v>0</v>
      </c>
      <c r="CL470" s="79"/>
      <c r="CM470" s="79"/>
      <c r="CN470" s="79"/>
      <c r="CO470" s="79"/>
      <c r="CP470" s="79"/>
      <c r="CQ470" s="79"/>
      <c r="CR470" s="83" t="s">
        <v>179</v>
      </c>
      <c r="CS470" s="83" t="s">
        <v>179</v>
      </c>
      <c r="CT470" s="83" t="s">
        <v>179</v>
      </c>
      <c r="CU470" s="83" t="s">
        <v>179</v>
      </c>
      <c r="CV470" s="83" t="s">
        <v>179</v>
      </c>
      <c r="CW470" s="83" t="s">
        <v>179</v>
      </c>
      <c r="CX470" s="79" t="s">
        <v>153</v>
      </c>
      <c r="CY470" s="79">
        <f t="shared" ref="CY470:CY471" si="313">SUM(COUNTIF(CR470:CW470,"Realizado y Devuelto a la Ciudadanía"),COUNTIF(CR470:CW470,"Realizado y Trasladado por competencia"), COUNTIF(CR470:CW470,"Realizado y Gestionado"))</f>
        <v>0</v>
      </c>
      <c r="CZ470" s="79">
        <v>0</v>
      </c>
      <c r="DA470" s="79">
        <f t="shared" ref="DA470:DA471" si="314">COUNTIF(CR470:CW470,"Realizado y Devuelto a la Ciudadanía")</f>
        <v>0</v>
      </c>
      <c r="DB470" s="84" t="str">
        <f t="shared" ref="DB470:DB471" si="315">IFERROR(CY470/CK470,"")</f>
        <v/>
      </c>
      <c r="DC470" s="41"/>
      <c r="DD470" s="79" t="s">
        <v>153</v>
      </c>
      <c r="DE470" s="71"/>
      <c r="DF470" s="85" t="s">
        <v>3342</v>
      </c>
      <c r="DG470" s="79">
        <v>459</v>
      </c>
      <c r="DH470" s="86" t="str">
        <f t="shared" si="286"/>
        <v>Completo</v>
      </c>
      <c r="DI470" s="79" t="s">
        <v>181</v>
      </c>
      <c r="DJ470" s="79" t="s">
        <v>182</v>
      </c>
      <c r="DK470" s="79"/>
      <c r="DL470" s="79">
        <v>0</v>
      </c>
      <c r="DM470" s="79">
        <v>0</v>
      </c>
      <c r="DN470" s="79" t="s">
        <v>191</v>
      </c>
      <c r="DO470" s="79"/>
      <c r="DP470" s="79"/>
      <c r="DQ470" s="79"/>
      <c r="DR470" s="75" t="str">
        <f t="shared" si="309"/>
        <v>No aplica</v>
      </c>
      <c r="DS470" s="79"/>
      <c r="DT470" s="79"/>
      <c r="DU470" s="75" t="str">
        <f t="shared" si="310"/>
        <v>No aplica</v>
      </c>
      <c r="DV470" s="79" t="s">
        <v>191</v>
      </c>
      <c r="DW470" s="79" t="s">
        <v>182</v>
      </c>
      <c r="DX470" s="79"/>
      <c r="DY470" s="79"/>
      <c r="DZ470" s="79"/>
      <c r="EA470" s="79"/>
      <c r="EB470" s="79" t="s">
        <v>191</v>
      </c>
      <c r="EC470" s="79"/>
      <c r="ED470" s="79" t="s">
        <v>184</v>
      </c>
      <c r="EE470" s="79" t="str">
        <f t="shared" si="311"/>
        <v>Completo</v>
      </c>
      <c r="EF470" s="41"/>
      <c r="EG470" s="79" t="s">
        <v>153</v>
      </c>
      <c r="EH470" s="71"/>
      <c r="EI470" s="80"/>
      <c r="EJ470" s="71"/>
      <c r="EK470" s="79"/>
      <c r="EL470" s="76" t="str">
        <f t="shared" si="297"/>
        <v>No requiere</v>
      </c>
      <c r="EM470" s="76" t="str">
        <f t="shared" si="298"/>
        <v>No requiere</v>
      </c>
      <c r="EN470" s="76" t="str">
        <f t="shared" si="269"/>
        <v>No requiere</v>
      </c>
      <c r="EO470" s="71"/>
      <c r="EP470" s="73" t="str">
        <f t="shared" si="299"/>
        <v>No requiere</v>
      </c>
      <c r="EQ470" s="77" t="str">
        <f t="shared" si="300"/>
        <v>No requiere</v>
      </c>
      <c r="ER470" s="71"/>
      <c r="ES470" s="79"/>
      <c r="ET470" s="73" t="str">
        <f t="shared" si="301"/>
        <v>No requiere</v>
      </c>
      <c r="EU470" s="73" t="str">
        <f t="shared" si="270"/>
        <v>No requiere</v>
      </c>
      <c r="EV470" s="73" t="str">
        <f t="shared" si="302"/>
        <v>No requiere</v>
      </c>
      <c r="EW470" s="73" t="str">
        <f t="shared" si="303"/>
        <v>No requiere</v>
      </c>
      <c r="EX470" s="78"/>
      <c r="EY470" s="78"/>
    </row>
    <row r="471" spans="1:155" ht="46.5" customHeight="1">
      <c r="A471" s="79">
        <v>467</v>
      </c>
      <c r="B471" s="80" t="s">
        <v>3343</v>
      </c>
      <c r="C471" s="81">
        <v>45434</v>
      </c>
      <c r="D471" s="82">
        <v>0.58333333333333337</v>
      </c>
      <c r="E471" s="79" t="s">
        <v>151</v>
      </c>
      <c r="F471" s="79" t="s">
        <v>153</v>
      </c>
      <c r="G471" s="79" t="s">
        <v>152</v>
      </c>
      <c r="H471" s="79" t="s">
        <v>152</v>
      </c>
      <c r="I471" s="79" t="s">
        <v>152</v>
      </c>
      <c r="J471" s="79" t="s">
        <v>3175</v>
      </c>
      <c r="K471" s="79" t="s">
        <v>202</v>
      </c>
      <c r="L471" s="80" t="s">
        <v>3344</v>
      </c>
      <c r="M471" s="80" t="s">
        <v>157</v>
      </c>
      <c r="N471" s="79" t="s">
        <v>328</v>
      </c>
      <c r="O471" s="80" t="str">
        <f t="shared" si="293"/>
        <v/>
      </c>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t="s">
        <v>169</v>
      </c>
      <c r="AP471" s="79" t="s">
        <v>170</v>
      </c>
      <c r="AQ471" s="80" t="s">
        <v>3345</v>
      </c>
      <c r="AR471" s="83" t="s">
        <v>3346</v>
      </c>
      <c r="AS471" s="80" t="s">
        <v>3347</v>
      </c>
      <c r="AT471" s="80" t="str">
        <f t="shared" si="294"/>
        <v>Distrital</v>
      </c>
      <c r="AU471" s="79" t="s">
        <v>172</v>
      </c>
      <c r="AV471" s="79"/>
      <c r="AW471" s="79"/>
      <c r="AX471" s="79"/>
      <c r="AY471" s="79"/>
      <c r="AZ471" s="79"/>
      <c r="BA471" s="80" t="str">
        <f t="shared" si="295"/>
        <v>Distrital</v>
      </c>
      <c r="BB471" s="79" t="s">
        <v>172</v>
      </c>
      <c r="BC471" s="79"/>
      <c r="BD471" s="79"/>
      <c r="BE471" s="79"/>
      <c r="BF471" s="79"/>
      <c r="BG471" s="79"/>
      <c r="BH471" s="80" t="str">
        <f t="shared" si="296"/>
        <v>Distrital</v>
      </c>
      <c r="BI471" s="79" t="s">
        <v>172</v>
      </c>
      <c r="BJ471" s="79"/>
      <c r="BK471" s="79"/>
      <c r="BL471" s="79"/>
      <c r="BM471" s="79"/>
      <c r="BN471" s="79"/>
      <c r="BO471" s="79"/>
      <c r="BP471" s="79"/>
      <c r="BQ471" s="79"/>
      <c r="BR471" s="79"/>
      <c r="BS471" s="80" t="s">
        <v>288</v>
      </c>
      <c r="BT471" s="80" t="s">
        <v>174</v>
      </c>
      <c r="BU471" s="89" t="s">
        <v>3348</v>
      </c>
      <c r="BV471" s="71"/>
      <c r="BW471" s="79" t="s">
        <v>152</v>
      </c>
      <c r="BX471" s="79" t="s">
        <v>179</v>
      </c>
      <c r="BY471" s="71"/>
      <c r="BZ471" s="79">
        <v>38</v>
      </c>
      <c r="CA471" s="79">
        <v>1</v>
      </c>
      <c r="CB471" s="79">
        <f t="shared" si="281"/>
        <v>39</v>
      </c>
      <c r="CC471" s="79" t="str">
        <f t="shared" si="268"/>
        <v>No Aplica</v>
      </c>
      <c r="CD471" s="79" t="s">
        <v>177</v>
      </c>
      <c r="CE471" s="79"/>
      <c r="CF471" s="79"/>
      <c r="CG471" s="83" t="s">
        <v>3349</v>
      </c>
      <c r="CH471" s="41"/>
      <c r="CI471" s="79" t="s">
        <v>153</v>
      </c>
      <c r="CJ471" s="71"/>
      <c r="CK471" s="79">
        <f t="shared" si="312"/>
        <v>0</v>
      </c>
      <c r="CL471" s="79"/>
      <c r="CM471" s="79"/>
      <c r="CN471" s="79"/>
      <c r="CO471" s="79"/>
      <c r="CP471" s="79"/>
      <c r="CQ471" s="79"/>
      <c r="CR471" s="83" t="s">
        <v>179</v>
      </c>
      <c r="CS471" s="83" t="s">
        <v>179</v>
      </c>
      <c r="CT471" s="83" t="s">
        <v>179</v>
      </c>
      <c r="CU471" s="83" t="s">
        <v>179</v>
      </c>
      <c r="CV471" s="83" t="s">
        <v>179</v>
      </c>
      <c r="CW471" s="83" t="s">
        <v>179</v>
      </c>
      <c r="CX471" s="79" t="s">
        <v>153</v>
      </c>
      <c r="CY471" s="79">
        <f t="shared" si="313"/>
        <v>0</v>
      </c>
      <c r="CZ471" s="79">
        <v>0</v>
      </c>
      <c r="DA471" s="79">
        <f t="shared" si="314"/>
        <v>0</v>
      </c>
      <c r="DB471" s="84" t="str">
        <f t="shared" si="315"/>
        <v/>
      </c>
      <c r="DC471" s="41"/>
      <c r="DD471" s="79" t="s">
        <v>153</v>
      </c>
      <c r="DE471" s="71"/>
      <c r="DF471" s="85" t="s">
        <v>3350</v>
      </c>
      <c r="DG471" s="79">
        <v>460</v>
      </c>
      <c r="DH471" s="86" t="str">
        <f t="shared" si="286"/>
        <v>Completo</v>
      </c>
      <c r="DI471" s="79" t="s">
        <v>181</v>
      </c>
      <c r="DJ471" s="79" t="s">
        <v>182</v>
      </c>
      <c r="DK471" s="79"/>
      <c r="DL471" s="79">
        <v>0</v>
      </c>
      <c r="DM471" s="79">
        <v>0</v>
      </c>
      <c r="DN471" s="79" t="s">
        <v>182</v>
      </c>
      <c r="DO471" s="79"/>
      <c r="DP471" s="79"/>
      <c r="DQ471" s="79"/>
      <c r="DR471" s="75" t="str">
        <f t="shared" si="309"/>
        <v>No aplica</v>
      </c>
      <c r="DS471" s="79"/>
      <c r="DT471" s="79"/>
      <c r="DU471" s="75" t="str">
        <f t="shared" si="310"/>
        <v>No aplica</v>
      </c>
      <c r="DV471" s="79" t="s">
        <v>182</v>
      </c>
      <c r="DW471" s="79" t="s">
        <v>182</v>
      </c>
      <c r="DX471" s="79"/>
      <c r="DY471" s="79"/>
      <c r="DZ471" s="79"/>
      <c r="EA471" s="79"/>
      <c r="EB471" s="79"/>
      <c r="EC471" s="79"/>
      <c r="ED471" s="79" t="s">
        <v>1743</v>
      </c>
      <c r="EE471" s="79" t="str">
        <f t="shared" si="311"/>
        <v>Completo</v>
      </c>
      <c r="EF471" s="41"/>
      <c r="EG471" s="79" t="s">
        <v>153</v>
      </c>
      <c r="EH471" s="71"/>
      <c r="EI471" s="80"/>
      <c r="EJ471" s="71"/>
      <c r="EK471" s="79"/>
      <c r="EL471" s="76" t="str">
        <f t="shared" si="297"/>
        <v>No requiere</v>
      </c>
      <c r="EM471" s="76" t="str">
        <f t="shared" si="298"/>
        <v>No requiere</v>
      </c>
      <c r="EN471" s="76" t="str">
        <f t="shared" si="269"/>
        <v>No requiere</v>
      </c>
      <c r="EO471" s="71"/>
      <c r="EP471" s="73" t="str">
        <f t="shared" si="299"/>
        <v>No requiere</v>
      </c>
      <c r="EQ471" s="77" t="str">
        <f t="shared" si="300"/>
        <v>No requiere</v>
      </c>
      <c r="ER471" s="71"/>
      <c r="ES471" s="79"/>
      <c r="ET471" s="73" t="str">
        <f t="shared" si="301"/>
        <v>No requiere</v>
      </c>
      <c r="EU471" s="73" t="str">
        <f t="shared" si="270"/>
        <v>No requiere</v>
      </c>
      <c r="EV471" s="73" t="str">
        <f t="shared" si="302"/>
        <v>No requiere</v>
      </c>
      <c r="EW471" s="73" t="str">
        <f t="shared" si="303"/>
        <v>No requiere</v>
      </c>
      <c r="EX471" s="78"/>
      <c r="EY471" s="78"/>
    </row>
    <row r="472" spans="1:155" ht="46.5" customHeight="1">
      <c r="A472" s="79">
        <v>468</v>
      </c>
      <c r="B472" s="80" t="s">
        <v>3035</v>
      </c>
      <c r="C472" s="81">
        <v>45434</v>
      </c>
      <c r="D472" s="82">
        <v>0.65972222222222221</v>
      </c>
      <c r="E472" s="79" t="s">
        <v>151</v>
      </c>
      <c r="F472" s="79" t="s">
        <v>153</v>
      </c>
      <c r="G472" s="79" t="s">
        <v>152</v>
      </c>
      <c r="H472" s="79" t="s">
        <v>152</v>
      </c>
      <c r="I472" s="79" t="s">
        <v>152</v>
      </c>
      <c r="J472" s="79" t="s">
        <v>154</v>
      </c>
      <c r="K472" s="79" t="s">
        <v>155</v>
      </c>
      <c r="L472" s="80" t="s">
        <v>2844</v>
      </c>
      <c r="M472" s="80" t="s">
        <v>303</v>
      </c>
      <c r="N472" s="79" t="s">
        <v>749</v>
      </c>
      <c r="O472" s="80" t="str">
        <f t="shared" si="293"/>
        <v>Armando Alberto Montañez, César Augusto Barrantes, Renata Rengifo Moyano, Claudia Fernanda Pineda</v>
      </c>
      <c r="P472" s="79" t="s">
        <v>1387</v>
      </c>
      <c r="Q472" s="79" t="s">
        <v>729</v>
      </c>
      <c r="R472" s="79" t="s">
        <v>1066</v>
      </c>
      <c r="S472" s="79" t="s">
        <v>546</v>
      </c>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t="s">
        <v>169</v>
      </c>
      <c r="AP472" s="79" t="s">
        <v>475</v>
      </c>
      <c r="AQ472" s="80" t="s">
        <v>171</v>
      </c>
      <c r="AR472" s="83" t="s">
        <v>171</v>
      </c>
      <c r="AS472" s="80" t="s">
        <v>171</v>
      </c>
      <c r="AT472" s="80" t="str">
        <f t="shared" si="294"/>
        <v>Distrital</v>
      </c>
      <c r="AU472" s="79" t="s">
        <v>172</v>
      </c>
      <c r="AV472" s="79"/>
      <c r="AW472" s="79"/>
      <c r="AX472" s="79"/>
      <c r="AY472" s="79"/>
      <c r="AZ472" s="79"/>
      <c r="BA472" s="80" t="str">
        <f t="shared" si="295"/>
        <v>Distrital</v>
      </c>
      <c r="BB472" s="79" t="s">
        <v>172</v>
      </c>
      <c r="BC472" s="79"/>
      <c r="BD472" s="79"/>
      <c r="BE472" s="79"/>
      <c r="BF472" s="79"/>
      <c r="BG472" s="79"/>
      <c r="BH472" s="80" t="str">
        <f t="shared" si="296"/>
        <v>Distrital</v>
      </c>
      <c r="BI472" s="79" t="s">
        <v>172</v>
      </c>
      <c r="BJ472" s="79"/>
      <c r="BK472" s="79"/>
      <c r="BL472" s="79"/>
      <c r="BM472" s="79"/>
      <c r="BN472" s="79"/>
      <c r="BO472" s="79"/>
      <c r="BP472" s="79"/>
      <c r="BQ472" s="79"/>
      <c r="BR472" s="79"/>
      <c r="BS472" s="80" t="s">
        <v>2598</v>
      </c>
      <c r="BT472" s="80" t="s">
        <v>174</v>
      </c>
      <c r="BU472" s="80" t="s">
        <v>2599</v>
      </c>
      <c r="BV472" s="71"/>
      <c r="BW472" s="79" t="s">
        <v>153</v>
      </c>
      <c r="BX472" s="79" t="s">
        <v>2600</v>
      </c>
      <c r="BY472" s="71"/>
      <c r="BZ472" s="79">
        <v>229</v>
      </c>
      <c r="CA472" s="79">
        <v>8</v>
      </c>
      <c r="CB472" s="79">
        <f t="shared" si="281"/>
        <v>237</v>
      </c>
      <c r="CC472" s="79" t="str">
        <f t="shared" ref="CC472:CC535" si="316">_xlfn.TEXTJOIN(", ",TRUE,$CD472:$CF472)</f>
        <v>No Aplica</v>
      </c>
      <c r="CD472" s="79" t="s">
        <v>177</v>
      </c>
      <c r="CE472" s="79"/>
      <c r="CF472" s="79"/>
      <c r="CG472" s="83" t="s">
        <v>3337</v>
      </c>
      <c r="CH472" s="41"/>
      <c r="CI472" s="79" t="s">
        <v>153</v>
      </c>
      <c r="CJ472" s="71"/>
      <c r="CK472" s="79"/>
      <c r="CL472" s="79"/>
      <c r="CM472" s="79"/>
      <c r="CN472" s="79"/>
      <c r="CO472" s="79"/>
      <c r="CP472" s="79"/>
      <c r="CQ472" s="79"/>
      <c r="CR472" s="83" t="s">
        <v>179</v>
      </c>
      <c r="CS472" s="83" t="s">
        <v>179</v>
      </c>
      <c r="CT472" s="83" t="s">
        <v>179</v>
      </c>
      <c r="CU472" s="83" t="s">
        <v>179</v>
      </c>
      <c r="CV472" s="83" t="s">
        <v>179</v>
      </c>
      <c r="CW472" s="83" t="s">
        <v>179</v>
      </c>
      <c r="CX472" s="79" t="s">
        <v>153</v>
      </c>
      <c r="CY472" s="79"/>
      <c r="CZ472" s="79"/>
      <c r="DA472" s="79"/>
      <c r="DB472" s="84"/>
      <c r="DC472" s="41"/>
      <c r="DD472" s="79" t="s">
        <v>153</v>
      </c>
      <c r="DE472" s="71"/>
      <c r="DF472" s="85" t="s">
        <v>3351</v>
      </c>
      <c r="DG472" s="79">
        <v>461</v>
      </c>
      <c r="DH472" s="96" t="str">
        <f t="shared" si="286"/>
        <v>Completo</v>
      </c>
      <c r="DI472" s="79" t="s">
        <v>181</v>
      </c>
      <c r="DJ472" s="79" t="s">
        <v>182</v>
      </c>
      <c r="DK472" s="79"/>
      <c r="DL472" s="79"/>
      <c r="DM472" s="79"/>
      <c r="DN472" s="79" t="s">
        <v>182</v>
      </c>
      <c r="DO472" s="79"/>
      <c r="DP472" s="79"/>
      <c r="DQ472" s="79"/>
      <c r="DR472" s="75" t="str">
        <f t="shared" si="309"/>
        <v>No aplica</v>
      </c>
      <c r="DS472" s="79"/>
      <c r="DT472" s="79"/>
      <c r="DU472" s="75" t="str">
        <f t="shared" si="310"/>
        <v>No aplica</v>
      </c>
      <c r="DV472" s="79" t="s">
        <v>182</v>
      </c>
      <c r="DW472" s="79" t="s">
        <v>182</v>
      </c>
      <c r="DX472" s="79"/>
      <c r="DY472" s="79"/>
      <c r="DZ472" s="79"/>
      <c r="EA472" s="79"/>
      <c r="EB472" s="79" t="s">
        <v>182</v>
      </c>
      <c r="EC472" s="180" t="s">
        <v>3352</v>
      </c>
      <c r="ED472" s="79" t="s">
        <v>184</v>
      </c>
      <c r="EE472" s="79" t="str">
        <f t="shared" si="311"/>
        <v>Completo</v>
      </c>
      <c r="EF472" s="41"/>
      <c r="EG472" s="79" t="s">
        <v>153</v>
      </c>
      <c r="EH472" s="71"/>
      <c r="EI472" s="80"/>
      <c r="EJ472" s="71"/>
      <c r="EK472" s="79"/>
      <c r="EL472" s="76" t="str">
        <f t="shared" si="297"/>
        <v>No requiere</v>
      </c>
      <c r="EM472" s="76" t="str">
        <f t="shared" si="298"/>
        <v>No requiere</v>
      </c>
      <c r="EN472" s="76" t="str">
        <f t="shared" si="269"/>
        <v>No requiere</v>
      </c>
      <c r="EO472" s="71"/>
      <c r="EP472" s="73" t="str">
        <f t="shared" si="299"/>
        <v>No requiere</v>
      </c>
      <c r="EQ472" s="77" t="str">
        <f t="shared" si="300"/>
        <v>No requiere</v>
      </c>
      <c r="ER472" s="71"/>
      <c r="ES472" s="79"/>
      <c r="ET472" s="73" t="str">
        <f t="shared" si="301"/>
        <v>No requiere</v>
      </c>
      <c r="EU472" s="73" t="str">
        <f t="shared" si="270"/>
        <v>No requiere</v>
      </c>
      <c r="EV472" s="73" t="str">
        <f t="shared" si="302"/>
        <v>No requiere</v>
      </c>
      <c r="EW472" s="73" t="str">
        <f t="shared" si="303"/>
        <v>No requiere</v>
      </c>
      <c r="EX472" s="78"/>
      <c r="EY472" s="78"/>
    </row>
    <row r="473" spans="1:155" ht="46.5" customHeight="1">
      <c r="A473" s="79">
        <v>469</v>
      </c>
      <c r="B473" s="80" t="s">
        <v>3028</v>
      </c>
      <c r="C473" s="81">
        <v>45435</v>
      </c>
      <c r="D473" s="82">
        <v>0.375</v>
      </c>
      <c r="E473" s="79" t="s">
        <v>151</v>
      </c>
      <c r="F473" s="79" t="s">
        <v>153</v>
      </c>
      <c r="G473" s="79" t="s">
        <v>152</v>
      </c>
      <c r="H473" s="79" t="s">
        <v>152</v>
      </c>
      <c r="I473" s="79" t="s">
        <v>152</v>
      </c>
      <c r="J473" s="79" t="s">
        <v>154</v>
      </c>
      <c r="K473" s="79" t="s">
        <v>155</v>
      </c>
      <c r="L473" s="80" t="s">
        <v>2844</v>
      </c>
      <c r="M473" s="80" t="s">
        <v>303</v>
      </c>
      <c r="N473" s="79" t="s">
        <v>818</v>
      </c>
      <c r="O473" s="80" t="str">
        <f t="shared" si="293"/>
        <v>William Jair Gil, Nixon Sandoval Mateus, Luis Fernando Barreto , Maria Angélica Higuera, David Reinaldo Jojoa</v>
      </c>
      <c r="P473" s="79" t="s">
        <v>862</v>
      </c>
      <c r="Q473" s="79" t="s">
        <v>644</v>
      </c>
      <c r="R473" s="79" t="s">
        <v>720</v>
      </c>
      <c r="S473" s="79" t="s">
        <v>328</v>
      </c>
      <c r="T473" s="79" t="s">
        <v>548</v>
      </c>
      <c r="U473" s="79"/>
      <c r="V473" s="79"/>
      <c r="W473" s="79"/>
      <c r="X473" s="79"/>
      <c r="Y473" s="79"/>
      <c r="Z473" s="79"/>
      <c r="AA473" s="79"/>
      <c r="AB473" s="79"/>
      <c r="AC473" s="79"/>
      <c r="AD473" s="79"/>
      <c r="AE473" s="79"/>
      <c r="AF473" s="79"/>
      <c r="AG473" s="79"/>
      <c r="AH473" s="79"/>
      <c r="AI473" s="79"/>
      <c r="AJ473" s="79"/>
      <c r="AK473" s="79"/>
      <c r="AL473" s="79"/>
      <c r="AM473" s="79"/>
      <c r="AN473" s="79"/>
      <c r="AO473" s="79" t="s">
        <v>169</v>
      </c>
      <c r="AP473" s="79" t="s">
        <v>475</v>
      </c>
      <c r="AQ473" s="80" t="s">
        <v>171</v>
      </c>
      <c r="AR473" s="83" t="s">
        <v>171</v>
      </c>
      <c r="AS473" s="80" t="s">
        <v>171</v>
      </c>
      <c r="AT473" s="80" t="str">
        <f t="shared" si="294"/>
        <v>Distrital</v>
      </c>
      <c r="AU473" s="79" t="s">
        <v>172</v>
      </c>
      <c r="AV473" s="79"/>
      <c r="AW473" s="79"/>
      <c r="AX473" s="79"/>
      <c r="AY473" s="79"/>
      <c r="AZ473" s="79"/>
      <c r="BA473" s="80" t="str">
        <f t="shared" si="295"/>
        <v>Distrital</v>
      </c>
      <c r="BB473" s="79" t="s">
        <v>172</v>
      </c>
      <c r="BC473" s="79"/>
      <c r="BD473" s="79"/>
      <c r="BE473" s="79"/>
      <c r="BF473" s="79"/>
      <c r="BG473" s="79"/>
      <c r="BH473" s="80" t="str">
        <f t="shared" si="296"/>
        <v>Distrital</v>
      </c>
      <c r="BI473" s="79" t="s">
        <v>172</v>
      </c>
      <c r="BJ473" s="79"/>
      <c r="BK473" s="79"/>
      <c r="BL473" s="79"/>
      <c r="BM473" s="79"/>
      <c r="BN473" s="79"/>
      <c r="BO473" s="79"/>
      <c r="BP473" s="79"/>
      <c r="BQ473" s="79"/>
      <c r="BR473" s="79"/>
      <c r="BS473" s="80" t="s">
        <v>2598</v>
      </c>
      <c r="BT473" s="80" t="s">
        <v>174</v>
      </c>
      <c r="BU473" s="80" t="s">
        <v>2599</v>
      </c>
      <c r="BV473" s="71"/>
      <c r="BW473" s="79" t="s">
        <v>153</v>
      </c>
      <c r="BX473" s="79" t="s">
        <v>2600</v>
      </c>
      <c r="BY473" s="71"/>
      <c r="BZ473" s="79">
        <v>230</v>
      </c>
      <c r="CA473" s="79">
        <v>7</v>
      </c>
      <c r="CB473" s="79">
        <f t="shared" si="281"/>
        <v>237</v>
      </c>
      <c r="CC473" s="79" t="str">
        <f t="shared" si="316"/>
        <v>Accesibilidad Universal, Horarios Acordes</v>
      </c>
      <c r="CD473" s="79" t="s">
        <v>397</v>
      </c>
      <c r="CE473" s="79" t="s">
        <v>351</v>
      </c>
      <c r="CF473" s="79"/>
      <c r="CG473" s="83" t="s">
        <v>3353</v>
      </c>
      <c r="CH473" s="41"/>
      <c r="CI473" s="79" t="s">
        <v>153</v>
      </c>
      <c r="CJ473" s="71"/>
      <c r="CK473" s="79"/>
      <c r="CL473" s="79"/>
      <c r="CM473" s="79"/>
      <c r="CN473" s="79"/>
      <c r="CO473" s="79"/>
      <c r="CP473" s="79"/>
      <c r="CQ473" s="79"/>
      <c r="CR473" s="83" t="s">
        <v>179</v>
      </c>
      <c r="CS473" s="83" t="s">
        <v>179</v>
      </c>
      <c r="CT473" s="83" t="s">
        <v>179</v>
      </c>
      <c r="CU473" s="83" t="s">
        <v>179</v>
      </c>
      <c r="CV473" s="83" t="s">
        <v>179</v>
      </c>
      <c r="CW473" s="83" t="s">
        <v>179</v>
      </c>
      <c r="CX473" s="79" t="s">
        <v>153</v>
      </c>
      <c r="CY473" s="79"/>
      <c r="CZ473" s="79"/>
      <c r="DA473" s="79"/>
      <c r="DB473" s="84"/>
      <c r="DC473" s="41"/>
      <c r="DD473" s="79" t="s">
        <v>153</v>
      </c>
      <c r="DE473" s="71"/>
      <c r="DF473" s="85" t="s">
        <v>3354</v>
      </c>
      <c r="DG473" s="79">
        <v>462</v>
      </c>
      <c r="DH473" s="86" t="str">
        <f t="shared" si="286"/>
        <v>Completo</v>
      </c>
      <c r="DI473" s="79" t="s">
        <v>181</v>
      </c>
      <c r="DJ473" s="79" t="s">
        <v>182</v>
      </c>
      <c r="DK473" s="79"/>
      <c r="DL473" s="79"/>
      <c r="DM473" s="79"/>
      <c r="DN473" s="79" t="s">
        <v>182</v>
      </c>
      <c r="DO473" s="79"/>
      <c r="DP473" s="79"/>
      <c r="DQ473" s="79"/>
      <c r="DR473" s="75" t="str">
        <f t="shared" si="309"/>
        <v>No aplica</v>
      </c>
      <c r="DS473" s="79"/>
      <c r="DT473" s="79"/>
      <c r="DU473" s="75" t="str">
        <f t="shared" si="310"/>
        <v>No aplica</v>
      </c>
      <c r="DV473" s="79" t="s">
        <v>182</v>
      </c>
      <c r="DW473" s="79" t="s">
        <v>182</v>
      </c>
      <c r="DX473" s="79"/>
      <c r="DY473" s="79"/>
      <c r="DZ473" s="79"/>
      <c r="EA473" s="79"/>
      <c r="EB473" s="79" t="s">
        <v>182</v>
      </c>
      <c r="EC473" s="79" t="s">
        <v>3355</v>
      </c>
      <c r="ED473" s="79" t="s">
        <v>184</v>
      </c>
      <c r="EE473" s="79" t="str">
        <f t="shared" si="311"/>
        <v>Completo</v>
      </c>
      <c r="EF473" s="41"/>
      <c r="EG473" s="79" t="s">
        <v>153</v>
      </c>
      <c r="EH473" s="71"/>
      <c r="EI473" s="80"/>
      <c r="EJ473" s="71"/>
      <c r="EK473" s="79"/>
      <c r="EL473" s="76" t="str">
        <f t="shared" si="297"/>
        <v>No requiere</v>
      </c>
      <c r="EM473" s="76" t="str">
        <f t="shared" si="298"/>
        <v>No requiere</v>
      </c>
      <c r="EN473" s="76" t="str">
        <f t="shared" si="269"/>
        <v>No requiere</v>
      </c>
      <c r="EO473" s="71"/>
      <c r="EP473" s="73" t="str">
        <f t="shared" si="299"/>
        <v>No requiere</v>
      </c>
      <c r="EQ473" s="77" t="str">
        <f t="shared" si="300"/>
        <v>No requiere</v>
      </c>
      <c r="ER473" s="71"/>
      <c r="ES473" s="79"/>
      <c r="ET473" s="73" t="str">
        <f t="shared" si="301"/>
        <v>No requiere</v>
      </c>
      <c r="EU473" s="73" t="str">
        <f t="shared" si="270"/>
        <v>No requiere</v>
      </c>
      <c r="EV473" s="73" t="str">
        <f t="shared" si="302"/>
        <v>No requiere</v>
      </c>
      <c r="EW473" s="73" t="str">
        <f t="shared" si="303"/>
        <v>No requiere</v>
      </c>
      <c r="EX473" s="78"/>
      <c r="EY473" s="78"/>
    </row>
    <row r="474" spans="1:155" ht="46.5" customHeight="1">
      <c r="A474" s="79">
        <v>470</v>
      </c>
      <c r="B474" s="80" t="s">
        <v>3356</v>
      </c>
      <c r="C474" s="81">
        <v>45435</v>
      </c>
      <c r="D474" s="82">
        <v>0.41666666666666669</v>
      </c>
      <c r="E474" s="79" t="s">
        <v>151</v>
      </c>
      <c r="F474" s="79" t="s">
        <v>153</v>
      </c>
      <c r="G474" s="79" t="s">
        <v>152</v>
      </c>
      <c r="H474" s="79" t="s">
        <v>152</v>
      </c>
      <c r="I474" s="79" t="s">
        <v>153</v>
      </c>
      <c r="J474" s="79" t="s">
        <v>3175</v>
      </c>
      <c r="K474" s="79" t="s">
        <v>155</v>
      </c>
      <c r="L474" s="80" t="s">
        <v>3357</v>
      </c>
      <c r="M474" s="80" t="s">
        <v>229</v>
      </c>
      <c r="N474" s="79" t="s">
        <v>373</v>
      </c>
      <c r="O474" s="80" t="str">
        <f t="shared" si="293"/>
        <v/>
      </c>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t="s">
        <v>304</v>
      </c>
      <c r="AP474" s="79"/>
      <c r="AQ474" s="80" t="s">
        <v>3358</v>
      </c>
      <c r="AR474" s="83" t="s">
        <v>171</v>
      </c>
      <c r="AS474" s="80" t="s">
        <v>171</v>
      </c>
      <c r="AT474" s="80" t="str">
        <f t="shared" si="294"/>
        <v>Distrital</v>
      </c>
      <c r="AU474" s="79" t="s">
        <v>172</v>
      </c>
      <c r="AV474" s="79"/>
      <c r="AW474" s="79"/>
      <c r="AX474" s="79"/>
      <c r="AY474" s="79"/>
      <c r="AZ474" s="79"/>
      <c r="BA474" s="80" t="str">
        <f t="shared" si="295"/>
        <v>Distrital</v>
      </c>
      <c r="BB474" s="79" t="s">
        <v>172</v>
      </c>
      <c r="BC474" s="79"/>
      <c r="BD474" s="79"/>
      <c r="BE474" s="79"/>
      <c r="BF474" s="79"/>
      <c r="BG474" s="79"/>
      <c r="BH474" s="80" t="str">
        <f t="shared" si="296"/>
        <v>Distrital</v>
      </c>
      <c r="BI474" s="79" t="s">
        <v>172</v>
      </c>
      <c r="BJ474" s="79"/>
      <c r="BK474" s="79"/>
      <c r="BL474" s="79"/>
      <c r="BM474" s="79"/>
      <c r="BN474" s="79"/>
      <c r="BO474" s="79"/>
      <c r="BP474" s="79"/>
      <c r="BQ474" s="79"/>
      <c r="BR474" s="79"/>
      <c r="BS474" s="80" t="s">
        <v>288</v>
      </c>
      <c r="BT474" s="80" t="s">
        <v>174</v>
      </c>
      <c r="BU474" s="80" t="s">
        <v>3359</v>
      </c>
      <c r="BV474" s="71"/>
      <c r="BW474" s="79" t="s">
        <v>152</v>
      </c>
      <c r="BX474" s="79" t="s">
        <v>179</v>
      </c>
      <c r="BY474" s="71"/>
      <c r="BZ474" s="79">
        <v>30</v>
      </c>
      <c r="CA474" s="79">
        <v>1</v>
      </c>
      <c r="CB474" s="79">
        <f t="shared" si="281"/>
        <v>31</v>
      </c>
      <c r="CC474" s="79" t="str">
        <f t="shared" si="316"/>
        <v>No Aplica</v>
      </c>
      <c r="CD474" s="79" t="s">
        <v>177</v>
      </c>
      <c r="CE474" s="79"/>
      <c r="CF474" s="79"/>
      <c r="CG474" s="83" t="s">
        <v>3360</v>
      </c>
      <c r="CH474" s="41"/>
      <c r="CI474" s="79" t="s">
        <v>153</v>
      </c>
      <c r="CJ474" s="71"/>
      <c r="CK474" s="79">
        <f t="shared" ref="CK474:CK478" si="317">COUNTIF(CL474:CQ474,"*")</f>
        <v>0</v>
      </c>
      <c r="CL474" s="79"/>
      <c r="CM474" s="79"/>
      <c r="CN474" s="79"/>
      <c r="CO474" s="79"/>
      <c r="CP474" s="79"/>
      <c r="CQ474" s="79"/>
      <c r="CR474" s="83" t="s">
        <v>179</v>
      </c>
      <c r="CS474" s="83" t="s">
        <v>179</v>
      </c>
      <c r="CT474" s="83" t="s">
        <v>179</v>
      </c>
      <c r="CU474" s="83" t="s">
        <v>179</v>
      </c>
      <c r="CV474" s="83" t="s">
        <v>179</v>
      </c>
      <c r="CW474" s="83" t="s">
        <v>179</v>
      </c>
      <c r="CX474" s="79" t="s">
        <v>153</v>
      </c>
      <c r="CY474" s="79">
        <f t="shared" ref="CY474:CY478" si="318">SUM(COUNTIF(CR474:CW474,"Realizado y Devuelto a la Ciudadanía"),COUNTIF(CR474:CW474,"Realizado y Trasladado por competencia"), COUNTIF(CR474:CW474,"Realizado y Gestionado"))</f>
        <v>0</v>
      </c>
      <c r="CZ474" s="79">
        <v>0</v>
      </c>
      <c r="DA474" s="79">
        <f t="shared" ref="DA474:DA478" si="319">COUNTIF(CR474:CW474,"Realizado y Devuelto a la Ciudadanía")</f>
        <v>0</v>
      </c>
      <c r="DB474" s="84" t="str">
        <f t="shared" ref="DB474:DB478" si="320">IFERROR(CY474/CK474,"")</f>
        <v/>
      </c>
      <c r="DC474" s="41"/>
      <c r="DD474" s="79" t="s">
        <v>153</v>
      </c>
      <c r="DE474" s="71"/>
      <c r="DF474" s="85" t="s">
        <v>3361</v>
      </c>
      <c r="DG474" s="79">
        <v>463</v>
      </c>
      <c r="DH474" s="86" t="str">
        <f t="shared" si="286"/>
        <v>Completo</v>
      </c>
      <c r="DI474" s="79" t="s">
        <v>181</v>
      </c>
      <c r="DJ474" s="79" t="s">
        <v>182</v>
      </c>
      <c r="DK474" s="79"/>
      <c r="DL474" s="79">
        <v>0</v>
      </c>
      <c r="DM474" s="79">
        <v>0</v>
      </c>
      <c r="DN474" s="79" t="s">
        <v>191</v>
      </c>
      <c r="DO474" s="79"/>
      <c r="DP474" s="79"/>
      <c r="DQ474" s="79"/>
      <c r="DR474" s="75" t="str">
        <f t="shared" si="309"/>
        <v>No aplica</v>
      </c>
      <c r="DS474" s="79"/>
      <c r="DT474" s="79"/>
      <c r="DU474" s="75" t="str">
        <f t="shared" si="310"/>
        <v>No aplica</v>
      </c>
      <c r="DV474" s="79" t="s">
        <v>182</v>
      </c>
      <c r="DW474" s="79" t="s">
        <v>182</v>
      </c>
      <c r="DX474" s="79"/>
      <c r="DY474" s="79"/>
      <c r="DZ474" s="79"/>
      <c r="EA474" s="79"/>
      <c r="EB474" s="79" t="s">
        <v>191</v>
      </c>
      <c r="EC474" s="79"/>
      <c r="ED474" s="79" t="s">
        <v>184</v>
      </c>
      <c r="EE474" s="79" t="str">
        <f t="shared" si="311"/>
        <v>Completo</v>
      </c>
      <c r="EF474" s="41"/>
      <c r="EG474" s="79" t="s">
        <v>153</v>
      </c>
      <c r="EH474" s="71"/>
      <c r="EI474" s="80"/>
      <c r="EJ474" s="71"/>
      <c r="EK474" s="79"/>
      <c r="EL474" s="76" t="str">
        <f t="shared" si="297"/>
        <v>No requiere</v>
      </c>
      <c r="EM474" s="76" t="str">
        <f t="shared" si="298"/>
        <v>No requiere</v>
      </c>
      <c r="EN474" s="76" t="str">
        <f t="shared" si="269"/>
        <v>No requiere</v>
      </c>
      <c r="EO474" s="71"/>
      <c r="EP474" s="73" t="str">
        <f t="shared" si="299"/>
        <v>No requiere</v>
      </c>
      <c r="EQ474" s="77" t="str">
        <f t="shared" si="300"/>
        <v>No requiere</v>
      </c>
      <c r="ER474" s="71"/>
      <c r="ES474" s="79"/>
      <c r="ET474" s="73" t="str">
        <f t="shared" si="301"/>
        <v>No requiere</v>
      </c>
      <c r="EU474" s="73" t="str">
        <f t="shared" si="270"/>
        <v>No requiere</v>
      </c>
      <c r="EV474" s="73" t="str">
        <f t="shared" si="302"/>
        <v>No requiere</v>
      </c>
      <c r="EW474" s="73" t="str">
        <f t="shared" si="303"/>
        <v>No requiere</v>
      </c>
      <c r="EX474" s="78"/>
      <c r="EY474" s="78"/>
    </row>
    <row r="475" spans="1:155" ht="46.5" customHeight="1">
      <c r="A475" s="79" t="str">
        <v/>
      </c>
      <c r="B475" s="80" t="s">
        <v>3362</v>
      </c>
      <c r="C475" s="81">
        <v>45435</v>
      </c>
      <c r="D475" s="82">
        <v>0.4375</v>
      </c>
      <c r="E475" s="79" t="s">
        <v>151</v>
      </c>
      <c r="F475" s="79" t="s">
        <v>152</v>
      </c>
      <c r="G475" s="79" t="s">
        <v>153</v>
      </c>
      <c r="H475" s="79" t="s">
        <v>152</v>
      </c>
      <c r="I475" s="79" t="s">
        <v>152</v>
      </c>
      <c r="J475" s="79" t="s">
        <v>251</v>
      </c>
      <c r="K475" s="79" t="s">
        <v>155</v>
      </c>
      <c r="L475" s="80" t="s">
        <v>3363</v>
      </c>
      <c r="M475" s="80" t="s">
        <v>303</v>
      </c>
      <c r="N475" s="79" t="s">
        <v>346</v>
      </c>
      <c r="O475" s="80" t="str">
        <f t="shared" si="293"/>
        <v>Juan Carlos Prieto, Michael Cruz Roa, Camilo Andrés Vásquez</v>
      </c>
      <c r="P475" s="79" t="s">
        <v>474</v>
      </c>
      <c r="Q475" s="79" t="s">
        <v>265</v>
      </c>
      <c r="R475" s="79" t="s">
        <v>373</v>
      </c>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t="s">
        <v>169</v>
      </c>
      <c r="AP475" s="79" t="s">
        <v>170</v>
      </c>
      <c r="AQ475" s="80" t="s">
        <v>171</v>
      </c>
      <c r="AR475" s="83" t="s">
        <v>171</v>
      </c>
      <c r="AS475" s="80" t="s">
        <v>171</v>
      </c>
      <c r="AT475" s="80" t="str">
        <f t="shared" si="294"/>
        <v>Distrital</v>
      </c>
      <c r="AU475" s="79" t="s">
        <v>172</v>
      </c>
      <c r="AV475" s="79"/>
      <c r="AW475" s="79"/>
      <c r="AX475" s="79"/>
      <c r="AY475" s="79"/>
      <c r="AZ475" s="79"/>
      <c r="BA475" s="80" t="str">
        <f t="shared" si="295"/>
        <v>Distrital</v>
      </c>
      <c r="BB475" s="79" t="s">
        <v>172</v>
      </c>
      <c r="BC475" s="79"/>
      <c r="BD475" s="79"/>
      <c r="BE475" s="79"/>
      <c r="BF475" s="79"/>
      <c r="BG475" s="79"/>
      <c r="BH475" s="80" t="str">
        <f t="shared" si="296"/>
        <v>Distrital</v>
      </c>
      <c r="BI475" s="79" t="s">
        <v>172</v>
      </c>
      <c r="BJ475" s="79"/>
      <c r="BK475" s="79"/>
      <c r="BL475" s="79"/>
      <c r="BM475" s="79"/>
      <c r="BN475" s="79"/>
      <c r="BO475" s="79"/>
      <c r="BP475" s="79"/>
      <c r="BQ475" s="79"/>
      <c r="BR475" s="79"/>
      <c r="BS475" s="80" t="s">
        <v>288</v>
      </c>
      <c r="BT475" s="80" t="s">
        <v>2875</v>
      </c>
      <c r="BU475" s="80" t="s">
        <v>3364</v>
      </c>
      <c r="BV475" s="71"/>
      <c r="BW475" s="79" t="s">
        <v>152</v>
      </c>
      <c r="BX475" s="79" t="s">
        <v>179</v>
      </c>
      <c r="BY475" s="71"/>
      <c r="BZ475" s="79">
        <v>0</v>
      </c>
      <c r="CA475" s="79">
        <v>12</v>
      </c>
      <c r="CB475" s="79">
        <f t="shared" si="281"/>
        <v>12</v>
      </c>
      <c r="CC475" s="79" t="str">
        <f t="shared" si="316"/>
        <v>No Aplica</v>
      </c>
      <c r="CD475" s="79" t="s">
        <v>177</v>
      </c>
      <c r="CE475" s="79"/>
      <c r="CF475" s="79"/>
      <c r="CG475" s="83" t="s">
        <v>3365</v>
      </c>
      <c r="CH475" s="41"/>
      <c r="CI475" s="79" t="s">
        <v>153</v>
      </c>
      <c r="CJ475" s="71"/>
      <c r="CK475" s="79">
        <f t="shared" si="317"/>
        <v>0</v>
      </c>
      <c r="CL475" s="79"/>
      <c r="CM475" s="79"/>
      <c r="CN475" s="79"/>
      <c r="CO475" s="79"/>
      <c r="CP475" s="79"/>
      <c r="CQ475" s="79"/>
      <c r="CR475" s="83" t="s">
        <v>179</v>
      </c>
      <c r="CS475" s="83" t="s">
        <v>179</v>
      </c>
      <c r="CT475" s="83" t="s">
        <v>179</v>
      </c>
      <c r="CU475" s="83" t="s">
        <v>179</v>
      </c>
      <c r="CV475" s="83" t="s">
        <v>179</v>
      </c>
      <c r="CW475" s="83" t="s">
        <v>179</v>
      </c>
      <c r="CX475" s="79" t="s">
        <v>153</v>
      </c>
      <c r="CY475" s="79">
        <f t="shared" si="318"/>
        <v>0</v>
      </c>
      <c r="CZ475" s="79">
        <v>0</v>
      </c>
      <c r="DA475" s="79">
        <f t="shared" si="319"/>
        <v>0</v>
      </c>
      <c r="DB475" s="84" t="str">
        <f t="shared" si="320"/>
        <v/>
      </c>
      <c r="DC475" s="41"/>
      <c r="DD475" s="79" t="s">
        <v>153</v>
      </c>
      <c r="DE475" s="71"/>
      <c r="DF475" s="85" t="s">
        <v>3366</v>
      </c>
      <c r="DG475" s="79">
        <v>464</v>
      </c>
      <c r="DH475" s="86" t="str">
        <f t="shared" si="286"/>
        <v>Completo</v>
      </c>
      <c r="DI475" s="79" t="s">
        <v>181</v>
      </c>
      <c r="DJ475" s="79" t="s">
        <v>182</v>
      </c>
      <c r="DK475" s="79"/>
      <c r="DL475" s="79">
        <v>0</v>
      </c>
      <c r="DM475" s="79">
        <v>0</v>
      </c>
      <c r="DN475" s="79" t="s">
        <v>182</v>
      </c>
      <c r="DO475" s="79"/>
      <c r="DP475" s="79"/>
      <c r="DQ475" s="79"/>
      <c r="DR475" s="75" t="str">
        <f t="shared" si="309"/>
        <v>No aplica</v>
      </c>
      <c r="DS475" s="79"/>
      <c r="DT475" s="79"/>
      <c r="DU475" s="75" t="str">
        <f t="shared" si="310"/>
        <v>No aplica</v>
      </c>
      <c r="DV475" s="79" t="s">
        <v>182</v>
      </c>
      <c r="DW475" s="79" t="s">
        <v>182</v>
      </c>
      <c r="DX475" s="79"/>
      <c r="DY475" s="79"/>
      <c r="DZ475" s="79"/>
      <c r="EA475" s="79"/>
      <c r="EB475" s="79"/>
      <c r="EC475" s="79"/>
      <c r="ED475" s="79" t="s">
        <v>3367</v>
      </c>
      <c r="EE475" s="79" t="str">
        <f t="shared" si="311"/>
        <v>Completo</v>
      </c>
      <c r="EF475" s="41"/>
      <c r="EG475" s="79" t="s">
        <v>153</v>
      </c>
      <c r="EH475" s="71"/>
      <c r="EI475" s="80"/>
      <c r="EJ475" s="71"/>
      <c r="EK475" s="79"/>
      <c r="EL475" s="76" t="str">
        <f t="shared" si="297"/>
        <v>No requiere</v>
      </c>
      <c r="EM475" s="76" t="str">
        <f t="shared" si="298"/>
        <v>No requiere</v>
      </c>
      <c r="EN475" s="76" t="str">
        <f t="shared" si="269"/>
        <v>No requiere</v>
      </c>
      <c r="EO475" s="71"/>
      <c r="EP475" s="73" t="str">
        <f t="shared" si="299"/>
        <v>No requiere</v>
      </c>
      <c r="EQ475" s="77" t="str">
        <f t="shared" si="300"/>
        <v>No requiere</v>
      </c>
      <c r="ER475" s="71"/>
      <c r="ES475" s="79"/>
      <c r="ET475" s="73" t="str">
        <f t="shared" si="301"/>
        <v>No requiere</v>
      </c>
      <c r="EU475" s="73" t="str">
        <f t="shared" si="270"/>
        <v>No requiere</v>
      </c>
      <c r="EV475" s="73" t="str">
        <f t="shared" si="302"/>
        <v>No requiere</v>
      </c>
      <c r="EW475" s="73" t="str">
        <f t="shared" si="303"/>
        <v>No requiere</v>
      </c>
      <c r="EX475" s="78"/>
      <c r="EY475" s="78"/>
    </row>
    <row r="476" spans="1:155" ht="46.5" customHeight="1">
      <c r="A476" s="79">
        <v>472</v>
      </c>
      <c r="B476" s="80" t="s">
        <v>3368</v>
      </c>
      <c r="C476" s="81">
        <v>45435</v>
      </c>
      <c r="D476" s="82">
        <v>0.5625</v>
      </c>
      <c r="E476" s="79" t="s">
        <v>151</v>
      </c>
      <c r="F476" s="79" t="s">
        <v>153</v>
      </c>
      <c r="G476" s="79" t="s">
        <v>152</v>
      </c>
      <c r="H476" s="79" t="s">
        <v>152</v>
      </c>
      <c r="I476" s="79" t="s">
        <v>153</v>
      </c>
      <c r="J476" s="79" t="s">
        <v>1768</v>
      </c>
      <c r="K476" s="79" t="s">
        <v>155</v>
      </c>
      <c r="L476" s="80" t="s">
        <v>3369</v>
      </c>
      <c r="M476" s="80" t="s">
        <v>229</v>
      </c>
      <c r="N476" s="79" t="s">
        <v>749</v>
      </c>
      <c r="O476" s="80" t="str">
        <f t="shared" si="293"/>
        <v/>
      </c>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t="s">
        <v>304</v>
      </c>
      <c r="AP476" s="79"/>
      <c r="AQ476" s="80" t="s">
        <v>3370</v>
      </c>
      <c r="AR476" s="83">
        <v>3228657280</v>
      </c>
      <c r="AS476" s="80" t="s">
        <v>3371</v>
      </c>
      <c r="AT476" s="80" t="str">
        <f t="shared" si="294"/>
        <v>La Candelaria, Los Mártires, Santa Fe</v>
      </c>
      <c r="AU476" s="79" t="s">
        <v>753</v>
      </c>
      <c r="AV476" s="79" t="s">
        <v>823</v>
      </c>
      <c r="AW476" s="79" t="s">
        <v>822</v>
      </c>
      <c r="AX476" s="79"/>
      <c r="AY476" s="79"/>
      <c r="AZ476" s="79"/>
      <c r="BA476" s="80" t="str">
        <f t="shared" si="295"/>
        <v>Centro Ampliado</v>
      </c>
      <c r="BB476" s="79" t="s">
        <v>636</v>
      </c>
      <c r="BC476" s="79"/>
      <c r="BD476" s="79"/>
      <c r="BE476" s="79"/>
      <c r="BF476" s="79"/>
      <c r="BG476" s="79"/>
      <c r="BH476" s="80" t="str">
        <f t="shared" si="296"/>
        <v>Centro Histórico, Cerros Orientales</v>
      </c>
      <c r="BI476" s="79" t="s">
        <v>754</v>
      </c>
      <c r="BJ476" s="79" t="s">
        <v>361</v>
      </c>
      <c r="BK476" s="79"/>
      <c r="BL476" s="79"/>
      <c r="BM476" s="79"/>
      <c r="BN476" s="79"/>
      <c r="BO476" s="79"/>
      <c r="BP476" s="79"/>
      <c r="BQ476" s="79"/>
      <c r="BR476" s="79"/>
      <c r="BS476" s="80" t="s">
        <v>2361</v>
      </c>
      <c r="BT476" s="80" t="s">
        <v>2362</v>
      </c>
      <c r="BU476" s="80" t="s">
        <v>3359</v>
      </c>
      <c r="BV476" s="71"/>
      <c r="BW476" s="79" t="s">
        <v>152</v>
      </c>
      <c r="BX476" s="79" t="s">
        <v>179</v>
      </c>
      <c r="BY476" s="71"/>
      <c r="BZ476" s="79">
        <v>23</v>
      </c>
      <c r="CA476" s="79">
        <v>2</v>
      </c>
      <c r="CB476" s="79">
        <f t="shared" si="281"/>
        <v>25</v>
      </c>
      <c r="CC476" s="79" t="str">
        <f t="shared" si="316"/>
        <v>Ninguna</v>
      </c>
      <c r="CD476" s="79" t="s">
        <v>174</v>
      </c>
      <c r="CE476" s="79"/>
      <c r="CF476" s="79"/>
      <c r="CG476" s="83" t="s">
        <v>3372</v>
      </c>
      <c r="CH476" s="41"/>
      <c r="CI476" s="79" t="s">
        <v>153</v>
      </c>
      <c r="CJ476" s="71"/>
      <c r="CK476" s="79">
        <f t="shared" si="317"/>
        <v>0</v>
      </c>
      <c r="CL476" s="79"/>
      <c r="CM476" s="79"/>
      <c r="CN476" s="79"/>
      <c r="CO476" s="79"/>
      <c r="CP476" s="79"/>
      <c r="CQ476" s="79"/>
      <c r="CR476" s="83" t="s">
        <v>179</v>
      </c>
      <c r="CS476" s="83" t="s">
        <v>179</v>
      </c>
      <c r="CT476" s="83" t="s">
        <v>179</v>
      </c>
      <c r="CU476" s="83" t="s">
        <v>179</v>
      </c>
      <c r="CV476" s="83" t="s">
        <v>179</v>
      </c>
      <c r="CW476" s="83" t="s">
        <v>179</v>
      </c>
      <c r="CX476" s="79" t="s">
        <v>153</v>
      </c>
      <c r="CY476" s="79">
        <f t="shared" si="318"/>
        <v>0</v>
      </c>
      <c r="CZ476" s="79">
        <v>0</v>
      </c>
      <c r="DA476" s="79">
        <f t="shared" si="319"/>
        <v>0</v>
      </c>
      <c r="DB476" s="84" t="str">
        <f t="shared" si="320"/>
        <v/>
      </c>
      <c r="DC476" s="41"/>
      <c r="DD476" s="79" t="s">
        <v>153</v>
      </c>
      <c r="DE476" s="71"/>
      <c r="DF476" s="85" t="s">
        <v>3373</v>
      </c>
      <c r="DG476" s="79">
        <v>465</v>
      </c>
      <c r="DH476" s="86" t="str">
        <f t="shared" si="286"/>
        <v>Completo</v>
      </c>
      <c r="DI476" s="79" t="s">
        <v>181</v>
      </c>
      <c r="DJ476" s="79" t="s">
        <v>182</v>
      </c>
      <c r="DK476" s="79"/>
      <c r="DL476" s="79">
        <v>0</v>
      </c>
      <c r="DM476" s="79">
        <v>0</v>
      </c>
      <c r="DN476" s="79" t="s">
        <v>182</v>
      </c>
      <c r="DO476" s="79"/>
      <c r="DP476" s="79"/>
      <c r="DQ476" s="79"/>
      <c r="DR476" s="75" t="str">
        <f t="shared" si="309"/>
        <v>No aplica</v>
      </c>
      <c r="DS476" s="79"/>
      <c r="DT476" s="79"/>
      <c r="DU476" s="75" t="str">
        <f t="shared" si="310"/>
        <v>No aplica</v>
      </c>
      <c r="DV476" s="79" t="s">
        <v>182</v>
      </c>
      <c r="DW476" s="79" t="s">
        <v>191</v>
      </c>
      <c r="DX476" s="79"/>
      <c r="DY476" s="79"/>
      <c r="DZ476" s="79"/>
      <c r="EA476" s="79"/>
      <c r="EB476" s="79" t="s">
        <v>191</v>
      </c>
      <c r="EC476" s="79"/>
      <c r="ED476" s="79" t="s">
        <v>1743</v>
      </c>
      <c r="EE476" s="79" t="str">
        <f t="shared" si="311"/>
        <v>Completo</v>
      </c>
      <c r="EF476" s="41"/>
      <c r="EG476" s="79" t="s">
        <v>153</v>
      </c>
      <c r="EH476" s="71"/>
      <c r="EI476" s="80"/>
      <c r="EJ476" s="71"/>
      <c r="EK476" s="79"/>
      <c r="EL476" s="76" t="str">
        <f t="shared" si="297"/>
        <v>No requiere</v>
      </c>
      <c r="EM476" s="76" t="str">
        <f t="shared" si="298"/>
        <v>No requiere</v>
      </c>
      <c r="EN476" s="76" t="str">
        <f t="shared" si="269"/>
        <v>No requiere</v>
      </c>
      <c r="EO476" s="71"/>
      <c r="EP476" s="73" t="str">
        <f t="shared" si="299"/>
        <v>No requiere</v>
      </c>
      <c r="EQ476" s="77" t="str">
        <f t="shared" si="300"/>
        <v>No requiere</v>
      </c>
      <c r="ER476" s="71"/>
      <c r="ES476" s="79"/>
      <c r="ET476" s="73" t="str">
        <f t="shared" si="301"/>
        <v>No requiere</v>
      </c>
      <c r="EU476" s="73" t="str">
        <f t="shared" si="270"/>
        <v>No requiere</v>
      </c>
      <c r="EV476" s="73" t="str">
        <f t="shared" si="302"/>
        <v>No requiere</v>
      </c>
      <c r="EW476" s="73" t="str">
        <f t="shared" si="303"/>
        <v>No requiere</v>
      </c>
      <c r="EX476" s="78"/>
      <c r="EY476" s="78"/>
    </row>
    <row r="477" spans="1:155" ht="46.5" customHeight="1">
      <c r="A477" s="79">
        <v>473</v>
      </c>
      <c r="B477" s="80" t="s">
        <v>3374</v>
      </c>
      <c r="C477" s="81">
        <v>45435</v>
      </c>
      <c r="D477" s="82">
        <v>0.58333333333333337</v>
      </c>
      <c r="E477" s="79" t="s">
        <v>200</v>
      </c>
      <c r="F477" s="79" t="s">
        <v>153</v>
      </c>
      <c r="G477" s="79" t="s">
        <v>152</v>
      </c>
      <c r="H477" s="79" t="s">
        <v>152</v>
      </c>
      <c r="I477" s="79" t="s">
        <v>152</v>
      </c>
      <c r="J477" s="79" t="s">
        <v>2715</v>
      </c>
      <c r="K477" s="79" t="s">
        <v>202</v>
      </c>
      <c r="L477" s="80" t="s">
        <v>3375</v>
      </c>
      <c r="M477" s="80" t="s">
        <v>157</v>
      </c>
      <c r="N477" s="79" t="s">
        <v>346</v>
      </c>
      <c r="O477" s="80" t="str">
        <f t="shared" si="293"/>
        <v/>
      </c>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t="s">
        <v>230</v>
      </c>
      <c r="AP477" s="79" t="s">
        <v>347</v>
      </c>
      <c r="AQ477" s="80" t="s">
        <v>3376</v>
      </c>
      <c r="AR477" s="83" t="s">
        <v>171</v>
      </c>
      <c r="AS477" s="80" t="s">
        <v>171</v>
      </c>
      <c r="AT477" s="80" t="str">
        <f t="shared" si="294"/>
        <v>Distrital</v>
      </c>
      <c r="AU477" s="79" t="s">
        <v>172</v>
      </c>
      <c r="AV477" s="79"/>
      <c r="AW477" s="79"/>
      <c r="AX477" s="79"/>
      <c r="AY477" s="79"/>
      <c r="AZ477" s="79"/>
      <c r="BA477" s="80" t="str">
        <f t="shared" si="295"/>
        <v>Distrital</v>
      </c>
      <c r="BB477" s="79" t="s">
        <v>172</v>
      </c>
      <c r="BC477" s="79"/>
      <c r="BD477" s="79"/>
      <c r="BE477" s="79"/>
      <c r="BF477" s="79"/>
      <c r="BG477" s="79"/>
      <c r="BH477" s="80" t="str">
        <f t="shared" si="296"/>
        <v>Distrital</v>
      </c>
      <c r="BI477" s="79" t="s">
        <v>172</v>
      </c>
      <c r="BJ477" s="79"/>
      <c r="BK477" s="79"/>
      <c r="BL477" s="79"/>
      <c r="BM477" s="79"/>
      <c r="BN477" s="79"/>
      <c r="BO477" s="79"/>
      <c r="BP477" s="79"/>
      <c r="BQ477" s="79"/>
      <c r="BR477" s="79"/>
      <c r="BS477" s="80" t="s">
        <v>288</v>
      </c>
      <c r="BT477" s="80" t="s">
        <v>174</v>
      </c>
      <c r="BU477" s="89" t="s">
        <v>3377</v>
      </c>
      <c r="BV477" s="71"/>
      <c r="BW477" s="79" t="s">
        <v>152</v>
      </c>
      <c r="BX477" s="79" t="s">
        <v>179</v>
      </c>
      <c r="BY477" s="71"/>
      <c r="BZ477" s="79">
        <v>19</v>
      </c>
      <c r="CA477" s="79">
        <v>1</v>
      </c>
      <c r="CB477" s="79">
        <f t="shared" si="281"/>
        <v>20</v>
      </c>
      <c r="CC477" s="79" t="str">
        <f t="shared" si="316"/>
        <v>No Aplica</v>
      </c>
      <c r="CD477" s="79" t="s">
        <v>177</v>
      </c>
      <c r="CE477" s="79"/>
      <c r="CF477" s="79"/>
      <c r="CG477" s="83" t="s">
        <v>3378</v>
      </c>
      <c r="CH477" s="41"/>
      <c r="CI477" s="79" t="s">
        <v>153</v>
      </c>
      <c r="CJ477" s="71"/>
      <c r="CK477" s="79">
        <f t="shared" si="317"/>
        <v>0</v>
      </c>
      <c r="CL477" s="79"/>
      <c r="CM477" s="79"/>
      <c r="CN477" s="79"/>
      <c r="CO477" s="79"/>
      <c r="CP477" s="79"/>
      <c r="CQ477" s="79"/>
      <c r="CR477" s="83" t="s">
        <v>179</v>
      </c>
      <c r="CS477" s="83" t="s">
        <v>179</v>
      </c>
      <c r="CT477" s="83" t="s">
        <v>179</v>
      </c>
      <c r="CU477" s="83" t="s">
        <v>179</v>
      </c>
      <c r="CV477" s="83" t="s">
        <v>179</v>
      </c>
      <c r="CW477" s="83" t="s">
        <v>179</v>
      </c>
      <c r="CX477" s="79" t="s">
        <v>153</v>
      </c>
      <c r="CY477" s="79">
        <f t="shared" si="318"/>
        <v>0</v>
      </c>
      <c r="CZ477" s="79">
        <v>0</v>
      </c>
      <c r="DA477" s="79">
        <f t="shared" si="319"/>
        <v>0</v>
      </c>
      <c r="DB477" s="84" t="str">
        <f t="shared" si="320"/>
        <v/>
      </c>
      <c r="DC477" s="41"/>
      <c r="DD477" s="79" t="s">
        <v>153</v>
      </c>
      <c r="DE477" s="71"/>
      <c r="DF477" s="85" t="s">
        <v>3379</v>
      </c>
      <c r="DG477" s="79">
        <v>466</v>
      </c>
      <c r="DH477" s="86" t="str">
        <f t="shared" si="286"/>
        <v>Completo</v>
      </c>
      <c r="DI477" s="79" t="s">
        <v>181</v>
      </c>
      <c r="DJ477" s="79" t="s">
        <v>182</v>
      </c>
      <c r="DK477" s="79"/>
      <c r="DL477" s="79">
        <v>0</v>
      </c>
      <c r="DM477" s="79">
        <v>0</v>
      </c>
      <c r="DN477" s="79" t="s">
        <v>182</v>
      </c>
      <c r="DO477" s="79"/>
      <c r="DP477" s="79"/>
      <c r="DQ477" s="79"/>
      <c r="DR477" s="75" t="str">
        <f t="shared" si="309"/>
        <v>No aplica</v>
      </c>
      <c r="DS477" s="79"/>
      <c r="DT477" s="79"/>
      <c r="DU477" s="75" t="str">
        <f t="shared" si="310"/>
        <v>No aplica</v>
      </c>
      <c r="DV477" s="79" t="s">
        <v>182</v>
      </c>
      <c r="DW477" s="79" t="s">
        <v>182</v>
      </c>
      <c r="DX477" s="79"/>
      <c r="DY477" s="79"/>
      <c r="DZ477" s="79"/>
      <c r="EA477" s="79"/>
      <c r="EB477" s="79" t="s">
        <v>191</v>
      </c>
      <c r="EC477" s="79"/>
      <c r="ED477" s="79" t="s">
        <v>3380</v>
      </c>
      <c r="EE477" s="79" t="str">
        <f t="shared" si="311"/>
        <v>Completo</v>
      </c>
      <c r="EF477" s="41"/>
      <c r="EG477" s="79" t="s">
        <v>153</v>
      </c>
      <c r="EH477" s="71"/>
      <c r="EI477" s="80"/>
      <c r="EJ477" s="71"/>
      <c r="EK477" s="79"/>
      <c r="EL477" s="76" t="str">
        <f t="shared" si="297"/>
        <v>No requiere</v>
      </c>
      <c r="EM477" s="76" t="str">
        <f t="shared" si="298"/>
        <v>No requiere</v>
      </c>
      <c r="EN477" s="76" t="str">
        <f t="shared" si="269"/>
        <v>No requiere</v>
      </c>
      <c r="EO477" s="71"/>
      <c r="EP477" s="73" t="str">
        <f t="shared" si="299"/>
        <v>No requiere</v>
      </c>
      <c r="EQ477" s="77" t="str">
        <f t="shared" si="300"/>
        <v>No requiere</v>
      </c>
      <c r="ER477" s="71"/>
      <c r="ES477" s="79"/>
      <c r="ET477" s="73" t="str">
        <f t="shared" si="301"/>
        <v>No requiere</v>
      </c>
      <c r="EU477" s="73" t="str">
        <f t="shared" si="270"/>
        <v>No requiere</v>
      </c>
      <c r="EV477" s="73" t="str">
        <f t="shared" si="302"/>
        <v>No requiere</v>
      </c>
      <c r="EW477" s="73" t="str">
        <f t="shared" si="303"/>
        <v>No requiere</v>
      </c>
      <c r="EX477" s="78"/>
      <c r="EY477" s="78"/>
    </row>
    <row r="478" spans="1:155" ht="46.5" customHeight="1">
      <c r="A478" s="79">
        <v>474</v>
      </c>
      <c r="B478" s="80" t="s">
        <v>3035</v>
      </c>
      <c r="C478" s="81">
        <v>45435</v>
      </c>
      <c r="D478" s="82">
        <v>0.625</v>
      </c>
      <c r="E478" s="79" t="s">
        <v>151</v>
      </c>
      <c r="F478" s="79" t="s">
        <v>153</v>
      </c>
      <c r="G478" s="79" t="s">
        <v>152</v>
      </c>
      <c r="H478" s="79" t="s">
        <v>152</v>
      </c>
      <c r="I478" s="79" t="s">
        <v>152</v>
      </c>
      <c r="J478" s="79" t="s">
        <v>154</v>
      </c>
      <c r="K478" s="79" t="s">
        <v>155</v>
      </c>
      <c r="L478" s="80" t="s">
        <v>2844</v>
      </c>
      <c r="M478" s="80" t="s">
        <v>303</v>
      </c>
      <c r="N478" s="79" t="s">
        <v>820</v>
      </c>
      <c r="O478" s="80" t="str">
        <f t="shared" si="293"/>
        <v>Laura Sofia Morales, Nancy Stella Villa , Nicolas Esteban Hernández, Reinaldo Terrios Andrade, Germán Ramón Jacome</v>
      </c>
      <c r="P478" s="79" t="s">
        <v>506</v>
      </c>
      <c r="Q478" s="79" t="s">
        <v>1611</v>
      </c>
      <c r="R478" s="79" t="s">
        <v>645</v>
      </c>
      <c r="S478" s="79" t="s">
        <v>675</v>
      </c>
      <c r="T478" s="79" t="s">
        <v>525</v>
      </c>
      <c r="U478" s="79"/>
      <c r="V478" s="79"/>
      <c r="W478" s="79"/>
      <c r="X478" s="79"/>
      <c r="Y478" s="79"/>
      <c r="Z478" s="79"/>
      <c r="AA478" s="79"/>
      <c r="AB478" s="79"/>
      <c r="AC478" s="79"/>
      <c r="AD478" s="79"/>
      <c r="AE478" s="79"/>
      <c r="AF478" s="79"/>
      <c r="AG478" s="79"/>
      <c r="AH478" s="79"/>
      <c r="AI478" s="79"/>
      <c r="AJ478" s="79"/>
      <c r="AK478" s="79"/>
      <c r="AL478" s="79"/>
      <c r="AM478" s="79"/>
      <c r="AN478" s="79"/>
      <c r="AO478" s="79" t="s">
        <v>169</v>
      </c>
      <c r="AP478" s="79" t="s">
        <v>475</v>
      </c>
      <c r="AQ478" s="80" t="s">
        <v>171</v>
      </c>
      <c r="AR478" s="83" t="s">
        <v>171</v>
      </c>
      <c r="AS478" s="80" t="s">
        <v>171</v>
      </c>
      <c r="AT478" s="80" t="str">
        <f t="shared" si="294"/>
        <v>Distrital</v>
      </c>
      <c r="AU478" s="79" t="s">
        <v>172</v>
      </c>
      <c r="AV478" s="79"/>
      <c r="AW478" s="79"/>
      <c r="AX478" s="79"/>
      <c r="AY478" s="79"/>
      <c r="AZ478" s="79"/>
      <c r="BA478" s="80" t="str">
        <f t="shared" si="295"/>
        <v>Distrital</v>
      </c>
      <c r="BB478" s="79" t="s">
        <v>172</v>
      </c>
      <c r="BC478" s="79"/>
      <c r="BD478" s="79"/>
      <c r="BE478" s="79"/>
      <c r="BF478" s="79"/>
      <c r="BG478" s="79"/>
      <c r="BH478" s="80" t="str">
        <f t="shared" si="296"/>
        <v>Distrital</v>
      </c>
      <c r="BI478" s="79" t="s">
        <v>172</v>
      </c>
      <c r="BJ478" s="79"/>
      <c r="BK478" s="79"/>
      <c r="BL478" s="79"/>
      <c r="BM478" s="79"/>
      <c r="BN478" s="79"/>
      <c r="BO478" s="79"/>
      <c r="BP478" s="79"/>
      <c r="BQ478" s="79"/>
      <c r="BR478" s="79"/>
      <c r="BS478" s="80" t="s">
        <v>2598</v>
      </c>
      <c r="BT478" s="80" t="s">
        <v>174</v>
      </c>
      <c r="BU478" s="80" t="s">
        <v>2599</v>
      </c>
      <c r="BV478" s="71"/>
      <c r="BW478" s="79" t="s">
        <v>153</v>
      </c>
      <c r="BX478" s="79" t="s">
        <v>2600</v>
      </c>
      <c r="BY478" s="71"/>
      <c r="BZ478" s="79">
        <v>6</v>
      </c>
      <c r="CA478" s="79">
        <v>100</v>
      </c>
      <c r="CB478" s="79">
        <f t="shared" si="281"/>
        <v>106</v>
      </c>
      <c r="CC478" s="79" t="str">
        <f t="shared" si="316"/>
        <v>No Aplica</v>
      </c>
      <c r="CD478" s="79" t="s">
        <v>177</v>
      </c>
      <c r="CE478" s="79"/>
      <c r="CF478" s="79"/>
      <c r="CG478" s="83" t="s">
        <v>3381</v>
      </c>
      <c r="CH478" s="41"/>
      <c r="CI478" s="79" t="s">
        <v>153</v>
      </c>
      <c r="CJ478" s="71"/>
      <c r="CK478" s="79">
        <f t="shared" si="317"/>
        <v>0</v>
      </c>
      <c r="CL478" s="79"/>
      <c r="CM478" s="79"/>
      <c r="CN478" s="79"/>
      <c r="CO478" s="79"/>
      <c r="CP478" s="79"/>
      <c r="CQ478" s="79"/>
      <c r="CR478" s="83" t="s">
        <v>179</v>
      </c>
      <c r="CS478" s="83" t="s">
        <v>179</v>
      </c>
      <c r="CT478" s="83" t="s">
        <v>179</v>
      </c>
      <c r="CU478" s="83" t="s">
        <v>179</v>
      </c>
      <c r="CV478" s="83" t="s">
        <v>179</v>
      </c>
      <c r="CW478" s="83" t="s">
        <v>179</v>
      </c>
      <c r="CX478" s="79" t="s">
        <v>153</v>
      </c>
      <c r="CY478" s="79">
        <f t="shared" si="318"/>
        <v>0</v>
      </c>
      <c r="CZ478" s="79">
        <v>0</v>
      </c>
      <c r="DA478" s="79">
        <f t="shared" si="319"/>
        <v>0</v>
      </c>
      <c r="DB478" s="84" t="str">
        <f t="shared" si="320"/>
        <v/>
      </c>
      <c r="DC478" s="41"/>
      <c r="DD478" s="79" t="s">
        <v>153</v>
      </c>
      <c r="DE478" s="71"/>
      <c r="DF478" s="85" t="s">
        <v>3382</v>
      </c>
      <c r="DG478" s="79">
        <v>467</v>
      </c>
      <c r="DH478" s="86">
        <f t="shared" si="286"/>
        <v>45438</v>
      </c>
      <c r="DI478" s="79" t="s">
        <v>181</v>
      </c>
      <c r="DJ478" s="79" t="s">
        <v>182</v>
      </c>
      <c r="DK478" s="79"/>
      <c r="DL478" s="79">
        <v>0</v>
      </c>
      <c r="DM478" s="79">
        <v>0</v>
      </c>
      <c r="DN478" s="79" t="s">
        <v>182</v>
      </c>
      <c r="DO478" s="79"/>
      <c r="DP478" s="79"/>
      <c r="DQ478" s="79"/>
      <c r="DR478" s="75" t="str">
        <f t="shared" si="309"/>
        <v>No aplica</v>
      </c>
      <c r="DS478" s="79"/>
      <c r="DT478" s="79"/>
      <c r="DU478" s="75" t="str">
        <f t="shared" si="310"/>
        <v>No aplica</v>
      </c>
      <c r="DV478" s="79" t="s">
        <v>182</v>
      </c>
      <c r="DW478" s="79" t="s">
        <v>191</v>
      </c>
      <c r="DX478" s="79"/>
      <c r="DY478" s="79"/>
      <c r="DZ478" s="79"/>
      <c r="EA478" s="79"/>
      <c r="EB478" s="79" t="s">
        <v>182</v>
      </c>
      <c r="EC478" s="79" t="s">
        <v>3322</v>
      </c>
      <c r="ED478" s="79" t="s">
        <v>3383</v>
      </c>
      <c r="EE478" s="79" t="s">
        <v>621</v>
      </c>
      <c r="EF478" s="41"/>
      <c r="EG478" s="79" t="s">
        <v>153</v>
      </c>
      <c r="EH478" s="71"/>
      <c r="EI478" s="80"/>
      <c r="EJ478" s="71"/>
      <c r="EK478" s="79"/>
      <c r="EL478" s="76" t="str">
        <f t="shared" si="297"/>
        <v>No requiere</v>
      </c>
      <c r="EM478" s="76" t="str">
        <f t="shared" si="298"/>
        <v>No requiere</v>
      </c>
      <c r="EN478" s="76" t="str">
        <f t="shared" si="269"/>
        <v>No requiere</v>
      </c>
      <c r="EO478" s="71"/>
      <c r="EP478" s="73" t="str">
        <f t="shared" si="299"/>
        <v>No requiere</v>
      </c>
      <c r="EQ478" s="77" t="str">
        <f t="shared" si="300"/>
        <v>No requiere</v>
      </c>
      <c r="ER478" s="71"/>
      <c r="ES478" s="79"/>
      <c r="ET478" s="73" t="str">
        <f t="shared" si="301"/>
        <v>No requiere</v>
      </c>
      <c r="EU478" s="73" t="str">
        <f t="shared" si="270"/>
        <v>No requiere</v>
      </c>
      <c r="EV478" s="73" t="str">
        <f t="shared" si="302"/>
        <v>No requiere</v>
      </c>
      <c r="EW478" s="73" t="str">
        <f t="shared" si="303"/>
        <v>No requiere</v>
      </c>
      <c r="EX478" s="78"/>
      <c r="EY478" s="78"/>
    </row>
    <row r="479" spans="1:155" ht="46.5" customHeight="1">
      <c r="A479" s="79">
        <v>475</v>
      </c>
      <c r="B479" s="80" t="s">
        <v>3028</v>
      </c>
      <c r="C479" s="81">
        <v>45436</v>
      </c>
      <c r="D479" s="82">
        <v>0.375</v>
      </c>
      <c r="E479" s="79" t="s">
        <v>151</v>
      </c>
      <c r="F479" s="79" t="s">
        <v>153</v>
      </c>
      <c r="G479" s="79" t="s">
        <v>152</v>
      </c>
      <c r="H479" s="79" t="s">
        <v>152</v>
      </c>
      <c r="I479" s="79" t="s">
        <v>152</v>
      </c>
      <c r="J479" s="79" t="s">
        <v>154</v>
      </c>
      <c r="K479" s="79" t="s">
        <v>155</v>
      </c>
      <c r="L479" s="80" t="s">
        <v>2844</v>
      </c>
      <c r="M479" s="80" t="s">
        <v>303</v>
      </c>
      <c r="N479" s="79" t="s">
        <v>965</v>
      </c>
      <c r="O479" s="80" t="str">
        <f t="shared" si="293"/>
        <v>Joan Sebastian García, Nancy Stella Villa , Claudia Fernanda Pineda, Nathalia Guzmán Martínez, Jimmy Alejandro Osorio</v>
      </c>
      <c r="P479" s="79" t="s">
        <v>728</v>
      </c>
      <c r="Q479" s="79" t="s">
        <v>1611</v>
      </c>
      <c r="R479" s="79" t="s">
        <v>546</v>
      </c>
      <c r="S479" s="79" t="s">
        <v>166</v>
      </c>
      <c r="T479" s="79" t="s">
        <v>549</v>
      </c>
      <c r="U479" s="79"/>
      <c r="V479" s="79"/>
      <c r="W479" s="79"/>
      <c r="X479" s="79"/>
      <c r="Y479" s="79"/>
      <c r="Z479" s="79"/>
      <c r="AA479" s="79"/>
      <c r="AB479" s="79"/>
      <c r="AC479" s="79"/>
      <c r="AD479" s="79"/>
      <c r="AE479" s="79"/>
      <c r="AF479" s="79"/>
      <c r="AG479" s="79"/>
      <c r="AH479" s="79"/>
      <c r="AI479" s="79"/>
      <c r="AJ479" s="79"/>
      <c r="AK479" s="79"/>
      <c r="AL479" s="79"/>
      <c r="AM479" s="79"/>
      <c r="AN479" s="79"/>
      <c r="AO479" s="79" t="s">
        <v>169</v>
      </c>
      <c r="AP479" s="79" t="s">
        <v>475</v>
      </c>
      <c r="AQ479" s="80" t="s">
        <v>171</v>
      </c>
      <c r="AR479" s="83" t="s">
        <v>171</v>
      </c>
      <c r="AS479" s="80" t="s">
        <v>171</v>
      </c>
      <c r="AT479" s="80" t="str">
        <f t="shared" si="294"/>
        <v>Distrital</v>
      </c>
      <c r="AU479" s="79" t="s">
        <v>172</v>
      </c>
      <c r="AV479" s="79"/>
      <c r="AW479" s="79"/>
      <c r="AX479" s="79"/>
      <c r="AY479" s="79"/>
      <c r="AZ479" s="79"/>
      <c r="BA479" s="80" t="str">
        <f t="shared" si="295"/>
        <v>Distrital</v>
      </c>
      <c r="BB479" s="79" t="s">
        <v>172</v>
      </c>
      <c r="BC479" s="79"/>
      <c r="BD479" s="79"/>
      <c r="BE479" s="79"/>
      <c r="BF479" s="79"/>
      <c r="BG479" s="79"/>
      <c r="BH479" s="80" t="str">
        <f t="shared" si="296"/>
        <v>Distrital</v>
      </c>
      <c r="BI479" s="79" t="s">
        <v>172</v>
      </c>
      <c r="BJ479" s="79"/>
      <c r="BK479" s="79"/>
      <c r="BL479" s="79"/>
      <c r="BM479" s="79"/>
      <c r="BN479" s="79"/>
      <c r="BO479" s="79"/>
      <c r="BP479" s="79"/>
      <c r="BQ479" s="79"/>
      <c r="BR479" s="79"/>
      <c r="BS479" s="80" t="s">
        <v>2598</v>
      </c>
      <c r="BT479" s="80" t="s">
        <v>174</v>
      </c>
      <c r="BU479" s="80" t="s">
        <v>2599</v>
      </c>
      <c r="BV479" s="71"/>
      <c r="BW479" s="79" t="s">
        <v>153</v>
      </c>
      <c r="BX479" s="79" t="s">
        <v>2600</v>
      </c>
      <c r="BY479" s="71"/>
      <c r="BZ479" s="79">
        <v>298</v>
      </c>
      <c r="CA479" s="79">
        <v>7</v>
      </c>
      <c r="CB479" s="79">
        <f t="shared" si="281"/>
        <v>305</v>
      </c>
      <c r="CC479" s="79" t="str">
        <f t="shared" si="316"/>
        <v>No Aplica</v>
      </c>
      <c r="CD479" s="79" t="s">
        <v>177</v>
      </c>
      <c r="CE479" s="79"/>
      <c r="CF479" s="79"/>
      <c r="CG479" s="83"/>
      <c r="CH479" s="41"/>
      <c r="CI479" s="79"/>
      <c r="CJ479" s="71"/>
      <c r="CK479" s="79"/>
      <c r="CL479" s="79"/>
      <c r="CM479" s="79"/>
      <c r="CN479" s="79"/>
      <c r="CO479" s="79"/>
      <c r="CP479" s="79"/>
      <c r="CQ479" s="79"/>
      <c r="CR479" s="83" t="s">
        <v>179</v>
      </c>
      <c r="CS479" s="83" t="s">
        <v>179</v>
      </c>
      <c r="CT479" s="83" t="s">
        <v>179</v>
      </c>
      <c r="CU479" s="83" t="s">
        <v>179</v>
      </c>
      <c r="CV479" s="83" t="s">
        <v>179</v>
      </c>
      <c r="CW479" s="83" t="s">
        <v>179</v>
      </c>
      <c r="CX479" s="79" t="s">
        <v>153</v>
      </c>
      <c r="CY479" s="79"/>
      <c r="CZ479" s="79"/>
      <c r="DA479" s="79"/>
      <c r="DB479" s="84"/>
      <c r="DC479" s="41"/>
      <c r="DD479" s="79" t="s">
        <v>153</v>
      </c>
      <c r="DE479" s="71"/>
      <c r="DF479" s="85" t="s">
        <v>3384</v>
      </c>
      <c r="DG479" s="79">
        <v>468</v>
      </c>
      <c r="DH479" s="86" t="str">
        <f t="shared" si="286"/>
        <v>Completo</v>
      </c>
      <c r="DI479" s="79" t="s">
        <v>181</v>
      </c>
      <c r="DJ479" s="79" t="s">
        <v>182</v>
      </c>
      <c r="DK479" s="79"/>
      <c r="DL479" s="79"/>
      <c r="DM479" s="79"/>
      <c r="DN479" s="79" t="s">
        <v>182</v>
      </c>
      <c r="DO479" s="79"/>
      <c r="DP479" s="79"/>
      <c r="DQ479" s="79"/>
      <c r="DR479" s="75" t="str">
        <f t="shared" si="309"/>
        <v>No aplica</v>
      </c>
      <c r="DS479" s="79"/>
      <c r="DT479" s="79"/>
      <c r="DU479" s="75" t="str">
        <f t="shared" si="310"/>
        <v>No aplica</v>
      </c>
      <c r="DV479" s="79" t="s">
        <v>182</v>
      </c>
      <c r="DW479" s="79" t="s">
        <v>182</v>
      </c>
      <c r="DX479" s="79"/>
      <c r="DY479" s="79"/>
      <c r="DZ479" s="79"/>
      <c r="EA479" s="79"/>
      <c r="EB479" s="79" t="s">
        <v>182</v>
      </c>
      <c r="EC479" s="79"/>
      <c r="ED479" s="79" t="s">
        <v>249</v>
      </c>
      <c r="EE479" s="79" t="str">
        <f>IF(DI479="Subsanado","Completo","Por Completar")</f>
        <v>Completo</v>
      </c>
      <c r="EF479" s="41"/>
      <c r="EG479" s="79" t="s">
        <v>153</v>
      </c>
      <c r="EH479" s="71"/>
      <c r="EI479" s="80"/>
      <c r="EJ479" s="71"/>
      <c r="EK479" s="79"/>
      <c r="EL479" s="76" t="str">
        <f t="shared" si="297"/>
        <v>No requiere</v>
      </c>
      <c r="EM479" s="76" t="str">
        <f t="shared" si="298"/>
        <v>No requiere</v>
      </c>
      <c r="EN479" s="76" t="str">
        <f t="shared" si="269"/>
        <v>No requiere</v>
      </c>
      <c r="EO479" s="71"/>
      <c r="EP479" s="73" t="str">
        <f t="shared" si="299"/>
        <v>No requiere</v>
      </c>
      <c r="EQ479" s="77" t="str">
        <f t="shared" si="300"/>
        <v>No requiere</v>
      </c>
      <c r="ER479" s="71"/>
      <c r="ES479" s="79"/>
      <c r="ET479" s="73" t="str">
        <f t="shared" si="301"/>
        <v>No requiere</v>
      </c>
      <c r="EU479" s="73" t="str">
        <f t="shared" si="270"/>
        <v>No requiere</v>
      </c>
      <c r="EV479" s="73" t="str">
        <f t="shared" si="302"/>
        <v>No requiere</v>
      </c>
      <c r="EW479" s="73" t="str">
        <f t="shared" si="303"/>
        <v>No requiere</v>
      </c>
      <c r="EX479" s="78"/>
      <c r="EY479" s="78"/>
    </row>
    <row r="480" spans="1:155" ht="46.5" customHeight="1">
      <c r="A480" s="79" t="str">
        <v/>
      </c>
      <c r="B480" s="80" t="s">
        <v>2566</v>
      </c>
      <c r="C480" s="81">
        <v>45436</v>
      </c>
      <c r="D480" s="82">
        <v>0.58333333333333337</v>
      </c>
      <c r="E480" s="79" t="s">
        <v>151</v>
      </c>
      <c r="F480" s="79" t="s">
        <v>152</v>
      </c>
      <c r="G480" s="79" t="s">
        <v>153</v>
      </c>
      <c r="H480" s="79" t="s">
        <v>152</v>
      </c>
      <c r="I480" s="79" t="s">
        <v>152</v>
      </c>
      <c r="J480" s="79" t="s">
        <v>251</v>
      </c>
      <c r="K480" s="79" t="s">
        <v>155</v>
      </c>
      <c r="L480" s="80" t="s">
        <v>3385</v>
      </c>
      <c r="M480" s="80" t="s">
        <v>157</v>
      </c>
      <c r="N480" s="79" t="s">
        <v>265</v>
      </c>
      <c r="O480" s="80" t="str">
        <f t="shared" si="293"/>
        <v>César Augusto Barrantes</v>
      </c>
      <c r="P480" s="79" t="s">
        <v>729</v>
      </c>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t="s">
        <v>304</v>
      </c>
      <c r="AP480" s="79"/>
      <c r="AQ480" s="80" t="s">
        <v>2155</v>
      </c>
      <c r="AR480" s="83" t="s">
        <v>3386</v>
      </c>
      <c r="AS480" s="80" t="s">
        <v>2156</v>
      </c>
      <c r="AT480" s="80" t="str">
        <f t="shared" si="294"/>
        <v>Distrital</v>
      </c>
      <c r="AU480" s="79" t="s">
        <v>172</v>
      </c>
      <c r="AV480" s="79"/>
      <c r="AW480" s="79"/>
      <c r="AX480" s="79"/>
      <c r="AY480" s="79"/>
      <c r="AZ480" s="79"/>
      <c r="BA480" s="80" t="str">
        <f t="shared" si="295"/>
        <v>Distrital</v>
      </c>
      <c r="BB480" s="79" t="s">
        <v>172</v>
      </c>
      <c r="BC480" s="79"/>
      <c r="BD480" s="79"/>
      <c r="BE480" s="79"/>
      <c r="BF480" s="79"/>
      <c r="BG480" s="79"/>
      <c r="BH480" s="80" t="str">
        <f t="shared" si="296"/>
        <v>Distrital</v>
      </c>
      <c r="BI480" s="79" t="s">
        <v>172</v>
      </c>
      <c r="BJ480" s="79"/>
      <c r="BK480" s="79"/>
      <c r="BL480" s="79"/>
      <c r="BM480" s="79"/>
      <c r="BN480" s="79"/>
      <c r="BO480" s="79"/>
      <c r="BP480" s="79"/>
      <c r="BQ480" s="79"/>
      <c r="BR480" s="79"/>
      <c r="BS480" s="80" t="s">
        <v>288</v>
      </c>
      <c r="BT480" s="80" t="s">
        <v>174</v>
      </c>
      <c r="BU480" s="80" t="s">
        <v>3387</v>
      </c>
      <c r="BV480" s="71"/>
      <c r="BW480" s="79" t="s">
        <v>153</v>
      </c>
      <c r="BX480" s="79" t="s">
        <v>176</v>
      </c>
      <c r="BY480" s="71"/>
      <c r="BZ480" s="79">
        <v>4</v>
      </c>
      <c r="CA480" s="79">
        <v>7</v>
      </c>
      <c r="CB480" s="79">
        <f t="shared" si="281"/>
        <v>11</v>
      </c>
      <c r="CC480" s="79" t="str">
        <f t="shared" si="316"/>
        <v>Ninguna</v>
      </c>
      <c r="CD480" s="79" t="s">
        <v>174</v>
      </c>
      <c r="CE480" s="79"/>
      <c r="CF480" s="79"/>
      <c r="CG480" s="83" t="s">
        <v>3388</v>
      </c>
      <c r="CH480" s="41"/>
      <c r="CI480" s="79" t="s">
        <v>153</v>
      </c>
      <c r="CJ480" s="71"/>
      <c r="CK480" s="79">
        <v>0</v>
      </c>
      <c r="CL480" s="79"/>
      <c r="CM480" s="79"/>
      <c r="CN480" s="79"/>
      <c r="CO480" s="79"/>
      <c r="CP480" s="79"/>
      <c r="CQ480" s="79"/>
      <c r="CR480" s="83" t="s">
        <v>179</v>
      </c>
      <c r="CS480" s="83" t="s">
        <v>179</v>
      </c>
      <c r="CT480" s="83" t="s">
        <v>179</v>
      </c>
      <c r="CU480" s="83" t="s">
        <v>179</v>
      </c>
      <c r="CV480" s="83" t="s">
        <v>179</v>
      </c>
      <c r="CW480" s="83" t="s">
        <v>179</v>
      </c>
      <c r="CX480" s="79" t="s">
        <v>153</v>
      </c>
      <c r="CY480" s="79">
        <v>0</v>
      </c>
      <c r="CZ480" s="79">
        <v>0</v>
      </c>
      <c r="DA480" s="79">
        <v>0</v>
      </c>
      <c r="DB480" s="84" t="s">
        <v>316</v>
      </c>
      <c r="DC480" s="41"/>
      <c r="DD480" s="79" t="s">
        <v>153</v>
      </c>
      <c r="DE480" s="71"/>
      <c r="DF480" s="85" t="s">
        <v>3389</v>
      </c>
      <c r="DG480" s="79">
        <v>469</v>
      </c>
      <c r="DH480" s="86">
        <v>45439</v>
      </c>
      <c r="DI480" s="79" t="s">
        <v>181</v>
      </c>
      <c r="DJ480" s="79" t="s">
        <v>182</v>
      </c>
      <c r="DK480" s="79"/>
      <c r="DL480" s="79">
        <v>0</v>
      </c>
      <c r="DM480" s="79">
        <v>0</v>
      </c>
      <c r="DN480" s="79" t="s">
        <v>182</v>
      </c>
      <c r="DO480" s="79"/>
      <c r="DP480" s="79"/>
      <c r="DQ480" s="79"/>
      <c r="DR480" s="75" t="str">
        <f t="shared" si="309"/>
        <v>No aplica</v>
      </c>
      <c r="DS480" s="79"/>
      <c r="DT480" s="79"/>
      <c r="DU480" s="75" t="str">
        <f t="shared" si="310"/>
        <v>No aplica</v>
      </c>
      <c r="DV480" s="79" t="s">
        <v>182</v>
      </c>
      <c r="DW480" s="79" t="s">
        <v>182</v>
      </c>
      <c r="DX480" s="79"/>
      <c r="DY480" s="79"/>
      <c r="DZ480" s="79"/>
      <c r="EA480" s="79"/>
      <c r="EB480" s="79" t="s">
        <v>191</v>
      </c>
      <c r="EC480" s="79"/>
      <c r="ED480" s="79" t="s">
        <v>3390</v>
      </c>
      <c r="EE480" s="79" t="s">
        <v>621</v>
      </c>
      <c r="EF480" s="41"/>
      <c r="EG480" s="79" t="s">
        <v>153</v>
      </c>
      <c r="EH480" s="71"/>
      <c r="EI480" s="80"/>
      <c r="EJ480" s="71"/>
      <c r="EK480" s="79"/>
      <c r="EL480" s="76" t="str">
        <f t="shared" si="297"/>
        <v>No requiere</v>
      </c>
      <c r="EM480" s="76" t="str">
        <f t="shared" si="298"/>
        <v>No requiere</v>
      </c>
      <c r="EN480" s="76" t="str">
        <f t="shared" si="269"/>
        <v>No requiere</v>
      </c>
      <c r="EO480" s="71"/>
      <c r="EP480" s="73" t="str">
        <f t="shared" si="299"/>
        <v>No requiere</v>
      </c>
      <c r="EQ480" s="77" t="str">
        <f t="shared" si="300"/>
        <v>No requiere</v>
      </c>
      <c r="ER480" s="71"/>
      <c r="ES480" s="79"/>
      <c r="ET480" s="73" t="str">
        <f t="shared" si="301"/>
        <v>No requiere</v>
      </c>
      <c r="EU480" s="73" t="str">
        <f t="shared" si="270"/>
        <v>No requiere</v>
      </c>
      <c r="EV480" s="73" t="str">
        <f t="shared" si="302"/>
        <v>No requiere</v>
      </c>
      <c r="EW480" s="73" t="str">
        <f t="shared" si="303"/>
        <v>No requiere</v>
      </c>
      <c r="EX480" s="78"/>
      <c r="EY480" s="78"/>
    </row>
    <row r="481" spans="1:155" ht="46.5" customHeight="1">
      <c r="A481" s="79">
        <v>477</v>
      </c>
      <c r="B481" s="80" t="s">
        <v>3391</v>
      </c>
      <c r="C481" s="81">
        <v>45436</v>
      </c>
      <c r="D481" s="82">
        <v>0.58333333333333337</v>
      </c>
      <c r="E481" s="79" t="s">
        <v>151</v>
      </c>
      <c r="F481" s="79" t="s">
        <v>153</v>
      </c>
      <c r="G481" s="79" t="s">
        <v>152</v>
      </c>
      <c r="H481" s="79" t="s">
        <v>152</v>
      </c>
      <c r="I481" s="79" t="s">
        <v>153</v>
      </c>
      <c r="J481" s="79" t="s">
        <v>2645</v>
      </c>
      <c r="K481" s="79" t="s">
        <v>155</v>
      </c>
      <c r="L481" s="80" t="s">
        <v>3392</v>
      </c>
      <c r="M481" s="80" t="s">
        <v>229</v>
      </c>
      <c r="N481" s="79" t="s">
        <v>862</v>
      </c>
      <c r="O481" s="80" t="str">
        <f t="shared" si="293"/>
        <v/>
      </c>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t="s">
        <v>304</v>
      </c>
      <c r="AP481" s="79"/>
      <c r="AQ481" s="80" t="s">
        <v>2881</v>
      </c>
      <c r="AR481" s="83" t="s">
        <v>3393</v>
      </c>
      <c r="AS481" s="80" t="s">
        <v>2882</v>
      </c>
      <c r="AT481" s="80" t="str">
        <f t="shared" si="294"/>
        <v>Usme, Tunjuelito, Ciudad Bolívar, Sumapaz</v>
      </c>
      <c r="AU481" s="79" t="s">
        <v>1009</v>
      </c>
      <c r="AV481" s="79" t="s">
        <v>937</v>
      </c>
      <c r="AW481" s="79" t="s">
        <v>217</v>
      </c>
      <c r="AX481" s="79" t="s">
        <v>510</v>
      </c>
      <c r="AY481" s="79"/>
      <c r="AZ481" s="79"/>
      <c r="BA481" s="80" t="str">
        <f t="shared" si="295"/>
        <v>Suroriente, Ruralidad</v>
      </c>
      <c r="BB481" s="79" t="s">
        <v>218</v>
      </c>
      <c r="BC481" s="79" t="s">
        <v>219</v>
      </c>
      <c r="BD481" s="79"/>
      <c r="BE481" s="79"/>
      <c r="BF481" s="79"/>
      <c r="BG481" s="79"/>
      <c r="BH481" s="80" t="str">
        <f t="shared" si="296"/>
        <v>Rafael Uribe, Usme Entrenubes, Cuenca del Tunjuelo, Cerros Orientales, Tunjuelito, Arborizadora, Lucero, Sumapaz</v>
      </c>
      <c r="BI481" s="79" t="s">
        <v>723</v>
      </c>
      <c r="BJ481" s="79" t="s">
        <v>1010</v>
      </c>
      <c r="BK481" s="79" t="s">
        <v>222</v>
      </c>
      <c r="BL481" s="79" t="s">
        <v>361</v>
      </c>
      <c r="BM481" s="79" t="s">
        <v>937</v>
      </c>
      <c r="BN481" s="79" t="s">
        <v>220</v>
      </c>
      <c r="BO481" s="79" t="s">
        <v>221</v>
      </c>
      <c r="BP481" s="79" t="s">
        <v>510</v>
      </c>
      <c r="BQ481" s="79"/>
      <c r="BR481" s="79"/>
      <c r="BS481" s="80" t="s">
        <v>3394</v>
      </c>
      <c r="BT481" s="80" t="s">
        <v>174</v>
      </c>
      <c r="BU481" s="80" t="s">
        <v>3395</v>
      </c>
      <c r="BV481" s="71"/>
      <c r="BW481" s="79" t="s">
        <v>152</v>
      </c>
      <c r="BX481" s="79" t="s">
        <v>179</v>
      </c>
      <c r="BY481" s="71"/>
      <c r="BZ481" s="79">
        <v>11</v>
      </c>
      <c r="CA481" s="79">
        <v>4</v>
      </c>
      <c r="CB481" s="79">
        <f t="shared" si="281"/>
        <v>15</v>
      </c>
      <c r="CC481" s="79" t="str">
        <f t="shared" si="316"/>
        <v>Horarios Acordes</v>
      </c>
      <c r="CD481" s="79" t="s">
        <v>351</v>
      </c>
      <c r="CE481" s="79"/>
      <c r="CF481" s="79"/>
      <c r="CG481" s="83" t="s">
        <v>3396</v>
      </c>
      <c r="CH481" s="41"/>
      <c r="CI481" s="79" t="s">
        <v>153</v>
      </c>
      <c r="CJ481" s="71"/>
      <c r="CK481" s="79">
        <f t="shared" ref="CK481:CK484" si="321">COUNTIF(CL481:CQ481,"*")</f>
        <v>0</v>
      </c>
      <c r="CL481" s="79"/>
      <c r="CM481" s="79"/>
      <c r="CN481" s="79"/>
      <c r="CO481" s="79"/>
      <c r="CP481" s="79"/>
      <c r="CQ481" s="79"/>
      <c r="CR481" s="83" t="s">
        <v>179</v>
      </c>
      <c r="CS481" s="83" t="s">
        <v>179</v>
      </c>
      <c r="CT481" s="83" t="s">
        <v>179</v>
      </c>
      <c r="CU481" s="83" t="s">
        <v>179</v>
      </c>
      <c r="CV481" s="83" t="s">
        <v>179</v>
      </c>
      <c r="CW481" s="83" t="s">
        <v>179</v>
      </c>
      <c r="CX481" s="79" t="s">
        <v>153</v>
      </c>
      <c r="CY481" s="79">
        <f t="shared" ref="CY481:CY484" si="322">SUM(COUNTIF(CR481:CW481,"Realizado y Devuelto a la Ciudadanía"),COUNTIF(CR481:CW481,"Realizado y Trasladado por competencia"), COUNTIF(CR481:CW481,"Realizado y Gestionado"))</f>
        <v>0</v>
      </c>
      <c r="CZ481" s="79">
        <v>0</v>
      </c>
      <c r="DA481" s="79">
        <f t="shared" ref="DA481:DA484" si="323">COUNTIF(CR481:CW481,"Realizado y Devuelto a la Ciudadanía")</f>
        <v>0</v>
      </c>
      <c r="DB481" s="84" t="str">
        <f t="shared" ref="DB481:DB484" si="324">IFERROR(CY481/CK481,"")</f>
        <v/>
      </c>
      <c r="DC481" s="41"/>
      <c r="DD481" s="79" t="s">
        <v>153</v>
      </c>
      <c r="DE481" s="71"/>
      <c r="DF481" s="85" t="s">
        <v>3397</v>
      </c>
      <c r="DG481" s="79">
        <v>470</v>
      </c>
      <c r="DH481" s="86" t="str">
        <f t="shared" ref="DH481:DH490" si="325">IF(EE481="Por completar",C481+3,"Completo")</f>
        <v>Completo</v>
      </c>
      <c r="DI481" s="79" t="s">
        <v>181</v>
      </c>
      <c r="DJ481" s="79" t="s">
        <v>182</v>
      </c>
      <c r="DK481" s="79"/>
      <c r="DL481" s="79">
        <v>0</v>
      </c>
      <c r="DM481" s="79">
        <v>0</v>
      </c>
      <c r="DN481" s="79" t="s">
        <v>182</v>
      </c>
      <c r="DO481" s="79"/>
      <c r="DP481" s="79"/>
      <c r="DQ481" s="79"/>
      <c r="DR481" s="75" t="str">
        <f t="shared" si="309"/>
        <v>No aplica</v>
      </c>
      <c r="DS481" s="79"/>
      <c r="DT481" s="79"/>
      <c r="DU481" s="75" t="str">
        <f t="shared" si="310"/>
        <v>No aplica</v>
      </c>
      <c r="DV481" s="79" t="s">
        <v>182</v>
      </c>
      <c r="DW481" s="79" t="s">
        <v>182</v>
      </c>
      <c r="DX481" s="79"/>
      <c r="DY481" s="79"/>
      <c r="DZ481" s="79"/>
      <c r="EA481" s="79"/>
      <c r="EB481" s="79" t="s">
        <v>182</v>
      </c>
      <c r="EC481" s="79" t="s">
        <v>3398</v>
      </c>
      <c r="ED481" s="79" t="s">
        <v>1743</v>
      </c>
      <c r="EE481" s="79" t="str">
        <f t="shared" ref="EE481:EE486" si="326">IF(DI481="Subsanado","Completo","Por Completar")</f>
        <v>Completo</v>
      </c>
      <c r="EF481" s="41"/>
      <c r="EG481" s="79" t="s">
        <v>153</v>
      </c>
      <c r="EH481" s="71"/>
      <c r="EI481" s="80"/>
      <c r="EJ481" s="71"/>
      <c r="EK481" s="79"/>
      <c r="EL481" s="76" t="str">
        <f t="shared" si="297"/>
        <v>No requiere</v>
      </c>
      <c r="EM481" s="76" t="str">
        <f t="shared" si="298"/>
        <v>No requiere</v>
      </c>
      <c r="EN481" s="76" t="str">
        <f t="shared" si="269"/>
        <v>No requiere</v>
      </c>
      <c r="EO481" s="71"/>
      <c r="EP481" s="73" t="str">
        <f t="shared" si="299"/>
        <v>No requiere</v>
      </c>
      <c r="EQ481" s="77" t="str">
        <f t="shared" si="300"/>
        <v>No requiere</v>
      </c>
      <c r="ER481" s="71"/>
      <c r="ES481" s="79"/>
      <c r="ET481" s="73" t="str">
        <f t="shared" si="301"/>
        <v>No requiere</v>
      </c>
      <c r="EU481" s="73" t="str">
        <f t="shared" si="270"/>
        <v>No requiere</v>
      </c>
      <c r="EV481" s="73" t="str">
        <f t="shared" si="302"/>
        <v>No requiere</v>
      </c>
      <c r="EW481" s="73" t="str">
        <f t="shared" si="303"/>
        <v>No requiere</v>
      </c>
      <c r="EX481" s="78"/>
      <c r="EY481" s="78"/>
    </row>
    <row r="482" spans="1:155" ht="46.5" customHeight="1">
      <c r="A482" s="79">
        <v>478</v>
      </c>
      <c r="B482" s="80" t="s">
        <v>3035</v>
      </c>
      <c r="C482" s="81">
        <v>45436</v>
      </c>
      <c r="D482" s="82">
        <v>0.625</v>
      </c>
      <c r="E482" s="79" t="s">
        <v>151</v>
      </c>
      <c r="F482" s="79" t="s">
        <v>153</v>
      </c>
      <c r="G482" s="79" t="s">
        <v>152</v>
      </c>
      <c r="H482" s="79" t="s">
        <v>152</v>
      </c>
      <c r="I482" s="79" t="s">
        <v>152</v>
      </c>
      <c r="J482" s="79" t="s">
        <v>154</v>
      </c>
      <c r="K482" s="79" t="s">
        <v>155</v>
      </c>
      <c r="L482" s="80" t="s">
        <v>2844</v>
      </c>
      <c r="M482" s="80" t="s">
        <v>303</v>
      </c>
      <c r="N482" s="79" t="s">
        <v>644</v>
      </c>
      <c r="O482" s="80" t="str">
        <f t="shared" si="293"/>
        <v>Paola Andrea González, William Arturo González, Armando Alberto Montañez, Carlos Eduardo Escandón, Jimmy Alejandro Osorio</v>
      </c>
      <c r="P482" s="79" t="s">
        <v>924</v>
      </c>
      <c r="Q482" s="79" t="s">
        <v>2786</v>
      </c>
      <c r="R482" s="79" t="s">
        <v>1387</v>
      </c>
      <c r="S482" s="79" t="s">
        <v>819</v>
      </c>
      <c r="T482" s="79" t="s">
        <v>549</v>
      </c>
      <c r="U482" s="79"/>
      <c r="V482" s="79"/>
      <c r="W482" s="79"/>
      <c r="X482" s="79"/>
      <c r="Y482" s="79"/>
      <c r="Z482" s="79"/>
      <c r="AA482" s="79"/>
      <c r="AB482" s="79"/>
      <c r="AC482" s="79"/>
      <c r="AD482" s="79"/>
      <c r="AE482" s="79"/>
      <c r="AF482" s="79"/>
      <c r="AG482" s="79"/>
      <c r="AH482" s="79"/>
      <c r="AI482" s="79"/>
      <c r="AJ482" s="79"/>
      <c r="AK482" s="79"/>
      <c r="AL482" s="79"/>
      <c r="AM482" s="79"/>
      <c r="AN482" s="79"/>
      <c r="AO482" s="79" t="s">
        <v>169</v>
      </c>
      <c r="AP482" s="79" t="s">
        <v>475</v>
      </c>
      <c r="AQ482" s="80" t="s">
        <v>171</v>
      </c>
      <c r="AR482" s="83" t="s">
        <v>171</v>
      </c>
      <c r="AS482" s="80" t="s">
        <v>171</v>
      </c>
      <c r="AT482" s="80" t="str">
        <f t="shared" si="294"/>
        <v>Distrital</v>
      </c>
      <c r="AU482" s="79" t="s">
        <v>172</v>
      </c>
      <c r="AV482" s="79"/>
      <c r="AW482" s="79"/>
      <c r="AX482" s="79"/>
      <c r="AY482" s="79"/>
      <c r="AZ482" s="79"/>
      <c r="BA482" s="80" t="str">
        <f t="shared" si="295"/>
        <v>Distrital</v>
      </c>
      <c r="BB482" s="79" t="s">
        <v>172</v>
      </c>
      <c r="BC482" s="79"/>
      <c r="BD482" s="79"/>
      <c r="BE482" s="79"/>
      <c r="BF482" s="79"/>
      <c r="BG482" s="79"/>
      <c r="BH482" s="80" t="str">
        <f t="shared" si="296"/>
        <v>Distrital</v>
      </c>
      <c r="BI482" s="79" t="s">
        <v>172</v>
      </c>
      <c r="BJ482" s="79"/>
      <c r="BK482" s="79"/>
      <c r="BL482" s="79"/>
      <c r="BM482" s="79"/>
      <c r="BN482" s="79"/>
      <c r="BO482" s="79"/>
      <c r="BP482" s="79"/>
      <c r="BQ482" s="79"/>
      <c r="BR482" s="79"/>
      <c r="BS482" s="80" t="s">
        <v>2598</v>
      </c>
      <c r="BT482" s="80" t="s">
        <v>174</v>
      </c>
      <c r="BU482" s="80" t="s">
        <v>2599</v>
      </c>
      <c r="BV482" s="71"/>
      <c r="BW482" s="79" t="s">
        <v>153</v>
      </c>
      <c r="BX482" s="79" t="s">
        <v>2600</v>
      </c>
      <c r="BY482" s="71"/>
      <c r="BZ482" s="79">
        <v>160</v>
      </c>
      <c r="CA482" s="79">
        <v>6</v>
      </c>
      <c r="CB482" s="79">
        <f t="shared" si="281"/>
        <v>166</v>
      </c>
      <c r="CC482" s="79" t="str">
        <f t="shared" si="316"/>
        <v>Accesibilidad Universal</v>
      </c>
      <c r="CD482" s="79" t="s">
        <v>397</v>
      </c>
      <c r="CE482" s="79"/>
      <c r="CF482" s="79"/>
      <c r="CG482" s="83" t="s">
        <v>3399</v>
      </c>
      <c r="CH482" s="41"/>
      <c r="CI482" s="79" t="s">
        <v>153</v>
      </c>
      <c r="CJ482" s="71"/>
      <c r="CK482" s="79">
        <f t="shared" si="321"/>
        <v>0</v>
      </c>
      <c r="CL482" s="79"/>
      <c r="CM482" s="79"/>
      <c r="CN482" s="79"/>
      <c r="CO482" s="79"/>
      <c r="CP482" s="79"/>
      <c r="CQ482" s="79"/>
      <c r="CR482" s="83" t="s">
        <v>179</v>
      </c>
      <c r="CS482" s="83" t="s">
        <v>179</v>
      </c>
      <c r="CT482" s="83" t="s">
        <v>179</v>
      </c>
      <c r="CU482" s="83" t="s">
        <v>179</v>
      </c>
      <c r="CV482" s="83" t="s">
        <v>179</v>
      </c>
      <c r="CW482" s="83" t="s">
        <v>179</v>
      </c>
      <c r="CX482" s="79" t="s">
        <v>153</v>
      </c>
      <c r="CY482" s="79">
        <f t="shared" si="322"/>
        <v>0</v>
      </c>
      <c r="CZ482" s="79">
        <v>0</v>
      </c>
      <c r="DA482" s="79">
        <f t="shared" si="323"/>
        <v>0</v>
      </c>
      <c r="DB482" s="84" t="str">
        <f t="shared" si="324"/>
        <v/>
      </c>
      <c r="DC482" s="41"/>
      <c r="DD482" s="79" t="s">
        <v>153</v>
      </c>
      <c r="DE482" s="71"/>
      <c r="DF482" s="85" t="s">
        <v>3400</v>
      </c>
      <c r="DG482" s="79">
        <v>471</v>
      </c>
      <c r="DH482" s="86" t="str">
        <f t="shared" si="325"/>
        <v>Completo</v>
      </c>
      <c r="DI482" s="79" t="s">
        <v>181</v>
      </c>
      <c r="DJ482" s="79" t="s">
        <v>182</v>
      </c>
      <c r="DK482" s="79"/>
      <c r="DL482" s="79">
        <v>0</v>
      </c>
      <c r="DM482" s="79">
        <v>0</v>
      </c>
      <c r="DN482" s="79" t="s">
        <v>182</v>
      </c>
      <c r="DO482" s="79"/>
      <c r="DP482" s="79"/>
      <c r="DQ482" s="79"/>
      <c r="DR482" s="75" t="str">
        <f t="shared" si="309"/>
        <v>No aplica</v>
      </c>
      <c r="DS482" s="79"/>
      <c r="DT482" s="79"/>
      <c r="DU482" s="75" t="str">
        <f t="shared" si="310"/>
        <v>No aplica</v>
      </c>
      <c r="DV482" s="79" t="s">
        <v>182</v>
      </c>
      <c r="DW482" s="79" t="s">
        <v>191</v>
      </c>
      <c r="DX482" s="79"/>
      <c r="DY482" s="79"/>
      <c r="DZ482" s="79"/>
      <c r="EA482" s="79"/>
      <c r="EB482" s="79" t="s">
        <v>182</v>
      </c>
      <c r="EC482" s="79" t="s">
        <v>3401</v>
      </c>
      <c r="ED482" s="79" t="s">
        <v>184</v>
      </c>
      <c r="EE482" s="79" t="str">
        <f t="shared" si="326"/>
        <v>Completo</v>
      </c>
      <c r="EF482" s="41"/>
      <c r="EG482" s="79" t="s">
        <v>153</v>
      </c>
      <c r="EH482" s="71"/>
      <c r="EI482" s="80"/>
      <c r="EJ482" s="71"/>
      <c r="EK482" s="79"/>
      <c r="EL482" s="76" t="str">
        <f t="shared" si="297"/>
        <v>No requiere</v>
      </c>
      <c r="EM482" s="76" t="str">
        <f t="shared" si="298"/>
        <v>No requiere</v>
      </c>
      <c r="EN482" s="76" t="str">
        <f t="shared" si="269"/>
        <v>No requiere</v>
      </c>
      <c r="EO482" s="71"/>
      <c r="EP482" s="73" t="str">
        <f t="shared" si="299"/>
        <v>No requiere</v>
      </c>
      <c r="EQ482" s="77" t="str">
        <f t="shared" si="300"/>
        <v>No requiere</v>
      </c>
      <c r="ER482" s="71"/>
      <c r="ES482" s="79"/>
      <c r="ET482" s="73" t="str">
        <f t="shared" si="301"/>
        <v>No requiere</v>
      </c>
      <c r="EU482" s="73" t="str">
        <f t="shared" si="270"/>
        <v>No requiere</v>
      </c>
      <c r="EV482" s="73" t="str">
        <f t="shared" si="302"/>
        <v>No requiere</v>
      </c>
      <c r="EW482" s="73" t="str">
        <f t="shared" si="303"/>
        <v>No requiere</v>
      </c>
      <c r="EX482" s="78"/>
      <c r="EY482" s="78"/>
    </row>
    <row r="483" spans="1:155" ht="46.5" customHeight="1">
      <c r="A483" s="79">
        <v>479</v>
      </c>
      <c r="B483" s="80" t="s">
        <v>3402</v>
      </c>
      <c r="C483" s="81">
        <v>45436</v>
      </c>
      <c r="D483" s="82">
        <v>0.70833333333333337</v>
      </c>
      <c r="E483" s="79" t="s">
        <v>200</v>
      </c>
      <c r="F483" s="79" t="s">
        <v>153</v>
      </c>
      <c r="G483" s="79" t="s">
        <v>152</v>
      </c>
      <c r="H483" s="79" t="s">
        <v>152</v>
      </c>
      <c r="I483" s="79" t="s">
        <v>152</v>
      </c>
      <c r="J483" s="79" t="s">
        <v>211</v>
      </c>
      <c r="K483" s="79" t="s">
        <v>202</v>
      </c>
      <c r="L483" s="80" t="s">
        <v>3251</v>
      </c>
      <c r="M483" s="80" t="s">
        <v>624</v>
      </c>
      <c r="N483" s="79" t="s">
        <v>523</v>
      </c>
      <c r="O483" s="80" t="str">
        <f t="shared" si="293"/>
        <v/>
      </c>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t="s">
        <v>230</v>
      </c>
      <c r="AP483" s="79" t="s">
        <v>242</v>
      </c>
      <c r="AQ483" s="80" t="s">
        <v>1334</v>
      </c>
      <c r="AR483" s="83" t="s">
        <v>1555</v>
      </c>
      <c r="AS483" s="80" t="s">
        <v>3403</v>
      </c>
      <c r="AT483" s="80" t="str">
        <f t="shared" si="294"/>
        <v>Distrital</v>
      </c>
      <c r="AU483" s="79" t="s">
        <v>172</v>
      </c>
      <c r="AV483" s="79"/>
      <c r="AW483" s="79"/>
      <c r="AX483" s="79"/>
      <c r="AY483" s="79"/>
      <c r="AZ483" s="79"/>
      <c r="BA483" s="80" t="str">
        <f t="shared" si="295"/>
        <v>Distrital</v>
      </c>
      <c r="BB483" s="79" t="s">
        <v>172</v>
      </c>
      <c r="BC483" s="79"/>
      <c r="BD483" s="79"/>
      <c r="BE483" s="79"/>
      <c r="BF483" s="79"/>
      <c r="BG483" s="79"/>
      <c r="BH483" s="80" t="str">
        <f t="shared" si="296"/>
        <v>Distrital</v>
      </c>
      <c r="BI483" s="79" t="s">
        <v>172</v>
      </c>
      <c r="BJ483" s="79"/>
      <c r="BK483" s="79"/>
      <c r="BL483" s="79"/>
      <c r="BM483" s="79"/>
      <c r="BN483" s="79"/>
      <c r="BO483" s="79"/>
      <c r="BP483" s="79"/>
      <c r="BQ483" s="79"/>
      <c r="BR483" s="79"/>
      <c r="BS483" s="80" t="s">
        <v>288</v>
      </c>
      <c r="BT483" s="80" t="s">
        <v>174</v>
      </c>
      <c r="BU483" s="89" t="s">
        <v>3404</v>
      </c>
      <c r="BV483" s="71"/>
      <c r="BW483" s="79" t="s">
        <v>152</v>
      </c>
      <c r="BX483" s="79" t="s">
        <v>179</v>
      </c>
      <c r="BY483" s="71"/>
      <c r="BZ483" s="79">
        <v>13</v>
      </c>
      <c r="CA483" s="79">
        <v>1</v>
      </c>
      <c r="CB483" s="79">
        <f t="shared" si="281"/>
        <v>14</v>
      </c>
      <c r="CC483" s="79" t="str">
        <f t="shared" si="316"/>
        <v>Lenguaje de señas, Accesibilidad Universal</v>
      </c>
      <c r="CD483" s="79" t="s">
        <v>349</v>
      </c>
      <c r="CE483" s="79" t="s">
        <v>397</v>
      </c>
      <c r="CF483" s="79"/>
      <c r="CG483" s="83" t="s">
        <v>3405</v>
      </c>
      <c r="CH483" s="41"/>
      <c r="CI483" s="79" t="s">
        <v>153</v>
      </c>
      <c r="CJ483" s="71"/>
      <c r="CK483" s="79">
        <f t="shared" si="321"/>
        <v>0</v>
      </c>
      <c r="CL483" s="79"/>
      <c r="CM483" s="79"/>
      <c r="CN483" s="79"/>
      <c r="CO483" s="79"/>
      <c r="CP483" s="79"/>
      <c r="CQ483" s="79"/>
      <c r="CR483" s="83"/>
      <c r="CS483" s="83"/>
      <c r="CT483" s="83"/>
      <c r="CU483" s="83"/>
      <c r="CV483" s="83"/>
      <c r="CW483" s="83"/>
      <c r="CX483" s="79"/>
      <c r="CY483" s="79">
        <f t="shared" si="322"/>
        <v>0</v>
      </c>
      <c r="CZ483" s="79">
        <v>0</v>
      </c>
      <c r="DA483" s="79">
        <f t="shared" si="323"/>
        <v>0</v>
      </c>
      <c r="DB483" s="84" t="str">
        <f t="shared" si="324"/>
        <v/>
      </c>
      <c r="DC483" s="41"/>
      <c r="DD483" s="79"/>
      <c r="DE483" s="71"/>
      <c r="DF483" s="85" t="s">
        <v>3406</v>
      </c>
      <c r="DG483" s="79">
        <v>472</v>
      </c>
      <c r="DH483" s="86">
        <f t="shared" si="325"/>
        <v>45439</v>
      </c>
      <c r="DI483" s="79" t="s">
        <v>1246</v>
      </c>
      <c r="DJ483" s="79"/>
      <c r="DK483" s="79"/>
      <c r="DL483" s="79">
        <v>0</v>
      </c>
      <c r="DM483" s="79">
        <v>0</v>
      </c>
      <c r="DN483" s="79" t="s">
        <v>3407</v>
      </c>
      <c r="DO483" s="79"/>
      <c r="DP483" s="79"/>
      <c r="DQ483" s="79"/>
      <c r="DR483" s="75" t="str">
        <f t="shared" si="309"/>
        <v>No aplica</v>
      </c>
      <c r="DS483" s="79"/>
      <c r="DT483" s="79"/>
      <c r="DU483" s="75" t="str">
        <f t="shared" si="310"/>
        <v>No aplica</v>
      </c>
      <c r="DV483" s="79" t="s">
        <v>182</v>
      </c>
      <c r="DW483" s="79" t="s">
        <v>182</v>
      </c>
      <c r="DX483" s="79"/>
      <c r="DY483" s="79"/>
      <c r="DZ483" s="79"/>
      <c r="EA483" s="79"/>
      <c r="EB483" s="79" t="s">
        <v>182</v>
      </c>
      <c r="EC483" s="79" t="s">
        <v>3408</v>
      </c>
      <c r="ED483" s="79" t="s">
        <v>3409</v>
      </c>
      <c r="EE483" s="79" t="str">
        <f t="shared" si="326"/>
        <v>Por Completar</v>
      </c>
      <c r="EF483" s="41"/>
      <c r="EG483" s="79" t="s">
        <v>152</v>
      </c>
      <c r="EH483" s="71"/>
      <c r="EI483" s="80"/>
      <c r="EJ483" s="71"/>
      <c r="EK483" s="79"/>
      <c r="EL483" s="76" t="str">
        <f t="shared" si="297"/>
        <v>No requiere</v>
      </c>
      <c r="EM483" s="76" t="str">
        <f t="shared" si="298"/>
        <v>No requiere</v>
      </c>
      <c r="EN483" s="76" t="str">
        <f t="shared" si="269"/>
        <v>No requiere</v>
      </c>
      <c r="EO483" s="71"/>
      <c r="EP483" s="73" t="str">
        <f t="shared" si="299"/>
        <v>No requiere</v>
      </c>
      <c r="EQ483" s="77" t="str">
        <f t="shared" si="300"/>
        <v>No requiere</v>
      </c>
      <c r="ER483" s="71"/>
      <c r="ES483" s="79"/>
      <c r="ET483" s="73" t="str">
        <f t="shared" si="301"/>
        <v>No requiere</v>
      </c>
      <c r="EU483" s="73" t="str">
        <f t="shared" si="270"/>
        <v>No requiere</v>
      </c>
      <c r="EV483" s="73" t="str">
        <f t="shared" si="302"/>
        <v>No requiere</v>
      </c>
      <c r="EW483" s="73" t="str">
        <f t="shared" si="303"/>
        <v>No requiere</v>
      </c>
      <c r="EX483" s="78"/>
      <c r="EY483" s="78"/>
    </row>
    <row r="484" spans="1:155" ht="46.5" customHeight="1">
      <c r="A484" s="79">
        <v>480</v>
      </c>
      <c r="B484" s="80" t="s">
        <v>3410</v>
      </c>
      <c r="C484" s="81">
        <v>45436</v>
      </c>
      <c r="D484" s="82">
        <v>0.79166666666666663</v>
      </c>
      <c r="E484" s="79" t="s">
        <v>200</v>
      </c>
      <c r="F484" s="79" t="s">
        <v>153</v>
      </c>
      <c r="G484" s="79" t="s">
        <v>152</v>
      </c>
      <c r="H484" s="79" t="s">
        <v>152</v>
      </c>
      <c r="I484" s="79" t="s">
        <v>152</v>
      </c>
      <c r="J484" s="79" t="s">
        <v>211</v>
      </c>
      <c r="K484" s="79" t="s">
        <v>202</v>
      </c>
      <c r="L484" s="80" t="s">
        <v>3411</v>
      </c>
      <c r="M484" s="80" t="s">
        <v>624</v>
      </c>
      <c r="N484" s="79" t="s">
        <v>888</v>
      </c>
      <c r="O484" s="80" t="str">
        <f t="shared" si="293"/>
        <v/>
      </c>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t="s">
        <v>230</v>
      </c>
      <c r="AP484" s="79" t="s">
        <v>242</v>
      </c>
      <c r="AQ484" s="80" t="s">
        <v>1322</v>
      </c>
      <c r="AR484" s="83" t="s">
        <v>1323</v>
      </c>
      <c r="AS484" s="80" t="s">
        <v>1324</v>
      </c>
      <c r="AT484" s="80" t="str">
        <f t="shared" si="294"/>
        <v>Distrital</v>
      </c>
      <c r="AU484" s="79" t="s">
        <v>172</v>
      </c>
      <c r="AV484" s="79"/>
      <c r="AW484" s="79"/>
      <c r="AX484" s="79"/>
      <c r="AY484" s="79"/>
      <c r="AZ484" s="79"/>
      <c r="BA484" s="80" t="str">
        <f t="shared" si="295"/>
        <v>Distrital</v>
      </c>
      <c r="BB484" s="79" t="s">
        <v>172</v>
      </c>
      <c r="BC484" s="79"/>
      <c r="BD484" s="79"/>
      <c r="BE484" s="79"/>
      <c r="BF484" s="79"/>
      <c r="BG484" s="79"/>
      <c r="BH484" s="80" t="str">
        <f t="shared" si="296"/>
        <v>Distrital</v>
      </c>
      <c r="BI484" s="79" t="s">
        <v>172</v>
      </c>
      <c r="BJ484" s="79"/>
      <c r="BK484" s="79"/>
      <c r="BL484" s="79"/>
      <c r="BM484" s="79"/>
      <c r="BN484" s="79"/>
      <c r="BO484" s="79"/>
      <c r="BP484" s="79"/>
      <c r="BQ484" s="79"/>
      <c r="BR484" s="79"/>
      <c r="BS484" s="80" t="s">
        <v>288</v>
      </c>
      <c r="BT484" s="80" t="s">
        <v>174</v>
      </c>
      <c r="BU484" s="89" t="s">
        <v>3412</v>
      </c>
      <c r="BV484" s="71"/>
      <c r="BW484" s="79" t="s">
        <v>152</v>
      </c>
      <c r="BX484" s="79" t="s">
        <v>179</v>
      </c>
      <c r="BY484" s="71"/>
      <c r="BZ484" s="79">
        <v>9</v>
      </c>
      <c r="CA484" s="79">
        <v>1</v>
      </c>
      <c r="CB484" s="79">
        <f t="shared" si="281"/>
        <v>10</v>
      </c>
      <c r="CC484" s="79" t="str">
        <f t="shared" si="316"/>
        <v>Ninguna</v>
      </c>
      <c r="CD484" s="79" t="s">
        <v>174</v>
      </c>
      <c r="CE484" s="79"/>
      <c r="CF484" s="79"/>
      <c r="CG484" s="83" t="s">
        <v>3413</v>
      </c>
      <c r="CH484" s="41"/>
      <c r="CI484" s="79" t="s">
        <v>153</v>
      </c>
      <c r="CJ484" s="71"/>
      <c r="CK484" s="79">
        <f t="shared" si="321"/>
        <v>0</v>
      </c>
      <c r="CL484" s="79"/>
      <c r="CM484" s="79"/>
      <c r="CN484" s="79"/>
      <c r="CO484" s="79"/>
      <c r="CP484" s="79"/>
      <c r="CQ484" s="79"/>
      <c r="CR484" s="83" t="s">
        <v>179</v>
      </c>
      <c r="CS484" s="83" t="s">
        <v>179</v>
      </c>
      <c r="CT484" s="83" t="s">
        <v>179</v>
      </c>
      <c r="CU484" s="83" t="s">
        <v>179</v>
      </c>
      <c r="CV484" s="83" t="s">
        <v>179</v>
      </c>
      <c r="CW484" s="83" t="s">
        <v>179</v>
      </c>
      <c r="CX484" s="79" t="s">
        <v>153</v>
      </c>
      <c r="CY484" s="79">
        <f t="shared" si="322"/>
        <v>0</v>
      </c>
      <c r="CZ484" s="79">
        <v>0</v>
      </c>
      <c r="DA484" s="79">
        <f t="shared" si="323"/>
        <v>0</v>
      </c>
      <c r="DB484" s="84" t="str">
        <f t="shared" si="324"/>
        <v/>
      </c>
      <c r="DC484" s="41"/>
      <c r="DD484" s="79" t="s">
        <v>153</v>
      </c>
      <c r="DE484" s="71"/>
      <c r="DF484" s="85" t="s">
        <v>3414</v>
      </c>
      <c r="DG484" s="79">
        <v>473</v>
      </c>
      <c r="DH484" s="86" t="str">
        <f t="shared" si="325"/>
        <v>Completo</v>
      </c>
      <c r="DI484" s="79" t="s">
        <v>181</v>
      </c>
      <c r="DJ484" s="79" t="s">
        <v>182</v>
      </c>
      <c r="DK484" s="79"/>
      <c r="DL484" s="79">
        <v>0</v>
      </c>
      <c r="DM484" s="79">
        <v>0</v>
      </c>
      <c r="DN484" s="79" t="s">
        <v>182</v>
      </c>
      <c r="DO484" s="79"/>
      <c r="DP484" s="79"/>
      <c r="DQ484" s="79"/>
      <c r="DR484" s="75" t="str">
        <f t="shared" si="309"/>
        <v>No aplica</v>
      </c>
      <c r="DS484" s="79"/>
      <c r="DT484" s="79"/>
      <c r="DU484" s="75" t="str">
        <f t="shared" si="310"/>
        <v>No aplica</v>
      </c>
      <c r="DV484" s="79" t="s">
        <v>182</v>
      </c>
      <c r="DW484" s="79" t="s">
        <v>182</v>
      </c>
      <c r="DX484" s="79"/>
      <c r="DY484" s="79"/>
      <c r="DZ484" s="79"/>
      <c r="EA484" s="79"/>
      <c r="EB484" s="79" t="s">
        <v>182</v>
      </c>
      <c r="EC484" s="79" t="s">
        <v>3415</v>
      </c>
      <c r="ED484" s="79" t="s">
        <v>3416</v>
      </c>
      <c r="EE484" s="79" t="str">
        <f t="shared" si="326"/>
        <v>Completo</v>
      </c>
      <c r="EF484" s="41"/>
      <c r="EG484" s="79" t="s">
        <v>153</v>
      </c>
      <c r="EH484" s="71"/>
      <c r="EI484" s="80"/>
      <c r="EJ484" s="71"/>
      <c r="EK484" s="79"/>
      <c r="EL484" s="76" t="str">
        <f t="shared" si="297"/>
        <v>No requiere</v>
      </c>
      <c r="EM484" s="76" t="str">
        <f t="shared" si="298"/>
        <v>No requiere</v>
      </c>
      <c r="EN484" s="76" t="str">
        <f t="shared" si="269"/>
        <v>No requiere</v>
      </c>
      <c r="EO484" s="71"/>
      <c r="EP484" s="73" t="str">
        <f t="shared" si="299"/>
        <v>No requiere</v>
      </c>
      <c r="EQ484" s="77" t="str">
        <f t="shared" si="300"/>
        <v>No requiere</v>
      </c>
      <c r="ER484" s="71"/>
      <c r="ES484" s="79"/>
      <c r="ET484" s="73" t="str">
        <f t="shared" si="301"/>
        <v>No requiere</v>
      </c>
      <c r="EU484" s="73" t="str">
        <f t="shared" si="270"/>
        <v>No requiere</v>
      </c>
      <c r="EV484" s="73" t="str">
        <f t="shared" si="302"/>
        <v>No requiere</v>
      </c>
      <c r="EW484" s="73" t="str">
        <f t="shared" si="303"/>
        <v>No requiere</v>
      </c>
      <c r="EX484" s="78"/>
      <c r="EY484" s="78"/>
    </row>
    <row r="485" spans="1:155" ht="46.5" customHeight="1">
      <c r="A485" s="79">
        <v>481</v>
      </c>
      <c r="B485" s="80" t="s">
        <v>3028</v>
      </c>
      <c r="C485" s="81">
        <v>45437</v>
      </c>
      <c r="D485" s="82">
        <v>0.375</v>
      </c>
      <c r="E485" s="79" t="s">
        <v>151</v>
      </c>
      <c r="F485" s="79" t="s">
        <v>153</v>
      </c>
      <c r="G485" s="79" t="s">
        <v>152</v>
      </c>
      <c r="H485" s="79" t="s">
        <v>152</v>
      </c>
      <c r="I485" s="79" t="s">
        <v>152</v>
      </c>
      <c r="J485" s="79" t="s">
        <v>154</v>
      </c>
      <c r="K485" s="79" t="s">
        <v>155</v>
      </c>
      <c r="L485" s="80" t="s">
        <v>2844</v>
      </c>
      <c r="M485" s="80" t="s">
        <v>303</v>
      </c>
      <c r="N485" s="79" t="s">
        <v>862</v>
      </c>
      <c r="O485" s="80" t="str">
        <f t="shared" si="293"/>
        <v>Sarah Lucia Triviño, Andres Castro Latorre, César Augusto Barrantes, Zuly Marcela Mesa, Derly Adriana Castillo</v>
      </c>
      <c r="P485" s="79" t="s">
        <v>499</v>
      </c>
      <c r="Q485" s="79" t="s">
        <v>749</v>
      </c>
      <c r="R485" s="79" t="s">
        <v>729</v>
      </c>
      <c r="S485" s="79" t="s">
        <v>547</v>
      </c>
      <c r="T485" s="79" t="s">
        <v>526</v>
      </c>
      <c r="U485" s="79"/>
      <c r="V485" s="79"/>
      <c r="W485" s="79"/>
      <c r="X485" s="79"/>
      <c r="Y485" s="79"/>
      <c r="Z485" s="79"/>
      <c r="AA485" s="79"/>
      <c r="AB485" s="79"/>
      <c r="AC485" s="79"/>
      <c r="AD485" s="79"/>
      <c r="AE485" s="79"/>
      <c r="AF485" s="79"/>
      <c r="AG485" s="79"/>
      <c r="AH485" s="79"/>
      <c r="AI485" s="79"/>
      <c r="AJ485" s="79"/>
      <c r="AK485" s="79"/>
      <c r="AL485" s="79"/>
      <c r="AM485" s="79"/>
      <c r="AN485" s="79"/>
      <c r="AO485" s="79" t="s">
        <v>169</v>
      </c>
      <c r="AP485" s="79" t="s">
        <v>475</v>
      </c>
      <c r="AQ485" s="80" t="s">
        <v>171</v>
      </c>
      <c r="AR485" s="83" t="s">
        <v>171</v>
      </c>
      <c r="AS485" s="80" t="s">
        <v>171</v>
      </c>
      <c r="AT485" s="80" t="str">
        <f t="shared" si="294"/>
        <v>Distrital</v>
      </c>
      <c r="AU485" s="79" t="s">
        <v>172</v>
      </c>
      <c r="AV485" s="79"/>
      <c r="AW485" s="79"/>
      <c r="AX485" s="79"/>
      <c r="AY485" s="79"/>
      <c r="AZ485" s="79"/>
      <c r="BA485" s="80" t="str">
        <f t="shared" si="295"/>
        <v>Distrital</v>
      </c>
      <c r="BB485" s="79" t="s">
        <v>172</v>
      </c>
      <c r="BC485" s="79"/>
      <c r="BD485" s="79"/>
      <c r="BE485" s="79"/>
      <c r="BF485" s="79"/>
      <c r="BG485" s="79"/>
      <c r="BH485" s="80" t="str">
        <f t="shared" si="296"/>
        <v>Distrital</v>
      </c>
      <c r="BI485" s="79" t="s">
        <v>172</v>
      </c>
      <c r="BJ485" s="79"/>
      <c r="BK485" s="79"/>
      <c r="BL485" s="79"/>
      <c r="BM485" s="79"/>
      <c r="BN485" s="79"/>
      <c r="BO485" s="79"/>
      <c r="BP485" s="79"/>
      <c r="BQ485" s="79"/>
      <c r="BR485" s="79"/>
      <c r="BS485" s="80" t="s">
        <v>2598</v>
      </c>
      <c r="BT485" s="80" t="s">
        <v>174</v>
      </c>
      <c r="BU485" s="80" t="s">
        <v>2599</v>
      </c>
      <c r="BV485" s="71"/>
      <c r="BW485" s="79" t="s">
        <v>153</v>
      </c>
      <c r="BX485" s="79" t="s">
        <v>2600</v>
      </c>
      <c r="BY485" s="71"/>
      <c r="BZ485" s="79">
        <v>246</v>
      </c>
      <c r="CA485" s="79">
        <v>8</v>
      </c>
      <c r="CB485" s="79">
        <f t="shared" si="281"/>
        <v>254</v>
      </c>
      <c r="CC485" s="79" t="str">
        <f t="shared" si="316"/>
        <v>Ninguna</v>
      </c>
      <c r="CD485" s="79" t="s">
        <v>174</v>
      </c>
      <c r="CE485" s="79"/>
      <c r="CF485" s="79"/>
      <c r="CG485" s="83" t="s">
        <v>3417</v>
      </c>
      <c r="CH485" s="41"/>
      <c r="CI485" s="79" t="s">
        <v>153</v>
      </c>
      <c r="CJ485" s="71"/>
      <c r="CK485" s="79"/>
      <c r="CL485" s="79"/>
      <c r="CM485" s="79"/>
      <c r="CN485" s="79"/>
      <c r="CO485" s="79"/>
      <c r="CP485" s="79"/>
      <c r="CQ485" s="79"/>
      <c r="CR485" s="83" t="s">
        <v>179</v>
      </c>
      <c r="CS485" s="83" t="s">
        <v>179</v>
      </c>
      <c r="CT485" s="83" t="s">
        <v>179</v>
      </c>
      <c r="CU485" s="83" t="s">
        <v>179</v>
      </c>
      <c r="CV485" s="83" t="s">
        <v>179</v>
      </c>
      <c r="CW485" s="83" t="s">
        <v>179</v>
      </c>
      <c r="CX485" s="79" t="s">
        <v>153</v>
      </c>
      <c r="CY485" s="79"/>
      <c r="CZ485" s="79"/>
      <c r="DA485" s="79"/>
      <c r="DB485" s="84"/>
      <c r="DC485" s="41"/>
      <c r="DD485" s="79" t="s">
        <v>153</v>
      </c>
      <c r="DE485" s="71"/>
      <c r="DF485" s="85" t="s">
        <v>3418</v>
      </c>
      <c r="DG485" s="79">
        <v>474</v>
      </c>
      <c r="DH485" s="86" t="str">
        <f t="shared" si="325"/>
        <v>Completo</v>
      </c>
      <c r="DI485" s="79" t="s">
        <v>181</v>
      </c>
      <c r="DJ485" s="79" t="s">
        <v>182</v>
      </c>
      <c r="DK485" s="79"/>
      <c r="DL485" s="79"/>
      <c r="DM485" s="79"/>
      <c r="DN485" s="79" t="s">
        <v>182</v>
      </c>
      <c r="DO485" s="79"/>
      <c r="DP485" s="79"/>
      <c r="DQ485" s="79"/>
      <c r="DR485" s="75" t="str">
        <f t="shared" si="309"/>
        <v>No aplica</v>
      </c>
      <c r="DS485" s="79"/>
      <c r="DT485" s="79"/>
      <c r="DU485" s="75" t="str">
        <f t="shared" si="310"/>
        <v>No aplica</v>
      </c>
      <c r="DV485" s="79" t="s">
        <v>182</v>
      </c>
      <c r="DW485" s="79" t="s">
        <v>182</v>
      </c>
      <c r="DX485" s="79"/>
      <c r="DY485" s="79"/>
      <c r="DZ485" s="79"/>
      <c r="EA485" s="79"/>
      <c r="EB485" s="79" t="s">
        <v>182</v>
      </c>
      <c r="EC485" s="79" t="s">
        <v>3419</v>
      </c>
      <c r="ED485" s="79" t="s">
        <v>184</v>
      </c>
      <c r="EE485" s="79" t="str">
        <f t="shared" si="326"/>
        <v>Completo</v>
      </c>
      <c r="EF485" s="41"/>
      <c r="EG485" s="79" t="s">
        <v>153</v>
      </c>
      <c r="EH485" s="71"/>
      <c r="EI485" s="80"/>
      <c r="EJ485" s="71"/>
      <c r="EK485" s="79"/>
      <c r="EL485" s="76" t="str">
        <f t="shared" si="297"/>
        <v>No requiere</v>
      </c>
      <c r="EM485" s="76" t="str">
        <f t="shared" si="298"/>
        <v>No requiere</v>
      </c>
      <c r="EN485" s="76" t="str">
        <f t="shared" si="269"/>
        <v>No requiere</v>
      </c>
      <c r="EO485" s="71"/>
      <c r="EP485" s="73" t="str">
        <f t="shared" si="299"/>
        <v>No requiere</v>
      </c>
      <c r="EQ485" s="77" t="str">
        <f t="shared" si="300"/>
        <v>No requiere</v>
      </c>
      <c r="ER485" s="71"/>
      <c r="ES485" s="79"/>
      <c r="ET485" s="73" t="str">
        <f t="shared" si="301"/>
        <v>No requiere</v>
      </c>
      <c r="EU485" s="73" t="str">
        <f t="shared" si="270"/>
        <v>No requiere</v>
      </c>
      <c r="EV485" s="73" t="str">
        <f t="shared" si="302"/>
        <v>No requiere</v>
      </c>
      <c r="EW485" s="73" t="str">
        <f t="shared" si="303"/>
        <v>No requiere</v>
      </c>
      <c r="EX485" s="78"/>
      <c r="EY485" s="78"/>
    </row>
    <row r="486" spans="1:155" ht="46.5" customHeight="1">
      <c r="A486" s="79">
        <v>482</v>
      </c>
      <c r="B486" s="80" t="s">
        <v>3420</v>
      </c>
      <c r="C486" s="81">
        <v>45437</v>
      </c>
      <c r="D486" s="82">
        <v>0.375</v>
      </c>
      <c r="E486" s="79" t="s">
        <v>151</v>
      </c>
      <c r="F486" s="79" t="s">
        <v>153</v>
      </c>
      <c r="G486" s="79" t="s">
        <v>152</v>
      </c>
      <c r="H486" s="79" t="s">
        <v>152</v>
      </c>
      <c r="I486" s="79" t="s">
        <v>152</v>
      </c>
      <c r="J486" s="79" t="s">
        <v>272</v>
      </c>
      <c r="K486" s="79" t="s">
        <v>155</v>
      </c>
      <c r="L486" s="80" t="s">
        <v>3421</v>
      </c>
      <c r="M486" s="80" t="s">
        <v>157</v>
      </c>
      <c r="N486" s="79" t="s">
        <v>346</v>
      </c>
      <c r="O486" s="80" t="str">
        <f t="shared" si="293"/>
        <v/>
      </c>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t="s">
        <v>304</v>
      </c>
      <c r="AP486" s="79"/>
      <c r="AQ486" s="80" t="s">
        <v>3422</v>
      </c>
      <c r="AR486" s="83" t="s">
        <v>3423</v>
      </c>
      <c r="AS486" s="80" t="s">
        <v>3424</v>
      </c>
      <c r="AT486" s="80" t="str">
        <f t="shared" si="294"/>
        <v>Distrital</v>
      </c>
      <c r="AU486" s="79" t="s">
        <v>172</v>
      </c>
      <c r="AV486" s="79"/>
      <c r="AW486" s="79"/>
      <c r="AX486" s="79"/>
      <c r="AY486" s="79"/>
      <c r="AZ486" s="79"/>
      <c r="BA486" s="80" t="str">
        <f t="shared" si="295"/>
        <v>Distrital</v>
      </c>
      <c r="BB486" s="79" t="s">
        <v>172</v>
      </c>
      <c r="BC486" s="79"/>
      <c r="BD486" s="79"/>
      <c r="BE486" s="79"/>
      <c r="BF486" s="79"/>
      <c r="BG486" s="79"/>
      <c r="BH486" s="80" t="str">
        <f t="shared" si="296"/>
        <v>Distrital</v>
      </c>
      <c r="BI486" s="79" t="s">
        <v>172</v>
      </c>
      <c r="BJ486" s="79"/>
      <c r="BK486" s="79"/>
      <c r="BL486" s="79"/>
      <c r="BM486" s="79"/>
      <c r="BN486" s="79"/>
      <c r="BO486" s="79"/>
      <c r="BP486" s="79"/>
      <c r="BQ486" s="79"/>
      <c r="BR486" s="79"/>
      <c r="BS486" s="80" t="s">
        <v>288</v>
      </c>
      <c r="BT486" s="80" t="s">
        <v>174</v>
      </c>
      <c r="BU486" s="80" t="s">
        <v>3425</v>
      </c>
      <c r="BV486" s="71"/>
      <c r="BW486" s="79" t="s">
        <v>152</v>
      </c>
      <c r="BX486" s="79" t="s">
        <v>179</v>
      </c>
      <c r="BY486" s="71"/>
      <c r="BZ486" s="79">
        <v>300</v>
      </c>
      <c r="CA486" s="79">
        <v>1</v>
      </c>
      <c r="CB486" s="79">
        <f t="shared" si="281"/>
        <v>301</v>
      </c>
      <c r="CC486" s="79" t="str">
        <f t="shared" si="316"/>
        <v>Ninguna</v>
      </c>
      <c r="CD486" s="79" t="s">
        <v>174</v>
      </c>
      <c r="CE486" s="79"/>
      <c r="CF486" s="79"/>
      <c r="CG486" s="83" t="s">
        <v>3426</v>
      </c>
      <c r="CH486" s="41"/>
      <c r="CI486" s="79" t="s">
        <v>153</v>
      </c>
      <c r="CJ486" s="71"/>
      <c r="CK486" s="79">
        <f t="shared" ref="CK486" si="327">COUNTIF(CL486:CQ486,"*")</f>
        <v>0</v>
      </c>
      <c r="CL486" s="79"/>
      <c r="CM486" s="79"/>
      <c r="CN486" s="79"/>
      <c r="CO486" s="79"/>
      <c r="CP486" s="79"/>
      <c r="CQ486" s="79"/>
      <c r="CR486" s="83" t="s">
        <v>179</v>
      </c>
      <c r="CS486" s="83" t="s">
        <v>179</v>
      </c>
      <c r="CT486" s="83" t="s">
        <v>179</v>
      </c>
      <c r="CU486" s="83" t="s">
        <v>179</v>
      </c>
      <c r="CV486" s="83" t="s">
        <v>179</v>
      </c>
      <c r="CW486" s="83" t="s">
        <v>179</v>
      </c>
      <c r="CX486" s="79" t="s">
        <v>153</v>
      </c>
      <c r="CY486" s="79">
        <f t="shared" ref="CY486" si="328">SUM(COUNTIF(CR486:CW486,"Realizado y Devuelto a la Ciudadanía"),COUNTIF(CR486:CW486,"Realizado y Trasladado por competencia"), COUNTIF(CR486:CW486,"Realizado y Gestionado"))</f>
        <v>0</v>
      </c>
      <c r="CZ486" s="79">
        <v>0</v>
      </c>
      <c r="DA486" s="79">
        <f t="shared" ref="DA486" si="329">COUNTIF(CR486:CW486,"Realizado y Devuelto a la Ciudadanía")</f>
        <v>0</v>
      </c>
      <c r="DB486" s="84" t="str">
        <f t="shared" ref="DB486" si="330">IFERROR(CY486/CK486,"")</f>
        <v/>
      </c>
      <c r="DC486" s="41"/>
      <c r="DD486" s="79" t="s">
        <v>153</v>
      </c>
      <c r="DE486" s="71"/>
      <c r="DF486" s="85" t="s">
        <v>3427</v>
      </c>
      <c r="DG486" s="79">
        <v>475</v>
      </c>
      <c r="DH486" s="86" t="str">
        <f t="shared" si="325"/>
        <v>Completo</v>
      </c>
      <c r="DI486" s="79" t="s">
        <v>181</v>
      </c>
      <c r="DJ486" s="79" t="s">
        <v>182</v>
      </c>
      <c r="DK486" s="79"/>
      <c r="DL486" s="79">
        <v>0</v>
      </c>
      <c r="DM486" s="79">
        <v>0</v>
      </c>
      <c r="DN486" s="79" t="s">
        <v>191</v>
      </c>
      <c r="DO486" s="79"/>
      <c r="DP486" s="79"/>
      <c r="DQ486" s="79"/>
      <c r="DR486" s="75" t="str">
        <f t="shared" si="309"/>
        <v>No aplica</v>
      </c>
      <c r="DS486" s="79"/>
      <c r="DT486" s="79"/>
      <c r="DU486" s="75" t="str">
        <f t="shared" si="310"/>
        <v>No aplica</v>
      </c>
      <c r="DV486" s="79" t="s">
        <v>182</v>
      </c>
      <c r="DW486" s="79" t="s">
        <v>182</v>
      </c>
      <c r="DX486" s="79"/>
      <c r="DY486" s="79"/>
      <c r="DZ486" s="79"/>
      <c r="EA486" s="79"/>
      <c r="EB486" s="79" t="s">
        <v>182</v>
      </c>
      <c r="EC486" s="79" t="s">
        <v>3428</v>
      </c>
      <c r="ED486" s="79" t="s">
        <v>184</v>
      </c>
      <c r="EE486" s="79" t="str">
        <f t="shared" si="326"/>
        <v>Completo</v>
      </c>
      <c r="EF486" s="41"/>
      <c r="EG486" s="79" t="s">
        <v>153</v>
      </c>
      <c r="EH486" s="71"/>
      <c r="EI486" s="80"/>
      <c r="EJ486" s="71"/>
      <c r="EK486" s="79"/>
      <c r="EL486" s="76" t="str">
        <f t="shared" si="297"/>
        <v>No requiere</v>
      </c>
      <c r="EM486" s="76" t="str">
        <f t="shared" si="298"/>
        <v>No requiere</v>
      </c>
      <c r="EN486" s="76" t="str">
        <f t="shared" si="269"/>
        <v>No requiere</v>
      </c>
      <c r="EO486" s="71"/>
      <c r="EP486" s="73" t="str">
        <f t="shared" si="299"/>
        <v>No requiere</v>
      </c>
      <c r="EQ486" s="77" t="str">
        <f t="shared" si="300"/>
        <v>No requiere</v>
      </c>
      <c r="ER486" s="71"/>
      <c r="ES486" s="79"/>
      <c r="ET486" s="73" t="str">
        <f t="shared" si="301"/>
        <v>No requiere</v>
      </c>
      <c r="EU486" s="73" t="str">
        <f t="shared" si="270"/>
        <v>No requiere</v>
      </c>
      <c r="EV486" s="73" t="str">
        <f t="shared" si="302"/>
        <v>No requiere</v>
      </c>
      <c r="EW486" s="73" t="str">
        <f t="shared" si="303"/>
        <v>No requiere</v>
      </c>
      <c r="EX486" s="78"/>
      <c r="EY486" s="78"/>
    </row>
    <row r="487" spans="1:155" ht="46.5" customHeight="1">
      <c r="A487" s="79">
        <v>483</v>
      </c>
      <c r="B487" s="80" t="s">
        <v>3429</v>
      </c>
      <c r="C487" s="81">
        <v>45437</v>
      </c>
      <c r="D487" s="82">
        <v>0.41666666666666669</v>
      </c>
      <c r="E487" s="79" t="s">
        <v>151</v>
      </c>
      <c r="F487" s="79" t="s">
        <v>153</v>
      </c>
      <c r="G487" s="79" t="s">
        <v>153</v>
      </c>
      <c r="H487" s="79" t="s">
        <v>153</v>
      </c>
      <c r="I487" s="79" t="s">
        <v>152</v>
      </c>
      <c r="J487" s="79" t="s">
        <v>1711</v>
      </c>
      <c r="K487" s="79" t="s">
        <v>155</v>
      </c>
      <c r="L487" s="80" t="s">
        <v>3430</v>
      </c>
      <c r="M487" s="80" t="s">
        <v>229</v>
      </c>
      <c r="N487" s="79" t="s">
        <v>887</v>
      </c>
      <c r="O487" s="80" t="str">
        <f t="shared" si="293"/>
        <v>Diego Nicolás Gutiérrez, Yeiker Guerra Sarmiento, Joan Sebastian García, Germán Ramón Jacome</v>
      </c>
      <c r="P487" s="79" t="s">
        <v>888</v>
      </c>
      <c r="Q487" s="79" t="s">
        <v>163</v>
      </c>
      <c r="R487" s="79" t="s">
        <v>728</v>
      </c>
      <c r="S487" s="79" t="s">
        <v>525</v>
      </c>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t="s">
        <v>230</v>
      </c>
      <c r="AP487" s="79" t="s">
        <v>347</v>
      </c>
      <c r="AQ487" s="80" t="s">
        <v>1839</v>
      </c>
      <c r="AR487" s="83">
        <v>3013547532</v>
      </c>
      <c r="AS487" s="199" t="s">
        <v>1840</v>
      </c>
      <c r="AT487" s="80" t="str">
        <f t="shared" si="294"/>
        <v>Distrital</v>
      </c>
      <c r="AU487" s="79" t="s">
        <v>172</v>
      </c>
      <c r="AV487" s="79"/>
      <c r="AW487" s="79"/>
      <c r="AX487" s="79"/>
      <c r="AY487" s="79"/>
      <c r="AZ487" s="79"/>
      <c r="BA487" s="80" t="str">
        <f t="shared" si="295"/>
        <v>Distrital</v>
      </c>
      <c r="BB487" s="79" t="s">
        <v>172</v>
      </c>
      <c r="BC487" s="79"/>
      <c r="BD487" s="79"/>
      <c r="BE487" s="79"/>
      <c r="BF487" s="79"/>
      <c r="BG487" s="79"/>
      <c r="BH487" s="80" t="str">
        <f t="shared" si="296"/>
        <v>Distrital</v>
      </c>
      <c r="BI487" s="79" t="s">
        <v>172</v>
      </c>
      <c r="BJ487" s="79"/>
      <c r="BK487" s="79"/>
      <c r="BL487" s="79"/>
      <c r="BM487" s="79"/>
      <c r="BN487" s="79"/>
      <c r="BO487" s="79"/>
      <c r="BP487" s="79"/>
      <c r="BQ487" s="79"/>
      <c r="BR487" s="79"/>
      <c r="BS487" s="80" t="s">
        <v>3431</v>
      </c>
      <c r="BT487" s="80" t="s">
        <v>174</v>
      </c>
      <c r="BU487" s="80" t="s">
        <v>3432</v>
      </c>
      <c r="BV487" s="71"/>
      <c r="BW487" s="79" t="s">
        <v>152</v>
      </c>
      <c r="BX487" s="79" t="s">
        <v>179</v>
      </c>
      <c r="BY487" s="71"/>
      <c r="BZ487" s="79">
        <v>54</v>
      </c>
      <c r="CA487" s="79">
        <v>6</v>
      </c>
      <c r="CB487" s="79">
        <f t="shared" si="281"/>
        <v>60</v>
      </c>
      <c r="CC487" s="79" t="str">
        <f t="shared" si="316"/>
        <v>Ninguna</v>
      </c>
      <c r="CD487" s="79" t="s">
        <v>174</v>
      </c>
      <c r="CE487" s="79"/>
      <c r="CF487" s="79"/>
      <c r="CG487" s="83" t="s">
        <v>3433</v>
      </c>
      <c r="CH487" s="41"/>
      <c r="CI487" s="79" t="s">
        <v>153</v>
      </c>
      <c r="CJ487" s="71"/>
      <c r="CK487" s="79">
        <f>COUNTIF(CL487:CQ487,"*")</f>
        <v>1</v>
      </c>
      <c r="CL487" s="93" t="s">
        <v>3434</v>
      </c>
      <c r="CM487" s="79"/>
      <c r="CN487" s="79"/>
      <c r="CO487" s="79"/>
      <c r="CP487" s="79"/>
      <c r="CQ487" s="79"/>
      <c r="CR487" s="83" t="s">
        <v>390</v>
      </c>
      <c r="CS487" s="83"/>
      <c r="CT487" s="83"/>
      <c r="CU487" s="83"/>
      <c r="CV487" s="83"/>
      <c r="CW487" s="83"/>
      <c r="CX487" s="79" t="s">
        <v>153</v>
      </c>
      <c r="CY487" s="79">
        <v>1</v>
      </c>
      <c r="CZ487" s="79">
        <v>1</v>
      </c>
      <c r="DA487" s="79">
        <v>1</v>
      </c>
      <c r="DB487" s="84">
        <f>IFERROR(CY487/CK487,"")</f>
        <v>1</v>
      </c>
      <c r="DC487" s="41"/>
      <c r="DD487" s="79" t="s">
        <v>153</v>
      </c>
      <c r="DE487" s="71"/>
      <c r="DF487" s="85" t="s">
        <v>3435</v>
      </c>
      <c r="DG487" s="79">
        <v>478</v>
      </c>
      <c r="DH487" s="86" t="str">
        <f t="shared" si="325"/>
        <v>Completo</v>
      </c>
      <c r="DI487" s="79" t="s">
        <v>181</v>
      </c>
      <c r="DJ487" s="79" t="s">
        <v>182</v>
      </c>
      <c r="DK487" s="79" t="s">
        <v>153</v>
      </c>
      <c r="DL487" s="79">
        <v>0</v>
      </c>
      <c r="DM487" s="79">
        <v>0</v>
      </c>
      <c r="DN487" s="79" t="s">
        <v>182</v>
      </c>
      <c r="DO487" s="79" t="s">
        <v>179</v>
      </c>
      <c r="DP487" s="79" t="s">
        <v>182</v>
      </c>
      <c r="DQ487" s="79">
        <v>12</v>
      </c>
      <c r="DR487" s="75">
        <f t="shared" si="309"/>
        <v>0.74074074074074081</v>
      </c>
      <c r="DS487" s="79" t="s">
        <v>191</v>
      </c>
      <c r="DT487" s="79"/>
      <c r="DU487" s="75">
        <f t="shared" si="310"/>
        <v>0</v>
      </c>
      <c r="DV487" s="79" t="s">
        <v>182</v>
      </c>
      <c r="DW487" s="79" t="s">
        <v>191</v>
      </c>
      <c r="DX487" s="79">
        <v>0</v>
      </c>
      <c r="DY487" s="79" t="s">
        <v>179</v>
      </c>
      <c r="DZ487" s="79" t="s">
        <v>3436</v>
      </c>
      <c r="EA487" s="79" t="s">
        <v>179</v>
      </c>
      <c r="EB487" s="79" t="s">
        <v>191</v>
      </c>
      <c r="EC487" s="79"/>
      <c r="ED487" s="79" t="s">
        <v>1743</v>
      </c>
      <c r="EE487" s="79" t="str">
        <f>IF(DI487="Subsanado","Completo","Por Completar")</f>
        <v>Completo</v>
      </c>
      <c r="EF487" s="41"/>
      <c r="EG487" s="79" t="s">
        <v>153</v>
      </c>
      <c r="EH487" s="71"/>
      <c r="EI487" s="199" t="s">
        <v>3437</v>
      </c>
      <c r="EJ487" s="71"/>
      <c r="EK487" s="79" t="s">
        <v>409</v>
      </c>
      <c r="EL487" s="76" t="str">
        <f t="shared" si="297"/>
        <v>No</v>
      </c>
      <c r="EM487" s="76" t="str">
        <f t="shared" si="298"/>
        <v>No aplica</v>
      </c>
      <c r="EN487" s="76" t="str">
        <f t="shared" si="269"/>
        <v>No</v>
      </c>
      <c r="EO487" s="71"/>
      <c r="EP487" s="73" t="str">
        <f t="shared" si="299"/>
        <v>No aplica</v>
      </c>
      <c r="EQ487" s="77">
        <f t="shared" si="300"/>
        <v>0</v>
      </c>
      <c r="ER487" s="71"/>
      <c r="ES487" s="79" t="s">
        <v>409</v>
      </c>
      <c r="ET487" s="73">
        <f t="shared" si="301"/>
        <v>0.66666666666666663</v>
      </c>
      <c r="EU487" s="73">
        <f t="shared" si="270"/>
        <v>1</v>
      </c>
      <c r="EV487" s="73">
        <f t="shared" si="302"/>
        <v>1</v>
      </c>
      <c r="EW487" s="73" t="str">
        <f t="shared" si="303"/>
        <v>No aplica</v>
      </c>
      <c r="EX487" s="78"/>
      <c r="EY487" s="78"/>
    </row>
    <row r="488" spans="1:155" ht="46.5" customHeight="1">
      <c r="A488" s="97">
        <v>484</v>
      </c>
      <c r="B488" s="80" t="s">
        <v>3035</v>
      </c>
      <c r="C488" s="99">
        <v>45437</v>
      </c>
      <c r="D488" s="100">
        <v>0.625</v>
      </c>
      <c r="E488" s="97" t="s">
        <v>151</v>
      </c>
      <c r="F488" s="97" t="s">
        <v>153</v>
      </c>
      <c r="G488" s="97" t="s">
        <v>152</v>
      </c>
      <c r="H488" s="97" t="s">
        <v>152</v>
      </c>
      <c r="I488" s="97" t="s">
        <v>152</v>
      </c>
      <c r="J488" s="97" t="s">
        <v>154</v>
      </c>
      <c r="K488" s="97" t="s">
        <v>155</v>
      </c>
      <c r="L488" s="98" t="s">
        <v>3438</v>
      </c>
      <c r="M488" s="98" t="s">
        <v>303</v>
      </c>
      <c r="N488" s="97" t="s">
        <v>506</v>
      </c>
      <c r="O488" s="80" t="str">
        <f t="shared" si="293"/>
        <v>Sebastian Potes Buitrago, Disney Sánchez, Ana María Gualy, Juan Pablo Serna, Derly Adriana Castillo</v>
      </c>
      <c r="P488" s="97" t="s">
        <v>545</v>
      </c>
      <c r="Q488" s="97" t="s">
        <v>721</v>
      </c>
      <c r="R488" s="97" t="s">
        <v>821</v>
      </c>
      <c r="S488" s="97" t="s">
        <v>818</v>
      </c>
      <c r="T488" s="97" t="s">
        <v>526</v>
      </c>
      <c r="U488" s="97"/>
      <c r="V488" s="97"/>
      <c r="W488" s="97"/>
      <c r="X488" s="97"/>
      <c r="Y488" s="97"/>
      <c r="Z488" s="97"/>
      <c r="AA488" s="97"/>
      <c r="AB488" s="97"/>
      <c r="AC488" s="97"/>
      <c r="AD488" s="97"/>
      <c r="AE488" s="97"/>
      <c r="AF488" s="97"/>
      <c r="AG488" s="97"/>
      <c r="AH488" s="97"/>
      <c r="AI488" s="97"/>
      <c r="AJ488" s="97"/>
      <c r="AK488" s="97"/>
      <c r="AL488" s="97"/>
      <c r="AM488" s="97"/>
      <c r="AN488" s="97"/>
      <c r="AO488" s="97" t="s">
        <v>169</v>
      </c>
      <c r="AP488" s="97" t="s">
        <v>475</v>
      </c>
      <c r="AQ488" s="98" t="s">
        <v>171</v>
      </c>
      <c r="AR488" s="101" t="s">
        <v>171</v>
      </c>
      <c r="AS488" s="98" t="s">
        <v>171</v>
      </c>
      <c r="AT488" s="80" t="str">
        <f t="shared" si="294"/>
        <v>Distrital</v>
      </c>
      <c r="AU488" s="97" t="s">
        <v>172</v>
      </c>
      <c r="AV488" s="97"/>
      <c r="AW488" s="97"/>
      <c r="AX488" s="97"/>
      <c r="AY488" s="97"/>
      <c r="AZ488" s="97"/>
      <c r="BA488" s="80" t="str">
        <f t="shared" si="295"/>
        <v>Distrital</v>
      </c>
      <c r="BB488" s="97" t="s">
        <v>172</v>
      </c>
      <c r="BC488" s="97"/>
      <c r="BD488" s="97"/>
      <c r="BE488" s="97"/>
      <c r="BF488" s="97"/>
      <c r="BG488" s="97"/>
      <c r="BH488" s="80" t="str">
        <f t="shared" si="296"/>
        <v>Distrital</v>
      </c>
      <c r="BI488" s="97" t="s">
        <v>172</v>
      </c>
      <c r="BJ488" s="97"/>
      <c r="BK488" s="97"/>
      <c r="BL488" s="97"/>
      <c r="BM488" s="97"/>
      <c r="BN488" s="97"/>
      <c r="BO488" s="97"/>
      <c r="BP488" s="97"/>
      <c r="BQ488" s="97"/>
      <c r="BR488" s="97"/>
      <c r="BS488" s="98" t="s">
        <v>2598</v>
      </c>
      <c r="BT488" s="98" t="s">
        <v>174</v>
      </c>
      <c r="BU488" s="98" t="s">
        <v>2599</v>
      </c>
      <c r="BV488" s="102"/>
      <c r="BW488" s="97" t="s">
        <v>153</v>
      </c>
      <c r="BX488" s="97" t="s">
        <v>2600</v>
      </c>
      <c r="BY488" s="102"/>
      <c r="BZ488" s="97">
        <v>350</v>
      </c>
      <c r="CA488" s="97">
        <v>6</v>
      </c>
      <c r="CB488" s="97">
        <f>BZ488+CA488</f>
        <v>356</v>
      </c>
      <c r="CC488" s="79" t="str">
        <f t="shared" si="316"/>
        <v>No Aplica</v>
      </c>
      <c r="CD488" s="97" t="s">
        <v>177</v>
      </c>
      <c r="CE488" s="97"/>
      <c r="CF488" s="97"/>
      <c r="CG488" s="101" t="s">
        <v>3439</v>
      </c>
      <c r="CH488" s="103"/>
      <c r="CI488" s="97" t="s">
        <v>153</v>
      </c>
      <c r="CJ488" s="102"/>
      <c r="CK488" s="97">
        <f>COUNTIF(CL488:CQ488,"*")</f>
        <v>0</v>
      </c>
      <c r="CL488" s="97"/>
      <c r="CM488" s="97"/>
      <c r="CN488" s="97"/>
      <c r="CO488" s="97"/>
      <c r="CP488" s="97"/>
      <c r="CQ488" s="97"/>
      <c r="CR488" s="101" t="s">
        <v>179</v>
      </c>
      <c r="CS488" s="101" t="s">
        <v>179</v>
      </c>
      <c r="CT488" s="101" t="s">
        <v>179</v>
      </c>
      <c r="CU488" s="101" t="s">
        <v>179</v>
      </c>
      <c r="CV488" s="101" t="s">
        <v>179</v>
      </c>
      <c r="CW488" s="101" t="s">
        <v>179</v>
      </c>
      <c r="CX488" s="97" t="s">
        <v>153</v>
      </c>
      <c r="CY488" s="97">
        <f>SUM(COUNTIF(CR488:CW488,"Realizado y Devuelto a la Ciudadanía"),COUNTIF(CR488:CW488,"Realizado y Trasladado por competencia"), COUNTIF(CR488:CW488,"Realizado y Gestionado"))</f>
        <v>0</v>
      </c>
      <c r="CZ488" s="97">
        <v>0</v>
      </c>
      <c r="DA488" s="97">
        <f>COUNTIF(CR488:CW488,"Realizado y Devuelto a la Ciudadanía")</f>
        <v>0</v>
      </c>
      <c r="DB488" s="104" t="str">
        <f>IFERROR(CY488/CK488,"")</f>
        <v/>
      </c>
      <c r="DC488" s="103"/>
      <c r="DD488" s="97" t="s">
        <v>153</v>
      </c>
      <c r="DE488" s="71"/>
      <c r="DF488" s="85" t="s">
        <v>3440</v>
      </c>
      <c r="DG488" s="79">
        <v>476</v>
      </c>
      <c r="DH488" s="96" t="str">
        <f t="shared" si="325"/>
        <v>Completo</v>
      </c>
      <c r="DI488" s="97" t="s">
        <v>181</v>
      </c>
      <c r="DJ488" s="97" t="s">
        <v>182</v>
      </c>
      <c r="DK488" s="97"/>
      <c r="DL488" s="97">
        <v>0</v>
      </c>
      <c r="DM488" s="97">
        <v>0</v>
      </c>
      <c r="DN488" s="97" t="s">
        <v>182</v>
      </c>
      <c r="DO488" s="97"/>
      <c r="DP488" s="97"/>
      <c r="DQ488" s="97"/>
      <c r="DR488" s="75" t="str">
        <f t="shared" si="309"/>
        <v>No aplica</v>
      </c>
      <c r="DS488" s="97"/>
      <c r="DT488" s="97"/>
      <c r="DU488" s="75" t="str">
        <f t="shared" si="310"/>
        <v>No aplica</v>
      </c>
      <c r="DV488" s="97" t="s">
        <v>182</v>
      </c>
      <c r="DW488" s="97"/>
      <c r="DX488" s="97"/>
      <c r="DY488" s="97"/>
      <c r="DZ488" s="97"/>
      <c r="EA488" s="97"/>
      <c r="EB488" s="97" t="s">
        <v>182</v>
      </c>
      <c r="EC488" s="97" t="s">
        <v>3441</v>
      </c>
      <c r="ED488" s="97" t="s">
        <v>184</v>
      </c>
      <c r="EE488" s="79" t="str">
        <f t="shared" ref="EE488" si="331">IF(DI488="Subsanado","Completo","Por Completar")</f>
        <v>Completo</v>
      </c>
      <c r="EF488" s="103"/>
      <c r="EG488" s="97" t="s">
        <v>153</v>
      </c>
      <c r="EH488" s="102"/>
      <c r="EI488" s="98"/>
      <c r="EJ488" s="102"/>
      <c r="EK488" s="97"/>
      <c r="EL488" s="76" t="str">
        <f t="shared" si="297"/>
        <v>No requiere</v>
      </c>
      <c r="EM488" s="76" t="str">
        <f t="shared" si="298"/>
        <v>No requiere</v>
      </c>
      <c r="EN488" s="76" t="str">
        <f t="shared" si="269"/>
        <v>No requiere</v>
      </c>
      <c r="EO488" s="71"/>
      <c r="EP488" s="73" t="str">
        <f t="shared" si="299"/>
        <v>No requiere</v>
      </c>
      <c r="EQ488" s="77" t="str">
        <f t="shared" si="300"/>
        <v>No requiere</v>
      </c>
      <c r="ER488" s="102"/>
      <c r="ES488" s="97"/>
      <c r="ET488" s="73" t="str">
        <f t="shared" si="301"/>
        <v>No requiere</v>
      </c>
      <c r="EU488" s="73" t="str">
        <f t="shared" si="270"/>
        <v>No requiere</v>
      </c>
      <c r="EV488" s="73" t="str">
        <f t="shared" si="302"/>
        <v>No requiere</v>
      </c>
      <c r="EW488" s="73" t="str">
        <f t="shared" si="303"/>
        <v>No requiere</v>
      </c>
      <c r="EX488" s="105"/>
      <c r="EY488" s="105"/>
    </row>
    <row r="489" spans="1:155" ht="46.5" customHeight="1">
      <c r="A489" s="79">
        <v>485</v>
      </c>
      <c r="B489" s="80" t="s">
        <v>3442</v>
      </c>
      <c r="C489" s="81">
        <v>45437</v>
      </c>
      <c r="D489" s="82">
        <v>0.70833333333333337</v>
      </c>
      <c r="E489" s="79" t="s">
        <v>853</v>
      </c>
      <c r="F489" s="79" t="s">
        <v>153</v>
      </c>
      <c r="G489" s="79" t="s">
        <v>152</v>
      </c>
      <c r="H489" s="79" t="s">
        <v>152</v>
      </c>
      <c r="I489" s="79" t="s">
        <v>152</v>
      </c>
      <c r="J489" s="79" t="s">
        <v>2201</v>
      </c>
      <c r="K489" s="79" t="s">
        <v>155</v>
      </c>
      <c r="L489" s="80" t="s">
        <v>3443</v>
      </c>
      <c r="M489" s="80" t="s">
        <v>241</v>
      </c>
      <c r="N489" s="79" t="s">
        <v>195</v>
      </c>
      <c r="O489" s="80" t="str">
        <f t="shared" si="293"/>
        <v>Renata Rengifo Moyano, Joan Sebastian García</v>
      </c>
      <c r="P489" s="79" t="s">
        <v>1066</v>
      </c>
      <c r="Q489" s="79" t="s">
        <v>728</v>
      </c>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t="s">
        <v>304</v>
      </c>
      <c r="AP489" s="79"/>
      <c r="AQ489" s="80" t="s">
        <v>3444</v>
      </c>
      <c r="AR489" s="83" t="s">
        <v>171</v>
      </c>
      <c r="AS489" s="80" t="s">
        <v>3445</v>
      </c>
      <c r="AT489" s="80" t="str">
        <f t="shared" si="294"/>
        <v>Distrital</v>
      </c>
      <c r="AU489" s="79" t="s">
        <v>172</v>
      </c>
      <c r="AV489" s="79"/>
      <c r="AW489" s="79"/>
      <c r="AX489" s="79"/>
      <c r="AY489" s="79"/>
      <c r="AZ489" s="79"/>
      <c r="BA489" s="80" t="str">
        <f t="shared" si="295"/>
        <v>Distrital</v>
      </c>
      <c r="BB489" s="79" t="s">
        <v>172</v>
      </c>
      <c r="BC489" s="79"/>
      <c r="BD489" s="79"/>
      <c r="BE489" s="79"/>
      <c r="BF489" s="79"/>
      <c r="BG489" s="79"/>
      <c r="BH489" s="80" t="str">
        <f t="shared" si="296"/>
        <v>Distrital</v>
      </c>
      <c r="BI489" s="79" t="s">
        <v>172</v>
      </c>
      <c r="BJ489" s="79"/>
      <c r="BK489" s="79"/>
      <c r="BL489" s="79"/>
      <c r="BM489" s="79"/>
      <c r="BN489" s="79"/>
      <c r="BO489" s="79"/>
      <c r="BP489" s="79"/>
      <c r="BQ489" s="79"/>
      <c r="BR489" s="79"/>
      <c r="BS489" s="80" t="s">
        <v>3446</v>
      </c>
      <c r="BT489" s="80" t="s">
        <v>174</v>
      </c>
      <c r="BU489" s="80" t="s">
        <v>3447</v>
      </c>
      <c r="BV489" s="71"/>
      <c r="BW489" s="79" t="s">
        <v>152</v>
      </c>
      <c r="BX489" s="79" t="s">
        <v>179</v>
      </c>
      <c r="BY489" s="71"/>
      <c r="BZ489" s="79">
        <v>100</v>
      </c>
      <c r="CA489" s="79">
        <v>2</v>
      </c>
      <c r="CB489" s="79">
        <f>BZ489+CA489</f>
        <v>102</v>
      </c>
      <c r="CC489" s="79" t="str">
        <f t="shared" si="316"/>
        <v>No Aplica</v>
      </c>
      <c r="CD489" s="79" t="s">
        <v>177</v>
      </c>
      <c r="CE489" s="79"/>
      <c r="CF489" s="79"/>
      <c r="CG489" s="83" t="s">
        <v>2907</v>
      </c>
      <c r="CH489" s="41"/>
      <c r="CI489" s="79" t="s">
        <v>153</v>
      </c>
      <c r="CJ489" s="71"/>
      <c r="CK489" s="79">
        <f>COUNTIF(CL489:CQ489,"*")</f>
        <v>0</v>
      </c>
      <c r="CL489" s="79"/>
      <c r="CM489" s="79"/>
      <c r="CN489" s="79"/>
      <c r="CO489" s="79"/>
      <c r="CP489" s="79"/>
      <c r="CQ489" s="79"/>
      <c r="CR489" s="83" t="s">
        <v>179</v>
      </c>
      <c r="CS489" s="83" t="s">
        <v>179</v>
      </c>
      <c r="CT489" s="83" t="s">
        <v>179</v>
      </c>
      <c r="CU489" s="83" t="s">
        <v>179</v>
      </c>
      <c r="CV489" s="83" t="s">
        <v>179</v>
      </c>
      <c r="CW489" s="83" t="s">
        <v>179</v>
      </c>
      <c r="CX489" s="79" t="s">
        <v>153</v>
      </c>
      <c r="CY489" s="79">
        <f>SUM(COUNTIF(CR489:CW489,"Realizado y Devuelto a la Ciudadanía"),COUNTIF(CR489:CW489,"Realizado y Trasladado por competencia"), COUNTIF(CR489:CW489,"Realizado y Gestionado"))</f>
        <v>0</v>
      </c>
      <c r="CZ489" s="79">
        <v>0</v>
      </c>
      <c r="DA489" s="79">
        <f>COUNTIF(CR489:CW489,"Realizado y Devuelto a la Ciudadanía")</f>
        <v>0</v>
      </c>
      <c r="DB489" s="84" t="str">
        <f>IFERROR(CY489/CK489,"")</f>
        <v/>
      </c>
      <c r="DC489" s="41"/>
      <c r="DD489" s="79" t="s">
        <v>153</v>
      </c>
      <c r="DE489" s="71"/>
      <c r="DF489" s="85" t="s">
        <v>3448</v>
      </c>
      <c r="DG489" s="79">
        <v>477</v>
      </c>
      <c r="DH489" s="86" t="str">
        <f t="shared" si="325"/>
        <v>Completo</v>
      </c>
      <c r="DI489" s="79" t="s">
        <v>181</v>
      </c>
      <c r="DJ489" s="79" t="s">
        <v>182</v>
      </c>
      <c r="DK489" s="79"/>
      <c r="DL489" s="79">
        <v>0</v>
      </c>
      <c r="DM489" s="79">
        <v>0</v>
      </c>
      <c r="DN489" s="79" t="s">
        <v>182</v>
      </c>
      <c r="DO489" s="79"/>
      <c r="DP489" s="79"/>
      <c r="DQ489" s="79"/>
      <c r="DR489" s="75" t="str">
        <f t="shared" si="309"/>
        <v>No aplica</v>
      </c>
      <c r="DS489" s="79"/>
      <c r="DT489" s="79"/>
      <c r="DU489" s="75" t="str">
        <f t="shared" si="310"/>
        <v>No aplica</v>
      </c>
      <c r="DV489" s="79" t="s">
        <v>182</v>
      </c>
      <c r="DW489" s="79" t="s">
        <v>182</v>
      </c>
      <c r="DX489" s="79"/>
      <c r="DY489" s="79"/>
      <c r="DZ489" s="79"/>
      <c r="EA489" s="79"/>
      <c r="EB489" s="79"/>
      <c r="EC489" s="79"/>
      <c r="ED489" s="79" t="s">
        <v>184</v>
      </c>
      <c r="EE489" s="79" t="str">
        <f>IF(DI489="Subsanado","Completo","Por Completar")</f>
        <v>Completo</v>
      </c>
      <c r="EF489" s="41"/>
      <c r="EG489" s="79" t="s">
        <v>153</v>
      </c>
      <c r="EH489" s="71"/>
      <c r="EI489" s="80"/>
      <c r="EJ489" s="71"/>
      <c r="EK489" s="79"/>
      <c r="EL489" s="76" t="str">
        <f t="shared" si="297"/>
        <v>No requiere</v>
      </c>
      <c r="EM489" s="76" t="str">
        <f t="shared" si="298"/>
        <v>No requiere</v>
      </c>
      <c r="EN489" s="76" t="str">
        <f t="shared" si="269"/>
        <v>No requiere</v>
      </c>
      <c r="EO489" s="71"/>
      <c r="EP489" s="73" t="str">
        <f t="shared" si="299"/>
        <v>No requiere</v>
      </c>
      <c r="EQ489" s="77" t="str">
        <f t="shared" si="300"/>
        <v>No requiere</v>
      </c>
      <c r="ER489" s="71"/>
      <c r="ES489" s="79"/>
      <c r="ET489" s="73" t="str">
        <f t="shared" si="301"/>
        <v>No requiere</v>
      </c>
      <c r="EU489" s="73" t="str">
        <f t="shared" si="270"/>
        <v>No requiere</v>
      </c>
      <c r="EV489" s="73" t="str">
        <f t="shared" si="302"/>
        <v>No requiere</v>
      </c>
      <c r="EW489" s="73" t="str">
        <f t="shared" si="303"/>
        <v>No requiere</v>
      </c>
      <c r="EX489" s="78"/>
      <c r="EY489" s="78"/>
    </row>
    <row r="490" spans="1:155" ht="46.5" customHeight="1">
      <c r="A490" s="79">
        <v>486</v>
      </c>
      <c r="B490" s="98" t="s">
        <v>3449</v>
      </c>
      <c r="C490" s="81">
        <v>45439</v>
      </c>
      <c r="D490" s="82">
        <v>0.375</v>
      </c>
      <c r="E490" s="79" t="s">
        <v>151</v>
      </c>
      <c r="F490" s="79" t="s">
        <v>153</v>
      </c>
      <c r="G490" s="79" t="s">
        <v>152</v>
      </c>
      <c r="H490" s="79" t="s">
        <v>152</v>
      </c>
      <c r="I490" s="79" t="s">
        <v>153</v>
      </c>
      <c r="J490" s="79" t="s">
        <v>3324</v>
      </c>
      <c r="K490" s="79" t="s">
        <v>155</v>
      </c>
      <c r="L490" s="80" t="s">
        <v>3450</v>
      </c>
      <c r="M490" s="80" t="s">
        <v>303</v>
      </c>
      <c r="N490" s="79" t="s">
        <v>818</v>
      </c>
      <c r="O490" s="80" t="str">
        <f t="shared" si="293"/>
        <v/>
      </c>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t="s">
        <v>230</v>
      </c>
      <c r="AP490" s="79" t="s">
        <v>231</v>
      </c>
      <c r="AQ490" s="80" t="s">
        <v>232</v>
      </c>
      <c r="AR490" s="83">
        <v>3228657280</v>
      </c>
      <c r="AS490" s="80" t="s">
        <v>3371</v>
      </c>
      <c r="AT490" s="80" t="str">
        <f t="shared" si="294"/>
        <v>Teusaquillo</v>
      </c>
      <c r="AU490" s="79" t="s">
        <v>1004</v>
      </c>
      <c r="AV490" s="79"/>
      <c r="AW490" s="79"/>
      <c r="AX490" s="79"/>
      <c r="AY490" s="79"/>
      <c r="AZ490" s="79"/>
      <c r="BA490" s="80" t="str">
        <f t="shared" si="295"/>
        <v>Centro Ampliado</v>
      </c>
      <c r="BB490" s="79" t="s">
        <v>636</v>
      </c>
      <c r="BC490" s="79"/>
      <c r="BD490" s="79"/>
      <c r="BE490" s="79"/>
      <c r="BF490" s="79"/>
      <c r="BG490" s="79"/>
      <c r="BH490" s="80" t="str">
        <f t="shared" si="296"/>
        <v>Teusaquillo</v>
      </c>
      <c r="BI490" s="79" t="s">
        <v>1004</v>
      </c>
      <c r="BJ490" s="79"/>
      <c r="BK490" s="79"/>
      <c r="BL490" s="79"/>
      <c r="BM490" s="79"/>
      <c r="BN490" s="79"/>
      <c r="BO490" s="79"/>
      <c r="BP490" s="79"/>
      <c r="BQ490" s="79"/>
      <c r="BR490" s="79"/>
      <c r="BS490" s="80" t="s">
        <v>3451</v>
      </c>
      <c r="BT490" s="80" t="s">
        <v>2362</v>
      </c>
      <c r="BU490" s="80" t="s">
        <v>3452</v>
      </c>
      <c r="BV490" s="71"/>
      <c r="BW490" s="79" t="s">
        <v>152</v>
      </c>
      <c r="BX490" s="79" t="s">
        <v>179</v>
      </c>
      <c r="BY490" s="71"/>
      <c r="BZ490" s="79">
        <v>3</v>
      </c>
      <c r="CA490" s="79">
        <v>5</v>
      </c>
      <c r="CB490" s="79">
        <f t="shared" si="281"/>
        <v>8</v>
      </c>
      <c r="CC490" s="79" t="str">
        <f t="shared" si="316"/>
        <v>Accesibilidad Universal, Horarios Acordes</v>
      </c>
      <c r="CD490" s="79" t="s">
        <v>397</v>
      </c>
      <c r="CE490" s="79" t="s">
        <v>351</v>
      </c>
      <c r="CF490" s="79"/>
      <c r="CG490" s="83" t="s">
        <v>3453</v>
      </c>
      <c r="CH490" s="41"/>
      <c r="CI490" s="79" t="s">
        <v>153</v>
      </c>
      <c r="CJ490" s="71"/>
      <c r="CK490" s="79">
        <f t="shared" ref="CK490" si="332">COUNTIF(CL490:CQ490,"*")</f>
        <v>0</v>
      </c>
      <c r="CL490" s="79"/>
      <c r="CM490" s="79"/>
      <c r="CN490" s="79"/>
      <c r="CO490" s="79"/>
      <c r="CP490" s="79"/>
      <c r="CQ490" s="79"/>
      <c r="CR490" s="83" t="s">
        <v>179</v>
      </c>
      <c r="CS490" s="83" t="s">
        <v>179</v>
      </c>
      <c r="CT490" s="83" t="s">
        <v>179</v>
      </c>
      <c r="CU490" s="83" t="s">
        <v>179</v>
      </c>
      <c r="CV490" s="83" t="s">
        <v>179</v>
      </c>
      <c r="CW490" s="83" t="s">
        <v>179</v>
      </c>
      <c r="CX490" s="79" t="s">
        <v>153</v>
      </c>
      <c r="CY490" s="79">
        <f t="shared" ref="CY490" si="333">SUM(COUNTIF(CR490:CW490,"Realizado y Devuelto a la Ciudadanía"),COUNTIF(CR490:CW490,"Realizado y Trasladado por competencia"), COUNTIF(CR490:CW490,"Realizado y Gestionado"))</f>
        <v>0</v>
      </c>
      <c r="CZ490" s="79">
        <v>0</v>
      </c>
      <c r="DA490" s="79">
        <f t="shared" ref="DA490" si="334">COUNTIF(CR490:CW490,"Realizado y Devuelto a la Ciudadanía")</f>
        <v>0</v>
      </c>
      <c r="DB490" s="84" t="str">
        <f t="shared" ref="DB490" si="335">IFERROR(CY490/CK490,"")</f>
        <v/>
      </c>
      <c r="DC490" s="41"/>
      <c r="DD490" s="79" t="s">
        <v>153</v>
      </c>
      <c r="DE490" s="71"/>
      <c r="DF490" s="85" t="s">
        <v>3454</v>
      </c>
      <c r="DG490" s="79">
        <v>480</v>
      </c>
      <c r="DH490" s="86" t="str">
        <f t="shared" si="325"/>
        <v>Completo</v>
      </c>
      <c r="DI490" s="79" t="s">
        <v>181</v>
      </c>
      <c r="DJ490" s="79" t="s">
        <v>182</v>
      </c>
      <c r="DK490" s="79"/>
      <c r="DL490" s="79">
        <v>0</v>
      </c>
      <c r="DM490" s="79">
        <v>0</v>
      </c>
      <c r="DN490" s="79" t="s">
        <v>182</v>
      </c>
      <c r="DO490" s="79"/>
      <c r="DP490" s="79"/>
      <c r="DQ490" s="79"/>
      <c r="DR490" s="75" t="str">
        <f t="shared" si="309"/>
        <v>No aplica</v>
      </c>
      <c r="DS490" s="79"/>
      <c r="DT490" s="79"/>
      <c r="DU490" s="75" t="str">
        <f t="shared" si="310"/>
        <v>No aplica</v>
      </c>
      <c r="DV490" s="79" t="s">
        <v>182</v>
      </c>
      <c r="DW490" s="79" t="s">
        <v>191</v>
      </c>
      <c r="DX490" s="79"/>
      <c r="DY490" s="79"/>
      <c r="DZ490" s="79"/>
      <c r="EA490" s="79"/>
      <c r="EB490" s="79" t="s">
        <v>191</v>
      </c>
      <c r="EC490" s="79"/>
      <c r="ED490" s="79" t="s">
        <v>184</v>
      </c>
      <c r="EE490" s="79" t="str">
        <f t="shared" ref="EE490" si="336">IF(DI490="Subsanado","Completo","Por Completar")</f>
        <v>Completo</v>
      </c>
      <c r="EF490" s="41"/>
      <c r="EG490" s="79" t="s">
        <v>153</v>
      </c>
      <c r="EH490" s="71"/>
      <c r="EI490" s="80"/>
      <c r="EJ490" s="71"/>
      <c r="EK490" s="79"/>
      <c r="EL490" s="76" t="str">
        <f t="shared" si="297"/>
        <v>No requiere</v>
      </c>
      <c r="EM490" s="76" t="str">
        <f t="shared" si="298"/>
        <v>No requiere</v>
      </c>
      <c r="EN490" s="76" t="str">
        <f t="shared" si="269"/>
        <v>No requiere</v>
      </c>
      <c r="EO490" s="71"/>
      <c r="EP490" s="73" t="str">
        <f t="shared" si="299"/>
        <v>No requiere</v>
      </c>
      <c r="EQ490" s="77" t="str">
        <f t="shared" si="300"/>
        <v>No requiere</v>
      </c>
      <c r="ER490" s="71"/>
      <c r="ES490" s="79"/>
      <c r="ET490" s="73" t="str">
        <f t="shared" si="301"/>
        <v>No requiere</v>
      </c>
      <c r="EU490" s="73" t="str">
        <f t="shared" si="270"/>
        <v>No requiere</v>
      </c>
      <c r="EV490" s="73" t="str">
        <f t="shared" si="302"/>
        <v>No requiere</v>
      </c>
      <c r="EW490" s="73" t="str">
        <f t="shared" si="303"/>
        <v>No requiere</v>
      </c>
      <c r="EX490" s="78"/>
      <c r="EY490" s="78"/>
    </row>
    <row r="491" spans="1:155" ht="46.5" customHeight="1">
      <c r="A491" s="79">
        <v>487</v>
      </c>
      <c r="B491" s="80" t="s">
        <v>3455</v>
      </c>
      <c r="C491" s="81">
        <v>45439</v>
      </c>
      <c r="D491" s="82">
        <v>0.41666666666666669</v>
      </c>
      <c r="E491" s="79" t="s">
        <v>151</v>
      </c>
      <c r="F491" s="79" t="s">
        <v>153</v>
      </c>
      <c r="G491" s="79" t="s">
        <v>153</v>
      </c>
      <c r="H491" s="79" t="s">
        <v>152</v>
      </c>
      <c r="I491" s="79" t="s">
        <v>152</v>
      </c>
      <c r="J491" s="79" t="s">
        <v>1711</v>
      </c>
      <c r="K491" s="79" t="s">
        <v>202</v>
      </c>
      <c r="L491" s="80" t="s">
        <v>3456</v>
      </c>
      <c r="M491" s="80" t="s">
        <v>157</v>
      </c>
      <c r="N491" s="79" t="s">
        <v>163</v>
      </c>
      <c r="O491" s="80" t="str">
        <f t="shared" si="293"/>
        <v/>
      </c>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t="s">
        <v>169</v>
      </c>
      <c r="AP491" s="79"/>
      <c r="AQ491" s="80" t="s">
        <v>1920</v>
      </c>
      <c r="AR491" s="83">
        <v>3188153382</v>
      </c>
      <c r="AS491" s="80" t="s">
        <v>1921</v>
      </c>
      <c r="AT491" s="80" t="str">
        <f t="shared" si="294"/>
        <v>Distrital</v>
      </c>
      <c r="AU491" s="79" t="s">
        <v>172</v>
      </c>
      <c r="AV491" s="79"/>
      <c r="AW491" s="79"/>
      <c r="AX491" s="79"/>
      <c r="AY491" s="79"/>
      <c r="AZ491" s="79"/>
      <c r="BA491" s="80" t="str">
        <f t="shared" si="295"/>
        <v>Distrital</v>
      </c>
      <c r="BB491" s="79" t="s">
        <v>172</v>
      </c>
      <c r="BC491" s="79"/>
      <c r="BD491" s="79"/>
      <c r="BE491" s="79"/>
      <c r="BF491" s="79"/>
      <c r="BG491" s="79"/>
      <c r="BH491" s="80" t="str">
        <f t="shared" si="296"/>
        <v>Distrital</v>
      </c>
      <c r="BI491" s="79" t="s">
        <v>172</v>
      </c>
      <c r="BJ491" s="79"/>
      <c r="BK491" s="79"/>
      <c r="BL491" s="79"/>
      <c r="BM491" s="79"/>
      <c r="BN491" s="79"/>
      <c r="BO491" s="79"/>
      <c r="BP491" s="79"/>
      <c r="BQ491" s="79"/>
      <c r="BR491" s="79"/>
      <c r="BS491" s="80" t="s">
        <v>288</v>
      </c>
      <c r="BT491" s="80" t="s">
        <v>174</v>
      </c>
      <c r="BU491" s="89" t="s">
        <v>3457</v>
      </c>
      <c r="BV491" s="71"/>
      <c r="BW491" s="79" t="s">
        <v>152</v>
      </c>
      <c r="BX491" s="79" t="s">
        <v>179</v>
      </c>
      <c r="BY491" s="71"/>
      <c r="BZ491" s="79">
        <v>3</v>
      </c>
      <c r="CA491" s="79">
        <v>3</v>
      </c>
      <c r="CB491" s="79">
        <f t="shared" si="281"/>
        <v>6</v>
      </c>
      <c r="CC491" s="79" t="str">
        <f t="shared" si="316"/>
        <v>Ninguna</v>
      </c>
      <c r="CD491" s="79" t="s">
        <v>174</v>
      </c>
      <c r="CE491" s="79"/>
      <c r="CF491" s="79"/>
      <c r="CG491" s="83" t="s">
        <v>3458</v>
      </c>
      <c r="CH491" s="41"/>
      <c r="CI491" s="79" t="s">
        <v>153</v>
      </c>
      <c r="CJ491" s="71"/>
      <c r="CK491" s="79"/>
      <c r="CL491" s="79"/>
      <c r="CM491" s="79"/>
      <c r="CN491" s="79"/>
      <c r="CO491" s="79"/>
      <c r="CP491" s="79"/>
      <c r="CQ491" s="79"/>
      <c r="CR491" s="83" t="s">
        <v>179</v>
      </c>
      <c r="CS491" s="83" t="s">
        <v>179</v>
      </c>
      <c r="CT491" s="83" t="s">
        <v>179</v>
      </c>
      <c r="CU491" s="83" t="s">
        <v>179</v>
      </c>
      <c r="CV491" s="83" t="s">
        <v>179</v>
      </c>
      <c r="CW491" s="83" t="s">
        <v>179</v>
      </c>
      <c r="CX491" s="79" t="s">
        <v>153</v>
      </c>
      <c r="CY491" s="79">
        <v>0</v>
      </c>
      <c r="CZ491" s="79">
        <v>0</v>
      </c>
      <c r="DA491" s="79">
        <v>0</v>
      </c>
      <c r="DB491" s="84"/>
      <c r="DC491" s="41"/>
      <c r="DD491" s="79" t="s">
        <v>153</v>
      </c>
      <c r="DE491" s="71"/>
      <c r="DF491" s="85" t="s">
        <v>3459</v>
      </c>
      <c r="DG491" s="79">
        <v>481</v>
      </c>
      <c r="DH491" s="86"/>
      <c r="DI491" s="79" t="s">
        <v>181</v>
      </c>
      <c r="DJ491" s="79" t="s">
        <v>182</v>
      </c>
      <c r="DK491" s="79"/>
      <c r="DL491" s="79"/>
      <c r="DM491" s="79"/>
      <c r="DN491" s="79" t="s">
        <v>182</v>
      </c>
      <c r="DO491" s="79"/>
      <c r="DP491" s="79"/>
      <c r="DQ491" s="79"/>
      <c r="DR491" s="75" t="str">
        <f t="shared" si="309"/>
        <v>No aplica</v>
      </c>
      <c r="DS491" s="79"/>
      <c r="DT491" s="79"/>
      <c r="DU491" s="75" t="str">
        <f t="shared" si="310"/>
        <v>No aplica</v>
      </c>
      <c r="DV491" s="79" t="s">
        <v>182</v>
      </c>
      <c r="DW491" s="79" t="s">
        <v>182</v>
      </c>
      <c r="DX491" s="79"/>
      <c r="DY491" s="79"/>
      <c r="DZ491" s="79"/>
      <c r="EA491" s="79"/>
      <c r="EB491" s="79"/>
      <c r="EC491" s="79"/>
      <c r="ED491" s="79" t="s">
        <v>184</v>
      </c>
      <c r="EE491" s="79"/>
      <c r="EF491" s="41"/>
      <c r="EG491" s="79" t="s">
        <v>153</v>
      </c>
      <c r="EH491" s="71"/>
      <c r="EI491" s="80"/>
      <c r="EJ491" s="71"/>
      <c r="EK491" s="79"/>
      <c r="EL491" s="76" t="str">
        <f t="shared" si="297"/>
        <v>No requiere</v>
      </c>
      <c r="EM491" s="76" t="str">
        <f t="shared" si="298"/>
        <v>No requiere</v>
      </c>
      <c r="EN491" s="76" t="str">
        <f t="shared" si="269"/>
        <v>No requiere</v>
      </c>
      <c r="EO491" s="71"/>
      <c r="EP491" s="73" t="str">
        <f t="shared" si="299"/>
        <v>No requiere</v>
      </c>
      <c r="EQ491" s="77" t="str">
        <f t="shared" si="300"/>
        <v>No requiere</v>
      </c>
      <c r="ER491" s="71"/>
      <c r="ES491" s="79"/>
      <c r="ET491" s="73" t="str">
        <f t="shared" si="301"/>
        <v>No requiere</v>
      </c>
      <c r="EU491" s="73" t="str">
        <f t="shared" si="270"/>
        <v>No requiere</v>
      </c>
      <c r="EV491" s="73" t="str">
        <f t="shared" si="302"/>
        <v>No requiere</v>
      </c>
      <c r="EW491" s="73" t="str">
        <f t="shared" si="303"/>
        <v>No requiere</v>
      </c>
      <c r="EX491" s="78"/>
      <c r="EY491" s="78"/>
    </row>
    <row r="492" spans="1:155" ht="46.5" customHeight="1">
      <c r="A492" s="79" t="str">
        <v/>
      </c>
      <c r="B492" s="80" t="s">
        <v>3460</v>
      </c>
      <c r="C492" s="81">
        <v>45439</v>
      </c>
      <c r="D492" s="82">
        <v>0.60416666666666663</v>
      </c>
      <c r="E492" s="79" t="s">
        <v>151</v>
      </c>
      <c r="F492" s="79" t="s">
        <v>152</v>
      </c>
      <c r="G492" s="79" t="s">
        <v>153</v>
      </c>
      <c r="H492" s="79" t="s">
        <v>152</v>
      </c>
      <c r="I492" s="79" t="s">
        <v>152</v>
      </c>
      <c r="J492" s="79" t="s">
        <v>251</v>
      </c>
      <c r="K492" s="79" t="s">
        <v>155</v>
      </c>
      <c r="L492" s="80" t="s">
        <v>3461</v>
      </c>
      <c r="M492" s="80" t="s">
        <v>157</v>
      </c>
      <c r="N492" s="79" t="s">
        <v>346</v>
      </c>
      <c r="O492" s="80" t="str">
        <f t="shared" si="293"/>
        <v>Manuel Fernando Vergara, Nancy Stella Villa , Luis Fernando Barreto , Juan Pablo Serna, Maria Angélica Higuera, Paola Andrea González</v>
      </c>
      <c r="P492" s="79" t="s">
        <v>820</v>
      </c>
      <c r="Q492" s="79" t="s">
        <v>1611</v>
      </c>
      <c r="R492" s="79" t="s">
        <v>720</v>
      </c>
      <c r="S492" s="79" t="s">
        <v>818</v>
      </c>
      <c r="T492" s="79" t="s">
        <v>328</v>
      </c>
      <c r="U492" s="79" t="s">
        <v>924</v>
      </c>
      <c r="V492" s="79"/>
      <c r="W492" s="79"/>
      <c r="X492" s="79"/>
      <c r="Y492" s="79"/>
      <c r="Z492" s="79"/>
      <c r="AA492" s="79"/>
      <c r="AB492" s="79"/>
      <c r="AC492" s="79"/>
      <c r="AD492" s="79"/>
      <c r="AE492" s="79"/>
      <c r="AF492" s="79"/>
      <c r="AG492" s="79"/>
      <c r="AH492" s="79"/>
      <c r="AI492" s="79"/>
      <c r="AJ492" s="79"/>
      <c r="AK492" s="79"/>
      <c r="AL492" s="79"/>
      <c r="AM492" s="79"/>
      <c r="AN492" s="79"/>
      <c r="AO492" s="79" t="s">
        <v>169</v>
      </c>
      <c r="AP492" s="79" t="s">
        <v>170</v>
      </c>
      <c r="AQ492" s="80" t="s">
        <v>171</v>
      </c>
      <c r="AR492" s="83" t="s">
        <v>171</v>
      </c>
      <c r="AS492" s="80" t="s">
        <v>171</v>
      </c>
      <c r="AT492" s="80" t="str">
        <f t="shared" si="294"/>
        <v>Distrital</v>
      </c>
      <c r="AU492" s="79" t="s">
        <v>172</v>
      </c>
      <c r="AV492" s="79"/>
      <c r="AW492" s="79"/>
      <c r="AX492" s="79"/>
      <c r="AY492" s="79"/>
      <c r="AZ492" s="79"/>
      <c r="BA492" s="80" t="str">
        <f t="shared" si="295"/>
        <v>Distrital</v>
      </c>
      <c r="BB492" s="79" t="s">
        <v>172</v>
      </c>
      <c r="BC492" s="79"/>
      <c r="BD492" s="79"/>
      <c r="BE492" s="79"/>
      <c r="BF492" s="79"/>
      <c r="BG492" s="79"/>
      <c r="BH492" s="80" t="str">
        <f t="shared" si="296"/>
        <v>Distrital</v>
      </c>
      <c r="BI492" s="79" t="s">
        <v>172</v>
      </c>
      <c r="BJ492" s="79"/>
      <c r="BK492" s="79"/>
      <c r="BL492" s="79"/>
      <c r="BM492" s="79"/>
      <c r="BN492" s="79"/>
      <c r="BO492" s="79"/>
      <c r="BP492" s="79"/>
      <c r="BQ492" s="79"/>
      <c r="BR492" s="79"/>
      <c r="BS492" s="80" t="s">
        <v>288</v>
      </c>
      <c r="BT492" s="80" t="s">
        <v>174</v>
      </c>
      <c r="BU492" s="80" t="s">
        <v>3462</v>
      </c>
      <c r="BV492" s="71"/>
      <c r="BW492" s="79" t="s">
        <v>152</v>
      </c>
      <c r="BX492" s="79" t="s">
        <v>179</v>
      </c>
      <c r="BY492" s="71"/>
      <c r="BZ492" s="79">
        <v>0</v>
      </c>
      <c r="CA492" s="79">
        <v>12</v>
      </c>
      <c r="CB492" s="79">
        <f>BZ492+CA492</f>
        <v>12</v>
      </c>
      <c r="CC492" s="79" t="str">
        <f t="shared" si="316"/>
        <v>Ninguna</v>
      </c>
      <c r="CD492" s="79" t="s">
        <v>174</v>
      </c>
      <c r="CE492" s="79"/>
      <c r="CF492" s="79"/>
      <c r="CG492" s="83" t="s">
        <v>3463</v>
      </c>
      <c r="CH492" s="41"/>
      <c r="CI492" s="79" t="s">
        <v>153</v>
      </c>
      <c r="CJ492" s="71"/>
      <c r="CK492" s="79">
        <f>COUNTIF(CL492:CQ492,"*")</f>
        <v>0</v>
      </c>
      <c r="CL492" s="79"/>
      <c r="CM492" s="79"/>
      <c r="CN492" s="79"/>
      <c r="CO492" s="79"/>
      <c r="CP492" s="79"/>
      <c r="CQ492" s="79"/>
      <c r="CR492" s="83" t="s">
        <v>179</v>
      </c>
      <c r="CS492" s="83" t="s">
        <v>179</v>
      </c>
      <c r="CT492" s="83" t="s">
        <v>179</v>
      </c>
      <c r="CU492" s="83" t="s">
        <v>179</v>
      </c>
      <c r="CV492" s="83" t="s">
        <v>179</v>
      </c>
      <c r="CW492" s="83" t="s">
        <v>179</v>
      </c>
      <c r="CX492" s="79" t="s">
        <v>153</v>
      </c>
      <c r="CY492" s="79">
        <f>SUM(COUNTIF(CR492:CW492,"Realizado y Devuelto a la Ciudadanía"),COUNTIF(CR492:CW492,"Realizado y Trasladado por competencia"), COUNTIF(CR492:CW492,"Realizado y Gestionado"))</f>
        <v>0</v>
      </c>
      <c r="CZ492" s="79">
        <v>0</v>
      </c>
      <c r="DA492" s="79">
        <f>COUNTIF(CR492:CW492,"Realizado y Devuelto a la Ciudadanía")</f>
        <v>0</v>
      </c>
      <c r="DB492" s="84" t="str">
        <f>IFERROR(CY492/CK492,"")</f>
        <v/>
      </c>
      <c r="DC492" s="41"/>
      <c r="DD492" s="79" t="s">
        <v>153</v>
      </c>
      <c r="DE492" s="71"/>
      <c r="DF492" s="85" t="s">
        <v>3464</v>
      </c>
      <c r="DG492" s="79">
        <v>479</v>
      </c>
      <c r="DH492" s="86" t="str">
        <f>IF(EE492="Por completar",C492+3,"Completo")</f>
        <v>Completo</v>
      </c>
      <c r="DI492" s="79" t="s">
        <v>181</v>
      </c>
      <c r="DJ492" s="79" t="s">
        <v>182</v>
      </c>
      <c r="DK492" s="79"/>
      <c r="DL492" s="79">
        <v>0</v>
      </c>
      <c r="DM492" s="79">
        <v>0</v>
      </c>
      <c r="DN492" s="79" t="s">
        <v>182</v>
      </c>
      <c r="DO492" s="79"/>
      <c r="DP492" s="79"/>
      <c r="DQ492" s="79"/>
      <c r="DR492" s="75" t="str">
        <f t="shared" si="309"/>
        <v>No aplica</v>
      </c>
      <c r="DS492" s="79"/>
      <c r="DT492" s="79"/>
      <c r="DU492" s="75" t="str">
        <f t="shared" si="310"/>
        <v>No aplica</v>
      </c>
      <c r="DV492" s="79" t="s">
        <v>191</v>
      </c>
      <c r="DW492" s="79" t="s">
        <v>182</v>
      </c>
      <c r="DX492" s="79"/>
      <c r="DY492" s="79"/>
      <c r="DZ492" s="79"/>
      <c r="EA492" s="79"/>
      <c r="EB492" s="79" t="s">
        <v>182</v>
      </c>
      <c r="EC492" s="79" t="s">
        <v>3465</v>
      </c>
      <c r="ED492" s="79" t="s">
        <v>3466</v>
      </c>
      <c r="EE492" s="79" t="str">
        <f>IF(DI492="Subsanado","Completo","Por Completar")</f>
        <v>Completo</v>
      </c>
      <c r="EF492" s="41"/>
      <c r="EG492" s="79" t="s">
        <v>153</v>
      </c>
      <c r="EH492" s="71"/>
      <c r="EI492" s="80"/>
      <c r="EJ492" s="71"/>
      <c r="EK492" s="79"/>
      <c r="EL492" s="76" t="str">
        <f t="shared" si="297"/>
        <v>No requiere</v>
      </c>
      <c r="EM492" s="76" t="str">
        <f t="shared" si="298"/>
        <v>No requiere</v>
      </c>
      <c r="EN492" s="76" t="str">
        <f t="shared" si="269"/>
        <v>No requiere</v>
      </c>
      <c r="EO492" s="71"/>
      <c r="EP492" s="73" t="str">
        <f t="shared" si="299"/>
        <v>No requiere</v>
      </c>
      <c r="EQ492" s="77" t="str">
        <f t="shared" si="300"/>
        <v>No requiere</v>
      </c>
      <c r="ER492" s="71"/>
      <c r="ES492" s="79"/>
      <c r="ET492" s="73" t="str">
        <f t="shared" si="301"/>
        <v>No requiere</v>
      </c>
      <c r="EU492" s="73" t="str">
        <f t="shared" si="270"/>
        <v>No requiere</v>
      </c>
      <c r="EV492" s="73" t="str">
        <f t="shared" si="302"/>
        <v>No requiere</v>
      </c>
      <c r="EW492" s="73" t="str">
        <f t="shared" si="303"/>
        <v>No requiere</v>
      </c>
      <c r="EX492" s="78"/>
      <c r="EY492" s="78"/>
    </row>
    <row r="493" spans="1:155" ht="46.5" customHeight="1">
      <c r="A493" s="97">
        <v>489</v>
      </c>
      <c r="B493" s="80" t="s">
        <v>3028</v>
      </c>
      <c r="C493" s="99">
        <v>45440</v>
      </c>
      <c r="D493" s="100">
        <v>0.375</v>
      </c>
      <c r="E493" s="97" t="s">
        <v>151</v>
      </c>
      <c r="F493" s="97" t="s">
        <v>153</v>
      </c>
      <c r="G493" s="97" t="s">
        <v>152</v>
      </c>
      <c r="H493" s="97" t="s">
        <v>152</v>
      </c>
      <c r="I493" s="97" t="s">
        <v>152</v>
      </c>
      <c r="J493" s="97" t="s">
        <v>154</v>
      </c>
      <c r="K493" s="97" t="s">
        <v>155</v>
      </c>
      <c r="L493" s="98" t="s">
        <v>2844</v>
      </c>
      <c r="M493" s="98" t="s">
        <v>303</v>
      </c>
      <c r="N493" s="97" t="s">
        <v>1611</v>
      </c>
      <c r="O493" s="80" t="str">
        <f t="shared" si="293"/>
        <v>Luis Fernando Barreto , Juan Pablo Serna, Germán Ramón Jacome, Julio César Martínez</v>
      </c>
      <c r="P493" s="97" t="s">
        <v>720</v>
      </c>
      <c r="Q493" s="97" t="s">
        <v>818</v>
      </c>
      <c r="R493" s="97" t="s">
        <v>525</v>
      </c>
      <c r="S493" s="97" t="s">
        <v>601</v>
      </c>
      <c r="T493" s="97"/>
      <c r="U493" s="97"/>
      <c r="V493" s="97"/>
      <c r="W493" s="97"/>
      <c r="X493" s="97"/>
      <c r="Y493" s="97"/>
      <c r="Z493" s="97"/>
      <c r="AA493" s="97"/>
      <c r="AB493" s="97"/>
      <c r="AC493" s="97"/>
      <c r="AD493" s="97"/>
      <c r="AE493" s="97"/>
      <c r="AF493" s="97"/>
      <c r="AG493" s="97"/>
      <c r="AH493" s="97"/>
      <c r="AI493" s="97"/>
      <c r="AJ493" s="97"/>
      <c r="AK493" s="97"/>
      <c r="AL493" s="97"/>
      <c r="AM493" s="97"/>
      <c r="AN493" s="97"/>
      <c r="AO493" s="97" t="s">
        <v>169</v>
      </c>
      <c r="AP493" s="97" t="s">
        <v>475</v>
      </c>
      <c r="AQ493" s="98" t="s">
        <v>171</v>
      </c>
      <c r="AR493" s="101" t="s">
        <v>171</v>
      </c>
      <c r="AS493" s="98" t="s">
        <v>171</v>
      </c>
      <c r="AT493" s="80" t="str">
        <f t="shared" si="294"/>
        <v>Distrital</v>
      </c>
      <c r="AU493" s="97" t="s">
        <v>172</v>
      </c>
      <c r="AV493" s="97"/>
      <c r="AW493" s="97"/>
      <c r="AX493" s="97"/>
      <c r="AY493" s="97"/>
      <c r="AZ493" s="97"/>
      <c r="BA493" s="80" t="str">
        <f t="shared" si="295"/>
        <v>Distrital</v>
      </c>
      <c r="BB493" s="97" t="s">
        <v>172</v>
      </c>
      <c r="BC493" s="97"/>
      <c r="BD493" s="97"/>
      <c r="BE493" s="97"/>
      <c r="BF493" s="97"/>
      <c r="BG493" s="97"/>
      <c r="BH493" s="80" t="str">
        <f t="shared" si="296"/>
        <v>Distrital</v>
      </c>
      <c r="BI493" s="97" t="s">
        <v>172</v>
      </c>
      <c r="BJ493" s="97"/>
      <c r="BK493" s="97"/>
      <c r="BL493" s="97"/>
      <c r="BM493" s="97"/>
      <c r="BN493" s="97"/>
      <c r="BO493" s="97"/>
      <c r="BP493" s="97"/>
      <c r="BQ493" s="97"/>
      <c r="BR493" s="97"/>
      <c r="BS493" s="98" t="s">
        <v>2598</v>
      </c>
      <c r="BT493" s="98" t="s">
        <v>174</v>
      </c>
      <c r="BU493" s="98" t="s">
        <v>2599</v>
      </c>
      <c r="BV493" s="102"/>
      <c r="BW493" s="97" t="s">
        <v>153</v>
      </c>
      <c r="BX493" s="97" t="s">
        <v>2600</v>
      </c>
      <c r="BY493" s="102"/>
      <c r="BZ493" s="97">
        <v>216</v>
      </c>
      <c r="CA493" s="97">
        <v>7</v>
      </c>
      <c r="CB493" s="97">
        <f t="shared" si="281"/>
        <v>223</v>
      </c>
      <c r="CC493" s="79" t="str">
        <f t="shared" si="316"/>
        <v>Lenguaje de señas, Horarios Acordes</v>
      </c>
      <c r="CD493" s="97" t="s">
        <v>349</v>
      </c>
      <c r="CE493" s="97" t="s">
        <v>351</v>
      </c>
      <c r="CF493" s="97"/>
      <c r="CG493" s="101" t="s">
        <v>3467</v>
      </c>
      <c r="CH493" s="103"/>
      <c r="CI493" s="97" t="s">
        <v>153</v>
      </c>
      <c r="CJ493" s="102"/>
      <c r="CK493" s="97"/>
      <c r="CL493" s="97"/>
      <c r="CM493" s="97"/>
      <c r="CN493" s="97"/>
      <c r="CO493" s="97"/>
      <c r="CP493" s="97"/>
      <c r="CQ493" s="97"/>
      <c r="CR493" s="83" t="s">
        <v>179</v>
      </c>
      <c r="CS493" s="83" t="s">
        <v>179</v>
      </c>
      <c r="CT493" s="83" t="s">
        <v>179</v>
      </c>
      <c r="CU493" s="83" t="s">
        <v>179</v>
      </c>
      <c r="CV493" s="83" t="s">
        <v>179</v>
      </c>
      <c r="CW493" s="83" t="s">
        <v>179</v>
      </c>
      <c r="CX493" s="97" t="s">
        <v>153</v>
      </c>
      <c r="CY493" s="79">
        <f t="shared" ref="CY493:CY494" si="337">SUM(COUNTIF(CR493:CW493,"Realizado y Devuelto a la Ciudadanía"),COUNTIF(CR493:CW493,"Realizado y Trasladado por competencia"), COUNTIF(CR493:CW493,"Realizado y Gestionado"))</f>
        <v>0</v>
      </c>
      <c r="CZ493" s="79">
        <v>0</v>
      </c>
      <c r="DA493" s="79">
        <f t="shared" ref="DA493:DA494" si="338">COUNTIF(CR493:CW493,"Realizado y Devuelto a la Ciudadanía")</f>
        <v>0</v>
      </c>
      <c r="DB493" s="104"/>
      <c r="DC493" s="103"/>
      <c r="DD493" s="97" t="s">
        <v>153</v>
      </c>
      <c r="DE493" s="71"/>
      <c r="DF493" s="85" t="s">
        <v>3468</v>
      </c>
      <c r="DG493" s="79">
        <v>482</v>
      </c>
      <c r="DH493" s="96" t="str">
        <f>IF(EE493="Por completar",C493+3,"Completo")</f>
        <v>Completo</v>
      </c>
      <c r="DI493" s="97" t="s">
        <v>181</v>
      </c>
      <c r="DJ493" s="97" t="s">
        <v>182</v>
      </c>
      <c r="DK493" s="97"/>
      <c r="DL493" s="97"/>
      <c r="DM493" s="97"/>
      <c r="DN493" s="97" t="s">
        <v>182</v>
      </c>
      <c r="DO493" s="97"/>
      <c r="DP493" s="97"/>
      <c r="DQ493" s="97"/>
      <c r="DR493" s="75" t="str">
        <f t="shared" si="309"/>
        <v>No aplica</v>
      </c>
      <c r="DS493" s="97"/>
      <c r="DT493" s="97"/>
      <c r="DU493" s="75" t="str">
        <f t="shared" si="310"/>
        <v>No aplica</v>
      </c>
      <c r="DV493" s="97" t="s">
        <v>182</v>
      </c>
      <c r="DW493" s="97" t="s">
        <v>191</v>
      </c>
      <c r="DX493" s="97"/>
      <c r="DY493" s="97"/>
      <c r="DZ493" s="97"/>
      <c r="EA493" s="97"/>
      <c r="EB493" s="97" t="s">
        <v>182</v>
      </c>
      <c r="EC493" s="97" t="s">
        <v>3469</v>
      </c>
      <c r="ED493" s="97" t="s">
        <v>184</v>
      </c>
      <c r="EE493" s="97" t="str">
        <f t="shared" ref="EE493:EE494" si="339">IF(DI493="Subsanado","Completo","Por Completar")</f>
        <v>Completo</v>
      </c>
      <c r="EF493" s="103"/>
      <c r="EG493" s="97" t="s">
        <v>153</v>
      </c>
      <c r="EH493" s="102"/>
      <c r="EI493" s="98"/>
      <c r="EJ493" s="102"/>
      <c r="EK493" s="97"/>
      <c r="EL493" s="76" t="str">
        <f t="shared" si="297"/>
        <v>No requiere</v>
      </c>
      <c r="EM493" s="76" t="str">
        <f t="shared" si="298"/>
        <v>No requiere</v>
      </c>
      <c r="EN493" s="76" t="str">
        <f t="shared" ref="EN493:EN541" si="340">IF(F493="NO","No requiere",IF(H493="No","No requiere",IF(CC493="","",IF(CD493&lt;&gt;"No aplica",IF(CD493&lt;&gt;"Ninguna",IF(COUNTIF(CD493:CF493,"*")&gt;=1,"Sí","No"),"No"),"No aplica"))))</f>
        <v>No requiere</v>
      </c>
      <c r="EO493" s="71"/>
      <c r="EP493" s="73" t="str">
        <f t="shared" si="299"/>
        <v>No requiere</v>
      </c>
      <c r="EQ493" s="77" t="str">
        <f t="shared" si="300"/>
        <v>No requiere</v>
      </c>
      <c r="ER493" s="102"/>
      <c r="ES493" s="97"/>
      <c r="ET493" s="73" t="str">
        <f t="shared" si="301"/>
        <v>No requiere</v>
      </c>
      <c r="EU493" s="73" t="str">
        <f t="shared" ref="EU493:EU557" si="341">IF(F493="NO","No requiere",IF(H493="No","No requiere",IF(B493="","",IF(CX493="SÍ",IF(CK493&gt;=1,CY493/CK493,"Sin compromisos"),"Por verificar"))))</f>
        <v>No requiere</v>
      </c>
      <c r="EV493" s="73" t="str">
        <f t="shared" si="302"/>
        <v>No requiere</v>
      </c>
      <c r="EW493" s="73" t="str">
        <f t="shared" si="303"/>
        <v>No requiere</v>
      </c>
      <c r="EX493" s="105"/>
      <c r="EY493" s="105"/>
    </row>
    <row r="494" spans="1:155" ht="46.5" customHeight="1">
      <c r="A494" s="79">
        <v>490</v>
      </c>
      <c r="B494" s="80" t="s">
        <v>3470</v>
      </c>
      <c r="C494" s="81">
        <v>45440</v>
      </c>
      <c r="D494" s="82">
        <v>0.375</v>
      </c>
      <c r="E494" s="79" t="s">
        <v>151</v>
      </c>
      <c r="F494" s="79" t="s">
        <v>153</v>
      </c>
      <c r="G494" s="79" t="s">
        <v>152</v>
      </c>
      <c r="H494" s="79" t="s">
        <v>152</v>
      </c>
      <c r="I494" s="79" t="s">
        <v>152</v>
      </c>
      <c r="J494" s="79" t="s">
        <v>154</v>
      </c>
      <c r="K494" s="79" t="s">
        <v>155</v>
      </c>
      <c r="L494" s="80" t="s">
        <v>3471</v>
      </c>
      <c r="M494" s="80" t="s">
        <v>303</v>
      </c>
      <c r="N494" s="79" t="s">
        <v>924</v>
      </c>
      <c r="O494" s="80" t="str">
        <f t="shared" si="293"/>
        <v/>
      </c>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t="s">
        <v>304</v>
      </c>
      <c r="AP494" s="79"/>
      <c r="AQ494" s="80" t="s">
        <v>3472</v>
      </c>
      <c r="AR494" s="83" t="s">
        <v>171</v>
      </c>
      <c r="AS494" s="80" t="s">
        <v>3473</v>
      </c>
      <c r="AT494" s="80" t="str">
        <f t="shared" si="294"/>
        <v>Distrital</v>
      </c>
      <c r="AU494" s="79" t="s">
        <v>172</v>
      </c>
      <c r="AV494" s="79"/>
      <c r="AW494" s="79"/>
      <c r="AX494" s="79"/>
      <c r="AY494" s="79"/>
      <c r="AZ494" s="79"/>
      <c r="BA494" s="80" t="str">
        <f t="shared" si="295"/>
        <v>Distrital</v>
      </c>
      <c r="BB494" s="79" t="s">
        <v>172</v>
      </c>
      <c r="BC494" s="79"/>
      <c r="BD494" s="79"/>
      <c r="BE494" s="79"/>
      <c r="BF494" s="79"/>
      <c r="BG494" s="79"/>
      <c r="BH494" s="80" t="str">
        <f t="shared" si="296"/>
        <v>Distrital</v>
      </c>
      <c r="BI494" s="79" t="s">
        <v>172</v>
      </c>
      <c r="BJ494" s="79"/>
      <c r="BK494" s="79"/>
      <c r="BL494" s="79"/>
      <c r="BM494" s="79"/>
      <c r="BN494" s="79"/>
      <c r="BO494" s="79"/>
      <c r="BP494" s="79"/>
      <c r="BQ494" s="79"/>
      <c r="BR494" s="79"/>
      <c r="BS494" s="80" t="s">
        <v>288</v>
      </c>
      <c r="BT494" s="80" t="s">
        <v>3474</v>
      </c>
      <c r="BU494" s="80" t="s">
        <v>3475</v>
      </c>
      <c r="BV494" s="71"/>
      <c r="BW494" s="79" t="s">
        <v>153</v>
      </c>
      <c r="BX494" s="79" t="s">
        <v>2600</v>
      </c>
      <c r="BY494" s="71"/>
      <c r="BZ494" s="79">
        <v>19</v>
      </c>
      <c r="CA494" s="79">
        <v>4</v>
      </c>
      <c r="CB494" s="79">
        <f t="shared" si="281"/>
        <v>23</v>
      </c>
      <c r="CC494" s="79" t="str">
        <f t="shared" si="316"/>
        <v>Ninguna</v>
      </c>
      <c r="CD494" s="79" t="s">
        <v>174</v>
      </c>
      <c r="CE494" s="79"/>
      <c r="CF494" s="79"/>
      <c r="CG494" s="83" t="s">
        <v>3476</v>
      </c>
      <c r="CH494" s="41"/>
      <c r="CI494" s="79" t="s">
        <v>153</v>
      </c>
      <c r="CJ494" s="71"/>
      <c r="CK494" s="79">
        <f t="shared" ref="CK494" si="342">COUNTIF(CL494:CQ494,"*")</f>
        <v>0</v>
      </c>
      <c r="CL494" s="79"/>
      <c r="CM494" s="79"/>
      <c r="CN494" s="79"/>
      <c r="CO494" s="79"/>
      <c r="CP494" s="79"/>
      <c r="CQ494" s="79"/>
      <c r="CR494" s="83" t="s">
        <v>179</v>
      </c>
      <c r="CS494" s="83" t="s">
        <v>179</v>
      </c>
      <c r="CT494" s="83" t="s">
        <v>179</v>
      </c>
      <c r="CU494" s="83" t="s">
        <v>179</v>
      </c>
      <c r="CV494" s="83" t="s">
        <v>179</v>
      </c>
      <c r="CW494" s="83" t="s">
        <v>179</v>
      </c>
      <c r="CX494" s="79" t="s">
        <v>153</v>
      </c>
      <c r="CY494" s="79">
        <f t="shared" si="337"/>
        <v>0</v>
      </c>
      <c r="CZ494" s="79">
        <v>0</v>
      </c>
      <c r="DA494" s="79">
        <f t="shared" si="338"/>
        <v>0</v>
      </c>
      <c r="DB494" s="84" t="str">
        <f t="shared" ref="DB494" si="343">IFERROR(CY494/CK494,"")</f>
        <v/>
      </c>
      <c r="DC494" s="41"/>
      <c r="DD494" s="79" t="s">
        <v>153</v>
      </c>
      <c r="DE494" s="71"/>
      <c r="DF494" s="85" t="s">
        <v>3477</v>
      </c>
      <c r="DG494" s="79">
        <v>483</v>
      </c>
      <c r="DH494" s="86" t="str">
        <f>IF(EE494="Por completar",C494+3,"Completo")</f>
        <v>Completo</v>
      </c>
      <c r="DI494" s="79" t="s">
        <v>181</v>
      </c>
      <c r="DJ494" s="79" t="s">
        <v>182</v>
      </c>
      <c r="DK494" s="79"/>
      <c r="DL494" s="79">
        <v>0</v>
      </c>
      <c r="DM494" s="79">
        <v>0</v>
      </c>
      <c r="DN494" s="79" t="s">
        <v>182</v>
      </c>
      <c r="DO494" s="79"/>
      <c r="DP494" s="79"/>
      <c r="DQ494" s="79"/>
      <c r="DR494" s="75" t="str">
        <f t="shared" si="309"/>
        <v>No aplica</v>
      </c>
      <c r="DS494" s="79"/>
      <c r="DT494" s="79"/>
      <c r="DU494" s="75" t="str">
        <f t="shared" si="310"/>
        <v>No aplica</v>
      </c>
      <c r="DV494" s="79" t="s">
        <v>182</v>
      </c>
      <c r="DW494" s="79" t="s">
        <v>182</v>
      </c>
      <c r="DX494" s="79"/>
      <c r="DY494" s="79"/>
      <c r="DZ494" s="79"/>
      <c r="EA494" s="79"/>
      <c r="EB494" s="79" t="s">
        <v>182</v>
      </c>
      <c r="EC494" s="79" t="s">
        <v>3478</v>
      </c>
      <c r="ED494" s="79" t="s">
        <v>1743</v>
      </c>
      <c r="EE494" s="79" t="str">
        <f t="shared" si="339"/>
        <v>Completo</v>
      </c>
      <c r="EF494" s="41"/>
      <c r="EG494" s="79" t="s">
        <v>153</v>
      </c>
      <c r="EH494" s="71"/>
      <c r="EI494" s="80"/>
      <c r="EJ494" s="71"/>
      <c r="EK494" s="79"/>
      <c r="EL494" s="76" t="str">
        <f t="shared" si="297"/>
        <v>No requiere</v>
      </c>
      <c r="EM494" s="76" t="str">
        <f t="shared" si="298"/>
        <v>No requiere</v>
      </c>
      <c r="EN494" s="76" t="str">
        <f t="shared" si="340"/>
        <v>No requiere</v>
      </c>
      <c r="EO494" s="71"/>
      <c r="EP494" s="73" t="str">
        <f t="shared" si="299"/>
        <v>No requiere</v>
      </c>
      <c r="EQ494" s="77" t="str">
        <f t="shared" si="300"/>
        <v>No requiere</v>
      </c>
      <c r="ER494" s="71"/>
      <c r="ES494" s="79"/>
      <c r="ET494" s="73" t="str">
        <f t="shared" si="301"/>
        <v>No requiere</v>
      </c>
      <c r="EU494" s="73" t="str">
        <f t="shared" si="341"/>
        <v>No requiere</v>
      </c>
      <c r="EV494" s="73" t="str">
        <f t="shared" si="302"/>
        <v>No requiere</v>
      </c>
      <c r="EW494" s="73" t="str">
        <f t="shared" si="303"/>
        <v>No requiere</v>
      </c>
      <c r="EX494" s="78"/>
      <c r="EY494" s="78"/>
    </row>
    <row r="495" spans="1:155" ht="46.5" customHeight="1">
      <c r="A495" s="79">
        <v>491</v>
      </c>
      <c r="B495" s="80" t="s">
        <v>3479</v>
      </c>
      <c r="C495" s="81">
        <v>45440</v>
      </c>
      <c r="D495" s="82">
        <v>0.39583333333333331</v>
      </c>
      <c r="E495" s="79" t="s">
        <v>543</v>
      </c>
      <c r="F495" s="79" t="s">
        <v>153</v>
      </c>
      <c r="G495" s="79" t="s">
        <v>152</v>
      </c>
      <c r="H495" s="79" t="s">
        <v>152</v>
      </c>
      <c r="I495" s="79" t="s">
        <v>152</v>
      </c>
      <c r="J495" s="79" t="s">
        <v>272</v>
      </c>
      <c r="K495" s="79" t="s">
        <v>155</v>
      </c>
      <c r="L495" s="80" t="s">
        <v>3480</v>
      </c>
      <c r="M495" s="80" t="s">
        <v>157</v>
      </c>
      <c r="N495" s="79" t="s">
        <v>195</v>
      </c>
      <c r="O495" s="80" t="str">
        <f t="shared" si="293"/>
        <v/>
      </c>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t="s">
        <v>578</v>
      </c>
      <c r="AP495" s="79" t="s">
        <v>3481</v>
      </c>
      <c r="AQ495" s="83" t="s">
        <v>1989</v>
      </c>
      <c r="AR495" s="83" t="s">
        <v>1989</v>
      </c>
      <c r="AS495" s="83" t="s">
        <v>1989</v>
      </c>
      <c r="AT495" s="80" t="str">
        <f t="shared" si="294"/>
        <v>Distrital</v>
      </c>
      <c r="AU495" s="79" t="s">
        <v>172</v>
      </c>
      <c r="AV495" s="79"/>
      <c r="AW495" s="79"/>
      <c r="AX495" s="79"/>
      <c r="AY495" s="79"/>
      <c r="AZ495" s="79"/>
      <c r="BA495" s="80" t="str">
        <f t="shared" si="295"/>
        <v>Distrital</v>
      </c>
      <c r="BB495" s="79" t="s">
        <v>172</v>
      </c>
      <c r="BC495" s="79"/>
      <c r="BD495" s="79"/>
      <c r="BE495" s="79"/>
      <c r="BF495" s="79"/>
      <c r="BG495" s="79"/>
      <c r="BH495" s="80" t="str">
        <f t="shared" si="296"/>
        <v>Distrital</v>
      </c>
      <c r="BI495" s="79" t="s">
        <v>172</v>
      </c>
      <c r="BJ495" s="79"/>
      <c r="BK495" s="79"/>
      <c r="BL495" s="79"/>
      <c r="BM495" s="79"/>
      <c r="BN495" s="79"/>
      <c r="BO495" s="79"/>
      <c r="BP495" s="79"/>
      <c r="BQ495" s="79"/>
      <c r="BR495" s="79"/>
      <c r="BS495" s="80" t="s">
        <v>415</v>
      </c>
      <c r="BT495" s="80" t="s">
        <v>174</v>
      </c>
      <c r="BU495" s="80" t="s">
        <v>616</v>
      </c>
      <c r="BV495" s="71"/>
      <c r="BW495" s="79" t="s">
        <v>152</v>
      </c>
      <c r="BX495" s="79" t="s">
        <v>179</v>
      </c>
      <c r="BY495" s="71"/>
      <c r="BZ495" s="79">
        <v>4</v>
      </c>
      <c r="CA495" s="79">
        <v>2</v>
      </c>
      <c r="CB495" s="79">
        <f t="shared" si="281"/>
        <v>6</v>
      </c>
      <c r="CC495" s="79" t="str">
        <f t="shared" si="316"/>
        <v>Ninguna</v>
      </c>
      <c r="CD495" s="79" t="s">
        <v>174</v>
      </c>
      <c r="CE495" s="79"/>
      <c r="CF495" s="79"/>
      <c r="CG495" s="83" t="s">
        <v>3482</v>
      </c>
      <c r="CH495" s="41"/>
      <c r="CI495" s="79" t="s">
        <v>153</v>
      </c>
      <c r="CJ495" s="71"/>
      <c r="CK495" s="79">
        <v>0</v>
      </c>
      <c r="CL495" s="106"/>
      <c r="CM495" s="79"/>
      <c r="CN495" s="79"/>
      <c r="CO495" s="79"/>
      <c r="CP495" s="79"/>
      <c r="CQ495" s="79"/>
      <c r="CR495" s="83" t="s">
        <v>179</v>
      </c>
      <c r="CS495" s="83" t="s">
        <v>179</v>
      </c>
      <c r="CT495" s="83" t="s">
        <v>179</v>
      </c>
      <c r="CU495" s="83" t="s">
        <v>179</v>
      </c>
      <c r="CV495" s="83" t="s">
        <v>179</v>
      </c>
      <c r="CW495" s="83" t="s">
        <v>179</v>
      </c>
      <c r="CX495" s="79" t="s">
        <v>153</v>
      </c>
      <c r="CY495" s="79"/>
      <c r="CZ495" s="79"/>
      <c r="DA495" s="79"/>
      <c r="DB495" s="84"/>
      <c r="DC495" s="41"/>
      <c r="DD495" s="79" t="s">
        <v>153</v>
      </c>
      <c r="DE495" s="71"/>
      <c r="DF495" s="85" t="s">
        <v>3483</v>
      </c>
      <c r="DG495" s="79">
        <v>488</v>
      </c>
      <c r="DH495" s="86"/>
      <c r="DI495" s="79" t="s">
        <v>181</v>
      </c>
      <c r="DJ495" s="79" t="s">
        <v>182</v>
      </c>
      <c r="DK495" s="79"/>
      <c r="DL495" s="79"/>
      <c r="DM495" s="79"/>
      <c r="DN495" s="79" t="s">
        <v>182</v>
      </c>
      <c r="DO495" s="79"/>
      <c r="DP495" s="79"/>
      <c r="DQ495" s="79"/>
      <c r="DR495" s="75" t="str">
        <f t="shared" si="309"/>
        <v>No aplica</v>
      </c>
      <c r="DS495" s="79"/>
      <c r="DT495" s="79"/>
      <c r="DU495" s="75" t="str">
        <f t="shared" si="310"/>
        <v>No aplica</v>
      </c>
      <c r="DV495" s="79" t="s">
        <v>182</v>
      </c>
      <c r="DW495" s="79" t="s">
        <v>191</v>
      </c>
      <c r="DX495" s="79"/>
      <c r="DY495" s="79"/>
      <c r="DZ495" s="79"/>
      <c r="EA495" s="79"/>
      <c r="EB495" s="79"/>
      <c r="EC495" s="79"/>
      <c r="ED495" s="79" t="s">
        <v>1743</v>
      </c>
      <c r="EE495" s="79" t="str">
        <f t="shared" ref="EE495:EE507" si="344">IF(DI495="Subsanado","Completo","Por Completar")</f>
        <v>Completo</v>
      </c>
      <c r="EF495" s="41"/>
      <c r="EG495" s="79" t="s">
        <v>153</v>
      </c>
      <c r="EH495" s="71"/>
      <c r="EI495" s="80"/>
      <c r="EJ495" s="71"/>
      <c r="EK495" s="79"/>
      <c r="EL495" s="76" t="str">
        <f t="shared" si="297"/>
        <v>No requiere</v>
      </c>
      <c r="EM495" s="76" t="str">
        <f t="shared" si="298"/>
        <v>No requiere</v>
      </c>
      <c r="EN495" s="76" t="str">
        <f t="shared" si="340"/>
        <v>No requiere</v>
      </c>
      <c r="EO495" s="71"/>
      <c r="EP495" s="73" t="str">
        <f t="shared" si="299"/>
        <v>No requiere</v>
      </c>
      <c r="EQ495" s="77" t="str">
        <f t="shared" si="300"/>
        <v>No requiere</v>
      </c>
      <c r="ER495" s="71"/>
      <c r="ES495" s="79"/>
      <c r="ET495" s="73" t="str">
        <f t="shared" si="301"/>
        <v>No requiere</v>
      </c>
      <c r="EU495" s="73" t="str">
        <f t="shared" si="341"/>
        <v>No requiere</v>
      </c>
      <c r="EV495" s="73" t="str">
        <f t="shared" si="302"/>
        <v>No requiere</v>
      </c>
      <c r="EW495" s="73" t="str">
        <f t="shared" si="303"/>
        <v>No requiere</v>
      </c>
      <c r="EX495" s="78"/>
      <c r="EY495" s="78"/>
    </row>
    <row r="496" spans="1:155" ht="46.5" customHeight="1">
      <c r="A496" s="79">
        <v>492</v>
      </c>
      <c r="B496" s="80" t="s">
        <v>3484</v>
      </c>
      <c r="C496" s="81">
        <v>45440</v>
      </c>
      <c r="D496" s="82">
        <v>0.41666666666666669</v>
      </c>
      <c r="E496" s="79" t="s">
        <v>151</v>
      </c>
      <c r="F496" s="79" t="s">
        <v>153</v>
      </c>
      <c r="G496" s="79" t="s">
        <v>152</v>
      </c>
      <c r="H496" s="79" t="s">
        <v>152</v>
      </c>
      <c r="I496" s="79" t="s">
        <v>152</v>
      </c>
      <c r="J496" s="79" t="s">
        <v>272</v>
      </c>
      <c r="K496" s="79" t="s">
        <v>155</v>
      </c>
      <c r="L496" s="80" t="s">
        <v>3485</v>
      </c>
      <c r="M496" s="80" t="s">
        <v>157</v>
      </c>
      <c r="N496" s="79" t="s">
        <v>195</v>
      </c>
      <c r="O496" s="80" t="str">
        <f t="shared" si="293"/>
        <v>James Fernando Núñez, William Jair Gil</v>
      </c>
      <c r="P496" s="79" t="s">
        <v>632</v>
      </c>
      <c r="Q496" s="79" t="s">
        <v>862</v>
      </c>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t="s">
        <v>169</v>
      </c>
      <c r="AP496" s="79"/>
      <c r="AQ496" s="80" t="s">
        <v>3486</v>
      </c>
      <c r="AR496" s="83" t="s">
        <v>171</v>
      </c>
      <c r="AS496" s="83" t="s">
        <v>171</v>
      </c>
      <c r="AT496" s="80" t="str">
        <f t="shared" si="294"/>
        <v>Distrital</v>
      </c>
      <c r="AU496" s="79" t="s">
        <v>172</v>
      </c>
      <c r="AV496" s="79"/>
      <c r="AW496" s="79"/>
      <c r="AX496" s="79"/>
      <c r="AY496" s="79"/>
      <c r="AZ496" s="79"/>
      <c r="BA496" s="80" t="str">
        <f t="shared" si="295"/>
        <v>Distrital</v>
      </c>
      <c r="BB496" s="79" t="s">
        <v>172</v>
      </c>
      <c r="BC496" s="79"/>
      <c r="BD496" s="79"/>
      <c r="BE496" s="79"/>
      <c r="BF496" s="79"/>
      <c r="BG496" s="79"/>
      <c r="BH496" s="80" t="str">
        <f t="shared" si="296"/>
        <v>Distrital</v>
      </c>
      <c r="BI496" s="79" t="s">
        <v>172</v>
      </c>
      <c r="BJ496" s="79"/>
      <c r="BK496" s="79"/>
      <c r="BL496" s="79"/>
      <c r="BM496" s="79"/>
      <c r="BN496" s="79"/>
      <c r="BO496" s="79"/>
      <c r="BP496" s="79"/>
      <c r="BQ496" s="79"/>
      <c r="BR496" s="79"/>
      <c r="BS496" s="80" t="s">
        <v>288</v>
      </c>
      <c r="BT496" s="80" t="s">
        <v>174</v>
      </c>
      <c r="BU496" s="80" t="s">
        <v>3487</v>
      </c>
      <c r="BV496" s="71"/>
      <c r="BW496" s="79" t="s">
        <v>152</v>
      </c>
      <c r="BX496" s="79" t="s">
        <v>179</v>
      </c>
      <c r="BY496" s="71"/>
      <c r="BZ496" s="79">
        <v>250</v>
      </c>
      <c r="CA496" s="79">
        <v>2</v>
      </c>
      <c r="CB496" s="79">
        <f>BZ496+CA496</f>
        <v>252</v>
      </c>
      <c r="CC496" s="79" t="str">
        <f t="shared" si="316"/>
        <v>Horarios Acordes</v>
      </c>
      <c r="CD496" s="79" t="s">
        <v>351</v>
      </c>
      <c r="CE496" s="79"/>
      <c r="CF496" s="79"/>
      <c r="CG496" s="83" t="s">
        <v>3488</v>
      </c>
      <c r="CH496" s="41"/>
      <c r="CI496" s="79" t="s">
        <v>153</v>
      </c>
      <c r="CJ496" s="71"/>
      <c r="CK496" s="79">
        <f>COUNTIF(CL496:CQ496,"*")</f>
        <v>0</v>
      </c>
      <c r="CL496" s="79"/>
      <c r="CM496" s="79"/>
      <c r="CN496" s="79"/>
      <c r="CO496" s="79"/>
      <c r="CP496" s="79"/>
      <c r="CQ496" s="79"/>
      <c r="CR496" s="83" t="s">
        <v>179</v>
      </c>
      <c r="CS496" s="83" t="s">
        <v>179</v>
      </c>
      <c r="CT496" s="83" t="s">
        <v>179</v>
      </c>
      <c r="CU496" s="83" t="s">
        <v>179</v>
      </c>
      <c r="CV496" s="83" t="s">
        <v>179</v>
      </c>
      <c r="CW496" s="83" t="s">
        <v>179</v>
      </c>
      <c r="CX496" s="79" t="s">
        <v>153</v>
      </c>
      <c r="CY496" s="79">
        <f>SUM(COUNTIF(CR496:CW496,"Realizado y Devuelto a la Ciudadanía"),COUNTIF(CR496:CW496,"Realizado y Trasladado por competencia"), COUNTIF(CR496:CW496,"Realizado y Gestionado"))</f>
        <v>0</v>
      </c>
      <c r="CZ496" s="79">
        <v>0</v>
      </c>
      <c r="DA496" s="79">
        <f>COUNTIF(CR496:CW496,"Realizado y Devuelto a la Ciudadanía")</f>
        <v>0</v>
      </c>
      <c r="DB496" s="84" t="str">
        <f>IFERROR(CY496/CK496,"")</f>
        <v/>
      </c>
      <c r="DC496" s="41"/>
      <c r="DD496" s="79" t="s">
        <v>153</v>
      </c>
      <c r="DE496" s="71"/>
      <c r="DF496" s="85" t="s">
        <v>3489</v>
      </c>
      <c r="DG496" s="79">
        <v>484</v>
      </c>
      <c r="DH496" s="86" t="str">
        <f>IF(EE496="Por completar",C496+3,"Completo")</f>
        <v>Completo</v>
      </c>
      <c r="DI496" s="79" t="s">
        <v>181</v>
      </c>
      <c r="DJ496" s="79" t="s">
        <v>182</v>
      </c>
      <c r="DK496" s="79"/>
      <c r="DL496" s="79">
        <v>0</v>
      </c>
      <c r="DM496" s="79">
        <v>0</v>
      </c>
      <c r="DN496" s="79"/>
      <c r="DO496" s="79"/>
      <c r="DP496" s="79"/>
      <c r="DQ496" s="79"/>
      <c r="DR496" s="75" t="str">
        <f t="shared" si="309"/>
        <v>No aplica</v>
      </c>
      <c r="DS496" s="79"/>
      <c r="DT496" s="79"/>
      <c r="DU496" s="75" t="str">
        <f t="shared" si="310"/>
        <v>No aplica</v>
      </c>
      <c r="DV496" s="79" t="s">
        <v>182</v>
      </c>
      <c r="DW496" s="79" t="s">
        <v>182</v>
      </c>
      <c r="DX496" s="79"/>
      <c r="DY496" s="79"/>
      <c r="DZ496" s="79"/>
      <c r="EA496" s="79"/>
      <c r="EB496" s="79"/>
      <c r="EC496" s="79"/>
      <c r="ED496" s="79" t="s">
        <v>1743</v>
      </c>
      <c r="EE496" s="79" t="str">
        <f>IF(DI496="Subsanado","Completo","Por Completar")</f>
        <v>Completo</v>
      </c>
      <c r="EF496" s="41"/>
      <c r="EG496" s="79" t="s">
        <v>153</v>
      </c>
      <c r="EH496" s="71"/>
      <c r="EI496" s="80"/>
      <c r="EJ496" s="71"/>
      <c r="EK496" s="79"/>
      <c r="EL496" s="76" t="str">
        <f t="shared" si="297"/>
        <v>No requiere</v>
      </c>
      <c r="EM496" s="76" t="str">
        <f t="shared" si="298"/>
        <v>No requiere</v>
      </c>
      <c r="EN496" s="76" t="str">
        <f t="shared" si="340"/>
        <v>No requiere</v>
      </c>
      <c r="EO496" s="71"/>
      <c r="EP496" s="73" t="str">
        <f t="shared" si="299"/>
        <v>No requiere</v>
      </c>
      <c r="EQ496" s="77" t="str">
        <f t="shared" si="300"/>
        <v>No requiere</v>
      </c>
      <c r="ER496" s="71"/>
      <c r="ES496" s="79"/>
      <c r="ET496" s="73" t="str">
        <f t="shared" si="301"/>
        <v>No requiere</v>
      </c>
      <c r="EU496" s="73" t="str">
        <f t="shared" si="341"/>
        <v>No requiere</v>
      </c>
      <c r="EV496" s="73" t="str">
        <f t="shared" si="302"/>
        <v>No requiere</v>
      </c>
      <c r="EW496" s="73" t="str">
        <f t="shared" si="303"/>
        <v>No requiere</v>
      </c>
      <c r="EX496" s="78"/>
      <c r="EY496" s="78"/>
    </row>
    <row r="497" spans="1:155" ht="46.5" customHeight="1">
      <c r="A497" s="79">
        <v>493</v>
      </c>
      <c r="B497" s="80" t="s">
        <v>3490</v>
      </c>
      <c r="C497" s="81">
        <v>45440</v>
      </c>
      <c r="D497" s="82">
        <v>0.45833333333333331</v>
      </c>
      <c r="E497" s="79" t="s">
        <v>200</v>
      </c>
      <c r="F497" s="79" t="s">
        <v>153</v>
      </c>
      <c r="G497" s="79" t="s">
        <v>152</v>
      </c>
      <c r="H497" s="79" t="s">
        <v>152</v>
      </c>
      <c r="I497" s="79" t="s">
        <v>152</v>
      </c>
      <c r="J497" s="79" t="s">
        <v>504</v>
      </c>
      <c r="K497" s="79" t="s">
        <v>155</v>
      </c>
      <c r="L497" s="80" t="s">
        <v>3491</v>
      </c>
      <c r="M497" s="80" t="s">
        <v>157</v>
      </c>
      <c r="N497" s="79" t="s">
        <v>749</v>
      </c>
      <c r="O497" s="80" t="str">
        <f t="shared" si="293"/>
        <v/>
      </c>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t="s">
        <v>169</v>
      </c>
      <c r="AP497" s="79" t="s">
        <v>2702</v>
      </c>
      <c r="AQ497" s="80" t="s">
        <v>2703</v>
      </c>
      <c r="AR497" s="83" t="s">
        <v>1989</v>
      </c>
      <c r="AS497" s="80" t="s">
        <v>752</v>
      </c>
      <c r="AT497" s="80" t="str">
        <f t="shared" si="294"/>
        <v>Los Mártires</v>
      </c>
      <c r="AU497" s="79" t="s">
        <v>823</v>
      </c>
      <c r="AV497" s="79"/>
      <c r="AW497" s="79"/>
      <c r="AX497" s="79"/>
      <c r="AY497" s="79"/>
      <c r="AZ497" s="79"/>
      <c r="BA497" s="80" t="str">
        <f t="shared" si="295"/>
        <v>Centro Ampliado</v>
      </c>
      <c r="BB497" s="79" t="s">
        <v>636</v>
      </c>
      <c r="BC497" s="79"/>
      <c r="BD497" s="79"/>
      <c r="BE497" s="79"/>
      <c r="BF497" s="79"/>
      <c r="BG497" s="79"/>
      <c r="BH497" s="80" t="str">
        <f t="shared" si="296"/>
        <v>Centro Histórico</v>
      </c>
      <c r="BI497" s="79" t="s">
        <v>754</v>
      </c>
      <c r="BJ497" s="79"/>
      <c r="BK497" s="79"/>
      <c r="BL497" s="79"/>
      <c r="BM497" s="79"/>
      <c r="BN497" s="79"/>
      <c r="BO497" s="79"/>
      <c r="BP497" s="79"/>
      <c r="BQ497" s="79"/>
      <c r="BR497" s="79"/>
      <c r="BS497" s="80" t="s">
        <v>3492</v>
      </c>
      <c r="BT497" s="80" t="s">
        <v>174</v>
      </c>
      <c r="BU497" s="80" t="s">
        <v>3493</v>
      </c>
      <c r="BV497" s="71"/>
      <c r="BW497" s="79" t="s">
        <v>152</v>
      </c>
      <c r="BX497" s="79" t="s">
        <v>179</v>
      </c>
      <c r="BY497" s="71"/>
      <c r="BZ497" s="79">
        <v>13</v>
      </c>
      <c r="CA497" s="79">
        <v>1</v>
      </c>
      <c r="CB497" s="79">
        <f>BZ497+CA497</f>
        <v>14</v>
      </c>
      <c r="CC497" s="79" t="str">
        <f t="shared" si="316"/>
        <v>Ninguna</v>
      </c>
      <c r="CD497" s="79" t="s">
        <v>174</v>
      </c>
      <c r="CE497" s="79"/>
      <c r="CF497" s="79"/>
      <c r="CG497" s="83" t="s">
        <v>3494</v>
      </c>
      <c r="CH497" s="41"/>
      <c r="CI497" s="79" t="s">
        <v>153</v>
      </c>
      <c r="CJ497" s="71"/>
      <c r="CK497" s="79"/>
      <c r="CL497" s="79"/>
      <c r="CM497" s="79"/>
      <c r="CN497" s="79"/>
      <c r="CO497" s="79"/>
      <c r="CP497" s="79"/>
      <c r="CQ497" s="79"/>
      <c r="CR497" s="83" t="s">
        <v>179</v>
      </c>
      <c r="CS497" s="83" t="s">
        <v>179</v>
      </c>
      <c r="CT497" s="83" t="s">
        <v>179</v>
      </c>
      <c r="CU497" s="83" t="s">
        <v>179</v>
      </c>
      <c r="CV497" s="83" t="s">
        <v>179</v>
      </c>
      <c r="CW497" s="83" t="s">
        <v>179</v>
      </c>
      <c r="CX497" s="79" t="s">
        <v>153</v>
      </c>
      <c r="CY497" s="79"/>
      <c r="CZ497" s="79"/>
      <c r="DA497" s="79"/>
      <c r="DB497" s="84"/>
      <c r="DC497" s="41"/>
      <c r="DD497" s="79" t="s">
        <v>153</v>
      </c>
      <c r="DE497" s="71"/>
      <c r="DF497" s="85" t="s">
        <v>3495</v>
      </c>
      <c r="DG497" s="79">
        <v>487</v>
      </c>
      <c r="DH497" s="86" t="str">
        <f>IF(EE497="Por completar",C497+3,"Completo")</f>
        <v>Completo</v>
      </c>
      <c r="DI497" s="79" t="s">
        <v>181</v>
      </c>
      <c r="DJ497" s="79" t="s">
        <v>182</v>
      </c>
      <c r="DK497" s="79"/>
      <c r="DL497" s="79"/>
      <c r="DM497" s="79"/>
      <c r="DN497" s="79" t="s">
        <v>182</v>
      </c>
      <c r="DO497" s="79"/>
      <c r="DP497" s="79"/>
      <c r="DQ497" s="79"/>
      <c r="DR497" s="75" t="str">
        <f t="shared" si="309"/>
        <v>No aplica</v>
      </c>
      <c r="DS497" s="79"/>
      <c r="DT497" s="79"/>
      <c r="DU497" s="75" t="str">
        <f t="shared" si="310"/>
        <v>No aplica</v>
      </c>
      <c r="DV497" s="79" t="s">
        <v>182</v>
      </c>
      <c r="DW497" s="79" t="s">
        <v>182</v>
      </c>
      <c r="DX497" s="79"/>
      <c r="DY497" s="79"/>
      <c r="DZ497" s="79"/>
      <c r="EA497" s="79"/>
      <c r="EB497" s="79" t="s">
        <v>191</v>
      </c>
      <c r="EC497" s="79"/>
      <c r="ED497" s="79" t="s">
        <v>1743</v>
      </c>
      <c r="EE497" s="79" t="str">
        <f>IF(DI497="Subsanado","Completo","Por Completar")</f>
        <v>Completo</v>
      </c>
      <c r="EF497" s="41"/>
      <c r="EG497" s="79" t="s">
        <v>153</v>
      </c>
      <c r="EH497" s="71"/>
      <c r="EI497" s="80"/>
      <c r="EJ497" s="71"/>
      <c r="EK497" s="79"/>
      <c r="EL497" s="76" t="str">
        <f t="shared" si="297"/>
        <v>No requiere</v>
      </c>
      <c r="EM497" s="76" t="str">
        <f t="shared" si="298"/>
        <v>No requiere</v>
      </c>
      <c r="EN497" s="76" t="str">
        <f t="shared" si="340"/>
        <v>No requiere</v>
      </c>
      <c r="EO497" s="71"/>
      <c r="EP497" s="73" t="str">
        <f t="shared" si="299"/>
        <v>No requiere</v>
      </c>
      <c r="EQ497" s="77" t="str">
        <f t="shared" si="300"/>
        <v>No requiere</v>
      </c>
      <c r="ER497" s="71"/>
      <c r="ES497" s="79"/>
      <c r="ET497" s="73" t="str">
        <f t="shared" si="301"/>
        <v>No requiere</v>
      </c>
      <c r="EU497" s="73" t="str">
        <f t="shared" si="341"/>
        <v>No requiere</v>
      </c>
      <c r="EV497" s="73" t="str">
        <f t="shared" si="302"/>
        <v>No requiere</v>
      </c>
      <c r="EW497" s="73" t="str">
        <f t="shared" si="303"/>
        <v>No requiere</v>
      </c>
      <c r="EX497" s="78"/>
      <c r="EY497" s="78"/>
    </row>
    <row r="498" spans="1:155" ht="46.5" customHeight="1">
      <c r="A498" s="79">
        <v>494</v>
      </c>
      <c r="B498" s="80" t="s">
        <v>3496</v>
      </c>
      <c r="C498" s="81">
        <v>45440</v>
      </c>
      <c r="D498" s="82">
        <v>0.58333333333333337</v>
      </c>
      <c r="E498" s="79" t="s">
        <v>151</v>
      </c>
      <c r="F498" s="79" t="s">
        <v>153</v>
      </c>
      <c r="G498" s="79" t="s">
        <v>152</v>
      </c>
      <c r="H498" s="79" t="s">
        <v>152</v>
      </c>
      <c r="I498" s="79" t="s">
        <v>152</v>
      </c>
      <c r="J498" s="79" t="s">
        <v>211</v>
      </c>
      <c r="K498" s="79" t="s">
        <v>155</v>
      </c>
      <c r="L498" s="80" t="s">
        <v>3497</v>
      </c>
      <c r="M498" s="80" t="s">
        <v>624</v>
      </c>
      <c r="N498" s="79" t="s">
        <v>213</v>
      </c>
      <c r="O498" s="80" t="str">
        <f t="shared" si="293"/>
        <v>Humberto Díaz Acosta</v>
      </c>
      <c r="P498" s="79" t="s">
        <v>253</v>
      </c>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t="s">
        <v>230</v>
      </c>
      <c r="AP498" s="79" t="s">
        <v>242</v>
      </c>
      <c r="AQ498" s="80" t="s">
        <v>1945</v>
      </c>
      <c r="AR498" s="83">
        <v>3108148740</v>
      </c>
      <c r="AS498" s="80" t="s">
        <v>682</v>
      </c>
      <c r="AT498" s="80" t="str">
        <f t="shared" si="294"/>
        <v>Distrital</v>
      </c>
      <c r="AU498" s="79" t="s">
        <v>172</v>
      </c>
      <c r="AV498" s="79"/>
      <c r="AW498" s="79"/>
      <c r="AX498" s="79"/>
      <c r="AY498" s="79"/>
      <c r="AZ498" s="79"/>
      <c r="BA498" s="80" t="str">
        <f t="shared" si="295"/>
        <v>Distrital</v>
      </c>
      <c r="BB498" s="79" t="s">
        <v>172</v>
      </c>
      <c r="BC498" s="79"/>
      <c r="BD498" s="79"/>
      <c r="BE498" s="79"/>
      <c r="BF498" s="79"/>
      <c r="BG498" s="79"/>
      <c r="BH498" s="80" t="str">
        <f t="shared" si="296"/>
        <v>Distrital</v>
      </c>
      <c r="BI498" s="79" t="s">
        <v>172</v>
      </c>
      <c r="BJ498" s="79"/>
      <c r="BK498" s="79"/>
      <c r="BL498" s="79"/>
      <c r="BM498" s="79"/>
      <c r="BN498" s="79"/>
      <c r="BO498" s="79"/>
      <c r="BP498" s="79"/>
      <c r="BQ498" s="79"/>
      <c r="BR498" s="79"/>
      <c r="BS498" s="80" t="s">
        <v>242</v>
      </c>
      <c r="BT498" s="80" t="s">
        <v>174</v>
      </c>
      <c r="BU498" s="80" t="s">
        <v>3498</v>
      </c>
      <c r="BV498" s="71"/>
      <c r="BW498" s="79" t="s">
        <v>152</v>
      </c>
      <c r="BX498" s="79" t="s">
        <v>179</v>
      </c>
      <c r="BY498" s="71"/>
      <c r="BZ498" s="79">
        <v>6</v>
      </c>
      <c r="CA498" s="79">
        <v>4</v>
      </c>
      <c r="CB498" s="79">
        <f t="shared" si="281"/>
        <v>10</v>
      </c>
      <c r="CC498" s="79" t="str">
        <f t="shared" si="316"/>
        <v>Ninguna</v>
      </c>
      <c r="CD498" s="79" t="s">
        <v>174</v>
      </c>
      <c r="CE498" s="79"/>
      <c r="CF498" s="79"/>
      <c r="CG498" s="83" t="s">
        <v>3497</v>
      </c>
      <c r="CH498" s="41"/>
      <c r="CI498" s="79" t="s">
        <v>153</v>
      </c>
      <c r="CJ498" s="71"/>
      <c r="CK498" s="79">
        <f t="shared" ref="CK498:CK501" si="345">COUNTIF(CL498:CQ498,"*")</f>
        <v>0</v>
      </c>
      <c r="CL498" s="79"/>
      <c r="CM498" s="79"/>
      <c r="CN498" s="79"/>
      <c r="CO498" s="79"/>
      <c r="CP498" s="79"/>
      <c r="CQ498" s="79"/>
      <c r="CR498" s="83" t="s">
        <v>179</v>
      </c>
      <c r="CS498" s="83" t="s">
        <v>179</v>
      </c>
      <c r="CT498" s="83" t="s">
        <v>179</v>
      </c>
      <c r="CU498" s="83" t="s">
        <v>179</v>
      </c>
      <c r="CV498" s="83" t="s">
        <v>179</v>
      </c>
      <c r="CW498" s="83" t="s">
        <v>179</v>
      </c>
      <c r="CX498" s="79" t="s">
        <v>153</v>
      </c>
      <c r="CY498" s="79">
        <f t="shared" ref="CY498:CY501" si="346">SUM(COUNTIF(CR498:CW498,"Realizado y Devuelto a la Ciudadanía"),COUNTIF(CR498:CW498,"Realizado y Trasladado por competencia"), COUNTIF(CR498:CW498,"Realizado y Gestionado"))</f>
        <v>0</v>
      </c>
      <c r="CZ498" s="79">
        <v>0</v>
      </c>
      <c r="DA498" s="79">
        <f t="shared" ref="DA498:DA501" si="347">COUNTIF(CR498:CW498,"Realizado y Devuelto a la Ciudadanía")</f>
        <v>0</v>
      </c>
      <c r="DB498" s="84" t="str">
        <f t="shared" ref="DB498:DB501" si="348">IFERROR(CY498/CK498,"")</f>
        <v/>
      </c>
      <c r="DC498" s="41"/>
      <c r="DD498" s="79" t="s">
        <v>153</v>
      </c>
      <c r="DE498" s="71"/>
      <c r="DF498" s="85" t="s">
        <v>3499</v>
      </c>
      <c r="DG498" s="79">
        <v>489</v>
      </c>
      <c r="DH498" s="86" t="str">
        <f t="shared" ref="DH498:DH504" si="349">IF(EE498="Por completar",C498+3,"Completo")</f>
        <v>Completo</v>
      </c>
      <c r="DI498" s="79" t="s">
        <v>181</v>
      </c>
      <c r="DJ498" s="79" t="s">
        <v>182</v>
      </c>
      <c r="DK498" s="79"/>
      <c r="DL498" s="79">
        <v>0</v>
      </c>
      <c r="DM498" s="79">
        <v>0</v>
      </c>
      <c r="DN498" s="79" t="s">
        <v>182</v>
      </c>
      <c r="DO498" s="79"/>
      <c r="DP498" s="79"/>
      <c r="DQ498" s="79"/>
      <c r="DR498" s="75" t="str">
        <f t="shared" si="309"/>
        <v>No aplica</v>
      </c>
      <c r="DS498" s="79"/>
      <c r="DT498" s="79"/>
      <c r="DU498" s="75" t="str">
        <f t="shared" si="310"/>
        <v>No aplica</v>
      </c>
      <c r="DV498" s="79" t="s">
        <v>182</v>
      </c>
      <c r="DW498" s="79" t="s">
        <v>182</v>
      </c>
      <c r="DX498" s="79"/>
      <c r="DY498" s="79"/>
      <c r="DZ498" s="79"/>
      <c r="EA498" s="79"/>
      <c r="EB498" s="79" t="s">
        <v>182</v>
      </c>
      <c r="EC498" s="79" t="s">
        <v>3500</v>
      </c>
      <c r="ED498" s="79" t="s">
        <v>1743</v>
      </c>
      <c r="EE498" s="79" t="str">
        <f t="shared" si="344"/>
        <v>Completo</v>
      </c>
      <c r="EF498" s="41"/>
      <c r="EG498" s="79" t="s">
        <v>153</v>
      </c>
      <c r="EH498" s="71"/>
      <c r="EI498" s="80"/>
      <c r="EJ498" s="71"/>
      <c r="EK498" s="79"/>
      <c r="EL498" s="76" t="str">
        <f t="shared" si="297"/>
        <v>No requiere</v>
      </c>
      <c r="EM498" s="76" t="str">
        <f t="shared" si="298"/>
        <v>No requiere</v>
      </c>
      <c r="EN498" s="76" t="str">
        <f t="shared" si="340"/>
        <v>No requiere</v>
      </c>
      <c r="EO498" s="71"/>
      <c r="EP498" s="73" t="str">
        <f t="shared" si="299"/>
        <v>No requiere</v>
      </c>
      <c r="EQ498" s="77" t="str">
        <f t="shared" si="300"/>
        <v>No requiere</v>
      </c>
      <c r="ER498" s="71"/>
      <c r="ES498" s="79"/>
      <c r="ET498" s="73" t="str">
        <f t="shared" si="301"/>
        <v>No requiere</v>
      </c>
      <c r="EU498" s="73" t="str">
        <f t="shared" si="341"/>
        <v>No requiere</v>
      </c>
      <c r="EV498" s="73" t="str">
        <f t="shared" si="302"/>
        <v>No requiere</v>
      </c>
      <c r="EW498" s="73" t="str">
        <f t="shared" si="303"/>
        <v>No requiere</v>
      </c>
      <c r="EX498" s="78"/>
      <c r="EY498" s="78"/>
    </row>
    <row r="499" spans="1:155" ht="46.5" customHeight="1">
      <c r="A499" s="79">
        <v>495</v>
      </c>
      <c r="B499" s="80" t="s">
        <v>3501</v>
      </c>
      <c r="C499" s="81">
        <v>45440</v>
      </c>
      <c r="D499" s="82">
        <v>0.625</v>
      </c>
      <c r="E499" s="79" t="s">
        <v>151</v>
      </c>
      <c r="F499" s="79" t="s">
        <v>153</v>
      </c>
      <c r="G499" s="79" t="s">
        <v>153</v>
      </c>
      <c r="H499" s="79" t="s">
        <v>152</v>
      </c>
      <c r="I499" s="79" t="s">
        <v>153</v>
      </c>
      <c r="J499" s="79" t="s">
        <v>1806</v>
      </c>
      <c r="K499" s="79" t="s">
        <v>155</v>
      </c>
      <c r="L499" s="80" t="s">
        <v>3502</v>
      </c>
      <c r="M499" s="80" t="s">
        <v>624</v>
      </c>
      <c r="N499" s="79" t="s">
        <v>887</v>
      </c>
      <c r="O499" s="80" t="str">
        <f t="shared" si="293"/>
        <v>Camilo Andrés Vásquez</v>
      </c>
      <c r="P499" s="79" t="s">
        <v>373</v>
      </c>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t="s">
        <v>169</v>
      </c>
      <c r="AP499" s="79" t="s">
        <v>170</v>
      </c>
      <c r="AQ499" s="80" t="s">
        <v>3503</v>
      </c>
      <c r="AR499" s="83">
        <v>3173738376</v>
      </c>
      <c r="AS499" s="80" t="s">
        <v>2938</v>
      </c>
      <c r="AT499" s="80" t="str">
        <f t="shared" si="294"/>
        <v>Distrital</v>
      </c>
      <c r="AU499" s="79" t="s">
        <v>172</v>
      </c>
      <c r="AV499" s="79"/>
      <c r="AW499" s="79"/>
      <c r="AX499" s="79"/>
      <c r="AY499" s="79"/>
      <c r="AZ499" s="79"/>
      <c r="BA499" s="80" t="str">
        <f t="shared" si="295"/>
        <v>Distrital</v>
      </c>
      <c r="BB499" s="79" t="s">
        <v>172</v>
      </c>
      <c r="BC499" s="79"/>
      <c r="BD499" s="79"/>
      <c r="BE499" s="79"/>
      <c r="BF499" s="79"/>
      <c r="BG499" s="79"/>
      <c r="BH499" s="80" t="str">
        <f t="shared" si="296"/>
        <v>Distrital</v>
      </c>
      <c r="BI499" s="79" t="s">
        <v>172</v>
      </c>
      <c r="BJ499" s="79"/>
      <c r="BK499" s="79"/>
      <c r="BL499" s="79"/>
      <c r="BM499" s="79"/>
      <c r="BN499" s="79"/>
      <c r="BO499" s="79"/>
      <c r="BP499" s="79"/>
      <c r="BQ499" s="79"/>
      <c r="BR499" s="79"/>
      <c r="BS499" s="80" t="s">
        <v>288</v>
      </c>
      <c r="BT499" s="80" t="s">
        <v>174</v>
      </c>
      <c r="BU499" s="80" t="s">
        <v>3504</v>
      </c>
      <c r="BV499" s="71"/>
      <c r="BW499" s="79" t="s">
        <v>152</v>
      </c>
      <c r="BX499" s="79" t="s">
        <v>179</v>
      </c>
      <c r="BY499" s="71"/>
      <c r="BZ499" s="79">
        <v>11</v>
      </c>
      <c r="CA499" s="79">
        <v>5</v>
      </c>
      <c r="CB499" s="79">
        <f>BZ499+CA499</f>
        <v>16</v>
      </c>
      <c r="CC499" s="79" t="str">
        <f t="shared" si="316"/>
        <v>Ninguna</v>
      </c>
      <c r="CD499" s="79" t="s">
        <v>174</v>
      </c>
      <c r="CE499" s="79"/>
      <c r="CF499" s="79"/>
      <c r="CG499" s="83" t="s">
        <v>3505</v>
      </c>
      <c r="CH499" s="41"/>
      <c r="CI499" s="79" t="s">
        <v>153</v>
      </c>
      <c r="CJ499" s="71"/>
      <c r="CK499" s="79">
        <f>COUNTIF(CL499:CQ499,"*")</f>
        <v>0</v>
      </c>
      <c r="CL499" s="79"/>
      <c r="CM499" s="79"/>
      <c r="CN499" s="79"/>
      <c r="CO499" s="79"/>
      <c r="CP499" s="79"/>
      <c r="CQ499" s="79"/>
      <c r="CR499" s="83" t="s">
        <v>179</v>
      </c>
      <c r="CS499" s="83" t="s">
        <v>179</v>
      </c>
      <c r="CT499" s="83" t="s">
        <v>179</v>
      </c>
      <c r="CU499" s="83" t="s">
        <v>179</v>
      </c>
      <c r="CV499" s="83" t="s">
        <v>179</v>
      </c>
      <c r="CW499" s="83" t="s">
        <v>179</v>
      </c>
      <c r="CX499" s="79" t="s">
        <v>153</v>
      </c>
      <c r="CY499" s="79">
        <f>SUM(COUNTIF(CR499:CW499,"Realizado y Devuelto a la Ciudadanía"),COUNTIF(CR499:CW499,"Realizado y Trasladado por competencia"), COUNTIF(CR499:CW499,"Realizado y Gestionado"))</f>
        <v>0</v>
      </c>
      <c r="CZ499" s="79">
        <v>0</v>
      </c>
      <c r="DA499" s="79">
        <f>COUNTIF(CR499:CW499,"Realizado y Devuelto a la Ciudadanía")</f>
        <v>0</v>
      </c>
      <c r="DB499" s="84" t="str">
        <f>IFERROR(CY499/CK499,"")</f>
        <v/>
      </c>
      <c r="DC499" s="41"/>
      <c r="DD499" s="79" t="s">
        <v>153</v>
      </c>
      <c r="DE499" s="71"/>
      <c r="DF499" s="85" t="s">
        <v>3506</v>
      </c>
      <c r="DG499" s="79">
        <v>486</v>
      </c>
      <c r="DH499" s="86" t="str">
        <f t="shared" si="349"/>
        <v>Completo</v>
      </c>
      <c r="DI499" s="79" t="s">
        <v>181</v>
      </c>
      <c r="DJ499" s="79" t="s">
        <v>182</v>
      </c>
      <c r="DK499" s="79"/>
      <c r="DL499" s="79">
        <v>0</v>
      </c>
      <c r="DM499" s="79">
        <v>0</v>
      </c>
      <c r="DN499" s="79" t="s">
        <v>182</v>
      </c>
      <c r="DO499" s="79"/>
      <c r="DP499" s="79"/>
      <c r="DQ499" s="79"/>
      <c r="DR499" s="75" t="str">
        <f t="shared" si="309"/>
        <v>No aplica</v>
      </c>
      <c r="DS499" s="79"/>
      <c r="DT499" s="79"/>
      <c r="DU499" s="75" t="str">
        <f t="shared" si="310"/>
        <v>No aplica</v>
      </c>
      <c r="DV499" s="79" t="s">
        <v>182</v>
      </c>
      <c r="DW499" s="79" t="s">
        <v>182</v>
      </c>
      <c r="DX499" s="79"/>
      <c r="DY499" s="79"/>
      <c r="DZ499" s="79"/>
      <c r="EA499" s="79"/>
      <c r="EB499" s="79" t="s">
        <v>191</v>
      </c>
      <c r="EC499" s="79"/>
      <c r="ED499" s="79" t="s">
        <v>3507</v>
      </c>
      <c r="EE499" s="79" t="s">
        <v>3508</v>
      </c>
      <c r="EF499" s="41"/>
      <c r="EG499" s="79" t="s">
        <v>153</v>
      </c>
      <c r="EH499" s="71"/>
      <c r="EI499" s="80"/>
      <c r="EJ499" s="71"/>
      <c r="EK499" s="79"/>
      <c r="EL499" s="76" t="str">
        <f t="shared" si="297"/>
        <v>No requiere</v>
      </c>
      <c r="EM499" s="76" t="str">
        <f t="shared" si="298"/>
        <v>No requiere</v>
      </c>
      <c r="EN499" s="76" t="str">
        <f t="shared" si="340"/>
        <v>No requiere</v>
      </c>
      <c r="EO499" s="71"/>
      <c r="EP499" s="73" t="str">
        <f t="shared" si="299"/>
        <v>No requiere</v>
      </c>
      <c r="EQ499" s="77" t="str">
        <f t="shared" si="300"/>
        <v>No requiere</v>
      </c>
      <c r="ER499" s="71"/>
      <c r="ES499" s="79"/>
      <c r="ET499" s="73" t="str">
        <f t="shared" si="301"/>
        <v>No requiere</v>
      </c>
      <c r="EU499" s="73" t="str">
        <f t="shared" si="341"/>
        <v>No requiere</v>
      </c>
      <c r="EV499" s="73" t="str">
        <f t="shared" si="302"/>
        <v>No requiere</v>
      </c>
      <c r="EW499" s="73" t="str">
        <f t="shared" si="303"/>
        <v>No requiere</v>
      </c>
      <c r="EX499" s="78"/>
      <c r="EY499" s="78"/>
    </row>
    <row r="500" spans="1:155" ht="46.5" customHeight="1">
      <c r="A500" s="97">
        <v>496</v>
      </c>
      <c r="B500" s="80" t="s">
        <v>3035</v>
      </c>
      <c r="C500" s="99">
        <v>45440</v>
      </c>
      <c r="D500" s="100">
        <v>0.625</v>
      </c>
      <c r="E500" s="97" t="s">
        <v>151</v>
      </c>
      <c r="F500" s="97" t="s">
        <v>153</v>
      </c>
      <c r="G500" s="97" t="s">
        <v>152</v>
      </c>
      <c r="H500" s="97" t="s">
        <v>152</v>
      </c>
      <c r="I500" s="97" t="s">
        <v>152</v>
      </c>
      <c r="J500" s="97" t="s">
        <v>154</v>
      </c>
      <c r="K500" s="97" t="s">
        <v>155</v>
      </c>
      <c r="L500" s="98" t="s">
        <v>2844</v>
      </c>
      <c r="M500" s="98" t="s">
        <v>303</v>
      </c>
      <c r="N500" s="97" t="s">
        <v>328</v>
      </c>
      <c r="O500" s="80" t="str">
        <f t="shared" si="293"/>
        <v>Nestor Jecfrid Sánchez, Joan Sebastian García, Reinaldo Terrios Andrade, Jimmy Alejandro Osorio</v>
      </c>
      <c r="P500" s="97" t="s">
        <v>965</v>
      </c>
      <c r="Q500" s="97" t="s">
        <v>728</v>
      </c>
      <c r="R500" s="97" t="s">
        <v>675</v>
      </c>
      <c r="S500" s="97" t="s">
        <v>549</v>
      </c>
      <c r="T500" s="97"/>
      <c r="U500" s="97"/>
      <c r="V500" s="97"/>
      <c r="W500" s="97"/>
      <c r="X500" s="97"/>
      <c r="Y500" s="97"/>
      <c r="Z500" s="97"/>
      <c r="AA500" s="97"/>
      <c r="AB500" s="97"/>
      <c r="AC500" s="97"/>
      <c r="AD500" s="97"/>
      <c r="AE500" s="97"/>
      <c r="AF500" s="97"/>
      <c r="AG500" s="97"/>
      <c r="AH500" s="97"/>
      <c r="AI500" s="97"/>
      <c r="AJ500" s="97"/>
      <c r="AK500" s="97"/>
      <c r="AL500" s="97"/>
      <c r="AM500" s="97"/>
      <c r="AN500" s="97"/>
      <c r="AO500" s="97" t="s">
        <v>169</v>
      </c>
      <c r="AP500" s="97" t="s">
        <v>475</v>
      </c>
      <c r="AQ500" s="98" t="s">
        <v>171</v>
      </c>
      <c r="AR500" s="101" t="s">
        <v>171</v>
      </c>
      <c r="AS500" s="98" t="s">
        <v>171</v>
      </c>
      <c r="AT500" s="80" t="str">
        <f t="shared" si="294"/>
        <v>Distrital</v>
      </c>
      <c r="AU500" s="97" t="s">
        <v>172</v>
      </c>
      <c r="AV500" s="97"/>
      <c r="AW500" s="97"/>
      <c r="AX500" s="97"/>
      <c r="AY500" s="97"/>
      <c r="AZ500" s="97"/>
      <c r="BA500" s="80" t="str">
        <f t="shared" si="295"/>
        <v>Distrital</v>
      </c>
      <c r="BB500" s="97" t="s">
        <v>172</v>
      </c>
      <c r="BC500" s="97"/>
      <c r="BD500" s="97"/>
      <c r="BE500" s="97"/>
      <c r="BF500" s="97"/>
      <c r="BG500" s="97"/>
      <c r="BH500" s="80" t="str">
        <f t="shared" si="296"/>
        <v>Distrital</v>
      </c>
      <c r="BI500" s="97" t="s">
        <v>172</v>
      </c>
      <c r="BJ500" s="97"/>
      <c r="BK500" s="97"/>
      <c r="BL500" s="97"/>
      <c r="BM500" s="97"/>
      <c r="BN500" s="97"/>
      <c r="BO500" s="97"/>
      <c r="BP500" s="97"/>
      <c r="BQ500" s="97"/>
      <c r="BR500" s="97"/>
      <c r="BS500" s="98" t="s">
        <v>2598</v>
      </c>
      <c r="BT500" s="98" t="s">
        <v>174</v>
      </c>
      <c r="BU500" s="98" t="s">
        <v>2599</v>
      </c>
      <c r="BV500" s="102"/>
      <c r="BW500" s="97" t="s">
        <v>153</v>
      </c>
      <c r="BX500" s="97" t="s">
        <v>2600</v>
      </c>
      <c r="BY500" s="102"/>
      <c r="BZ500" s="97">
        <v>246</v>
      </c>
      <c r="CA500" s="97">
        <v>8</v>
      </c>
      <c r="CB500" s="79">
        <f>BZ500+CA500</f>
        <v>254</v>
      </c>
      <c r="CC500" s="79" t="str">
        <f t="shared" si="316"/>
        <v>Ninguna</v>
      </c>
      <c r="CD500" s="97" t="s">
        <v>174</v>
      </c>
      <c r="CE500" s="97"/>
      <c r="CF500" s="97"/>
      <c r="CG500" s="101" t="s">
        <v>3509</v>
      </c>
      <c r="CH500" s="103"/>
      <c r="CI500" s="97" t="s">
        <v>153</v>
      </c>
      <c r="CJ500" s="102"/>
      <c r="CK500" s="97">
        <f>COUNTIF(CL500:CQ500,"*")</f>
        <v>0</v>
      </c>
      <c r="CL500" s="97"/>
      <c r="CM500" s="97"/>
      <c r="CN500" s="97"/>
      <c r="CO500" s="97"/>
      <c r="CP500" s="97"/>
      <c r="CQ500" s="97"/>
      <c r="CR500" s="101" t="s">
        <v>179</v>
      </c>
      <c r="CS500" s="101" t="s">
        <v>179</v>
      </c>
      <c r="CT500" s="101" t="s">
        <v>179</v>
      </c>
      <c r="CU500" s="101" t="s">
        <v>179</v>
      </c>
      <c r="CV500" s="101" t="s">
        <v>179</v>
      </c>
      <c r="CW500" s="101" t="s">
        <v>179</v>
      </c>
      <c r="CX500" s="97" t="s">
        <v>153</v>
      </c>
      <c r="CY500" s="97">
        <f>SUM(COUNTIF(CR500:CW500,"Realizado y Devuelto a la Ciudadanía"),COUNTIF(CR500:CW500,"Realizado y Trasladado por competencia"), COUNTIF(CR500:CW500,"Realizado y Gestionado"))</f>
        <v>0</v>
      </c>
      <c r="CZ500" s="97">
        <v>0</v>
      </c>
      <c r="DA500" s="97">
        <f>COUNTIF(CR500:CW500,"Realizado y Devuelto a la Ciudadanía")</f>
        <v>0</v>
      </c>
      <c r="DB500" s="104" t="str">
        <f>IFERROR(CY500/CK500,"")</f>
        <v/>
      </c>
      <c r="DC500" s="103"/>
      <c r="DD500" s="97" t="s">
        <v>153</v>
      </c>
      <c r="DE500" s="71"/>
      <c r="DF500" s="85" t="s">
        <v>3510</v>
      </c>
      <c r="DG500" s="79">
        <v>485</v>
      </c>
      <c r="DH500" s="96" t="str">
        <f t="shared" si="349"/>
        <v>Completo</v>
      </c>
      <c r="DI500" s="97" t="s">
        <v>181</v>
      </c>
      <c r="DJ500" s="97" t="s">
        <v>182</v>
      </c>
      <c r="DK500" s="97"/>
      <c r="DL500" s="97">
        <v>0</v>
      </c>
      <c r="DM500" s="97">
        <v>0</v>
      </c>
      <c r="DN500" s="97" t="s">
        <v>182</v>
      </c>
      <c r="DO500" s="97"/>
      <c r="DP500" s="97"/>
      <c r="DQ500" s="97"/>
      <c r="DR500" s="75" t="str">
        <f t="shared" si="309"/>
        <v>No aplica</v>
      </c>
      <c r="DS500" s="97"/>
      <c r="DT500" s="97"/>
      <c r="DU500" s="75" t="str">
        <f t="shared" si="310"/>
        <v>No aplica</v>
      </c>
      <c r="DV500" s="97" t="s">
        <v>182</v>
      </c>
      <c r="DW500" s="97" t="s">
        <v>191</v>
      </c>
      <c r="DX500" s="97"/>
      <c r="DY500" s="97"/>
      <c r="DZ500" s="97"/>
      <c r="EA500" s="97"/>
      <c r="EB500" s="97" t="s">
        <v>182</v>
      </c>
      <c r="EC500" s="97" t="s">
        <v>3511</v>
      </c>
      <c r="ED500" s="97" t="s">
        <v>184</v>
      </c>
      <c r="EE500" s="97" t="str">
        <f>IF(DI500="Subsanado","Completo","Por Completar")</f>
        <v>Completo</v>
      </c>
      <c r="EF500" s="103"/>
      <c r="EG500" s="97" t="s">
        <v>153</v>
      </c>
      <c r="EH500" s="102"/>
      <c r="EI500" s="98"/>
      <c r="EJ500" s="102"/>
      <c r="EK500" s="97"/>
      <c r="EL500" s="76" t="str">
        <f t="shared" si="297"/>
        <v>No requiere</v>
      </c>
      <c r="EM500" s="76" t="str">
        <f t="shared" si="298"/>
        <v>No requiere</v>
      </c>
      <c r="EN500" s="76" t="str">
        <f t="shared" si="340"/>
        <v>No requiere</v>
      </c>
      <c r="EO500" s="71"/>
      <c r="EP500" s="73" t="str">
        <f t="shared" si="299"/>
        <v>No requiere</v>
      </c>
      <c r="EQ500" s="77" t="str">
        <f t="shared" si="300"/>
        <v>No requiere</v>
      </c>
      <c r="ER500" s="102"/>
      <c r="ES500" s="97"/>
      <c r="ET500" s="73" t="str">
        <f t="shared" si="301"/>
        <v>No requiere</v>
      </c>
      <c r="EU500" s="73" t="str">
        <f t="shared" si="341"/>
        <v>No requiere</v>
      </c>
      <c r="EV500" s="73" t="str">
        <f t="shared" si="302"/>
        <v>No requiere</v>
      </c>
      <c r="EW500" s="73" t="str">
        <f t="shared" si="303"/>
        <v>No requiere</v>
      </c>
      <c r="EX500" s="105"/>
      <c r="EY500" s="105"/>
    </row>
    <row r="501" spans="1:155" ht="46.5" customHeight="1">
      <c r="A501" s="79">
        <v>497</v>
      </c>
      <c r="B501" s="80" t="s">
        <v>3512</v>
      </c>
      <c r="C501" s="81">
        <v>45441</v>
      </c>
      <c r="D501" s="82">
        <v>0.33333333333333331</v>
      </c>
      <c r="E501" s="79" t="s">
        <v>200</v>
      </c>
      <c r="F501" s="79" t="s">
        <v>153</v>
      </c>
      <c r="G501" s="79" t="s">
        <v>152</v>
      </c>
      <c r="H501" s="79" t="s">
        <v>152</v>
      </c>
      <c r="I501" s="79" t="s">
        <v>152</v>
      </c>
      <c r="J501" s="79" t="s">
        <v>201</v>
      </c>
      <c r="K501" s="79" t="s">
        <v>155</v>
      </c>
      <c r="L501" s="80" t="s">
        <v>3513</v>
      </c>
      <c r="M501" s="80" t="s">
        <v>157</v>
      </c>
      <c r="N501" s="79" t="s">
        <v>168</v>
      </c>
      <c r="O501" s="80" t="str">
        <f t="shared" si="293"/>
        <v/>
      </c>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t="s">
        <v>169</v>
      </c>
      <c r="AP501" s="79"/>
      <c r="AQ501" s="80" t="s">
        <v>205</v>
      </c>
      <c r="AR501" s="83" t="s">
        <v>171</v>
      </c>
      <c r="AS501" s="80" t="s">
        <v>3514</v>
      </c>
      <c r="AT501" s="80" t="str">
        <f t="shared" si="294"/>
        <v>Distrital</v>
      </c>
      <c r="AU501" s="79" t="s">
        <v>172</v>
      </c>
      <c r="AV501" s="79"/>
      <c r="AW501" s="79"/>
      <c r="AX501" s="79"/>
      <c r="AY501" s="79"/>
      <c r="AZ501" s="79"/>
      <c r="BA501" s="80" t="str">
        <f t="shared" si="295"/>
        <v>Distrital</v>
      </c>
      <c r="BB501" s="79" t="s">
        <v>172</v>
      </c>
      <c r="BC501" s="79"/>
      <c r="BD501" s="79"/>
      <c r="BE501" s="79"/>
      <c r="BF501" s="79"/>
      <c r="BG501" s="79"/>
      <c r="BH501" s="80" t="str">
        <f t="shared" si="296"/>
        <v>Distrital</v>
      </c>
      <c r="BI501" s="79" t="s">
        <v>172</v>
      </c>
      <c r="BJ501" s="79"/>
      <c r="BK501" s="79"/>
      <c r="BL501" s="79"/>
      <c r="BM501" s="79"/>
      <c r="BN501" s="79"/>
      <c r="BO501" s="79"/>
      <c r="BP501" s="79"/>
      <c r="BQ501" s="79"/>
      <c r="BR501" s="79"/>
      <c r="BS501" s="80" t="s">
        <v>288</v>
      </c>
      <c r="BT501" s="80" t="s">
        <v>174</v>
      </c>
      <c r="BU501" s="80" t="s">
        <v>3515</v>
      </c>
      <c r="BV501" s="71"/>
      <c r="BW501" s="79" t="s">
        <v>152</v>
      </c>
      <c r="BX501" s="79" t="s">
        <v>179</v>
      </c>
      <c r="BY501" s="71"/>
      <c r="BZ501" s="79">
        <v>7</v>
      </c>
      <c r="CA501" s="79">
        <v>1</v>
      </c>
      <c r="CB501" s="79">
        <f t="shared" si="281"/>
        <v>8</v>
      </c>
      <c r="CC501" s="79" t="str">
        <f t="shared" si="316"/>
        <v>Ninguna</v>
      </c>
      <c r="CD501" s="79" t="s">
        <v>174</v>
      </c>
      <c r="CE501" s="79"/>
      <c r="CF501" s="79"/>
      <c r="CG501" s="83" t="s">
        <v>3516</v>
      </c>
      <c r="CH501" s="41"/>
      <c r="CI501" s="79" t="s">
        <v>153</v>
      </c>
      <c r="CJ501" s="71"/>
      <c r="CK501" s="79">
        <f t="shared" si="345"/>
        <v>0</v>
      </c>
      <c r="CL501" s="79"/>
      <c r="CM501" s="79"/>
      <c r="CN501" s="79"/>
      <c r="CO501" s="79"/>
      <c r="CP501" s="79"/>
      <c r="CQ501" s="79"/>
      <c r="CR501" s="83"/>
      <c r="CS501" s="83"/>
      <c r="CT501" s="83"/>
      <c r="CU501" s="83"/>
      <c r="CV501" s="83"/>
      <c r="CW501" s="83"/>
      <c r="CX501" s="79"/>
      <c r="CY501" s="79">
        <f t="shared" si="346"/>
        <v>0</v>
      </c>
      <c r="CZ501" s="79">
        <v>0</v>
      </c>
      <c r="DA501" s="79">
        <f t="shared" si="347"/>
        <v>0</v>
      </c>
      <c r="DB501" s="84" t="str">
        <f t="shared" si="348"/>
        <v/>
      </c>
      <c r="DC501" s="41"/>
      <c r="DD501" s="79"/>
      <c r="DE501" s="71"/>
      <c r="DF501" s="85" t="s">
        <v>3517</v>
      </c>
      <c r="DG501" s="79">
        <v>490</v>
      </c>
      <c r="DH501" s="86">
        <f t="shared" si="349"/>
        <v>45444</v>
      </c>
      <c r="DI501" s="79"/>
      <c r="DJ501" s="79" t="s">
        <v>182</v>
      </c>
      <c r="DK501" s="79"/>
      <c r="DL501" s="79">
        <v>0</v>
      </c>
      <c r="DM501" s="79">
        <v>0</v>
      </c>
      <c r="DN501" s="79"/>
      <c r="DO501" s="79"/>
      <c r="DP501" s="79"/>
      <c r="DQ501" s="79"/>
      <c r="DR501" s="75" t="str">
        <f t="shared" ref="DR501:DR532" si="350">IF(H501="SÍ", (DQ501/(BZ501*0.3)), "No aplica")</f>
        <v>No aplica</v>
      </c>
      <c r="DS501" s="79"/>
      <c r="DT501" s="79"/>
      <c r="DU501" s="75" t="str">
        <f t="shared" ref="DU501:DU532" si="351">IF(H501="SÍ", (DT501/(BZ501*0.35)), "No aplica")</f>
        <v>No aplica</v>
      </c>
      <c r="DV501" s="79"/>
      <c r="DW501" s="79"/>
      <c r="DX501" s="79"/>
      <c r="DY501" s="79"/>
      <c r="DZ501" s="79"/>
      <c r="EA501" s="79"/>
      <c r="EB501" s="79"/>
      <c r="EC501" s="79"/>
      <c r="ED501" s="79"/>
      <c r="EE501" s="79" t="str">
        <f t="shared" si="344"/>
        <v>Por Completar</v>
      </c>
      <c r="EF501" s="41"/>
      <c r="EG501" s="79"/>
      <c r="EH501" s="71"/>
      <c r="EI501" s="80"/>
      <c r="EJ501" s="71"/>
      <c r="EK501" s="79"/>
      <c r="EL501" s="76" t="str">
        <f t="shared" si="297"/>
        <v>No requiere</v>
      </c>
      <c r="EM501" s="76" t="str">
        <f t="shared" si="298"/>
        <v>No requiere</v>
      </c>
      <c r="EN501" s="76" t="str">
        <f t="shared" si="340"/>
        <v>No requiere</v>
      </c>
      <c r="EO501" s="71"/>
      <c r="EP501" s="73" t="str">
        <f t="shared" si="299"/>
        <v>No requiere</v>
      </c>
      <c r="EQ501" s="77" t="str">
        <f t="shared" si="300"/>
        <v>No requiere</v>
      </c>
      <c r="ER501" s="71"/>
      <c r="ES501" s="79"/>
      <c r="ET501" s="73" t="str">
        <f t="shared" si="301"/>
        <v>No requiere</v>
      </c>
      <c r="EU501" s="73" t="str">
        <f t="shared" si="341"/>
        <v>No requiere</v>
      </c>
      <c r="EV501" s="73" t="str">
        <f t="shared" si="302"/>
        <v>No requiere</v>
      </c>
      <c r="EW501" s="73" t="str">
        <f t="shared" si="303"/>
        <v>No requiere</v>
      </c>
      <c r="EX501" s="78"/>
      <c r="EY501" s="78"/>
    </row>
    <row r="502" spans="1:155" ht="46.5" customHeight="1">
      <c r="A502" s="107">
        <v>498</v>
      </c>
      <c r="B502" s="80" t="s">
        <v>3028</v>
      </c>
      <c r="C502" s="109">
        <v>45441</v>
      </c>
      <c r="D502" s="110">
        <v>0.375</v>
      </c>
      <c r="E502" s="107" t="s">
        <v>151</v>
      </c>
      <c r="F502" s="107" t="s">
        <v>153</v>
      </c>
      <c r="G502" s="107" t="s">
        <v>152</v>
      </c>
      <c r="H502" s="107" t="s">
        <v>152</v>
      </c>
      <c r="I502" s="107" t="s">
        <v>152</v>
      </c>
      <c r="J502" s="107" t="s">
        <v>154</v>
      </c>
      <c r="K502" s="107" t="s">
        <v>155</v>
      </c>
      <c r="L502" s="108" t="s">
        <v>2844</v>
      </c>
      <c r="M502" s="108" t="s">
        <v>303</v>
      </c>
      <c r="N502" s="107" t="s">
        <v>1387</v>
      </c>
      <c r="O502" s="80" t="str">
        <f t="shared" si="293"/>
        <v>James Fernando Núñez, Aida Vanessa Rocha, Andres Castro Latorre, Ana María Ulloa</v>
      </c>
      <c r="P502" s="107" t="s">
        <v>632</v>
      </c>
      <c r="Q502" s="107" t="s">
        <v>801</v>
      </c>
      <c r="R502" s="107" t="s">
        <v>749</v>
      </c>
      <c r="S502" s="107" t="s">
        <v>522</v>
      </c>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t="s">
        <v>169</v>
      </c>
      <c r="AP502" s="107" t="s">
        <v>475</v>
      </c>
      <c r="AQ502" s="108" t="s">
        <v>171</v>
      </c>
      <c r="AR502" s="111" t="s">
        <v>171</v>
      </c>
      <c r="AS502" s="108" t="s">
        <v>171</v>
      </c>
      <c r="AT502" s="80" t="str">
        <f t="shared" si="294"/>
        <v>Distrital</v>
      </c>
      <c r="AU502" s="107" t="s">
        <v>172</v>
      </c>
      <c r="AV502" s="107"/>
      <c r="AW502" s="107"/>
      <c r="AX502" s="107"/>
      <c r="AY502" s="107"/>
      <c r="AZ502" s="107"/>
      <c r="BA502" s="80" t="str">
        <f t="shared" si="295"/>
        <v>Distrital</v>
      </c>
      <c r="BB502" s="107" t="s">
        <v>172</v>
      </c>
      <c r="BC502" s="107"/>
      <c r="BD502" s="107"/>
      <c r="BE502" s="107"/>
      <c r="BF502" s="107"/>
      <c r="BG502" s="107"/>
      <c r="BH502" s="80" t="str">
        <f t="shared" si="296"/>
        <v>Distrital</v>
      </c>
      <c r="BI502" s="107" t="s">
        <v>172</v>
      </c>
      <c r="BJ502" s="107"/>
      <c r="BK502" s="107"/>
      <c r="BL502" s="107"/>
      <c r="BM502" s="107"/>
      <c r="BN502" s="107"/>
      <c r="BO502" s="107"/>
      <c r="BP502" s="107"/>
      <c r="BQ502" s="107"/>
      <c r="BR502" s="107"/>
      <c r="BS502" s="108" t="s">
        <v>2598</v>
      </c>
      <c r="BT502" s="108" t="s">
        <v>174</v>
      </c>
      <c r="BU502" s="108" t="s">
        <v>2599</v>
      </c>
      <c r="BV502" s="112"/>
      <c r="BW502" s="107" t="s">
        <v>153</v>
      </c>
      <c r="BX502" s="107" t="s">
        <v>2600</v>
      </c>
      <c r="BY502" s="112"/>
      <c r="BZ502" s="107">
        <v>140</v>
      </c>
      <c r="CA502" s="107">
        <v>5</v>
      </c>
      <c r="CB502" s="107">
        <f t="shared" si="281"/>
        <v>145</v>
      </c>
      <c r="CC502" s="79" t="str">
        <f t="shared" si="316"/>
        <v>Ninguna</v>
      </c>
      <c r="CD502" s="107" t="s">
        <v>174</v>
      </c>
      <c r="CE502" s="107"/>
      <c r="CF502" s="107"/>
      <c r="CG502" s="111" t="s">
        <v>3518</v>
      </c>
      <c r="CH502" s="113"/>
      <c r="CI502" s="107" t="s">
        <v>153</v>
      </c>
      <c r="CJ502" s="112"/>
      <c r="CK502" s="107"/>
      <c r="CL502" s="107"/>
      <c r="CM502" s="107"/>
      <c r="CN502" s="107"/>
      <c r="CO502" s="107"/>
      <c r="CP502" s="107"/>
      <c r="CQ502" s="107"/>
      <c r="CR502" s="111" t="s">
        <v>179</v>
      </c>
      <c r="CS502" s="111" t="s">
        <v>179</v>
      </c>
      <c r="CT502" s="111" t="s">
        <v>179</v>
      </c>
      <c r="CU502" s="111" t="s">
        <v>179</v>
      </c>
      <c r="CV502" s="111" t="s">
        <v>179</v>
      </c>
      <c r="CW502" s="111" t="s">
        <v>179</v>
      </c>
      <c r="CX502" s="107" t="s">
        <v>153</v>
      </c>
      <c r="CY502" s="107"/>
      <c r="CZ502" s="107"/>
      <c r="DA502" s="107"/>
      <c r="DB502" s="114"/>
      <c r="DC502" s="113"/>
      <c r="DD502" s="107" t="s">
        <v>153</v>
      </c>
      <c r="DE502" s="71"/>
      <c r="DF502" s="85" t="s">
        <v>3519</v>
      </c>
      <c r="DG502" s="79">
        <v>492</v>
      </c>
      <c r="DH502" s="115" t="str">
        <f t="shared" si="349"/>
        <v>Completo</v>
      </c>
      <c r="DI502" s="107" t="s">
        <v>181</v>
      </c>
      <c r="DJ502" s="107" t="s">
        <v>182</v>
      </c>
      <c r="DK502" s="107"/>
      <c r="DL502" s="107"/>
      <c r="DM502" s="107"/>
      <c r="DN502" s="107" t="s">
        <v>182</v>
      </c>
      <c r="DO502" s="107"/>
      <c r="DP502" s="107"/>
      <c r="DQ502" s="107"/>
      <c r="DR502" s="75" t="str">
        <f t="shared" si="350"/>
        <v>No aplica</v>
      </c>
      <c r="DS502" s="107"/>
      <c r="DT502" s="107"/>
      <c r="DU502" s="75" t="str">
        <f t="shared" si="351"/>
        <v>No aplica</v>
      </c>
      <c r="DV502" s="107" t="s">
        <v>182</v>
      </c>
      <c r="DW502" s="107"/>
      <c r="DX502" s="107"/>
      <c r="DY502" s="107"/>
      <c r="DZ502" s="107"/>
      <c r="EA502" s="107"/>
      <c r="EB502" s="107" t="s">
        <v>182</v>
      </c>
      <c r="EC502" s="107" t="s">
        <v>3520</v>
      </c>
      <c r="ED502" s="107"/>
      <c r="EE502" s="107" t="str">
        <f t="shared" si="344"/>
        <v>Completo</v>
      </c>
      <c r="EF502" s="113"/>
      <c r="EG502" s="107"/>
      <c r="EH502" s="112"/>
      <c r="EI502" s="108"/>
      <c r="EJ502" s="112"/>
      <c r="EK502" s="107"/>
      <c r="EL502" s="76" t="str">
        <f t="shared" si="297"/>
        <v>No requiere</v>
      </c>
      <c r="EM502" s="76" t="str">
        <f t="shared" si="298"/>
        <v>No requiere</v>
      </c>
      <c r="EN502" s="76" t="str">
        <f t="shared" si="340"/>
        <v>No requiere</v>
      </c>
      <c r="EO502" s="71"/>
      <c r="EP502" s="73" t="str">
        <f t="shared" si="299"/>
        <v>No requiere</v>
      </c>
      <c r="EQ502" s="77" t="str">
        <f t="shared" si="300"/>
        <v>No requiere</v>
      </c>
      <c r="ER502" s="112"/>
      <c r="ES502" s="107"/>
      <c r="ET502" s="73" t="str">
        <f t="shared" si="301"/>
        <v>No requiere</v>
      </c>
      <c r="EU502" s="73" t="str">
        <f t="shared" si="341"/>
        <v>No requiere</v>
      </c>
      <c r="EV502" s="73" t="str">
        <f t="shared" si="302"/>
        <v>No requiere</v>
      </c>
      <c r="EW502" s="73" t="str">
        <f t="shared" si="303"/>
        <v>No requiere</v>
      </c>
      <c r="EX502" s="116"/>
      <c r="EY502" s="116"/>
    </row>
    <row r="503" spans="1:155" ht="46.5" customHeight="1">
      <c r="A503" s="79">
        <v>499</v>
      </c>
      <c r="B503" s="80" t="s">
        <v>3521</v>
      </c>
      <c r="C503" s="81">
        <v>45441</v>
      </c>
      <c r="D503" s="82">
        <v>0.375</v>
      </c>
      <c r="E503" s="79" t="s">
        <v>151</v>
      </c>
      <c r="F503" s="79" t="s">
        <v>153</v>
      </c>
      <c r="G503" s="79" t="s">
        <v>153</v>
      </c>
      <c r="H503" s="79" t="s">
        <v>153</v>
      </c>
      <c r="I503" s="79" t="s">
        <v>152</v>
      </c>
      <c r="J503" s="79" t="s">
        <v>3522</v>
      </c>
      <c r="K503" s="79" t="s">
        <v>155</v>
      </c>
      <c r="L503" s="80" t="s">
        <v>3523</v>
      </c>
      <c r="M503" s="80" t="s">
        <v>229</v>
      </c>
      <c r="N503" s="79" t="s">
        <v>818</v>
      </c>
      <c r="O503" s="80" t="str">
        <f t="shared" si="293"/>
        <v>Carlos Eduardo Escandón, Manuel Fernando Vergara, Joan Sebastian García</v>
      </c>
      <c r="P503" s="79" t="s">
        <v>819</v>
      </c>
      <c r="Q503" s="79" t="s">
        <v>820</v>
      </c>
      <c r="R503" s="79" t="s">
        <v>728</v>
      </c>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t="s">
        <v>304</v>
      </c>
      <c r="AP503" s="79"/>
      <c r="AQ503" s="80" t="s">
        <v>2801</v>
      </c>
      <c r="AR503" s="83">
        <v>3103418422</v>
      </c>
      <c r="AS503" s="80" t="s">
        <v>3524</v>
      </c>
      <c r="AT503" s="80" t="str">
        <f t="shared" si="294"/>
        <v>Suba</v>
      </c>
      <c r="AU503" s="79" t="s">
        <v>602</v>
      </c>
      <c r="AV503" s="79"/>
      <c r="AW503" s="79"/>
      <c r="AX503" s="79"/>
      <c r="AY503" s="79"/>
      <c r="AZ503" s="79"/>
      <c r="BA503" s="80" t="str">
        <f t="shared" si="295"/>
        <v>Noroccidente, Norte</v>
      </c>
      <c r="BB503" s="79" t="s">
        <v>603</v>
      </c>
      <c r="BC503" s="79" t="s">
        <v>662</v>
      </c>
      <c r="BD503" s="79"/>
      <c r="BE503" s="79"/>
      <c r="BF503" s="79"/>
      <c r="BG503" s="79"/>
      <c r="BH503" s="80" t="str">
        <f t="shared" si="296"/>
        <v>Suba, Suba Rincón, Tibabuyes, Niza, Britalia, Torca</v>
      </c>
      <c r="BI503" s="79" t="s">
        <v>602</v>
      </c>
      <c r="BJ503" s="79" t="s">
        <v>604</v>
      </c>
      <c r="BK503" s="79" t="s">
        <v>1378</v>
      </c>
      <c r="BL503" s="79" t="s">
        <v>865</v>
      </c>
      <c r="BM503" s="79" t="s">
        <v>1313</v>
      </c>
      <c r="BN503" s="79" t="s">
        <v>805</v>
      </c>
      <c r="BO503" s="79"/>
      <c r="BP503" s="79"/>
      <c r="BQ503" s="79"/>
      <c r="BR503" s="79"/>
      <c r="BS503" s="80" t="s">
        <v>3525</v>
      </c>
      <c r="BT503" s="80" t="s">
        <v>3526</v>
      </c>
      <c r="BU503" s="80" t="s">
        <v>3527</v>
      </c>
      <c r="BV503" s="71"/>
      <c r="BW503" s="79" t="s">
        <v>152</v>
      </c>
      <c r="BX503" s="79" t="s">
        <v>179</v>
      </c>
      <c r="BY503" s="71"/>
      <c r="BZ503" s="79">
        <v>71</v>
      </c>
      <c r="CA503" s="79">
        <v>9</v>
      </c>
      <c r="CB503" s="79">
        <f t="shared" si="281"/>
        <v>80</v>
      </c>
      <c r="CC503" s="79" t="str">
        <f t="shared" si="316"/>
        <v>Horarios Acordes, Accesibilidad Universal, Contenidos adaptados</v>
      </c>
      <c r="CD503" s="79" t="s">
        <v>351</v>
      </c>
      <c r="CE503" s="79" t="s">
        <v>397</v>
      </c>
      <c r="CF503" s="79" t="s">
        <v>350</v>
      </c>
      <c r="CG503" s="83" t="s">
        <v>3528</v>
      </c>
      <c r="CH503" s="41"/>
      <c r="CI503" s="79" t="s">
        <v>153</v>
      </c>
      <c r="CJ503" s="71"/>
      <c r="CK503" s="79">
        <f t="shared" ref="CK503:CK507" si="352">COUNTIF(CL503:CQ503,"*")</f>
        <v>3</v>
      </c>
      <c r="CL503" s="79" t="s">
        <v>3529</v>
      </c>
      <c r="CM503" s="79" t="s">
        <v>3530</v>
      </c>
      <c r="CN503" s="92" t="s">
        <v>3531</v>
      </c>
      <c r="CO503" s="79"/>
      <c r="CP503" s="79"/>
      <c r="CQ503" s="79"/>
      <c r="CR503" s="83" t="s">
        <v>390</v>
      </c>
      <c r="CS503" s="83" t="s">
        <v>390</v>
      </c>
      <c r="CT503" s="83" t="s">
        <v>920</v>
      </c>
      <c r="CU503" s="83" t="s">
        <v>179</v>
      </c>
      <c r="CV503" s="83" t="s">
        <v>179</v>
      </c>
      <c r="CW503" s="83" t="s">
        <v>179</v>
      </c>
      <c r="CX503" s="79" t="s">
        <v>153</v>
      </c>
      <c r="CY503" s="79">
        <v>3</v>
      </c>
      <c r="CZ503" s="79">
        <v>2</v>
      </c>
      <c r="DA503" s="79">
        <v>2</v>
      </c>
      <c r="DB503" s="84">
        <f t="shared" ref="DB503:DB507" si="353">IFERROR(CY503/CK503,"")</f>
        <v>1</v>
      </c>
      <c r="DC503" s="41"/>
      <c r="DD503" s="79" t="s">
        <v>153</v>
      </c>
      <c r="DE503" s="71"/>
      <c r="DF503" s="85" t="s">
        <v>3532</v>
      </c>
      <c r="DG503" s="79">
        <v>493</v>
      </c>
      <c r="DH503" s="86" t="str">
        <f t="shared" si="349"/>
        <v>Completo</v>
      </c>
      <c r="DI503" s="79" t="s">
        <v>181</v>
      </c>
      <c r="DJ503" s="79" t="s">
        <v>182</v>
      </c>
      <c r="DK503" s="79" t="s">
        <v>153</v>
      </c>
      <c r="DL503" s="79">
        <v>14</v>
      </c>
      <c r="DM503" s="79">
        <v>13</v>
      </c>
      <c r="DN503" s="79" t="s">
        <v>182</v>
      </c>
      <c r="DO503" s="79">
        <v>255</v>
      </c>
      <c r="DP503" s="79" t="s">
        <v>182</v>
      </c>
      <c r="DQ503" s="79">
        <v>18</v>
      </c>
      <c r="DR503" s="75">
        <f t="shared" si="350"/>
        <v>0.84507042253521125</v>
      </c>
      <c r="DS503" s="79" t="s">
        <v>182</v>
      </c>
      <c r="DT503" s="79">
        <v>25</v>
      </c>
      <c r="DU503" s="75">
        <f t="shared" si="351"/>
        <v>1.0060362173038231</v>
      </c>
      <c r="DV503" s="79" t="s">
        <v>182</v>
      </c>
      <c r="DW503" s="79" t="s">
        <v>182</v>
      </c>
      <c r="DX503" s="79">
        <v>5</v>
      </c>
      <c r="DY503" s="79">
        <v>2</v>
      </c>
      <c r="DZ503" s="79" t="s">
        <v>3533</v>
      </c>
      <c r="EA503" s="79">
        <v>255</v>
      </c>
      <c r="EB503" s="79" t="s">
        <v>182</v>
      </c>
      <c r="EC503" s="79" t="s">
        <v>3534</v>
      </c>
      <c r="ED503" s="79" t="s">
        <v>1743</v>
      </c>
      <c r="EE503" s="79" t="str">
        <f t="shared" si="344"/>
        <v>Completo</v>
      </c>
      <c r="EF503" s="41"/>
      <c r="EG503" s="79" t="s">
        <v>153</v>
      </c>
      <c r="EH503" s="71"/>
      <c r="EI503" s="199" t="s">
        <v>3535</v>
      </c>
      <c r="EJ503" s="71"/>
      <c r="EK503" s="79" t="s">
        <v>2418</v>
      </c>
      <c r="EL503" s="76" t="str">
        <f t="shared" si="297"/>
        <v>Sí</v>
      </c>
      <c r="EM503" s="76" t="str">
        <f t="shared" si="298"/>
        <v>Sí</v>
      </c>
      <c r="EN503" s="76" t="str">
        <f t="shared" si="340"/>
        <v>Sí</v>
      </c>
      <c r="EO503" s="71"/>
      <c r="EP503" s="73">
        <f t="shared" si="299"/>
        <v>0.9285714285714286</v>
      </c>
      <c r="EQ503" s="77">
        <f t="shared" si="300"/>
        <v>1.0060362173038231</v>
      </c>
      <c r="ER503" s="71"/>
      <c r="ES503" s="79" t="s">
        <v>393</v>
      </c>
      <c r="ET503" s="73">
        <f t="shared" si="301"/>
        <v>1</v>
      </c>
      <c r="EU503" s="73">
        <f t="shared" si="341"/>
        <v>1</v>
      </c>
      <c r="EV503" s="73">
        <f t="shared" si="302"/>
        <v>1</v>
      </c>
      <c r="EW503" s="73">
        <f t="shared" si="303"/>
        <v>1</v>
      </c>
      <c r="EX503" s="78"/>
      <c r="EY503" s="78"/>
    </row>
    <row r="504" spans="1:155" ht="46.5" customHeight="1">
      <c r="A504" s="79">
        <v>500</v>
      </c>
      <c r="B504" s="80" t="s">
        <v>3536</v>
      </c>
      <c r="C504" s="81">
        <v>45441</v>
      </c>
      <c r="D504" s="82">
        <v>0.58333333333333337</v>
      </c>
      <c r="E504" s="79" t="s">
        <v>200</v>
      </c>
      <c r="F504" s="79" t="s">
        <v>153</v>
      </c>
      <c r="G504" s="79" t="s">
        <v>152</v>
      </c>
      <c r="H504" s="79" t="s">
        <v>152</v>
      </c>
      <c r="I504" s="79" t="s">
        <v>152</v>
      </c>
      <c r="J504" s="79" t="s">
        <v>211</v>
      </c>
      <c r="K504" s="79" t="s">
        <v>155</v>
      </c>
      <c r="L504" s="80" t="s">
        <v>3537</v>
      </c>
      <c r="M504" s="80" t="s">
        <v>157</v>
      </c>
      <c r="N504" s="79" t="s">
        <v>213</v>
      </c>
      <c r="O504" s="80" t="str">
        <f t="shared" si="293"/>
        <v/>
      </c>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t="s">
        <v>230</v>
      </c>
      <c r="AP504" s="79" t="s">
        <v>242</v>
      </c>
      <c r="AQ504" s="80" t="s">
        <v>3538</v>
      </c>
      <c r="AR504" s="83" t="s">
        <v>3539</v>
      </c>
      <c r="AS504" s="80" t="s">
        <v>3540</v>
      </c>
      <c r="AT504" s="80" t="str">
        <f t="shared" si="294"/>
        <v>Distrital</v>
      </c>
      <c r="AU504" s="79" t="s">
        <v>172</v>
      </c>
      <c r="AV504" s="79"/>
      <c r="AW504" s="79"/>
      <c r="AX504" s="79"/>
      <c r="AY504" s="79"/>
      <c r="AZ504" s="79"/>
      <c r="BA504" s="80" t="str">
        <f t="shared" si="295"/>
        <v>Distrital</v>
      </c>
      <c r="BB504" s="79" t="s">
        <v>172</v>
      </c>
      <c r="BC504" s="79"/>
      <c r="BD504" s="79"/>
      <c r="BE504" s="79"/>
      <c r="BF504" s="79"/>
      <c r="BG504" s="79"/>
      <c r="BH504" s="80" t="str">
        <f t="shared" si="296"/>
        <v>Distrital</v>
      </c>
      <c r="BI504" s="79" t="s">
        <v>172</v>
      </c>
      <c r="BJ504" s="79"/>
      <c r="BK504" s="79"/>
      <c r="BL504" s="79"/>
      <c r="BM504" s="79"/>
      <c r="BN504" s="79"/>
      <c r="BO504" s="79"/>
      <c r="BP504" s="79"/>
      <c r="BQ504" s="79"/>
      <c r="BR504" s="79"/>
      <c r="BS504" s="80" t="s">
        <v>288</v>
      </c>
      <c r="BT504" s="80" t="s">
        <v>174</v>
      </c>
      <c r="BU504" s="80" t="s">
        <v>3541</v>
      </c>
      <c r="BV504" s="71"/>
      <c r="BW504" s="79" t="s">
        <v>152</v>
      </c>
      <c r="BX504" s="79" t="s">
        <v>179</v>
      </c>
      <c r="BY504" s="71"/>
      <c r="BZ504" s="79">
        <v>12</v>
      </c>
      <c r="CA504" s="79">
        <v>1</v>
      </c>
      <c r="CB504" s="79">
        <f>BZ504+CA504</f>
        <v>13</v>
      </c>
      <c r="CC504" s="79" t="str">
        <f t="shared" si="316"/>
        <v>Ninguna</v>
      </c>
      <c r="CD504" s="79" t="s">
        <v>174</v>
      </c>
      <c r="CE504" s="79"/>
      <c r="CF504" s="79"/>
      <c r="CG504" s="83" t="s">
        <v>3537</v>
      </c>
      <c r="CH504" s="41"/>
      <c r="CI504" s="79" t="s">
        <v>153</v>
      </c>
      <c r="CJ504" s="71"/>
      <c r="CK504" s="79"/>
      <c r="CL504" s="79"/>
      <c r="CM504" s="79"/>
      <c r="CN504" s="79"/>
      <c r="CO504" s="79"/>
      <c r="CP504" s="79"/>
      <c r="CQ504" s="79"/>
      <c r="CR504" s="83" t="s">
        <v>179</v>
      </c>
      <c r="CS504" s="83" t="s">
        <v>179</v>
      </c>
      <c r="CT504" s="83" t="s">
        <v>179</v>
      </c>
      <c r="CU504" s="83" t="s">
        <v>179</v>
      </c>
      <c r="CV504" s="83" t="s">
        <v>179</v>
      </c>
      <c r="CW504" s="83" t="s">
        <v>179</v>
      </c>
      <c r="CX504" s="79" t="s">
        <v>153</v>
      </c>
      <c r="CY504" s="79">
        <v>0</v>
      </c>
      <c r="CZ504" s="79">
        <v>0</v>
      </c>
      <c r="DA504" s="79">
        <v>0</v>
      </c>
      <c r="DB504" s="84"/>
      <c r="DC504" s="41"/>
      <c r="DD504" s="79" t="s">
        <v>153</v>
      </c>
      <c r="DE504" s="71"/>
      <c r="DF504" s="85" t="s">
        <v>3542</v>
      </c>
      <c r="DG504" s="79">
        <v>496</v>
      </c>
      <c r="DH504" s="86" t="str">
        <f t="shared" si="349"/>
        <v>Completo</v>
      </c>
      <c r="DI504" s="79" t="s">
        <v>181</v>
      </c>
      <c r="DJ504" s="79" t="s">
        <v>182</v>
      </c>
      <c r="DK504" s="79"/>
      <c r="DL504" s="79"/>
      <c r="DM504" s="79"/>
      <c r="DN504" s="79" t="s">
        <v>182</v>
      </c>
      <c r="DO504" s="79"/>
      <c r="DP504" s="79"/>
      <c r="DQ504" s="79"/>
      <c r="DR504" s="75" t="str">
        <f t="shared" si="350"/>
        <v>No aplica</v>
      </c>
      <c r="DS504" s="79"/>
      <c r="DT504" s="79"/>
      <c r="DU504" s="75" t="str">
        <f t="shared" si="351"/>
        <v>No aplica</v>
      </c>
      <c r="DV504" s="79" t="s">
        <v>182</v>
      </c>
      <c r="DW504" s="79" t="s">
        <v>182</v>
      </c>
      <c r="DX504" s="79"/>
      <c r="DY504" s="79"/>
      <c r="DZ504" s="79"/>
      <c r="EA504" s="79"/>
      <c r="EB504" s="79"/>
      <c r="EC504" s="79"/>
      <c r="ED504" s="79" t="s">
        <v>3543</v>
      </c>
      <c r="EE504" s="79" t="str">
        <f t="shared" si="344"/>
        <v>Completo</v>
      </c>
      <c r="EF504" s="41"/>
      <c r="EG504" s="79" t="s">
        <v>153</v>
      </c>
      <c r="EH504" s="71"/>
      <c r="EI504" s="80"/>
      <c r="EJ504" s="71"/>
      <c r="EK504" s="79"/>
      <c r="EL504" s="76" t="str">
        <f t="shared" si="297"/>
        <v>No requiere</v>
      </c>
      <c r="EM504" s="76" t="str">
        <f t="shared" si="298"/>
        <v>No requiere</v>
      </c>
      <c r="EN504" s="76" t="str">
        <f t="shared" si="340"/>
        <v>No requiere</v>
      </c>
      <c r="EO504" s="71"/>
      <c r="EP504" s="73" t="str">
        <f t="shared" si="299"/>
        <v>No requiere</v>
      </c>
      <c r="EQ504" s="77" t="str">
        <f t="shared" si="300"/>
        <v>No requiere</v>
      </c>
      <c r="ER504" s="71"/>
      <c r="ES504" s="79"/>
      <c r="ET504" s="73" t="str">
        <f t="shared" si="301"/>
        <v>No requiere</v>
      </c>
      <c r="EU504" s="73" t="str">
        <f t="shared" si="341"/>
        <v>No requiere</v>
      </c>
      <c r="EV504" s="73" t="str">
        <f t="shared" si="302"/>
        <v>No requiere</v>
      </c>
      <c r="EW504" s="73" t="str">
        <f t="shared" si="303"/>
        <v>No requiere</v>
      </c>
      <c r="EX504" s="78"/>
      <c r="EY504" s="78"/>
    </row>
    <row r="505" spans="1:155" ht="46.5" customHeight="1">
      <c r="A505" s="79">
        <v>501</v>
      </c>
      <c r="B505" s="80" t="s">
        <v>2792</v>
      </c>
      <c r="C505" s="81">
        <v>45441</v>
      </c>
      <c r="D505" s="82">
        <v>0.58333333333333337</v>
      </c>
      <c r="E505" s="79" t="s">
        <v>200</v>
      </c>
      <c r="F505" s="79" t="s">
        <v>153</v>
      </c>
      <c r="G505" s="79" t="s">
        <v>152</v>
      </c>
      <c r="H505" s="79" t="s">
        <v>152</v>
      </c>
      <c r="I505" s="79" t="s">
        <v>152</v>
      </c>
      <c r="J505" s="79" t="s">
        <v>504</v>
      </c>
      <c r="K505" s="79" t="s">
        <v>202</v>
      </c>
      <c r="L505" s="80" t="s">
        <v>3544</v>
      </c>
      <c r="M505" s="80" t="s">
        <v>157</v>
      </c>
      <c r="N505" s="79" t="s">
        <v>720</v>
      </c>
      <c r="O505" s="80" t="str">
        <f t="shared" si="293"/>
        <v/>
      </c>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t="s">
        <v>169</v>
      </c>
      <c r="AP505" s="79" t="s">
        <v>2702</v>
      </c>
      <c r="AQ505" s="80" t="s">
        <v>3545</v>
      </c>
      <c r="AR505" s="83">
        <v>3003358888</v>
      </c>
      <c r="AS505" s="80" t="s">
        <v>3546</v>
      </c>
      <c r="AT505" s="80" t="str">
        <f t="shared" si="294"/>
        <v>Ciudad Bolívar</v>
      </c>
      <c r="AU505" s="79" t="s">
        <v>217</v>
      </c>
      <c r="AV505" s="79"/>
      <c r="AW505" s="79"/>
      <c r="AX505" s="79"/>
      <c r="AY505" s="79"/>
      <c r="AZ505" s="79"/>
      <c r="BA505" s="80" t="str">
        <f t="shared" si="295"/>
        <v>Suroriente</v>
      </c>
      <c r="BB505" s="79" t="s">
        <v>218</v>
      </c>
      <c r="BC505" s="79"/>
      <c r="BD505" s="79"/>
      <c r="BE505" s="79"/>
      <c r="BF505" s="79"/>
      <c r="BG505" s="79"/>
      <c r="BH505" s="80" t="str">
        <f t="shared" si="296"/>
        <v>Arborizadora, Lucero, Cuenca del Tunjuelo</v>
      </c>
      <c r="BI505" s="79" t="s">
        <v>220</v>
      </c>
      <c r="BJ505" s="79" t="s">
        <v>221</v>
      </c>
      <c r="BK505" s="79" t="s">
        <v>222</v>
      </c>
      <c r="BL505" s="79"/>
      <c r="BM505" s="79"/>
      <c r="BN505" s="79"/>
      <c r="BO505" s="79"/>
      <c r="BP505" s="79"/>
      <c r="BQ505" s="79"/>
      <c r="BR505" s="79"/>
      <c r="BS505" s="80" t="s">
        <v>2795</v>
      </c>
      <c r="BT505" s="80" t="s">
        <v>174</v>
      </c>
      <c r="BU505" s="89" t="s">
        <v>3547</v>
      </c>
      <c r="BV505" s="71"/>
      <c r="BW505" s="79" t="s">
        <v>152</v>
      </c>
      <c r="BX505" s="79" t="s">
        <v>179</v>
      </c>
      <c r="BY505" s="71"/>
      <c r="BZ505" s="79">
        <v>15</v>
      </c>
      <c r="CA505" s="79">
        <v>1</v>
      </c>
      <c r="CB505" s="79">
        <f>BZ505+CA505</f>
        <v>16</v>
      </c>
      <c r="CC505" s="79" t="str">
        <f t="shared" si="316"/>
        <v>Ninguna</v>
      </c>
      <c r="CD505" s="79" t="s">
        <v>174</v>
      </c>
      <c r="CE505" s="79"/>
      <c r="CF505" s="79"/>
      <c r="CG505" s="83" t="s">
        <v>3548</v>
      </c>
      <c r="CH505" s="41"/>
      <c r="CI505" s="79" t="s">
        <v>153</v>
      </c>
      <c r="CJ505" s="71"/>
      <c r="CK505" s="79">
        <f>COUNTIF(CL505:CQ505,"*")</f>
        <v>0</v>
      </c>
      <c r="CL505" s="79"/>
      <c r="CM505" s="79"/>
      <c r="CN505" s="79"/>
      <c r="CO505" s="79"/>
      <c r="CP505" s="79"/>
      <c r="CQ505" s="79"/>
      <c r="CR505" s="83" t="s">
        <v>179</v>
      </c>
      <c r="CS505" s="83" t="s">
        <v>179</v>
      </c>
      <c r="CT505" s="83" t="s">
        <v>179</v>
      </c>
      <c r="CU505" s="83" t="s">
        <v>179</v>
      </c>
      <c r="CV505" s="83" t="s">
        <v>179</v>
      </c>
      <c r="CW505" s="83" t="s">
        <v>179</v>
      </c>
      <c r="CX505" s="79" t="s">
        <v>153</v>
      </c>
      <c r="CY505" s="79">
        <f>SUM(COUNTIF(CR505:CW505,"Realizado y Devuelto a la Ciudadanía"),COUNTIF(CR505:CW505,"Realizado y Trasladado por competencia"), COUNTIF(CR505:CW505,"Realizado y Gestionado"))</f>
        <v>0</v>
      </c>
      <c r="CZ505" s="79">
        <v>0</v>
      </c>
      <c r="DA505" s="79">
        <f>COUNTIF(CR505:CW505,"Realizado y Devuelto a la Ciudadanía")</f>
        <v>0</v>
      </c>
      <c r="DB505" s="84" t="str">
        <f>IFERROR(CY505/CK505,"")</f>
        <v/>
      </c>
      <c r="DC505" s="41"/>
      <c r="DD505" s="79" t="s">
        <v>153</v>
      </c>
      <c r="DE505" s="71"/>
      <c r="DF505" s="85" t="s">
        <v>3549</v>
      </c>
      <c r="DG505" s="79">
        <v>498</v>
      </c>
      <c r="DH505" s="86" t="str">
        <f t="shared" ref="DH505:DH512" si="354">IF(EE505="Por completar",C505+3,"Completo")</f>
        <v>Completo</v>
      </c>
      <c r="DI505" s="79" t="s">
        <v>181</v>
      </c>
      <c r="DJ505" s="79" t="s">
        <v>182</v>
      </c>
      <c r="DK505" s="79"/>
      <c r="DL505" s="79">
        <v>0</v>
      </c>
      <c r="DM505" s="79">
        <v>0</v>
      </c>
      <c r="DN505" s="79" t="s">
        <v>182</v>
      </c>
      <c r="DO505" s="79"/>
      <c r="DP505" s="79"/>
      <c r="DQ505" s="79"/>
      <c r="DR505" s="75" t="str">
        <f t="shared" si="350"/>
        <v>No aplica</v>
      </c>
      <c r="DS505" s="79"/>
      <c r="DT505" s="79"/>
      <c r="DU505" s="75" t="str">
        <f t="shared" si="351"/>
        <v>No aplica</v>
      </c>
      <c r="DV505" s="79" t="s">
        <v>182</v>
      </c>
      <c r="DW505" s="79" t="s">
        <v>182</v>
      </c>
      <c r="DX505" s="79"/>
      <c r="DY505" s="79"/>
      <c r="DZ505" s="79"/>
      <c r="EA505" s="79"/>
      <c r="EB505" s="79" t="s">
        <v>182</v>
      </c>
      <c r="EC505" s="79" t="s">
        <v>3550</v>
      </c>
      <c r="ED505" s="79" t="s">
        <v>1743</v>
      </c>
      <c r="EE505" s="79" t="str">
        <f>IF(DI505="Subsanado","Completo","Por Completar")</f>
        <v>Completo</v>
      </c>
      <c r="EF505" s="41"/>
      <c r="EG505" s="79" t="s">
        <v>153</v>
      </c>
      <c r="EH505" s="71"/>
      <c r="EI505" s="80"/>
      <c r="EJ505" s="71"/>
      <c r="EK505" s="79"/>
      <c r="EL505" s="76" t="str">
        <f t="shared" si="297"/>
        <v>No requiere</v>
      </c>
      <c r="EM505" s="76" t="str">
        <f t="shared" si="298"/>
        <v>No requiere</v>
      </c>
      <c r="EN505" s="76" t="str">
        <f t="shared" si="340"/>
        <v>No requiere</v>
      </c>
      <c r="EO505" s="71"/>
      <c r="EP505" s="73" t="str">
        <f t="shared" si="299"/>
        <v>No requiere</v>
      </c>
      <c r="EQ505" s="77" t="str">
        <f t="shared" si="300"/>
        <v>No requiere</v>
      </c>
      <c r="ER505" s="71"/>
      <c r="ES505" s="79"/>
      <c r="ET505" s="73" t="str">
        <f t="shared" si="301"/>
        <v>No requiere</v>
      </c>
      <c r="EU505" s="73" t="str">
        <f t="shared" si="341"/>
        <v>No requiere</v>
      </c>
      <c r="EV505" s="73" t="str">
        <f t="shared" si="302"/>
        <v>No requiere</v>
      </c>
      <c r="EW505" s="73" t="str">
        <f t="shared" si="303"/>
        <v>No requiere</v>
      </c>
      <c r="EX505" s="78"/>
      <c r="EY505" s="78"/>
    </row>
    <row r="506" spans="1:155" ht="46.5" customHeight="1">
      <c r="A506" s="107">
        <v>502</v>
      </c>
      <c r="B506" s="80" t="s">
        <v>3035</v>
      </c>
      <c r="C506" s="109">
        <v>45441</v>
      </c>
      <c r="D506" s="110">
        <v>0.625</v>
      </c>
      <c r="E506" s="107" t="s">
        <v>151</v>
      </c>
      <c r="F506" s="107" t="s">
        <v>153</v>
      </c>
      <c r="G506" s="107" t="s">
        <v>152</v>
      </c>
      <c r="H506" s="107" t="s">
        <v>152</v>
      </c>
      <c r="I506" s="107" t="s">
        <v>152</v>
      </c>
      <c r="J506" s="107" t="s">
        <v>154</v>
      </c>
      <c r="K506" s="107" t="s">
        <v>155</v>
      </c>
      <c r="L506" s="108" t="s">
        <v>2844</v>
      </c>
      <c r="M506" s="108" t="s">
        <v>303</v>
      </c>
      <c r="N506" s="107" t="s">
        <v>645</v>
      </c>
      <c r="O506" s="80" t="str">
        <f t="shared" si="293"/>
        <v>Nicolás Enrique Moncaleano, César Augusto Barrantes, Manuel Fernando Vergara, Mario Herrera</v>
      </c>
      <c r="P506" s="107" t="s">
        <v>966</v>
      </c>
      <c r="Q506" s="107" t="s">
        <v>729</v>
      </c>
      <c r="R506" s="107" t="s">
        <v>820</v>
      </c>
      <c r="S506" s="107" t="s">
        <v>631</v>
      </c>
      <c r="T506" s="107"/>
      <c r="U506" s="107"/>
      <c r="V506" s="107"/>
      <c r="W506" s="107"/>
      <c r="X506" s="107"/>
      <c r="Y506" s="107"/>
      <c r="Z506" s="107"/>
      <c r="AA506" s="107"/>
      <c r="AB506" s="107"/>
      <c r="AC506" s="107"/>
      <c r="AD506" s="107"/>
      <c r="AE506" s="107"/>
      <c r="AF506" s="107"/>
      <c r="AG506" s="107"/>
      <c r="AH506" s="107"/>
      <c r="AI506" s="107"/>
      <c r="AJ506" s="107"/>
      <c r="AK506" s="107"/>
      <c r="AL506" s="107"/>
      <c r="AM506" s="107"/>
      <c r="AN506" s="107"/>
      <c r="AO506" s="107" t="s">
        <v>169</v>
      </c>
      <c r="AP506" s="107" t="s">
        <v>475</v>
      </c>
      <c r="AQ506" s="108" t="s">
        <v>171</v>
      </c>
      <c r="AR506" s="111" t="s">
        <v>171</v>
      </c>
      <c r="AS506" s="108" t="s">
        <v>171</v>
      </c>
      <c r="AT506" s="80" t="str">
        <f t="shared" si="294"/>
        <v>Distrital</v>
      </c>
      <c r="AU506" s="107" t="s">
        <v>172</v>
      </c>
      <c r="AV506" s="107"/>
      <c r="AW506" s="107"/>
      <c r="AX506" s="107"/>
      <c r="AY506" s="107"/>
      <c r="AZ506" s="107"/>
      <c r="BA506" s="80" t="str">
        <f t="shared" si="295"/>
        <v>Distrital</v>
      </c>
      <c r="BB506" s="107" t="s">
        <v>172</v>
      </c>
      <c r="BC506" s="107"/>
      <c r="BD506" s="107"/>
      <c r="BE506" s="107"/>
      <c r="BF506" s="107"/>
      <c r="BG506" s="107"/>
      <c r="BH506" s="80" t="str">
        <f t="shared" si="296"/>
        <v>Distrital</v>
      </c>
      <c r="BI506" s="107" t="s">
        <v>172</v>
      </c>
      <c r="BJ506" s="107"/>
      <c r="BK506" s="107"/>
      <c r="BL506" s="107"/>
      <c r="BM506" s="107"/>
      <c r="BN506" s="107"/>
      <c r="BO506" s="107"/>
      <c r="BP506" s="107"/>
      <c r="BQ506" s="107"/>
      <c r="BR506" s="107"/>
      <c r="BS506" s="108" t="s">
        <v>2598</v>
      </c>
      <c r="BT506" s="108" t="s">
        <v>174</v>
      </c>
      <c r="BU506" s="108" t="s">
        <v>2599</v>
      </c>
      <c r="BV506" s="112"/>
      <c r="BW506" s="107" t="s">
        <v>153</v>
      </c>
      <c r="BX506" s="107" t="s">
        <v>2600</v>
      </c>
      <c r="BY506" s="112"/>
      <c r="BZ506" s="107">
        <v>150</v>
      </c>
      <c r="CA506" s="107">
        <v>6</v>
      </c>
      <c r="CB506" s="107">
        <f t="shared" si="281"/>
        <v>156</v>
      </c>
      <c r="CC506" s="79" t="str">
        <f t="shared" si="316"/>
        <v>Ninguna</v>
      </c>
      <c r="CD506" s="107" t="s">
        <v>174</v>
      </c>
      <c r="CE506" s="107"/>
      <c r="CF506" s="107"/>
      <c r="CG506" s="111" t="s">
        <v>3551</v>
      </c>
      <c r="CH506" s="113"/>
      <c r="CI506" s="107" t="s">
        <v>153</v>
      </c>
      <c r="CJ506" s="112"/>
      <c r="CK506" s="107">
        <f t="shared" si="352"/>
        <v>0</v>
      </c>
      <c r="CL506" s="107"/>
      <c r="CM506" s="107"/>
      <c r="CN506" s="107"/>
      <c r="CO506" s="107"/>
      <c r="CP506" s="107"/>
      <c r="CQ506" s="107"/>
      <c r="CR506" s="111" t="s">
        <v>179</v>
      </c>
      <c r="CS506" s="111" t="s">
        <v>179</v>
      </c>
      <c r="CT506" s="111" t="s">
        <v>179</v>
      </c>
      <c r="CU506" s="111" t="s">
        <v>179</v>
      </c>
      <c r="CV506" s="111" t="s">
        <v>179</v>
      </c>
      <c r="CW506" s="111" t="s">
        <v>179</v>
      </c>
      <c r="CX506" s="107" t="s">
        <v>153</v>
      </c>
      <c r="CY506" s="107">
        <f t="shared" ref="CY506:CY507" si="355">SUM(COUNTIF(CR506:CW506,"Realizado y Devuelto a la Ciudadanía"),COUNTIF(CR506:CW506,"Realizado y Trasladado por competencia"), COUNTIF(CR506:CW506,"Realizado y Gestionado"))</f>
        <v>0</v>
      </c>
      <c r="CZ506" s="107">
        <v>0</v>
      </c>
      <c r="DA506" s="107">
        <f t="shared" ref="DA506:DA507" si="356">COUNTIF(CR506:CW506,"Realizado y Devuelto a la Ciudadanía")</f>
        <v>0</v>
      </c>
      <c r="DB506" s="114" t="str">
        <f t="shared" si="353"/>
        <v/>
      </c>
      <c r="DC506" s="113"/>
      <c r="DD506" s="107" t="s">
        <v>153</v>
      </c>
      <c r="DE506" s="71"/>
      <c r="DF506" s="85" t="s">
        <v>3552</v>
      </c>
      <c r="DG506" s="79">
        <v>494</v>
      </c>
      <c r="DH506" s="115" t="str">
        <f t="shared" si="354"/>
        <v>Completo</v>
      </c>
      <c r="DI506" s="107" t="s">
        <v>181</v>
      </c>
      <c r="DJ506" s="107" t="s">
        <v>182</v>
      </c>
      <c r="DK506" s="107"/>
      <c r="DL506" s="107">
        <v>0</v>
      </c>
      <c r="DM506" s="107">
        <v>0</v>
      </c>
      <c r="DN506" s="107" t="s">
        <v>182</v>
      </c>
      <c r="DO506" s="107"/>
      <c r="DP506" s="107"/>
      <c r="DQ506" s="107"/>
      <c r="DR506" s="75" t="str">
        <f t="shared" si="350"/>
        <v>No aplica</v>
      </c>
      <c r="DS506" s="107"/>
      <c r="DT506" s="107"/>
      <c r="DU506" s="75" t="str">
        <f t="shared" si="351"/>
        <v>No aplica</v>
      </c>
      <c r="DV506" s="107" t="s">
        <v>182</v>
      </c>
      <c r="DW506" s="107" t="s">
        <v>191</v>
      </c>
      <c r="DX506" s="107"/>
      <c r="DY506" s="107"/>
      <c r="DZ506" s="107"/>
      <c r="EA506" s="107"/>
      <c r="EB506" s="107" t="s">
        <v>182</v>
      </c>
      <c r="EC506" s="107" t="s">
        <v>3520</v>
      </c>
      <c r="ED506" s="107" t="s">
        <v>1743</v>
      </c>
      <c r="EE506" s="107" t="str">
        <f t="shared" si="344"/>
        <v>Completo</v>
      </c>
      <c r="EF506" s="113"/>
      <c r="EG506" s="107" t="s">
        <v>153</v>
      </c>
      <c r="EH506" s="112"/>
      <c r="EI506" s="108"/>
      <c r="EJ506" s="112"/>
      <c r="EK506" s="107"/>
      <c r="EL506" s="76" t="str">
        <f t="shared" si="297"/>
        <v>No requiere</v>
      </c>
      <c r="EM506" s="76" t="str">
        <f t="shared" si="298"/>
        <v>No requiere</v>
      </c>
      <c r="EN506" s="76" t="str">
        <f t="shared" si="340"/>
        <v>No requiere</v>
      </c>
      <c r="EO506" s="71"/>
      <c r="EP506" s="73" t="str">
        <f t="shared" si="299"/>
        <v>No requiere</v>
      </c>
      <c r="EQ506" s="77" t="str">
        <f t="shared" si="300"/>
        <v>No requiere</v>
      </c>
      <c r="ER506" s="112"/>
      <c r="ES506" s="107"/>
      <c r="ET506" s="73" t="str">
        <f t="shared" si="301"/>
        <v>No requiere</v>
      </c>
      <c r="EU506" s="73" t="str">
        <f t="shared" si="341"/>
        <v>No requiere</v>
      </c>
      <c r="EV506" s="73" t="str">
        <f t="shared" si="302"/>
        <v>No requiere</v>
      </c>
      <c r="EW506" s="73" t="str">
        <f t="shared" si="303"/>
        <v>No requiere</v>
      </c>
      <c r="EX506" s="116"/>
      <c r="EY506" s="116"/>
    </row>
    <row r="507" spans="1:155" ht="46.5" customHeight="1">
      <c r="A507" s="79">
        <v>503</v>
      </c>
      <c r="B507" s="80" t="s">
        <v>3553</v>
      </c>
      <c r="C507" s="81">
        <v>45441</v>
      </c>
      <c r="D507" s="82">
        <v>0.625</v>
      </c>
      <c r="E507" s="79" t="s">
        <v>151</v>
      </c>
      <c r="F507" s="79" t="s">
        <v>153</v>
      </c>
      <c r="G507" s="79" t="s">
        <v>152</v>
      </c>
      <c r="H507" s="79" t="s">
        <v>152</v>
      </c>
      <c r="I507" s="79" t="s">
        <v>152</v>
      </c>
      <c r="J507" s="79" t="s">
        <v>272</v>
      </c>
      <c r="K507" s="79" t="s">
        <v>202</v>
      </c>
      <c r="L507" s="80" t="s">
        <v>3554</v>
      </c>
      <c r="M507" s="80" t="s">
        <v>157</v>
      </c>
      <c r="N507" s="79" t="s">
        <v>168</v>
      </c>
      <c r="O507" s="80" t="str">
        <f t="shared" si="293"/>
        <v/>
      </c>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t="s">
        <v>169</v>
      </c>
      <c r="AP507" s="79"/>
      <c r="AQ507" s="80" t="s">
        <v>3555</v>
      </c>
      <c r="AR507" s="83" t="s">
        <v>171</v>
      </c>
      <c r="AS507" s="80" t="s">
        <v>3556</v>
      </c>
      <c r="AT507" s="80" t="str">
        <f t="shared" si="294"/>
        <v>Distrital</v>
      </c>
      <c r="AU507" s="79" t="s">
        <v>172</v>
      </c>
      <c r="AV507" s="79"/>
      <c r="AW507" s="79"/>
      <c r="AX507" s="79"/>
      <c r="AY507" s="79"/>
      <c r="AZ507" s="79"/>
      <c r="BA507" s="80" t="str">
        <f t="shared" si="295"/>
        <v>Distrital</v>
      </c>
      <c r="BB507" s="79" t="s">
        <v>172</v>
      </c>
      <c r="BC507" s="79"/>
      <c r="BD507" s="79"/>
      <c r="BE507" s="79"/>
      <c r="BF507" s="79"/>
      <c r="BG507" s="79"/>
      <c r="BH507" s="80" t="str">
        <f t="shared" si="296"/>
        <v>Distrital</v>
      </c>
      <c r="BI507" s="79" t="s">
        <v>172</v>
      </c>
      <c r="BJ507" s="79"/>
      <c r="BK507" s="79"/>
      <c r="BL507" s="79"/>
      <c r="BM507" s="79"/>
      <c r="BN507" s="79"/>
      <c r="BO507" s="79"/>
      <c r="BP507" s="79"/>
      <c r="BQ507" s="79"/>
      <c r="BR507" s="79"/>
      <c r="BS507" s="80" t="s">
        <v>288</v>
      </c>
      <c r="BT507" s="80" t="s">
        <v>174</v>
      </c>
      <c r="BU507" s="89" t="s">
        <v>3557</v>
      </c>
      <c r="BV507" s="71"/>
      <c r="BW507" s="79" t="s">
        <v>152</v>
      </c>
      <c r="BX507" s="79" t="s">
        <v>179</v>
      </c>
      <c r="BY507" s="71"/>
      <c r="BZ507" s="79">
        <v>80</v>
      </c>
      <c r="CA507" s="79">
        <v>1</v>
      </c>
      <c r="CB507" s="79">
        <f t="shared" si="281"/>
        <v>81</v>
      </c>
      <c r="CC507" s="79" t="str">
        <f t="shared" si="316"/>
        <v>Ninguna</v>
      </c>
      <c r="CD507" s="79" t="s">
        <v>174</v>
      </c>
      <c r="CE507" s="79"/>
      <c r="CF507" s="79"/>
      <c r="CG507" s="83" t="s">
        <v>3558</v>
      </c>
      <c r="CH507" s="41"/>
      <c r="CI507" s="79" t="s">
        <v>153</v>
      </c>
      <c r="CJ507" s="71"/>
      <c r="CK507" s="79">
        <f t="shared" si="352"/>
        <v>0</v>
      </c>
      <c r="CL507" s="79"/>
      <c r="CM507" s="79"/>
      <c r="CN507" s="79"/>
      <c r="CO507" s="79"/>
      <c r="CP507" s="79"/>
      <c r="CQ507" s="79"/>
      <c r="CR507" s="83"/>
      <c r="CS507" s="83"/>
      <c r="CT507" s="83"/>
      <c r="CU507" s="83"/>
      <c r="CV507" s="83"/>
      <c r="CW507" s="83"/>
      <c r="CX507" s="79"/>
      <c r="CY507" s="79">
        <f t="shared" si="355"/>
        <v>0</v>
      </c>
      <c r="CZ507" s="79">
        <v>0</v>
      </c>
      <c r="DA507" s="79">
        <f t="shared" si="356"/>
        <v>0</v>
      </c>
      <c r="DB507" s="84" t="str">
        <f t="shared" si="353"/>
        <v/>
      </c>
      <c r="DC507" s="41"/>
      <c r="DD507" s="79"/>
      <c r="DE507" s="71"/>
      <c r="DF507" s="85" t="s">
        <v>3559</v>
      </c>
      <c r="DG507" s="79">
        <v>495</v>
      </c>
      <c r="DH507" s="86">
        <f t="shared" si="354"/>
        <v>45444</v>
      </c>
      <c r="DI507" s="79" t="s">
        <v>3560</v>
      </c>
      <c r="DJ507" s="79" t="s">
        <v>2659</v>
      </c>
      <c r="DK507" s="79"/>
      <c r="DL507" s="79">
        <v>0</v>
      </c>
      <c r="DM507" s="79">
        <v>0</v>
      </c>
      <c r="DN507" s="79"/>
      <c r="DO507" s="79"/>
      <c r="DP507" s="79"/>
      <c r="DQ507" s="79"/>
      <c r="DR507" s="75" t="str">
        <f t="shared" si="350"/>
        <v>No aplica</v>
      </c>
      <c r="DS507" s="79"/>
      <c r="DT507" s="79"/>
      <c r="DU507" s="75" t="str">
        <f t="shared" si="351"/>
        <v>No aplica</v>
      </c>
      <c r="DV507" s="79" t="s">
        <v>2659</v>
      </c>
      <c r="DW507" s="79" t="s">
        <v>2659</v>
      </c>
      <c r="DX507" s="79"/>
      <c r="DY507" s="79"/>
      <c r="DZ507" s="79"/>
      <c r="EA507" s="79"/>
      <c r="EB507" s="79"/>
      <c r="EC507" s="79"/>
      <c r="ED507" s="79" t="s">
        <v>770</v>
      </c>
      <c r="EE507" s="79" t="str">
        <f t="shared" si="344"/>
        <v>Por Completar</v>
      </c>
      <c r="EF507" s="41"/>
      <c r="EG507" s="79" t="s">
        <v>152</v>
      </c>
      <c r="EH507" s="71"/>
      <c r="EI507" s="80"/>
      <c r="EJ507" s="71"/>
      <c r="EK507" s="79"/>
      <c r="EL507" s="76" t="str">
        <f t="shared" si="297"/>
        <v>No requiere</v>
      </c>
      <c r="EM507" s="76" t="str">
        <f t="shared" si="298"/>
        <v>No requiere</v>
      </c>
      <c r="EN507" s="76" t="str">
        <f t="shared" si="340"/>
        <v>No requiere</v>
      </c>
      <c r="EO507" s="71"/>
      <c r="EP507" s="73" t="str">
        <f t="shared" si="299"/>
        <v>No requiere</v>
      </c>
      <c r="EQ507" s="77" t="str">
        <f t="shared" si="300"/>
        <v>No requiere</v>
      </c>
      <c r="ER507" s="71"/>
      <c r="ES507" s="79"/>
      <c r="ET507" s="73" t="str">
        <f t="shared" si="301"/>
        <v>No requiere</v>
      </c>
      <c r="EU507" s="73" t="str">
        <f t="shared" si="341"/>
        <v>No requiere</v>
      </c>
      <c r="EV507" s="73" t="str">
        <f t="shared" si="302"/>
        <v>No requiere</v>
      </c>
      <c r="EW507" s="73" t="str">
        <f t="shared" si="303"/>
        <v>No requiere</v>
      </c>
      <c r="EX507" s="78"/>
      <c r="EY507" s="78"/>
    </row>
    <row r="508" spans="1:155" ht="46.5" customHeight="1">
      <c r="A508" s="79">
        <v>504</v>
      </c>
      <c r="B508" s="80" t="s">
        <v>3561</v>
      </c>
      <c r="C508" s="81">
        <v>45441</v>
      </c>
      <c r="D508" s="82">
        <v>0.625</v>
      </c>
      <c r="E508" s="79" t="s">
        <v>151</v>
      </c>
      <c r="F508" s="79" t="s">
        <v>153</v>
      </c>
      <c r="G508" s="79" t="s">
        <v>153</v>
      </c>
      <c r="H508" s="79" t="s">
        <v>152</v>
      </c>
      <c r="I508" s="79" t="s">
        <v>152</v>
      </c>
      <c r="J508" s="79" t="s">
        <v>1711</v>
      </c>
      <c r="K508" s="79" t="s">
        <v>202</v>
      </c>
      <c r="L508" s="80" t="s">
        <v>3562</v>
      </c>
      <c r="M508" s="80" t="s">
        <v>157</v>
      </c>
      <c r="N508" s="79" t="s">
        <v>887</v>
      </c>
      <c r="O508" s="80" t="str">
        <f t="shared" si="293"/>
        <v>Yeiker Guerra Sarmiento</v>
      </c>
      <c r="P508" s="79" t="s">
        <v>163</v>
      </c>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t="s">
        <v>230</v>
      </c>
      <c r="AP508" s="79" t="s">
        <v>347</v>
      </c>
      <c r="AQ508" s="80" t="s">
        <v>1192</v>
      </c>
      <c r="AR508" s="83">
        <v>3143909467</v>
      </c>
      <c r="AS508" s="80" t="s">
        <v>3563</v>
      </c>
      <c r="AT508" s="80" t="str">
        <f t="shared" si="294"/>
        <v>Distrital</v>
      </c>
      <c r="AU508" s="79" t="s">
        <v>172</v>
      </c>
      <c r="AV508" s="79"/>
      <c r="AW508" s="79"/>
      <c r="AX508" s="79"/>
      <c r="AY508" s="79"/>
      <c r="AZ508" s="79"/>
      <c r="BA508" s="80" t="str">
        <f t="shared" si="295"/>
        <v>Distrital</v>
      </c>
      <c r="BB508" s="79" t="s">
        <v>172</v>
      </c>
      <c r="BC508" s="79"/>
      <c r="BD508" s="79"/>
      <c r="BE508" s="79"/>
      <c r="BF508" s="79"/>
      <c r="BG508" s="79"/>
      <c r="BH508" s="80" t="str">
        <f t="shared" si="296"/>
        <v>Distrital</v>
      </c>
      <c r="BI508" s="79" t="s">
        <v>172</v>
      </c>
      <c r="BJ508" s="79"/>
      <c r="BK508" s="79"/>
      <c r="BL508" s="79"/>
      <c r="BM508" s="79"/>
      <c r="BN508" s="79"/>
      <c r="BO508" s="79"/>
      <c r="BP508" s="79"/>
      <c r="BQ508" s="79"/>
      <c r="BR508" s="79"/>
      <c r="BS508" s="80" t="s">
        <v>3564</v>
      </c>
      <c r="BT508" s="80" t="s">
        <v>174</v>
      </c>
      <c r="BU508" s="89" t="s">
        <v>3565</v>
      </c>
      <c r="BV508" s="71"/>
      <c r="BW508" s="79" t="s">
        <v>152</v>
      </c>
      <c r="BX508" s="79" t="s">
        <v>179</v>
      </c>
      <c r="BY508" s="71"/>
      <c r="BZ508" s="79">
        <v>2</v>
      </c>
      <c r="CA508" s="79">
        <v>2</v>
      </c>
      <c r="CB508" s="79">
        <f>BZ508+CA508</f>
        <v>4</v>
      </c>
      <c r="CC508" s="79" t="str">
        <f t="shared" si="316"/>
        <v>Ninguna</v>
      </c>
      <c r="CD508" s="79" t="s">
        <v>174</v>
      </c>
      <c r="CE508" s="79"/>
      <c r="CF508" s="79"/>
      <c r="CG508" s="83" t="s">
        <v>3566</v>
      </c>
      <c r="CH508" s="41"/>
      <c r="CI508" s="79" t="s">
        <v>153</v>
      </c>
      <c r="CJ508" s="71"/>
      <c r="CK508" s="79">
        <f>COUNTIF(CL508:CQ508,"*")</f>
        <v>0</v>
      </c>
      <c r="CL508" s="79"/>
      <c r="CM508" s="79"/>
      <c r="CN508" s="79"/>
      <c r="CO508" s="79"/>
      <c r="CP508" s="79"/>
      <c r="CQ508" s="79"/>
      <c r="CR508" s="83" t="s">
        <v>179</v>
      </c>
      <c r="CS508" s="83" t="s">
        <v>179</v>
      </c>
      <c r="CT508" s="83" t="s">
        <v>179</v>
      </c>
      <c r="CU508" s="83" t="s">
        <v>179</v>
      </c>
      <c r="CV508" s="83" t="s">
        <v>179</v>
      </c>
      <c r="CW508" s="83" t="s">
        <v>179</v>
      </c>
      <c r="CX508" s="79" t="s">
        <v>153</v>
      </c>
      <c r="CY508" s="79">
        <f>SUM(COUNTIF(CR508:CW508,"Realizado y Devuelto a la Ciudadanía"),COUNTIF(CR508:CW508,"Realizado y Trasladado por competencia"), COUNTIF(CR508:CW508,"Realizado y Gestionado"))</f>
        <v>0</v>
      </c>
      <c r="CZ508" s="79">
        <v>0</v>
      </c>
      <c r="DA508" s="79">
        <f>COUNTIF(CR508:CW508,"Realizado y Devuelto a la Ciudadanía")</f>
        <v>0</v>
      </c>
      <c r="DB508" s="84" t="str">
        <f>IFERROR(CY508/CK508,"")</f>
        <v/>
      </c>
      <c r="DC508" s="41"/>
      <c r="DD508" s="79" t="s">
        <v>153</v>
      </c>
      <c r="DE508" s="71"/>
      <c r="DF508" s="85" t="s">
        <v>3567</v>
      </c>
      <c r="DG508" s="79">
        <v>497</v>
      </c>
      <c r="DH508" s="86" t="str">
        <f t="shared" si="354"/>
        <v>Completo</v>
      </c>
      <c r="DI508" s="79" t="s">
        <v>181</v>
      </c>
      <c r="DJ508" s="79" t="s">
        <v>182</v>
      </c>
      <c r="DK508" s="79"/>
      <c r="DL508" s="79">
        <v>0</v>
      </c>
      <c r="DM508" s="79">
        <v>0</v>
      </c>
      <c r="DN508" s="79" t="s">
        <v>182</v>
      </c>
      <c r="DO508" s="79"/>
      <c r="DP508" s="79"/>
      <c r="DQ508" s="79"/>
      <c r="DR508" s="75" t="str">
        <f t="shared" si="350"/>
        <v>No aplica</v>
      </c>
      <c r="DS508" s="79"/>
      <c r="DT508" s="79"/>
      <c r="DU508" s="75" t="str">
        <f t="shared" si="351"/>
        <v>No aplica</v>
      </c>
      <c r="DV508" s="79" t="s">
        <v>182</v>
      </c>
      <c r="DW508" s="79" t="s">
        <v>182</v>
      </c>
      <c r="DX508" s="79"/>
      <c r="DY508" s="79"/>
      <c r="DZ508" s="79"/>
      <c r="EA508" s="79"/>
      <c r="EB508" s="79"/>
      <c r="EC508" s="79"/>
      <c r="ED508" s="79" t="s">
        <v>184</v>
      </c>
      <c r="EE508" s="79" t="str">
        <f>IF(DI508="Subsanado","Completo","Por Completar")</f>
        <v>Completo</v>
      </c>
      <c r="EF508" s="41"/>
      <c r="EG508" s="79" t="s">
        <v>153</v>
      </c>
      <c r="EH508" s="71"/>
      <c r="EI508" s="80"/>
      <c r="EJ508" s="71"/>
      <c r="EK508" s="79"/>
      <c r="EL508" s="76" t="str">
        <f t="shared" si="297"/>
        <v>No requiere</v>
      </c>
      <c r="EM508" s="76" t="str">
        <f t="shared" si="298"/>
        <v>No requiere</v>
      </c>
      <c r="EN508" s="76" t="str">
        <f t="shared" si="340"/>
        <v>No requiere</v>
      </c>
      <c r="EO508" s="71"/>
      <c r="EP508" s="73" t="str">
        <f t="shared" si="299"/>
        <v>No requiere</v>
      </c>
      <c r="EQ508" s="77" t="str">
        <f t="shared" si="300"/>
        <v>No requiere</v>
      </c>
      <c r="ER508" s="71"/>
      <c r="ES508" s="79"/>
      <c r="ET508" s="73" t="str">
        <f t="shared" si="301"/>
        <v>No requiere</v>
      </c>
      <c r="EU508" s="73" t="str">
        <f t="shared" si="341"/>
        <v>No requiere</v>
      </c>
      <c r="EV508" s="73" t="str">
        <f t="shared" si="302"/>
        <v>No requiere</v>
      </c>
      <c r="EW508" s="73" t="str">
        <f t="shared" si="303"/>
        <v>No requiere</v>
      </c>
      <c r="EX508" s="78"/>
      <c r="EY508" s="78"/>
    </row>
    <row r="509" spans="1:155" ht="46.5" customHeight="1">
      <c r="A509" s="79">
        <v>505</v>
      </c>
      <c r="B509" s="80" t="s">
        <v>2102</v>
      </c>
      <c r="C509" s="81">
        <v>45441</v>
      </c>
      <c r="D509" s="82">
        <v>0.70833333333333337</v>
      </c>
      <c r="E509" s="79" t="s">
        <v>151</v>
      </c>
      <c r="F509" s="79" t="s">
        <v>153</v>
      </c>
      <c r="G509" s="79" t="s">
        <v>152</v>
      </c>
      <c r="H509" s="79" t="s">
        <v>152</v>
      </c>
      <c r="I509" s="79" t="s">
        <v>152</v>
      </c>
      <c r="J509" s="79" t="s">
        <v>211</v>
      </c>
      <c r="K509" s="79" t="s">
        <v>155</v>
      </c>
      <c r="L509" s="80" t="s">
        <v>3568</v>
      </c>
      <c r="M509" s="80" t="s">
        <v>624</v>
      </c>
      <c r="N509" s="79" t="s">
        <v>213</v>
      </c>
      <c r="O509" s="80" t="str">
        <f t="shared" si="293"/>
        <v/>
      </c>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t="s">
        <v>230</v>
      </c>
      <c r="AP509" s="79" t="s">
        <v>242</v>
      </c>
      <c r="AQ509" s="80" t="s">
        <v>3569</v>
      </c>
      <c r="AR509" s="83">
        <v>3108148740</v>
      </c>
      <c r="AS509" s="80" t="s">
        <v>682</v>
      </c>
      <c r="AT509" s="80" t="str">
        <f t="shared" si="294"/>
        <v>Distrital</v>
      </c>
      <c r="AU509" s="79" t="s">
        <v>172</v>
      </c>
      <c r="AV509" s="79"/>
      <c r="AW509" s="79"/>
      <c r="AX509" s="79"/>
      <c r="AY509" s="79"/>
      <c r="AZ509" s="79"/>
      <c r="BA509" s="80" t="str">
        <f t="shared" si="295"/>
        <v>Distrital</v>
      </c>
      <c r="BB509" s="79" t="s">
        <v>172</v>
      </c>
      <c r="BC509" s="79"/>
      <c r="BD509" s="79"/>
      <c r="BE509" s="79"/>
      <c r="BF509" s="79"/>
      <c r="BG509" s="79"/>
      <c r="BH509" s="80" t="str">
        <f t="shared" si="296"/>
        <v>Distrital</v>
      </c>
      <c r="BI509" s="79" t="s">
        <v>172</v>
      </c>
      <c r="BJ509" s="79"/>
      <c r="BK509" s="79"/>
      <c r="BL509" s="79"/>
      <c r="BM509" s="79"/>
      <c r="BN509" s="79"/>
      <c r="BO509" s="79"/>
      <c r="BP509" s="79"/>
      <c r="BQ509" s="79"/>
      <c r="BR509" s="79"/>
      <c r="BS509" s="80" t="s">
        <v>242</v>
      </c>
      <c r="BT509" s="80" t="s">
        <v>174</v>
      </c>
      <c r="BU509" s="89" t="s">
        <v>3570</v>
      </c>
      <c r="BV509" s="71"/>
      <c r="BW509" s="79" t="s">
        <v>152</v>
      </c>
      <c r="BX509" s="79" t="s">
        <v>179</v>
      </c>
      <c r="BY509" s="71"/>
      <c r="BZ509" s="79">
        <v>34</v>
      </c>
      <c r="CA509" s="79">
        <v>2</v>
      </c>
      <c r="CB509" s="79">
        <f>BZ509+CA509</f>
        <v>36</v>
      </c>
      <c r="CC509" s="79" t="str">
        <f t="shared" si="316"/>
        <v>Ninguna</v>
      </c>
      <c r="CD509" s="79" t="s">
        <v>174</v>
      </c>
      <c r="CE509" s="79"/>
      <c r="CF509" s="79"/>
      <c r="CG509" s="83" t="s">
        <v>3568</v>
      </c>
      <c r="CH509" s="41"/>
      <c r="CI509" s="79" t="s">
        <v>153</v>
      </c>
      <c r="CJ509" s="71"/>
      <c r="CK509" s="79">
        <f>COUNTIF(CL509:CQ509,"*")</f>
        <v>0</v>
      </c>
      <c r="CL509" s="79"/>
      <c r="CM509" s="79"/>
      <c r="CN509" s="79"/>
      <c r="CO509" s="79"/>
      <c r="CP509" s="79"/>
      <c r="CQ509" s="79"/>
      <c r="CR509" s="83" t="s">
        <v>179</v>
      </c>
      <c r="CS509" s="83" t="s">
        <v>179</v>
      </c>
      <c r="CT509" s="83" t="s">
        <v>179</v>
      </c>
      <c r="CU509" s="83" t="s">
        <v>179</v>
      </c>
      <c r="CV509" s="83" t="s">
        <v>179</v>
      </c>
      <c r="CW509" s="83" t="s">
        <v>179</v>
      </c>
      <c r="CX509" s="79" t="s">
        <v>153</v>
      </c>
      <c r="CY509" s="79">
        <f>SUM(COUNTIF(CR509:CW509,"Realizado y Devuelto a la Ciudadanía"),COUNTIF(CR509:CW509,"Realizado y Trasladado por competencia"), COUNTIF(CR509:CW509,"Realizado y Gestionado"))</f>
        <v>0</v>
      </c>
      <c r="CZ509" s="79">
        <v>0</v>
      </c>
      <c r="DA509" s="79">
        <f>COUNTIF(CR509:CW509,"Realizado y Devuelto a la Ciudadanía")</f>
        <v>0</v>
      </c>
      <c r="DB509" s="84" t="str">
        <f>IFERROR(CY509/CK509,"")</f>
        <v/>
      </c>
      <c r="DC509" s="41"/>
      <c r="DD509" s="79" t="s">
        <v>153</v>
      </c>
      <c r="DE509" s="71"/>
      <c r="DF509" s="85" t="s">
        <v>3571</v>
      </c>
      <c r="DG509" s="79">
        <v>491</v>
      </c>
      <c r="DH509" s="86" t="str">
        <f t="shared" si="354"/>
        <v>Completo</v>
      </c>
      <c r="DI509" s="79" t="s">
        <v>181</v>
      </c>
      <c r="DJ509" s="79" t="s">
        <v>182</v>
      </c>
      <c r="DK509" s="79"/>
      <c r="DL509" s="79">
        <v>0</v>
      </c>
      <c r="DM509" s="79">
        <v>0</v>
      </c>
      <c r="DN509" s="79" t="s">
        <v>182</v>
      </c>
      <c r="DO509" s="79"/>
      <c r="DP509" s="79"/>
      <c r="DQ509" s="79"/>
      <c r="DR509" s="75" t="str">
        <f t="shared" si="350"/>
        <v>No aplica</v>
      </c>
      <c r="DS509" s="79"/>
      <c r="DT509" s="79"/>
      <c r="DU509" s="75" t="str">
        <f t="shared" si="351"/>
        <v>No aplica</v>
      </c>
      <c r="DV509" s="79" t="s">
        <v>182</v>
      </c>
      <c r="DW509" s="79" t="s">
        <v>182</v>
      </c>
      <c r="DX509" s="79"/>
      <c r="DY509" s="79"/>
      <c r="DZ509" s="79"/>
      <c r="EA509" s="79"/>
      <c r="EB509" s="79" t="s">
        <v>182</v>
      </c>
      <c r="EC509" s="79" t="s">
        <v>3572</v>
      </c>
      <c r="ED509" s="79" t="s">
        <v>1743</v>
      </c>
      <c r="EE509" s="79" t="str">
        <f>IF(DI509="Subsanado","Completo","Por Completar")</f>
        <v>Completo</v>
      </c>
      <c r="EF509" s="41"/>
      <c r="EG509" s="79" t="s">
        <v>153</v>
      </c>
      <c r="EH509" s="71"/>
      <c r="EI509" s="80"/>
      <c r="EJ509" s="71"/>
      <c r="EK509" s="79"/>
      <c r="EL509" s="76" t="str">
        <f t="shared" si="297"/>
        <v>No requiere</v>
      </c>
      <c r="EM509" s="76" t="str">
        <f t="shared" si="298"/>
        <v>No requiere</v>
      </c>
      <c r="EN509" s="76" t="str">
        <f t="shared" si="340"/>
        <v>No requiere</v>
      </c>
      <c r="EO509" s="71"/>
      <c r="EP509" s="73" t="str">
        <f t="shared" si="299"/>
        <v>No requiere</v>
      </c>
      <c r="EQ509" s="77" t="str">
        <f t="shared" si="300"/>
        <v>No requiere</v>
      </c>
      <c r="ER509" s="71"/>
      <c r="ES509" s="79"/>
      <c r="ET509" s="73" t="str">
        <f t="shared" si="301"/>
        <v>No requiere</v>
      </c>
      <c r="EU509" s="73" t="str">
        <f t="shared" si="341"/>
        <v>No requiere</v>
      </c>
      <c r="EV509" s="73" t="str">
        <f t="shared" si="302"/>
        <v>No requiere</v>
      </c>
      <c r="EW509" s="73" t="str">
        <f t="shared" si="303"/>
        <v>No requiere</v>
      </c>
      <c r="EX509" s="78"/>
      <c r="EY509" s="78"/>
    </row>
    <row r="510" spans="1:155" ht="46.5" customHeight="1">
      <c r="A510" s="79" t="str">
        <v/>
      </c>
      <c r="B510" s="80" t="s">
        <v>3239</v>
      </c>
      <c r="C510" s="81">
        <v>45442</v>
      </c>
      <c r="D510" s="82">
        <v>0.33333333333333331</v>
      </c>
      <c r="E510" s="79" t="s">
        <v>151</v>
      </c>
      <c r="F510" s="79" t="s">
        <v>152</v>
      </c>
      <c r="G510" s="79" t="s">
        <v>152</v>
      </c>
      <c r="H510" s="79" t="s">
        <v>152</v>
      </c>
      <c r="I510" s="79" t="s">
        <v>152</v>
      </c>
      <c r="J510" s="79" t="s">
        <v>2615</v>
      </c>
      <c r="K510" s="79" t="s">
        <v>202</v>
      </c>
      <c r="L510" s="80" t="s">
        <v>3573</v>
      </c>
      <c r="M510" s="80" t="s">
        <v>157</v>
      </c>
      <c r="N510" s="79" t="s">
        <v>632</v>
      </c>
      <c r="O510" s="80" t="str">
        <f t="shared" si="293"/>
        <v/>
      </c>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t="s">
        <v>169</v>
      </c>
      <c r="AP510" s="79" t="s">
        <v>170</v>
      </c>
      <c r="AQ510" s="80" t="s">
        <v>171</v>
      </c>
      <c r="AR510" s="83" t="s">
        <v>171</v>
      </c>
      <c r="AS510" s="80" t="s">
        <v>171</v>
      </c>
      <c r="AT510" s="80" t="str">
        <f t="shared" si="294"/>
        <v>Distrital</v>
      </c>
      <c r="AU510" s="79" t="s">
        <v>172</v>
      </c>
      <c r="AV510" s="79"/>
      <c r="AW510" s="79"/>
      <c r="AX510" s="79"/>
      <c r="AY510" s="79"/>
      <c r="AZ510" s="79"/>
      <c r="BA510" s="80" t="str">
        <f t="shared" si="295"/>
        <v>Distrital</v>
      </c>
      <c r="BB510" s="79" t="s">
        <v>172</v>
      </c>
      <c r="BC510" s="79"/>
      <c r="BD510" s="79"/>
      <c r="BE510" s="79"/>
      <c r="BF510" s="79"/>
      <c r="BG510" s="79"/>
      <c r="BH510" s="80" t="str">
        <f t="shared" si="296"/>
        <v>Distrital</v>
      </c>
      <c r="BI510" s="79" t="s">
        <v>172</v>
      </c>
      <c r="BJ510" s="79"/>
      <c r="BK510" s="79"/>
      <c r="BL510" s="79"/>
      <c r="BM510" s="79"/>
      <c r="BN510" s="79"/>
      <c r="BO510" s="79"/>
      <c r="BP510" s="79"/>
      <c r="BQ510" s="79"/>
      <c r="BR510" s="79"/>
      <c r="BS510" s="80" t="s">
        <v>288</v>
      </c>
      <c r="BT510" s="80" t="s">
        <v>3098</v>
      </c>
      <c r="BU510" s="89" t="s">
        <v>3574</v>
      </c>
      <c r="BV510" s="71"/>
      <c r="BW510" s="79" t="s">
        <v>152</v>
      </c>
      <c r="BX510" s="79" t="s">
        <v>179</v>
      </c>
      <c r="BY510" s="71"/>
      <c r="BZ510" s="79">
        <v>0</v>
      </c>
      <c r="CA510" s="79">
        <v>10</v>
      </c>
      <c r="CB510" s="79">
        <f t="shared" si="281"/>
        <v>10</v>
      </c>
      <c r="CC510" s="79" t="str">
        <f t="shared" si="316"/>
        <v>Ninguna</v>
      </c>
      <c r="CD510" s="79" t="s">
        <v>174</v>
      </c>
      <c r="CE510" s="79"/>
      <c r="CF510" s="79"/>
      <c r="CG510" s="83" t="s">
        <v>3575</v>
      </c>
      <c r="CH510" s="41"/>
      <c r="CI510" s="79" t="s">
        <v>153</v>
      </c>
      <c r="CJ510" s="71"/>
      <c r="CK510" s="79">
        <f t="shared" ref="CK510:CK515" si="357">COUNTIF(CL510:CQ510,"*")</f>
        <v>0</v>
      </c>
      <c r="CL510" s="79"/>
      <c r="CM510" s="79"/>
      <c r="CN510" s="79"/>
      <c r="CO510" s="79"/>
      <c r="CP510" s="79"/>
      <c r="CQ510" s="79"/>
      <c r="CR510" s="83" t="s">
        <v>179</v>
      </c>
      <c r="CS510" s="83" t="s">
        <v>179</v>
      </c>
      <c r="CT510" s="83" t="s">
        <v>179</v>
      </c>
      <c r="CU510" s="83" t="s">
        <v>179</v>
      </c>
      <c r="CV510" s="83" t="s">
        <v>179</v>
      </c>
      <c r="CW510" s="83" t="s">
        <v>179</v>
      </c>
      <c r="CX510" s="79" t="s">
        <v>153</v>
      </c>
      <c r="CY510" s="79">
        <f t="shared" ref="CY510:CY935" si="358">SUM(COUNTIF(CR510:CW510,"Realizado y Devuelto a la Ciudadanía"),COUNTIF(CR510:CW510,"Realizado y Trasladado por competencia"), COUNTIF(CR510:CW510,"Realizado y Gestionado"))</f>
        <v>0</v>
      </c>
      <c r="CZ510" s="79">
        <v>0</v>
      </c>
      <c r="DA510" s="79">
        <f t="shared" ref="DA510:DA935" si="359">COUNTIF(CR510:CW510,"Realizado y Devuelto a la Ciudadanía")</f>
        <v>0</v>
      </c>
      <c r="DB510" s="84" t="str">
        <f t="shared" ref="DB510:DB515" si="360">IFERROR(CY510/CK510,"")</f>
        <v/>
      </c>
      <c r="DC510" s="41"/>
      <c r="DD510" s="79" t="s">
        <v>153</v>
      </c>
      <c r="DE510" s="71"/>
      <c r="DF510" s="85" t="s">
        <v>3576</v>
      </c>
      <c r="DG510" s="79">
        <v>499</v>
      </c>
      <c r="DH510" s="86" t="str">
        <f t="shared" si="354"/>
        <v>Completo</v>
      </c>
      <c r="DI510" s="79" t="s">
        <v>181</v>
      </c>
      <c r="DJ510" s="79" t="s">
        <v>182</v>
      </c>
      <c r="DK510" s="79"/>
      <c r="DL510" s="79">
        <v>0</v>
      </c>
      <c r="DM510" s="79">
        <v>0</v>
      </c>
      <c r="DN510" s="79" t="s">
        <v>182</v>
      </c>
      <c r="DO510" s="79"/>
      <c r="DP510" s="79"/>
      <c r="DQ510" s="79"/>
      <c r="DR510" s="75" t="str">
        <f t="shared" si="350"/>
        <v>No aplica</v>
      </c>
      <c r="DS510" s="79"/>
      <c r="DT510" s="79"/>
      <c r="DU510" s="75" t="str">
        <f t="shared" si="351"/>
        <v>No aplica</v>
      </c>
      <c r="DV510" s="79" t="s">
        <v>182</v>
      </c>
      <c r="DW510" s="79" t="s">
        <v>191</v>
      </c>
      <c r="DX510" s="79"/>
      <c r="DY510" s="79"/>
      <c r="DZ510" s="79"/>
      <c r="EA510" s="79"/>
      <c r="EB510" s="79" t="s">
        <v>191</v>
      </c>
      <c r="EC510" s="79"/>
      <c r="ED510" s="79" t="s">
        <v>3577</v>
      </c>
      <c r="EE510" s="79" t="str">
        <f t="shared" ref="EE510:EE515" si="361">IF(DI510="Subsanado","Completo","Por Completar")</f>
        <v>Completo</v>
      </c>
      <c r="EF510" s="41"/>
      <c r="EG510" s="79" t="s">
        <v>153</v>
      </c>
      <c r="EH510" s="71"/>
      <c r="EI510" s="80"/>
      <c r="EJ510" s="71"/>
      <c r="EK510" s="79"/>
      <c r="EL510" s="76" t="str">
        <f t="shared" si="297"/>
        <v>No requiere</v>
      </c>
      <c r="EM510" s="76" t="str">
        <f t="shared" si="298"/>
        <v>No requiere</v>
      </c>
      <c r="EN510" s="76" t="str">
        <f t="shared" si="340"/>
        <v>No requiere</v>
      </c>
      <c r="EO510" s="71"/>
      <c r="EP510" s="73" t="str">
        <f t="shared" si="299"/>
        <v>No requiere</v>
      </c>
      <c r="EQ510" s="77" t="str">
        <f t="shared" si="300"/>
        <v>No requiere</v>
      </c>
      <c r="ER510" s="71"/>
      <c r="ES510" s="79"/>
      <c r="ET510" s="73" t="str">
        <f t="shared" si="301"/>
        <v>No requiere</v>
      </c>
      <c r="EU510" s="73" t="str">
        <f t="shared" si="341"/>
        <v>No requiere</v>
      </c>
      <c r="EV510" s="73" t="str">
        <f t="shared" si="302"/>
        <v>No requiere</v>
      </c>
      <c r="EW510" s="73" t="str">
        <f t="shared" si="303"/>
        <v>No requiere</v>
      </c>
      <c r="EX510" s="78"/>
      <c r="EY510" s="78"/>
    </row>
    <row r="511" spans="1:155" ht="46.5" customHeight="1">
      <c r="A511" s="79">
        <v>507</v>
      </c>
      <c r="B511" s="80" t="s">
        <v>3578</v>
      </c>
      <c r="C511" s="81">
        <v>45442</v>
      </c>
      <c r="D511" s="82">
        <v>0.33333333333333331</v>
      </c>
      <c r="E511" s="79" t="s">
        <v>151</v>
      </c>
      <c r="F511" s="79" t="s">
        <v>153</v>
      </c>
      <c r="G511" s="79" t="s">
        <v>152</v>
      </c>
      <c r="H511" s="79" t="s">
        <v>152</v>
      </c>
      <c r="I511" s="79" t="s">
        <v>153</v>
      </c>
      <c r="J511" s="79" t="s">
        <v>3175</v>
      </c>
      <c r="K511" s="79" t="s">
        <v>155</v>
      </c>
      <c r="L511" s="80" t="s">
        <v>3579</v>
      </c>
      <c r="M511" s="80" t="s">
        <v>229</v>
      </c>
      <c r="N511" s="79" t="s">
        <v>168</v>
      </c>
      <c r="O511" s="80" t="str">
        <f t="shared" si="293"/>
        <v/>
      </c>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t="s">
        <v>304</v>
      </c>
      <c r="AP511" s="79"/>
      <c r="AQ511" s="80" t="s">
        <v>3580</v>
      </c>
      <c r="AR511" s="83" t="s">
        <v>171</v>
      </c>
      <c r="AS511" s="80" t="s">
        <v>3581</v>
      </c>
      <c r="AT511" s="80" t="str">
        <f t="shared" si="294"/>
        <v>Distrital</v>
      </c>
      <c r="AU511" s="79" t="s">
        <v>172</v>
      </c>
      <c r="AV511" s="79"/>
      <c r="AW511" s="79"/>
      <c r="AX511" s="79"/>
      <c r="AY511" s="79"/>
      <c r="AZ511" s="79"/>
      <c r="BA511" s="80" t="str">
        <f t="shared" si="295"/>
        <v>Distrital</v>
      </c>
      <c r="BB511" s="79" t="s">
        <v>172</v>
      </c>
      <c r="BC511" s="79"/>
      <c r="BD511" s="79"/>
      <c r="BE511" s="79"/>
      <c r="BF511" s="79"/>
      <c r="BG511" s="79"/>
      <c r="BH511" s="80" t="str">
        <f t="shared" si="296"/>
        <v>Distrital</v>
      </c>
      <c r="BI511" s="79" t="s">
        <v>172</v>
      </c>
      <c r="BJ511" s="79"/>
      <c r="BK511" s="79"/>
      <c r="BL511" s="79"/>
      <c r="BM511" s="79"/>
      <c r="BN511" s="79"/>
      <c r="BO511" s="79"/>
      <c r="BP511" s="79"/>
      <c r="BQ511" s="79"/>
      <c r="BR511" s="79"/>
      <c r="BS511" s="80" t="s">
        <v>288</v>
      </c>
      <c r="BT511" s="80" t="s">
        <v>174</v>
      </c>
      <c r="BU511" s="80" t="s">
        <v>3582</v>
      </c>
      <c r="BV511" s="71"/>
      <c r="BW511" s="79" t="s">
        <v>152</v>
      </c>
      <c r="BX511" s="79" t="s">
        <v>179</v>
      </c>
      <c r="BY511" s="71"/>
      <c r="BZ511" s="79">
        <v>80</v>
      </c>
      <c r="CA511" s="79">
        <v>4</v>
      </c>
      <c r="CB511" s="79">
        <f t="shared" si="281"/>
        <v>84</v>
      </c>
      <c r="CC511" s="79" t="str">
        <f t="shared" si="316"/>
        <v>Ninguna</v>
      </c>
      <c r="CD511" s="79" t="s">
        <v>174</v>
      </c>
      <c r="CE511" s="79"/>
      <c r="CF511" s="79"/>
      <c r="CG511" s="83" t="s">
        <v>3583</v>
      </c>
      <c r="CH511" s="41"/>
      <c r="CI511" s="79" t="s">
        <v>153</v>
      </c>
      <c r="CJ511" s="71"/>
      <c r="CK511" s="79">
        <f t="shared" si="357"/>
        <v>0</v>
      </c>
      <c r="CL511" s="79"/>
      <c r="CM511" s="79"/>
      <c r="CN511" s="79"/>
      <c r="CO511" s="79"/>
      <c r="CP511" s="79"/>
      <c r="CQ511" s="79"/>
      <c r="CR511" s="83"/>
      <c r="CS511" s="83"/>
      <c r="CT511" s="83"/>
      <c r="CU511" s="83"/>
      <c r="CV511" s="83"/>
      <c r="CW511" s="83"/>
      <c r="CX511" s="79"/>
      <c r="CY511" s="79">
        <f t="shared" si="358"/>
        <v>0</v>
      </c>
      <c r="CZ511" s="79">
        <v>0</v>
      </c>
      <c r="DA511" s="79">
        <f t="shared" si="359"/>
        <v>0</v>
      </c>
      <c r="DB511" s="84" t="str">
        <f t="shared" si="360"/>
        <v/>
      </c>
      <c r="DC511" s="41"/>
      <c r="DD511" s="79"/>
      <c r="DE511" s="71"/>
      <c r="DF511" s="85" t="s">
        <v>3584</v>
      </c>
      <c r="DG511" s="79">
        <v>500</v>
      </c>
      <c r="DH511" s="86">
        <f t="shared" si="354"/>
        <v>45445</v>
      </c>
      <c r="DI511" s="79" t="s">
        <v>1246</v>
      </c>
      <c r="DJ511" s="79"/>
      <c r="DK511" s="79"/>
      <c r="DL511" s="79">
        <v>0</v>
      </c>
      <c r="DM511" s="79">
        <v>0</v>
      </c>
      <c r="DN511" s="79"/>
      <c r="DO511" s="79"/>
      <c r="DP511" s="79"/>
      <c r="DQ511" s="79"/>
      <c r="DR511" s="75" t="str">
        <f t="shared" si="350"/>
        <v>No aplica</v>
      </c>
      <c r="DS511" s="79"/>
      <c r="DT511" s="79"/>
      <c r="DU511" s="75" t="str">
        <f t="shared" si="351"/>
        <v>No aplica</v>
      </c>
      <c r="DV511" s="79"/>
      <c r="DW511" s="79"/>
      <c r="DX511" s="79"/>
      <c r="DY511" s="79"/>
      <c r="DZ511" s="79"/>
      <c r="EA511" s="79"/>
      <c r="EB511" s="79"/>
      <c r="EC511" s="79"/>
      <c r="ED511" s="79" t="s">
        <v>770</v>
      </c>
      <c r="EE511" s="79" t="str">
        <f t="shared" si="361"/>
        <v>Por Completar</v>
      </c>
      <c r="EF511" s="41"/>
      <c r="EG511" s="79"/>
      <c r="EH511" s="71"/>
      <c r="EI511" s="80"/>
      <c r="EJ511" s="71"/>
      <c r="EK511" s="79"/>
      <c r="EL511" s="76" t="str">
        <f t="shared" si="297"/>
        <v>No requiere</v>
      </c>
      <c r="EM511" s="76" t="str">
        <f t="shared" si="298"/>
        <v>No requiere</v>
      </c>
      <c r="EN511" s="76" t="str">
        <f t="shared" si="340"/>
        <v>No requiere</v>
      </c>
      <c r="EO511" s="71"/>
      <c r="EP511" s="73" t="str">
        <f t="shared" si="299"/>
        <v>No requiere</v>
      </c>
      <c r="EQ511" s="77" t="str">
        <f t="shared" si="300"/>
        <v>No requiere</v>
      </c>
      <c r="ER511" s="71"/>
      <c r="ES511" s="79"/>
      <c r="ET511" s="73" t="str">
        <f t="shared" si="301"/>
        <v>No requiere</v>
      </c>
      <c r="EU511" s="73" t="str">
        <f t="shared" si="341"/>
        <v>No requiere</v>
      </c>
      <c r="EV511" s="73" t="str">
        <f t="shared" si="302"/>
        <v>No requiere</v>
      </c>
      <c r="EW511" s="73" t="str">
        <f t="shared" si="303"/>
        <v>No requiere</v>
      </c>
      <c r="EX511" s="78"/>
      <c r="EY511" s="78"/>
    </row>
    <row r="512" spans="1:155" ht="46.5" customHeight="1">
      <c r="A512" s="79">
        <v>508</v>
      </c>
      <c r="B512" s="80" t="s">
        <v>3585</v>
      </c>
      <c r="C512" s="81">
        <v>45442</v>
      </c>
      <c r="D512" s="82">
        <v>0.33333333333333331</v>
      </c>
      <c r="E512" s="79" t="s">
        <v>151</v>
      </c>
      <c r="F512" s="79" t="s">
        <v>153</v>
      </c>
      <c r="G512" s="79" t="s">
        <v>152</v>
      </c>
      <c r="H512" s="79" t="s">
        <v>152</v>
      </c>
      <c r="I512" s="79" t="s">
        <v>152</v>
      </c>
      <c r="J512" s="79" t="s">
        <v>272</v>
      </c>
      <c r="K512" s="79" t="s">
        <v>155</v>
      </c>
      <c r="L512" s="80" t="s">
        <v>3586</v>
      </c>
      <c r="M512" s="80" t="s">
        <v>303</v>
      </c>
      <c r="N512" s="79" t="s">
        <v>820</v>
      </c>
      <c r="O512" s="80" t="str">
        <f t="shared" si="293"/>
        <v>Carlos Eduardo Escandón</v>
      </c>
      <c r="P512" s="79" t="s">
        <v>819</v>
      </c>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t="s">
        <v>304</v>
      </c>
      <c r="AP512" s="79"/>
      <c r="AQ512" s="80" t="s">
        <v>3587</v>
      </c>
      <c r="AR512" s="83" t="s">
        <v>171</v>
      </c>
      <c r="AS512" s="80" t="s">
        <v>3588</v>
      </c>
      <c r="AT512" s="80" t="str">
        <f t="shared" si="294"/>
        <v>Suba</v>
      </c>
      <c r="AU512" s="79" t="s">
        <v>602</v>
      </c>
      <c r="AV512" s="79"/>
      <c r="AW512" s="79"/>
      <c r="AX512" s="79"/>
      <c r="AY512" s="79"/>
      <c r="AZ512" s="79"/>
      <c r="BA512" s="80" t="str">
        <f t="shared" si="295"/>
        <v>Noroccidente</v>
      </c>
      <c r="BB512" s="79" t="s">
        <v>603</v>
      </c>
      <c r="BC512" s="79"/>
      <c r="BD512" s="79"/>
      <c r="BE512" s="79"/>
      <c r="BF512" s="79"/>
      <c r="BG512" s="79"/>
      <c r="BH512" s="80" t="str">
        <f t="shared" si="296"/>
        <v>Suba, Suba Rincón, Tibabuyes, Niza, Britalia, Torca</v>
      </c>
      <c r="BI512" s="79" t="s">
        <v>602</v>
      </c>
      <c r="BJ512" s="79" t="s">
        <v>604</v>
      </c>
      <c r="BK512" s="79" t="s">
        <v>1378</v>
      </c>
      <c r="BL512" s="79" t="s">
        <v>865</v>
      </c>
      <c r="BM512" s="79" t="s">
        <v>1313</v>
      </c>
      <c r="BN512" s="79" t="s">
        <v>805</v>
      </c>
      <c r="BO512" s="79"/>
      <c r="BP512" s="79"/>
      <c r="BQ512" s="79"/>
      <c r="BR512" s="79"/>
      <c r="BS512" s="80" t="s">
        <v>288</v>
      </c>
      <c r="BT512" s="80" t="s">
        <v>174</v>
      </c>
      <c r="BU512" s="80" t="s">
        <v>3589</v>
      </c>
      <c r="BV512" s="71"/>
      <c r="BW512" s="79" t="s">
        <v>152</v>
      </c>
      <c r="BX512" s="79" t="s">
        <v>179</v>
      </c>
      <c r="BY512" s="71"/>
      <c r="BZ512" s="79">
        <v>60</v>
      </c>
      <c r="CA512" s="79">
        <v>2</v>
      </c>
      <c r="CB512" s="79">
        <f>BZ512+CA512</f>
        <v>62</v>
      </c>
      <c r="CC512" s="79" t="str">
        <f t="shared" si="316"/>
        <v>Ninguna</v>
      </c>
      <c r="CD512" s="79" t="s">
        <v>174</v>
      </c>
      <c r="CE512" s="79"/>
      <c r="CF512" s="79"/>
      <c r="CG512" s="83" t="s">
        <v>3590</v>
      </c>
      <c r="CH512" s="41"/>
      <c r="CI512" s="79" t="s">
        <v>153</v>
      </c>
      <c r="CJ512" s="71"/>
      <c r="CK512" s="79"/>
      <c r="CL512" s="79"/>
      <c r="CM512" s="79"/>
      <c r="CN512" s="79"/>
      <c r="CO512" s="79"/>
      <c r="CP512" s="79"/>
      <c r="CQ512" s="79"/>
      <c r="CR512" s="83" t="s">
        <v>179</v>
      </c>
      <c r="CS512" s="83" t="s">
        <v>179</v>
      </c>
      <c r="CT512" s="83" t="s">
        <v>179</v>
      </c>
      <c r="CU512" s="83" t="s">
        <v>179</v>
      </c>
      <c r="CV512" s="83" t="s">
        <v>179</v>
      </c>
      <c r="CW512" s="83" t="s">
        <v>179</v>
      </c>
      <c r="CX512" s="79" t="s">
        <v>153</v>
      </c>
      <c r="CY512" s="79">
        <f>SUM(COUNTIF(CR512:CW512,"Realizado y Devuelto a la Ciudadanía"),COUNTIF(CR512:CW512,"Realizado y Trasladado por competencia"), COUNTIF(CR512:CW512,"Realizado y Gestionado"))</f>
        <v>0</v>
      </c>
      <c r="CZ512" s="79">
        <v>0</v>
      </c>
      <c r="DA512" s="79">
        <f>COUNTIF(CR512:CW512,"Realizado y Devuelto a la Ciudadanía")</f>
        <v>0</v>
      </c>
      <c r="DB512" s="84"/>
      <c r="DC512" s="41"/>
      <c r="DD512" s="79" t="s">
        <v>153</v>
      </c>
      <c r="DE512" s="71"/>
      <c r="DF512" s="85" t="s">
        <v>3591</v>
      </c>
      <c r="DG512" s="79">
        <v>503</v>
      </c>
      <c r="DH512" s="86" t="str">
        <f t="shared" si="354"/>
        <v>Completo</v>
      </c>
      <c r="DI512" s="79" t="s">
        <v>181</v>
      </c>
      <c r="DJ512" s="79" t="s">
        <v>182</v>
      </c>
      <c r="DK512" s="79"/>
      <c r="DL512" s="79">
        <v>0</v>
      </c>
      <c r="DM512" s="79">
        <v>0</v>
      </c>
      <c r="DN512" s="79" t="s">
        <v>182</v>
      </c>
      <c r="DO512" s="79"/>
      <c r="DP512" s="79"/>
      <c r="DQ512" s="79"/>
      <c r="DR512" s="75" t="str">
        <f t="shared" si="350"/>
        <v>No aplica</v>
      </c>
      <c r="DS512" s="79"/>
      <c r="DT512" s="79"/>
      <c r="DU512" s="75" t="str">
        <f t="shared" si="351"/>
        <v>No aplica</v>
      </c>
      <c r="DV512" s="79" t="s">
        <v>182</v>
      </c>
      <c r="DW512" s="79" t="s">
        <v>182</v>
      </c>
      <c r="DX512" s="79"/>
      <c r="DY512" s="79"/>
      <c r="DZ512" s="79"/>
      <c r="EA512" s="79"/>
      <c r="EB512" s="79" t="s">
        <v>191</v>
      </c>
      <c r="EC512" s="79"/>
      <c r="ED512" s="79" t="s">
        <v>184</v>
      </c>
      <c r="EE512" s="79" t="str">
        <f>IF(DI512="Subsanado","Completo","Por Completar")</f>
        <v>Completo</v>
      </c>
      <c r="EF512" s="41"/>
      <c r="EG512" s="79" t="s">
        <v>153</v>
      </c>
      <c r="EH512" s="71"/>
      <c r="EI512" s="80"/>
      <c r="EJ512" s="71"/>
      <c r="EK512" s="79"/>
      <c r="EL512" s="76" t="str">
        <f t="shared" si="297"/>
        <v>No requiere</v>
      </c>
      <c r="EM512" s="76" t="str">
        <f t="shared" si="298"/>
        <v>No requiere</v>
      </c>
      <c r="EN512" s="76" t="str">
        <f t="shared" si="340"/>
        <v>No requiere</v>
      </c>
      <c r="EO512" s="71"/>
      <c r="EP512" s="73" t="str">
        <f t="shared" si="299"/>
        <v>No requiere</v>
      </c>
      <c r="EQ512" s="77" t="str">
        <f t="shared" si="300"/>
        <v>No requiere</v>
      </c>
      <c r="ER512" s="71"/>
      <c r="ES512" s="79"/>
      <c r="ET512" s="73" t="str">
        <f t="shared" si="301"/>
        <v>No requiere</v>
      </c>
      <c r="EU512" s="73" t="str">
        <f t="shared" si="341"/>
        <v>No requiere</v>
      </c>
      <c r="EV512" s="73" t="str">
        <f t="shared" si="302"/>
        <v>No requiere</v>
      </c>
      <c r="EW512" s="73" t="str">
        <f t="shared" si="303"/>
        <v>No requiere</v>
      </c>
      <c r="EX512" s="78"/>
      <c r="EY512" s="78"/>
    </row>
    <row r="513" spans="1:155" ht="46.5" customHeight="1">
      <c r="A513" s="117">
        <v>509</v>
      </c>
      <c r="B513" s="80" t="s">
        <v>2843</v>
      </c>
      <c r="C513" s="119">
        <v>45442</v>
      </c>
      <c r="D513" s="120">
        <v>0.375</v>
      </c>
      <c r="E513" s="117" t="s">
        <v>151</v>
      </c>
      <c r="F513" s="117" t="s">
        <v>153</v>
      </c>
      <c r="G513" s="117" t="s">
        <v>152</v>
      </c>
      <c r="H513" s="117" t="s">
        <v>152</v>
      </c>
      <c r="I513" s="117" t="s">
        <v>152</v>
      </c>
      <c r="J513" s="117" t="s">
        <v>154</v>
      </c>
      <c r="K513" s="117" t="s">
        <v>155</v>
      </c>
      <c r="L513" s="118" t="s">
        <v>2844</v>
      </c>
      <c r="M513" s="118" t="s">
        <v>303</v>
      </c>
      <c r="N513" s="117" t="s">
        <v>525</v>
      </c>
      <c r="O513" s="80" t="str">
        <f t="shared" si="293"/>
        <v>Renata Rengifo Moyano, William Jair Gil, Paola Andrea González, Jimmy Alejandro Osorio</v>
      </c>
      <c r="P513" s="117" t="s">
        <v>1066</v>
      </c>
      <c r="Q513" s="117" t="s">
        <v>862</v>
      </c>
      <c r="R513" s="117" t="s">
        <v>924</v>
      </c>
      <c r="S513" s="117" t="s">
        <v>549</v>
      </c>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t="s">
        <v>169</v>
      </c>
      <c r="AP513" s="117" t="s">
        <v>475</v>
      </c>
      <c r="AQ513" s="118" t="s">
        <v>171</v>
      </c>
      <c r="AR513" s="121" t="s">
        <v>171</v>
      </c>
      <c r="AS513" s="118" t="s">
        <v>171</v>
      </c>
      <c r="AT513" s="80" t="str">
        <f t="shared" si="294"/>
        <v>Distrital</v>
      </c>
      <c r="AU513" s="117" t="s">
        <v>172</v>
      </c>
      <c r="AV513" s="117"/>
      <c r="AW513" s="117"/>
      <c r="AX513" s="117"/>
      <c r="AY513" s="117"/>
      <c r="AZ513" s="117"/>
      <c r="BA513" s="80" t="str">
        <f t="shared" si="295"/>
        <v>Distrital</v>
      </c>
      <c r="BB513" s="117" t="s">
        <v>172</v>
      </c>
      <c r="BC513" s="117"/>
      <c r="BD513" s="117"/>
      <c r="BE513" s="117"/>
      <c r="BF513" s="117"/>
      <c r="BG513" s="117"/>
      <c r="BH513" s="80" t="str">
        <f t="shared" si="296"/>
        <v>Distrital</v>
      </c>
      <c r="BI513" s="117" t="s">
        <v>172</v>
      </c>
      <c r="BJ513" s="117"/>
      <c r="BK513" s="117"/>
      <c r="BL513" s="117"/>
      <c r="BM513" s="117"/>
      <c r="BN513" s="117"/>
      <c r="BO513" s="117"/>
      <c r="BP513" s="117"/>
      <c r="BQ513" s="117"/>
      <c r="BR513" s="117"/>
      <c r="BS513" s="118" t="s">
        <v>2598</v>
      </c>
      <c r="BT513" s="118" t="s">
        <v>174</v>
      </c>
      <c r="BU513" s="118" t="s">
        <v>2599</v>
      </c>
      <c r="BV513" s="122"/>
      <c r="BW513" s="117" t="s">
        <v>153</v>
      </c>
      <c r="BX513" s="117" t="s">
        <v>2600</v>
      </c>
      <c r="BY513" s="122"/>
      <c r="BZ513" s="117">
        <v>200</v>
      </c>
      <c r="CA513" s="117">
        <v>7</v>
      </c>
      <c r="CB513" s="117">
        <f t="shared" si="281"/>
        <v>207</v>
      </c>
      <c r="CC513" s="79" t="str">
        <f t="shared" si="316"/>
        <v>Horarios Acordes</v>
      </c>
      <c r="CD513" s="117" t="s">
        <v>351</v>
      </c>
      <c r="CE513" s="117"/>
      <c r="CF513" s="117"/>
      <c r="CG513" s="121" t="s">
        <v>3592</v>
      </c>
      <c r="CH513" s="123"/>
      <c r="CI513" s="117" t="s">
        <v>153</v>
      </c>
      <c r="CJ513" s="122"/>
      <c r="CK513" s="117">
        <f t="shared" si="357"/>
        <v>0</v>
      </c>
      <c r="CL513" s="117"/>
      <c r="CM513" s="117"/>
      <c r="CN513" s="117"/>
      <c r="CO513" s="117"/>
      <c r="CP513" s="117"/>
      <c r="CQ513" s="117"/>
      <c r="CR513" s="121" t="s">
        <v>179</v>
      </c>
      <c r="CS513" s="121" t="s">
        <v>179</v>
      </c>
      <c r="CT513" s="121" t="s">
        <v>179</v>
      </c>
      <c r="CU513" s="121" t="s">
        <v>179</v>
      </c>
      <c r="CV513" s="121" t="s">
        <v>179</v>
      </c>
      <c r="CW513" s="121" t="s">
        <v>179</v>
      </c>
      <c r="CX513" s="117" t="s">
        <v>153</v>
      </c>
      <c r="CY513" s="117">
        <f t="shared" si="358"/>
        <v>0</v>
      </c>
      <c r="CZ513" s="117">
        <v>0</v>
      </c>
      <c r="DA513" s="117">
        <f t="shared" si="359"/>
        <v>0</v>
      </c>
      <c r="DB513" s="124" t="str">
        <f t="shared" si="360"/>
        <v/>
      </c>
      <c r="DC513" s="123"/>
      <c r="DD513" s="117" t="s">
        <v>153</v>
      </c>
      <c r="DE513" s="71"/>
      <c r="DF513" s="85" t="s">
        <v>3593</v>
      </c>
      <c r="DG513" s="79">
        <v>501</v>
      </c>
      <c r="DH513" s="125" t="s">
        <v>3594</v>
      </c>
      <c r="DI513" s="117" t="s">
        <v>181</v>
      </c>
      <c r="DJ513" s="117" t="s">
        <v>182</v>
      </c>
      <c r="DK513" s="117"/>
      <c r="DL513" s="117">
        <v>0</v>
      </c>
      <c r="DM513" s="117">
        <v>0</v>
      </c>
      <c r="DN513" s="117" t="s">
        <v>182</v>
      </c>
      <c r="DO513" s="117"/>
      <c r="DP513" s="117"/>
      <c r="DQ513" s="117"/>
      <c r="DR513" s="75" t="str">
        <f t="shared" si="350"/>
        <v>No aplica</v>
      </c>
      <c r="DS513" s="117"/>
      <c r="DT513" s="117"/>
      <c r="DU513" s="75" t="str">
        <f t="shared" si="351"/>
        <v>No aplica</v>
      </c>
      <c r="DV513" s="117" t="s">
        <v>182</v>
      </c>
      <c r="DW513" s="117"/>
      <c r="DX513" s="117"/>
      <c r="DY513" s="117"/>
      <c r="DZ513" s="117"/>
      <c r="EA513" s="117"/>
      <c r="EB513" s="117" t="s">
        <v>182</v>
      </c>
      <c r="EC513" s="117" t="s">
        <v>3595</v>
      </c>
      <c r="ED513" s="117" t="s">
        <v>3596</v>
      </c>
      <c r="EE513" s="117" t="str">
        <f t="shared" si="361"/>
        <v>Completo</v>
      </c>
      <c r="EF513" s="123"/>
      <c r="EG513" s="117" t="s">
        <v>153</v>
      </c>
      <c r="EH513" s="122"/>
      <c r="EI513" s="118"/>
      <c r="EJ513" s="122"/>
      <c r="EK513" s="117"/>
      <c r="EL513" s="76" t="str">
        <f t="shared" si="297"/>
        <v>No requiere</v>
      </c>
      <c r="EM513" s="76" t="str">
        <f t="shared" si="298"/>
        <v>No requiere</v>
      </c>
      <c r="EN513" s="76" t="str">
        <f t="shared" si="340"/>
        <v>No requiere</v>
      </c>
      <c r="EO513" s="71"/>
      <c r="EP513" s="73" t="str">
        <f t="shared" si="299"/>
        <v>No requiere</v>
      </c>
      <c r="EQ513" s="77" t="str">
        <f t="shared" si="300"/>
        <v>No requiere</v>
      </c>
      <c r="ER513" s="122"/>
      <c r="ES513" s="117"/>
      <c r="ET513" s="73" t="str">
        <f t="shared" si="301"/>
        <v>No requiere</v>
      </c>
      <c r="EU513" s="73" t="str">
        <f t="shared" si="341"/>
        <v>No requiere</v>
      </c>
      <c r="EV513" s="73" t="str">
        <f t="shared" si="302"/>
        <v>No requiere</v>
      </c>
      <c r="EW513" s="73" t="str">
        <f t="shared" si="303"/>
        <v>No requiere</v>
      </c>
      <c r="EX513" s="126"/>
      <c r="EY513" s="126"/>
    </row>
    <row r="514" spans="1:155" ht="46.5" customHeight="1">
      <c r="A514" s="79">
        <v>510</v>
      </c>
      <c r="B514" s="80" t="s">
        <v>3410</v>
      </c>
      <c r="C514" s="81">
        <v>45442</v>
      </c>
      <c r="D514" s="82">
        <v>0.375</v>
      </c>
      <c r="E514" s="79" t="s">
        <v>200</v>
      </c>
      <c r="F514" s="79" t="s">
        <v>153</v>
      </c>
      <c r="G514" s="79" t="s">
        <v>152</v>
      </c>
      <c r="H514" s="79" t="s">
        <v>152</v>
      </c>
      <c r="I514" s="79" t="s">
        <v>152</v>
      </c>
      <c r="J514" s="79" t="s">
        <v>211</v>
      </c>
      <c r="K514" s="79" t="s">
        <v>202</v>
      </c>
      <c r="L514" s="80" t="s">
        <v>3597</v>
      </c>
      <c r="M514" s="80" t="s">
        <v>624</v>
      </c>
      <c r="N514" s="79" t="s">
        <v>888</v>
      </c>
      <c r="O514" s="80" t="str">
        <f t="shared" si="293"/>
        <v/>
      </c>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t="s">
        <v>230</v>
      </c>
      <c r="AP514" s="79" t="s">
        <v>242</v>
      </c>
      <c r="AQ514" s="80" t="s">
        <v>1322</v>
      </c>
      <c r="AR514" s="83">
        <v>3157917070</v>
      </c>
      <c r="AS514" s="80" t="s">
        <v>1324</v>
      </c>
      <c r="AT514" s="80" t="str">
        <f t="shared" si="294"/>
        <v>Distrital</v>
      </c>
      <c r="AU514" s="79" t="s">
        <v>172</v>
      </c>
      <c r="AV514" s="79"/>
      <c r="AW514" s="79"/>
      <c r="AX514" s="79"/>
      <c r="AY514" s="79"/>
      <c r="AZ514" s="79"/>
      <c r="BA514" s="80" t="str">
        <f t="shared" si="295"/>
        <v>Distrital</v>
      </c>
      <c r="BB514" s="79" t="s">
        <v>172</v>
      </c>
      <c r="BC514" s="79"/>
      <c r="BD514" s="79"/>
      <c r="BE514" s="79"/>
      <c r="BF514" s="79"/>
      <c r="BG514" s="79"/>
      <c r="BH514" s="80" t="str">
        <f t="shared" si="296"/>
        <v>Distrital</v>
      </c>
      <c r="BI514" s="79" t="s">
        <v>172</v>
      </c>
      <c r="BJ514" s="79"/>
      <c r="BK514" s="79"/>
      <c r="BL514" s="79"/>
      <c r="BM514" s="79"/>
      <c r="BN514" s="79"/>
      <c r="BO514" s="79"/>
      <c r="BP514" s="79"/>
      <c r="BQ514" s="79"/>
      <c r="BR514" s="79"/>
      <c r="BS514" s="80" t="s">
        <v>242</v>
      </c>
      <c r="BT514" s="80" t="s">
        <v>174</v>
      </c>
      <c r="BU514" s="89" t="s">
        <v>3598</v>
      </c>
      <c r="BV514" s="71"/>
      <c r="BW514" s="79" t="s">
        <v>152</v>
      </c>
      <c r="BX514" s="79" t="s">
        <v>179</v>
      </c>
      <c r="BY514" s="71"/>
      <c r="BZ514" s="79">
        <v>3</v>
      </c>
      <c r="CA514" s="79">
        <v>1</v>
      </c>
      <c r="CB514" s="79">
        <f>BZ514+CA514</f>
        <v>4</v>
      </c>
      <c r="CC514" s="79" t="str">
        <f t="shared" si="316"/>
        <v>Ninguna</v>
      </c>
      <c r="CD514" s="79" t="s">
        <v>174</v>
      </c>
      <c r="CE514" s="79"/>
      <c r="CF514" s="79"/>
      <c r="CG514" s="83" t="s">
        <v>3599</v>
      </c>
      <c r="CH514" s="41"/>
      <c r="CI514" s="79" t="s">
        <v>153</v>
      </c>
      <c r="CJ514" s="71"/>
      <c r="CK514" s="79">
        <f>COUNTIF(CL514:CQ514,"*")</f>
        <v>0</v>
      </c>
      <c r="CL514" s="79"/>
      <c r="CM514" s="79"/>
      <c r="CN514" s="79"/>
      <c r="CO514" s="79"/>
      <c r="CP514" s="79"/>
      <c r="CQ514" s="79"/>
      <c r="CR514" s="83" t="s">
        <v>179</v>
      </c>
      <c r="CS514" s="83" t="s">
        <v>179</v>
      </c>
      <c r="CT514" s="83" t="s">
        <v>179</v>
      </c>
      <c r="CU514" s="83" t="s">
        <v>179</v>
      </c>
      <c r="CV514" s="83" t="s">
        <v>179</v>
      </c>
      <c r="CW514" s="83" t="s">
        <v>179</v>
      </c>
      <c r="CX514" s="79" t="s">
        <v>153</v>
      </c>
      <c r="CY514" s="79">
        <f>SUM(COUNTIF(CR514:CW514,"Realizado y Devuelto a la Ciudadanía"),COUNTIF(CR514:CW514,"Realizado y Trasladado por competencia"), COUNTIF(CR514:CW514,"Realizado y Gestionado"))</f>
        <v>0</v>
      </c>
      <c r="CZ514" s="79">
        <v>0</v>
      </c>
      <c r="DA514" s="79">
        <f>COUNTIF(CR514:CW514,"Realizado y Devuelto a la Ciudadanía")</f>
        <v>0</v>
      </c>
      <c r="DB514" s="84" t="str">
        <f>IFERROR(CY514/CK514,"")</f>
        <v/>
      </c>
      <c r="DC514" s="41"/>
      <c r="DD514" s="79" t="s">
        <v>153</v>
      </c>
      <c r="DE514" s="71"/>
      <c r="DF514" s="85" t="s">
        <v>3600</v>
      </c>
      <c r="DG514" s="79">
        <v>506</v>
      </c>
      <c r="DH514" s="86" t="str">
        <f t="shared" ref="DH514:DH544" si="362">IF(EE514="Por completar",C514+3,"Completo")</f>
        <v>Completo</v>
      </c>
      <c r="DI514" s="79" t="s">
        <v>181</v>
      </c>
      <c r="DJ514" s="79" t="s">
        <v>182</v>
      </c>
      <c r="DK514" s="79"/>
      <c r="DL514" s="79">
        <v>0</v>
      </c>
      <c r="DM514" s="79">
        <v>0</v>
      </c>
      <c r="DN514" s="79" t="s">
        <v>182</v>
      </c>
      <c r="DO514" s="79"/>
      <c r="DP514" s="79"/>
      <c r="DQ514" s="79"/>
      <c r="DR514" s="75" t="str">
        <f t="shared" si="350"/>
        <v>No aplica</v>
      </c>
      <c r="DS514" s="79"/>
      <c r="DT514" s="79"/>
      <c r="DU514" s="75" t="str">
        <f t="shared" si="351"/>
        <v>No aplica</v>
      </c>
      <c r="DV514" s="79" t="s">
        <v>182</v>
      </c>
      <c r="DW514" s="79" t="s">
        <v>182</v>
      </c>
      <c r="DX514" s="79"/>
      <c r="DY514" s="79"/>
      <c r="DZ514" s="79"/>
      <c r="EA514" s="79"/>
      <c r="EB514" s="79" t="s">
        <v>182</v>
      </c>
      <c r="EC514" s="79" t="s">
        <v>3601</v>
      </c>
      <c r="ED514" s="79" t="s">
        <v>3602</v>
      </c>
      <c r="EE514" s="79" t="str">
        <f>IF(DI514="Subsanado","Completo","Por Completar")</f>
        <v>Completo</v>
      </c>
      <c r="EF514" s="41"/>
      <c r="EG514" s="79" t="s">
        <v>153</v>
      </c>
      <c r="EH514" s="71"/>
      <c r="EI514" s="80"/>
      <c r="EJ514" s="71"/>
      <c r="EK514" s="79"/>
      <c r="EL514" s="76" t="str">
        <f t="shared" si="297"/>
        <v>No requiere</v>
      </c>
      <c r="EM514" s="76" t="str">
        <f t="shared" si="298"/>
        <v>No requiere</v>
      </c>
      <c r="EN514" s="76" t="str">
        <f t="shared" si="340"/>
        <v>No requiere</v>
      </c>
      <c r="EO514" s="71"/>
      <c r="EP514" s="73" t="str">
        <f t="shared" si="299"/>
        <v>No requiere</v>
      </c>
      <c r="EQ514" s="77" t="str">
        <f t="shared" si="300"/>
        <v>No requiere</v>
      </c>
      <c r="ER514" s="71"/>
      <c r="ES514" s="79"/>
      <c r="ET514" s="73" t="str">
        <f t="shared" si="301"/>
        <v>No requiere</v>
      </c>
      <c r="EU514" s="73" t="str">
        <f t="shared" si="341"/>
        <v>No requiere</v>
      </c>
      <c r="EV514" s="73" t="str">
        <f t="shared" si="302"/>
        <v>No requiere</v>
      </c>
      <c r="EW514" s="73" t="str">
        <f t="shared" si="303"/>
        <v>No requiere</v>
      </c>
      <c r="EX514" s="78"/>
      <c r="EY514" s="78"/>
    </row>
    <row r="515" spans="1:155" ht="46.5" customHeight="1">
      <c r="A515" s="79">
        <v>511</v>
      </c>
      <c r="B515" s="80" t="s">
        <v>595</v>
      </c>
      <c r="C515" s="81">
        <v>45442</v>
      </c>
      <c r="D515" s="82">
        <v>0.625</v>
      </c>
      <c r="E515" s="79" t="s">
        <v>200</v>
      </c>
      <c r="F515" s="79" t="s">
        <v>153</v>
      </c>
      <c r="G515" s="79" t="s">
        <v>152</v>
      </c>
      <c r="H515" s="79" t="s">
        <v>152</v>
      </c>
      <c r="I515" s="79" t="s">
        <v>152</v>
      </c>
      <c r="J515" s="79" t="s">
        <v>201</v>
      </c>
      <c r="K515" s="79" t="s">
        <v>202</v>
      </c>
      <c r="L515" s="80" t="s">
        <v>3603</v>
      </c>
      <c r="M515" s="80" t="s">
        <v>157</v>
      </c>
      <c r="N515" s="79" t="s">
        <v>168</v>
      </c>
      <c r="O515" s="80" t="str">
        <f t="shared" si="293"/>
        <v/>
      </c>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t="s">
        <v>304</v>
      </c>
      <c r="AP515" s="79"/>
      <c r="AQ515" s="80" t="s">
        <v>205</v>
      </c>
      <c r="AR515" s="83" t="s">
        <v>171</v>
      </c>
      <c r="AS515" s="80" t="s">
        <v>206</v>
      </c>
      <c r="AT515" s="80" t="str">
        <f t="shared" si="294"/>
        <v>Distrital</v>
      </c>
      <c r="AU515" s="79" t="s">
        <v>172</v>
      </c>
      <c r="AV515" s="79"/>
      <c r="AW515" s="79"/>
      <c r="AX515" s="79"/>
      <c r="AY515" s="79"/>
      <c r="AZ515" s="79"/>
      <c r="BA515" s="80" t="str">
        <f t="shared" si="295"/>
        <v>Distrital</v>
      </c>
      <c r="BB515" s="79" t="s">
        <v>172</v>
      </c>
      <c r="BC515" s="79"/>
      <c r="BD515" s="79"/>
      <c r="BE515" s="79"/>
      <c r="BF515" s="79"/>
      <c r="BG515" s="79"/>
      <c r="BH515" s="80" t="str">
        <f t="shared" si="296"/>
        <v>Distrital</v>
      </c>
      <c r="BI515" s="79" t="s">
        <v>172</v>
      </c>
      <c r="BJ515" s="79"/>
      <c r="BK515" s="79"/>
      <c r="BL515" s="79"/>
      <c r="BM515" s="79"/>
      <c r="BN515" s="79"/>
      <c r="BO515" s="79"/>
      <c r="BP515" s="79"/>
      <c r="BQ515" s="79"/>
      <c r="BR515" s="79"/>
      <c r="BS515" s="80" t="s">
        <v>288</v>
      </c>
      <c r="BT515" s="80" t="s">
        <v>174</v>
      </c>
      <c r="BU515" s="80" t="s">
        <v>3604</v>
      </c>
      <c r="BV515" s="71"/>
      <c r="BW515" s="79" t="s">
        <v>152</v>
      </c>
      <c r="BX515" s="79" t="s">
        <v>179</v>
      </c>
      <c r="BY515" s="71"/>
      <c r="BZ515" s="79">
        <v>8</v>
      </c>
      <c r="CA515" s="79">
        <v>1</v>
      </c>
      <c r="CB515" s="79">
        <f t="shared" si="281"/>
        <v>9</v>
      </c>
      <c r="CC515" s="79" t="str">
        <f t="shared" si="316"/>
        <v>Ninguna</v>
      </c>
      <c r="CD515" s="79" t="s">
        <v>174</v>
      </c>
      <c r="CE515" s="79"/>
      <c r="CF515" s="79"/>
      <c r="CG515" s="83" t="s">
        <v>3605</v>
      </c>
      <c r="CH515" s="41"/>
      <c r="CI515" s="79" t="s">
        <v>153</v>
      </c>
      <c r="CJ515" s="71"/>
      <c r="CK515" s="79">
        <f t="shared" si="357"/>
        <v>0</v>
      </c>
      <c r="CL515" s="79"/>
      <c r="CM515" s="79"/>
      <c r="CN515" s="79"/>
      <c r="CO515" s="79"/>
      <c r="CP515" s="79"/>
      <c r="CQ515" s="79"/>
      <c r="CR515" s="83"/>
      <c r="CS515" s="83"/>
      <c r="CT515" s="83"/>
      <c r="CU515" s="83"/>
      <c r="CV515" s="83"/>
      <c r="CW515" s="83"/>
      <c r="CX515" s="79"/>
      <c r="CY515" s="79">
        <f t="shared" si="358"/>
        <v>0</v>
      </c>
      <c r="CZ515" s="79">
        <v>0</v>
      </c>
      <c r="DA515" s="79">
        <f t="shared" si="359"/>
        <v>0</v>
      </c>
      <c r="DB515" s="84" t="str">
        <f t="shared" si="360"/>
        <v/>
      </c>
      <c r="DC515" s="41"/>
      <c r="DD515" s="79"/>
      <c r="DE515" s="71"/>
      <c r="DF515" s="85" t="s">
        <v>3606</v>
      </c>
      <c r="DG515" s="79">
        <v>502</v>
      </c>
      <c r="DH515" s="86">
        <f t="shared" si="362"/>
        <v>45445</v>
      </c>
      <c r="DI515" s="79" t="s">
        <v>3560</v>
      </c>
      <c r="DJ515" s="79"/>
      <c r="DK515" s="79"/>
      <c r="DL515" s="79">
        <v>0</v>
      </c>
      <c r="DM515" s="79">
        <v>0</v>
      </c>
      <c r="DN515" s="79"/>
      <c r="DO515" s="79"/>
      <c r="DP515" s="79"/>
      <c r="DQ515" s="79"/>
      <c r="DR515" s="75" t="str">
        <f t="shared" si="350"/>
        <v>No aplica</v>
      </c>
      <c r="DS515" s="79"/>
      <c r="DT515" s="79"/>
      <c r="DU515" s="75" t="str">
        <f t="shared" si="351"/>
        <v>No aplica</v>
      </c>
      <c r="DV515" s="79"/>
      <c r="DW515" s="79"/>
      <c r="DX515" s="79"/>
      <c r="DY515" s="79"/>
      <c r="DZ515" s="79"/>
      <c r="EA515" s="79"/>
      <c r="EB515" s="79"/>
      <c r="EC515" s="79"/>
      <c r="ED515" s="79" t="s">
        <v>770</v>
      </c>
      <c r="EE515" s="79" t="str">
        <f t="shared" si="361"/>
        <v>Por Completar</v>
      </c>
      <c r="EF515" s="41"/>
      <c r="EG515" s="79"/>
      <c r="EH515" s="71"/>
      <c r="EI515" s="80"/>
      <c r="EJ515" s="71"/>
      <c r="EK515" s="79"/>
      <c r="EL515" s="76" t="str">
        <f t="shared" si="297"/>
        <v>No requiere</v>
      </c>
      <c r="EM515" s="76" t="str">
        <f t="shared" si="298"/>
        <v>No requiere</v>
      </c>
      <c r="EN515" s="76" t="str">
        <f t="shared" si="340"/>
        <v>No requiere</v>
      </c>
      <c r="EO515" s="71"/>
      <c r="EP515" s="73" t="str">
        <f t="shared" si="299"/>
        <v>No requiere</v>
      </c>
      <c r="EQ515" s="77" t="str">
        <f t="shared" si="300"/>
        <v>No requiere</v>
      </c>
      <c r="ER515" s="71"/>
      <c r="ES515" s="79"/>
      <c r="ET515" s="73" t="str">
        <f t="shared" si="301"/>
        <v>No requiere</v>
      </c>
      <c r="EU515" s="73" t="str">
        <f t="shared" si="341"/>
        <v>No requiere</v>
      </c>
      <c r="EV515" s="73" t="str">
        <f t="shared" si="302"/>
        <v>No requiere</v>
      </c>
      <c r="EW515" s="73" t="str">
        <f t="shared" si="303"/>
        <v>No requiere</v>
      </c>
      <c r="EX515" s="78"/>
      <c r="EY515" s="78"/>
    </row>
    <row r="516" spans="1:155" ht="46.5" customHeight="1">
      <c r="A516" s="79" t="str">
        <v/>
      </c>
      <c r="B516" s="80" t="s">
        <v>3607</v>
      </c>
      <c r="C516" s="81">
        <v>45442</v>
      </c>
      <c r="D516" s="82">
        <v>0.58333333333333337</v>
      </c>
      <c r="E516" s="79" t="s">
        <v>151</v>
      </c>
      <c r="F516" s="79" t="s">
        <v>152</v>
      </c>
      <c r="G516" s="79" t="s">
        <v>153</v>
      </c>
      <c r="H516" s="79" t="s">
        <v>152</v>
      </c>
      <c r="I516" s="79" t="s">
        <v>152</v>
      </c>
      <c r="J516" s="79" t="s">
        <v>2153</v>
      </c>
      <c r="K516" s="79" t="s">
        <v>155</v>
      </c>
      <c r="L516" s="80" t="s">
        <v>3608</v>
      </c>
      <c r="M516" s="80" t="s">
        <v>157</v>
      </c>
      <c r="N516" s="79" t="s">
        <v>346</v>
      </c>
      <c r="O516" s="80" t="str">
        <f t="shared" si="293"/>
        <v>Freddy Martínez</v>
      </c>
      <c r="P516" s="79" t="s">
        <v>3049</v>
      </c>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t="s">
        <v>169</v>
      </c>
      <c r="AP516" s="79"/>
      <c r="AQ516" s="80" t="s">
        <v>171</v>
      </c>
      <c r="AR516" s="80" t="s">
        <v>171</v>
      </c>
      <c r="AS516" s="80" t="s">
        <v>171</v>
      </c>
      <c r="AT516" s="80" t="str">
        <f t="shared" si="294"/>
        <v>Distrital</v>
      </c>
      <c r="AU516" s="79" t="s">
        <v>172</v>
      </c>
      <c r="AV516" s="79"/>
      <c r="AW516" s="79"/>
      <c r="AX516" s="79"/>
      <c r="AY516" s="79"/>
      <c r="AZ516" s="79"/>
      <c r="BA516" s="80" t="str">
        <f t="shared" si="295"/>
        <v>Distrital</v>
      </c>
      <c r="BB516" s="79" t="s">
        <v>172</v>
      </c>
      <c r="BC516" s="79"/>
      <c r="BD516" s="79"/>
      <c r="BE516" s="79"/>
      <c r="BF516" s="79"/>
      <c r="BG516" s="79"/>
      <c r="BH516" s="80" t="str">
        <f t="shared" si="296"/>
        <v>Distrital</v>
      </c>
      <c r="BI516" s="79" t="s">
        <v>172</v>
      </c>
      <c r="BJ516" s="79"/>
      <c r="BK516" s="79"/>
      <c r="BL516" s="79"/>
      <c r="BM516" s="79"/>
      <c r="BN516" s="79"/>
      <c r="BO516" s="79"/>
      <c r="BP516" s="79"/>
      <c r="BQ516" s="79"/>
      <c r="BR516" s="79"/>
      <c r="BS516" s="80" t="s">
        <v>288</v>
      </c>
      <c r="BT516" s="80" t="s">
        <v>174</v>
      </c>
      <c r="BU516" s="80" t="s">
        <v>3609</v>
      </c>
      <c r="BV516" s="71"/>
      <c r="BW516" s="79" t="s">
        <v>152</v>
      </c>
      <c r="BX516" s="79" t="s">
        <v>179</v>
      </c>
      <c r="BY516" s="71"/>
      <c r="BZ516" s="79">
        <v>2</v>
      </c>
      <c r="CA516" s="79">
        <v>5</v>
      </c>
      <c r="CB516" s="79">
        <f t="shared" si="281"/>
        <v>7</v>
      </c>
      <c r="CC516" s="79" t="str">
        <f t="shared" si="316"/>
        <v>Ninguna</v>
      </c>
      <c r="CD516" s="79" t="s">
        <v>174</v>
      </c>
      <c r="CE516" s="79"/>
      <c r="CF516" s="79"/>
      <c r="CG516" s="83" t="s">
        <v>3610</v>
      </c>
      <c r="CH516" s="41"/>
      <c r="CI516" s="79" t="s">
        <v>153</v>
      </c>
      <c r="CJ516" s="71"/>
      <c r="CK516" s="79">
        <f t="shared" ref="CK516:CK519" si="363">COUNTIF(CL516:CQ516,"*")</f>
        <v>0</v>
      </c>
      <c r="CL516" s="79"/>
      <c r="CM516" s="79"/>
      <c r="CN516" s="79"/>
      <c r="CO516" s="79"/>
      <c r="CP516" s="79"/>
      <c r="CQ516" s="79"/>
      <c r="CR516" s="83" t="s">
        <v>179</v>
      </c>
      <c r="CS516" s="83" t="s">
        <v>179</v>
      </c>
      <c r="CT516" s="83" t="s">
        <v>179</v>
      </c>
      <c r="CU516" s="83" t="s">
        <v>179</v>
      </c>
      <c r="CV516" s="83" t="s">
        <v>179</v>
      </c>
      <c r="CW516" s="83" t="s">
        <v>179</v>
      </c>
      <c r="CX516" s="79" t="s">
        <v>153</v>
      </c>
      <c r="CY516" s="79">
        <f t="shared" si="358"/>
        <v>0</v>
      </c>
      <c r="CZ516" s="79">
        <v>0</v>
      </c>
      <c r="DA516" s="79">
        <f t="shared" si="359"/>
        <v>0</v>
      </c>
      <c r="DB516" s="84" t="str">
        <f t="shared" ref="DB516:DB935" si="364">IFERROR(CY516/CK516,"")</f>
        <v/>
      </c>
      <c r="DC516" s="41"/>
      <c r="DD516" s="79" t="s">
        <v>153</v>
      </c>
      <c r="DE516" s="71"/>
      <c r="DF516" s="85" t="s">
        <v>3611</v>
      </c>
      <c r="DG516" s="79">
        <v>504</v>
      </c>
      <c r="DH516" s="86" t="str">
        <f t="shared" si="362"/>
        <v>Completo</v>
      </c>
      <c r="DI516" s="79" t="s">
        <v>181</v>
      </c>
      <c r="DJ516" s="79" t="s">
        <v>182</v>
      </c>
      <c r="DK516" s="79"/>
      <c r="DL516" s="79">
        <v>0</v>
      </c>
      <c r="DM516" s="79">
        <v>0</v>
      </c>
      <c r="DN516" s="79" t="s">
        <v>191</v>
      </c>
      <c r="DO516" s="79"/>
      <c r="DP516" s="79"/>
      <c r="DQ516" s="79"/>
      <c r="DR516" s="75" t="str">
        <f t="shared" si="350"/>
        <v>No aplica</v>
      </c>
      <c r="DS516" s="79" t="s">
        <v>182</v>
      </c>
      <c r="DT516" s="79"/>
      <c r="DU516" s="75" t="str">
        <f t="shared" si="351"/>
        <v>No aplica</v>
      </c>
      <c r="DV516" s="79"/>
      <c r="DW516" s="79" t="s">
        <v>182</v>
      </c>
      <c r="DX516" s="79"/>
      <c r="DY516" s="79"/>
      <c r="DZ516" s="79"/>
      <c r="EA516" s="79"/>
      <c r="EB516" s="79"/>
      <c r="EC516" s="79"/>
      <c r="ED516" s="79" t="s">
        <v>3612</v>
      </c>
      <c r="EE516" s="79" t="str">
        <f>IF(DI516="Subsanado","Completo","Por Completar")</f>
        <v>Completo</v>
      </c>
      <c r="EF516" s="41"/>
      <c r="EG516" s="79" t="s">
        <v>153</v>
      </c>
      <c r="EH516" s="71"/>
      <c r="EI516" s="80"/>
      <c r="EJ516" s="71"/>
      <c r="EK516" s="79"/>
      <c r="EL516" s="76" t="str">
        <f t="shared" si="297"/>
        <v>No requiere</v>
      </c>
      <c r="EM516" s="76" t="str">
        <f t="shared" si="298"/>
        <v>No requiere</v>
      </c>
      <c r="EN516" s="76" t="str">
        <f t="shared" si="340"/>
        <v>No requiere</v>
      </c>
      <c r="EO516" s="71"/>
      <c r="EP516" s="73" t="str">
        <f t="shared" si="299"/>
        <v>No requiere</v>
      </c>
      <c r="EQ516" s="77" t="str">
        <f t="shared" si="300"/>
        <v>No requiere</v>
      </c>
      <c r="ER516" s="71"/>
      <c r="ES516" s="79"/>
      <c r="ET516" s="73" t="str">
        <f t="shared" si="301"/>
        <v>No requiere</v>
      </c>
      <c r="EU516" s="73" t="str">
        <f t="shared" si="341"/>
        <v>No requiere</v>
      </c>
      <c r="EV516" s="73" t="str">
        <f t="shared" si="302"/>
        <v>No requiere</v>
      </c>
      <c r="EW516" s="73" t="str">
        <f t="shared" si="303"/>
        <v>No requiere</v>
      </c>
      <c r="EX516" s="78"/>
      <c r="EY516" s="78"/>
    </row>
    <row r="517" spans="1:155" ht="46.5" customHeight="1">
      <c r="A517" s="79">
        <v>513</v>
      </c>
      <c r="B517" s="80" t="s">
        <v>3613</v>
      </c>
      <c r="C517" s="81">
        <v>45442</v>
      </c>
      <c r="D517" s="82">
        <v>0.70833333333333337</v>
      </c>
      <c r="E517" s="79" t="s">
        <v>200</v>
      </c>
      <c r="F517" s="79" t="s">
        <v>153</v>
      </c>
      <c r="G517" s="79" t="s">
        <v>152</v>
      </c>
      <c r="H517" s="79" t="s">
        <v>152</v>
      </c>
      <c r="I517" s="79" t="s">
        <v>152</v>
      </c>
      <c r="J517" s="79" t="s">
        <v>211</v>
      </c>
      <c r="K517" s="79" t="s">
        <v>202</v>
      </c>
      <c r="L517" s="80" t="s">
        <v>3614</v>
      </c>
      <c r="M517" s="80" t="s">
        <v>624</v>
      </c>
      <c r="N517" s="79" t="s">
        <v>253</v>
      </c>
      <c r="O517" s="80" t="str">
        <f t="shared" ref="O517:O540" si="365">_xlfn.TEXTJOIN(", ",TRUE,P517:AN517)</f>
        <v>PENDIENTE</v>
      </c>
      <c r="P517" s="79" t="s">
        <v>196</v>
      </c>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t="s">
        <v>169</v>
      </c>
      <c r="AP517" s="79" t="s">
        <v>242</v>
      </c>
      <c r="AQ517" s="80" t="s">
        <v>1511</v>
      </c>
      <c r="AR517" s="83">
        <v>3188799909</v>
      </c>
      <c r="AS517" s="80" t="s">
        <v>2040</v>
      </c>
      <c r="AT517" s="80" t="str">
        <f t="shared" ref="AT517:AT550" si="366">_xlfn.TEXTJOIN(", ",TRUE,$AU517:$AY517)</f>
        <v>Distrital</v>
      </c>
      <c r="AU517" s="79" t="s">
        <v>172</v>
      </c>
      <c r="AV517" s="79"/>
      <c r="AW517" s="79"/>
      <c r="AX517" s="79"/>
      <c r="AY517" s="79"/>
      <c r="AZ517" s="79"/>
      <c r="BA517" s="80" t="str">
        <f t="shared" ref="BA517:BA578" si="367">_xlfn.TEXTJOIN(", ",TRUE,$BB517:$BG517)</f>
        <v>Distrital</v>
      </c>
      <c r="BB517" s="79" t="s">
        <v>172</v>
      </c>
      <c r="BC517" s="79"/>
      <c r="BD517" s="79"/>
      <c r="BE517" s="79"/>
      <c r="BF517" s="79"/>
      <c r="BG517" s="79"/>
      <c r="BH517" s="80" t="str">
        <f t="shared" ref="BH517:BH578" si="368">_xlfn.TEXTJOIN(", ",TRUE,$BI517:$BR517)</f>
        <v>Distrital</v>
      </c>
      <c r="BI517" s="79" t="s">
        <v>172</v>
      </c>
      <c r="BJ517" s="79"/>
      <c r="BK517" s="79"/>
      <c r="BL517" s="79"/>
      <c r="BM517" s="79"/>
      <c r="BN517" s="79"/>
      <c r="BO517" s="79"/>
      <c r="BP517" s="79"/>
      <c r="BQ517" s="79"/>
      <c r="BR517" s="79"/>
      <c r="BS517" s="80" t="s">
        <v>242</v>
      </c>
      <c r="BT517" s="80" t="s">
        <v>174</v>
      </c>
      <c r="BU517" s="89" t="s">
        <v>3615</v>
      </c>
      <c r="BV517" s="71"/>
      <c r="BW517" s="79" t="s">
        <v>152</v>
      </c>
      <c r="BX517" s="79" t="s">
        <v>179</v>
      </c>
      <c r="BY517" s="71"/>
      <c r="BZ517" s="79">
        <v>70</v>
      </c>
      <c r="CA517" s="79">
        <v>2</v>
      </c>
      <c r="CB517" s="79">
        <f t="shared" si="281"/>
        <v>72</v>
      </c>
      <c r="CC517" s="79" t="str">
        <f t="shared" si="316"/>
        <v>Ninguna</v>
      </c>
      <c r="CD517" s="79" t="s">
        <v>174</v>
      </c>
      <c r="CE517" s="79"/>
      <c r="CF517" s="79"/>
      <c r="CG517" s="83" t="s">
        <v>3616</v>
      </c>
      <c r="CH517" s="41"/>
      <c r="CI517" s="79" t="s">
        <v>153</v>
      </c>
      <c r="CJ517" s="71"/>
      <c r="CK517" s="79">
        <f t="shared" si="363"/>
        <v>0</v>
      </c>
      <c r="CL517" s="79"/>
      <c r="CM517" s="79"/>
      <c r="CN517" s="79"/>
      <c r="CO517" s="79"/>
      <c r="CP517" s="79"/>
      <c r="CQ517" s="79"/>
      <c r="CR517" s="83" t="s">
        <v>179</v>
      </c>
      <c r="CS517" s="83" t="s">
        <v>179</v>
      </c>
      <c r="CT517" s="83" t="s">
        <v>179</v>
      </c>
      <c r="CU517" s="83" t="s">
        <v>179</v>
      </c>
      <c r="CV517" s="83" t="s">
        <v>179</v>
      </c>
      <c r="CW517" s="83" t="s">
        <v>179</v>
      </c>
      <c r="CX517" s="79" t="s">
        <v>153</v>
      </c>
      <c r="CY517" s="79">
        <f t="shared" si="358"/>
        <v>0</v>
      </c>
      <c r="CZ517" s="79">
        <v>0</v>
      </c>
      <c r="DA517" s="79">
        <f t="shared" si="359"/>
        <v>0</v>
      </c>
      <c r="DB517" s="84" t="str">
        <f t="shared" si="364"/>
        <v/>
      </c>
      <c r="DC517" s="41"/>
      <c r="DD517" s="79"/>
      <c r="DE517" s="71"/>
      <c r="DF517" s="85" t="s">
        <v>3617</v>
      </c>
      <c r="DG517" s="79">
        <v>505</v>
      </c>
      <c r="DH517" s="86" t="str">
        <f t="shared" si="362"/>
        <v>Completo</v>
      </c>
      <c r="DI517" s="79" t="s">
        <v>181</v>
      </c>
      <c r="DJ517" s="79" t="s">
        <v>182</v>
      </c>
      <c r="DK517" s="79"/>
      <c r="DL517" s="79">
        <v>0</v>
      </c>
      <c r="DM517" s="79">
        <v>0</v>
      </c>
      <c r="DN517" s="79" t="s">
        <v>182</v>
      </c>
      <c r="DO517" s="79"/>
      <c r="DP517" s="79"/>
      <c r="DQ517" s="79"/>
      <c r="DR517" s="75" t="str">
        <f t="shared" si="350"/>
        <v>No aplica</v>
      </c>
      <c r="DS517" s="79"/>
      <c r="DT517" s="79"/>
      <c r="DU517" s="75" t="str">
        <f t="shared" si="351"/>
        <v>No aplica</v>
      </c>
      <c r="DV517" s="79" t="s">
        <v>182</v>
      </c>
      <c r="DW517" s="79" t="s">
        <v>182</v>
      </c>
      <c r="DX517" s="79"/>
      <c r="DY517" s="79"/>
      <c r="DZ517" s="79"/>
      <c r="EA517" s="79"/>
      <c r="EB517" s="79" t="s">
        <v>182</v>
      </c>
      <c r="EC517" s="79" t="s">
        <v>3618</v>
      </c>
      <c r="ED517" s="79" t="s">
        <v>1743</v>
      </c>
      <c r="EE517" s="79" t="str">
        <f t="shared" ref="EE517:EE521" si="369">IF(DI517="Subsanado","Completo","Por Completar")</f>
        <v>Completo</v>
      </c>
      <c r="EF517" s="41"/>
      <c r="EG517" s="79" t="s">
        <v>153</v>
      </c>
      <c r="EH517" s="71"/>
      <c r="EI517" s="80"/>
      <c r="EJ517" s="71"/>
      <c r="EK517" s="79"/>
      <c r="EL517" s="76" t="str">
        <f t="shared" ref="EL517:EL579" si="370">IF(F517="NO","No requiere",IF(H517="No","No requiere",IF(DW517="","",IF(DW517&lt;&gt;"No aplica",IF(DX517&lt;&gt;"No aplica",IF(DX517&gt;=2,"Sí","No"),"No aplica"),"No aplica"))))</f>
        <v>No requiere</v>
      </c>
      <c r="EM517" s="76" t="str">
        <f t="shared" ref="EM517:EM579" si="371">IF(F517="NO","No requiere",IF(H517="No","No requiere",IF(DW517="","",IF(DW517&lt;&gt;"No aplica",IF(DY517&lt;&gt;"No aplica",IF(DY517&gt;=1,"Sí","No"),"No aplica"),"No aplica"))))</f>
        <v>No requiere</v>
      </c>
      <c r="EN517" s="76" t="str">
        <f t="shared" si="340"/>
        <v>No requiere</v>
      </c>
      <c r="EO517" s="71"/>
      <c r="EP517" s="73" t="str">
        <f t="shared" ref="EP517:EP579" si="372">IF(F517="NO","No requiere",IF(H517="No","No requiere",IF(DL517="","",IF(DL517&gt;=1,DM517/DL517,"No aplica"))))</f>
        <v>No requiere</v>
      </c>
      <c r="EQ517" s="77" t="str">
        <f t="shared" ref="EQ517:EQ579" si="373">IFERROR(IF(F517="NO","No requiere",IF(H517="No","No requiere",DU517)),"")</f>
        <v>No requiere</v>
      </c>
      <c r="ER517" s="71"/>
      <c r="ES517" s="79"/>
      <c r="ET517" s="73" t="str">
        <f t="shared" ref="ET517:ET579" si="374">IF(F517="NO","No requiere",IF(H517="No","No requiere",IFERROR(COUNTIF(DJ517:DW517,"Completo")/SUM(COUNTIF(DJ517:DW517,"Completo"),COUNTIF(DJ517:DW517,"Incompleto"),COUNTIF(DJ517:DW517,"No subido"),COUNTIF(DJ517:DW517,"No existente"),COUNTIF(DJ517:DW517,"Pendiente")),"")))</f>
        <v>No requiere</v>
      </c>
      <c r="EU517" s="73" t="str">
        <f t="shared" si="341"/>
        <v>No requiere</v>
      </c>
      <c r="EV517" s="73" t="str">
        <f t="shared" ref="EV517:EV579" si="375">IF(EU517="Por verificar","Por verificar",IF(F517="NO","No requiere",IF(H517="No","No requiere",IFERROR(IF(EU517="","",IF(CK517&gt;=1,DA517/CZ517,"No aplica")),"No aplica"))))</f>
        <v>No requiere</v>
      </c>
      <c r="EW517" s="73" t="str">
        <f t="shared" ref="EW517:EW541" si="376">IF(F517="NO","No requiere",IF(H517="No","No requiere",IFERROR(IF(BZ517="","",IF(EA517&lt;&gt;"No aplica",IF(EA517&gt;=1,DO517/EA517,"0%"),"No aplica")),"")))</f>
        <v>No requiere</v>
      </c>
      <c r="EX517" s="78"/>
      <c r="EY517" s="78"/>
    </row>
    <row r="518" spans="1:155" ht="46.5" customHeight="1">
      <c r="A518" s="79">
        <v>514</v>
      </c>
      <c r="B518" s="80" t="s">
        <v>1007</v>
      </c>
      <c r="C518" s="81">
        <v>45442</v>
      </c>
      <c r="D518" s="82">
        <v>0.375</v>
      </c>
      <c r="E518" s="79" t="s">
        <v>200</v>
      </c>
      <c r="F518" s="79" t="s">
        <v>153</v>
      </c>
      <c r="G518" s="79" t="s">
        <v>152</v>
      </c>
      <c r="H518" s="79" t="s">
        <v>152</v>
      </c>
      <c r="I518" s="79" t="s">
        <v>152</v>
      </c>
      <c r="J518" s="79" t="s">
        <v>504</v>
      </c>
      <c r="K518" s="79" t="s">
        <v>202</v>
      </c>
      <c r="L518" s="80" t="s">
        <v>3619</v>
      </c>
      <c r="M518" s="80" t="s">
        <v>157</v>
      </c>
      <c r="N518" s="79" t="s">
        <v>645</v>
      </c>
      <c r="O518" s="80" t="str">
        <f t="shared" si="365"/>
        <v/>
      </c>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t="s">
        <v>169</v>
      </c>
      <c r="AP518" s="79" t="s">
        <v>2702</v>
      </c>
      <c r="AQ518" s="80" t="s">
        <v>3620</v>
      </c>
      <c r="AR518" s="83">
        <v>3202966775</v>
      </c>
      <c r="AS518" s="80" t="s">
        <v>1988</v>
      </c>
      <c r="AT518" s="80" t="str">
        <f t="shared" si="366"/>
        <v>Usme</v>
      </c>
      <c r="AU518" s="79" t="s">
        <v>1009</v>
      </c>
      <c r="AV518" s="79"/>
      <c r="AW518" s="79"/>
      <c r="AX518" s="79"/>
      <c r="AY518" s="79"/>
      <c r="AZ518" s="79"/>
      <c r="BA518" s="80" t="str">
        <f t="shared" si="367"/>
        <v>Suroriente</v>
      </c>
      <c r="BB518" s="79" t="s">
        <v>218</v>
      </c>
      <c r="BC518" s="79"/>
      <c r="BD518" s="79"/>
      <c r="BE518" s="79"/>
      <c r="BF518" s="79"/>
      <c r="BG518" s="79"/>
      <c r="BH518" s="80" t="str">
        <f t="shared" si="368"/>
        <v>Usme Entrenubes, Rafael Uribe, Cuenca del Tunjuelo, Cerros Orientales</v>
      </c>
      <c r="BI518" s="79" t="s">
        <v>1010</v>
      </c>
      <c r="BJ518" s="79" t="s">
        <v>723</v>
      </c>
      <c r="BK518" s="79" t="s">
        <v>222</v>
      </c>
      <c r="BL518" s="79" t="s">
        <v>361</v>
      </c>
      <c r="BM518" s="79"/>
      <c r="BN518" s="79"/>
      <c r="BO518" s="79"/>
      <c r="BP518" s="79"/>
      <c r="BQ518" s="79"/>
      <c r="BR518" s="79"/>
      <c r="BS518" s="80" t="s">
        <v>288</v>
      </c>
      <c r="BT518" s="80" t="s">
        <v>174</v>
      </c>
      <c r="BU518" s="89" t="s">
        <v>3621</v>
      </c>
      <c r="BV518" s="71"/>
      <c r="BW518" s="79" t="s">
        <v>152</v>
      </c>
      <c r="BX518" s="79" t="s">
        <v>179</v>
      </c>
      <c r="BY518" s="71"/>
      <c r="BZ518" s="79">
        <v>12</v>
      </c>
      <c r="CA518" s="79">
        <v>1</v>
      </c>
      <c r="CB518" s="79">
        <f t="shared" si="281"/>
        <v>13</v>
      </c>
      <c r="CC518" s="79" t="str">
        <f t="shared" si="316"/>
        <v>Ninguna</v>
      </c>
      <c r="CD518" s="79" t="s">
        <v>174</v>
      </c>
      <c r="CE518" s="79"/>
      <c r="CF518" s="79"/>
      <c r="CG518" s="83" t="s">
        <v>3622</v>
      </c>
      <c r="CH518" s="41"/>
      <c r="CI518" s="79" t="s">
        <v>153</v>
      </c>
      <c r="CJ518" s="71"/>
      <c r="CK518" s="79">
        <f t="shared" si="363"/>
        <v>0</v>
      </c>
      <c r="CL518" s="79"/>
      <c r="CM518" s="79"/>
      <c r="CN518" s="79"/>
      <c r="CO518" s="79"/>
      <c r="CP518" s="79"/>
      <c r="CQ518" s="79"/>
      <c r="CR518" s="83" t="s">
        <v>179</v>
      </c>
      <c r="CS518" s="83" t="s">
        <v>179</v>
      </c>
      <c r="CT518" s="83" t="s">
        <v>179</v>
      </c>
      <c r="CU518" s="83" t="s">
        <v>179</v>
      </c>
      <c r="CV518" s="83" t="s">
        <v>179</v>
      </c>
      <c r="CW518" s="83" t="s">
        <v>179</v>
      </c>
      <c r="CX518" s="79" t="s">
        <v>153</v>
      </c>
      <c r="CY518" s="79">
        <f t="shared" si="358"/>
        <v>0</v>
      </c>
      <c r="CZ518" s="79">
        <v>0</v>
      </c>
      <c r="DA518" s="79">
        <f t="shared" si="359"/>
        <v>0</v>
      </c>
      <c r="DB518" s="84" t="str">
        <f t="shared" si="364"/>
        <v/>
      </c>
      <c r="DC518" s="41"/>
      <c r="DD518" s="79" t="s">
        <v>153</v>
      </c>
      <c r="DE518" s="71"/>
      <c r="DF518" s="85" t="s">
        <v>3623</v>
      </c>
      <c r="DG518" s="79">
        <v>507</v>
      </c>
      <c r="DH518" s="86" t="str">
        <f t="shared" si="362"/>
        <v>Completo</v>
      </c>
      <c r="DI518" s="79" t="s">
        <v>181</v>
      </c>
      <c r="DJ518" s="79" t="s">
        <v>182</v>
      </c>
      <c r="DK518" s="79"/>
      <c r="DL518" s="79">
        <v>0</v>
      </c>
      <c r="DM518" s="79">
        <v>0</v>
      </c>
      <c r="DN518" s="79" t="s">
        <v>182</v>
      </c>
      <c r="DO518" s="79"/>
      <c r="DP518" s="79"/>
      <c r="DQ518" s="79"/>
      <c r="DR518" s="75" t="str">
        <f t="shared" si="350"/>
        <v>No aplica</v>
      </c>
      <c r="DS518" s="79"/>
      <c r="DT518" s="79"/>
      <c r="DU518" s="75" t="str">
        <f t="shared" si="351"/>
        <v>No aplica</v>
      </c>
      <c r="DV518" s="79" t="s">
        <v>182</v>
      </c>
      <c r="DW518" s="79" t="s">
        <v>182</v>
      </c>
      <c r="DX518" s="79"/>
      <c r="DY518" s="79"/>
      <c r="DZ518" s="79"/>
      <c r="EA518" s="79"/>
      <c r="EB518" s="79" t="s">
        <v>182</v>
      </c>
      <c r="EC518" s="79"/>
      <c r="ED518" s="79" t="s">
        <v>184</v>
      </c>
      <c r="EE518" s="79" t="str">
        <f t="shared" si="369"/>
        <v>Completo</v>
      </c>
      <c r="EF518" s="41"/>
      <c r="EG518" s="79" t="s">
        <v>153</v>
      </c>
      <c r="EH518" s="71"/>
      <c r="EI518" s="80"/>
      <c r="EJ518" s="71"/>
      <c r="EK518" s="79"/>
      <c r="EL518" s="76" t="str">
        <f t="shared" si="370"/>
        <v>No requiere</v>
      </c>
      <c r="EM518" s="76" t="str">
        <f t="shared" si="371"/>
        <v>No requiere</v>
      </c>
      <c r="EN518" s="76" t="str">
        <f t="shared" si="340"/>
        <v>No requiere</v>
      </c>
      <c r="EO518" s="71"/>
      <c r="EP518" s="73" t="str">
        <f t="shared" si="372"/>
        <v>No requiere</v>
      </c>
      <c r="EQ518" s="77" t="str">
        <f t="shared" si="373"/>
        <v>No requiere</v>
      </c>
      <c r="ER518" s="71"/>
      <c r="ES518" s="79"/>
      <c r="ET518" s="73" t="str">
        <f t="shared" si="374"/>
        <v>No requiere</v>
      </c>
      <c r="EU518" s="73" t="str">
        <f t="shared" si="341"/>
        <v>No requiere</v>
      </c>
      <c r="EV518" s="73" t="str">
        <f t="shared" si="375"/>
        <v>No requiere</v>
      </c>
      <c r="EW518" s="73" t="str">
        <f t="shared" si="376"/>
        <v>No requiere</v>
      </c>
      <c r="EX518" s="78"/>
      <c r="EY518" s="78"/>
    </row>
    <row r="519" spans="1:155" ht="46.5" customHeight="1">
      <c r="A519" s="79">
        <v>515</v>
      </c>
      <c r="B519" s="80" t="s">
        <v>3624</v>
      </c>
      <c r="C519" s="81">
        <v>45443</v>
      </c>
      <c r="D519" s="82">
        <v>0.41666666666666669</v>
      </c>
      <c r="E519" s="79" t="s">
        <v>151</v>
      </c>
      <c r="F519" s="79" t="s">
        <v>153</v>
      </c>
      <c r="G519" s="79" t="s">
        <v>153</v>
      </c>
      <c r="H519" s="79" t="s">
        <v>152</v>
      </c>
      <c r="I519" s="79" t="s">
        <v>152</v>
      </c>
      <c r="J519" s="79" t="s">
        <v>1711</v>
      </c>
      <c r="K519" s="79" t="s">
        <v>155</v>
      </c>
      <c r="L519" s="80" t="s">
        <v>3625</v>
      </c>
      <c r="M519" s="80" t="s">
        <v>157</v>
      </c>
      <c r="N519" s="79" t="s">
        <v>163</v>
      </c>
      <c r="O519" s="80" t="str">
        <f t="shared" si="365"/>
        <v>Laura Camila Bechara</v>
      </c>
      <c r="P519" s="79" t="s">
        <v>887</v>
      </c>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t="s">
        <v>230</v>
      </c>
      <c r="AP519" s="79" t="s">
        <v>347</v>
      </c>
      <c r="AQ519" s="80" t="s">
        <v>1713</v>
      </c>
      <c r="AR519" s="83">
        <v>3148396805</v>
      </c>
      <c r="AS519" s="80" t="s">
        <v>1714</v>
      </c>
      <c r="AT519" s="80" t="str">
        <f t="shared" si="366"/>
        <v>Distrital</v>
      </c>
      <c r="AU519" s="79" t="s">
        <v>172</v>
      </c>
      <c r="AV519" s="79"/>
      <c r="AW519" s="79"/>
      <c r="AX519" s="79"/>
      <c r="AY519" s="79"/>
      <c r="AZ519" s="79"/>
      <c r="BA519" s="80" t="str">
        <f t="shared" si="367"/>
        <v>Distrital</v>
      </c>
      <c r="BB519" s="79" t="s">
        <v>172</v>
      </c>
      <c r="BC519" s="79"/>
      <c r="BD519" s="79"/>
      <c r="BE519" s="79"/>
      <c r="BF519" s="79"/>
      <c r="BG519" s="79"/>
      <c r="BH519" s="80" t="str">
        <f t="shared" si="368"/>
        <v>Distrital</v>
      </c>
      <c r="BI519" s="79" t="s">
        <v>172</v>
      </c>
      <c r="BJ519" s="79"/>
      <c r="BK519" s="79"/>
      <c r="BL519" s="79"/>
      <c r="BM519" s="79"/>
      <c r="BN519" s="79"/>
      <c r="BO519" s="79"/>
      <c r="BP519" s="79"/>
      <c r="BQ519" s="79"/>
      <c r="BR519" s="79"/>
      <c r="BS519" s="80" t="s">
        <v>3626</v>
      </c>
      <c r="BT519" s="80" t="s">
        <v>174</v>
      </c>
      <c r="BU519" s="80" t="s">
        <v>3627</v>
      </c>
      <c r="BV519" s="71"/>
      <c r="BW519" s="79" t="s">
        <v>152</v>
      </c>
      <c r="BX519" s="79" t="s">
        <v>179</v>
      </c>
      <c r="BY519" s="71"/>
      <c r="BZ519" s="79">
        <v>3</v>
      </c>
      <c r="CA519" s="79">
        <v>3</v>
      </c>
      <c r="CB519" s="79">
        <f t="shared" si="281"/>
        <v>6</v>
      </c>
      <c r="CC519" s="79" t="str">
        <f t="shared" si="316"/>
        <v>Ninguna</v>
      </c>
      <c r="CD519" s="79" t="s">
        <v>174</v>
      </c>
      <c r="CE519" s="79"/>
      <c r="CF519" s="79"/>
      <c r="CG519" s="83" t="s">
        <v>3628</v>
      </c>
      <c r="CH519" s="41"/>
      <c r="CI519" s="79" t="s">
        <v>153</v>
      </c>
      <c r="CJ519" s="71"/>
      <c r="CK519" s="79">
        <f t="shared" si="363"/>
        <v>0</v>
      </c>
      <c r="CL519" s="79"/>
      <c r="CM519" s="79"/>
      <c r="CN519" s="79"/>
      <c r="CO519" s="79"/>
      <c r="CP519" s="79"/>
      <c r="CQ519" s="79"/>
      <c r="CR519" s="83" t="s">
        <v>179</v>
      </c>
      <c r="CS519" s="83" t="s">
        <v>179</v>
      </c>
      <c r="CT519" s="83" t="s">
        <v>179</v>
      </c>
      <c r="CU519" s="83" t="s">
        <v>179</v>
      </c>
      <c r="CV519" s="83" t="s">
        <v>179</v>
      </c>
      <c r="CW519" s="83" t="s">
        <v>179</v>
      </c>
      <c r="CX519" s="79" t="s">
        <v>153</v>
      </c>
      <c r="CY519" s="79">
        <f t="shared" si="358"/>
        <v>0</v>
      </c>
      <c r="CZ519" s="79">
        <v>0</v>
      </c>
      <c r="DA519" s="79">
        <f t="shared" si="359"/>
        <v>0</v>
      </c>
      <c r="DB519" s="84" t="str">
        <f t="shared" si="364"/>
        <v/>
      </c>
      <c r="DC519" s="41"/>
      <c r="DD519" s="79" t="s">
        <v>153</v>
      </c>
      <c r="DE519" s="71"/>
      <c r="DF519" s="85" t="s">
        <v>3629</v>
      </c>
      <c r="DG519" s="79">
        <v>508</v>
      </c>
      <c r="DH519" s="86" t="str">
        <f t="shared" si="362"/>
        <v>Completo</v>
      </c>
      <c r="DI519" s="79" t="s">
        <v>181</v>
      </c>
      <c r="DJ519" s="79" t="s">
        <v>182</v>
      </c>
      <c r="DK519" s="79"/>
      <c r="DL519" s="79">
        <v>0</v>
      </c>
      <c r="DM519" s="79">
        <v>0</v>
      </c>
      <c r="DN519" s="79" t="s">
        <v>182</v>
      </c>
      <c r="DO519" s="79"/>
      <c r="DP519" s="79"/>
      <c r="DQ519" s="79"/>
      <c r="DR519" s="75" t="str">
        <f t="shared" si="350"/>
        <v>No aplica</v>
      </c>
      <c r="DS519" s="79"/>
      <c r="DT519" s="79"/>
      <c r="DU519" s="75" t="str">
        <f t="shared" si="351"/>
        <v>No aplica</v>
      </c>
      <c r="DV519" s="79" t="s">
        <v>182</v>
      </c>
      <c r="DW519" s="79"/>
      <c r="DX519" s="79"/>
      <c r="DY519" s="79"/>
      <c r="DZ519" s="79"/>
      <c r="EA519" s="79"/>
      <c r="EB519" s="79"/>
      <c r="EC519" s="79"/>
      <c r="ED519" s="79" t="s">
        <v>1743</v>
      </c>
      <c r="EE519" s="79" t="str">
        <f t="shared" si="369"/>
        <v>Completo</v>
      </c>
      <c r="EF519" s="41"/>
      <c r="EG519" s="79" t="s">
        <v>153</v>
      </c>
      <c r="EH519" s="71"/>
      <c r="EI519" s="80"/>
      <c r="EJ519" s="71"/>
      <c r="EK519" s="79"/>
      <c r="EL519" s="76" t="str">
        <f t="shared" si="370"/>
        <v>No requiere</v>
      </c>
      <c r="EM519" s="76" t="str">
        <f t="shared" si="371"/>
        <v>No requiere</v>
      </c>
      <c r="EN519" s="76" t="str">
        <f t="shared" si="340"/>
        <v>No requiere</v>
      </c>
      <c r="EO519" s="71"/>
      <c r="EP519" s="73" t="str">
        <f t="shared" si="372"/>
        <v>No requiere</v>
      </c>
      <c r="EQ519" s="77" t="str">
        <f t="shared" si="373"/>
        <v>No requiere</v>
      </c>
      <c r="ER519" s="71"/>
      <c r="ES519" s="79"/>
      <c r="ET519" s="73" t="str">
        <f t="shared" si="374"/>
        <v>No requiere</v>
      </c>
      <c r="EU519" s="73" t="str">
        <f t="shared" si="341"/>
        <v>No requiere</v>
      </c>
      <c r="EV519" s="73" t="str">
        <f t="shared" si="375"/>
        <v>No requiere</v>
      </c>
      <c r="EW519" s="73" t="str">
        <f t="shared" si="376"/>
        <v>No requiere</v>
      </c>
      <c r="EX519" s="78"/>
      <c r="EY519" s="78"/>
    </row>
    <row r="520" spans="1:155" ht="46.5" customHeight="1">
      <c r="A520" s="79" t="str">
        <v/>
      </c>
      <c r="B520" s="80" t="s">
        <v>3630</v>
      </c>
      <c r="C520" s="81">
        <v>45443</v>
      </c>
      <c r="D520" s="82">
        <v>0.41666666666666669</v>
      </c>
      <c r="E520" s="79" t="s">
        <v>151</v>
      </c>
      <c r="F520" s="79" t="s">
        <v>152</v>
      </c>
      <c r="G520" s="79" t="s">
        <v>153</v>
      </c>
      <c r="H520" s="79" t="s">
        <v>152</v>
      </c>
      <c r="I520" s="79" t="s">
        <v>152</v>
      </c>
      <c r="J520" s="79" t="s">
        <v>2153</v>
      </c>
      <c r="K520" s="79" t="s">
        <v>202</v>
      </c>
      <c r="L520" s="80" t="s">
        <v>3631</v>
      </c>
      <c r="M520" s="80" t="s">
        <v>157</v>
      </c>
      <c r="N520" s="79" t="s">
        <v>346</v>
      </c>
      <c r="O520" s="80" t="str">
        <f t="shared" si="365"/>
        <v>Freddy Martínez</v>
      </c>
      <c r="P520" s="79" t="s">
        <v>3049</v>
      </c>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t="s">
        <v>169</v>
      </c>
      <c r="AP520" s="79"/>
      <c r="AQ520" s="80" t="s">
        <v>171</v>
      </c>
      <c r="AR520" s="83" t="s">
        <v>1989</v>
      </c>
      <c r="AS520" s="80" t="s">
        <v>171</v>
      </c>
      <c r="AT520" s="80" t="str">
        <f t="shared" si="366"/>
        <v>Distrital</v>
      </c>
      <c r="AU520" s="79" t="s">
        <v>172</v>
      </c>
      <c r="AV520" s="79"/>
      <c r="AW520" s="79"/>
      <c r="AX520" s="79"/>
      <c r="AY520" s="79"/>
      <c r="AZ520" s="79"/>
      <c r="BA520" s="80" t="str">
        <f t="shared" si="367"/>
        <v>Distrital</v>
      </c>
      <c r="BB520" s="79" t="s">
        <v>172</v>
      </c>
      <c r="BC520" s="79"/>
      <c r="BD520" s="79"/>
      <c r="BE520" s="79"/>
      <c r="BF520" s="79"/>
      <c r="BG520" s="79"/>
      <c r="BH520" s="80" t="str">
        <f t="shared" si="368"/>
        <v>Distrital</v>
      </c>
      <c r="BI520" s="79" t="s">
        <v>172</v>
      </c>
      <c r="BJ520" s="79"/>
      <c r="BK520" s="79"/>
      <c r="BL520" s="79"/>
      <c r="BM520" s="79"/>
      <c r="BN520" s="79"/>
      <c r="BO520" s="79"/>
      <c r="BP520" s="79"/>
      <c r="BQ520" s="79"/>
      <c r="BR520" s="79"/>
      <c r="BS520" s="80" t="s">
        <v>288</v>
      </c>
      <c r="BT520" s="80" t="s">
        <v>174</v>
      </c>
      <c r="BU520" s="89" t="s">
        <v>2870</v>
      </c>
      <c r="BV520" s="71"/>
      <c r="BW520" s="79" t="s">
        <v>152</v>
      </c>
      <c r="BX520" s="79" t="s">
        <v>179</v>
      </c>
      <c r="BY520" s="71"/>
      <c r="BZ520" s="79">
        <v>2</v>
      </c>
      <c r="CA520" s="79">
        <v>4</v>
      </c>
      <c r="CB520" s="79">
        <f>BZ520+CA520</f>
        <v>6</v>
      </c>
      <c r="CC520" s="79" t="str">
        <f t="shared" si="316"/>
        <v>Ninguna</v>
      </c>
      <c r="CD520" s="79" t="s">
        <v>174</v>
      </c>
      <c r="CE520" s="79"/>
      <c r="CF520" s="79"/>
      <c r="CG520" s="83" t="s">
        <v>3632</v>
      </c>
      <c r="CH520" s="41"/>
      <c r="CI520" s="79" t="s">
        <v>153</v>
      </c>
      <c r="CJ520" s="71"/>
      <c r="CK520" s="79">
        <f>COUNTIF(CL520:CQ520,"*")</f>
        <v>0</v>
      </c>
      <c r="CL520" s="79"/>
      <c r="CM520" s="79"/>
      <c r="CN520" s="79"/>
      <c r="CO520" s="79"/>
      <c r="CP520" s="79"/>
      <c r="CQ520" s="79"/>
      <c r="CR520" s="83" t="s">
        <v>179</v>
      </c>
      <c r="CS520" s="83" t="s">
        <v>179</v>
      </c>
      <c r="CT520" s="83" t="s">
        <v>179</v>
      </c>
      <c r="CU520" s="83" t="s">
        <v>179</v>
      </c>
      <c r="CV520" s="83" t="s">
        <v>179</v>
      </c>
      <c r="CW520" s="83" t="s">
        <v>179</v>
      </c>
      <c r="CX520" s="79" t="s">
        <v>153</v>
      </c>
      <c r="CY520" s="79">
        <f>SUM(COUNTIF(CR520:CW520,"Realizado y Devuelto a la Ciudadanía"),COUNTIF(CR520:CW520,"Realizado y Trasladado por competencia"), COUNTIF(CR520:CW520,"Realizado y Gestionado"))</f>
        <v>0</v>
      </c>
      <c r="CZ520" s="79">
        <v>0</v>
      </c>
      <c r="DA520" s="79">
        <f>COUNTIF(CR520:CW520,"Realizado y Devuelto a la Ciudadanía")</f>
        <v>0</v>
      </c>
      <c r="DB520" s="84" t="str">
        <f>IFERROR(CY520/CK520,"")</f>
        <v/>
      </c>
      <c r="DC520" s="41"/>
      <c r="DD520" s="79" t="s">
        <v>153</v>
      </c>
      <c r="DE520" s="71"/>
      <c r="DF520" s="85" t="s">
        <v>3633</v>
      </c>
      <c r="DG520" s="79">
        <v>510</v>
      </c>
      <c r="DH520" s="86">
        <f t="shared" si="362"/>
        <v>45446</v>
      </c>
      <c r="DI520" s="79" t="s">
        <v>181</v>
      </c>
      <c r="DJ520" s="79" t="s">
        <v>182</v>
      </c>
      <c r="DK520" s="79"/>
      <c r="DL520" s="79">
        <v>0</v>
      </c>
      <c r="DM520" s="79">
        <v>0</v>
      </c>
      <c r="DN520" s="79" t="s">
        <v>191</v>
      </c>
      <c r="DO520" s="79"/>
      <c r="DP520" s="79"/>
      <c r="DQ520" s="79"/>
      <c r="DR520" s="75" t="str">
        <f t="shared" si="350"/>
        <v>No aplica</v>
      </c>
      <c r="DS520" s="79"/>
      <c r="DT520" s="79"/>
      <c r="DU520" s="75" t="str">
        <f t="shared" si="351"/>
        <v>No aplica</v>
      </c>
      <c r="DV520" s="79" t="s">
        <v>182</v>
      </c>
      <c r="DW520" s="79"/>
      <c r="DX520" s="79"/>
      <c r="DY520" s="79"/>
      <c r="DZ520" s="79"/>
      <c r="EA520" s="79"/>
      <c r="EB520" s="79"/>
      <c r="EC520" s="79"/>
      <c r="ED520" s="79" t="s">
        <v>3612</v>
      </c>
      <c r="EE520" s="79" t="s">
        <v>621</v>
      </c>
      <c r="EF520" s="41"/>
      <c r="EG520" s="79" t="s">
        <v>153</v>
      </c>
      <c r="EH520" s="71"/>
      <c r="EI520" s="80"/>
      <c r="EJ520" s="71"/>
      <c r="EK520" s="79"/>
      <c r="EL520" s="76" t="str">
        <f t="shared" si="370"/>
        <v>No requiere</v>
      </c>
      <c r="EM520" s="76" t="str">
        <f t="shared" si="371"/>
        <v>No requiere</v>
      </c>
      <c r="EN520" s="76" t="str">
        <f t="shared" si="340"/>
        <v>No requiere</v>
      </c>
      <c r="EO520" s="71"/>
      <c r="EP520" s="73" t="str">
        <f t="shared" si="372"/>
        <v>No requiere</v>
      </c>
      <c r="EQ520" s="77" t="str">
        <f t="shared" si="373"/>
        <v>No requiere</v>
      </c>
      <c r="ER520" s="71"/>
      <c r="ES520" s="79"/>
      <c r="ET520" s="73" t="str">
        <f t="shared" si="374"/>
        <v>No requiere</v>
      </c>
      <c r="EU520" s="73" t="str">
        <f t="shared" si="341"/>
        <v>No requiere</v>
      </c>
      <c r="EV520" s="73" t="str">
        <f t="shared" si="375"/>
        <v>No requiere</v>
      </c>
      <c r="EW520" s="73" t="str">
        <f t="shared" si="376"/>
        <v>No requiere</v>
      </c>
      <c r="EX520" s="78"/>
      <c r="EY520" s="78"/>
    </row>
    <row r="521" spans="1:155" ht="46.5" customHeight="1">
      <c r="A521" s="79">
        <v>517</v>
      </c>
      <c r="B521" s="80" t="s">
        <v>3634</v>
      </c>
      <c r="C521" s="81">
        <v>45443</v>
      </c>
      <c r="D521" s="82">
        <v>0.58333333333333337</v>
      </c>
      <c r="E521" s="79" t="s">
        <v>151</v>
      </c>
      <c r="F521" s="79" t="s">
        <v>153</v>
      </c>
      <c r="G521" s="79" t="s">
        <v>152</v>
      </c>
      <c r="H521" s="79" t="s">
        <v>152</v>
      </c>
      <c r="I521" s="79" t="s">
        <v>153</v>
      </c>
      <c r="J521" s="79" t="s">
        <v>3324</v>
      </c>
      <c r="K521" s="79" t="s">
        <v>155</v>
      </c>
      <c r="L521" s="80" t="s">
        <v>3635</v>
      </c>
      <c r="M521" s="80" t="s">
        <v>624</v>
      </c>
      <c r="N521" s="79" t="s">
        <v>1387</v>
      </c>
      <c r="O521" s="80" t="str">
        <f t="shared" si="365"/>
        <v>Juan Pablo Serna, Camilo Andrés Vásquez</v>
      </c>
      <c r="P521" s="79" t="s">
        <v>818</v>
      </c>
      <c r="Q521" s="79" t="s">
        <v>373</v>
      </c>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t="s">
        <v>304</v>
      </c>
      <c r="AP521" s="79" t="s">
        <v>231</v>
      </c>
      <c r="AQ521" s="80" t="s">
        <v>3636</v>
      </c>
      <c r="AR521" s="83">
        <v>3228657280</v>
      </c>
      <c r="AS521" s="80" t="s">
        <v>3371</v>
      </c>
      <c r="AT521" s="80" t="str">
        <f t="shared" si="366"/>
        <v>Teusaquillo</v>
      </c>
      <c r="AU521" s="79" t="s">
        <v>1004</v>
      </c>
      <c r="AV521" s="79"/>
      <c r="AW521" s="79"/>
      <c r="AX521" s="79"/>
      <c r="AY521" s="79"/>
      <c r="AZ521" s="79"/>
      <c r="BA521" s="80" t="str">
        <f t="shared" si="367"/>
        <v>Centro Ampliado</v>
      </c>
      <c r="BB521" s="79" t="s">
        <v>636</v>
      </c>
      <c r="BC521" s="79"/>
      <c r="BD521" s="79"/>
      <c r="BE521" s="79"/>
      <c r="BF521" s="79"/>
      <c r="BG521" s="79"/>
      <c r="BH521" s="80" t="str">
        <f t="shared" si="368"/>
        <v>Teusaquillo</v>
      </c>
      <c r="BI521" s="79" t="s">
        <v>1004</v>
      </c>
      <c r="BJ521" s="79"/>
      <c r="BK521" s="79"/>
      <c r="BL521" s="79"/>
      <c r="BM521" s="79"/>
      <c r="BN521" s="79"/>
      <c r="BO521" s="79"/>
      <c r="BP521" s="79"/>
      <c r="BQ521" s="79"/>
      <c r="BR521" s="79"/>
      <c r="BS521" s="80" t="s">
        <v>1004</v>
      </c>
      <c r="BT521" s="80" t="s">
        <v>2362</v>
      </c>
      <c r="BU521" s="80" t="s">
        <v>3637</v>
      </c>
      <c r="BV521" s="71"/>
      <c r="BW521" s="79" t="s">
        <v>152</v>
      </c>
      <c r="BX521" s="79" t="s">
        <v>179</v>
      </c>
      <c r="BY521" s="71"/>
      <c r="BZ521" s="79">
        <v>8</v>
      </c>
      <c r="CA521" s="79">
        <v>8</v>
      </c>
      <c r="CB521" s="79">
        <f t="shared" si="281"/>
        <v>16</v>
      </c>
      <c r="CC521" s="79" t="str">
        <f t="shared" si="316"/>
        <v>Ninguna</v>
      </c>
      <c r="CD521" s="79" t="s">
        <v>174</v>
      </c>
      <c r="CE521" s="79"/>
      <c r="CF521" s="79"/>
      <c r="CG521" s="83" t="s">
        <v>3638</v>
      </c>
      <c r="CH521" s="41"/>
      <c r="CI521" s="79" t="s">
        <v>153</v>
      </c>
      <c r="CJ521" s="71"/>
      <c r="CK521" s="79">
        <f>COUNTIF(CL521:CQ521,"*")</f>
        <v>0</v>
      </c>
      <c r="CL521" s="93"/>
      <c r="CM521" s="93"/>
      <c r="CN521" s="79"/>
      <c r="CO521" s="79"/>
      <c r="CP521" s="79"/>
      <c r="CQ521" s="79"/>
      <c r="CR521" s="83" t="s">
        <v>179</v>
      </c>
      <c r="CS521" s="83" t="s">
        <v>179</v>
      </c>
      <c r="CT521" s="83" t="s">
        <v>179</v>
      </c>
      <c r="CU521" s="83" t="s">
        <v>179</v>
      </c>
      <c r="CV521" s="83" t="s">
        <v>179</v>
      </c>
      <c r="CW521" s="83" t="s">
        <v>179</v>
      </c>
      <c r="CX521" s="79" t="s">
        <v>153</v>
      </c>
      <c r="CY521" s="79">
        <f t="shared" si="358"/>
        <v>0</v>
      </c>
      <c r="CZ521" s="79">
        <v>0</v>
      </c>
      <c r="DA521" s="79">
        <f t="shared" si="359"/>
        <v>0</v>
      </c>
      <c r="DB521" s="84" t="str">
        <f t="shared" si="364"/>
        <v/>
      </c>
      <c r="DC521" s="41"/>
      <c r="DD521" s="79" t="s">
        <v>153</v>
      </c>
      <c r="DE521" s="71"/>
      <c r="DF521" s="85" t="s">
        <v>3639</v>
      </c>
      <c r="DG521" s="79">
        <v>509</v>
      </c>
      <c r="DH521" s="86" t="str">
        <f t="shared" si="362"/>
        <v>Completo</v>
      </c>
      <c r="DI521" s="79" t="s">
        <v>181</v>
      </c>
      <c r="DJ521" s="79" t="s">
        <v>182</v>
      </c>
      <c r="DK521" s="79"/>
      <c r="DL521" s="79">
        <v>5</v>
      </c>
      <c r="DM521" s="79">
        <v>5</v>
      </c>
      <c r="DN521" s="79" t="s">
        <v>182</v>
      </c>
      <c r="DO521" s="79"/>
      <c r="DP521" s="79"/>
      <c r="DQ521" s="79"/>
      <c r="DR521" s="75" t="str">
        <f t="shared" si="350"/>
        <v>No aplica</v>
      </c>
      <c r="DS521" s="79"/>
      <c r="DT521" s="79"/>
      <c r="DU521" s="75" t="str">
        <f t="shared" si="351"/>
        <v>No aplica</v>
      </c>
      <c r="DV521" s="79" t="s">
        <v>182</v>
      </c>
      <c r="DW521" s="79" t="s">
        <v>182</v>
      </c>
      <c r="DX521" s="79"/>
      <c r="DY521" s="79"/>
      <c r="DZ521" s="79"/>
      <c r="EA521" s="79"/>
      <c r="EB521" s="79" t="s">
        <v>182</v>
      </c>
      <c r="EC521" s="79" t="s">
        <v>3640</v>
      </c>
      <c r="ED521" s="79" t="s">
        <v>1743</v>
      </c>
      <c r="EE521" s="79" t="str">
        <f t="shared" si="369"/>
        <v>Completo</v>
      </c>
      <c r="EF521" s="41"/>
      <c r="EG521" s="79" t="s">
        <v>153</v>
      </c>
      <c r="EH521" s="71"/>
      <c r="EI521" s="80"/>
      <c r="EJ521" s="71"/>
      <c r="EK521" s="79"/>
      <c r="EL521" s="76" t="str">
        <f t="shared" si="370"/>
        <v>No requiere</v>
      </c>
      <c r="EM521" s="76" t="str">
        <f t="shared" si="371"/>
        <v>No requiere</v>
      </c>
      <c r="EN521" s="76" t="str">
        <f t="shared" si="340"/>
        <v>No requiere</v>
      </c>
      <c r="EO521" s="71"/>
      <c r="EP521" s="73" t="str">
        <f t="shared" si="372"/>
        <v>No requiere</v>
      </c>
      <c r="EQ521" s="77" t="str">
        <f t="shared" si="373"/>
        <v>No requiere</v>
      </c>
      <c r="ER521" s="71"/>
      <c r="ES521" s="79"/>
      <c r="ET521" s="73" t="str">
        <f t="shared" si="374"/>
        <v>No requiere</v>
      </c>
      <c r="EU521" s="73" t="str">
        <f t="shared" si="341"/>
        <v>No requiere</v>
      </c>
      <c r="EV521" s="73" t="str">
        <f t="shared" si="375"/>
        <v>No requiere</v>
      </c>
      <c r="EW521" s="73" t="str">
        <f t="shared" si="376"/>
        <v>No requiere</v>
      </c>
      <c r="EX521" s="78"/>
      <c r="EY521" s="78"/>
    </row>
    <row r="522" spans="1:155" ht="46.5" customHeight="1">
      <c r="A522" s="79" t="str">
        <v/>
      </c>
      <c r="B522" s="80" t="s">
        <v>3641</v>
      </c>
      <c r="C522" s="81">
        <v>45443</v>
      </c>
      <c r="D522" s="82">
        <v>0.625</v>
      </c>
      <c r="E522" s="79" t="s">
        <v>151</v>
      </c>
      <c r="F522" s="79" t="s">
        <v>152</v>
      </c>
      <c r="G522" s="79" t="s">
        <v>153</v>
      </c>
      <c r="H522" s="79" t="s">
        <v>152</v>
      </c>
      <c r="I522" s="79" t="s">
        <v>152</v>
      </c>
      <c r="J522" s="79" t="s">
        <v>1768</v>
      </c>
      <c r="K522" s="79" t="s">
        <v>202</v>
      </c>
      <c r="L522" s="80" t="s">
        <v>3642</v>
      </c>
      <c r="M522" s="80" t="s">
        <v>157</v>
      </c>
      <c r="N522" s="79" t="s">
        <v>924</v>
      </c>
      <c r="O522" s="80" t="str">
        <f t="shared" si="365"/>
        <v/>
      </c>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t="s">
        <v>169</v>
      </c>
      <c r="AP522" s="79" t="s">
        <v>170</v>
      </c>
      <c r="AQ522" s="80" t="s">
        <v>3643</v>
      </c>
      <c r="AR522" s="83">
        <v>3192173863</v>
      </c>
      <c r="AS522" s="80" t="s">
        <v>3010</v>
      </c>
      <c r="AT522" s="80" t="str">
        <f t="shared" si="366"/>
        <v>Distrital</v>
      </c>
      <c r="AU522" s="79" t="s">
        <v>172</v>
      </c>
      <c r="AV522" s="79"/>
      <c r="AW522" s="79"/>
      <c r="AX522" s="79"/>
      <c r="AY522" s="79"/>
      <c r="AZ522" s="79"/>
      <c r="BA522" s="80" t="str">
        <f t="shared" si="367"/>
        <v>Distrital</v>
      </c>
      <c r="BB522" s="79" t="s">
        <v>172</v>
      </c>
      <c r="BC522" s="79"/>
      <c r="BD522" s="79"/>
      <c r="BE522" s="79"/>
      <c r="BF522" s="79"/>
      <c r="BG522" s="79"/>
      <c r="BH522" s="80" t="str">
        <f t="shared" si="368"/>
        <v>Distrital</v>
      </c>
      <c r="BI522" s="79" t="s">
        <v>172</v>
      </c>
      <c r="BJ522" s="79"/>
      <c r="BK522" s="79"/>
      <c r="BL522" s="79"/>
      <c r="BM522" s="79"/>
      <c r="BN522" s="79"/>
      <c r="BO522" s="79"/>
      <c r="BP522" s="79"/>
      <c r="BQ522" s="79"/>
      <c r="BR522" s="79"/>
      <c r="BS522" s="80" t="s">
        <v>288</v>
      </c>
      <c r="BT522" s="80" t="s">
        <v>174</v>
      </c>
      <c r="BU522" s="89" t="s">
        <v>3644</v>
      </c>
      <c r="BV522" s="71"/>
      <c r="BW522" s="79" t="s">
        <v>152</v>
      </c>
      <c r="BX522" s="79" t="s">
        <v>179</v>
      </c>
      <c r="BY522" s="71"/>
      <c r="BZ522" s="79">
        <v>7</v>
      </c>
      <c r="CA522" s="79">
        <v>2</v>
      </c>
      <c r="CB522" s="79">
        <f t="shared" si="281"/>
        <v>9</v>
      </c>
      <c r="CC522" s="79" t="str">
        <f t="shared" si="316"/>
        <v>Ninguna</v>
      </c>
      <c r="CD522" s="79" t="s">
        <v>174</v>
      </c>
      <c r="CE522" s="79"/>
      <c r="CF522" s="79"/>
      <c r="CG522" s="83" t="s">
        <v>3645</v>
      </c>
      <c r="CH522" s="41"/>
      <c r="CI522" s="79" t="s">
        <v>153</v>
      </c>
      <c r="CJ522" s="71"/>
      <c r="CK522" s="79">
        <f t="shared" ref="CK522:CK935" si="377">COUNTIF(CL522:CQ522,"*")</f>
        <v>0</v>
      </c>
      <c r="CL522" s="79"/>
      <c r="CM522" s="79"/>
      <c r="CN522" s="79"/>
      <c r="CO522" s="79"/>
      <c r="CP522" s="79"/>
      <c r="CQ522" s="79"/>
      <c r="CR522" s="83" t="s">
        <v>179</v>
      </c>
      <c r="CS522" s="83" t="s">
        <v>179</v>
      </c>
      <c r="CT522" s="83" t="s">
        <v>179</v>
      </c>
      <c r="CU522" s="83" t="s">
        <v>179</v>
      </c>
      <c r="CV522" s="83" t="s">
        <v>179</v>
      </c>
      <c r="CW522" s="83" t="s">
        <v>179</v>
      </c>
      <c r="CX522" s="79" t="s">
        <v>153</v>
      </c>
      <c r="CY522" s="79">
        <f t="shared" si="358"/>
        <v>0</v>
      </c>
      <c r="CZ522" s="79">
        <v>0</v>
      </c>
      <c r="DA522" s="79">
        <f t="shared" si="359"/>
        <v>0</v>
      </c>
      <c r="DB522" s="84" t="str">
        <f t="shared" si="364"/>
        <v/>
      </c>
      <c r="DC522" s="41"/>
      <c r="DD522" s="79" t="s">
        <v>153</v>
      </c>
      <c r="DE522" s="71"/>
      <c r="DF522" s="127" t="s">
        <v>3646</v>
      </c>
      <c r="DG522" s="79">
        <v>511</v>
      </c>
      <c r="DH522" s="86" t="str">
        <f t="shared" si="362"/>
        <v>Completo</v>
      </c>
      <c r="DI522" s="79" t="s">
        <v>181</v>
      </c>
      <c r="DJ522" s="79" t="s">
        <v>182</v>
      </c>
      <c r="DK522" s="79"/>
      <c r="DL522" s="79">
        <v>0</v>
      </c>
      <c r="DM522" s="79">
        <v>0</v>
      </c>
      <c r="DN522" s="79" t="s">
        <v>191</v>
      </c>
      <c r="DO522" s="79"/>
      <c r="DP522" s="79"/>
      <c r="DQ522" s="79"/>
      <c r="DR522" s="75" t="str">
        <f t="shared" si="350"/>
        <v>No aplica</v>
      </c>
      <c r="DS522" s="79"/>
      <c r="DT522" s="79"/>
      <c r="DU522" s="75" t="str">
        <f t="shared" si="351"/>
        <v>No aplica</v>
      </c>
      <c r="DV522" s="79" t="s">
        <v>182</v>
      </c>
      <c r="DW522" s="79" t="s">
        <v>182</v>
      </c>
      <c r="DX522" s="79"/>
      <c r="DY522" s="79"/>
      <c r="DZ522" s="79"/>
      <c r="EA522" s="79"/>
      <c r="EB522" s="79"/>
      <c r="EC522" s="79"/>
      <c r="ED522" s="79" t="s">
        <v>3647</v>
      </c>
      <c r="EE522" s="79" t="str">
        <f>IF(DI522="Subsanado","Completo","Por Completar")</f>
        <v>Completo</v>
      </c>
      <c r="EF522" s="41"/>
      <c r="EG522" s="79" t="s">
        <v>153</v>
      </c>
      <c r="EH522" s="71"/>
      <c r="EI522" s="80"/>
      <c r="EJ522" s="71"/>
      <c r="EK522" s="79"/>
      <c r="EL522" s="76" t="str">
        <f t="shared" si="370"/>
        <v>No requiere</v>
      </c>
      <c r="EM522" s="76" t="str">
        <f t="shared" si="371"/>
        <v>No requiere</v>
      </c>
      <c r="EN522" s="76" t="str">
        <f t="shared" si="340"/>
        <v>No requiere</v>
      </c>
      <c r="EO522" s="71"/>
      <c r="EP522" s="73" t="str">
        <f t="shared" si="372"/>
        <v>No requiere</v>
      </c>
      <c r="EQ522" s="77" t="str">
        <f t="shared" si="373"/>
        <v>No requiere</v>
      </c>
      <c r="ER522" s="71"/>
      <c r="ES522" s="79"/>
      <c r="ET522" s="73" t="str">
        <f t="shared" si="374"/>
        <v>No requiere</v>
      </c>
      <c r="EU522" s="73" t="str">
        <f t="shared" si="341"/>
        <v>No requiere</v>
      </c>
      <c r="EV522" s="73" t="str">
        <f t="shared" si="375"/>
        <v>No requiere</v>
      </c>
      <c r="EW522" s="73" t="str">
        <f t="shared" si="376"/>
        <v>No requiere</v>
      </c>
      <c r="EX522" s="78"/>
      <c r="EY522" s="78"/>
    </row>
    <row r="523" spans="1:155" ht="46.5" customHeight="1">
      <c r="A523" s="79">
        <v>519</v>
      </c>
      <c r="B523" s="80" t="s">
        <v>3648</v>
      </c>
      <c r="C523" s="81">
        <v>45446</v>
      </c>
      <c r="D523" s="82">
        <v>0.41666666666666669</v>
      </c>
      <c r="E523" s="79" t="s">
        <v>853</v>
      </c>
      <c r="F523" s="79" t="s">
        <v>153</v>
      </c>
      <c r="G523" s="79" t="s">
        <v>152</v>
      </c>
      <c r="H523" s="79" t="s">
        <v>152</v>
      </c>
      <c r="I523" s="79" t="s">
        <v>152</v>
      </c>
      <c r="J523" s="79" t="s">
        <v>3649</v>
      </c>
      <c r="K523" s="79" t="s">
        <v>155</v>
      </c>
      <c r="L523" s="80" t="s">
        <v>3650</v>
      </c>
      <c r="M523" s="80" t="s">
        <v>303</v>
      </c>
      <c r="N523" s="79" t="s">
        <v>506</v>
      </c>
      <c r="O523" s="80" t="str">
        <f t="shared" si="365"/>
        <v/>
      </c>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t="s">
        <v>304</v>
      </c>
      <c r="AP523" s="79"/>
      <c r="AQ523" s="80" t="s">
        <v>508</v>
      </c>
      <c r="AR523" s="83" t="s">
        <v>509</v>
      </c>
      <c r="AS523" s="80" t="s">
        <v>3651</v>
      </c>
      <c r="AT523" s="80" t="str">
        <f t="shared" si="366"/>
        <v>Sumapaz</v>
      </c>
      <c r="AU523" s="79" t="s">
        <v>510</v>
      </c>
      <c r="AV523" s="79"/>
      <c r="AW523" s="79"/>
      <c r="AX523" s="79"/>
      <c r="AY523" s="79"/>
      <c r="AZ523" s="79"/>
      <c r="BA523" s="80" t="str">
        <f t="shared" si="367"/>
        <v>Ruralidad</v>
      </c>
      <c r="BB523" s="79" t="s">
        <v>219</v>
      </c>
      <c r="BC523" s="79"/>
      <c r="BD523" s="79"/>
      <c r="BE523" s="79"/>
      <c r="BF523" s="79"/>
      <c r="BG523" s="79"/>
      <c r="BH523" s="80" t="str">
        <f t="shared" si="368"/>
        <v>Sumapaz</v>
      </c>
      <c r="BI523" s="79" t="s">
        <v>510</v>
      </c>
      <c r="BJ523" s="79"/>
      <c r="BK523" s="79"/>
      <c r="BL523" s="79"/>
      <c r="BM523" s="79"/>
      <c r="BN523" s="79"/>
      <c r="BO523" s="79"/>
      <c r="BP523" s="79"/>
      <c r="BQ523" s="79"/>
      <c r="BR523" s="79"/>
      <c r="BS523" s="80" t="s">
        <v>3652</v>
      </c>
      <c r="BT523" s="80" t="s">
        <v>174</v>
      </c>
      <c r="BU523" s="80" t="s">
        <v>3653</v>
      </c>
      <c r="BV523" s="71"/>
      <c r="BW523" s="79" t="s">
        <v>152</v>
      </c>
      <c r="BX523" s="79" t="s">
        <v>179</v>
      </c>
      <c r="BY523" s="71"/>
      <c r="BZ523" s="79">
        <v>120</v>
      </c>
      <c r="CA523" s="79">
        <v>1</v>
      </c>
      <c r="CB523" s="79">
        <f t="shared" si="281"/>
        <v>121</v>
      </c>
      <c r="CC523" s="79" t="str">
        <f t="shared" si="316"/>
        <v>Horarios Acordes</v>
      </c>
      <c r="CD523" s="79" t="s">
        <v>351</v>
      </c>
      <c r="CE523" s="79"/>
      <c r="CF523" s="79"/>
      <c r="CG523" s="83" t="s">
        <v>3654</v>
      </c>
      <c r="CH523" s="41"/>
      <c r="CI523" s="79" t="s">
        <v>153</v>
      </c>
      <c r="CJ523" s="71"/>
      <c r="CK523" s="79">
        <f t="shared" si="377"/>
        <v>0</v>
      </c>
      <c r="CL523" s="79"/>
      <c r="CM523" s="79"/>
      <c r="CN523" s="79"/>
      <c r="CO523" s="79"/>
      <c r="CP523" s="79"/>
      <c r="CQ523" s="79"/>
      <c r="CR523" s="83" t="s">
        <v>179</v>
      </c>
      <c r="CS523" s="83" t="s">
        <v>179</v>
      </c>
      <c r="CT523" s="83" t="s">
        <v>179</v>
      </c>
      <c r="CU523" s="83" t="s">
        <v>179</v>
      </c>
      <c r="CV523" s="83" t="s">
        <v>179</v>
      </c>
      <c r="CW523" s="83" t="s">
        <v>179</v>
      </c>
      <c r="CX523" s="79" t="s">
        <v>153</v>
      </c>
      <c r="CY523" s="79">
        <f t="shared" si="358"/>
        <v>0</v>
      </c>
      <c r="CZ523" s="79">
        <v>0</v>
      </c>
      <c r="DA523" s="79">
        <f t="shared" si="359"/>
        <v>0</v>
      </c>
      <c r="DB523" s="84" t="str">
        <f t="shared" si="364"/>
        <v/>
      </c>
      <c r="DC523" s="41"/>
      <c r="DD523" s="79" t="s">
        <v>153</v>
      </c>
      <c r="DE523" s="71"/>
      <c r="DF523" s="85" t="s">
        <v>3655</v>
      </c>
      <c r="DG523" s="79">
        <v>512</v>
      </c>
      <c r="DH523" s="86" t="str">
        <f t="shared" si="362"/>
        <v>Completo</v>
      </c>
      <c r="DI523" s="79" t="s">
        <v>181</v>
      </c>
      <c r="DJ523" s="79" t="s">
        <v>182</v>
      </c>
      <c r="DK523" s="79"/>
      <c r="DL523" s="79">
        <v>0</v>
      </c>
      <c r="DM523" s="79">
        <v>0</v>
      </c>
      <c r="DN523" s="79" t="s">
        <v>182</v>
      </c>
      <c r="DO523" s="79"/>
      <c r="DP523" s="79"/>
      <c r="DQ523" s="79"/>
      <c r="DR523" s="75" t="str">
        <f t="shared" si="350"/>
        <v>No aplica</v>
      </c>
      <c r="DS523" s="79"/>
      <c r="DT523" s="79"/>
      <c r="DU523" s="75" t="str">
        <f t="shared" si="351"/>
        <v>No aplica</v>
      </c>
      <c r="DV523" s="79" t="s">
        <v>182</v>
      </c>
      <c r="DW523" s="79" t="s">
        <v>182</v>
      </c>
      <c r="DX523" s="79"/>
      <c r="DY523" s="79"/>
      <c r="DZ523" s="79"/>
      <c r="EA523" s="79"/>
      <c r="EB523" s="79"/>
      <c r="EC523" s="79"/>
      <c r="ED523" s="79" t="s">
        <v>2915</v>
      </c>
      <c r="EE523" s="79" t="str">
        <f t="shared" ref="EE523" si="378">IF(DI523="Subsanado","Completo","Por Completar")</f>
        <v>Completo</v>
      </c>
      <c r="EF523" s="41"/>
      <c r="EG523" s="79" t="s">
        <v>153</v>
      </c>
      <c r="EH523" s="71"/>
      <c r="EI523" s="80"/>
      <c r="EJ523" s="71"/>
      <c r="EK523" s="79"/>
      <c r="EL523" s="76" t="str">
        <f t="shared" si="370"/>
        <v>No requiere</v>
      </c>
      <c r="EM523" s="76" t="str">
        <f t="shared" si="371"/>
        <v>No requiere</v>
      </c>
      <c r="EN523" s="76" t="str">
        <f t="shared" si="340"/>
        <v>No requiere</v>
      </c>
      <c r="EO523" s="71"/>
      <c r="EP523" s="73" t="str">
        <f t="shared" si="372"/>
        <v>No requiere</v>
      </c>
      <c r="EQ523" s="77" t="str">
        <f t="shared" si="373"/>
        <v>No requiere</v>
      </c>
      <c r="ER523" s="71"/>
      <c r="ES523" s="79"/>
      <c r="ET523" s="73" t="str">
        <f t="shared" si="374"/>
        <v>No requiere</v>
      </c>
      <c r="EU523" s="73" t="str">
        <f t="shared" si="341"/>
        <v>No requiere</v>
      </c>
      <c r="EV523" s="73" t="str">
        <f t="shared" si="375"/>
        <v>No requiere</v>
      </c>
      <c r="EW523" s="73" t="str">
        <f t="shared" si="376"/>
        <v>No requiere</v>
      </c>
      <c r="EX523" s="78"/>
      <c r="EY523" s="78"/>
    </row>
    <row r="524" spans="1:155" ht="46.5" customHeight="1">
      <c r="A524" s="79">
        <v>520</v>
      </c>
      <c r="B524" s="80" t="s">
        <v>3656</v>
      </c>
      <c r="C524" s="81">
        <v>45447</v>
      </c>
      <c r="D524" s="82">
        <v>0.33333333333333331</v>
      </c>
      <c r="E524" s="79" t="s">
        <v>200</v>
      </c>
      <c r="F524" s="79" t="s">
        <v>153</v>
      </c>
      <c r="G524" s="79" t="s">
        <v>152</v>
      </c>
      <c r="H524" s="79" t="s">
        <v>152</v>
      </c>
      <c r="I524" s="79" t="s">
        <v>152</v>
      </c>
      <c r="J524" s="79" t="s">
        <v>504</v>
      </c>
      <c r="K524" s="79" t="s">
        <v>155</v>
      </c>
      <c r="L524" s="80" t="s">
        <v>3657</v>
      </c>
      <c r="M524" s="80" t="s">
        <v>157</v>
      </c>
      <c r="N524" s="79" t="s">
        <v>632</v>
      </c>
      <c r="O524" s="80" t="str">
        <f t="shared" si="365"/>
        <v/>
      </c>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t="s">
        <v>169</v>
      </c>
      <c r="AP524" s="79" t="s">
        <v>2702</v>
      </c>
      <c r="AQ524" s="80" t="s">
        <v>1633</v>
      </c>
      <c r="AR524" s="83">
        <v>3012144352</v>
      </c>
      <c r="AS524" s="80" t="s">
        <v>171</v>
      </c>
      <c r="AT524" s="80" t="str">
        <f t="shared" si="366"/>
        <v>Santa Fe</v>
      </c>
      <c r="AU524" s="79" t="s">
        <v>822</v>
      </c>
      <c r="AV524" s="79"/>
      <c r="AW524" s="79"/>
      <c r="AX524" s="79"/>
      <c r="AY524" s="79"/>
      <c r="AZ524" s="79"/>
      <c r="BA524" s="80" t="str">
        <f t="shared" si="367"/>
        <v>Centro Ampliado, Ruralidad</v>
      </c>
      <c r="BB524" s="79" t="s">
        <v>636</v>
      </c>
      <c r="BC524" s="79" t="s">
        <v>219</v>
      </c>
      <c r="BD524" s="79"/>
      <c r="BE524" s="79"/>
      <c r="BF524" s="79"/>
      <c r="BG524" s="79"/>
      <c r="BH524" s="80" t="str">
        <f t="shared" si="368"/>
        <v>Centro Histórico, Cerros Orientales</v>
      </c>
      <c r="BI524" s="79" t="s">
        <v>754</v>
      </c>
      <c r="BJ524" s="79" t="s">
        <v>361</v>
      </c>
      <c r="BK524" s="79"/>
      <c r="BL524" s="79"/>
      <c r="BM524" s="79"/>
      <c r="BN524" s="79"/>
      <c r="BO524" s="79"/>
      <c r="BP524" s="79"/>
      <c r="BQ524" s="79"/>
      <c r="BR524" s="79"/>
      <c r="BS524" s="80" t="s">
        <v>288</v>
      </c>
      <c r="BT524" s="80" t="s">
        <v>174</v>
      </c>
      <c r="BU524" s="80" t="s">
        <v>3658</v>
      </c>
      <c r="BV524" s="71"/>
      <c r="BW524" s="79" t="s">
        <v>152</v>
      </c>
      <c r="BX524" s="79" t="s">
        <v>179</v>
      </c>
      <c r="BY524" s="71"/>
      <c r="BZ524" s="79">
        <v>19</v>
      </c>
      <c r="CA524" s="79">
        <v>1</v>
      </c>
      <c r="CB524" s="79">
        <f t="shared" si="281"/>
        <v>20</v>
      </c>
      <c r="CC524" s="79" t="str">
        <f t="shared" si="316"/>
        <v>Contenidos adaptados</v>
      </c>
      <c r="CD524" s="79" t="s">
        <v>350</v>
      </c>
      <c r="CE524" s="79"/>
      <c r="CF524" s="79"/>
      <c r="CG524" s="83" t="s">
        <v>3659</v>
      </c>
      <c r="CH524" s="41"/>
      <c r="CI524" s="79" t="s">
        <v>153</v>
      </c>
      <c r="CJ524" s="71"/>
      <c r="CK524" s="79">
        <f t="shared" si="377"/>
        <v>0</v>
      </c>
      <c r="CL524" s="79"/>
      <c r="CM524" s="79"/>
      <c r="CN524" s="79"/>
      <c r="CO524" s="79"/>
      <c r="CP524" s="79"/>
      <c r="CQ524" s="79"/>
      <c r="CR524" s="83" t="s">
        <v>179</v>
      </c>
      <c r="CS524" s="83" t="s">
        <v>179</v>
      </c>
      <c r="CT524" s="83" t="s">
        <v>179</v>
      </c>
      <c r="CU524" s="83" t="s">
        <v>179</v>
      </c>
      <c r="CV524" s="83" t="s">
        <v>179</v>
      </c>
      <c r="CW524" s="83" t="s">
        <v>179</v>
      </c>
      <c r="CX524" s="79" t="s">
        <v>153</v>
      </c>
      <c r="CY524" s="79">
        <f t="shared" si="358"/>
        <v>0</v>
      </c>
      <c r="CZ524" s="79">
        <v>0</v>
      </c>
      <c r="DA524" s="79">
        <f t="shared" si="359"/>
        <v>0</v>
      </c>
      <c r="DB524" s="84" t="str">
        <f t="shared" si="364"/>
        <v/>
      </c>
      <c r="DC524" s="41"/>
      <c r="DD524" s="79" t="s">
        <v>153</v>
      </c>
      <c r="DE524" s="71"/>
      <c r="DF524" s="85" t="s">
        <v>3660</v>
      </c>
      <c r="DG524" s="79">
        <v>513</v>
      </c>
      <c r="DH524" s="86" t="str">
        <f t="shared" si="362"/>
        <v>Completo</v>
      </c>
      <c r="DI524" s="79" t="s">
        <v>181</v>
      </c>
      <c r="DJ524" s="79" t="s">
        <v>182</v>
      </c>
      <c r="DK524" s="79"/>
      <c r="DL524" s="79">
        <v>0</v>
      </c>
      <c r="DM524" s="79">
        <v>0</v>
      </c>
      <c r="DN524" s="79" t="s">
        <v>182</v>
      </c>
      <c r="DO524" s="79"/>
      <c r="DP524" s="79"/>
      <c r="DQ524" s="79"/>
      <c r="DR524" s="75" t="str">
        <f t="shared" si="350"/>
        <v>No aplica</v>
      </c>
      <c r="DS524" s="79"/>
      <c r="DT524" s="79"/>
      <c r="DU524" s="75" t="str">
        <f t="shared" si="351"/>
        <v>No aplica</v>
      </c>
      <c r="DV524" s="79" t="s">
        <v>182</v>
      </c>
      <c r="DW524" s="79" t="s">
        <v>182</v>
      </c>
      <c r="DX524" s="79"/>
      <c r="DY524" s="79"/>
      <c r="DZ524" s="79"/>
      <c r="EA524" s="79"/>
      <c r="EB524" s="79" t="s">
        <v>182</v>
      </c>
      <c r="EC524" s="79" t="s">
        <v>3661</v>
      </c>
      <c r="ED524" s="79" t="s">
        <v>3662</v>
      </c>
      <c r="EE524" s="79" t="str">
        <f t="shared" ref="EE524:EE538" si="379">IF(DI524="Subsanado","Completo","Por Completar")</f>
        <v>Completo</v>
      </c>
      <c r="EF524" s="41"/>
      <c r="EG524" s="79" t="s">
        <v>153</v>
      </c>
      <c r="EH524" s="71"/>
      <c r="EI524" s="80"/>
      <c r="EJ524" s="71"/>
      <c r="EK524" s="79"/>
      <c r="EL524" s="76" t="str">
        <f t="shared" si="370"/>
        <v>No requiere</v>
      </c>
      <c r="EM524" s="76" t="str">
        <f t="shared" si="371"/>
        <v>No requiere</v>
      </c>
      <c r="EN524" s="76" t="str">
        <f t="shared" si="340"/>
        <v>No requiere</v>
      </c>
      <c r="EO524" s="71"/>
      <c r="EP524" s="73" t="str">
        <f t="shared" si="372"/>
        <v>No requiere</v>
      </c>
      <c r="EQ524" s="77" t="str">
        <f t="shared" si="373"/>
        <v>No requiere</v>
      </c>
      <c r="ER524" s="71"/>
      <c r="ES524" s="79"/>
      <c r="ET524" s="73" t="str">
        <f t="shared" si="374"/>
        <v>No requiere</v>
      </c>
      <c r="EU524" s="73" t="str">
        <f t="shared" si="341"/>
        <v>No requiere</v>
      </c>
      <c r="EV524" s="73" t="str">
        <f t="shared" si="375"/>
        <v>No requiere</v>
      </c>
      <c r="EW524" s="73" t="str">
        <f t="shared" si="376"/>
        <v>No requiere</v>
      </c>
      <c r="EX524" s="78"/>
      <c r="EY524" s="78"/>
    </row>
    <row r="525" spans="1:155" ht="46.5" customHeight="1">
      <c r="A525" s="79">
        <v>521</v>
      </c>
      <c r="B525" s="80" t="s">
        <v>1645</v>
      </c>
      <c r="C525" s="81">
        <v>45447</v>
      </c>
      <c r="D525" s="82">
        <v>0.58333333333333337</v>
      </c>
      <c r="E525" s="79" t="s">
        <v>200</v>
      </c>
      <c r="F525" s="79" t="s">
        <v>153</v>
      </c>
      <c r="G525" s="79" t="s">
        <v>152</v>
      </c>
      <c r="H525" s="79" t="s">
        <v>152</v>
      </c>
      <c r="I525" s="79" t="s">
        <v>152</v>
      </c>
      <c r="J525" s="79" t="s">
        <v>504</v>
      </c>
      <c r="K525" s="79" t="s">
        <v>155</v>
      </c>
      <c r="L525" s="80" t="s">
        <v>3663</v>
      </c>
      <c r="M525" s="80" t="s">
        <v>157</v>
      </c>
      <c r="N525" s="79" t="s">
        <v>2786</v>
      </c>
      <c r="O525" s="80" t="str">
        <f t="shared" si="365"/>
        <v/>
      </c>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t="s">
        <v>169</v>
      </c>
      <c r="AP525" s="79" t="s">
        <v>2702</v>
      </c>
      <c r="AQ525" s="80" t="s">
        <v>3664</v>
      </c>
      <c r="AR525" s="83">
        <v>3188356139</v>
      </c>
      <c r="AS525" s="80" t="s">
        <v>1648</v>
      </c>
      <c r="AT525" s="80" t="str">
        <f t="shared" si="366"/>
        <v>Fontibón</v>
      </c>
      <c r="AU525" s="79" t="s">
        <v>646</v>
      </c>
      <c r="AV525" s="79"/>
      <c r="AW525" s="79"/>
      <c r="AX525" s="79"/>
      <c r="AY525" s="79"/>
      <c r="AZ525" s="79"/>
      <c r="BA525" s="80" t="str">
        <f t="shared" si="367"/>
        <v>Occidente</v>
      </c>
      <c r="BB525" s="79" t="s">
        <v>235</v>
      </c>
      <c r="BC525" s="79"/>
      <c r="BD525" s="79"/>
      <c r="BE525" s="79"/>
      <c r="BF525" s="79"/>
      <c r="BG525" s="79"/>
      <c r="BH525" s="80" t="str">
        <f t="shared" si="368"/>
        <v>Fontibón, Salitre</v>
      </c>
      <c r="BI525" s="79" t="s">
        <v>646</v>
      </c>
      <c r="BJ525" s="79" t="s">
        <v>415</v>
      </c>
      <c r="BK525" s="79"/>
      <c r="BL525" s="79"/>
      <c r="BM525" s="79"/>
      <c r="BN525" s="79"/>
      <c r="BO525" s="79"/>
      <c r="BP525" s="79"/>
      <c r="BQ525" s="79"/>
      <c r="BR525" s="79"/>
      <c r="BS525" s="80" t="s">
        <v>3665</v>
      </c>
      <c r="BT525" s="80" t="s">
        <v>174</v>
      </c>
      <c r="BU525" s="80" t="s">
        <v>3666</v>
      </c>
      <c r="BV525" s="71"/>
      <c r="BW525" s="79" t="s">
        <v>152</v>
      </c>
      <c r="BX525" s="79" t="s">
        <v>179</v>
      </c>
      <c r="BY525" s="71"/>
      <c r="BZ525" s="79">
        <v>18</v>
      </c>
      <c r="CA525" s="79">
        <v>2</v>
      </c>
      <c r="CB525" s="79">
        <f t="shared" si="281"/>
        <v>20</v>
      </c>
      <c r="CC525" s="79" t="str">
        <f t="shared" si="316"/>
        <v>Horarios Acordes</v>
      </c>
      <c r="CD525" s="79" t="s">
        <v>351</v>
      </c>
      <c r="CE525" s="79"/>
      <c r="CF525" s="79"/>
      <c r="CG525" s="83" t="s">
        <v>3667</v>
      </c>
      <c r="CH525" s="41"/>
      <c r="CI525" s="79" t="s">
        <v>153</v>
      </c>
      <c r="CJ525" s="71"/>
      <c r="CK525" s="79">
        <f t="shared" si="377"/>
        <v>0</v>
      </c>
      <c r="CL525" s="79"/>
      <c r="CM525" s="79"/>
      <c r="CN525" s="79"/>
      <c r="CO525" s="79"/>
      <c r="CP525" s="79"/>
      <c r="CQ525" s="79"/>
      <c r="CR525" s="83" t="s">
        <v>179</v>
      </c>
      <c r="CS525" s="83" t="s">
        <v>179</v>
      </c>
      <c r="CT525" s="83" t="s">
        <v>179</v>
      </c>
      <c r="CU525" s="83" t="s">
        <v>179</v>
      </c>
      <c r="CV525" s="83" t="s">
        <v>179</v>
      </c>
      <c r="CW525" s="83" t="s">
        <v>179</v>
      </c>
      <c r="CX525" s="79" t="s">
        <v>153</v>
      </c>
      <c r="CY525" s="79">
        <f t="shared" si="358"/>
        <v>0</v>
      </c>
      <c r="CZ525" s="79">
        <v>0</v>
      </c>
      <c r="DA525" s="79">
        <f t="shared" si="359"/>
        <v>0</v>
      </c>
      <c r="DB525" s="84" t="str">
        <f t="shared" si="364"/>
        <v/>
      </c>
      <c r="DC525" s="41"/>
      <c r="DD525" s="79" t="s">
        <v>153</v>
      </c>
      <c r="DE525" s="71"/>
      <c r="DF525" s="85" t="s">
        <v>3660</v>
      </c>
      <c r="DG525" s="79">
        <v>514</v>
      </c>
      <c r="DH525" s="86" t="str">
        <f t="shared" si="362"/>
        <v>Completo</v>
      </c>
      <c r="DI525" s="79" t="s">
        <v>181</v>
      </c>
      <c r="DJ525" s="79" t="s">
        <v>182</v>
      </c>
      <c r="DK525" s="79"/>
      <c r="DL525" s="79">
        <v>0</v>
      </c>
      <c r="DM525" s="79">
        <v>0</v>
      </c>
      <c r="DN525" s="79" t="s">
        <v>182</v>
      </c>
      <c r="DO525" s="79"/>
      <c r="DP525" s="79"/>
      <c r="DQ525" s="79"/>
      <c r="DR525" s="75" t="str">
        <f t="shared" si="350"/>
        <v>No aplica</v>
      </c>
      <c r="DS525" s="79"/>
      <c r="DT525" s="79"/>
      <c r="DU525" s="75" t="str">
        <f t="shared" si="351"/>
        <v>No aplica</v>
      </c>
      <c r="DV525" s="79" t="s">
        <v>182</v>
      </c>
      <c r="DW525" s="79" t="s">
        <v>182</v>
      </c>
      <c r="DX525" s="79"/>
      <c r="DY525" s="79"/>
      <c r="DZ525" s="79"/>
      <c r="EA525" s="79"/>
      <c r="EB525" s="79" t="s">
        <v>182</v>
      </c>
      <c r="EC525" s="79" t="s">
        <v>3661</v>
      </c>
      <c r="ED525" s="79" t="s">
        <v>3668</v>
      </c>
      <c r="EE525" s="79" t="str">
        <f t="shared" si="379"/>
        <v>Completo</v>
      </c>
      <c r="EF525" s="41"/>
      <c r="EG525" s="79" t="s">
        <v>153</v>
      </c>
      <c r="EH525" s="71"/>
      <c r="EI525" s="80"/>
      <c r="EJ525" s="71"/>
      <c r="EK525" s="79"/>
      <c r="EL525" s="76" t="str">
        <f t="shared" si="370"/>
        <v>No requiere</v>
      </c>
      <c r="EM525" s="76" t="str">
        <f t="shared" si="371"/>
        <v>No requiere</v>
      </c>
      <c r="EN525" s="76" t="str">
        <f t="shared" si="340"/>
        <v>No requiere</v>
      </c>
      <c r="EO525" s="71"/>
      <c r="EP525" s="73" t="str">
        <f t="shared" si="372"/>
        <v>No requiere</v>
      </c>
      <c r="EQ525" s="77" t="str">
        <f t="shared" si="373"/>
        <v>No requiere</v>
      </c>
      <c r="ER525" s="71"/>
      <c r="ES525" s="79"/>
      <c r="ET525" s="73" t="str">
        <f t="shared" si="374"/>
        <v>No requiere</v>
      </c>
      <c r="EU525" s="73" t="str">
        <f t="shared" si="341"/>
        <v>No requiere</v>
      </c>
      <c r="EV525" s="73" t="str">
        <f t="shared" si="375"/>
        <v>No requiere</v>
      </c>
      <c r="EW525" s="73" t="str">
        <f t="shared" si="376"/>
        <v>No requiere</v>
      </c>
      <c r="EX525" s="78"/>
      <c r="EY525" s="78"/>
    </row>
    <row r="526" spans="1:155" ht="46.5" customHeight="1">
      <c r="A526" s="79">
        <v>522</v>
      </c>
      <c r="B526" s="80" t="s">
        <v>2770</v>
      </c>
      <c r="C526" s="81">
        <v>45447</v>
      </c>
      <c r="D526" s="82">
        <v>0.70833333333333337</v>
      </c>
      <c r="E526" s="79" t="s">
        <v>200</v>
      </c>
      <c r="F526" s="79" t="s">
        <v>153</v>
      </c>
      <c r="G526" s="79" t="s">
        <v>152</v>
      </c>
      <c r="H526" s="79" t="s">
        <v>152</v>
      </c>
      <c r="I526" s="79" t="s">
        <v>152</v>
      </c>
      <c r="J526" s="79" t="s">
        <v>211</v>
      </c>
      <c r="K526" s="79" t="s">
        <v>202</v>
      </c>
      <c r="L526" s="80" t="s">
        <v>3669</v>
      </c>
      <c r="M526" s="80" t="s">
        <v>624</v>
      </c>
      <c r="N526" s="79" t="s">
        <v>253</v>
      </c>
      <c r="O526" s="80" t="str">
        <f t="shared" si="365"/>
        <v/>
      </c>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t="s">
        <v>230</v>
      </c>
      <c r="AP526" s="79" t="s">
        <v>242</v>
      </c>
      <c r="AQ526" s="80" t="s">
        <v>625</v>
      </c>
      <c r="AR526" s="83">
        <v>3188799909</v>
      </c>
      <c r="AS526" s="80" t="s">
        <v>682</v>
      </c>
      <c r="AT526" s="80" t="str">
        <f t="shared" si="366"/>
        <v>Distrital</v>
      </c>
      <c r="AU526" s="79" t="s">
        <v>172</v>
      </c>
      <c r="AV526" s="79"/>
      <c r="AW526" s="79"/>
      <c r="AX526" s="79"/>
      <c r="AY526" s="79"/>
      <c r="AZ526" s="79"/>
      <c r="BA526" s="80" t="str">
        <f t="shared" si="367"/>
        <v>Distrital</v>
      </c>
      <c r="BB526" s="79" t="s">
        <v>172</v>
      </c>
      <c r="BC526" s="79"/>
      <c r="BD526" s="79"/>
      <c r="BE526" s="79"/>
      <c r="BF526" s="79"/>
      <c r="BG526" s="79"/>
      <c r="BH526" s="80" t="str">
        <f t="shared" si="368"/>
        <v>Distrital</v>
      </c>
      <c r="BI526" s="79" t="s">
        <v>172</v>
      </c>
      <c r="BJ526" s="79"/>
      <c r="BK526" s="79"/>
      <c r="BL526" s="79"/>
      <c r="BM526" s="79"/>
      <c r="BN526" s="79"/>
      <c r="BO526" s="79"/>
      <c r="BP526" s="79"/>
      <c r="BQ526" s="79"/>
      <c r="BR526" s="79"/>
      <c r="BS526" s="80" t="s">
        <v>288</v>
      </c>
      <c r="BT526" s="80" t="s">
        <v>174</v>
      </c>
      <c r="BU526" s="89" t="s">
        <v>3670</v>
      </c>
      <c r="BV526" s="71"/>
      <c r="BW526" s="79" t="s">
        <v>152</v>
      </c>
      <c r="BX526" s="79" t="s">
        <v>179</v>
      </c>
      <c r="BY526" s="71"/>
      <c r="BZ526" s="79">
        <v>70</v>
      </c>
      <c r="CA526" s="79">
        <v>2</v>
      </c>
      <c r="CB526" s="79">
        <f t="shared" si="281"/>
        <v>72</v>
      </c>
      <c r="CC526" s="79" t="str">
        <f t="shared" si="316"/>
        <v>Ninguna</v>
      </c>
      <c r="CD526" s="79" t="s">
        <v>174</v>
      </c>
      <c r="CE526" s="79"/>
      <c r="CF526" s="79"/>
      <c r="CG526" s="83" t="s">
        <v>3671</v>
      </c>
      <c r="CH526" s="41"/>
      <c r="CI526" s="79" t="s">
        <v>153</v>
      </c>
      <c r="CJ526" s="71"/>
      <c r="CK526" s="79">
        <f t="shared" si="377"/>
        <v>0</v>
      </c>
      <c r="CL526" s="79"/>
      <c r="CM526" s="79"/>
      <c r="CN526" s="79"/>
      <c r="CO526" s="79"/>
      <c r="CP526" s="79"/>
      <c r="CQ526" s="79"/>
      <c r="CR526" s="83" t="s">
        <v>179</v>
      </c>
      <c r="CS526" s="83" t="s">
        <v>179</v>
      </c>
      <c r="CT526" s="83" t="s">
        <v>179</v>
      </c>
      <c r="CU526" s="83" t="s">
        <v>179</v>
      </c>
      <c r="CV526" s="83" t="s">
        <v>179</v>
      </c>
      <c r="CW526" s="83" t="s">
        <v>179</v>
      </c>
      <c r="CX526" s="79" t="s">
        <v>153</v>
      </c>
      <c r="CY526" s="79">
        <f t="shared" si="358"/>
        <v>0</v>
      </c>
      <c r="CZ526" s="79">
        <v>0</v>
      </c>
      <c r="DA526" s="79">
        <f t="shared" si="359"/>
        <v>0</v>
      </c>
      <c r="DB526" s="84" t="str">
        <f t="shared" si="364"/>
        <v/>
      </c>
      <c r="DC526" s="41"/>
      <c r="DD526" s="79" t="s">
        <v>153</v>
      </c>
      <c r="DE526" s="71"/>
      <c r="DF526" s="85" t="s">
        <v>3672</v>
      </c>
      <c r="DG526" s="79">
        <v>515</v>
      </c>
      <c r="DH526" s="86" t="str">
        <f t="shared" si="362"/>
        <v>Completo</v>
      </c>
      <c r="DI526" s="79" t="s">
        <v>181</v>
      </c>
      <c r="DJ526" s="79" t="s">
        <v>182</v>
      </c>
      <c r="DK526" s="79"/>
      <c r="DL526" s="79">
        <v>0</v>
      </c>
      <c r="DM526" s="79">
        <v>0</v>
      </c>
      <c r="DN526" s="79" t="s">
        <v>182</v>
      </c>
      <c r="DO526" s="79"/>
      <c r="DP526" s="79"/>
      <c r="DQ526" s="79"/>
      <c r="DR526" s="75" t="str">
        <f t="shared" si="350"/>
        <v>No aplica</v>
      </c>
      <c r="DS526" s="79"/>
      <c r="DT526" s="79"/>
      <c r="DU526" s="75" t="str">
        <f t="shared" si="351"/>
        <v>No aplica</v>
      </c>
      <c r="DV526" s="79" t="s">
        <v>182</v>
      </c>
      <c r="DW526" s="79" t="s">
        <v>182</v>
      </c>
      <c r="DX526" s="79"/>
      <c r="DY526" s="79"/>
      <c r="DZ526" s="79"/>
      <c r="EA526" s="79"/>
      <c r="EB526" s="79" t="s">
        <v>182</v>
      </c>
      <c r="EC526" s="79" t="s">
        <v>3673</v>
      </c>
      <c r="ED526" s="79" t="s">
        <v>1743</v>
      </c>
      <c r="EE526" s="79" t="str">
        <f t="shared" si="379"/>
        <v>Completo</v>
      </c>
      <c r="EF526" s="41"/>
      <c r="EG526" s="79" t="s">
        <v>153</v>
      </c>
      <c r="EH526" s="71"/>
      <c r="EI526" s="80"/>
      <c r="EJ526" s="71"/>
      <c r="EK526" s="79"/>
      <c r="EL526" s="76" t="str">
        <f t="shared" si="370"/>
        <v>No requiere</v>
      </c>
      <c r="EM526" s="76" t="str">
        <f t="shared" si="371"/>
        <v>No requiere</v>
      </c>
      <c r="EN526" s="76" t="str">
        <f t="shared" si="340"/>
        <v>No requiere</v>
      </c>
      <c r="EO526" s="71"/>
      <c r="EP526" s="73" t="str">
        <f t="shared" si="372"/>
        <v>No requiere</v>
      </c>
      <c r="EQ526" s="77" t="str">
        <f t="shared" si="373"/>
        <v>No requiere</v>
      </c>
      <c r="ER526" s="71"/>
      <c r="ES526" s="79"/>
      <c r="ET526" s="73" t="str">
        <f t="shared" si="374"/>
        <v>No requiere</v>
      </c>
      <c r="EU526" s="73" t="str">
        <f t="shared" si="341"/>
        <v>No requiere</v>
      </c>
      <c r="EV526" s="73" t="str">
        <f t="shared" si="375"/>
        <v>No requiere</v>
      </c>
      <c r="EW526" s="73" t="str">
        <f t="shared" si="376"/>
        <v>No requiere</v>
      </c>
      <c r="EX526" s="78"/>
      <c r="EY526" s="78"/>
    </row>
    <row r="527" spans="1:155" ht="46.5" customHeight="1">
      <c r="A527" s="79">
        <v>523</v>
      </c>
      <c r="B527" s="80" t="s">
        <v>3674</v>
      </c>
      <c r="C527" s="81">
        <v>45447</v>
      </c>
      <c r="D527" s="82">
        <v>0.45833333333333331</v>
      </c>
      <c r="E527" s="79" t="s">
        <v>151</v>
      </c>
      <c r="F527" s="79" t="s">
        <v>153</v>
      </c>
      <c r="G527" s="79" t="s">
        <v>153</v>
      </c>
      <c r="H527" s="79" t="s">
        <v>152</v>
      </c>
      <c r="I527" s="79" t="s">
        <v>153</v>
      </c>
      <c r="J527" s="79" t="s">
        <v>3175</v>
      </c>
      <c r="K527" s="79" t="s">
        <v>155</v>
      </c>
      <c r="L527" s="80" t="s">
        <v>3675</v>
      </c>
      <c r="M527" s="80" t="s">
        <v>624</v>
      </c>
      <c r="N527" s="79" t="s">
        <v>887</v>
      </c>
      <c r="O527" s="80" t="str">
        <f t="shared" si="365"/>
        <v>Diego Alejandro Camacho</v>
      </c>
      <c r="P527" s="79" t="s">
        <v>422</v>
      </c>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t="s">
        <v>304</v>
      </c>
      <c r="AP527" s="79"/>
      <c r="AQ527" s="80" t="s">
        <v>1603</v>
      </c>
      <c r="AR527" s="83">
        <v>3125641672</v>
      </c>
      <c r="AS527" s="80" t="s">
        <v>1604</v>
      </c>
      <c r="AT527" s="80" t="str">
        <f t="shared" si="366"/>
        <v>Distrital</v>
      </c>
      <c r="AU527" s="79" t="s">
        <v>172</v>
      </c>
      <c r="AV527" s="79"/>
      <c r="AW527" s="79"/>
      <c r="AX527" s="79"/>
      <c r="AY527" s="79"/>
      <c r="AZ527" s="79"/>
      <c r="BA527" s="80" t="str">
        <f t="shared" si="367"/>
        <v>Distrital</v>
      </c>
      <c r="BB527" s="79" t="s">
        <v>172</v>
      </c>
      <c r="BC527" s="79"/>
      <c r="BD527" s="79"/>
      <c r="BE527" s="79"/>
      <c r="BF527" s="79"/>
      <c r="BG527" s="79"/>
      <c r="BH527" s="80" t="str">
        <f t="shared" si="368"/>
        <v>Distrital</v>
      </c>
      <c r="BI527" s="79" t="s">
        <v>172</v>
      </c>
      <c r="BJ527" s="79"/>
      <c r="BK527" s="79"/>
      <c r="BL527" s="79"/>
      <c r="BM527" s="79"/>
      <c r="BN527" s="79"/>
      <c r="BO527" s="79"/>
      <c r="BP527" s="79"/>
      <c r="BQ527" s="79"/>
      <c r="BR527" s="79"/>
      <c r="BS527" s="80" t="s">
        <v>3676</v>
      </c>
      <c r="BT527" s="80" t="s">
        <v>174</v>
      </c>
      <c r="BU527" s="80" t="s">
        <v>3677</v>
      </c>
      <c r="BV527" s="71"/>
      <c r="BW527" s="79" t="s">
        <v>152</v>
      </c>
      <c r="BX527" s="79" t="s">
        <v>179</v>
      </c>
      <c r="BY527" s="71"/>
      <c r="BZ527" s="79">
        <v>6</v>
      </c>
      <c r="CA527" s="79">
        <v>2</v>
      </c>
      <c r="CB527" s="79">
        <f t="shared" si="281"/>
        <v>8</v>
      </c>
      <c r="CC527" s="79" t="str">
        <f t="shared" si="316"/>
        <v>Ninguna</v>
      </c>
      <c r="CD527" s="79" t="s">
        <v>174</v>
      </c>
      <c r="CE527" s="79"/>
      <c r="CF527" s="79"/>
      <c r="CG527" s="83" t="s">
        <v>3678</v>
      </c>
      <c r="CH527" s="41"/>
      <c r="CI527" s="79" t="s">
        <v>153</v>
      </c>
      <c r="CJ527" s="71"/>
      <c r="CK527" s="79">
        <f t="shared" si="377"/>
        <v>0</v>
      </c>
      <c r="CL527" s="79"/>
      <c r="CM527" s="79"/>
      <c r="CN527" s="79"/>
      <c r="CO527" s="79"/>
      <c r="CP527" s="79"/>
      <c r="CQ527" s="79"/>
      <c r="CR527" s="83"/>
      <c r="CS527" s="83"/>
      <c r="CT527" s="83"/>
      <c r="CU527" s="83"/>
      <c r="CV527" s="83"/>
      <c r="CW527" s="83"/>
      <c r="CX527" s="79"/>
      <c r="CY527" s="79">
        <f t="shared" si="358"/>
        <v>0</v>
      </c>
      <c r="CZ527" s="79">
        <v>0</v>
      </c>
      <c r="DA527" s="79">
        <f t="shared" si="359"/>
        <v>0</v>
      </c>
      <c r="DB527" s="84" t="str">
        <f t="shared" si="364"/>
        <v/>
      </c>
      <c r="DC527" s="41"/>
      <c r="DD527" s="79"/>
      <c r="DE527" s="71"/>
      <c r="DF527" s="85" t="s">
        <v>3679</v>
      </c>
      <c r="DG527" s="79">
        <v>516</v>
      </c>
      <c r="DH527" s="86">
        <f t="shared" si="362"/>
        <v>45450</v>
      </c>
      <c r="DI527" s="79" t="s">
        <v>1246</v>
      </c>
      <c r="DJ527" s="79" t="s">
        <v>3407</v>
      </c>
      <c r="DK527" s="79"/>
      <c r="DL527" s="79">
        <v>0</v>
      </c>
      <c r="DM527" s="79">
        <v>0</v>
      </c>
      <c r="DN527" s="79" t="s">
        <v>182</v>
      </c>
      <c r="DO527" s="79"/>
      <c r="DP527" s="79"/>
      <c r="DQ527" s="79"/>
      <c r="DR527" s="75" t="str">
        <f t="shared" si="350"/>
        <v>No aplica</v>
      </c>
      <c r="DS527" s="79"/>
      <c r="DT527" s="79"/>
      <c r="DU527" s="75" t="str">
        <f t="shared" si="351"/>
        <v>No aplica</v>
      </c>
      <c r="DV527" s="79" t="s">
        <v>182</v>
      </c>
      <c r="DW527" s="79" t="s">
        <v>182</v>
      </c>
      <c r="DX527" s="79"/>
      <c r="DY527" s="79"/>
      <c r="DZ527" s="79"/>
      <c r="EA527" s="79"/>
      <c r="EB527" s="79"/>
      <c r="EC527" s="79"/>
      <c r="ED527" s="79" t="s">
        <v>3680</v>
      </c>
      <c r="EE527" s="79" t="str">
        <f t="shared" si="379"/>
        <v>Por Completar</v>
      </c>
      <c r="EF527" s="41"/>
      <c r="EG527" s="79" t="s">
        <v>152</v>
      </c>
      <c r="EH527" s="71"/>
      <c r="EI527" s="80"/>
      <c r="EJ527" s="71"/>
      <c r="EK527" s="79"/>
      <c r="EL527" s="76" t="str">
        <f t="shared" si="370"/>
        <v>No requiere</v>
      </c>
      <c r="EM527" s="76" t="str">
        <f t="shared" si="371"/>
        <v>No requiere</v>
      </c>
      <c r="EN527" s="76" t="str">
        <f t="shared" si="340"/>
        <v>No requiere</v>
      </c>
      <c r="EO527" s="71"/>
      <c r="EP527" s="73" t="str">
        <f t="shared" si="372"/>
        <v>No requiere</v>
      </c>
      <c r="EQ527" s="77" t="str">
        <f t="shared" si="373"/>
        <v>No requiere</v>
      </c>
      <c r="ER527" s="71"/>
      <c r="ES527" s="79"/>
      <c r="ET527" s="73" t="str">
        <f t="shared" si="374"/>
        <v>No requiere</v>
      </c>
      <c r="EU527" s="73" t="str">
        <f t="shared" si="341"/>
        <v>No requiere</v>
      </c>
      <c r="EV527" s="73" t="str">
        <f t="shared" si="375"/>
        <v>No requiere</v>
      </c>
      <c r="EW527" s="73" t="str">
        <f t="shared" si="376"/>
        <v>No requiere</v>
      </c>
      <c r="EX527" s="78"/>
      <c r="EY527" s="78"/>
    </row>
    <row r="528" spans="1:155" ht="46.5" customHeight="1">
      <c r="A528" s="79" t="str">
        <v/>
      </c>
      <c r="B528" s="80" t="s">
        <v>3681</v>
      </c>
      <c r="C528" s="81">
        <v>45448</v>
      </c>
      <c r="D528" s="82">
        <v>0.33333333333333331</v>
      </c>
      <c r="E528" s="79" t="s">
        <v>151</v>
      </c>
      <c r="F528" s="79" t="s">
        <v>152</v>
      </c>
      <c r="G528" s="79" t="s">
        <v>153</v>
      </c>
      <c r="H528" s="79" t="s">
        <v>152</v>
      </c>
      <c r="I528" s="79" t="s">
        <v>152</v>
      </c>
      <c r="J528" s="79" t="s">
        <v>272</v>
      </c>
      <c r="K528" s="79" t="s">
        <v>202</v>
      </c>
      <c r="L528" s="80" t="s">
        <v>3682</v>
      </c>
      <c r="M528" s="80" t="s">
        <v>624</v>
      </c>
      <c r="N528" s="79" t="s">
        <v>195</v>
      </c>
      <c r="O528" s="80" t="str">
        <f t="shared" si="365"/>
        <v>Maria Alejandra Castañeda, César Augusto Barrantes</v>
      </c>
      <c r="P528" s="79" t="s">
        <v>494</v>
      </c>
      <c r="Q528" s="79" t="s">
        <v>729</v>
      </c>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t="s">
        <v>169</v>
      </c>
      <c r="AP528" s="79"/>
      <c r="AQ528" s="80" t="s">
        <v>171</v>
      </c>
      <c r="AR528" s="80" t="s">
        <v>171</v>
      </c>
      <c r="AS528" s="80" t="s">
        <v>171</v>
      </c>
      <c r="AT528" s="80" t="str">
        <f t="shared" si="366"/>
        <v>Distrital</v>
      </c>
      <c r="AU528" s="79" t="s">
        <v>172</v>
      </c>
      <c r="AV528" s="79"/>
      <c r="AW528" s="79"/>
      <c r="AX528" s="79"/>
      <c r="AY528" s="79"/>
      <c r="AZ528" s="79"/>
      <c r="BA528" s="80" t="str">
        <f t="shared" si="367"/>
        <v>Distrital</v>
      </c>
      <c r="BB528" s="79" t="s">
        <v>172</v>
      </c>
      <c r="BC528" s="79"/>
      <c r="BD528" s="79"/>
      <c r="BE528" s="79"/>
      <c r="BF528" s="79"/>
      <c r="BG528" s="79"/>
      <c r="BH528" s="80" t="str">
        <f t="shared" si="368"/>
        <v>Distrital</v>
      </c>
      <c r="BI528" s="79" t="s">
        <v>172</v>
      </c>
      <c r="BJ528" s="79"/>
      <c r="BK528" s="79"/>
      <c r="BL528" s="79"/>
      <c r="BM528" s="79"/>
      <c r="BN528" s="79"/>
      <c r="BO528" s="79"/>
      <c r="BP528" s="79"/>
      <c r="BQ528" s="79"/>
      <c r="BR528" s="79"/>
      <c r="BS528" s="80" t="s">
        <v>3683</v>
      </c>
      <c r="BT528" s="80" t="s">
        <v>174</v>
      </c>
      <c r="BU528" s="89" t="s">
        <v>3684</v>
      </c>
      <c r="BV528" s="71"/>
      <c r="BW528" s="79" t="s">
        <v>152</v>
      </c>
      <c r="BX528" s="79" t="s">
        <v>179</v>
      </c>
      <c r="BY528" s="71"/>
      <c r="BZ528" s="79">
        <v>10</v>
      </c>
      <c r="CA528" s="79">
        <v>14</v>
      </c>
      <c r="CB528" s="79">
        <f t="shared" si="281"/>
        <v>24</v>
      </c>
      <c r="CC528" s="79" t="str">
        <f t="shared" si="316"/>
        <v>Ninguna</v>
      </c>
      <c r="CD528" s="79" t="s">
        <v>174</v>
      </c>
      <c r="CE528" s="79"/>
      <c r="CF528" s="79"/>
      <c r="CG528" s="83" t="s">
        <v>3685</v>
      </c>
      <c r="CH528" s="41"/>
      <c r="CI528" s="79" t="s">
        <v>153</v>
      </c>
      <c r="CJ528" s="71"/>
      <c r="CK528" s="79">
        <v>1</v>
      </c>
      <c r="CL528" s="207" t="s">
        <v>3686</v>
      </c>
      <c r="CM528" s="79"/>
      <c r="CN528" s="79"/>
      <c r="CO528" s="79"/>
      <c r="CP528" s="79"/>
      <c r="CQ528" s="79"/>
      <c r="CR528" s="83" t="s">
        <v>390</v>
      </c>
      <c r="CS528" s="83" t="s">
        <v>179</v>
      </c>
      <c r="CT528" s="83" t="s">
        <v>179</v>
      </c>
      <c r="CU528" s="83" t="s">
        <v>179</v>
      </c>
      <c r="CV528" s="83" t="s">
        <v>179</v>
      </c>
      <c r="CW528" s="83" t="s">
        <v>179</v>
      </c>
      <c r="CX528" s="79" t="s">
        <v>153</v>
      </c>
      <c r="CY528" s="79">
        <f t="shared" si="358"/>
        <v>1</v>
      </c>
      <c r="CZ528" s="79">
        <v>1</v>
      </c>
      <c r="DA528" s="79">
        <f t="shared" si="359"/>
        <v>1</v>
      </c>
      <c r="DB528" s="84">
        <f t="shared" si="364"/>
        <v>1</v>
      </c>
      <c r="DC528" s="41"/>
      <c r="DD528" s="79" t="s">
        <v>153</v>
      </c>
      <c r="DE528" s="71"/>
      <c r="DF528" s="85" t="s">
        <v>3687</v>
      </c>
      <c r="DG528" s="79">
        <v>517</v>
      </c>
      <c r="DH528" s="86" t="str">
        <f t="shared" si="362"/>
        <v>Completo</v>
      </c>
      <c r="DI528" s="79" t="s">
        <v>181</v>
      </c>
      <c r="DJ528" s="79" t="s">
        <v>182</v>
      </c>
      <c r="DK528" s="79"/>
      <c r="DL528" s="79">
        <v>0</v>
      </c>
      <c r="DM528" s="79">
        <v>0</v>
      </c>
      <c r="DN528" s="79" t="s">
        <v>182</v>
      </c>
      <c r="DO528" s="79"/>
      <c r="DP528" s="79"/>
      <c r="DQ528" s="79"/>
      <c r="DR528" s="75" t="str">
        <f t="shared" si="350"/>
        <v>No aplica</v>
      </c>
      <c r="DS528" s="79"/>
      <c r="DT528" s="79"/>
      <c r="DU528" s="75" t="str">
        <f t="shared" si="351"/>
        <v>No aplica</v>
      </c>
      <c r="DV528" s="79" t="s">
        <v>182</v>
      </c>
      <c r="DW528" s="79" t="s">
        <v>182</v>
      </c>
      <c r="DX528" s="79"/>
      <c r="DY528" s="79"/>
      <c r="DZ528" s="79"/>
      <c r="EA528" s="79"/>
      <c r="EB528" s="79" t="s">
        <v>182</v>
      </c>
      <c r="EC528" s="79" t="s">
        <v>3688</v>
      </c>
      <c r="ED528" s="79" t="s">
        <v>3689</v>
      </c>
      <c r="EE528" s="79" t="str">
        <f t="shared" si="379"/>
        <v>Completo</v>
      </c>
      <c r="EF528" s="41"/>
      <c r="EG528" s="79" t="s">
        <v>153</v>
      </c>
      <c r="EH528" s="71"/>
      <c r="EI528" s="80"/>
      <c r="EJ528" s="71"/>
      <c r="EK528" s="79"/>
      <c r="EL528" s="76" t="str">
        <f t="shared" si="370"/>
        <v>No requiere</v>
      </c>
      <c r="EM528" s="76" t="str">
        <f t="shared" si="371"/>
        <v>No requiere</v>
      </c>
      <c r="EN528" s="76" t="str">
        <f t="shared" si="340"/>
        <v>No requiere</v>
      </c>
      <c r="EO528" s="71"/>
      <c r="EP528" s="73" t="str">
        <f t="shared" si="372"/>
        <v>No requiere</v>
      </c>
      <c r="EQ528" s="77" t="str">
        <f t="shared" si="373"/>
        <v>No requiere</v>
      </c>
      <c r="ER528" s="71"/>
      <c r="ES528" s="79"/>
      <c r="ET528" s="73" t="str">
        <f t="shared" si="374"/>
        <v>No requiere</v>
      </c>
      <c r="EU528" s="73" t="str">
        <f t="shared" si="341"/>
        <v>No requiere</v>
      </c>
      <c r="EV528" s="73" t="str">
        <f t="shared" si="375"/>
        <v>No requiere</v>
      </c>
      <c r="EW528" s="73" t="str">
        <f t="shared" si="376"/>
        <v>No requiere</v>
      </c>
      <c r="EX528" s="78"/>
      <c r="EY528" s="78"/>
    </row>
    <row r="529" spans="1:155" ht="46.5" customHeight="1">
      <c r="A529" s="79">
        <v>525</v>
      </c>
      <c r="B529" s="80" t="s">
        <v>503</v>
      </c>
      <c r="C529" s="81">
        <v>45448</v>
      </c>
      <c r="D529" s="82">
        <v>0.375</v>
      </c>
      <c r="E529" s="79" t="s">
        <v>200</v>
      </c>
      <c r="F529" s="79" t="s">
        <v>153</v>
      </c>
      <c r="G529" s="79" t="s">
        <v>152</v>
      </c>
      <c r="H529" s="79" t="s">
        <v>152</v>
      </c>
      <c r="I529" s="79" t="s">
        <v>152</v>
      </c>
      <c r="J529" s="79" t="s">
        <v>504</v>
      </c>
      <c r="K529" s="79" t="s">
        <v>202</v>
      </c>
      <c r="L529" s="80" t="s">
        <v>3690</v>
      </c>
      <c r="M529" s="80" t="s">
        <v>157</v>
      </c>
      <c r="N529" s="79" t="s">
        <v>506</v>
      </c>
      <c r="O529" s="80" t="str">
        <f t="shared" si="365"/>
        <v/>
      </c>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t="s">
        <v>169</v>
      </c>
      <c r="AP529" s="79" t="s">
        <v>2702</v>
      </c>
      <c r="AQ529" s="80" t="s">
        <v>3691</v>
      </c>
      <c r="AR529" s="83">
        <v>3144200711</v>
      </c>
      <c r="AS529" s="199" t="s">
        <v>3692</v>
      </c>
      <c r="AT529" s="80" t="str">
        <f t="shared" si="366"/>
        <v>Sumapaz</v>
      </c>
      <c r="AU529" s="79" t="s">
        <v>510</v>
      </c>
      <c r="AV529" s="79"/>
      <c r="AW529" s="79"/>
      <c r="AX529" s="79"/>
      <c r="AY529" s="79"/>
      <c r="AZ529" s="79"/>
      <c r="BA529" s="80" t="str">
        <f t="shared" si="367"/>
        <v>Ruralidad</v>
      </c>
      <c r="BB529" s="79" t="s">
        <v>219</v>
      </c>
      <c r="BC529" s="79"/>
      <c r="BD529" s="79"/>
      <c r="BE529" s="79"/>
      <c r="BF529" s="79"/>
      <c r="BG529" s="79"/>
      <c r="BH529" s="80" t="str">
        <f t="shared" si="368"/>
        <v>Sumapaz</v>
      </c>
      <c r="BI529" s="79" t="s">
        <v>510</v>
      </c>
      <c r="BJ529" s="79"/>
      <c r="BK529" s="79"/>
      <c r="BL529" s="79"/>
      <c r="BM529" s="79"/>
      <c r="BN529" s="79"/>
      <c r="BO529" s="79"/>
      <c r="BP529" s="79"/>
      <c r="BQ529" s="79"/>
      <c r="BR529" s="79"/>
      <c r="BS529" s="80" t="s">
        <v>3652</v>
      </c>
      <c r="BT529" s="80" t="s">
        <v>174</v>
      </c>
      <c r="BU529" s="89" t="s">
        <v>3693</v>
      </c>
      <c r="BV529" s="71"/>
      <c r="BW529" s="79" t="s">
        <v>152</v>
      </c>
      <c r="BX529" s="79" t="s">
        <v>179</v>
      </c>
      <c r="BY529" s="71"/>
      <c r="BZ529" s="79">
        <v>26</v>
      </c>
      <c r="CA529" s="79">
        <v>1</v>
      </c>
      <c r="CB529" s="79">
        <f t="shared" si="281"/>
        <v>27</v>
      </c>
      <c r="CC529" s="79" t="str">
        <f t="shared" si="316"/>
        <v>Ninguna</v>
      </c>
      <c r="CD529" s="79" t="s">
        <v>174</v>
      </c>
      <c r="CE529" s="79"/>
      <c r="CF529" s="79"/>
      <c r="CG529" s="83" t="s">
        <v>3694</v>
      </c>
      <c r="CH529" s="41"/>
      <c r="CI529" s="79" t="s">
        <v>153</v>
      </c>
      <c r="CJ529" s="71"/>
      <c r="CK529" s="79">
        <f t="shared" si="377"/>
        <v>0</v>
      </c>
      <c r="CL529" s="79"/>
      <c r="CM529" s="79"/>
      <c r="CN529" s="79"/>
      <c r="CO529" s="79"/>
      <c r="CP529" s="79"/>
      <c r="CQ529" s="79"/>
      <c r="CR529" s="83" t="s">
        <v>179</v>
      </c>
      <c r="CS529" s="83" t="s">
        <v>179</v>
      </c>
      <c r="CT529" s="83" t="s">
        <v>179</v>
      </c>
      <c r="CU529" s="83" t="s">
        <v>179</v>
      </c>
      <c r="CV529" s="83" t="s">
        <v>179</v>
      </c>
      <c r="CW529" s="83" t="s">
        <v>179</v>
      </c>
      <c r="CX529" s="79" t="s">
        <v>153</v>
      </c>
      <c r="CY529" s="79">
        <f t="shared" si="358"/>
        <v>0</v>
      </c>
      <c r="CZ529" s="79">
        <v>0</v>
      </c>
      <c r="DA529" s="79">
        <f t="shared" si="359"/>
        <v>0</v>
      </c>
      <c r="DB529" s="84" t="str">
        <f t="shared" si="364"/>
        <v/>
      </c>
      <c r="DC529" s="41"/>
      <c r="DD529" s="79" t="s">
        <v>153</v>
      </c>
      <c r="DE529" s="71"/>
      <c r="DF529" s="85" t="s">
        <v>3695</v>
      </c>
      <c r="DG529" s="79">
        <v>518</v>
      </c>
      <c r="DH529" s="86" t="str">
        <f t="shared" si="362"/>
        <v>Completo</v>
      </c>
      <c r="DI529" s="79" t="s">
        <v>181</v>
      </c>
      <c r="DJ529" s="79" t="s">
        <v>182</v>
      </c>
      <c r="DK529" s="79"/>
      <c r="DL529" s="79">
        <v>0</v>
      </c>
      <c r="DM529" s="79">
        <v>0</v>
      </c>
      <c r="DN529" s="79" t="s">
        <v>182</v>
      </c>
      <c r="DO529" s="79"/>
      <c r="DP529" s="79"/>
      <c r="DQ529" s="79"/>
      <c r="DR529" s="75" t="str">
        <f t="shared" si="350"/>
        <v>No aplica</v>
      </c>
      <c r="DS529" s="79"/>
      <c r="DT529" s="79"/>
      <c r="DU529" s="75" t="str">
        <f t="shared" si="351"/>
        <v>No aplica</v>
      </c>
      <c r="DV529" s="79" t="s">
        <v>182</v>
      </c>
      <c r="DW529" s="79" t="s">
        <v>182</v>
      </c>
      <c r="DX529" s="79"/>
      <c r="DY529" s="79"/>
      <c r="DZ529" s="79"/>
      <c r="EA529" s="79"/>
      <c r="EB529" s="79"/>
      <c r="EC529" s="79"/>
      <c r="ED529" s="79" t="s">
        <v>2915</v>
      </c>
      <c r="EE529" s="79" t="str">
        <f t="shared" si="379"/>
        <v>Completo</v>
      </c>
      <c r="EF529" s="41"/>
      <c r="EG529" s="79" t="s">
        <v>153</v>
      </c>
      <c r="EH529" s="71"/>
      <c r="EI529" s="80"/>
      <c r="EJ529" s="71"/>
      <c r="EK529" s="79"/>
      <c r="EL529" s="76" t="str">
        <f t="shared" si="370"/>
        <v>No requiere</v>
      </c>
      <c r="EM529" s="76" t="str">
        <f t="shared" si="371"/>
        <v>No requiere</v>
      </c>
      <c r="EN529" s="76" t="str">
        <f t="shared" si="340"/>
        <v>No requiere</v>
      </c>
      <c r="EO529" s="71"/>
      <c r="EP529" s="73" t="str">
        <f t="shared" si="372"/>
        <v>No requiere</v>
      </c>
      <c r="EQ529" s="77" t="str">
        <f t="shared" si="373"/>
        <v>No requiere</v>
      </c>
      <c r="ER529" s="71"/>
      <c r="ES529" s="79"/>
      <c r="ET529" s="73" t="str">
        <f t="shared" si="374"/>
        <v>No requiere</v>
      </c>
      <c r="EU529" s="73" t="str">
        <f t="shared" si="341"/>
        <v>No requiere</v>
      </c>
      <c r="EV529" s="73" t="str">
        <f t="shared" si="375"/>
        <v>No requiere</v>
      </c>
      <c r="EW529" s="73" t="str">
        <f t="shared" si="376"/>
        <v>No requiere</v>
      </c>
      <c r="EX529" s="78"/>
      <c r="EY529" s="78"/>
    </row>
    <row r="530" spans="1:155" ht="46.5" customHeight="1">
      <c r="A530" s="79">
        <v>526</v>
      </c>
      <c r="B530" s="80" t="s">
        <v>3696</v>
      </c>
      <c r="C530" s="81">
        <v>45448</v>
      </c>
      <c r="D530" s="82">
        <v>0.4375</v>
      </c>
      <c r="E530" s="79" t="s">
        <v>151</v>
      </c>
      <c r="F530" s="79" t="s">
        <v>153</v>
      </c>
      <c r="G530" s="79" t="s">
        <v>153</v>
      </c>
      <c r="H530" s="79" t="s">
        <v>152</v>
      </c>
      <c r="I530" s="79" t="s">
        <v>152</v>
      </c>
      <c r="J530" s="79" t="s">
        <v>251</v>
      </c>
      <c r="K530" s="79" t="s">
        <v>202</v>
      </c>
      <c r="L530" s="80" t="s">
        <v>3697</v>
      </c>
      <c r="M530" s="80" t="s">
        <v>157</v>
      </c>
      <c r="N530" s="79" t="s">
        <v>163</v>
      </c>
      <c r="O530" s="80" t="str">
        <f t="shared" si="365"/>
        <v/>
      </c>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t="s">
        <v>230</v>
      </c>
      <c r="AP530" s="79" t="s">
        <v>347</v>
      </c>
      <c r="AQ530" s="80" t="s">
        <v>3698</v>
      </c>
      <c r="AR530" s="83">
        <v>3106185411</v>
      </c>
      <c r="AS530" s="80" t="s">
        <v>3699</v>
      </c>
      <c r="AT530" s="80" t="str">
        <f t="shared" si="366"/>
        <v>Distrital</v>
      </c>
      <c r="AU530" s="79" t="s">
        <v>172</v>
      </c>
      <c r="AV530" s="79"/>
      <c r="AW530" s="79"/>
      <c r="AX530" s="79"/>
      <c r="AY530" s="79"/>
      <c r="AZ530" s="79"/>
      <c r="BA530" s="80" t="str">
        <f t="shared" si="367"/>
        <v>Distrital</v>
      </c>
      <c r="BB530" s="79" t="s">
        <v>172</v>
      </c>
      <c r="BC530" s="79"/>
      <c r="BD530" s="79"/>
      <c r="BE530" s="79"/>
      <c r="BF530" s="79"/>
      <c r="BG530" s="79"/>
      <c r="BH530" s="80" t="str">
        <f t="shared" si="368"/>
        <v>Distrital</v>
      </c>
      <c r="BI530" s="79" t="s">
        <v>172</v>
      </c>
      <c r="BJ530" s="79"/>
      <c r="BK530" s="79"/>
      <c r="BL530" s="79"/>
      <c r="BM530" s="79"/>
      <c r="BN530" s="79"/>
      <c r="BO530" s="79"/>
      <c r="BP530" s="79"/>
      <c r="BQ530" s="79"/>
      <c r="BR530" s="79"/>
      <c r="BS530" s="80" t="s">
        <v>288</v>
      </c>
      <c r="BT530" s="80" t="s">
        <v>174</v>
      </c>
      <c r="BU530" s="89" t="s">
        <v>3700</v>
      </c>
      <c r="BV530" s="71"/>
      <c r="BW530" s="79" t="s">
        <v>152</v>
      </c>
      <c r="BX530" s="79" t="s">
        <v>179</v>
      </c>
      <c r="BY530" s="71"/>
      <c r="BZ530" s="79">
        <v>1</v>
      </c>
      <c r="CA530" s="79">
        <v>1</v>
      </c>
      <c r="CB530" s="79">
        <f t="shared" si="281"/>
        <v>2</v>
      </c>
      <c r="CC530" s="79" t="str">
        <f t="shared" si="316"/>
        <v>Ninguna</v>
      </c>
      <c r="CD530" s="79" t="s">
        <v>174</v>
      </c>
      <c r="CE530" s="79"/>
      <c r="CF530" s="79"/>
      <c r="CG530" s="83" t="s">
        <v>3701</v>
      </c>
      <c r="CH530" s="41"/>
      <c r="CI530" s="79" t="s">
        <v>153</v>
      </c>
      <c r="CJ530" s="71"/>
      <c r="CK530" s="79">
        <f t="shared" si="377"/>
        <v>0</v>
      </c>
      <c r="CL530" s="79"/>
      <c r="CM530" s="79"/>
      <c r="CN530" s="79"/>
      <c r="CO530" s="79"/>
      <c r="CP530" s="79"/>
      <c r="CQ530" s="79"/>
      <c r="CR530" s="83" t="s">
        <v>179</v>
      </c>
      <c r="CS530" s="83" t="s">
        <v>179</v>
      </c>
      <c r="CT530" s="83" t="s">
        <v>179</v>
      </c>
      <c r="CU530" s="83" t="s">
        <v>179</v>
      </c>
      <c r="CV530" s="83" t="s">
        <v>179</v>
      </c>
      <c r="CW530" s="83" t="s">
        <v>179</v>
      </c>
      <c r="CX530" s="79" t="s">
        <v>153</v>
      </c>
      <c r="CY530" s="79">
        <f t="shared" si="358"/>
        <v>0</v>
      </c>
      <c r="CZ530" s="79">
        <v>0</v>
      </c>
      <c r="DA530" s="79">
        <f t="shared" si="359"/>
        <v>0</v>
      </c>
      <c r="DB530" s="84" t="str">
        <f t="shared" si="364"/>
        <v/>
      </c>
      <c r="DC530" s="41"/>
      <c r="DD530" s="79" t="s">
        <v>153</v>
      </c>
      <c r="DE530" s="71"/>
      <c r="DF530" s="85" t="s">
        <v>3702</v>
      </c>
      <c r="DG530" s="79">
        <v>519</v>
      </c>
      <c r="DH530" s="86" t="str">
        <f t="shared" si="362"/>
        <v>Completo</v>
      </c>
      <c r="DI530" s="79" t="s">
        <v>181</v>
      </c>
      <c r="DJ530" s="79" t="s">
        <v>182</v>
      </c>
      <c r="DK530" s="79"/>
      <c r="DL530" s="79">
        <v>0</v>
      </c>
      <c r="DM530" s="79">
        <v>0</v>
      </c>
      <c r="DN530" s="79" t="s">
        <v>182</v>
      </c>
      <c r="DO530" s="79"/>
      <c r="DP530" s="79"/>
      <c r="DQ530" s="79"/>
      <c r="DR530" s="75" t="str">
        <f t="shared" si="350"/>
        <v>No aplica</v>
      </c>
      <c r="DS530" s="79"/>
      <c r="DT530" s="79"/>
      <c r="DU530" s="75" t="str">
        <f t="shared" si="351"/>
        <v>No aplica</v>
      </c>
      <c r="DV530" s="79" t="s">
        <v>182</v>
      </c>
      <c r="DW530" s="79" t="s">
        <v>191</v>
      </c>
      <c r="DX530" s="79"/>
      <c r="DY530" s="79"/>
      <c r="DZ530" s="79"/>
      <c r="EA530" s="79"/>
      <c r="EB530" s="79"/>
      <c r="EC530" s="79"/>
      <c r="ED530" s="79" t="s">
        <v>3668</v>
      </c>
      <c r="EE530" s="79" t="str">
        <f t="shared" si="379"/>
        <v>Completo</v>
      </c>
      <c r="EF530" s="41"/>
      <c r="EG530" s="79" t="s">
        <v>153</v>
      </c>
      <c r="EH530" s="71"/>
      <c r="EI530" s="80"/>
      <c r="EJ530" s="71"/>
      <c r="EK530" s="79"/>
      <c r="EL530" s="76" t="str">
        <f t="shared" si="370"/>
        <v>No requiere</v>
      </c>
      <c r="EM530" s="76" t="str">
        <f t="shared" si="371"/>
        <v>No requiere</v>
      </c>
      <c r="EN530" s="76" t="str">
        <f t="shared" si="340"/>
        <v>No requiere</v>
      </c>
      <c r="EO530" s="71"/>
      <c r="EP530" s="73" t="str">
        <f t="shared" si="372"/>
        <v>No requiere</v>
      </c>
      <c r="EQ530" s="77" t="str">
        <f t="shared" si="373"/>
        <v>No requiere</v>
      </c>
      <c r="ER530" s="71"/>
      <c r="ES530" s="79"/>
      <c r="ET530" s="73" t="str">
        <f t="shared" si="374"/>
        <v>No requiere</v>
      </c>
      <c r="EU530" s="73" t="str">
        <f t="shared" si="341"/>
        <v>No requiere</v>
      </c>
      <c r="EV530" s="73" t="str">
        <f t="shared" si="375"/>
        <v>No requiere</v>
      </c>
      <c r="EW530" s="73" t="str">
        <f t="shared" si="376"/>
        <v>No requiere</v>
      </c>
      <c r="EX530" s="78"/>
      <c r="EY530" s="78"/>
    </row>
    <row r="531" spans="1:155" ht="46.5" customHeight="1">
      <c r="A531" s="79">
        <v>527</v>
      </c>
      <c r="B531" s="80" t="s">
        <v>718</v>
      </c>
      <c r="C531" s="81">
        <v>45448</v>
      </c>
      <c r="D531" s="82">
        <v>0.58333333333333337</v>
      </c>
      <c r="E531" s="79" t="s">
        <v>200</v>
      </c>
      <c r="F531" s="79" t="s">
        <v>153</v>
      </c>
      <c r="G531" s="79" t="s">
        <v>152</v>
      </c>
      <c r="H531" s="79" t="s">
        <v>152</v>
      </c>
      <c r="I531" s="79" t="s">
        <v>152</v>
      </c>
      <c r="J531" s="79" t="s">
        <v>504</v>
      </c>
      <c r="K531" s="79" t="s">
        <v>155</v>
      </c>
      <c r="L531" s="80" t="s">
        <v>3703</v>
      </c>
      <c r="M531" s="80" t="s">
        <v>157</v>
      </c>
      <c r="N531" s="79" t="s">
        <v>720</v>
      </c>
      <c r="O531" s="80" t="str">
        <f t="shared" si="365"/>
        <v/>
      </c>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t="s">
        <v>169</v>
      </c>
      <c r="AP531" s="79" t="s">
        <v>2702</v>
      </c>
      <c r="AQ531" s="80" t="s">
        <v>3704</v>
      </c>
      <c r="AR531" s="83">
        <v>3002578468</v>
      </c>
      <c r="AS531" s="80" t="s">
        <v>2963</v>
      </c>
      <c r="AT531" s="80" t="str">
        <f t="shared" si="366"/>
        <v>Rafael Uribe Uribe</v>
      </c>
      <c r="AU531" s="79" t="s">
        <v>635</v>
      </c>
      <c r="AV531" s="79"/>
      <c r="AW531" s="79"/>
      <c r="AX531" s="79"/>
      <c r="AY531" s="79"/>
      <c r="AZ531" s="79"/>
      <c r="BA531" s="80" t="str">
        <f t="shared" si="367"/>
        <v>Suroriente, Centro Ampliado</v>
      </c>
      <c r="BB531" s="79" t="s">
        <v>218</v>
      </c>
      <c r="BC531" s="79" t="s">
        <v>636</v>
      </c>
      <c r="BD531" s="79"/>
      <c r="BE531" s="79"/>
      <c r="BF531" s="79"/>
      <c r="BG531" s="79"/>
      <c r="BH531" s="80" t="str">
        <f t="shared" si="368"/>
        <v>Rafael Uribe, Restrepo, San Cristobal</v>
      </c>
      <c r="BI531" s="79" t="s">
        <v>723</v>
      </c>
      <c r="BJ531" s="79" t="s">
        <v>637</v>
      </c>
      <c r="BK531" s="79" t="s">
        <v>571</v>
      </c>
      <c r="BL531" s="79"/>
      <c r="BM531" s="79"/>
      <c r="BN531" s="79"/>
      <c r="BO531" s="79"/>
      <c r="BP531" s="79"/>
      <c r="BQ531" s="79"/>
      <c r="BR531" s="79"/>
      <c r="BS531" s="80" t="s">
        <v>3705</v>
      </c>
      <c r="BT531" s="80" t="s">
        <v>174</v>
      </c>
      <c r="BU531" s="80" t="s">
        <v>3706</v>
      </c>
      <c r="BV531" s="71"/>
      <c r="BW531" s="79" t="s">
        <v>152</v>
      </c>
      <c r="BX531" s="79" t="s">
        <v>179</v>
      </c>
      <c r="BY531" s="71"/>
      <c r="BZ531" s="79">
        <v>19</v>
      </c>
      <c r="CA531" s="79">
        <v>1</v>
      </c>
      <c r="CB531" s="79">
        <f t="shared" si="281"/>
        <v>20</v>
      </c>
      <c r="CC531" s="79" t="str">
        <f t="shared" si="316"/>
        <v>Ninguna</v>
      </c>
      <c r="CD531" s="79" t="s">
        <v>174</v>
      </c>
      <c r="CE531" s="79"/>
      <c r="CF531" s="79"/>
      <c r="CG531" s="83" t="s">
        <v>3707</v>
      </c>
      <c r="CH531" s="41"/>
      <c r="CI531" s="79" t="s">
        <v>153</v>
      </c>
      <c r="CJ531" s="71"/>
      <c r="CK531" s="79">
        <f t="shared" si="377"/>
        <v>0</v>
      </c>
      <c r="CL531" s="79"/>
      <c r="CM531" s="79"/>
      <c r="CN531" s="79"/>
      <c r="CO531" s="79"/>
      <c r="CP531" s="79"/>
      <c r="CQ531" s="79"/>
      <c r="CR531" s="83" t="s">
        <v>179</v>
      </c>
      <c r="CS531" s="83" t="s">
        <v>179</v>
      </c>
      <c r="CT531" s="83" t="s">
        <v>179</v>
      </c>
      <c r="CU531" s="83" t="s">
        <v>179</v>
      </c>
      <c r="CV531" s="83" t="s">
        <v>179</v>
      </c>
      <c r="CW531" s="83" t="s">
        <v>179</v>
      </c>
      <c r="CX531" s="79" t="s">
        <v>153</v>
      </c>
      <c r="CY531" s="79">
        <f t="shared" si="358"/>
        <v>0</v>
      </c>
      <c r="CZ531" s="79">
        <v>0</v>
      </c>
      <c r="DA531" s="79">
        <f t="shared" si="359"/>
        <v>0</v>
      </c>
      <c r="DB531" s="84" t="str">
        <f t="shared" si="364"/>
        <v/>
      </c>
      <c r="DC531" s="41"/>
      <c r="DD531" s="79" t="s">
        <v>153</v>
      </c>
      <c r="DE531" s="71"/>
      <c r="DF531" s="85" t="s">
        <v>3695</v>
      </c>
      <c r="DG531" s="79">
        <v>520</v>
      </c>
      <c r="DH531" s="86" t="str">
        <f t="shared" si="362"/>
        <v>Completo</v>
      </c>
      <c r="DI531" s="79" t="s">
        <v>181</v>
      </c>
      <c r="DJ531" s="79" t="s">
        <v>182</v>
      </c>
      <c r="DK531" s="79"/>
      <c r="DL531" s="79">
        <v>0</v>
      </c>
      <c r="DM531" s="79">
        <v>0</v>
      </c>
      <c r="DN531" s="79" t="s">
        <v>182</v>
      </c>
      <c r="DO531" s="79"/>
      <c r="DP531" s="79"/>
      <c r="DQ531" s="79"/>
      <c r="DR531" s="75" t="str">
        <f t="shared" si="350"/>
        <v>No aplica</v>
      </c>
      <c r="DS531" s="79"/>
      <c r="DT531" s="79"/>
      <c r="DU531" s="75" t="str">
        <f t="shared" si="351"/>
        <v>No aplica</v>
      </c>
      <c r="DV531" s="79" t="s">
        <v>182</v>
      </c>
      <c r="DW531" s="79" t="s">
        <v>182</v>
      </c>
      <c r="DX531" s="79"/>
      <c r="DY531" s="79"/>
      <c r="DZ531" s="79"/>
      <c r="EA531" s="79"/>
      <c r="EB531" s="79"/>
      <c r="EC531" s="79"/>
      <c r="ED531" s="79" t="s">
        <v>3708</v>
      </c>
      <c r="EE531" s="79" t="str">
        <f>IF(DI531="Subsanado","Completo","Por Completar")</f>
        <v>Completo</v>
      </c>
      <c r="EF531" s="41"/>
      <c r="EG531" s="79" t="s">
        <v>153</v>
      </c>
      <c r="EH531" s="71"/>
      <c r="EI531" s="80"/>
      <c r="EJ531" s="71"/>
      <c r="EK531" s="79"/>
      <c r="EL531" s="76" t="str">
        <f t="shared" si="370"/>
        <v>No requiere</v>
      </c>
      <c r="EM531" s="76" t="str">
        <f t="shared" si="371"/>
        <v>No requiere</v>
      </c>
      <c r="EN531" s="76" t="str">
        <f t="shared" si="340"/>
        <v>No requiere</v>
      </c>
      <c r="EO531" s="71"/>
      <c r="EP531" s="73" t="str">
        <f t="shared" si="372"/>
        <v>No requiere</v>
      </c>
      <c r="EQ531" s="77" t="str">
        <f t="shared" si="373"/>
        <v>No requiere</v>
      </c>
      <c r="ER531" s="71"/>
      <c r="ES531" s="79"/>
      <c r="ET531" s="73" t="str">
        <f t="shared" si="374"/>
        <v>No requiere</v>
      </c>
      <c r="EU531" s="73" t="str">
        <f t="shared" si="341"/>
        <v>No requiere</v>
      </c>
      <c r="EV531" s="73" t="str">
        <f t="shared" si="375"/>
        <v>No requiere</v>
      </c>
      <c r="EW531" s="73" t="str">
        <f t="shared" si="376"/>
        <v>No requiere</v>
      </c>
      <c r="EX531" s="78"/>
      <c r="EY531" s="78"/>
    </row>
    <row r="532" spans="1:155" ht="46.5" customHeight="1">
      <c r="A532" s="79">
        <v>528</v>
      </c>
      <c r="B532" s="80" t="s">
        <v>3709</v>
      </c>
      <c r="C532" s="81">
        <v>45448</v>
      </c>
      <c r="D532" s="82">
        <v>0.58333333333333337</v>
      </c>
      <c r="E532" s="79" t="s">
        <v>151</v>
      </c>
      <c r="F532" s="79" t="s">
        <v>153</v>
      </c>
      <c r="G532" s="79" t="s">
        <v>152</v>
      </c>
      <c r="H532" s="79" t="s">
        <v>152</v>
      </c>
      <c r="I532" s="79" t="s">
        <v>152</v>
      </c>
      <c r="J532" s="79" t="s">
        <v>3175</v>
      </c>
      <c r="K532" s="79" t="s">
        <v>155</v>
      </c>
      <c r="L532" s="80" t="s">
        <v>3710</v>
      </c>
      <c r="M532" s="80" t="s">
        <v>157</v>
      </c>
      <c r="N532" s="79" t="s">
        <v>422</v>
      </c>
      <c r="O532" s="80" t="str">
        <f t="shared" si="365"/>
        <v/>
      </c>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t="s">
        <v>169</v>
      </c>
      <c r="AP532" s="79" t="s">
        <v>204</v>
      </c>
      <c r="AQ532" s="80" t="s">
        <v>3711</v>
      </c>
      <c r="AR532" s="83">
        <v>3142045593</v>
      </c>
      <c r="AS532" s="80" t="s">
        <v>3712</v>
      </c>
      <c r="AT532" s="80" t="str">
        <f t="shared" si="366"/>
        <v>Distrital</v>
      </c>
      <c r="AU532" s="79" t="s">
        <v>172</v>
      </c>
      <c r="AV532" s="79"/>
      <c r="AW532" s="79"/>
      <c r="AX532" s="79"/>
      <c r="AY532" s="79"/>
      <c r="AZ532" s="79"/>
      <c r="BA532" s="80" t="str">
        <f t="shared" si="367"/>
        <v>Distrital</v>
      </c>
      <c r="BB532" s="79" t="s">
        <v>172</v>
      </c>
      <c r="BC532" s="79"/>
      <c r="BD532" s="79"/>
      <c r="BE532" s="79"/>
      <c r="BF532" s="79"/>
      <c r="BG532" s="79"/>
      <c r="BH532" s="80" t="str">
        <f t="shared" si="368"/>
        <v>Distrital</v>
      </c>
      <c r="BI532" s="79" t="s">
        <v>172</v>
      </c>
      <c r="BJ532" s="79"/>
      <c r="BK532" s="79"/>
      <c r="BL532" s="79"/>
      <c r="BM532" s="79"/>
      <c r="BN532" s="79"/>
      <c r="BO532" s="79"/>
      <c r="BP532" s="79"/>
      <c r="BQ532" s="79"/>
      <c r="BR532" s="79"/>
      <c r="BS532" s="80" t="s">
        <v>916</v>
      </c>
      <c r="BT532" s="80" t="s">
        <v>174</v>
      </c>
      <c r="BU532" s="80" t="s">
        <v>3713</v>
      </c>
      <c r="BV532" s="71"/>
      <c r="BW532" s="79" t="s">
        <v>152</v>
      </c>
      <c r="BX532" s="79" t="s">
        <v>179</v>
      </c>
      <c r="BY532" s="71"/>
      <c r="BZ532" s="79">
        <v>10</v>
      </c>
      <c r="CA532" s="79">
        <v>1</v>
      </c>
      <c r="CB532" s="79">
        <f t="shared" si="281"/>
        <v>11</v>
      </c>
      <c r="CC532" s="79" t="str">
        <f t="shared" si="316"/>
        <v>Ninguna</v>
      </c>
      <c r="CD532" s="79" t="s">
        <v>174</v>
      </c>
      <c r="CE532" s="79"/>
      <c r="CF532" s="79"/>
      <c r="CG532" s="83" t="s">
        <v>3714</v>
      </c>
      <c r="CH532" s="41"/>
      <c r="CI532" s="79" t="s">
        <v>153</v>
      </c>
      <c r="CJ532" s="71"/>
      <c r="CK532" s="79">
        <f t="shared" si="377"/>
        <v>0</v>
      </c>
      <c r="CL532" s="79"/>
      <c r="CM532" s="79"/>
      <c r="CN532" s="79"/>
      <c r="CO532" s="79"/>
      <c r="CP532" s="79"/>
      <c r="CQ532" s="79"/>
      <c r="CR532" s="83" t="s">
        <v>179</v>
      </c>
      <c r="CS532" s="83" t="s">
        <v>179</v>
      </c>
      <c r="CT532" s="83" t="s">
        <v>179</v>
      </c>
      <c r="CU532" s="83" t="s">
        <v>179</v>
      </c>
      <c r="CV532" s="83" t="s">
        <v>179</v>
      </c>
      <c r="CW532" s="83" t="s">
        <v>179</v>
      </c>
      <c r="CX532" s="79" t="s">
        <v>153</v>
      </c>
      <c r="CY532" s="79">
        <f t="shared" si="358"/>
        <v>0</v>
      </c>
      <c r="CZ532" s="79">
        <v>0</v>
      </c>
      <c r="DA532" s="79">
        <f t="shared" si="359"/>
        <v>0</v>
      </c>
      <c r="DB532" s="84" t="str">
        <f t="shared" si="364"/>
        <v/>
      </c>
      <c r="DC532" s="41"/>
      <c r="DD532" s="79" t="s">
        <v>153</v>
      </c>
      <c r="DE532" s="71"/>
      <c r="DF532" s="85" t="s">
        <v>3715</v>
      </c>
      <c r="DG532" s="79">
        <v>521</v>
      </c>
      <c r="DH532" s="86" t="str">
        <f t="shared" si="362"/>
        <v>Completo</v>
      </c>
      <c r="DI532" s="79" t="s">
        <v>181</v>
      </c>
      <c r="DJ532" s="79" t="s">
        <v>182</v>
      </c>
      <c r="DK532" s="79"/>
      <c r="DL532" s="79">
        <v>0</v>
      </c>
      <c r="DM532" s="79">
        <v>0</v>
      </c>
      <c r="DN532" s="79" t="s">
        <v>182</v>
      </c>
      <c r="DO532" s="79"/>
      <c r="DP532" s="79"/>
      <c r="DQ532" s="79"/>
      <c r="DR532" s="75" t="str">
        <f t="shared" si="350"/>
        <v>No aplica</v>
      </c>
      <c r="DS532" s="79"/>
      <c r="DT532" s="79"/>
      <c r="DU532" s="75" t="str">
        <f t="shared" si="351"/>
        <v>No aplica</v>
      </c>
      <c r="DV532" s="79" t="s">
        <v>182</v>
      </c>
      <c r="DW532" s="79" t="s">
        <v>182</v>
      </c>
      <c r="DX532" s="79"/>
      <c r="DY532" s="79"/>
      <c r="DZ532" s="79"/>
      <c r="EA532" s="79"/>
      <c r="EB532" s="79" t="s">
        <v>182</v>
      </c>
      <c r="EC532" s="79" t="s">
        <v>3716</v>
      </c>
      <c r="ED532" s="79" t="s">
        <v>1743</v>
      </c>
      <c r="EE532" s="79" t="str">
        <f t="shared" si="379"/>
        <v>Completo</v>
      </c>
      <c r="EF532" s="41"/>
      <c r="EG532" s="79" t="s">
        <v>153</v>
      </c>
      <c r="EH532" s="71"/>
      <c r="EI532" s="80"/>
      <c r="EJ532" s="71"/>
      <c r="EK532" s="79"/>
      <c r="EL532" s="76" t="str">
        <f t="shared" si="370"/>
        <v>No requiere</v>
      </c>
      <c r="EM532" s="76" t="str">
        <f t="shared" si="371"/>
        <v>No requiere</v>
      </c>
      <c r="EN532" s="76" t="str">
        <f t="shared" si="340"/>
        <v>No requiere</v>
      </c>
      <c r="EO532" s="71"/>
      <c r="EP532" s="73" t="str">
        <f t="shared" si="372"/>
        <v>No requiere</v>
      </c>
      <c r="EQ532" s="77" t="str">
        <f t="shared" si="373"/>
        <v>No requiere</v>
      </c>
      <c r="ER532" s="71"/>
      <c r="ES532" s="79"/>
      <c r="ET532" s="73" t="str">
        <f t="shared" si="374"/>
        <v>No requiere</v>
      </c>
      <c r="EU532" s="73" t="str">
        <f t="shared" si="341"/>
        <v>No requiere</v>
      </c>
      <c r="EV532" s="73" t="str">
        <f t="shared" si="375"/>
        <v>No requiere</v>
      </c>
      <c r="EW532" s="73" t="str">
        <f t="shared" si="376"/>
        <v>No requiere</v>
      </c>
      <c r="EX532" s="78"/>
      <c r="EY532" s="78"/>
    </row>
    <row r="533" spans="1:155" ht="46.5" customHeight="1">
      <c r="A533" s="79">
        <v>529</v>
      </c>
      <c r="B533" s="80" t="s">
        <v>2700</v>
      </c>
      <c r="C533" s="81">
        <v>45449</v>
      </c>
      <c r="D533" s="82">
        <v>0.33333333333333331</v>
      </c>
      <c r="E533" s="79" t="s">
        <v>200</v>
      </c>
      <c r="F533" s="79" t="s">
        <v>153</v>
      </c>
      <c r="G533" s="79" t="s">
        <v>152</v>
      </c>
      <c r="H533" s="79" t="s">
        <v>152</v>
      </c>
      <c r="I533" s="79" t="s">
        <v>152</v>
      </c>
      <c r="J533" s="79" t="s">
        <v>504</v>
      </c>
      <c r="K533" s="79" t="s">
        <v>155</v>
      </c>
      <c r="L533" s="80" t="s">
        <v>3717</v>
      </c>
      <c r="M533" s="80" t="s">
        <v>157</v>
      </c>
      <c r="N533" s="79" t="s">
        <v>818</v>
      </c>
      <c r="O533" s="80" t="str">
        <f t="shared" si="365"/>
        <v/>
      </c>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t="s">
        <v>169</v>
      </c>
      <c r="AP533" s="79" t="s">
        <v>2702</v>
      </c>
      <c r="AQ533" s="80" t="s">
        <v>171</v>
      </c>
      <c r="AR533" s="80" t="s">
        <v>171</v>
      </c>
      <c r="AS533" s="80" t="s">
        <v>171</v>
      </c>
      <c r="AT533" s="80" t="str">
        <f t="shared" si="366"/>
        <v>La Candelaria</v>
      </c>
      <c r="AU533" s="79" t="s">
        <v>753</v>
      </c>
      <c r="AV533" s="79"/>
      <c r="AW533" s="79"/>
      <c r="AX533" s="79"/>
      <c r="AY533" s="79"/>
      <c r="AZ533" s="79"/>
      <c r="BA533" s="80" t="str">
        <f t="shared" si="367"/>
        <v>Centro Ampliado</v>
      </c>
      <c r="BB533" s="79" t="s">
        <v>636</v>
      </c>
      <c r="BC533" s="79"/>
      <c r="BD533" s="79"/>
      <c r="BE533" s="79"/>
      <c r="BF533" s="79"/>
      <c r="BG533" s="79"/>
      <c r="BH533" s="80" t="str">
        <f t="shared" si="368"/>
        <v>Centro Histórico</v>
      </c>
      <c r="BI533" s="79" t="s">
        <v>754</v>
      </c>
      <c r="BJ533" s="79"/>
      <c r="BK533" s="79"/>
      <c r="BL533" s="79"/>
      <c r="BM533" s="79"/>
      <c r="BN533" s="79"/>
      <c r="BO533" s="79"/>
      <c r="BP533" s="79"/>
      <c r="BQ533" s="79"/>
      <c r="BR533" s="79"/>
      <c r="BS533" s="80" t="s">
        <v>753</v>
      </c>
      <c r="BT533" s="80" t="s">
        <v>174</v>
      </c>
      <c r="BU533" s="80" t="s">
        <v>3718</v>
      </c>
      <c r="BV533" s="71"/>
      <c r="BW533" s="79" t="s">
        <v>152</v>
      </c>
      <c r="BX533" s="79" t="s">
        <v>179</v>
      </c>
      <c r="BY533" s="71"/>
      <c r="BZ533" s="79">
        <v>18</v>
      </c>
      <c r="CA533" s="79">
        <v>1</v>
      </c>
      <c r="CB533" s="79">
        <f t="shared" si="281"/>
        <v>19</v>
      </c>
      <c r="CC533" s="79" t="str">
        <f t="shared" si="316"/>
        <v>Ninguna</v>
      </c>
      <c r="CD533" s="79" t="s">
        <v>174</v>
      </c>
      <c r="CE533" s="79"/>
      <c r="CF533" s="79"/>
      <c r="CG533" s="83" t="s">
        <v>3719</v>
      </c>
      <c r="CH533" s="41"/>
      <c r="CI533" s="79" t="s">
        <v>153</v>
      </c>
      <c r="CJ533" s="71"/>
      <c r="CK533" s="79">
        <f t="shared" si="377"/>
        <v>0</v>
      </c>
      <c r="CL533" s="79"/>
      <c r="CM533" s="79"/>
      <c r="CN533" s="79"/>
      <c r="CO533" s="79"/>
      <c r="CP533" s="79"/>
      <c r="CQ533" s="79"/>
      <c r="CR533" s="83" t="s">
        <v>179</v>
      </c>
      <c r="CS533" s="83" t="s">
        <v>179</v>
      </c>
      <c r="CT533" s="83" t="s">
        <v>179</v>
      </c>
      <c r="CU533" s="83" t="s">
        <v>179</v>
      </c>
      <c r="CV533" s="83" t="s">
        <v>179</v>
      </c>
      <c r="CW533" s="83" t="s">
        <v>179</v>
      </c>
      <c r="CX533" s="79" t="s">
        <v>153</v>
      </c>
      <c r="CY533" s="79">
        <f t="shared" si="358"/>
        <v>0</v>
      </c>
      <c r="CZ533" s="79">
        <v>0</v>
      </c>
      <c r="DA533" s="79">
        <f t="shared" si="359"/>
        <v>0</v>
      </c>
      <c r="DB533" s="84" t="str">
        <f t="shared" si="364"/>
        <v/>
      </c>
      <c r="DC533" s="41"/>
      <c r="DD533" s="79" t="s">
        <v>153</v>
      </c>
      <c r="DE533" s="71"/>
      <c r="DF533" s="85" t="s">
        <v>3720</v>
      </c>
      <c r="DG533" s="79">
        <v>522</v>
      </c>
      <c r="DH533" s="86" t="str">
        <f t="shared" si="362"/>
        <v>Completo</v>
      </c>
      <c r="DI533" s="79" t="s">
        <v>181</v>
      </c>
      <c r="DJ533" s="79" t="s">
        <v>182</v>
      </c>
      <c r="DK533" s="79"/>
      <c r="DL533" s="79">
        <v>0</v>
      </c>
      <c r="DM533" s="79">
        <v>0</v>
      </c>
      <c r="DN533" s="79" t="s">
        <v>182</v>
      </c>
      <c r="DO533" s="79"/>
      <c r="DP533" s="79"/>
      <c r="DQ533" s="79"/>
      <c r="DR533" s="75" t="str">
        <f t="shared" ref="DR533:DR540" si="380">IF(H533="SÍ", (DQ533/(BZ533*0.3)), "No aplica")</f>
        <v>No aplica</v>
      </c>
      <c r="DS533" s="79"/>
      <c r="DT533" s="79"/>
      <c r="DU533" s="75" t="str">
        <f t="shared" ref="DU533:DU540" si="381">IF(H533="SÍ", (DT533/(BZ533*0.35)), "No aplica")</f>
        <v>No aplica</v>
      </c>
      <c r="DV533" s="79" t="s">
        <v>182</v>
      </c>
      <c r="DW533" s="79" t="s">
        <v>182</v>
      </c>
      <c r="DX533" s="79"/>
      <c r="DY533" s="79"/>
      <c r="DZ533" s="79"/>
      <c r="EA533" s="79"/>
      <c r="EB533" s="79" t="s">
        <v>182</v>
      </c>
      <c r="EC533" s="79" t="s">
        <v>3721</v>
      </c>
      <c r="ED533" s="79" t="s">
        <v>3722</v>
      </c>
      <c r="EE533" s="79" t="str">
        <f t="shared" si="379"/>
        <v>Completo</v>
      </c>
      <c r="EF533" s="41"/>
      <c r="EG533" s="79" t="s">
        <v>153</v>
      </c>
      <c r="EH533" s="71"/>
      <c r="EI533" s="80"/>
      <c r="EJ533" s="71"/>
      <c r="EK533" s="79"/>
      <c r="EL533" s="76" t="str">
        <f t="shared" si="370"/>
        <v>No requiere</v>
      </c>
      <c r="EM533" s="76" t="str">
        <f t="shared" si="371"/>
        <v>No requiere</v>
      </c>
      <c r="EN533" s="76" t="str">
        <f t="shared" si="340"/>
        <v>No requiere</v>
      </c>
      <c r="EO533" s="71"/>
      <c r="EP533" s="73" t="str">
        <f t="shared" si="372"/>
        <v>No requiere</v>
      </c>
      <c r="EQ533" s="77" t="str">
        <f t="shared" si="373"/>
        <v>No requiere</v>
      </c>
      <c r="ER533" s="71"/>
      <c r="ES533" s="79"/>
      <c r="ET533" s="73" t="str">
        <f t="shared" si="374"/>
        <v>No requiere</v>
      </c>
      <c r="EU533" s="73" t="str">
        <f t="shared" si="341"/>
        <v>No requiere</v>
      </c>
      <c r="EV533" s="73" t="str">
        <f t="shared" si="375"/>
        <v>No requiere</v>
      </c>
      <c r="EW533" s="73" t="str">
        <f t="shared" si="376"/>
        <v>No requiere</v>
      </c>
      <c r="EX533" s="78"/>
      <c r="EY533" s="78"/>
    </row>
    <row r="534" spans="1:155" ht="46.5" customHeight="1">
      <c r="A534" s="79">
        <v>530</v>
      </c>
      <c r="B534" s="80" t="s">
        <v>3723</v>
      </c>
      <c r="C534" s="81">
        <v>45449</v>
      </c>
      <c r="D534" s="82">
        <v>0.33333333333333331</v>
      </c>
      <c r="E534" s="79" t="s">
        <v>151</v>
      </c>
      <c r="F534" s="79" t="s">
        <v>153</v>
      </c>
      <c r="G534" s="79" t="s">
        <v>153</v>
      </c>
      <c r="H534" s="79" t="s">
        <v>152</v>
      </c>
      <c r="I534" s="79" t="s">
        <v>152</v>
      </c>
      <c r="J534" s="79" t="s">
        <v>1711</v>
      </c>
      <c r="K534" s="79" t="s">
        <v>155</v>
      </c>
      <c r="L534" s="80" t="s">
        <v>3724</v>
      </c>
      <c r="M534" s="80" t="s">
        <v>157</v>
      </c>
      <c r="N534" s="79" t="s">
        <v>163</v>
      </c>
      <c r="O534" s="80" t="str">
        <f t="shared" si="365"/>
        <v>Laura Camila Bechara, Luz Maritza Acero</v>
      </c>
      <c r="P534" s="79" t="s">
        <v>887</v>
      </c>
      <c r="Q534" s="79" t="s">
        <v>167</v>
      </c>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t="s">
        <v>230</v>
      </c>
      <c r="AP534" s="79" t="s">
        <v>347</v>
      </c>
      <c r="AQ534" s="80" t="s">
        <v>1713</v>
      </c>
      <c r="AR534" s="83">
        <v>3148396805</v>
      </c>
      <c r="AS534" s="80" t="s">
        <v>1714</v>
      </c>
      <c r="AT534" s="80" t="str">
        <f t="shared" si="366"/>
        <v>Distrital</v>
      </c>
      <c r="AU534" s="79" t="s">
        <v>172</v>
      </c>
      <c r="AV534" s="79"/>
      <c r="AW534" s="79"/>
      <c r="AX534" s="79"/>
      <c r="AY534" s="79"/>
      <c r="AZ534" s="79"/>
      <c r="BA534" s="80" t="str">
        <f t="shared" si="367"/>
        <v>Distrital</v>
      </c>
      <c r="BB534" s="79" t="s">
        <v>172</v>
      </c>
      <c r="BC534" s="79"/>
      <c r="BD534" s="79"/>
      <c r="BE534" s="79"/>
      <c r="BF534" s="79"/>
      <c r="BG534" s="79"/>
      <c r="BH534" s="80" t="str">
        <f t="shared" si="368"/>
        <v>Distrital</v>
      </c>
      <c r="BI534" s="79" t="s">
        <v>172</v>
      </c>
      <c r="BJ534" s="79"/>
      <c r="BK534" s="79"/>
      <c r="BL534" s="79"/>
      <c r="BM534" s="79"/>
      <c r="BN534" s="79"/>
      <c r="BO534" s="79"/>
      <c r="BP534" s="79"/>
      <c r="BQ534" s="79"/>
      <c r="BR534" s="79"/>
      <c r="BS534" s="80" t="s">
        <v>2609</v>
      </c>
      <c r="BT534" s="80" t="s">
        <v>174</v>
      </c>
      <c r="BU534" s="80" t="s">
        <v>3725</v>
      </c>
      <c r="BV534" s="71"/>
      <c r="BW534" s="79" t="s">
        <v>152</v>
      </c>
      <c r="BX534" s="79" t="s">
        <v>179</v>
      </c>
      <c r="BY534" s="71"/>
      <c r="BZ534" s="79">
        <v>6</v>
      </c>
      <c r="CA534" s="79">
        <v>3</v>
      </c>
      <c r="CB534" s="79">
        <f t="shared" si="281"/>
        <v>9</v>
      </c>
      <c r="CC534" s="79" t="str">
        <f t="shared" si="316"/>
        <v>Ninguna</v>
      </c>
      <c r="CD534" s="79" t="s">
        <v>174</v>
      </c>
      <c r="CE534" s="79"/>
      <c r="CF534" s="79"/>
      <c r="CG534" s="83" t="s">
        <v>3726</v>
      </c>
      <c r="CH534" s="41"/>
      <c r="CI534" s="79" t="s">
        <v>153</v>
      </c>
      <c r="CJ534" s="71"/>
      <c r="CK534" s="79">
        <f t="shared" si="377"/>
        <v>0</v>
      </c>
      <c r="CL534" s="79"/>
      <c r="CM534" s="79"/>
      <c r="CN534" s="79"/>
      <c r="CO534" s="79"/>
      <c r="CP534" s="79"/>
      <c r="CQ534" s="79"/>
      <c r="CR534" s="83" t="s">
        <v>179</v>
      </c>
      <c r="CS534" s="83" t="s">
        <v>179</v>
      </c>
      <c r="CT534" s="83" t="s">
        <v>179</v>
      </c>
      <c r="CU534" s="83" t="s">
        <v>179</v>
      </c>
      <c r="CV534" s="83" t="s">
        <v>179</v>
      </c>
      <c r="CW534" s="83" t="s">
        <v>179</v>
      </c>
      <c r="CX534" s="79" t="s">
        <v>153</v>
      </c>
      <c r="CY534" s="79">
        <f t="shared" si="358"/>
        <v>0</v>
      </c>
      <c r="CZ534" s="79">
        <v>0</v>
      </c>
      <c r="DA534" s="79">
        <f t="shared" si="359"/>
        <v>0</v>
      </c>
      <c r="DB534" s="84" t="str">
        <f t="shared" si="364"/>
        <v/>
      </c>
      <c r="DC534" s="41"/>
      <c r="DD534" s="79" t="s">
        <v>153</v>
      </c>
      <c r="DE534" s="71"/>
      <c r="DF534" s="85" t="s">
        <v>3727</v>
      </c>
      <c r="DG534" s="79">
        <v>523</v>
      </c>
      <c r="DH534" s="86" t="str">
        <f t="shared" si="362"/>
        <v>Completo</v>
      </c>
      <c r="DI534" s="79" t="s">
        <v>181</v>
      </c>
      <c r="DJ534" s="79" t="s">
        <v>182</v>
      </c>
      <c r="DK534" s="79"/>
      <c r="DL534" s="79">
        <v>0</v>
      </c>
      <c r="DM534" s="79">
        <v>0</v>
      </c>
      <c r="DN534" s="79" t="s">
        <v>182</v>
      </c>
      <c r="DO534" s="79"/>
      <c r="DP534" s="79"/>
      <c r="DQ534" s="79"/>
      <c r="DR534" s="75" t="str">
        <f t="shared" si="380"/>
        <v>No aplica</v>
      </c>
      <c r="DS534" s="79"/>
      <c r="DT534" s="79"/>
      <c r="DU534" s="75" t="str">
        <f t="shared" si="381"/>
        <v>No aplica</v>
      </c>
      <c r="DV534" s="79" t="s">
        <v>182</v>
      </c>
      <c r="DW534" s="79" t="s">
        <v>191</v>
      </c>
      <c r="DX534" s="79"/>
      <c r="DY534" s="79"/>
      <c r="DZ534" s="79"/>
      <c r="EA534" s="79"/>
      <c r="EB534" s="79"/>
      <c r="EC534" s="79"/>
      <c r="ED534" s="79" t="s">
        <v>3728</v>
      </c>
      <c r="EE534" s="79" t="str">
        <f t="shared" si="379"/>
        <v>Completo</v>
      </c>
      <c r="EF534" s="41"/>
      <c r="EG534" s="79" t="s">
        <v>153</v>
      </c>
      <c r="EH534" s="71"/>
      <c r="EI534" s="80"/>
      <c r="EJ534" s="71"/>
      <c r="EK534" s="79"/>
      <c r="EL534" s="76" t="str">
        <f t="shared" si="370"/>
        <v>No requiere</v>
      </c>
      <c r="EM534" s="76" t="str">
        <f t="shared" si="371"/>
        <v>No requiere</v>
      </c>
      <c r="EN534" s="76" t="str">
        <f t="shared" si="340"/>
        <v>No requiere</v>
      </c>
      <c r="EO534" s="71"/>
      <c r="EP534" s="73" t="str">
        <f t="shared" si="372"/>
        <v>No requiere</v>
      </c>
      <c r="EQ534" s="77" t="str">
        <f t="shared" si="373"/>
        <v>No requiere</v>
      </c>
      <c r="ER534" s="71"/>
      <c r="ES534" s="79"/>
      <c r="ET534" s="73" t="str">
        <f t="shared" si="374"/>
        <v>No requiere</v>
      </c>
      <c r="EU534" s="73" t="str">
        <f t="shared" si="341"/>
        <v>No requiere</v>
      </c>
      <c r="EV534" s="73" t="str">
        <f t="shared" si="375"/>
        <v>No requiere</v>
      </c>
      <c r="EW534" s="73" t="str">
        <f t="shared" si="376"/>
        <v>No requiere</v>
      </c>
      <c r="EX534" s="78"/>
      <c r="EY534" s="78"/>
    </row>
    <row r="535" spans="1:155" ht="46.5" customHeight="1">
      <c r="A535" s="79">
        <v>531</v>
      </c>
      <c r="B535" s="80" t="s">
        <v>799</v>
      </c>
      <c r="C535" s="81">
        <v>45449</v>
      </c>
      <c r="D535" s="82">
        <v>0.375</v>
      </c>
      <c r="E535" s="79" t="s">
        <v>200</v>
      </c>
      <c r="F535" s="79" t="s">
        <v>153</v>
      </c>
      <c r="G535" s="79" t="s">
        <v>152</v>
      </c>
      <c r="H535" s="79" t="s">
        <v>152</v>
      </c>
      <c r="I535" s="79" t="s">
        <v>152</v>
      </c>
      <c r="J535" s="79" t="s">
        <v>504</v>
      </c>
      <c r="K535" s="79" t="s">
        <v>155</v>
      </c>
      <c r="L535" s="80" t="s">
        <v>2850</v>
      </c>
      <c r="M535" s="80" t="s">
        <v>157</v>
      </c>
      <c r="N535" s="79" t="s">
        <v>801</v>
      </c>
      <c r="O535" s="80" t="str">
        <f t="shared" si="365"/>
        <v/>
      </c>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t="s">
        <v>169</v>
      </c>
      <c r="AP535" s="79" t="s">
        <v>2702</v>
      </c>
      <c r="AQ535" s="80" t="s">
        <v>2851</v>
      </c>
      <c r="AR535" s="83">
        <v>3004241263</v>
      </c>
      <c r="AS535" s="80" t="s">
        <v>803</v>
      </c>
      <c r="AT535" s="80" t="str">
        <f t="shared" si="366"/>
        <v>Usaquén</v>
      </c>
      <c r="AU535" s="79" t="s">
        <v>661</v>
      </c>
      <c r="AV535" s="79"/>
      <c r="AW535" s="79"/>
      <c r="AX535" s="79"/>
      <c r="AY535" s="79"/>
      <c r="AZ535" s="79"/>
      <c r="BA535" s="80" t="str">
        <f t="shared" si="367"/>
        <v>Norte, Ruralidad</v>
      </c>
      <c r="BB535" s="79" t="s">
        <v>662</v>
      </c>
      <c r="BC535" s="79" t="s">
        <v>219</v>
      </c>
      <c r="BD535" s="79"/>
      <c r="BE535" s="79"/>
      <c r="BF535" s="79"/>
      <c r="BG535" s="79"/>
      <c r="BH535" s="80" t="str">
        <f t="shared" si="368"/>
        <v>Usaquén, Toberín, Torca, Cerros Orientales</v>
      </c>
      <c r="BI535" s="79" t="s">
        <v>661</v>
      </c>
      <c r="BJ535" s="79" t="s">
        <v>804</v>
      </c>
      <c r="BK535" s="79" t="s">
        <v>805</v>
      </c>
      <c r="BL535" s="79" t="s">
        <v>361</v>
      </c>
      <c r="BM535" s="79"/>
      <c r="BN535" s="79"/>
      <c r="BO535" s="79"/>
      <c r="BP535" s="79"/>
      <c r="BQ535" s="79"/>
      <c r="BR535" s="79"/>
      <c r="BS535" s="80" t="s">
        <v>570</v>
      </c>
      <c r="BT535" s="80" t="s">
        <v>174</v>
      </c>
      <c r="BU535" s="80" t="s">
        <v>3729</v>
      </c>
      <c r="BV535" s="71"/>
      <c r="BW535" s="79" t="s">
        <v>152</v>
      </c>
      <c r="BX535" s="79" t="s">
        <v>179</v>
      </c>
      <c r="BY535" s="71"/>
      <c r="BZ535" s="79">
        <v>17</v>
      </c>
      <c r="CA535" s="79">
        <v>2</v>
      </c>
      <c r="CB535" s="79">
        <f t="shared" si="281"/>
        <v>19</v>
      </c>
      <c r="CC535" s="79" t="str">
        <f t="shared" si="316"/>
        <v>Accesibilidad Universal, Horarios Acordes, Contenidos adaptados</v>
      </c>
      <c r="CD535" s="79" t="s">
        <v>397</v>
      </c>
      <c r="CE535" s="79" t="s">
        <v>351</v>
      </c>
      <c r="CF535" s="79" t="s">
        <v>350</v>
      </c>
      <c r="CG535" s="83" t="s">
        <v>3730</v>
      </c>
      <c r="CH535" s="41"/>
      <c r="CI535" s="79" t="s">
        <v>153</v>
      </c>
      <c r="CJ535" s="71"/>
      <c r="CK535" s="79">
        <f t="shared" si="377"/>
        <v>0</v>
      </c>
      <c r="CL535" s="79"/>
      <c r="CM535" s="79"/>
      <c r="CN535" s="79"/>
      <c r="CO535" s="79"/>
      <c r="CP535" s="79"/>
      <c r="CQ535" s="79"/>
      <c r="CR535" s="83" t="s">
        <v>179</v>
      </c>
      <c r="CS535" s="83" t="s">
        <v>179</v>
      </c>
      <c r="CT535" s="83" t="s">
        <v>179</v>
      </c>
      <c r="CU535" s="83" t="s">
        <v>179</v>
      </c>
      <c r="CV535" s="83" t="s">
        <v>179</v>
      </c>
      <c r="CW535" s="83" t="s">
        <v>179</v>
      </c>
      <c r="CX535" s="79" t="s">
        <v>153</v>
      </c>
      <c r="CY535" s="79">
        <f t="shared" si="358"/>
        <v>0</v>
      </c>
      <c r="CZ535" s="79">
        <v>0</v>
      </c>
      <c r="DA535" s="79">
        <f t="shared" si="359"/>
        <v>0</v>
      </c>
      <c r="DB535" s="84" t="str">
        <f t="shared" si="364"/>
        <v/>
      </c>
      <c r="DC535" s="41"/>
      <c r="DD535" s="79" t="s">
        <v>153</v>
      </c>
      <c r="DE535" s="71"/>
      <c r="DF535" s="85" t="s">
        <v>3720</v>
      </c>
      <c r="DG535" s="79">
        <v>524</v>
      </c>
      <c r="DH535" s="86" t="str">
        <f t="shared" si="362"/>
        <v>Completo</v>
      </c>
      <c r="DI535" s="79" t="s">
        <v>181</v>
      </c>
      <c r="DJ535" s="79" t="s">
        <v>182</v>
      </c>
      <c r="DK535" s="79"/>
      <c r="DL535" s="79">
        <v>0</v>
      </c>
      <c r="DM535" s="79">
        <v>0</v>
      </c>
      <c r="DN535" s="79" t="s">
        <v>182</v>
      </c>
      <c r="DO535" s="79"/>
      <c r="DP535" s="79"/>
      <c r="DQ535" s="79"/>
      <c r="DR535" s="75" t="str">
        <f t="shared" si="380"/>
        <v>No aplica</v>
      </c>
      <c r="DS535" s="79"/>
      <c r="DT535" s="79"/>
      <c r="DU535" s="75" t="str">
        <f t="shared" si="381"/>
        <v>No aplica</v>
      </c>
      <c r="DV535" s="79" t="s">
        <v>182</v>
      </c>
      <c r="DW535" s="79" t="s">
        <v>182</v>
      </c>
      <c r="DX535" s="79"/>
      <c r="DY535" s="79"/>
      <c r="DZ535" s="79"/>
      <c r="EA535" s="79"/>
      <c r="EB535" s="79" t="s">
        <v>182</v>
      </c>
      <c r="EC535" s="79" t="s">
        <v>3731</v>
      </c>
      <c r="ED535" s="79" t="s">
        <v>3732</v>
      </c>
      <c r="EE535" s="79" t="str">
        <f t="shared" si="379"/>
        <v>Completo</v>
      </c>
      <c r="EF535" s="41"/>
      <c r="EG535" s="79" t="s">
        <v>153</v>
      </c>
      <c r="EH535" s="71"/>
      <c r="EI535" s="80"/>
      <c r="EJ535" s="71"/>
      <c r="EK535" s="79"/>
      <c r="EL535" s="76" t="str">
        <f t="shared" si="370"/>
        <v>No requiere</v>
      </c>
      <c r="EM535" s="76" t="str">
        <f t="shared" si="371"/>
        <v>No requiere</v>
      </c>
      <c r="EN535" s="76" t="str">
        <f t="shared" si="340"/>
        <v>No requiere</v>
      </c>
      <c r="EO535" s="71"/>
      <c r="EP535" s="73" t="str">
        <f t="shared" si="372"/>
        <v>No requiere</v>
      </c>
      <c r="EQ535" s="77" t="str">
        <f t="shared" si="373"/>
        <v>No requiere</v>
      </c>
      <c r="ER535" s="71"/>
      <c r="ES535" s="79"/>
      <c r="ET535" s="73" t="str">
        <f t="shared" si="374"/>
        <v>No requiere</v>
      </c>
      <c r="EU535" s="73" t="str">
        <f t="shared" si="341"/>
        <v>No requiere</v>
      </c>
      <c r="EV535" s="73" t="str">
        <f t="shared" si="375"/>
        <v>No requiere</v>
      </c>
      <c r="EW535" s="73" t="str">
        <f t="shared" si="376"/>
        <v>No requiere</v>
      </c>
      <c r="EX535" s="78"/>
      <c r="EY535" s="78"/>
    </row>
    <row r="536" spans="1:155" ht="46.5" customHeight="1">
      <c r="A536" s="79" t="str">
        <v/>
      </c>
      <c r="B536" s="80" t="s">
        <v>3733</v>
      </c>
      <c r="C536" s="81">
        <v>45449</v>
      </c>
      <c r="D536" s="82">
        <v>0.4375</v>
      </c>
      <c r="E536" s="79" t="s">
        <v>151</v>
      </c>
      <c r="F536" s="79" t="s">
        <v>152</v>
      </c>
      <c r="G536" s="79" t="s">
        <v>152</v>
      </c>
      <c r="H536" s="79" t="s">
        <v>152</v>
      </c>
      <c r="I536" s="79" t="s">
        <v>152</v>
      </c>
      <c r="J536" s="79" t="s">
        <v>2615</v>
      </c>
      <c r="K536" s="79" t="s">
        <v>155</v>
      </c>
      <c r="L536" s="80" t="s">
        <v>3734</v>
      </c>
      <c r="M536" s="80" t="s">
        <v>157</v>
      </c>
      <c r="N536" s="79" t="s">
        <v>632</v>
      </c>
      <c r="O536" s="80" t="str">
        <f t="shared" si="365"/>
        <v>Freddy Martínez</v>
      </c>
      <c r="P536" s="79" t="s">
        <v>3049</v>
      </c>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t="s">
        <v>169</v>
      </c>
      <c r="AP536" s="79" t="s">
        <v>170</v>
      </c>
      <c r="AQ536" s="80" t="s">
        <v>171</v>
      </c>
      <c r="AR536" s="80" t="s">
        <v>171</v>
      </c>
      <c r="AS536" s="80" t="s">
        <v>171</v>
      </c>
      <c r="AT536" s="80" t="str">
        <f t="shared" si="366"/>
        <v>Distrital</v>
      </c>
      <c r="AU536" s="79" t="s">
        <v>172</v>
      </c>
      <c r="AV536" s="79"/>
      <c r="AW536" s="79"/>
      <c r="AX536" s="79"/>
      <c r="AY536" s="79"/>
      <c r="AZ536" s="79"/>
      <c r="BA536" s="80" t="str">
        <f t="shared" si="367"/>
        <v>Distrital</v>
      </c>
      <c r="BB536" s="79" t="s">
        <v>172</v>
      </c>
      <c r="BC536" s="79"/>
      <c r="BD536" s="79"/>
      <c r="BE536" s="79"/>
      <c r="BF536" s="79"/>
      <c r="BG536" s="79"/>
      <c r="BH536" s="80" t="str">
        <f t="shared" si="368"/>
        <v>Distrital</v>
      </c>
      <c r="BI536" s="79" t="s">
        <v>172</v>
      </c>
      <c r="BJ536" s="79"/>
      <c r="BK536" s="79"/>
      <c r="BL536" s="79"/>
      <c r="BM536" s="79"/>
      <c r="BN536" s="79"/>
      <c r="BO536" s="79"/>
      <c r="BP536" s="79"/>
      <c r="BQ536" s="79"/>
      <c r="BR536" s="79"/>
      <c r="BS536" s="80" t="s">
        <v>288</v>
      </c>
      <c r="BT536" s="80" t="s">
        <v>3735</v>
      </c>
      <c r="BU536" s="80" t="s">
        <v>3736</v>
      </c>
      <c r="BV536" s="71"/>
      <c r="BW536" s="79" t="s">
        <v>152</v>
      </c>
      <c r="BX536" s="79" t="s">
        <v>179</v>
      </c>
      <c r="BY536" s="71"/>
      <c r="BZ536" s="79">
        <v>8</v>
      </c>
      <c r="CA536" s="79">
        <v>8</v>
      </c>
      <c r="CB536" s="79">
        <f t="shared" si="281"/>
        <v>16</v>
      </c>
      <c r="CC536" s="79" t="str">
        <f t="shared" ref="CC536:CC935" si="382">_xlfn.TEXTJOIN(", ",TRUE,$CD536:$CF536)</f>
        <v>Ninguna</v>
      </c>
      <c r="CD536" s="79" t="s">
        <v>174</v>
      </c>
      <c r="CE536" s="79"/>
      <c r="CF536" s="79"/>
      <c r="CG536" s="83" t="s">
        <v>3737</v>
      </c>
      <c r="CH536" s="41"/>
      <c r="CI536" s="79" t="s">
        <v>153</v>
      </c>
      <c r="CJ536" s="71"/>
      <c r="CK536" s="79">
        <f t="shared" si="377"/>
        <v>0</v>
      </c>
      <c r="CL536" s="79"/>
      <c r="CM536" s="79"/>
      <c r="CN536" s="79"/>
      <c r="CO536" s="79"/>
      <c r="CP536" s="79"/>
      <c r="CQ536" s="79"/>
      <c r="CR536" s="83" t="s">
        <v>179</v>
      </c>
      <c r="CS536" s="83" t="s">
        <v>179</v>
      </c>
      <c r="CT536" s="83" t="s">
        <v>179</v>
      </c>
      <c r="CU536" s="83" t="s">
        <v>179</v>
      </c>
      <c r="CV536" s="83" t="s">
        <v>179</v>
      </c>
      <c r="CW536" s="83" t="s">
        <v>179</v>
      </c>
      <c r="CX536" s="79" t="s">
        <v>153</v>
      </c>
      <c r="CY536" s="79">
        <f t="shared" si="358"/>
        <v>0</v>
      </c>
      <c r="CZ536" s="79">
        <v>0</v>
      </c>
      <c r="DA536" s="79">
        <f t="shared" si="359"/>
        <v>0</v>
      </c>
      <c r="DB536" s="84" t="str">
        <f t="shared" si="364"/>
        <v/>
      </c>
      <c r="DC536" s="41"/>
      <c r="DD536" s="79" t="s">
        <v>153</v>
      </c>
      <c r="DE536" s="71"/>
      <c r="DF536" s="85" t="s">
        <v>3738</v>
      </c>
      <c r="DG536" s="79">
        <v>525</v>
      </c>
      <c r="DH536" s="86" t="str">
        <f t="shared" si="362"/>
        <v>Completo</v>
      </c>
      <c r="DI536" s="79" t="s">
        <v>181</v>
      </c>
      <c r="DJ536" s="79" t="s">
        <v>182</v>
      </c>
      <c r="DK536" s="79"/>
      <c r="DL536" s="79">
        <v>0</v>
      </c>
      <c r="DM536" s="79">
        <v>0</v>
      </c>
      <c r="DN536" s="79" t="s">
        <v>182</v>
      </c>
      <c r="DO536" s="79"/>
      <c r="DP536" s="79"/>
      <c r="DQ536" s="79"/>
      <c r="DR536" s="75" t="str">
        <f t="shared" si="380"/>
        <v>No aplica</v>
      </c>
      <c r="DS536" s="79"/>
      <c r="DT536" s="79"/>
      <c r="DU536" s="75" t="str">
        <f t="shared" si="381"/>
        <v>No aplica</v>
      </c>
      <c r="DV536" s="79" t="s">
        <v>182</v>
      </c>
      <c r="DW536" s="79"/>
      <c r="DX536" s="79"/>
      <c r="DY536" s="79"/>
      <c r="DZ536" s="79"/>
      <c r="EA536" s="79"/>
      <c r="EB536" s="79"/>
      <c r="EC536" s="79"/>
      <c r="ED536" s="79"/>
      <c r="EE536" s="79" t="str">
        <f t="shared" si="379"/>
        <v>Completo</v>
      </c>
      <c r="EF536" s="41"/>
      <c r="EG536" s="79" t="s">
        <v>153</v>
      </c>
      <c r="EH536" s="71"/>
      <c r="EI536" s="80"/>
      <c r="EJ536" s="71"/>
      <c r="EK536" s="79"/>
      <c r="EL536" s="76" t="str">
        <f t="shared" si="370"/>
        <v>No requiere</v>
      </c>
      <c r="EM536" s="76" t="str">
        <f t="shared" si="371"/>
        <v>No requiere</v>
      </c>
      <c r="EN536" s="76" t="str">
        <f t="shared" si="340"/>
        <v>No requiere</v>
      </c>
      <c r="EO536" s="71"/>
      <c r="EP536" s="73" t="str">
        <f t="shared" si="372"/>
        <v>No requiere</v>
      </c>
      <c r="EQ536" s="77" t="str">
        <f t="shared" si="373"/>
        <v>No requiere</v>
      </c>
      <c r="ER536" s="71"/>
      <c r="ES536" s="79"/>
      <c r="ET536" s="73" t="str">
        <f t="shared" si="374"/>
        <v>No requiere</v>
      </c>
      <c r="EU536" s="73" t="str">
        <f t="shared" si="341"/>
        <v>No requiere</v>
      </c>
      <c r="EV536" s="73" t="str">
        <f t="shared" si="375"/>
        <v>No requiere</v>
      </c>
      <c r="EW536" s="73" t="str">
        <f t="shared" si="376"/>
        <v>No requiere</v>
      </c>
      <c r="EX536" s="78"/>
      <c r="EY536" s="78"/>
    </row>
    <row r="537" spans="1:155" ht="46.5" customHeight="1">
      <c r="A537" s="79">
        <v>533</v>
      </c>
      <c r="B537" s="80" t="s">
        <v>793</v>
      </c>
      <c r="C537" s="81">
        <v>45449</v>
      </c>
      <c r="D537" s="82">
        <v>0.60416666666666663</v>
      </c>
      <c r="E537" s="79" t="s">
        <v>200</v>
      </c>
      <c r="F537" s="79" t="s">
        <v>153</v>
      </c>
      <c r="G537" s="79" t="s">
        <v>152</v>
      </c>
      <c r="H537" s="79" t="s">
        <v>152</v>
      </c>
      <c r="I537" s="79" t="s">
        <v>152</v>
      </c>
      <c r="J537" s="79" t="s">
        <v>504</v>
      </c>
      <c r="K537" s="79" t="s">
        <v>155</v>
      </c>
      <c r="L537" s="80" t="s">
        <v>3739</v>
      </c>
      <c r="M537" s="80" t="s">
        <v>157</v>
      </c>
      <c r="N537" s="79" t="s">
        <v>645</v>
      </c>
      <c r="O537" s="80" t="str">
        <f t="shared" si="365"/>
        <v/>
      </c>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t="s">
        <v>169</v>
      </c>
      <c r="AP537" s="79" t="s">
        <v>2702</v>
      </c>
      <c r="AQ537" s="80" t="s">
        <v>3740</v>
      </c>
      <c r="AR537" s="83">
        <v>3223280217</v>
      </c>
      <c r="AS537" s="80" t="s">
        <v>3741</v>
      </c>
      <c r="AT537" s="80" t="str">
        <f t="shared" si="366"/>
        <v>San Cristóbal</v>
      </c>
      <c r="AU537" s="79" t="s">
        <v>570</v>
      </c>
      <c r="AV537" s="79"/>
      <c r="AW537" s="79"/>
      <c r="AX537" s="79"/>
      <c r="AY537" s="79"/>
      <c r="AZ537" s="79"/>
      <c r="BA537" s="80" t="str">
        <f t="shared" si="367"/>
        <v>Suroriente</v>
      </c>
      <c r="BB537" s="79" t="s">
        <v>218</v>
      </c>
      <c r="BC537" s="79"/>
      <c r="BD537" s="79"/>
      <c r="BE537" s="79"/>
      <c r="BF537" s="79"/>
      <c r="BG537" s="79"/>
      <c r="BH537" s="80" t="str">
        <f t="shared" si="368"/>
        <v>San Cristobal</v>
      </c>
      <c r="BI537" s="79" t="s">
        <v>571</v>
      </c>
      <c r="BJ537" s="79"/>
      <c r="BK537" s="79"/>
      <c r="BL537" s="79"/>
      <c r="BM537" s="79"/>
      <c r="BN537" s="79"/>
      <c r="BO537" s="79"/>
      <c r="BP537" s="79"/>
      <c r="BQ537" s="79"/>
      <c r="BR537" s="79"/>
      <c r="BS537" s="80" t="s">
        <v>570</v>
      </c>
      <c r="BT537" s="80" t="s">
        <v>174</v>
      </c>
      <c r="BU537" s="80" t="s">
        <v>3742</v>
      </c>
      <c r="BV537" s="71"/>
      <c r="BW537" s="79" t="s">
        <v>152</v>
      </c>
      <c r="BX537" s="79" t="s">
        <v>179</v>
      </c>
      <c r="BY537" s="71"/>
      <c r="BZ537" s="79">
        <v>23</v>
      </c>
      <c r="CA537" s="79">
        <v>1</v>
      </c>
      <c r="CB537" s="79">
        <f t="shared" si="281"/>
        <v>24</v>
      </c>
      <c r="CC537" s="79" t="str">
        <f t="shared" si="382"/>
        <v>Ninguna</v>
      </c>
      <c r="CD537" s="79" t="s">
        <v>174</v>
      </c>
      <c r="CE537" s="79"/>
      <c r="CF537" s="79"/>
      <c r="CG537" s="83" t="s">
        <v>3743</v>
      </c>
      <c r="CH537" s="41"/>
      <c r="CI537" s="79" t="s">
        <v>153</v>
      </c>
      <c r="CJ537" s="71"/>
      <c r="CK537" s="79">
        <f t="shared" si="377"/>
        <v>0</v>
      </c>
      <c r="CL537" s="79"/>
      <c r="CM537" s="79"/>
      <c r="CN537" s="79"/>
      <c r="CO537" s="79"/>
      <c r="CP537" s="79"/>
      <c r="CQ537" s="79"/>
      <c r="CR537" s="83" t="s">
        <v>179</v>
      </c>
      <c r="CS537" s="83" t="s">
        <v>179</v>
      </c>
      <c r="CT537" s="83" t="s">
        <v>179</v>
      </c>
      <c r="CU537" s="83" t="s">
        <v>179</v>
      </c>
      <c r="CV537" s="83" t="s">
        <v>179</v>
      </c>
      <c r="CW537" s="83" t="s">
        <v>179</v>
      </c>
      <c r="CX537" s="79" t="s">
        <v>153</v>
      </c>
      <c r="CY537" s="79">
        <f t="shared" si="358"/>
        <v>0</v>
      </c>
      <c r="CZ537" s="79">
        <v>0</v>
      </c>
      <c r="DA537" s="79">
        <f t="shared" si="359"/>
        <v>0</v>
      </c>
      <c r="DB537" s="84" t="str">
        <f t="shared" si="364"/>
        <v/>
      </c>
      <c r="DC537" s="41"/>
      <c r="DD537" s="79" t="s">
        <v>153</v>
      </c>
      <c r="DE537" s="71"/>
      <c r="DF537" s="85" t="s">
        <v>3720</v>
      </c>
      <c r="DG537" s="79">
        <v>526</v>
      </c>
      <c r="DH537" s="86" t="str">
        <f t="shared" si="362"/>
        <v>Completo</v>
      </c>
      <c r="DI537" s="79" t="s">
        <v>181</v>
      </c>
      <c r="DJ537" s="79" t="s">
        <v>182</v>
      </c>
      <c r="DK537" s="79"/>
      <c r="DL537" s="79">
        <v>0</v>
      </c>
      <c r="DM537" s="79">
        <v>0</v>
      </c>
      <c r="DN537" s="79" t="s">
        <v>182</v>
      </c>
      <c r="DO537" s="79"/>
      <c r="DP537" s="79"/>
      <c r="DQ537" s="79"/>
      <c r="DR537" s="75" t="str">
        <f t="shared" si="380"/>
        <v>No aplica</v>
      </c>
      <c r="DS537" s="79"/>
      <c r="DT537" s="79"/>
      <c r="DU537" s="75" t="str">
        <f t="shared" si="381"/>
        <v>No aplica</v>
      </c>
      <c r="DV537" s="79" t="s">
        <v>182</v>
      </c>
      <c r="DW537" s="79" t="s">
        <v>182</v>
      </c>
      <c r="DX537" s="79"/>
      <c r="DY537" s="79"/>
      <c r="DZ537" s="79"/>
      <c r="EA537" s="79"/>
      <c r="EB537" s="79" t="s">
        <v>182</v>
      </c>
      <c r="EC537" s="79" t="s">
        <v>3744</v>
      </c>
      <c r="ED537" s="79" t="s">
        <v>3728</v>
      </c>
      <c r="EE537" s="79" t="str">
        <f t="shared" si="379"/>
        <v>Completo</v>
      </c>
      <c r="EF537" s="41"/>
      <c r="EG537" s="79" t="s">
        <v>153</v>
      </c>
      <c r="EH537" s="71"/>
      <c r="EI537" s="80"/>
      <c r="EJ537" s="71"/>
      <c r="EK537" s="79"/>
      <c r="EL537" s="76" t="str">
        <f t="shared" si="370"/>
        <v>No requiere</v>
      </c>
      <c r="EM537" s="76" t="str">
        <f t="shared" si="371"/>
        <v>No requiere</v>
      </c>
      <c r="EN537" s="76" t="str">
        <f t="shared" si="340"/>
        <v>No requiere</v>
      </c>
      <c r="EO537" s="71"/>
      <c r="EP537" s="73" t="str">
        <f t="shared" si="372"/>
        <v>No requiere</v>
      </c>
      <c r="EQ537" s="77" t="str">
        <f t="shared" si="373"/>
        <v>No requiere</v>
      </c>
      <c r="ER537" s="71"/>
      <c r="ES537" s="79"/>
      <c r="ET537" s="73" t="str">
        <f t="shared" si="374"/>
        <v>No requiere</v>
      </c>
      <c r="EU537" s="73" t="str">
        <f t="shared" si="341"/>
        <v>No requiere</v>
      </c>
      <c r="EV537" s="73" t="str">
        <f t="shared" si="375"/>
        <v>No requiere</v>
      </c>
      <c r="EW537" s="73" t="str">
        <f t="shared" si="376"/>
        <v>No requiere</v>
      </c>
      <c r="EX537" s="78"/>
      <c r="EY537" s="78"/>
    </row>
    <row r="538" spans="1:155" ht="46.5" customHeight="1">
      <c r="A538" s="79">
        <v>534</v>
      </c>
      <c r="B538" s="80" t="s">
        <v>2770</v>
      </c>
      <c r="C538" s="81">
        <v>45449</v>
      </c>
      <c r="D538" s="82">
        <v>0.70833333333333337</v>
      </c>
      <c r="E538" s="79" t="s">
        <v>200</v>
      </c>
      <c r="F538" s="79" t="s">
        <v>153</v>
      </c>
      <c r="G538" s="79" t="s">
        <v>152</v>
      </c>
      <c r="H538" s="79" t="s">
        <v>152</v>
      </c>
      <c r="I538" s="79" t="s">
        <v>152</v>
      </c>
      <c r="J538" s="79" t="s">
        <v>211</v>
      </c>
      <c r="K538" s="79" t="s">
        <v>202</v>
      </c>
      <c r="L538" s="80" t="s">
        <v>3745</v>
      </c>
      <c r="M538" s="80" t="s">
        <v>624</v>
      </c>
      <c r="N538" s="79" t="s">
        <v>253</v>
      </c>
      <c r="O538" s="80" t="str">
        <f t="shared" si="365"/>
        <v>PENDIENTE</v>
      </c>
      <c r="P538" s="79" t="s">
        <v>196</v>
      </c>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t="s">
        <v>230</v>
      </c>
      <c r="AP538" s="79" t="s">
        <v>242</v>
      </c>
      <c r="AQ538" s="80" t="s">
        <v>625</v>
      </c>
      <c r="AR538" s="83">
        <v>3188799909</v>
      </c>
      <c r="AS538" s="80" t="s">
        <v>682</v>
      </c>
      <c r="AT538" s="80" t="str">
        <f t="shared" si="366"/>
        <v>Distrital</v>
      </c>
      <c r="AU538" s="79" t="s">
        <v>172</v>
      </c>
      <c r="AV538" s="79"/>
      <c r="AW538" s="79"/>
      <c r="AX538" s="79"/>
      <c r="AY538" s="79"/>
      <c r="AZ538" s="79"/>
      <c r="BA538" s="80" t="str">
        <f t="shared" si="367"/>
        <v>Distrital</v>
      </c>
      <c r="BB538" s="79" t="s">
        <v>172</v>
      </c>
      <c r="BC538" s="79"/>
      <c r="BD538" s="79"/>
      <c r="BE538" s="79"/>
      <c r="BF538" s="79"/>
      <c r="BG538" s="79"/>
      <c r="BH538" s="80" t="str">
        <f t="shared" si="368"/>
        <v>Distrital</v>
      </c>
      <c r="BI538" s="79" t="s">
        <v>172</v>
      </c>
      <c r="BJ538" s="79"/>
      <c r="BK538" s="79"/>
      <c r="BL538" s="79"/>
      <c r="BM538" s="79"/>
      <c r="BN538" s="79"/>
      <c r="BO538" s="79"/>
      <c r="BP538" s="79"/>
      <c r="BQ538" s="79"/>
      <c r="BR538" s="79"/>
      <c r="BS538" s="80" t="s">
        <v>288</v>
      </c>
      <c r="BT538" s="80" t="s">
        <v>174</v>
      </c>
      <c r="BU538" s="89" t="s">
        <v>3746</v>
      </c>
      <c r="BV538" s="71"/>
      <c r="BW538" s="79" t="s">
        <v>152</v>
      </c>
      <c r="BX538" s="79" t="s">
        <v>179</v>
      </c>
      <c r="BY538" s="71"/>
      <c r="BZ538" s="79">
        <v>67</v>
      </c>
      <c r="CA538" s="79">
        <v>2</v>
      </c>
      <c r="CB538" s="79">
        <f t="shared" si="281"/>
        <v>69</v>
      </c>
      <c r="CC538" s="79" t="str">
        <f t="shared" si="382"/>
        <v>Ninguna</v>
      </c>
      <c r="CD538" s="79" t="s">
        <v>174</v>
      </c>
      <c r="CE538" s="79"/>
      <c r="CF538" s="79"/>
      <c r="CG538" s="83" t="s">
        <v>3747</v>
      </c>
      <c r="CH538" s="41"/>
      <c r="CI538" s="79" t="s">
        <v>153</v>
      </c>
      <c r="CJ538" s="71"/>
      <c r="CK538" s="79">
        <f t="shared" si="377"/>
        <v>0</v>
      </c>
      <c r="CL538" s="79"/>
      <c r="CM538" s="79"/>
      <c r="CN538" s="79"/>
      <c r="CO538" s="79"/>
      <c r="CP538" s="79"/>
      <c r="CQ538" s="79"/>
      <c r="CR538" s="83" t="s">
        <v>179</v>
      </c>
      <c r="CS538" s="83" t="s">
        <v>179</v>
      </c>
      <c r="CT538" s="83" t="s">
        <v>179</v>
      </c>
      <c r="CU538" s="83" t="s">
        <v>179</v>
      </c>
      <c r="CV538" s="83" t="s">
        <v>179</v>
      </c>
      <c r="CW538" s="83" t="s">
        <v>179</v>
      </c>
      <c r="CX538" s="79" t="s">
        <v>153</v>
      </c>
      <c r="CY538" s="79">
        <f t="shared" si="358"/>
        <v>0</v>
      </c>
      <c r="CZ538" s="79">
        <v>0</v>
      </c>
      <c r="DA538" s="79">
        <f t="shared" si="359"/>
        <v>0</v>
      </c>
      <c r="DB538" s="84" t="str">
        <f t="shared" si="364"/>
        <v/>
      </c>
      <c r="DC538" s="41"/>
      <c r="DD538" s="79" t="s">
        <v>153</v>
      </c>
      <c r="DE538" s="71"/>
      <c r="DF538" s="85" t="s">
        <v>3748</v>
      </c>
      <c r="DG538" s="79">
        <v>527</v>
      </c>
      <c r="DH538" s="86" t="str">
        <f t="shared" si="362"/>
        <v>Completo</v>
      </c>
      <c r="DI538" s="79" t="s">
        <v>181</v>
      </c>
      <c r="DJ538" s="79" t="s">
        <v>182</v>
      </c>
      <c r="DK538" s="79"/>
      <c r="DL538" s="79">
        <v>0</v>
      </c>
      <c r="DM538" s="79">
        <v>0</v>
      </c>
      <c r="DN538" s="79" t="s">
        <v>182</v>
      </c>
      <c r="DO538" s="79"/>
      <c r="DP538" s="79"/>
      <c r="DQ538" s="79"/>
      <c r="DR538" s="75" t="str">
        <f t="shared" si="380"/>
        <v>No aplica</v>
      </c>
      <c r="DS538" s="79"/>
      <c r="DT538" s="79"/>
      <c r="DU538" s="75" t="str">
        <f t="shared" si="381"/>
        <v>No aplica</v>
      </c>
      <c r="DV538" s="79" t="s">
        <v>182</v>
      </c>
      <c r="DW538" s="79" t="s">
        <v>182</v>
      </c>
      <c r="DX538" s="79"/>
      <c r="DY538" s="79"/>
      <c r="DZ538" s="79"/>
      <c r="EA538" s="79"/>
      <c r="EB538" s="79" t="s">
        <v>182</v>
      </c>
      <c r="EC538" s="79" t="s">
        <v>3749</v>
      </c>
      <c r="ED538" s="79" t="s">
        <v>184</v>
      </c>
      <c r="EE538" s="79" t="str">
        <f t="shared" si="379"/>
        <v>Completo</v>
      </c>
      <c r="EF538" s="41"/>
      <c r="EG538" s="79" t="s">
        <v>153</v>
      </c>
      <c r="EH538" s="71"/>
      <c r="EI538" s="80"/>
      <c r="EJ538" s="71"/>
      <c r="EK538" s="79"/>
      <c r="EL538" s="76" t="str">
        <f t="shared" si="370"/>
        <v>No requiere</v>
      </c>
      <c r="EM538" s="76" t="str">
        <f t="shared" si="371"/>
        <v>No requiere</v>
      </c>
      <c r="EN538" s="76" t="str">
        <f t="shared" si="340"/>
        <v>No requiere</v>
      </c>
      <c r="EO538" s="71"/>
      <c r="EP538" s="73" t="str">
        <f t="shared" si="372"/>
        <v>No requiere</v>
      </c>
      <c r="EQ538" s="77" t="str">
        <f t="shared" si="373"/>
        <v>No requiere</v>
      </c>
      <c r="ER538" s="71"/>
      <c r="ES538" s="79"/>
      <c r="ET538" s="73" t="str">
        <f t="shared" si="374"/>
        <v>No requiere</v>
      </c>
      <c r="EU538" s="73" t="str">
        <f t="shared" si="341"/>
        <v>No requiere</v>
      </c>
      <c r="EV538" s="73" t="str">
        <f t="shared" si="375"/>
        <v>No requiere</v>
      </c>
      <c r="EW538" s="73" t="str">
        <f t="shared" si="376"/>
        <v>No requiere</v>
      </c>
      <c r="EX538" s="78"/>
      <c r="EY538" s="78"/>
    </row>
    <row r="539" spans="1:155" ht="46.5" customHeight="1">
      <c r="A539" s="79">
        <v>535</v>
      </c>
      <c r="B539" s="80" t="s">
        <v>3750</v>
      </c>
      <c r="C539" s="81">
        <v>45450</v>
      </c>
      <c r="D539" s="82">
        <v>0.375</v>
      </c>
      <c r="E539" s="79" t="s">
        <v>151</v>
      </c>
      <c r="F539" s="79" t="s">
        <v>153</v>
      </c>
      <c r="G539" s="79" t="s">
        <v>153</v>
      </c>
      <c r="H539" s="79" t="s">
        <v>153</v>
      </c>
      <c r="I539" s="79" t="s">
        <v>153</v>
      </c>
      <c r="J539" s="79" t="s">
        <v>3324</v>
      </c>
      <c r="K539" s="79" t="s">
        <v>155</v>
      </c>
      <c r="L539" s="80" t="s">
        <v>3751</v>
      </c>
      <c r="M539" s="80" t="s">
        <v>229</v>
      </c>
      <c r="N539" s="79" t="s">
        <v>1387</v>
      </c>
      <c r="O539" s="80" t="str">
        <f t="shared" si="365"/>
        <v>Juan Pablo Serna, James Fernando Núñez, Andres Castro Latorre</v>
      </c>
      <c r="P539" s="79" t="s">
        <v>818</v>
      </c>
      <c r="Q539" s="79" t="s">
        <v>632</v>
      </c>
      <c r="R539" s="79" t="s">
        <v>749</v>
      </c>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t="s">
        <v>304</v>
      </c>
      <c r="AP539" s="79"/>
      <c r="AQ539" s="80" t="s">
        <v>3752</v>
      </c>
      <c r="AR539" s="83">
        <v>3228657280</v>
      </c>
      <c r="AS539" s="80" t="s">
        <v>3371</v>
      </c>
      <c r="AT539" s="80" t="str">
        <f t="shared" si="366"/>
        <v>Barrios Unidos</v>
      </c>
      <c r="AU539" s="79" t="s">
        <v>1031</v>
      </c>
      <c r="AV539" s="79"/>
      <c r="AW539" s="79"/>
      <c r="AX539" s="79"/>
      <c r="AY539" s="79"/>
      <c r="AZ539" s="79"/>
      <c r="BA539" s="80" t="str">
        <f t="shared" si="367"/>
        <v>Centro Ampliado</v>
      </c>
      <c r="BB539" s="79" t="s">
        <v>636</v>
      </c>
      <c r="BC539" s="79"/>
      <c r="BD539" s="79"/>
      <c r="BE539" s="79"/>
      <c r="BF539" s="79"/>
      <c r="BG539" s="79"/>
      <c r="BH539" s="80" t="str">
        <f t="shared" si="368"/>
        <v>Barrios Unidos, Teusaquillo</v>
      </c>
      <c r="BI539" s="79" t="s">
        <v>1031</v>
      </c>
      <c r="BJ539" s="79" t="s">
        <v>1004</v>
      </c>
      <c r="BK539" s="79"/>
      <c r="BL539" s="79"/>
      <c r="BM539" s="79"/>
      <c r="BN539" s="79"/>
      <c r="BO539" s="79"/>
      <c r="BP539" s="79"/>
      <c r="BQ539" s="79"/>
      <c r="BR539" s="79"/>
      <c r="BS539" s="80" t="s">
        <v>3753</v>
      </c>
      <c r="BT539" s="80" t="s">
        <v>2362</v>
      </c>
      <c r="BU539" s="80" t="s">
        <v>3754</v>
      </c>
      <c r="BV539" s="71"/>
      <c r="BW539" s="79" t="s">
        <v>152</v>
      </c>
      <c r="BX539" s="79" t="s">
        <v>179</v>
      </c>
      <c r="BY539" s="71"/>
      <c r="BZ539" s="79">
        <v>9</v>
      </c>
      <c r="CA539" s="79">
        <v>10</v>
      </c>
      <c r="CB539" s="79">
        <f>BZ539+CA539</f>
        <v>19</v>
      </c>
      <c r="CC539" s="79" t="str">
        <f t="shared" si="382"/>
        <v>Ninguna</v>
      </c>
      <c r="CD539" s="79" t="s">
        <v>174</v>
      </c>
      <c r="CE539" s="79"/>
      <c r="CF539" s="79"/>
      <c r="CG539" s="83" t="s">
        <v>3755</v>
      </c>
      <c r="CH539" s="41"/>
      <c r="CI539" s="79" t="s">
        <v>153</v>
      </c>
      <c r="CJ539" s="71"/>
      <c r="CK539" s="79">
        <f>COUNTIF(CL539:CQ539,"*")</f>
        <v>2</v>
      </c>
      <c r="CL539" s="79" t="s">
        <v>3756</v>
      </c>
      <c r="CM539" s="79" t="s">
        <v>3757</v>
      </c>
      <c r="CN539" s="79"/>
      <c r="CO539" s="79"/>
      <c r="CP539" s="79"/>
      <c r="CQ539" s="79"/>
      <c r="CR539" s="83" t="s">
        <v>390</v>
      </c>
      <c r="CS539" s="83" t="s">
        <v>920</v>
      </c>
      <c r="CT539" s="83" t="s">
        <v>179</v>
      </c>
      <c r="CU539" s="83" t="s">
        <v>179</v>
      </c>
      <c r="CV539" s="83" t="s">
        <v>179</v>
      </c>
      <c r="CW539" s="83" t="s">
        <v>179</v>
      </c>
      <c r="CX539" s="79" t="s">
        <v>153</v>
      </c>
      <c r="CY539" s="79">
        <f>SUM(COUNTIF(CR539:CW539,"Realizado y Devuelto a la Ciudadanía"),COUNTIF(CR539:CW539,"Realizado y Trasladado por competencia"), COUNTIF(CR539:CW539,"Realizado y Gestionado"))</f>
        <v>2</v>
      </c>
      <c r="CZ539" s="79">
        <v>1</v>
      </c>
      <c r="DA539" s="79">
        <f>COUNTIF(CR539:CW539,"Realizado y Devuelto a la Ciudadanía")</f>
        <v>1</v>
      </c>
      <c r="DB539" s="84">
        <f>IFERROR(CY539/CK539,"")</f>
        <v>1</v>
      </c>
      <c r="DC539" s="41"/>
      <c r="DD539" s="79" t="s">
        <v>153</v>
      </c>
      <c r="DE539" s="71"/>
      <c r="DF539" s="85" t="s">
        <v>3758</v>
      </c>
      <c r="DG539" s="79">
        <v>528</v>
      </c>
      <c r="DH539" s="86" t="str">
        <f t="shared" si="362"/>
        <v>Completo</v>
      </c>
      <c r="DI539" s="79" t="s">
        <v>181</v>
      </c>
      <c r="DJ539" s="79" t="s">
        <v>182</v>
      </c>
      <c r="DK539" s="79" t="s">
        <v>153</v>
      </c>
      <c r="DL539" s="79">
        <v>0</v>
      </c>
      <c r="DM539" s="79">
        <v>0</v>
      </c>
      <c r="DN539" s="79" t="s">
        <v>182</v>
      </c>
      <c r="DO539" s="79">
        <v>0</v>
      </c>
      <c r="DP539" s="79" t="s">
        <v>182</v>
      </c>
      <c r="DQ539" s="79">
        <v>2</v>
      </c>
      <c r="DR539" s="75">
        <f t="shared" si="380"/>
        <v>0.74074074074074081</v>
      </c>
      <c r="DS539" s="79" t="s">
        <v>182</v>
      </c>
      <c r="DT539" s="79">
        <v>10</v>
      </c>
      <c r="DU539" s="75">
        <f t="shared" si="381"/>
        <v>3.1746031746031749</v>
      </c>
      <c r="DV539" s="79" t="s">
        <v>182</v>
      </c>
      <c r="DW539" s="79" t="s">
        <v>182</v>
      </c>
      <c r="DX539" s="79"/>
      <c r="DY539" s="79"/>
      <c r="DZ539" s="79"/>
      <c r="EA539" s="79">
        <v>140</v>
      </c>
      <c r="EB539" s="79" t="s">
        <v>191</v>
      </c>
      <c r="EC539" s="79"/>
      <c r="ED539" s="79" t="s">
        <v>3759</v>
      </c>
      <c r="EE539" s="79" t="str">
        <f>IF(DI539="Subsanado","Completo","Por Completar")</f>
        <v>Completo</v>
      </c>
      <c r="EF539" s="41"/>
      <c r="EG539" s="79" t="s">
        <v>152</v>
      </c>
      <c r="EH539" s="71"/>
      <c r="EI539" s="199" t="s">
        <v>3760</v>
      </c>
      <c r="EJ539" s="71"/>
      <c r="EK539" s="79" t="s">
        <v>409</v>
      </c>
      <c r="EL539" s="76" t="str">
        <f t="shared" si="370"/>
        <v>No</v>
      </c>
      <c r="EM539" s="76" t="str">
        <f t="shared" si="371"/>
        <v>No</v>
      </c>
      <c r="EN539" s="76" t="str">
        <f t="shared" si="340"/>
        <v>No</v>
      </c>
      <c r="EO539" s="71"/>
      <c r="EP539" s="73" t="str">
        <f t="shared" si="372"/>
        <v>No aplica</v>
      </c>
      <c r="EQ539" s="77">
        <f t="shared" si="373"/>
        <v>3.1746031746031749</v>
      </c>
      <c r="ER539" s="71"/>
      <c r="ES539" s="79" t="s">
        <v>409</v>
      </c>
      <c r="ET539" s="73">
        <f t="shared" si="374"/>
        <v>1</v>
      </c>
      <c r="EU539" s="73">
        <f t="shared" si="341"/>
        <v>1</v>
      </c>
      <c r="EV539" s="73">
        <f t="shared" si="375"/>
        <v>1</v>
      </c>
      <c r="EW539" s="73">
        <f t="shared" si="376"/>
        <v>0</v>
      </c>
      <c r="EX539" s="78"/>
      <c r="EY539" s="78"/>
    </row>
    <row r="540" spans="1:155" ht="46.5" customHeight="1">
      <c r="A540" s="79" t="str">
        <v/>
      </c>
      <c r="B540" s="80" t="s">
        <v>2566</v>
      </c>
      <c r="C540" s="81">
        <v>45450</v>
      </c>
      <c r="D540" s="82">
        <v>0.41666666666666669</v>
      </c>
      <c r="E540" s="79" t="s">
        <v>151</v>
      </c>
      <c r="F540" s="79" t="s">
        <v>152</v>
      </c>
      <c r="G540" s="79" t="s">
        <v>153</v>
      </c>
      <c r="H540" s="79" t="s">
        <v>152</v>
      </c>
      <c r="I540" s="79" t="s">
        <v>152</v>
      </c>
      <c r="J540" s="79" t="s">
        <v>2153</v>
      </c>
      <c r="K540" s="79" t="s">
        <v>202</v>
      </c>
      <c r="L540" s="80" t="s">
        <v>3761</v>
      </c>
      <c r="M540" s="80" t="s">
        <v>157</v>
      </c>
      <c r="N540" s="79" t="s">
        <v>346</v>
      </c>
      <c r="O540" s="80" t="str">
        <f t="shared" si="365"/>
        <v>Freddy Martínez</v>
      </c>
      <c r="P540" s="79" t="s">
        <v>3049</v>
      </c>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t="s">
        <v>304</v>
      </c>
      <c r="AP540" s="79"/>
      <c r="AQ540" s="80" t="s">
        <v>171</v>
      </c>
      <c r="AR540" s="80" t="s">
        <v>171</v>
      </c>
      <c r="AS540" s="80" t="s">
        <v>171</v>
      </c>
      <c r="AT540" s="80" t="str">
        <f t="shared" si="366"/>
        <v>Distrital</v>
      </c>
      <c r="AU540" s="79" t="s">
        <v>172</v>
      </c>
      <c r="AV540" s="79"/>
      <c r="AW540" s="79"/>
      <c r="AX540" s="79"/>
      <c r="AY540" s="79"/>
      <c r="AZ540" s="79"/>
      <c r="BA540" s="80" t="str">
        <f t="shared" si="367"/>
        <v>Distrital</v>
      </c>
      <c r="BB540" s="79" t="s">
        <v>172</v>
      </c>
      <c r="BC540" s="79"/>
      <c r="BD540" s="79"/>
      <c r="BE540" s="79"/>
      <c r="BF540" s="79"/>
      <c r="BG540" s="79"/>
      <c r="BH540" s="80" t="str">
        <f t="shared" si="368"/>
        <v>Distrital</v>
      </c>
      <c r="BI540" s="79" t="s">
        <v>172</v>
      </c>
      <c r="BJ540" s="79"/>
      <c r="BK540" s="79"/>
      <c r="BL540" s="79"/>
      <c r="BM540" s="79"/>
      <c r="BN540" s="79"/>
      <c r="BO540" s="79"/>
      <c r="BP540" s="79"/>
      <c r="BQ540" s="79"/>
      <c r="BR540" s="79"/>
      <c r="BS540" s="80" t="s">
        <v>288</v>
      </c>
      <c r="BT540" s="80" t="s">
        <v>174</v>
      </c>
      <c r="BU540" s="225" t="s">
        <v>3762</v>
      </c>
      <c r="BV540" s="71"/>
      <c r="BW540" s="79" t="s">
        <v>152</v>
      </c>
      <c r="BX540" s="79" t="s">
        <v>179</v>
      </c>
      <c r="BY540" s="71"/>
      <c r="BZ540" s="79">
        <v>3</v>
      </c>
      <c r="CA540" s="79">
        <v>2</v>
      </c>
      <c r="CB540" s="79">
        <f>BZ540+CA540</f>
        <v>5</v>
      </c>
      <c r="CC540" s="79" t="str">
        <f t="shared" si="382"/>
        <v>Ninguna</v>
      </c>
      <c r="CD540" s="79" t="s">
        <v>174</v>
      </c>
      <c r="CE540" s="79"/>
      <c r="CF540" s="79"/>
      <c r="CG540" s="83" t="s">
        <v>3763</v>
      </c>
      <c r="CH540" s="41"/>
      <c r="CI540" s="79" t="s">
        <v>153</v>
      </c>
      <c r="CJ540" s="71"/>
      <c r="CK540" s="79">
        <f>COUNTIF(CL540:CQ540,"*")</f>
        <v>0</v>
      </c>
      <c r="CL540" s="79"/>
      <c r="CM540" s="79"/>
      <c r="CN540" s="79"/>
      <c r="CO540" s="79"/>
      <c r="CP540" s="79"/>
      <c r="CQ540" s="79"/>
      <c r="CR540" s="83" t="s">
        <v>179</v>
      </c>
      <c r="CS540" s="83" t="s">
        <v>179</v>
      </c>
      <c r="CT540" s="83" t="s">
        <v>179</v>
      </c>
      <c r="CU540" s="83" t="s">
        <v>179</v>
      </c>
      <c r="CV540" s="83" t="s">
        <v>179</v>
      </c>
      <c r="CW540" s="83" t="s">
        <v>179</v>
      </c>
      <c r="CX540" s="79" t="s">
        <v>153</v>
      </c>
      <c r="CY540" s="79">
        <f>SUM(COUNTIF(CR540:CW540,"Realizado y Devuelto a la Ciudadanía"),COUNTIF(CR540:CW540,"Realizado y Trasladado por competencia"), COUNTIF(CR540:CW540,"Realizado y Gestionado"))</f>
        <v>0</v>
      </c>
      <c r="CZ540" s="79">
        <v>0</v>
      </c>
      <c r="DA540" s="79">
        <f>COUNTIF(CR540:CW540,"Realizado y Devuelto a la Ciudadanía")</f>
        <v>0</v>
      </c>
      <c r="DB540" s="84" t="str">
        <f>IFERROR(CY540/CK540,"")</f>
        <v/>
      </c>
      <c r="DC540" s="41"/>
      <c r="DD540" s="79" t="s">
        <v>153</v>
      </c>
      <c r="DE540" s="71"/>
      <c r="DF540" s="127" t="s">
        <v>3764</v>
      </c>
      <c r="DG540" s="79">
        <v>529</v>
      </c>
      <c r="DH540" s="86" t="str">
        <f t="shared" si="362"/>
        <v>Completo</v>
      </c>
      <c r="DI540" s="79" t="s">
        <v>181</v>
      </c>
      <c r="DJ540" s="79" t="s">
        <v>182</v>
      </c>
      <c r="DK540" s="79"/>
      <c r="DL540" s="79">
        <v>0</v>
      </c>
      <c r="DM540" s="79">
        <v>0</v>
      </c>
      <c r="DN540" s="79"/>
      <c r="DO540" s="79"/>
      <c r="DP540" s="79"/>
      <c r="DQ540" s="79"/>
      <c r="DR540" s="75" t="str">
        <f t="shared" si="380"/>
        <v>No aplica</v>
      </c>
      <c r="DS540" s="79"/>
      <c r="DT540" s="79"/>
      <c r="DU540" s="75" t="str">
        <f t="shared" si="381"/>
        <v>No aplica</v>
      </c>
      <c r="DV540" s="79" t="s">
        <v>182</v>
      </c>
      <c r="DW540" s="79"/>
      <c r="DX540" s="79"/>
      <c r="DY540" s="79"/>
      <c r="DZ540" s="79"/>
      <c r="EA540" s="79"/>
      <c r="EB540" s="79"/>
      <c r="EC540" s="79"/>
      <c r="ED540" s="79" t="s">
        <v>3765</v>
      </c>
      <c r="EE540" s="79" t="str">
        <f>IF(DI540="Subsanado","Completo","Por Completar")</f>
        <v>Completo</v>
      </c>
      <c r="EF540" s="41"/>
      <c r="EG540" s="79" t="s">
        <v>153</v>
      </c>
      <c r="EH540" s="71"/>
      <c r="EI540" s="80"/>
      <c r="EJ540" s="71"/>
      <c r="EK540" s="79"/>
      <c r="EL540" s="76" t="str">
        <f t="shared" si="370"/>
        <v>No requiere</v>
      </c>
      <c r="EM540" s="76" t="str">
        <f t="shared" si="371"/>
        <v>No requiere</v>
      </c>
      <c r="EN540" s="76" t="str">
        <f t="shared" si="340"/>
        <v>No requiere</v>
      </c>
      <c r="EO540" s="71"/>
      <c r="EP540" s="73" t="str">
        <f t="shared" si="372"/>
        <v>No requiere</v>
      </c>
      <c r="EQ540" s="77" t="str">
        <f t="shared" si="373"/>
        <v>No requiere</v>
      </c>
      <c r="ER540" s="71"/>
      <c r="ES540" s="79"/>
      <c r="ET540" s="73" t="str">
        <f t="shared" si="374"/>
        <v>No requiere</v>
      </c>
      <c r="EU540" s="73" t="str">
        <f t="shared" si="341"/>
        <v>No requiere</v>
      </c>
      <c r="EV540" s="73" t="str">
        <f t="shared" si="375"/>
        <v>No requiere</v>
      </c>
      <c r="EW540" s="73" t="str">
        <f t="shared" si="376"/>
        <v>No requiere</v>
      </c>
      <c r="EX540" s="78"/>
      <c r="EY540" s="78"/>
    </row>
    <row r="541" spans="1:155" ht="46.5" customHeight="1">
      <c r="A541" s="79">
        <v>537</v>
      </c>
      <c r="B541" s="80" t="s">
        <v>3766</v>
      </c>
      <c r="C541" s="81">
        <v>45450</v>
      </c>
      <c r="D541" s="82">
        <v>0.58333333333333337</v>
      </c>
      <c r="E541" s="79" t="s">
        <v>151</v>
      </c>
      <c r="F541" s="79" t="s">
        <v>153</v>
      </c>
      <c r="G541" s="79" t="s">
        <v>153</v>
      </c>
      <c r="H541" s="79" t="s">
        <v>152</v>
      </c>
      <c r="I541" s="79" t="s">
        <v>152</v>
      </c>
      <c r="J541" s="79" t="s">
        <v>3175</v>
      </c>
      <c r="K541" s="79" t="s">
        <v>155</v>
      </c>
      <c r="L541" s="80" t="s">
        <v>3767</v>
      </c>
      <c r="M541" s="80" t="s">
        <v>157</v>
      </c>
      <c r="N541" s="79" t="s">
        <v>422</v>
      </c>
      <c r="O541" s="80" t="s">
        <v>316</v>
      </c>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t="s">
        <v>169</v>
      </c>
      <c r="AP541" s="79"/>
      <c r="AQ541" s="80" t="s">
        <v>171</v>
      </c>
      <c r="AR541" s="80" t="s">
        <v>171</v>
      </c>
      <c r="AS541" s="80" t="s">
        <v>171</v>
      </c>
      <c r="AT541" s="80" t="str">
        <f t="shared" si="366"/>
        <v>Distrital</v>
      </c>
      <c r="AU541" s="79" t="s">
        <v>172</v>
      </c>
      <c r="AV541" s="79"/>
      <c r="AW541" s="79"/>
      <c r="AX541" s="79"/>
      <c r="AY541" s="79"/>
      <c r="AZ541" s="79"/>
      <c r="BA541" s="80" t="str">
        <f t="shared" si="367"/>
        <v>Distrital</v>
      </c>
      <c r="BB541" s="79" t="s">
        <v>172</v>
      </c>
      <c r="BC541" s="79"/>
      <c r="BD541" s="79"/>
      <c r="BE541" s="79"/>
      <c r="BF541" s="79"/>
      <c r="BG541" s="79"/>
      <c r="BH541" s="80" t="str">
        <f t="shared" si="368"/>
        <v>Distrital</v>
      </c>
      <c r="BI541" s="79" t="s">
        <v>172</v>
      </c>
      <c r="BJ541" s="79"/>
      <c r="BK541" s="79"/>
      <c r="BL541" s="79"/>
      <c r="BM541" s="79"/>
      <c r="BN541" s="79"/>
      <c r="BO541" s="79"/>
      <c r="BP541" s="79"/>
      <c r="BQ541" s="79"/>
      <c r="BR541" s="79"/>
      <c r="BS541" s="80" t="s">
        <v>288</v>
      </c>
      <c r="BT541" s="80" t="s">
        <v>174</v>
      </c>
      <c r="BU541" s="80" t="s">
        <v>3768</v>
      </c>
      <c r="BV541" s="71"/>
      <c r="BW541" s="79" t="s">
        <v>152</v>
      </c>
      <c r="BX541" s="79" t="s">
        <v>179</v>
      </c>
      <c r="BY541" s="71"/>
      <c r="BZ541" s="79">
        <v>20</v>
      </c>
      <c r="CA541" s="79">
        <v>6</v>
      </c>
      <c r="CB541" s="79">
        <v>0</v>
      </c>
      <c r="CC541" s="79" t="str">
        <f t="shared" si="382"/>
        <v>Ninguna</v>
      </c>
      <c r="CD541" s="79" t="s">
        <v>174</v>
      </c>
      <c r="CE541" s="79"/>
      <c r="CF541" s="79"/>
      <c r="CG541" s="83" t="s">
        <v>3769</v>
      </c>
      <c r="CH541" s="41"/>
      <c r="CI541" s="79" t="s">
        <v>153</v>
      </c>
      <c r="CJ541" s="71"/>
      <c r="CK541" s="79">
        <v>3</v>
      </c>
      <c r="CL541" s="79" t="s">
        <v>3770</v>
      </c>
      <c r="CM541" s="79" t="s">
        <v>3771</v>
      </c>
      <c r="CN541" s="79" t="s">
        <v>3772</v>
      </c>
      <c r="CO541" s="79"/>
      <c r="CP541" s="79"/>
      <c r="CQ541" s="79"/>
      <c r="CR541" s="83" t="s">
        <v>390</v>
      </c>
      <c r="CS541" s="83" t="s">
        <v>390</v>
      </c>
      <c r="CT541" s="83" t="s">
        <v>3773</v>
      </c>
      <c r="CU541" s="83" t="s">
        <v>179</v>
      </c>
      <c r="CV541" s="83" t="s">
        <v>179</v>
      </c>
      <c r="CW541" s="83" t="s">
        <v>179</v>
      </c>
      <c r="CX541" s="79" t="s">
        <v>153</v>
      </c>
      <c r="CY541" s="79">
        <v>2</v>
      </c>
      <c r="CZ541" s="79">
        <v>2</v>
      </c>
      <c r="DA541" s="79">
        <v>2</v>
      </c>
      <c r="DB541" s="84" t="s">
        <v>316</v>
      </c>
      <c r="DC541" s="41"/>
      <c r="DD541" s="79" t="s">
        <v>153</v>
      </c>
      <c r="DE541" s="71"/>
      <c r="DF541" s="85" t="s">
        <v>3774</v>
      </c>
      <c r="DG541" s="79">
        <v>530</v>
      </c>
      <c r="DH541" s="86" t="str">
        <f t="shared" si="362"/>
        <v>Completo</v>
      </c>
      <c r="DI541" s="79" t="s">
        <v>181</v>
      </c>
      <c r="DJ541" s="79" t="s">
        <v>182</v>
      </c>
      <c r="DK541" s="79"/>
      <c r="DL541" s="79">
        <v>0</v>
      </c>
      <c r="DM541" s="79">
        <v>0</v>
      </c>
      <c r="DN541" s="79" t="s">
        <v>182</v>
      </c>
      <c r="DO541" s="79"/>
      <c r="DP541" s="79"/>
      <c r="DQ541" s="79"/>
      <c r="DR541" s="75" t="s">
        <v>179</v>
      </c>
      <c r="DS541" s="79"/>
      <c r="DT541" s="79"/>
      <c r="DU541" s="75" t="s">
        <v>179</v>
      </c>
      <c r="DV541" s="79" t="s">
        <v>182</v>
      </c>
      <c r="DW541" s="79"/>
      <c r="DX541" s="79"/>
      <c r="DY541" s="79"/>
      <c r="DZ541" s="79"/>
      <c r="EA541" s="79"/>
      <c r="EB541" s="79" t="s">
        <v>182</v>
      </c>
      <c r="EC541" s="79" t="s">
        <v>3775</v>
      </c>
      <c r="ED541" s="79" t="s">
        <v>3776</v>
      </c>
      <c r="EE541" s="79" t="str">
        <f>IF(DI541="Subsanado","Completo","Por Completar")</f>
        <v>Completo</v>
      </c>
      <c r="EF541" s="41"/>
      <c r="EG541" s="79" t="s">
        <v>153</v>
      </c>
      <c r="EH541" s="71"/>
      <c r="EI541" s="80"/>
      <c r="EJ541" s="71"/>
      <c r="EK541" s="79"/>
      <c r="EL541" s="76" t="str">
        <f t="shared" si="370"/>
        <v>No requiere</v>
      </c>
      <c r="EM541" s="76" t="str">
        <f t="shared" si="371"/>
        <v>No requiere</v>
      </c>
      <c r="EN541" s="76" t="str">
        <f t="shared" si="340"/>
        <v>No requiere</v>
      </c>
      <c r="EO541" s="71"/>
      <c r="EP541" s="73" t="str">
        <f t="shared" si="372"/>
        <v>No requiere</v>
      </c>
      <c r="EQ541" s="77" t="str">
        <f t="shared" si="373"/>
        <v>No requiere</v>
      </c>
      <c r="ER541" s="71"/>
      <c r="ES541" s="79"/>
      <c r="ET541" s="73" t="str">
        <f t="shared" si="374"/>
        <v>No requiere</v>
      </c>
      <c r="EU541" s="73" t="str">
        <f t="shared" si="341"/>
        <v>No requiere</v>
      </c>
      <c r="EV541" s="73" t="str">
        <f t="shared" si="375"/>
        <v>No requiere</v>
      </c>
      <c r="EW541" s="73" t="str">
        <f t="shared" si="376"/>
        <v>No requiere</v>
      </c>
      <c r="EX541" s="78"/>
      <c r="EY541" s="78"/>
    </row>
    <row r="542" spans="1:155" ht="46.5" customHeight="1">
      <c r="A542" s="79">
        <v>538</v>
      </c>
      <c r="B542" s="80" t="s">
        <v>3777</v>
      </c>
      <c r="C542" s="81">
        <v>45450</v>
      </c>
      <c r="D542" s="82">
        <v>0.625</v>
      </c>
      <c r="E542" s="79" t="s">
        <v>151</v>
      </c>
      <c r="F542" s="79" t="s">
        <v>153</v>
      </c>
      <c r="G542" s="79" t="s">
        <v>153</v>
      </c>
      <c r="H542" s="79" t="s">
        <v>153</v>
      </c>
      <c r="I542" s="79" t="s">
        <v>153</v>
      </c>
      <c r="J542" s="79" t="s">
        <v>3324</v>
      </c>
      <c r="K542" s="79" t="s">
        <v>155</v>
      </c>
      <c r="L542" s="80" t="s">
        <v>3778</v>
      </c>
      <c r="M542" s="80" t="s">
        <v>303</v>
      </c>
      <c r="N542" s="79" t="s">
        <v>644</v>
      </c>
      <c r="O542" s="80" t="str">
        <f t="shared" ref="O542:O588" si="383">_xlfn.TEXTJOIN(", ",TRUE,P542:AN542)</f>
        <v>Nathalia Guzmán Martínez, Andres Castro Latorre, Renata Rengifo Moyano, Armando Alberto Montañez, Camilo Andrés Vásquez, Joan Sebastian García, Nicolás Enrique Moncaleano</v>
      </c>
      <c r="P542" s="79" t="s">
        <v>166</v>
      </c>
      <c r="Q542" s="79" t="s">
        <v>749</v>
      </c>
      <c r="R542" s="79" t="s">
        <v>1066</v>
      </c>
      <c r="S542" s="79" t="s">
        <v>1387</v>
      </c>
      <c r="T542" s="79" t="s">
        <v>373</v>
      </c>
      <c r="U542" s="79" t="s">
        <v>728</v>
      </c>
      <c r="V542" s="79" t="s">
        <v>966</v>
      </c>
      <c r="W542" s="79"/>
      <c r="X542" s="79"/>
      <c r="Y542" s="79"/>
      <c r="Z542" s="79"/>
      <c r="AA542" s="79"/>
      <c r="AB542" s="79"/>
      <c r="AC542" s="79"/>
      <c r="AD542" s="79"/>
      <c r="AE542" s="79"/>
      <c r="AF542" s="79"/>
      <c r="AG542" s="79"/>
      <c r="AH542" s="79"/>
      <c r="AI542" s="79"/>
      <c r="AJ542" s="79"/>
      <c r="AK542" s="79"/>
      <c r="AL542" s="79"/>
      <c r="AM542" s="79"/>
      <c r="AN542" s="79"/>
      <c r="AO542" s="79" t="s">
        <v>304</v>
      </c>
      <c r="AP542" s="79"/>
      <c r="AQ542" s="80" t="s">
        <v>3779</v>
      </c>
      <c r="AR542" s="83">
        <v>3225834373</v>
      </c>
      <c r="AS542" s="80" t="s">
        <v>3780</v>
      </c>
      <c r="AT542" s="80" t="str">
        <f t="shared" si="366"/>
        <v>Fontibón, Puente Aranda</v>
      </c>
      <c r="AU542" s="79" t="s">
        <v>646</v>
      </c>
      <c r="AV542" s="79" t="s">
        <v>1235</v>
      </c>
      <c r="AW542" s="79"/>
      <c r="AX542" s="79"/>
      <c r="AY542" s="79"/>
      <c r="AZ542" s="79"/>
      <c r="BA542" s="80" t="str">
        <f t="shared" si="367"/>
        <v>Occidente, Centro Ampliado</v>
      </c>
      <c r="BB542" s="79" t="s">
        <v>235</v>
      </c>
      <c r="BC542" s="79" t="s">
        <v>636</v>
      </c>
      <c r="BD542" s="79"/>
      <c r="BE542" s="79"/>
      <c r="BF542" s="79"/>
      <c r="BG542" s="79"/>
      <c r="BH542" s="80" t="str">
        <f t="shared" si="368"/>
        <v>Salitre, Puente Aranda</v>
      </c>
      <c r="BI542" s="79" t="s">
        <v>415</v>
      </c>
      <c r="BJ542" s="79" t="s">
        <v>1235</v>
      </c>
      <c r="BK542" s="79"/>
      <c r="BL542" s="79"/>
      <c r="BM542" s="79"/>
      <c r="BN542" s="79"/>
      <c r="BO542" s="79"/>
      <c r="BP542" s="79"/>
      <c r="BQ542" s="79"/>
      <c r="BR542" s="79"/>
      <c r="BS542" s="80" t="s">
        <v>3781</v>
      </c>
      <c r="BT542" s="80" t="s">
        <v>2875</v>
      </c>
      <c r="BU542" s="80" t="s">
        <v>3782</v>
      </c>
      <c r="BV542" s="71"/>
      <c r="BW542" s="79" t="s">
        <v>152</v>
      </c>
      <c r="BX542" s="79" t="s">
        <v>179</v>
      </c>
      <c r="BY542" s="71"/>
      <c r="BZ542" s="79">
        <v>12</v>
      </c>
      <c r="CA542" s="79">
        <v>15</v>
      </c>
      <c r="CB542" s="79">
        <f>BZ542+CA542</f>
        <v>27</v>
      </c>
      <c r="CC542" s="79" t="str">
        <f>_xlfn.TEXTJOIN(", ",TRUE,$CD542:$CF542)</f>
        <v>Accesibilidad Universal</v>
      </c>
      <c r="CD542" s="79" t="s">
        <v>397</v>
      </c>
      <c r="CE542" s="79"/>
      <c r="CF542" s="79"/>
      <c r="CG542" s="83" t="s">
        <v>3783</v>
      </c>
      <c r="CH542" s="41"/>
      <c r="CI542" s="79" t="s">
        <v>153</v>
      </c>
      <c r="CJ542" s="71"/>
      <c r="CK542" s="79">
        <f>COUNTIF(CL542:CQ542,"*")</f>
        <v>1</v>
      </c>
      <c r="CL542" s="79" t="s">
        <v>3784</v>
      </c>
      <c r="CM542" s="79"/>
      <c r="CN542" s="79"/>
      <c r="CO542" s="79"/>
      <c r="CP542" s="79"/>
      <c r="CQ542" s="79"/>
      <c r="CR542" s="83" t="s">
        <v>390</v>
      </c>
      <c r="CS542" s="83" t="s">
        <v>179</v>
      </c>
      <c r="CT542" s="83" t="s">
        <v>179</v>
      </c>
      <c r="CU542" s="83" t="s">
        <v>179</v>
      </c>
      <c r="CV542" s="83" t="s">
        <v>179</v>
      </c>
      <c r="CW542" s="83" t="s">
        <v>179</v>
      </c>
      <c r="CX542" s="79" t="s">
        <v>153</v>
      </c>
      <c r="CY542" s="79">
        <f t="shared" si="358"/>
        <v>1</v>
      </c>
      <c r="CZ542" s="79">
        <v>1</v>
      </c>
      <c r="DA542" s="79">
        <f t="shared" si="359"/>
        <v>1</v>
      </c>
      <c r="DB542" s="84">
        <f t="shared" si="364"/>
        <v>1</v>
      </c>
      <c r="DC542" s="41"/>
      <c r="DD542" s="79" t="s">
        <v>153</v>
      </c>
      <c r="DE542" s="71"/>
      <c r="DF542" s="85" t="s">
        <v>3785</v>
      </c>
      <c r="DG542" s="79">
        <v>531</v>
      </c>
      <c r="DH542" s="86" t="str">
        <f t="shared" si="362"/>
        <v>Completo</v>
      </c>
      <c r="DI542" s="79" t="s">
        <v>181</v>
      </c>
      <c r="DJ542" s="79" t="s">
        <v>182</v>
      </c>
      <c r="DK542" s="79" t="s">
        <v>153</v>
      </c>
      <c r="DL542" s="79">
        <v>8</v>
      </c>
      <c r="DM542" s="79">
        <v>8</v>
      </c>
      <c r="DN542" s="79" t="s">
        <v>182</v>
      </c>
      <c r="DO542" s="79">
        <v>180</v>
      </c>
      <c r="DP542" s="79" t="s">
        <v>182</v>
      </c>
      <c r="DQ542" s="79">
        <v>7</v>
      </c>
      <c r="DR542" s="75">
        <f>IF(H542="SÍ", (DQ542/(BZ542*0.3)), "No aplica")</f>
        <v>1.9444444444444446</v>
      </c>
      <c r="DS542" s="79" t="s">
        <v>182</v>
      </c>
      <c r="DT542" s="79">
        <v>26</v>
      </c>
      <c r="DU542" s="75">
        <f>IF(H542="SÍ", (DT542/(BZ542*0.35)), "No aplica")</f>
        <v>6.1904761904761916</v>
      </c>
      <c r="DV542" s="79" t="s">
        <v>182</v>
      </c>
      <c r="DW542" s="79" t="s">
        <v>182</v>
      </c>
      <c r="DX542" s="79">
        <v>3</v>
      </c>
      <c r="DY542" s="79" t="s">
        <v>179</v>
      </c>
      <c r="DZ542" s="79"/>
      <c r="EA542" s="79">
        <v>180</v>
      </c>
      <c r="EB542" s="79" t="s">
        <v>182</v>
      </c>
      <c r="EC542" s="79" t="s">
        <v>3786</v>
      </c>
      <c r="ED542" s="79" t="s">
        <v>3787</v>
      </c>
      <c r="EE542" s="79" t="s">
        <v>182</v>
      </c>
      <c r="EF542" s="41"/>
      <c r="EG542" s="79" t="s">
        <v>153</v>
      </c>
      <c r="EH542" s="71"/>
      <c r="EI542" s="199" t="s">
        <v>3788</v>
      </c>
      <c r="EJ542" s="71"/>
      <c r="EK542" s="79" t="s">
        <v>409</v>
      </c>
      <c r="EL542" s="76" t="str">
        <f t="shared" si="370"/>
        <v>Sí</v>
      </c>
      <c r="EM542" s="76" t="str">
        <f t="shared" si="371"/>
        <v>No aplica</v>
      </c>
      <c r="EN542" s="76" t="str">
        <f>IF(F542="NO","No requiere",IF(H542="No","No requiere",IF(CC542="","",IF(CD542&lt;&gt;"No aplica",IF(CD542&lt;&gt;"Ninguna",IF(COUNTIF(CD542:CF542,"*")&gt;=1,"Sí","No"),"No"),"No aplica"))))</f>
        <v>Sí</v>
      </c>
      <c r="EO542" s="71"/>
      <c r="EP542" s="73">
        <f t="shared" si="372"/>
        <v>1</v>
      </c>
      <c r="EQ542" s="77">
        <f t="shared" si="373"/>
        <v>6.1904761904761916</v>
      </c>
      <c r="ER542" s="71"/>
      <c r="ES542" s="79" t="s">
        <v>409</v>
      </c>
      <c r="ET542" s="73">
        <f t="shared" si="374"/>
        <v>1</v>
      </c>
      <c r="EU542" s="73">
        <f t="shared" si="341"/>
        <v>1</v>
      </c>
      <c r="EV542" s="73">
        <f t="shared" si="375"/>
        <v>1</v>
      </c>
      <c r="EW542" s="73">
        <f>IF(F542="NO","No requiere",IF(H542="No","No requiere",IFERROR(IF(BZ542="","",IF(EA542&lt;&gt;"No aplica",IF(EA542&gt;=1,DO542/EA542,"0%"),"No aplica")),"")))</f>
        <v>1</v>
      </c>
      <c r="EX542" s="78"/>
      <c r="EY542" s="78"/>
    </row>
    <row r="543" spans="1:155" ht="46.5" customHeight="1">
      <c r="A543" s="79">
        <v>539</v>
      </c>
      <c r="B543" s="80" t="s">
        <v>3789</v>
      </c>
      <c r="C543" s="81">
        <v>45451</v>
      </c>
      <c r="D543" s="82">
        <v>0.375</v>
      </c>
      <c r="E543" s="79" t="s">
        <v>151</v>
      </c>
      <c r="F543" s="79" t="s">
        <v>153</v>
      </c>
      <c r="G543" s="79" t="s">
        <v>153</v>
      </c>
      <c r="H543" s="79" t="s">
        <v>153</v>
      </c>
      <c r="I543" s="79" t="s">
        <v>153</v>
      </c>
      <c r="J543" s="79" t="s">
        <v>3324</v>
      </c>
      <c r="K543" s="79" t="s">
        <v>155</v>
      </c>
      <c r="L543" s="80" t="s">
        <v>3790</v>
      </c>
      <c r="M543" s="80" t="s">
        <v>229</v>
      </c>
      <c r="N543" s="79" t="s">
        <v>1387</v>
      </c>
      <c r="O543" s="80" t="str">
        <f t="shared" si="383"/>
        <v>William Arturo González, Nixon Sandoval Mateus, César Augusto Barrantes</v>
      </c>
      <c r="P543" s="79" t="s">
        <v>2786</v>
      </c>
      <c r="Q543" s="79" t="s">
        <v>644</v>
      </c>
      <c r="R543" s="79" t="s">
        <v>729</v>
      </c>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t="s">
        <v>304</v>
      </c>
      <c r="AP543" s="79"/>
      <c r="AQ543" s="80" t="s">
        <v>3752</v>
      </c>
      <c r="AR543" s="83">
        <v>3228657280</v>
      </c>
      <c r="AS543" s="80" t="s">
        <v>3371</v>
      </c>
      <c r="AT543" s="80" t="str">
        <f t="shared" si="366"/>
        <v>Teusaquillo</v>
      </c>
      <c r="AU543" s="79" t="s">
        <v>1004</v>
      </c>
      <c r="AV543" s="79"/>
      <c r="AW543" s="79"/>
      <c r="AX543" s="79"/>
      <c r="AY543" s="79"/>
      <c r="AZ543" s="79"/>
      <c r="BA543" s="80" t="str">
        <f t="shared" si="367"/>
        <v>Centro Ampliado</v>
      </c>
      <c r="BB543" s="79" t="s">
        <v>636</v>
      </c>
      <c r="BC543" s="79"/>
      <c r="BD543" s="79"/>
      <c r="BE543" s="79"/>
      <c r="BF543" s="79"/>
      <c r="BG543" s="79"/>
      <c r="BH543" s="80" t="str">
        <f t="shared" si="368"/>
        <v>Barrios Unidos, Teusaquillo</v>
      </c>
      <c r="BI543" s="79" t="s">
        <v>1031</v>
      </c>
      <c r="BJ543" s="79" t="s">
        <v>1004</v>
      </c>
      <c r="BK543" s="79"/>
      <c r="BL543" s="79"/>
      <c r="BM543" s="79"/>
      <c r="BN543" s="79"/>
      <c r="BO543" s="79"/>
      <c r="BP543" s="79"/>
      <c r="BQ543" s="79"/>
      <c r="BR543" s="79"/>
      <c r="BS543" s="80" t="s">
        <v>1660</v>
      </c>
      <c r="BT543" s="80" t="s">
        <v>2362</v>
      </c>
      <c r="BU543" s="80" t="s">
        <v>3791</v>
      </c>
      <c r="BV543" s="71"/>
      <c r="BW543" s="79" t="s">
        <v>152</v>
      </c>
      <c r="BX543" s="79" t="s">
        <v>179</v>
      </c>
      <c r="BY543" s="71"/>
      <c r="BZ543" s="79">
        <v>22</v>
      </c>
      <c r="CA543" s="79">
        <v>10</v>
      </c>
      <c r="CB543" s="79">
        <f t="shared" si="281"/>
        <v>32</v>
      </c>
      <c r="CC543" s="79" t="str">
        <f t="shared" si="382"/>
        <v>Ninguna</v>
      </c>
      <c r="CD543" s="79" t="s">
        <v>174</v>
      </c>
      <c r="CE543" s="79"/>
      <c r="CF543" s="79"/>
      <c r="CG543" s="83" t="s">
        <v>3792</v>
      </c>
      <c r="CH543" s="41"/>
      <c r="CI543" s="79" t="s">
        <v>153</v>
      </c>
      <c r="CJ543" s="71"/>
      <c r="CK543" s="79">
        <f>COUNTIF(CL543:CQ543,"*")</f>
        <v>2</v>
      </c>
      <c r="CL543" s="79" t="s">
        <v>3784</v>
      </c>
      <c r="CM543" s="79" t="s">
        <v>3793</v>
      </c>
      <c r="CN543" s="79"/>
      <c r="CO543" s="79"/>
      <c r="CP543" s="79"/>
      <c r="CQ543" s="79"/>
      <c r="CR543" s="83" t="s">
        <v>390</v>
      </c>
      <c r="CS543" s="83" t="s">
        <v>3794</v>
      </c>
      <c r="CT543" s="83" t="s">
        <v>179</v>
      </c>
      <c r="CU543" s="83" t="s">
        <v>179</v>
      </c>
      <c r="CV543" s="83" t="s">
        <v>179</v>
      </c>
      <c r="CW543" s="83" t="s">
        <v>179</v>
      </c>
      <c r="CX543" s="79" t="s">
        <v>153</v>
      </c>
      <c r="CY543" s="79">
        <f t="shared" si="358"/>
        <v>2</v>
      </c>
      <c r="CZ543" s="79">
        <v>1</v>
      </c>
      <c r="DA543" s="79">
        <f t="shared" si="359"/>
        <v>1</v>
      </c>
      <c r="DB543" s="84">
        <f t="shared" si="364"/>
        <v>1</v>
      </c>
      <c r="DC543" s="41"/>
      <c r="DD543" s="79" t="s">
        <v>153</v>
      </c>
      <c r="DE543" s="71"/>
      <c r="DF543" s="85" t="s">
        <v>3795</v>
      </c>
      <c r="DG543" s="79">
        <v>532</v>
      </c>
      <c r="DH543" s="86" t="str">
        <f t="shared" si="362"/>
        <v>Completo</v>
      </c>
      <c r="DI543" s="79" t="s">
        <v>181</v>
      </c>
      <c r="DJ543" s="79" t="s">
        <v>182</v>
      </c>
      <c r="DK543" s="79" t="s">
        <v>153</v>
      </c>
      <c r="DL543" s="79">
        <v>5</v>
      </c>
      <c r="DM543" s="79">
        <v>5</v>
      </c>
      <c r="DN543" s="79" t="s">
        <v>182</v>
      </c>
      <c r="DO543" s="79">
        <v>0</v>
      </c>
      <c r="DP543" s="79" t="s">
        <v>182</v>
      </c>
      <c r="DQ543" s="79">
        <v>8</v>
      </c>
      <c r="DR543" s="75">
        <f>IF(H543="SÍ", (DQ543/(BZ543*0.3)), "No aplica")</f>
        <v>1.2121212121212122</v>
      </c>
      <c r="DS543" s="79" t="s">
        <v>182</v>
      </c>
      <c r="DT543" s="79">
        <v>10</v>
      </c>
      <c r="DU543" s="75">
        <f>IF(H543="SÍ", (DT543/(BZ543*0.35)), "No aplica")</f>
        <v>1.2987012987012989</v>
      </c>
      <c r="DV543" s="79" t="s">
        <v>182</v>
      </c>
      <c r="DW543" s="79" t="s">
        <v>182</v>
      </c>
      <c r="DX543" s="79">
        <v>2</v>
      </c>
      <c r="DY543" s="79"/>
      <c r="DZ543" s="79"/>
      <c r="EA543" s="79">
        <v>140</v>
      </c>
      <c r="EB543" s="79" t="s">
        <v>191</v>
      </c>
      <c r="EC543" s="79"/>
      <c r="ED543" s="79" t="s">
        <v>184</v>
      </c>
      <c r="EE543" s="79" t="str">
        <f t="shared" ref="EE543:EE930" si="384">IF(DI543="Subsanado","Completo","Por Completar")</f>
        <v>Completo</v>
      </c>
      <c r="EF543" s="41"/>
      <c r="EG543" s="79" t="s">
        <v>152</v>
      </c>
      <c r="EH543" s="71"/>
      <c r="EI543" s="199" t="s">
        <v>3796</v>
      </c>
      <c r="EJ543" s="71"/>
      <c r="EK543" s="79" t="s">
        <v>2418</v>
      </c>
      <c r="EL543" s="76" t="str">
        <f t="shared" si="370"/>
        <v>Sí</v>
      </c>
      <c r="EM543" s="76" t="str">
        <f t="shared" si="371"/>
        <v>No</v>
      </c>
      <c r="EN543" s="76" t="str">
        <f t="shared" ref="EN543:EN557" si="385">IF(F543="NO","No requiere",IF(H543="No","No requiere",IF(CC543="","",IF(CD543&lt;&gt;"No aplica",IF(CD543&lt;&gt;"Ninguna",IF(COUNTIF(CD543:CF543,"*")&gt;=1,"Sí","No"),"No"),"No aplica"))))</f>
        <v>No</v>
      </c>
      <c r="EO543" s="71"/>
      <c r="EP543" s="73">
        <f t="shared" si="372"/>
        <v>1</v>
      </c>
      <c r="EQ543" s="77">
        <f t="shared" si="373"/>
        <v>1.2987012987012989</v>
      </c>
      <c r="ER543" s="71"/>
      <c r="ES543" s="79" t="s">
        <v>2418</v>
      </c>
      <c r="ET543" s="73">
        <f t="shared" si="374"/>
        <v>1</v>
      </c>
      <c r="EU543" s="73">
        <f t="shared" si="341"/>
        <v>1</v>
      </c>
      <c r="EV543" s="73">
        <f t="shared" si="375"/>
        <v>1</v>
      </c>
      <c r="EW543" s="73">
        <f t="shared" ref="EW543:EW559" si="386">IF(F543="NO","No requiere",IF(H543="No","No requiere",IFERROR(IF(BZ543="","",IF(EA543&lt;&gt;"No aplica",IF(EA543&gt;=1,DO543/EA543,"0%"),"No aplica")),"")))</f>
        <v>0</v>
      </c>
      <c r="EX543" s="78"/>
      <c r="EY543" s="78"/>
    </row>
    <row r="544" spans="1:155" ht="46.5" customHeight="1">
      <c r="A544" s="79">
        <v>540</v>
      </c>
      <c r="B544" s="80" t="s">
        <v>957</v>
      </c>
      <c r="C544" s="81">
        <v>45454</v>
      </c>
      <c r="D544" s="82">
        <v>0.33333333333333331</v>
      </c>
      <c r="E544" s="79" t="s">
        <v>200</v>
      </c>
      <c r="F544" s="79" t="s">
        <v>153</v>
      </c>
      <c r="G544" s="79" t="s">
        <v>152</v>
      </c>
      <c r="H544" s="79" t="s">
        <v>152</v>
      </c>
      <c r="I544" s="79" t="s">
        <v>152</v>
      </c>
      <c r="J544" s="79" t="s">
        <v>504</v>
      </c>
      <c r="K544" s="79" t="s">
        <v>155</v>
      </c>
      <c r="L544" s="80" t="s">
        <v>3081</v>
      </c>
      <c r="M544" s="80" t="s">
        <v>157</v>
      </c>
      <c r="N544" s="79" t="s">
        <v>644</v>
      </c>
      <c r="O544" s="80" t="str">
        <f t="shared" si="383"/>
        <v/>
      </c>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t="s">
        <v>169</v>
      </c>
      <c r="AP544" s="79" t="s">
        <v>2702</v>
      </c>
      <c r="AQ544" s="80" t="s">
        <v>3082</v>
      </c>
      <c r="AR544" s="83">
        <v>3005698632</v>
      </c>
      <c r="AS544" s="80" t="s">
        <v>960</v>
      </c>
      <c r="AT544" s="80" t="str">
        <f t="shared" si="366"/>
        <v>Engativá</v>
      </c>
      <c r="AU544" s="79" t="s">
        <v>234</v>
      </c>
      <c r="AV544" s="79"/>
      <c r="AW544" s="79"/>
      <c r="AX544" s="79"/>
      <c r="AY544" s="79"/>
      <c r="AZ544" s="79"/>
      <c r="BA544" s="80" t="str">
        <f t="shared" si="367"/>
        <v>Occidente</v>
      </c>
      <c r="BB544" s="79" t="s">
        <v>235</v>
      </c>
      <c r="BC544" s="79"/>
      <c r="BD544" s="79"/>
      <c r="BE544" s="79"/>
      <c r="BF544" s="79"/>
      <c r="BG544" s="79"/>
      <c r="BH544" s="80" t="str">
        <f t="shared" si="368"/>
        <v>Engativá, Tabora, Salitre</v>
      </c>
      <c r="BI544" s="79" t="s">
        <v>234</v>
      </c>
      <c r="BJ544" s="79" t="s">
        <v>414</v>
      </c>
      <c r="BK544" s="79" t="s">
        <v>415</v>
      </c>
      <c r="BL544" s="79"/>
      <c r="BM544" s="79"/>
      <c r="BN544" s="79"/>
      <c r="BO544" s="79"/>
      <c r="BP544" s="79"/>
      <c r="BQ544" s="79"/>
      <c r="BR544" s="79"/>
      <c r="BS544" s="80" t="s">
        <v>3797</v>
      </c>
      <c r="BT544" s="80" t="s">
        <v>174</v>
      </c>
      <c r="BU544" s="80" t="s">
        <v>3083</v>
      </c>
      <c r="BV544" s="71"/>
      <c r="BW544" s="79" t="s">
        <v>152</v>
      </c>
      <c r="BX544" s="79" t="s">
        <v>179</v>
      </c>
      <c r="BY544" s="71"/>
      <c r="BZ544" s="79">
        <v>23</v>
      </c>
      <c r="CA544" s="79">
        <v>1</v>
      </c>
      <c r="CB544" s="79">
        <f>BZ544+CA544</f>
        <v>24</v>
      </c>
      <c r="CC544" s="79" t="str">
        <f t="shared" si="382"/>
        <v>Accesibilidad Universal</v>
      </c>
      <c r="CD544" s="79" t="s">
        <v>397</v>
      </c>
      <c r="CE544" s="79"/>
      <c r="CF544" s="79"/>
      <c r="CG544" s="83" t="s">
        <v>3798</v>
      </c>
      <c r="CH544" s="41"/>
      <c r="CI544" s="79" t="s">
        <v>153</v>
      </c>
      <c r="CJ544" s="71"/>
      <c r="CK544" s="79">
        <f>COUNTIF(CL544:CQ544,"*")</f>
        <v>0</v>
      </c>
      <c r="CL544" s="79"/>
      <c r="CM544" s="79"/>
      <c r="CN544" s="79"/>
      <c r="CO544" s="79"/>
      <c r="CP544" s="79"/>
      <c r="CQ544" s="79"/>
      <c r="CR544" s="83" t="s">
        <v>179</v>
      </c>
      <c r="CS544" s="83" t="s">
        <v>179</v>
      </c>
      <c r="CT544" s="83" t="s">
        <v>179</v>
      </c>
      <c r="CU544" s="83" t="s">
        <v>179</v>
      </c>
      <c r="CV544" s="83" t="s">
        <v>179</v>
      </c>
      <c r="CW544" s="83" t="s">
        <v>179</v>
      </c>
      <c r="CX544" s="79" t="s">
        <v>153</v>
      </c>
      <c r="CY544" s="79">
        <f>SUM(COUNTIF(CR544:CW544,"Realizado y Devuelto a la Ciudadanía"),COUNTIF(CR544:CW544,"Realizado y Trasladado por competencia"), COUNTIF(CR544:CW544,"Realizado y Gestionado"))</f>
        <v>0</v>
      </c>
      <c r="CZ544" s="79">
        <v>0</v>
      </c>
      <c r="DA544" s="79">
        <f>COUNTIF(CR544:CW544,"Realizado y Devuelto a la Ciudadanía")</f>
        <v>0</v>
      </c>
      <c r="DB544" s="84" t="str">
        <f>IFERROR(CY544/CK544,"")</f>
        <v/>
      </c>
      <c r="DC544" s="41"/>
      <c r="DD544" s="79" t="s">
        <v>153</v>
      </c>
      <c r="DE544" s="71"/>
      <c r="DF544" s="85" t="s">
        <v>3799</v>
      </c>
      <c r="DG544" s="79">
        <v>533</v>
      </c>
      <c r="DH544" s="86" t="str">
        <f t="shared" si="362"/>
        <v>Completo</v>
      </c>
      <c r="DI544" s="79" t="s">
        <v>181</v>
      </c>
      <c r="DJ544" s="79" t="s">
        <v>182</v>
      </c>
      <c r="DK544" s="79"/>
      <c r="DL544" s="79">
        <v>0</v>
      </c>
      <c r="DM544" s="79">
        <v>0</v>
      </c>
      <c r="DN544" s="79" t="s">
        <v>182</v>
      </c>
      <c r="DO544" s="79"/>
      <c r="DP544" s="79"/>
      <c r="DQ544" s="79"/>
      <c r="DR544" s="75" t="str">
        <f>IF(H544="SÍ", (DQ544/(BZ544*0.3)), "No aplica")</f>
        <v>No aplica</v>
      </c>
      <c r="DS544" s="79"/>
      <c r="DT544" s="79"/>
      <c r="DU544" s="75" t="str">
        <f>IF(H544="SÍ", (DT544/(BZ544*0.35)), "No aplica")</f>
        <v>No aplica</v>
      </c>
      <c r="DV544" s="79" t="s">
        <v>182</v>
      </c>
      <c r="DW544" s="79" t="s">
        <v>182</v>
      </c>
      <c r="DX544" s="79"/>
      <c r="DY544" s="79"/>
      <c r="DZ544" s="79"/>
      <c r="EA544" s="79"/>
      <c r="EB544" s="79"/>
      <c r="EC544" s="79"/>
      <c r="ED544" s="79" t="s">
        <v>3728</v>
      </c>
      <c r="EE544" s="79" t="str">
        <f>IF(DI544="Subsanado","Completo","Por Completar")</f>
        <v>Completo</v>
      </c>
      <c r="EF544" s="41"/>
      <c r="EG544" s="79" t="s">
        <v>153</v>
      </c>
      <c r="EH544" s="71"/>
      <c r="EI544" s="80"/>
      <c r="EJ544" s="71"/>
      <c r="EK544" s="79"/>
      <c r="EL544" s="76" t="str">
        <f t="shared" si="370"/>
        <v>No requiere</v>
      </c>
      <c r="EM544" s="76" t="str">
        <f t="shared" si="371"/>
        <v>No requiere</v>
      </c>
      <c r="EN544" s="76" t="str">
        <f t="shared" si="385"/>
        <v>No requiere</v>
      </c>
      <c r="EO544" s="71"/>
      <c r="EP544" s="73" t="str">
        <f t="shared" si="372"/>
        <v>No requiere</v>
      </c>
      <c r="EQ544" s="77" t="str">
        <f t="shared" si="373"/>
        <v>No requiere</v>
      </c>
      <c r="ER544" s="71"/>
      <c r="ES544" s="79"/>
      <c r="ET544" s="73" t="str">
        <f t="shared" si="374"/>
        <v>No requiere</v>
      </c>
      <c r="EU544" s="73" t="str">
        <f t="shared" si="341"/>
        <v>No requiere</v>
      </c>
      <c r="EV544" s="73" t="str">
        <f t="shared" si="375"/>
        <v>No requiere</v>
      </c>
      <c r="EW544" s="73" t="str">
        <f t="shared" si="386"/>
        <v>No requiere</v>
      </c>
      <c r="EX544" s="78"/>
      <c r="EY544" s="78"/>
    </row>
    <row r="545" spans="1:155" ht="46.5" customHeight="1">
      <c r="A545" s="79">
        <v>541</v>
      </c>
      <c r="B545" s="80" t="s">
        <v>3800</v>
      </c>
      <c r="C545" s="81">
        <v>45454</v>
      </c>
      <c r="D545" s="82">
        <v>0.35416666666666669</v>
      </c>
      <c r="E545" s="79" t="s">
        <v>151</v>
      </c>
      <c r="F545" s="79" t="s">
        <v>153</v>
      </c>
      <c r="G545" s="79" t="s">
        <v>152</v>
      </c>
      <c r="H545" s="79" t="s">
        <v>152</v>
      </c>
      <c r="I545" s="79" t="s">
        <v>153</v>
      </c>
      <c r="J545" s="79" t="s">
        <v>2645</v>
      </c>
      <c r="K545" s="79" t="s">
        <v>155</v>
      </c>
      <c r="L545" s="80" t="s">
        <v>3801</v>
      </c>
      <c r="M545" s="80" t="s">
        <v>229</v>
      </c>
      <c r="N545" s="79" t="s">
        <v>720</v>
      </c>
      <c r="O545" s="80" t="str">
        <f t="shared" si="383"/>
        <v>Nicolas Esteban Hernández</v>
      </c>
      <c r="P545" s="79" t="s">
        <v>645</v>
      </c>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t="s">
        <v>169</v>
      </c>
      <c r="AP545" s="79"/>
      <c r="AQ545" s="80" t="s">
        <v>3802</v>
      </c>
      <c r="AR545" s="83" t="s">
        <v>3803</v>
      </c>
      <c r="AS545" s="80" t="s">
        <v>3804</v>
      </c>
      <c r="AT545" s="80" t="str">
        <f t="shared" si="366"/>
        <v>San Cristóbal</v>
      </c>
      <c r="AU545" s="79" t="s">
        <v>570</v>
      </c>
      <c r="AV545" s="79"/>
      <c r="AW545" s="79"/>
      <c r="AX545" s="79"/>
      <c r="AY545" s="79"/>
      <c r="AZ545" s="79"/>
      <c r="BA545" s="80" t="str">
        <f t="shared" si="367"/>
        <v>Suroriente, Ruralidad</v>
      </c>
      <c r="BB545" s="79" t="s">
        <v>218</v>
      </c>
      <c r="BC545" s="79" t="s">
        <v>219</v>
      </c>
      <c r="BD545" s="79"/>
      <c r="BE545" s="79"/>
      <c r="BF545" s="79"/>
      <c r="BG545" s="79"/>
      <c r="BH545" s="80" t="str">
        <f t="shared" si="368"/>
        <v>San Cristobal, Cerros Orientales</v>
      </c>
      <c r="BI545" s="79" t="s">
        <v>571</v>
      </c>
      <c r="BJ545" s="79" t="s">
        <v>361</v>
      </c>
      <c r="BK545" s="79"/>
      <c r="BL545" s="79"/>
      <c r="BM545" s="79"/>
      <c r="BN545" s="79"/>
      <c r="BO545" s="79"/>
      <c r="BP545" s="79"/>
      <c r="BQ545" s="79"/>
      <c r="BR545" s="79"/>
      <c r="BS545" s="80" t="s">
        <v>570</v>
      </c>
      <c r="BT545" s="80" t="s">
        <v>2875</v>
      </c>
      <c r="BU545" s="80" t="s">
        <v>3805</v>
      </c>
      <c r="BV545" s="71"/>
      <c r="BW545" s="79" t="s">
        <v>152</v>
      </c>
      <c r="BX545" s="79" t="s">
        <v>179</v>
      </c>
      <c r="BY545" s="71"/>
      <c r="BZ545" s="79">
        <v>10</v>
      </c>
      <c r="CA545" s="79">
        <v>4</v>
      </c>
      <c r="CB545" s="79">
        <f>BZ545+CA545</f>
        <v>14</v>
      </c>
      <c r="CC545" s="79" t="str">
        <f t="shared" si="382"/>
        <v>Ninguna</v>
      </c>
      <c r="CD545" s="79" t="s">
        <v>174</v>
      </c>
      <c r="CE545" s="79"/>
      <c r="CF545" s="79"/>
      <c r="CG545" s="83" t="s">
        <v>3806</v>
      </c>
      <c r="CH545" s="41"/>
      <c r="CI545" s="79" t="s">
        <v>153</v>
      </c>
      <c r="CJ545" s="71"/>
      <c r="CK545" s="79"/>
      <c r="CL545" s="79"/>
      <c r="CM545" s="79"/>
      <c r="CN545" s="79"/>
      <c r="CO545" s="79"/>
      <c r="CP545" s="79"/>
      <c r="CQ545" s="79"/>
      <c r="CR545" s="83" t="s">
        <v>179</v>
      </c>
      <c r="CS545" s="83" t="s">
        <v>179</v>
      </c>
      <c r="CT545" s="83" t="s">
        <v>179</v>
      </c>
      <c r="CU545" s="83" t="s">
        <v>179</v>
      </c>
      <c r="CV545" s="83" t="s">
        <v>179</v>
      </c>
      <c r="CW545" s="83" t="s">
        <v>179</v>
      </c>
      <c r="CX545" s="79" t="s">
        <v>153</v>
      </c>
      <c r="CY545" s="79"/>
      <c r="CZ545" s="79"/>
      <c r="DA545" s="79"/>
      <c r="DB545" s="84"/>
      <c r="DC545" s="41"/>
      <c r="DD545" s="79" t="s">
        <v>153</v>
      </c>
      <c r="DE545" s="71"/>
      <c r="DF545" s="127" t="s">
        <v>3807</v>
      </c>
      <c r="DG545" s="79">
        <v>534</v>
      </c>
      <c r="DH545" s="86">
        <v>45457</v>
      </c>
      <c r="DI545" s="79" t="s">
        <v>181</v>
      </c>
      <c r="DJ545" s="79" t="s">
        <v>182</v>
      </c>
      <c r="DK545" s="79"/>
      <c r="DL545" s="79"/>
      <c r="DM545" s="79"/>
      <c r="DN545" s="79" t="s">
        <v>182</v>
      </c>
      <c r="DO545" s="79"/>
      <c r="DP545" s="79"/>
      <c r="DQ545" s="79"/>
      <c r="DR545" s="75"/>
      <c r="DS545" s="79"/>
      <c r="DT545" s="79"/>
      <c r="DU545" s="75"/>
      <c r="DV545" s="79" t="s">
        <v>182</v>
      </c>
      <c r="DW545" s="79" t="s">
        <v>191</v>
      </c>
      <c r="DX545" s="79"/>
      <c r="DY545" s="79"/>
      <c r="DZ545" s="79"/>
      <c r="EA545" s="79"/>
      <c r="EB545" s="79"/>
      <c r="EC545" s="79"/>
      <c r="ED545" s="79" t="s">
        <v>3808</v>
      </c>
      <c r="EE545" s="79" t="str">
        <f>IF(DI545="Subsanado","Completo","Por Completar")</f>
        <v>Completo</v>
      </c>
      <c r="EF545" s="41"/>
      <c r="EG545" s="79" t="s">
        <v>153</v>
      </c>
      <c r="EH545" s="71"/>
      <c r="EI545" s="80"/>
      <c r="EJ545" s="71"/>
      <c r="EK545" s="79"/>
      <c r="EL545" s="76" t="str">
        <f t="shared" si="370"/>
        <v>No requiere</v>
      </c>
      <c r="EM545" s="76" t="str">
        <f t="shared" si="371"/>
        <v>No requiere</v>
      </c>
      <c r="EN545" s="76" t="str">
        <f t="shared" si="385"/>
        <v>No requiere</v>
      </c>
      <c r="EO545" s="71"/>
      <c r="EP545" s="73" t="str">
        <f t="shared" si="372"/>
        <v>No requiere</v>
      </c>
      <c r="EQ545" s="77" t="str">
        <f t="shared" si="373"/>
        <v>No requiere</v>
      </c>
      <c r="ER545" s="71"/>
      <c r="ES545" s="79"/>
      <c r="ET545" s="73" t="str">
        <f t="shared" si="374"/>
        <v>No requiere</v>
      </c>
      <c r="EU545" s="73" t="str">
        <f t="shared" si="341"/>
        <v>No requiere</v>
      </c>
      <c r="EV545" s="73" t="str">
        <f t="shared" si="375"/>
        <v>No requiere</v>
      </c>
      <c r="EW545" s="73" t="str">
        <f t="shared" si="386"/>
        <v>No requiere</v>
      </c>
      <c r="EX545" s="78"/>
      <c r="EY545" s="78"/>
    </row>
    <row r="546" spans="1:155" ht="46.5" customHeight="1">
      <c r="A546" s="79">
        <v>542</v>
      </c>
      <c r="B546" s="80" t="s">
        <v>3809</v>
      </c>
      <c r="C546" s="81">
        <v>45454</v>
      </c>
      <c r="D546" s="82">
        <v>0.39583333333333331</v>
      </c>
      <c r="E546" s="79" t="s">
        <v>853</v>
      </c>
      <c r="F546" s="79" t="s">
        <v>153</v>
      </c>
      <c r="G546" s="79" t="s">
        <v>152</v>
      </c>
      <c r="H546" s="79" t="s">
        <v>152</v>
      </c>
      <c r="I546" s="79" t="s">
        <v>152</v>
      </c>
      <c r="J546" s="79" t="s">
        <v>3649</v>
      </c>
      <c r="K546" s="79" t="s">
        <v>155</v>
      </c>
      <c r="L546" s="80" t="s">
        <v>3810</v>
      </c>
      <c r="M546" s="80" t="s">
        <v>229</v>
      </c>
      <c r="N546" s="79" t="s">
        <v>862</v>
      </c>
      <c r="O546" s="80" t="str">
        <f t="shared" si="383"/>
        <v/>
      </c>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t="s">
        <v>304</v>
      </c>
      <c r="AP546" s="79" t="s">
        <v>214</v>
      </c>
      <c r="AQ546" s="80" t="s">
        <v>3811</v>
      </c>
      <c r="AR546" s="83" t="s">
        <v>171</v>
      </c>
      <c r="AS546" s="80" t="s">
        <v>3812</v>
      </c>
      <c r="AT546" s="80" t="str">
        <f t="shared" si="366"/>
        <v>Tunjuelito</v>
      </c>
      <c r="AU546" s="79" t="s">
        <v>937</v>
      </c>
      <c r="AV546" s="79"/>
      <c r="AW546" s="79"/>
      <c r="AX546" s="79"/>
      <c r="AY546" s="79"/>
      <c r="AZ546" s="79"/>
      <c r="BA546" s="80" t="str">
        <f t="shared" si="367"/>
        <v>Suroriente</v>
      </c>
      <c r="BB546" s="79" t="s">
        <v>218</v>
      </c>
      <c r="BC546" s="79"/>
      <c r="BD546" s="79"/>
      <c r="BE546" s="79"/>
      <c r="BF546" s="79"/>
      <c r="BG546" s="79"/>
      <c r="BH546" s="80" t="str">
        <f t="shared" si="368"/>
        <v>Tunjuelito, Arborizadora</v>
      </c>
      <c r="BI546" s="79" t="s">
        <v>937</v>
      </c>
      <c r="BJ546" s="79" t="s">
        <v>220</v>
      </c>
      <c r="BK546" s="79"/>
      <c r="BL546" s="79"/>
      <c r="BM546" s="79"/>
      <c r="BN546" s="79"/>
      <c r="BO546" s="79"/>
      <c r="BP546" s="79"/>
      <c r="BQ546" s="79"/>
      <c r="BR546" s="79"/>
      <c r="BS546" s="80" t="s">
        <v>288</v>
      </c>
      <c r="BT546" s="80" t="s">
        <v>174</v>
      </c>
      <c r="BU546" s="80" t="s">
        <v>3813</v>
      </c>
      <c r="BV546" s="71"/>
      <c r="BW546" s="79" t="s">
        <v>152</v>
      </c>
      <c r="BX546" s="79" t="s">
        <v>179</v>
      </c>
      <c r="BY546" s="71"/>
      <c r="BZ546" s="79">
        <v>9</v>
      </c>
      <c r="CA546" s="79">
        <v>2</v>
      </c>
      <c r="CB546" s="79">
        <f t="shared" ref="CB546" si="387">BZ546+CA546</f>
        <v>11</v>
      </c>
      <c r="CC546" s="79" t="str">
        <f>_xlfn.TEXTJOIN(", ",TRUE,$CD546:$CF546)</f>
        <v>Horarios Acordes</v>
      </c>
      <c r="CD546" s="79" t="s">
        <v>351</v>
      </c>
      <c r="CE546" s="79"/>
      <c r="CF546" s="79"/>
      <c r="CG546" s="83" t="s">
        <v>3814</v>
      </c>
      <c r="CH546" s="41"/>
      <c r="CI546" s="79" t="s">
        <v>153</v>
      </c>
      <c r="CJ546" s="71"/>
      <c r="CK546" s="79">
        <f t="shared" ref="CK546" si="388">COUNTIF(CL546:CQ546,"*")</f>
        <v>0</v>
      </c>
      <c r="CL546" s="79"/>
      <c r="CM546" s="79"/>
      <c r="CN546" s="79"/>
      <c r="CO546" s="79"/>
      <c r="CP546" s="79"/>
      <c r="CQ546" s="79"/>
      <c r="CR546" s="83" t="s">
        <v>179</v>
      </c>
      <c r="CS546" s="83" t="s">
        <v>179</v>
      </c>
      <c r="CT546" s="83" t="s">
        <v>179</v>
      </c>
      <c r="CU546" s="83" t="s">
        <v>179</v>
      </c>
      <c r="CV546" s="83" t="s">
        <v>179</v>
      </c>
      <c r="CW546" s="83" t="s">
        <v>179</v>
      </c>
      <c r="CX546" s="79" t="s">
        <v>153</v>
      </c>
      <c r="CY546" s="79">
        <f t="shared" ref="CY546" si="389">SUM(COUNTIF(CR546:CW546,"Realizado y Devuelto a la Ciudadanía"),COUNTIF(CR546:CW546,"Realizado y Trasladado por competencia"), COUNTIF(CR546:CW546,"Realizado y Gestionado"))</f>
        <v>0</v>
      </c>
      <c r="CZ546" s="79">
        <v>0</v>
      </c>
      <c r="DA546" s="79">
        <f t="shared" ref="DA546" si="390">COUNTIF(CR546:CW546,"Realizado y Devuelto a la Ciudadanía")</f>
        <v>0</v>
      </c>
      <c r="DB546" s="84" t="str">
        <f t="shared" ref="DB546" si="391">IFERROR(CY546/CK546,"")</f>
        <v/>
      </c>
      <c r="DC546" s="41"/>
      <c r="DD546" s="79" t="s">
        <v>153</v>
      </c>
      <c r="DE546" s="71"/>
      <c r="DF546" s="85" t="s">
        <v>3815</v>
      </c>
      <c r="DG546" s="79">
        <v>535</v>
      </c>
      <c r="DH546" s="86" t="str">
        <f t="shared" ref="DH546:DH576" si="392">IF(EE546="Por completar",C546+3,"Completo")</f>
        <v>Completo</v>
      </c>
      <c r="DI546" s="79" t="s">
        <v>181</v>
      </c>
      <c r="DJ546" s="79" t="s">
        <v>182</v>
      </c>
      <c r="DK546" s="79"/>
      <c r="DL546" s="79">
        <v>0</v>
      </c>
      <c r="DM546" s="79">
        <v>0</v>
      </c>
      <c r="DN546" s="79" t="s">
        <v>182</v>
      </c>
      <c r="DO546" s="79"/>
      <c r="DP546" s="79"/>
      <c r="DQ546" s="79"/>
      <c r="DR546" s="75" t="str">
        <f t="shared" ref="DR546:DR559" si="393">IF(H546="SÍ", (DQ546/(BZ546*0.3)), "No aplica")</f>
        <v>No aplica</v>
      </c>
      <c r="DS546" s="79"/>
      <c r="DT546" s="79"/>
      <c r="DU546" s="75" t="str">
        <f t="shared" ref="DU546:DU559" si="394">IF(H546="SÍ", (DT546/(BZ546*0.35)), "No aplica")</f>
        <v>No aplica</v>
      </c>
      <c r="DV546" s="79" t="s">
        <v>182</v>
      </c>
      <c r="DW546" s="79"/>
      <c r="DX546" s="79"/>
      <c r="DY546" s="79"/>
      <c r="DZ546" s="79"/>
      <c r="EA546" s="79"/>
      <c r="EB546" s="79" t="s">
        <v>182</v>
      </c>
      <c r="EC546" s="79" t="s">
        <v>3816</v>
      </c>
      <c r="ED546" s="79" t="s">
        <v>3817</v>
      </c>
      <c r="EE546" s="79" t="str">
        <f t="shared" ref="EE546" si="395">IF(DI546="Subsanado","Completo","Por Completar")</f>
        <v>Completo</v>
      </c>
      <c r="EF546" s="41"/>
      <c r="EG546" s="79" t="s">
        <v>153</v>
      </c>
      <c r="EH546" s="71"/>
      <c r="EI546" s="80"/>
      <c r="EJ546" s="71"/>
      <c r="EK546" s="79"/>
      <c r="EL546" s="76" t="str">
        <f t="shared" si="370"/>
        <v>No requiere</v>
      </c>
      <c r="EM546" s="76" t="str">
        <f t="shared" si="371"/>
        <v>No requiere</v>
      </c>
      <c r="EN546" s="76" t="str">
        <f t="shared" si="385"/>
        <v>No requiere</v>
      </c>
      <c r="EO546" s="71"/>
      <c r="EP546" s="73" t="str">
        <f t="shared" si="372"/>
        <v>No requiere</v>
      </c>
      <c r="EQ546" s="77" t="str">
        <f t="shared" si="373"/>
        <v>No requiere</v>
      </c>
      <c r="ER546" s="71"/>
      <c r="ES546" s="79"/>
      <c r="ET546" s="73" t="str">
        <f t="shared" si="374"/>
        <v>No requiere</v>
      </c>
      <c r="EU546" s="73" t="str">
        <f t="shared" si="341"/>
        <v>No requiere</v>
      </c>
      <c r="EV546" s="73" t="str">
        <f t="shared" si="375"/>
        <v>No requiere</v>
      </c>
      <c r="EW546" s="73" t="str">
        <f t="shared" si="386"/>
        <v>No requiere</v>
      </c>
      <c r="EX546" s="78"/>
      <c r="EY546" s="78"/>
    </row>
    <row r="547" spans="1:155" ht="46.5" customHeight="1">
      <c r="A547" s="79" t="str">
        <v/>
      </c>
      <c r="B547" s="80" t="s">
        <v>3818</v>
      </c>
      <c r="C547" s="81">
        <v>45454</v>
      </c>
      <c r="D547" s="82">
        <v>0.58333333333333337</v>
      </c>
      <c r="E547" s="79" t="s">
        <v>151</v>
      </c>
      <c r="F547" s="79" t="s">
        <v>152</v>
      </c>
      <c r="G547" s="79" t="s">
        <v>153</v>
      </c>
      <c r="H547" s="79" t="s">
        <v>152</v>
      </c>
      <c r="I547" s="79" t="s">
        <v>152</v>
      </c>
      <c r="J547" s="79" t="s">
        <v>1768</v>
      </c>
      <c r="K547" s="79" t="s">
        <v>155</v>
      </c>
      <c r="L547" s="80" t="s">
        <v>3819</v>
      </c>
      <c r="M547" s="80" t="s">
        <v>303</v>
      </c>
      <c r="N547" s="79" t="s">
        <v>720</v>
      </c>
      <c r="O547" s="80" t="str">
        <f t="shared" si="383"/>
        <v>PENDIENTE, PENDIENTE</v>
      </c>
      <c r="P547" s="79" t="s">
        <v>196</v>
      </c>
      <c r="Q547" s="79" t="s">
        <v>196</v>
      </c>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t="s">
        <v>169</v>
      </c>
      <c r="AP547" s="79" t="s">
        <v>170</v>
      </c>
      <c r="AQ547" s="80" t="s">
        <v>3820</v>
      </c>
      <c r="AR547" s="83" t="s">
        <v>3821</v>
      </c>
      <c r="AS547" s="80" t="s">
        <v>3822</v>
      </c>
      <c r="AT547" s="80" t="str">
        <f t="shared" si="366"/>
        <v>Distrital</v>
      </c>
      <c r="AU547" s="79" t="s">
        <v>172</v>
      </c>
      <c r="AV547" s="79"/>
      <c r="AW547" s="79"/>
      <c r="AX547" s="79"/>
      <c r="AY547" s="79"/>
      <c r="AZ547" s="79"/>
      <c r="BA547" s="80" t="str">
        <f t="shared" si="367"/>
        <v>Distrital</v>
      </c>
      <c r="BB547" s="79" t="s">
        <v>172</v>
      </c>
      <c r="BC547" s="79"/>
      <c r="BD547" s="79"/>
      <c r="BE547" s="79"/>
      <c r="BF547" s="79"/>
      <c r="BG547" s="79"/>
      <c r="BH547" s="80" t="str">
        <f t="shared" si="368"/>
        <v>Distrital</v>
      </c>
      <c r="BI547" s="79" t="s">
        <v>172</v>
      </c>
      <c r="BJ547" s="79"/>
      <c r="BK547" s="79"/>
      <c r="BL547" s="79"/>
      <c r="BM547" s="79"/>
      <c r="BN547" s="79"/>
      <c r="BO547" s="79"/>
      <c r="BP547" s="79"/>
      <c r="BQ547" s="79"/>
      <c r="BR547" s="79"/>
      <c r="BS547" s="80" t="s">
        <v>288</v>
      </c>
      <c r="BT547" s="80" t="s">
        <v>174</v>
      </c>
      <c r="BU547" s="80" t="s">
        <v>3823</v>
      </c>
      <c r="BV547" s="71"/>
      <c r="BW547" s="79" t="s">
        <v>152</v>
      </c>
      <c r="BX547" s="79" t="s">
        <v>179</v>
      </c>
      <c r="BY547" s="71"/>
      <c r="BZ547" s="79">
        <v>0</v>
      </c>
      <c r="CA547" s="79">
        <v>12</v>
      </c>
      <c r="CB547" s="79">
        <f>BZ547+CA547</f>
        <v>12</v>
      </c>
      <c r="CC547" s="79" t="str">
        <f t="shared" si="382"/>
        <v>Ninguna</v>
      </c>
      <c r="CD547" s="79" t="s">
        <v>174</v>
      </c>
      <c r="CE547" s="79"/>
      <c r="CF547" s="79"/>
      <c r="CG547" s="83" t="s">
        <v>3824</v>
      </c>
      <c r="CH547" s="41"/>
      <c r="CI547" s="79" t="s">
        <v>153</v>
      </c>
      <c r="CJ547" s="71"/>
      <c r="CK547" s="79">
        <f>COUNTIF(CL547:CQ547,"*")</f>
        <v>0</v>
      </c>
      <c r="CL547" s="79"/>
      <c r="CM547" s="79"/>
      <c r="CN547" s="79"/>
      <c r="CO547" s="79"/>
      <c r="CP547" s="79"/>
      <c r="CQ547" s="79"/>
      <c r="CR547" s="83" t="s">
        <v>179</v>
      </c>
      <c r="CS547" s="83" t="s">
        <v>179</v>
      </c>
      <c r="CT547" s="83" t="s">
        <v>179</v>
      </c>
      <c r="CU547" s="83" t="s">
        <v>179</v>
      </c>
      <c r="CV547" s="83" t="s">
        <v>179</v>
      </c>
      <c r="CW547" s="83" t="s">
        <v>179</v>
      </c>
      <c r="CX547" s="79" t="s">
        <v>153</v>
      </c>
      <c r="CY547" s="79">
        <f>SUM(COUNTIF(CR547:CW547,"Realizado y Devuelto a la Ciudadanía"),COUNTIF(CR547:CW547,"Realizado y Trasladado por competencia"), COUNTIF(CR547:CW547,"Realizado y Gestionado"))</f>
        <v>0</v>
      </c>
      <c r="CZ547" s="79">
        <v>0</v>
      </c>
      <c r="DA547" s="79">
        <f>COUNTIF(CR547:CW547,"Realizado y Devuelto a la Ciudadanía")</f>
        <v>0</v>
      </c>
      <c r="DB547" s="84" t="str">
        <f>IFERROR(CY547/CK547,"")</f>
        <v/>
      </c>
      <c r="DC547" s="41"/>
      <c r="DD547" s="79" t="s">
        <v>153</v>
      </c>
      <c r="DE547" s="71"/>
      <c r="DF547" s="127" t="s">
        <v>3825</v>
      </c>
      <c r="DG547" s="79">
        <v>536</v>
      </c>
      <c r="DH547" s="86" t="str">
        <f t="shared" si="392"/>
        <v>Completo</v>
      </c>
      <c r="DI547" s="79" t="s">
        <v>181</v>
      </c>
      <c r="DJ547" s="79" t="s">
        <v>182</v>
      </c>
      <c r="DK547" s="79"/>
      <c r="DL547" s="79">
        <v>0</v>
      </c>
      <c r="DM547" s="79">
        <v>0</v>
      </c>
      <c r="DN547" s="79" t="s">
        <v>182</v>
      </c>
      <c r="DO547" s="79"/>
      <c r="DP547" s="79"/>
      <c r="DQ547" s="79"/>
      <c r="DR547" s="75" t="str">
        <f t="shared" si="393"/>
        <v>No aplica</v>
      </c>
      <c r="DS547" s="79"/>
      <c r="DT547" s="79"/>
      <c r="DU547" s="75" t="str">
        <f t="shared" si="394"/>
        <v>No aplica</v>
      </c>
      <c r="DV547" s="79" t="s">
        <v>182</v>
      </c>
      <c r="DW547" s="79"/>
      <c r="DX547" s="79"/>
      <c r="DY547" s="79"/>
      <c r="DZ547" s="79"/>
      <c r="EA547" s="79"/>
      <c r="EB547" s="79"/>
      <c r="EC547" s="79"/>
      <c r="ED547" s="79" t="s">
        <v>3826</v>
      </c>
      <c r="EE547" s="79" t="str">
        <f>IF(DI547="Subsanado","Completo","Por Completar")</f>
        <v>Completo</v>
      </c>
      <c r="EF547" s="41"/>
      <c r="EG547" s="79" t="s">
        <v>153</v>
      </c>
      <c r="EH547" s="71"/>
      <c r="EI547" s="80"/>
      <c r="EJ547" s="71"/>
      <c r="EK547" s="79"/>
      <c r="EL547" s="87" t="str">
        <f t="shared" si="370"/>
        <v>No requiere</v>
      </c>
      <c r="EM547" s="87" t="str">
        <f t="shared" si="371"/>
        <v>No requiere</v>
      </c>
      <c r="EN547" s="87" t="str">
        <f t="shared" si="385"/>
        <v>No requiere</v>
      </c>
      <c r="EO547" s="71"/>
      <c r="EP547" s="84" t="str">
        <f t="shared" si="372"/>
        <v>No requiere</v>
      </c>
      <c r="EQ547" s="88" t="str">
        <f t="shared" si="373"/>
        <v>No requiere</v>
      </c>
      <c r="ER547" s="71"/>
      <c r="ES547" s="79"/>
      <c r="ET547" s="84" t="str">
        <f t="shared" si="374"/>
        <v>No requiere</v>
      </c>
      <c r="EU547" s="84" t="str">
        <f t="shared" si="341"/>
        <v>No requiere</v>
      </c>
      <c r="EV547" s="84" t="str">
        <f t="shared" si="375"/>
        <v>No requiere</v>
      </c>
      <c r="EW547" s="84" t="str">
        <f t="shared" si="386"/>
        <v>No requiere</v>
      </c>
      <c r="EX547" s="78"/>
      <c r="EY547" s="78"/>
    </row>
    <row r="548" spans="1:155" ht="46.5" customHeight="1">
      <c r="A548" s="79">
        <v>544</v>
      </c>
      <c r="B548" s="80" t="s">
        <v>3827</v>
      </c>
      <c r="C548" s="81">
        <v>45454</v>
      </c>
      <c r="D548" s="82">
        <v>0.58333333333333337</v>
      </c>
      <c r="E548" s="79" t="s">
        <v>151</v>
      </c>
      <c r="F548" s="79" t="s">
        <v>153</v>
      </c>
      <c r="G548" s="79" t="s">
        <v>152</v>
      </c>
      <c r="H548" s="79" t="s">
        <v>152</v>
      </c>
      <c r="I548" s="79" t="s">
        <v>153</v>
      </c>
      <c r="J548" s="79" t="s">
        <v>227</v>
      </c>
      <c r="K548" s="79" t="s">
        <v>155</v>
      </c>
      <c r="L548" s="80" t="s">
        <v>3828</v>
      </c>
      <c r="M548" s="80" t="s">
        <v>303</v>
      </c>
      <c r="N548" s="79" t="s">
        <v>924</v>
      </c>
      <c r="O548" s="80" t="str">
        <f t="shared" si="383"/>
        <v>Nestor Jecfrid Sánchez</v>
      </c>
      <c r="P548" s="79" t="s">
        <v>965</v>
      </c>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t="s">
        <v>169</v>
      </c>
      <c r="AP548" s="79" t="s">
        <v>475</v>
      </c>
      <c r="AQ548" s="80" t="s">
        <v>3829</v>
      </c>
      <c r="AR548" s="83" t="s">
        <v>171</v>
      </c>
      <c r="AS548" s="80" t="s">
        <v>171</v>
      </c>
      <c r="AT548" s="80" t="str">
        <f t="shared" si="366"/>
        <v>Distrital</v>
      </c>
      <c r="AU548" s="79" t="s">
        <v>172</v>
      </c>
      <c r="AV548" s="79"/>
      <c r="AW548" s="79"/>
      <c r="AX548" s="79"/>
      <c r="AY548" s="79"/>
      <c r="AZ548" s="79"/>
      <c r="BA548" s="80" t="str">
        <f t="shared" si="367"/>
        <v>Distrital</v>
      </c>
      <c r="BB548" s="79" t="s">
        <v>172</v>
      </c>
      <c r="BC548" s="79"/>
      <c r="BD548" s="79"/>
      <c r="BE548" s="79"/>
      <c r="BF548" s="79"/>
      <c r="BG548" s="79"/>
      <c r="BH548" s="80" t="str">
        <f t="shared" si="368"/>
        <v>Distrital</v>
      </c>
      <c r="BI548" s="79" t="s">
        <v>172</v>
      </c>
      <c r="BJ548" s="79"/>
      <c r="BK548" s="79"/>
      <c r="BL548" s="79"/>
      <c r="BM548" s="79"/>
      <c r="BN548" s="79"/>
      <c r="BO548" s="79"/>
      <c r="BP548" s="79"/>
      <c r="BQ548" s="79"/>
      <c r="BR548" s="79"/>
      <c r="BS548" s="80" t="s">
        <v>288</v>
      </c>
      <c r="BT548" s="80" t="s">
        <v>174</v>
      </c>
      <c r="BU548" s="80" t="s">
        <v>3830</v>
      </c>
      <c r="BV548" s="71"/>
      <c r="BW548" s="79" t="s">
        <v>152</v>
      </c>
      <c r="BX548" s="79" t="s">
        <v>179</v>
      </c>
      <c r="BY548" s="71"/>
      <c r="BZ548" s="79">
        <v>7</v>
      </c>
      <c r="CA548" s="79">
        <v>7</v>
      </c>
      <c r="CB548" s="79">
        <f>BZ548+CA548</f>
        <v>14</v>
      </c>
      <c r="CC548" s="79" t="str">
        <f t="shared" si="382"/>
        <v>Ninguna</v>
      </c>
      <c r="CD548" s="79" t="s">
        <v>174</v>
      </c>
      <c r="CE548" s="79"/>
      <c r="CF548" s="79"/>
      <c r="CG548" s="83" t="s">
        <v>3831</v>
      </c>
      <c r="CH548" s="41"/>
      <c r="CI548" s="79" t="s">
        <v>153</v>
      </c>
      <c r="CJ548" s="71"/>
      <c r="CK548" s="79">
        <f>COUNTIF(CL548:CQ548,"*")</f>
        <v>0</v>
      </c>
      <c r="CL548" s="79"/>
      <c r="CM548" s="79"/>
      <c r="CN548" s="79"/>
      <c r="CO548" s="79"/>
      <c r="CP548" s="79"/>
      <c r="CQ548" s="79"/>
      <c r="CR548" s="83" t="s">
        <v>179</v>
      </c>
      <c r="CS548" s="83" t="s">
        <v>179</v>
      </c>
      <c r="CT548" s="83" t="s">
        <v>179</v>
      </c>
      <c r="CU548" s="83" t="s">
        <v>179</v>
      </c>
      <c r="CV548" s="83" t="s">
        <v>179</v>
      </c>
      <c r="CW548" s="83" t="s">
        <v>179</v>
      </c>
      <c r="CX548" s="79" t="s">
        <v>153</v>
      </c>
      <c r="CY548" s="79">
        <f>SUM(COUNTIF(CR548:CW548,"Realizado y Devuelto a la Ciudadanía"),COUNTIF(CR548:CW548,"Realizado y Trasladado por competencia"), COUNTIF(CR548:CW548,"Realizado y Gestionado"))</f>
        <v>0</v>
      </c>
      <c r="CZ548" s="79">
        <v>0</v>
      </c>
      <c r="DA548" s="79">
        <f>COUNTIF(CR548:CW548,"Realizado y Devuelto a la Ciudadanía")</f>
        <v>0</v>
      </c>
      <c r="DB548" s="84" t="str">
        <f>IFERROR(CY548/CK548,"")</f>
        <v/>
      </c>
      <c r="DC548" s="41"/>
      <c r="DD548" s="79" t="s">
        <v>153</v>
      </c>
      <c r="DE548" s="71"/>
      <c r="DF548" s="127" t="s">
        <v>3832</v>
      </c>
      <c r="DG548" s="79">
        <v>537</v>
      </c>
      <c r="DH548" s="86" t="str">
        <f t="shared" si="392"/>
        <v>Completo</v>
      </c>
      <c r="DI548" s="79" t="s">
        <v>181</v>
      </c>
      <c r="DJ548" s="79" t="s">
        <v>182</v>
      </c>
      <c r="DK548" s="79"/>
      <c r="DL548" s="79">
        <v>0</v>
      </c>
      <c r="DM548" s="79">
        <v>0</v>
      </c>
      <c r="DN548" s="79" t="s">
        <v>182</v>
      </c>
      <c r="DO548" s="79"/>
      <c r="DP548" s="79"/>
      <c r="DQ548" s="79"/>
      <c r="DR548" s="75" t="str">
        <f t="shared" si="393"/>
        <v>No aplica</v>
      </c>
      <c r="DS548" s="79"/>
      <c r="DT548" s="79"/>
      <c r="DU548" s="75" t="str">
        <f t="shared" si="394"/>
        <v>No aplica</v>
      </c>
      <c r="DV548" s="79" t="s">
        <v>182</v>
      </c>
      <c r="DW548" s="79" t="s">
        <v>191</v>
      </c>
      <c r="DX548" s="79"/>
      <c r="DY548" s="79"/>
      <c r="DZ548" s="79"/>
      <c r="EA548" s="79"/>
      <c r="EB548" s="79" t="s">
        <v>191</v>
      </c>
      <c r="EC548" s="79"/>
      <c r="ED548" s="79" t="s">
        <v>3728</v>
      </c>
      <c r="EE548" s="79" t="str">
        <f>IF(DI548="Subsanado","Completo","Por Completar")</f>
        <v>Completo</v>
      </c>
      <c r="EF548" s="41"/>
      <c r="EG548" s="79" t="s">
        <v>153</v>
      </c>
      <c r="EH548" s="71"/>
      <c r="EI548" s="80"/>
      <c r="EJ548" s="71"/>
      <c r="EK548" s="79"/>
      <c r="EL548" s="76" t="str">
        <f t="shared" si="370"/>
        <v>No requiere</v>
      </c>
      <c r="EM548" s="76" t="str">
        <f t="shared" si="371"/>
        <v>No requiere</v>
      </c>
      <c r="EN548" s="76" t="str">
        <f t="shared" si="385"/>
        <v>No requiere</v>
      </c>
      <c r="EO548" s="71"/>
      <c r="EP548" s="73" t="str">
        <f t="shared" si="372"/>
        <v>No requiere</v>
      </c>
      <c r="EQ548" s="77" t="str">
        <f t="shared" si="373"/>
        <v>No requiere</v>
      </c>
      <c r="ER548" s="71"/>
      <c r="ES548" s="79"/>
      <c r="ET548" s="73" t="str">
        <f t="shared" si="374"/>
        <v>No requiere</v>
      </c>
      <c r="EU548" s="73" t="str">
        <f t="shared" si="341"/>
        <v>No requiere</v>
      </c>
      <c r="EV548" s="73" t="str">
        <f t="shared" si="375"/>
        <v>No requiere</v>
      </c>
      <c r="EW548" s="73" t="str">
        <f t="shared" si="386"/>
        <v>No requiere</v>
      </c>
      <c r="EX548" s="78"/>
      <c r="EY548" s="78"/>
    </row>
    <row r="549" spans="1:155" ht="46.5" customHeight="1">
      <c r="A549" s="79">
        <v>545</v>
      </c>
      <c r="B549" s="80" t="s">
        <v>3833</v>
      </c>
      <c r="C549" s="81">
        <v>45454</v>
      </c>
      <c r="D549" s="82">
        <v>0.58333333333333337</v>
      </c>
      <c r="E549" s="79" t="s">
        <v>200</v>
      </c>
      <c r="F549" s="79" t="s">
        <v>153</v>
      </c>
      <c r="G549" s="79" t="s">
        <v>152</v>
      </c>
      <c r="H549" s="79" t="s">
        <v>152</v>
      </c>
      <c r="I549" s="79" t="s">
        <v>152</v>
      </c>
      <c r="J549" s="79" t="s">
        <v>504</v>
      </c>
      <c r="K549" s="79" t="s">
        <v>155</v>
      </c>
      <c r="L549" s="80" t="s">
        <v>3834</v>
      </c>
      <c r="M549" s="80" t="s">
        <v>157</v>
      </c>
      <c r="N549" s="79" t="s">
        <v>632</v>
      </c>
      <c r="O549" s="80" t="str">
        <f t="shared" si="383"/>
        <v/>
      </c>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t="s">
        <v>169</v>
      </c>
      <c r="AP549" s="79" t="s">
        <v>2702</v>
      </c>
      <c r="AQ549" s="80" t="s">
        <v>3835</v>
      </c>
      <c r="AR549" s="83">
        <v>3053986582</v>
      </c>
      <c r="AS549" s="80" t="s">
        <v>3836</v>
      </c>
      <c r="AT549" s="80" t="str">
        <f t="shared" si="366"/>
        <v>Chapinero</v>
      </c>
      <c r="AU549" s="79" t="s">
        <v>360</v>
      </c>
      <c r="AV549" s="79"/>
      <c r="AW549" s="79"/>
      <c r="AX549" s="79"/>
      <c r="AY549" s="79"/>
      <c r="AZ549" s="79"/>
      <c r="BA549" s="80" t="str">
        <f t="shared" si="367"/>
        <v>Centro Ampliado, Ruralidad</v>
      </c>
      <c r="BB549" s="79" t="s">
        <v>636</v>
      </c>
      <c r="BC549" s="79" t="s">
        <v>219</v>
      </c>
      <c r="BD549" s="79"/>
      <c r="BE549" s="79"/>
      <c r="BF549" s="79"/>
      <c r="BG549" s="79"/>
      <c r="BH549" s="80" t="str">
        <f t="shared" si="368"/>
        <v>Centro Histórico, Chapinero, Cerros Orientales</v>
      </c>
      <c r="BI549" s="79" t="s">
        <v>754</v>
      </c>
      <c r="BJ549" s="79" t="s">
        <v>360</v>
      </c>
      <c r="BK549" s="79" t="s">
        <v>361</v>
      </c>
      <c r="BL549" s="79"/>
      <c r="BM549" s="79"/>
      <c r="BN549" s="79"/>
      <c r="BO549" s="79"/>
      <c r="BP549" s="79"/>
      <c r="BQ549" s="79"/>
      <c r="BR549" s="79"/>
      <c r="BS549" s="80" t="s">
        <v>288</v>
      </c>
      <c r="BT549" s="80" t="s">
        <v>174</v>
      </c>
      <c r="BU549" s="80" t="s">
        <v>3837</v>
      </c>
      <c r="BV549" s="71"/>
      <c r="BW549" s="79" t="s">
        <v>152</v>
      </c>
      <c r="BX549" s="79" t="s">
        <v>179</v>
      </c>
      <c r="BY549" s="71"/>
      <c r="BZ549" s="79">
        <v>13</v>
      </c>
      <c r="CA549" s="79">
        <v>1</v>
      </c>
      <c r="CB549" s="79">
        <f t="shared" si="281"/>
        <v>14</v>
      </c>
      <c r="CC549" s="79" t="str">
        <f t="shared" si="382"/>
        <v>Contenidos adaptados</v>
      </c>
      <c r="CD549" s="79" t="s">
        <v>350</v>
      </c>
      <c r="CE549" s="79"/>
      <c r="CF549" s="79"/>
      <c r="CG549" s="83" t="s">
        <v>3838</v>
      </c>
      <c r="CH549" s="41"/>
      <c r="CI549" s="79" t="s">
        <v>153</v>
      </c>
      <c r="CJ549" s="71"/>
      <c r="CK549" s="79">
        <f t="shared" si="377"/>
        <v>0</v>
      </c>
      <c r="CL549" s="79"/>
      <c r="CM549" s="79"/>
      <c r="CN549" s="79"/>
      <c r="CO549" s="79"/>
      <c r="CP549" s="79"/>
      <c r="CQ549" s="79"/>
      <c r="CR549" s="83" t="s">
        <v>179</v>
      </c>
      <c r="CS549" s="83" t="s">
        <v>179</v>
      </c>
      <c r="CT549" s="83" t="s">
        <v>179</v>
      </c>
      <c r="CU549" s="83" t="s">
        <v>179</v>
      </c>
      <c r="CV549" s="83" t="s">
        <v>179</v>
      </c>
      <c r="CW549" s="83" t="s">
        <v>179</v>
      </c>
      <c r="CX549" s="79" t="s">
        <v>153</v>
      </c>
      <c r="CY549" s="79">
        <f t="shared" si="358"/>
        <v>0</v>
      </c>
      <c r="CZ549" s="79">
        <v>0</v>
      </c>
      <c r="DA549" s="79">
        <f t="shared" si="359"/>
        <v>0</v>
      </c>
      <c r="DB549" s="84" t="str">
        <f t="shared" si="364"/>
        <v/>
      </c>
      <c r="DC549" s="41"/>
      <c r="DD549" s="79" t="s">
        <v>153</v>
      </c>
      <c r="DE549" s="71"/>
      <c r="DF549" s="85" t="s">
        <v>3799</v>
      </c>
      <c r="DG549" s="79">
        <v>538</v>
      </c>
      <c r="DH549" s="86" t="str">
        <f t="shared" si="392"/>
        <v>Completo</v>
      </c>
      <c r="DI549" s="79" t="s">
        <v>181</v>
      </c>
      <c r="DJ549" s="79" t="s">
        <v>182</v>
      </c>
      <c r="DK549" s="79"/>
      <c r="DL549" s="79">
        <v>0</v>
      </c>
      <c r="DM549" s="79">
        <v>0</v>
      </c>
      <c r="DN549" s="79" t="s">
        <v>182</v>
      </c>
      <c r="DO549" s="79"/>
      <c r="DP549" s="79"/>
      <c r="DQ549" s="79"/>
      <c r="DR549" s="75" t="str">
        <f t="shared" si="393"/>
        <v>No aplica</v>
      </c>
      <c r="DS549" s="79"/>
      <c r="DT549" s="79"/>
      <c r="DU549" s="75" t="str">
        <f t="shared" si="394"/>
        <v>No aplica</v>
      </c>
      <c r="DV549" s="79" t="s">
        <v>182</v>
      </c>
      <c r="DW549" s="79" t="s">
        <v>182</v>
      </c>
      <c r="DX549" s="79"/>
      <c r="DY549" s="79"/>
      <c r="DZ549" s="79"/>
      <c r="EA549" s="79"/>
      <c r="EB549" s="79" t="s">
        <v>182</v>
      </c>
      <c r="EC549" s="79" t="s">
        <v>3839</v>
      </c>
      <c r="ED549" s="79" t="s">
        <v>1743</v>
      </c>
      <c r="EE549" s="79" t="str">
        <f t="shared" si="384"/>
        <v>Completo</v>
      </c>
      <c r="EF549" s="41"/>
      <c r="EG549" s="79" t="s">
        <v>153</v>
      </c>
      <c r="EH549" s="71"/>
      <c r="EI549" s="80"/>
      <c r="EJ549" s="71"/>
      <c r="EK549" s="79"/>
      <c r="EL549" s="76" t="str">
        <f t="shared" si="370"/>
        <v>No requiere</v>
      </c>
      <c r="EM549" s="76" t="str">
        <f t="shared" si="371"/>
        <v>No requiere</v>
      </c>
      <c r="EN549" s="76" t="str">
        <f t="shared" si="385"/>
        <v>No requiere</v>
      </c>
      <c r="EO549" s="71"/>
      <c r="EP549" s="73" t="str">
        <f t="shared" si="372"/>
        <v>No requiere</v>
      </c>
      <c r="EQ549" s="77" t="str">
        <f t="shared" si="373"/>
        <v>No requiere</v>
      </c>
      <c r="ER549" s="71"/>
      <c r="ES549" s="79"/>
      <c r="ET549" s="73" t="str">
        <f t="shared" si="374"/>
        <v>No requiere</v>
      </c>
      <c r="EU549" s="73" t="str">
        <f t="shared" si="341"/>
        <v>No requiere</v>
      </c>
      <c r="EV549" s="73" t="str">
        <f t="shared" si="375"/>
        <v>No requiere</v>
      </c>
      <c r="EW549" s="73" t="str">
        <f t="shared" si="386"/>
        <v>No requiere</v>
      </c>
      <c r="EX549" s="78"/>
      <c r="EY549" s="78"/>
    </row>
    <row r="550" spans="1:155" ht="46.5" customHeight="1">
      <c r="A550" s="97" t="str">
        <v/>
      </c>
      <c r="B550" s="98" t="s">
        <v>3840</v>
      </c>
      <c r="C550" s="99">
        <v>45454</v>
      </c>
      <c r="D550" s="100">
        <v>0.60416666666666663</v>
      </c>
      <c r="E550" s="97" t="s">
        <v>151</v>
      </c>
      <c r="F550" s="97" t="s">
        <v>152</v>
      </c>
      <c r="G550" s="97" t="s">
        <v>153</v>
      </c>
      <c r="H550" s="97" t="s">
        <v>152</v>
      </c>
      <c r="I550" s="97" t="s">
        <v>152</v>
      </c>
      <c r="J550" s="97" t="s">
        <v>251</v>
      </c>
      <c r="K550" s="97" t="s">
        <v>155</v>
      </c>
      <c r="L550" s="98" t="s">
        <v>3841</v>
      </c>
      <c r="M550" s="98" t="s">
        <v>157</v>
      </c>
      <c r="N550" s="97" t="s">
        <v>328</v>
      </c>
      <c r="O550" s="80" t="str">
        <f t="shared" si="383"/>
        <v>Laura Sofia Morales, Mónica Lyzeth Cantor</v>
      </c>
      <c r="P550" s="97" t="s">
        <v>506</v>
      </c>
      <c r="Q550" s="97" t="s">
        <v>346</v>
      </c>
      <c r="R550" s="97"/>
      <c r="S550" s="97"/>
      <c r="T550" s="97"/>
      <c r="U550" s="97"/>
      <c r="V550" s="97"/>
      <c r="W550" s="97"/>
      <c r="X550" s="97"/>
      <c r="Y550" s="97"/>
      <c r="Z550" s="97"/>
      <c r="AA550" s="97"/>
      <c r="AB550" s="97"/>
      <c r="AC550" s="97"/>
      <c r="AD550" s="97"/>
      <c r="AE550" s="97"/>
      <c r="AF550" s="97"/>
      <c r="AG550" s="97"/>
      <c r="AH550" s="97"/>
      <c r="AI550" s="97"/>
      <c r="AJ550" s="97"/>
      <c r="AK550" s="97"/>
      <c r="AL550" s="97"/>
      <c r="AM550" s="97"/>
      <c r="AN550" s="97"/>
      <c r="AO550" s="97" t="s">
        <v>169</v>
      </c>
      <c r="AP550" s="97" t="s">
        <v>170</v>
      </c>
      <c r="AQ550" s="98" t="s">
        <v>3842</v>
      </c>
      <c r="AR550" s="101" t="s">
        <v>3843</v>
      </c>
      <c r="AS550" s="98" t="s">
        <v>3844</v>
      </c>
      <c r="AT550" s="80" t="str">
        <f t="shared" si="366"/>
        <v>Ciudad Bolívar, Chapinero</v>
      </c>
      <c r="AU550" s="97" t="s">
        <v>217</v>
      </c>
      <c r="AV550" s="97" t="s">
        <v>360</v>
      </c>
      <c r="AW550" s="97"/>
      <c r="AX550" s="97"/>
      <c r="AY550" s="97"/>
      <c r="AZ550" s="97"/>
      <c r="BA550" s="80" t="str">
        <f t="shared" si="367"/>
        <v>Suroriente, Centro Ampliado, Ruralidad</v>
      </c>
      <c r="BB550" s="97" t="s">
        <v>218</v>
      </c>
      <c r="BC550" s="97" t="s">
        <v>636</v>
      </c>
      <c r="BD550" s="97" t="s">
        <v>219</v>
      </c>
      <c r="BE550" s="97"/>
      <c r="BF550" s="97"/>
      <c r="BG550" s="97"/>
      <c r="BH550" s="80" t="str">
        <f t="shared" si="368"/>
        <v>Chapinero, Cerros Orientales, Centro Histórico, Arborizadora, Lucero, Cuenca del Tunjuelo</v>
      </c>
      <c r="BI550" s="97" t="s">
        <v>360</v>
      </c>
      <c r="BJ550" s="97" t="s">
        <v>361</v>
      </c>
      <c r="BK550" s="97" t="s">
        <v>754</v>
      </c>
      <c r="BL550" s="97" t="s">
        <v>220</v>
      </c>
      <c r="BM550" s="97" t="s">
        <v>221</v>
      </c>
      <c r="BN550" s="97" t="s">
        <v>222</v>
      </c>
      <c r="BO550" s="97"/>
      <c r="BP550" s="97"/>
      <c r="BQ550" s="97"/>
      <c r="BR550" s="97"/>
      <c r="BS550" s="98" t="s">
        <v>288</v>
      </c>
      <c r="BT550" s="98" t="s">
        <v>1798</v>
      </c>
      <c r="BU550" s="98" t="s">
        <v>3845</v>
      </c>
      <c r="BV550" s="102"/>
      <c r="BW550" s="97" t="s">
        <v>152</v>
      </c>
      <c r="BX550" s="97" t="s">
        <v>179</v>
      </c>
      <c r="BY550" s="102"/>
      <c r="BZ550" s="97">
        <v>0</v>
      </c>
      <c r="CA550" s="97">
        <v>6</v>
      </c>
      <c r="CB550" s="97">
        <f t="shared" si="281"/>
        <v>6</v>
      </c>
      <c r="CC550" s="129" t="str">
        <f t="shared" si="382"/>
        <v>Ninguna</v>
      </c>
      <c r="CD550" s="97" t="s">
        <v>174</v>
      </c>
      <c r="CE550" s="97"/>
      <c r="CF550" s="97"/>
      <c r="CG550" s="101" t="s">
        <v>3846</v>
      </c>
      <c r="CH550" s="103"/>
      <c r="CI550" s="97" t="s">
        <v>153</v>
      </c>
      <c r="CJ550" s="102"/>
      <c r="CK550" s="97">
        <f t="shared" si="377"/>
        <v>0</v>
      </c>
      <c r="CL550" s="97"/>
      <c r="CM550" s="97"/>
      <c r="CN550" s="97"/>
      <c r="CO550" s="97"/>
      <c r="CP550" s="97"/>
      <c r="CQ550" s="97"/>
      <c r="CR550" s="101" t="s">
        <v>179</v>
      </c>
      <c r="CS550" s="101" t="s">
        <v>179</v>
      </c>
      <c r="CT550" s="101" t="s">
        <v>179</v>
      </c>
      <c r="CU550" s="101" t="s">
        <v>179</v>
      </c>
      <c r="CV550" s="101" t="s">
        <v>179</v>
      </c>
      <c r="CW550" s="101" t="s">
        <v>179</v>
      </c>
      <c r="CX550" s="97" t="s">
        <v>153</v>
      </c>
      <c r="CY550" s="97">
        <f t="shared" si="358"/>
        <v>0</v>
      </c>
      <c r="CZ550" s="97">
        <v>0</v>
      </c>
      <c r="DA550" s="97">
        <f t="shared" si="359"/>
        <v>0</v>
      </c>
      <c r="DB550" s="104" t="str">
        <f t="shared" si="364"/>
        <v/>
      </c>
      <c r="DC550" s="103"/>
      <c r="DD550" s="97" t="s">
        <v>153</v>
      </c>
      <c r="DE550" s="71"/>
      <c r="DF550" s="127" t="s">
        <v>3847</v>
      </c>
      <c r="DG550" s="79">
        <v>539</v>
      </c>
      <c r="DH550" s="96" t="str">
        <f t="shared" si="392"/>
        <v>Completo</v>
      </c>
      <c r="DI550" s="97" t="s">
        <v>181</v>
      </c>
      <c r="DJ550" s="97" t="s">
        <v>182</v>
      </c>
      <c r="DK550" s="97"/>
      <c r="DL550" s="97">
        <v>0</v>
      </c>
      <c r="DM550" s="97">
        <v>0</v>
      </c>
      <c r="DN550" s="97" t="s">
        <v>182</v>
      </c>
      <c r="DO550" s="97"/>
      <c r="DP550" s="97"/>
      <c r="DQ550" s="97"/>
      <c r="DR550" s="75" t="str">
        <f t="shared" si="393"/>
        <v>No aplica</v>
      </c>
      <c r="DS550" s="97"/>
      <c r="DT550" s="97"/>
      <c r="DU550" s="75" t="str">
        <f t="shared" si="394"/>
        <v>No aplica</v>
      </c>
      <c r="DV550" s="97" t="s">
        <v>182</v>
      </c>
      <c r="DW550" s="97"/>
      <c r="DX550" s="97"/>
      <c r="DY550" s="97"/>
      <c r="DZ550" s="97"/>
      <c r="EA550" s="97"/>
      <c r="EB550" s="97" t="s">
        <v>182</v>
      </c>
      <c r="EC550" s="97" t="s">
        <v>3848</v>
      </c>
      <c r="ED550" s="97" t="s">
        <v>1743</v>
      </c>
      <c r="EE550" s="97" t="str">
        <f t="shared" si="384"/>
        <v>Completo</v>
      </c>
      <c r="EF550" s="103"/>
      <c r="EG550" s="97" t="s">
        <v>153</v>
      </c>
      <c r="EH550" s="102"/>
      <c r="EI550" s="98"/>
      <c r="EJ550" s="102"/>
      <c r="EK550" s="97"/>
      <c r="EL550" s="76" t="str">
        <f t="shared" si="370"/>
        <v>No requiere</v>
      </c>
      <c r="EM550" s="76" t="str">
        <f t="shared" si="371"/>
        <v>No requiere</v>
      </c>
      <c r="EN550" s="76" t="str">
        <f t="shared" si="385"/>
        <v>No requiere</v>
      </c>
      <c r="EO550" s="71"/>
      <c r="EP550" s="73" t="str">
        <f t="shared" si="372"/>
        <v>No requiere</v>
      </c>
      <c r="EQ550" s="77" t="str">
        <f t="shared" si="373"/>
        <v>No requiere</v>
      </c>
      <c r="ER550" s="102"/>
      <c r="ES550" s="97"/>
      <c r="ET550" s="73" t="str">
        <f t="shared" si="374"/>
        <v>No requiere</v>
      </c>
      <c r="EU550" s="73" t="str">
        <f t="shared" si="341"/>
        <v>No requiere</v>
      </c>
      <c r="EV550" s="73" t="str">
        <f t="shared" si="375"/>
        <v>No requiere</v>
      </c>
      <c r="EW550" s="73" t="str">
        <f t="shared" si="386"/>
        <v>No requiere</v>
      </c>
      <c r="EX550" s="105"/>
      <c r="EY550" s="105"/>
    </row>
    <row r="551" spans="1:155" ht="46.5" customHeight="1">
      <c r="A551" s="79">
        <v>547</v>
      </c>
      <c r="B551" s="80" t="s">
        <v>2770</v>
      </c>
      <c r="C551" s="81">
        <v>45454</v>
      </c>
      <c r="D551" s="82">
        <v>0.70833333333333337</v>
      </c>
      <c r="E551" s="79" t="s">
        <v>200</v>
      </c>
      <c r="F551" s="79" t="s">
        <v>153</v>
      </c>
      <c r="G551" s="79" t="s">
        <v>152</v>
      </c>
      <c r="H551" s="79" t="s">
        <v>152</v>
      </c>
      <c r="I551" s="79" t="s">
        <v>152</v>
      </c>
      <c r="J551" s="79" t="s">
        <v>211</v>
      </c>
      <c r="K551" s="79" t="s">
        <v>202</v>
      </c>
      <c r="L551" s="80" t="s">
        <v>3849</v>
      </c>
      <c r="M551" s="80" t="s">
        <v>624</v>
      </c>
      <c r="N551" s="79" t="s">
        <v>253</v>
      </c>
      <c r="O551" s="80" t="str">
        <f t="shared" si="383"/>
        <v>PENDIENTE</v>
      </c>
      <c r="P551" s="79" t="s">
        <v>196</v>
      </c>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t="s">
        <v>230</v>
      </c>
      <c r="AP551" s="79" t="s">
        <v>242</v>
      </c>
      <c r="AQ551" s="80" t="s">
        <v>625</v>
      </c>
      <c r="AR551" s="83">
        <v>3188799909</v>
      </c>
      <c r="AS551" s="80" t="s">
        <v>682</v>
      </c>
      <c r="AT551" s="80" t="s">
        <v>172</v>
      </c>
      <c r="AU551" s="79" t="s">
        <v>172</v>
      </c>
      <c r="AV551" s="79"/>
      <c r="AW551" s="79"/>
      <c r="AX551" s="79"/>
      <c r="AY551" s="79"/>
      <c r="AZ551" s="79"/>
      <c r="BA551" s="80" t="str">
        <f t="shared" si="367"/>
        <v>Distrital</v>
      </c>
      <c r="BB551" s="79" t="s">
        <v>172</v>
      </c>
      <c r="BC551" s="79"/>
      <c r="BD551" s="79"/>
      <c r="BE551" s="79"/>
      <c r="BF551" s="79"/>
      <c r="BG551" s="79"/>
      <c r="BH551" s="80" t="str">
        <f t="shared" si="368"/>
        <v>Distrital</v>
      </c>
      <c r="BI551" s="79" t="s">
        <v>172</v>
      </c>
      <c r="BJ551" s="79"/>
      <c r="BK551" s="79"/>
      <c r="BL551" s="79"/>
      <c r="BM551" s="79"/>
      <c r="BN551" s="79"/>
      <c r="BO551" s="79"/>
      <c r="BP551" s="79"/>
      <c r="BQ551" s="79"/>
      <c r="BR551" s="79"/>
      <c r="BS551" s="80" t="s">
        <v>288</v>
      </c>
      <c r="BT551" s="80" t="s">
        <v>174</v>
      </c>
      <c r="BU551" s="128" t="s">
        <v>3850</v>
      </c>
      <c r="BV551" s="71"/>
      <c r="BW551" s="79" t="s">
        <v>152</v>
      </c>
      <c r="BX551" s="79" t="s">
        <v>179</v>
      </c>
      <c r="BY551" s="71"/>
      <c r="BZ551" s="79">
        <v>58</v>
      </c>
      <c r="CA551" s="79">
        <v>2</v>
      </c>
      <c r="CB551" s="79">
        <f>BZ551+CA551</f>
        <v>60</v>
      </c>
      <c r="CC551" s="79" t="str">
        <f t="shared" si="382"/>
        <v>Ninguna</v>
      </c>
      <c r="CD551" s="79" t="s">
        <v>174</v>
      </c>
      <c r="CE551" s="79"/>
      <c r="CF551" s="79"/>
      <c r="CG551" s="83" t="s">
        <v>3851</v>
      </c>
      <c r="CH551" s="41"/>
      <c r="CI551" s="79" t="s">
        <v>153</v>
      </c>
      <c r="CJ551" s="71"/>
      <c r="CK551" s="79">
        <f>COUNTIF(CL551:CQ551,"*")</f>
        <v>0</v>
      </c>
      <c r="CL551" s="79"/>
      <c r="CM551" s="79"/>
      <c r="CN551" s="79"/>
      <c r="CO551" s="79"/>
      <c r="CP551" s="79"/>
      <c r="CQ551" s="79"/>
      <c r="CR551" s="83" t="s">
        <v>179</v>
      </c>
      <c r="CS551" s="83" t="s">
        <v>179</v>
      </c>
      <c r="CT551" s="83" t="s">
        <v>179</v>
      </c>
      <c r="CU551" s="83" t="s">
        <v>179</v>
      </c>
      <c r="CV551" s="83" t="s">
        <v>179</v>
      </c>
      <c r="CW551" s="83" t="s">
        <v>179</v>
      </c>
      <c r="CX551" s="79" t="s">
        <v>153</v>
      </c>
      <c r="CY551" s="79">
        <f>SUM(COUNTIF(CR551:CW551,"Realizado y Devuelto a la Ciudadanía"),COUNTIF(CR551:CW551,"Realizado y Trasladado por competencia"), COUNTIF(CR551:CW551,"Realizado y Gestionado"))</f>
        <v>0</v>
      </c>
      <c r="CZ551" s="79">
        <v>0</v>
      </c>
      <c r="DA551" s="79">
        <f>COUNTIF(CR551:CW551,"Realizado y Devuelto a la Ciudadanía")</f>
        <v>0</v>
      </c>
      <c r="DB551" s="84" t="str">
        <f>IFERROR(CY551/CK551,"")</f>
        <v/>
      </c>
      <c r="DC551" s="41"/>
      <c r="DD551" s="79" t="s">
        <v>153</v>
      </c>
      <c r="DE551" s="71"/>
      <c r="DF551" s="127" t="s">
        <v>3852</v>
      </c>
      <c r="DG551" s="79">
        <v>540</v>
      </c>
      <c r="DH551" s="86" t="str">
        <f t="shared" si="392"/>
        <v>Completo</v>
      </c>
      <c r="DI551" s="79" t="s">
        <v>181</v>
      </c>
      <c r="DJ551" s="79" t="s">
        <v>182</v>
      </c>
      <c r="DK551" s="79"/>
      <c r="DL551" s="79">
        <v>0</v>
      </c>
      <c r="DM551" s="79">
        <v>0</v>
      </c>
      <c r="DN551" s="79" t="s">
        <v>182</v>
      </c>
      <c r="DO551" s="79"/>
      <c r="DP551" s="79"/>
      <c r="DQ551" s="79"/>
      <c r="DR551" s="75" t="str">
        <f t="shared" si="393"/>
        <v>No aplica</v>
      </c>
      <c r="DS551" s="79"/>
      <c r="DT551" s="79"/>
      <c r="DU551" s="75" t="str">
        <f t="shared" si="394"/>
        <v>No aplica</v>
      </c>
      <c r="DV551" s="79" t="s">
        <v>182</v>
      </c>
      <c r="DW551" s="79" t="s">
        <v>182</v>
      </c>
      <c r="DX551" s="79"/>
      <c r="DY551" s="79"/>
      <c r="DZ551" s="79"/>
      <c r="EA551" s="79"/>
      <c r="EB551" s="79" t="s">
        <v>3407</v>
      </c>
      <c r="EC551" s="79" t="s">
        <v>3853</v>
      </c>
      <c r="ED551" s="79" t="s">
        <v>3854</v>
      </c>
      <c r="EE551" s="79" t="str">
        <f>IF(DI551="Subsanado","Completo","Por Completar")</f>
        <v>Completo</v>
      </c>
      <c r="EF551" s="41"/>
      <c r="EG551" s="79" t="s">
        <v>153</v>
      </c>
      <c r="EH551" s="71"/>
      <c r="EI551" s="80"/>
      <c r="EJ551" s="71"/>
      <c r="EK551" s="79"/>
      <c r="EL551" s="87" t="str">
        <f t="shared" si="370"/>
        <v>No requiere</v>
      </c>
      <c r="EM551" s="87" t="str">
        <f t="shared" si="371"/>
        <v>No requiere</v>
      </c>
      <c r="EN551" s="87" t="str">
        <f t="shared" si="385"/>
        <v>No requiere</v>
      </c>
      <c r="EO551" s="71"/>
      <c r="EP551" s="84" t="str">
        <f t="shared" si="372"/>
        <v>No requiere</v>
      </c>
      <c r="EQ551" s="88" t="str">
        <f t="shared" si="373"/>
        <v>No requiere</v>
      </c>
      <c r="ER551" s="71"/>
      <c r="ES551" s="79"/>
      <c r="ET551" s="84" t="str">
        <f t="shared" si="374"/>
        <v>No requiere</v>
      </c>
      <c r="EU551" s="84" t="str">
        <f t="shared" si="341"/>
        <v>No requiere</v>
      </c>
      <c r="EV551" s="84" t="str">
        <f t="shared" si="375"/>
        <v>No requiere</v>
      </c>
      <c r="EW551" s="84" t="str">
        <f t="shared" si="386"/>
        <v>No requiere</v>
      </c>
      <c r="EX551" s="78"/>
      <c r="EY551" s="78"/>
    </row>
    <row r="552" spans="1:155" ht="46.5" customHeight="1">
      <c r="A552" s="79">
        <v>548</v>
      </c>
      <c r="B552" s="80" t="s">
        <v>1360</v>
      </c>
      <c r="C552" s="81">
        <v>45455</v>
      </c>
      <c r="D552" s="82">
        <v>0.33333333333333331</v>
      </c>
      <c r="E552" s="79" t="s">
        <v>200</v>
      </c>
      <c r="F552" s="79" t="s">
        <v>153</v>
      </c>
      <c r="G552" s="79" t="s">
        <v>152</v>
      </c>
      <c r="H552" s="79" t="s">
        <v>152</v>
      </c>
      <c r="I552" s="79" t="s">
        <v>152</v>
      </c>
      <c r="J552" s="79" t="s">
        <v>504</v>
      </c>
      <c r="K552" s="79" t="s">
        <v>155</v>
      </c>
      <c r="L552" s="80" t="s">
        <v>1361</v>
      </c>
      <c r="M552" s="80" t="s">
        <v>157</v>
      </c>
      <c r="N552" s="79" t="s">
        <v>862</v>
      </c>
      <c r="O552" s="80" t="str">
        <f t="shared" si="383"/>
        <v/>
      </c>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t="s">
        <v>169</v>
      </c>
      <c r="AP552" s="79" t="s">
        <v>2702</v>
      </c>
      <c r="AQ552" s="80" t="s">
        <v>3855</v>
      </c>
      <c r="AR552" s="83">
        <v>3156499699</v>
      </c>
      <c r="AS552" s="80" t="s">
        <v>3307</v>
      </c>
      <c r="AT552" s="80" t="str">
        <f t="shared" ref="AT552:AT582" si="396">_xlfn.TEXTJOIN(", ",TRUE,$AU552:$AY552)</f>
        <v>Tunjuelito</v>
      </c>
      <c r="AU552" s="79" t="s">
        <v>937</v>
      </c>
      <c r="AV552" s="79"/>
      <c r="AW552" s="79"/>
      <c r="AX552" s="79"/>
      <c r="AY552" s="79"/>
      <c r="AZ552" s="79"/>
      <c r="BA552" s="80" t="str">
        <f t="shared" si="367"/>
        <v>Suroriente</v>
      </c>
      <c r="BB552" s="79" t="s">
        <v>218</v>
      </c>
      <c r="BC552" s="79"/>
      <c r="BD552" s="79"/>
      <c r="BE552" s="79"/>
      <c r="BF552" s="79"/>
      <c r="BG552" s="79"/>
      <c r="BH552" s="80" t="str">
        <f t="shared" si="368"/>
        <v>Tunjuelito, Arborizadora</v>
      </c>
      <c r="BI552" s="79" t="s">
        <v>937</v>
      </c>
      <c r="BJ552" s="79" t="s">
        <v>220</v>
      </c>
      <c r="BK552" s="79"/>
      <c r="BL552" s="79"/>
      <c r="BM552" s="79"/>
      <c r="BN552" s="79"/>
      <c r="BO552" s="79"/>
      <c r="BP552" s="79"/>
      <c r="BQ552" s="79"/>
      <c r="BR552" s="79"/>
      <c r="BS552" s="80" t="s">
        <v>937</v>
      </c>
      <c r="BT552" s="80" t="s">
        <v>174</v>
      </c>
      <c r="BU552" s="80" t="s">
        <v>3856</v>
      </c>
      <c r="BV552" s="71"/>
      <c r="BW552" s="79" t="s">
        <v>152</v>
      </c>
      <c r="BX552" s="79" t="s">
        <v>179</v>
      </c>
      <c r="BY552" s="71"/>
      <c r="BZ552" s="79">
        <v>21</v>
      </c>
      <c r="CA552" s="79">
        <v>1</v>
      </c>
      <c r="CB552" s="79">
        <f t="shared" si="281"/>
        <v>22</v>
      </c>
      <c r="CC552" s="79" t="str">
        <f t="shared" si="382"/>
        <v>Horarios Acordes</v>
      </c>
      <c r="CD552" s="79" t="s">
        <v>351</v>
      </c>
      <c r="CE552" s="79"/>
      <c r="CF552" s="79"/>
      <c r="CG552" s="83" t="s">
        <v>3857</v>
      </c>
      <c r="CH552" s="41"/>
      <c r="CI552" s="79" t="s">
        <v>153</v>
      </c>
      <c r="CJ552" s="71"/>
      <c r="CK552" s="79">
        <f t="shared" si="377"/>
        <v>0</v>
      </c>
      <c r="CL552" s="79"/>
      <c r="CM552" s="79"/>
      <c r="CN552" s="79"/>
      <c r="CO552" s="79"/>
      <c r="CP552" s="79"/>
      <c r="CQ552" s="79"/>
      <c r="CR552" s="83" t="s">
        <v>179</v>
      </c>
      <c r="CS552" s="83" t="s">
        <v>179</v>
      </c>
      <c r="CT552" s="83" t="s">
        <v>179</v>
      </c>
      <c r="CU552" s="83" t="s">
        <v>179</v>
      </c>
      <c r="CV552" s="83" t="s">
        <v>179</v>
      </c>
      <c r="CW552" s="83" t="s">
        <v>179</v>
      </c>
      <c r="CX552" s="79" t="s">
        <v>153</v>
      </c>
      <c r="CY552" s="79">
        <f t="shared" si="358"/>
        <v>0</v>
      </c>
      <c r="CZ552" s="79">
        <v>0</v>
      </c>
      <c r="DA552" s="79">
        <f t="shared" si="359"/>
        <v>0</v>
      </c>
      <c r="DB552" s="84" t="str">
        <f t="shared" si="364"/>
        <v/>
      </c>
      <c r="DC552" s="41"/>
      <c r="DD552" s="79" t="s">
        <v>153</v>
      </c>
      <c r="DE552" s="71"/>
      <c r="DF552" s="85" t="s">
        <v>3858</v>
      </c>
      <c r="DG552" s="79">
        <v>541</v>
      </c>
      <c r="DH552" s="86" t="str">
        <f t="shared" si="392"/>
        <v>Completo</v>
      </c>
      <c r="DI552" s="79" t="s">
        <v>181</v>
      </c>
      <c r="DJ552" s="79" t="s">
        <v>182</v>
      </c>
      <c r="DK552" s="79"/>
      <c r="DL552" s="79">
        <v>0</v>
      </c>
      <c r="DM552" s="79">
        <v>0</v>
      </c>
      <c r="DN552" s="79" t="s">
        <v>182</v>
      </c>
      <c r="DO552" s="79"/>
      <c r="DP552" s="79"/>
      <c r="DQ552" s="79"/>
      <c r="DR552" s="75" t="str">
        <f t="shared" si="393"/>
        <v>No aplica</v>
      </c>
      <c r="DS552" s="79"/>
      <c r="DT552" s="79"/>
      <c r="DU552" s="75" t="str">
        <f t="shared" si="394"/>
        <v>No aplica</v>
      </c>
      <c r="DV552" s="79" t="s">
        <v>182</v>
      </c>
      <c r="DW552" s="79" t="s">
        <v>182</v>
      </c>
      <c r="DX552" s="79"/>
      <c r="DY552" s="79"/>
      <c r="DZ552" s="79"/>
      <c r="EA552" s="79"/>
      <c r="EB552" s="79" t="s">
        <v>182</v>
      </c>
      <c r="EC552" s="79" t="s">
        <v>3859</v>
      </c>
      <c r="ED552" s="79" t="s">
        <v>1743</v>
      </c>
      <c r="EE552" s="79" t="str">
        <f t="shared" si="384"/>
        <v>Completo</v>
      </c>
      <c r="EF552" s="41"/>
      <c r="EG552" s="79" t="s">
        <v>153</v>
      </c>
      <c r="EH552" s="71"/>
      <c r="EI552" s="80"/>
      <c r="EJ552" s="71"/>
      <c r="EK552" s="79"/>
      <c r="EL552" s="76" t="str">
        <f t="shared" si="370"/>
        <v>No requiere</v>
      </c>
      <c r="EM552" s="76" t="str">
        <f t="shared" si="371"/>
        <v>No requiere</v>
      </c>
      <c r="EN552" s="76" t="str">
        <f t="shared" si="385"/>
        <v>No requiere</v>
      </c>
      <c r="EO552" s="71"/>
      <c r="EP552" s="73" t="str">
        <f t="shared" si="372"/>
        <v>No requiere</v>
      </c>
      <c r="EQ552" s="77" t="str">
        <f t="shared" si="373"/>
        <v>No requiere</v>
      </c>
      <c r="ER552" s="71"/>
      <c r="ES552" s="79"/>
      <c r="ET552" s="73" t="str">
        <f t="shared" si="374"/>
        <v>No requiere</v>
      </c>
      <c r="EU552" s="73" t="str">
        <f t="shared" si="341"/>
        <v>No requiere</v>
      </c>
      <c r="EV552" s="73" t="str">
        <f t="shared" si="375"/>
        <v>No requiere</v>
      </c>
      <c r="EW552" s="73" t="str">
        <f t="shared" si="386"/>
        <v>No requiere</v>
      </c>
      <c r="EX552" s="78"/>
      <c r="EY552" s="78"/>
    </row>
    <row r="553" spans="1:155" ht="46.5" customHeight="1">
      <c r="A553" s="79">
        <v>549</v>
      </c>
      <c r="B553" s="80" t="s">
        <v>1000</v>
      </c>
      <c r="C553" s="81">
        <v>45455</v>
      </c>
      <c r="D553" s="82">
        <v>0.35416666666666669</v>
      </c>
      <c r="E553" s="79" t="s">
        <v>200</v>
      </c>
      <c r="F553" s="79" t="s">
        <v>153</v>
      </c>
      <c r="G553" s="79" t="s">
        <v>152</v>
      </c>
      <c r="H553" s="79" t="s">
        <v>152</v>
      </c>
      <c r="I553" s="79" t="s">
        <v>152</v>
      </c>
      <c r="J553" s="79" t="s">
        <v>504</v>
      </c>
      <c r="K553" s="79" t="s">
        <v>155</v>
      </c>
      <c r="L553" s="80" t="s">
        <v>1001</v>
      </c>
      <c r="M553" s="80" t="s">
        <v>157</v>
      </c>
      <c r="N553" s="79" t="s">
        <v>1387</v>
      </c>
      <c r="O553" s="80" t="str">
        <f t="shared" si="383"/>
        <v/>
      </c>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t="s">
        <v>169</v>
      </c>
      <c r="AP553" s="79" t="s">
        <v>2702</v>
      </c>
      <c r="AQ553" s="80" t="s">
        <v>3860</v>
      </c>
      <c r="AR553" s="83" t="s">
        <v>3861</v>
      </c>
      <c r="AS553" s="80" t="s">
        <v>2017</v>
      </c>
      <c r="AT553" s="80" t="str">
        <f t="shared" si="396"/>
        <v>Teusaquillo</v>
      </c>
      <c r="AU553" s="79" t="s">
        <v>1004</v>
      </c>
      <c r="AV553" s="79"/>
      <c r="AW553" s="79"/>
      <c r="AX553" s="79"/>
      <c r="AY553" s="79"/>
      <c r="AZ553" s="79"/>
      <c r="BA553" s="80" t="str">
        <f t="shared" si="367"/>
        <v>Centro Ampliado</v>
      </c>
      <c r="BB553" s="79" t="s">
        <v>636</v>
      </c>
      <c r="BC553" s="79"/>
      <c r="BD553" s="79"/>
      <c r="BE553" s="79"/>
      <c r="BF553" s="79"/>
      <c r="BG553" s="79"/>
      <c r="BH553" s="80" t="str">
        <f t="shared" si="368"/>
        <v>Teusaquillo</v>
      </c>
      <c r="BI553" s="79" t="s">
        <v>1004</v>
      </c>
      <c r="BJ553" s="79"/>
      <c r="BK553" s="79"/>
      <c r="BL553" s="79"/>
      <c r="BM553" s="79"/>
      <c r="BN553" s="79"/>
      <c r="BO553" s="79"/>
      <c r="BP553" s="79"/>
      <c r="BQ553" s="79"/>
      <c r="BR553" s="79"/>
      <c r="BS553" s="80" t="s">
        <v>1004</v>
      </c>
      <c r="BT553" s="80" t="s">
        <v>174</v>
      </c>
      <c r="BU553" s="80" t="s">
        <v>3862</v>
      </c>
      <c r="BV553" s="71"/>
      <c r="BW553" s="79" t="s">
        <v>152</v>
      </c>
      <c r="BX553" s="79" t="s">
        <v>179</v>
      </c>
      <c r="BY553" s="71"/>
      <c r="BZ553" s="79">
        <v>12</v>
      </c>
      <c r="CA553" s="79">
        <v>1</v>
      </c>
      <c r="CB553" s="79">
        <f>BZ553+CA553</f>
        <v>13</v>
      </c>
      <c r="CC553" s="79" t="str">
        <f t="shared" si="382"/>
        <v>Ninguna</v>
      </c>
      <c r="CD553" s="79" t="s">
        <v>174</v>
      </c>
      <c r="CE553" s="79"/>
      <c r="CF553" s="79"/>
      <c r="CG553" s="83" t="s">
        <v>3863</v>
      </c>
      <c r="CH553" s="41"/>
      <c r="CI553" s="79" t="s">
        <v>153</v>
      </c>
      <c r="CJ553" s="71"/>
      <c r="CK553" s="79">
        <f>COUNTIF(CL553:CQ553,"*")</f>
        <v>0</v>
      </c>
      <c r="CL553" s="79"/>
      <c r="CM553" s="79"/>
      <c r="CN553" s="79"/>
      <c r="CO553" s="79"/>
      <c r="CP553" s="79"/>
      <c r="CQ553" s="79"/>
      <c r="CR553" s="83" t="s">
        <v>179</v>
      </c>
      <c r="CS553" s="83" t="s">
        <v>179</v>
      </c>
      <c r="CT553" s="83" t="s">
        <v>179</v>
      </c>
      <c r="CU553" s="83" t="s">
        <v>179</v>
      </c>
      <c r="CV553" s="83" t="s">
        <v>179</v>
      </c>
      <c r="CW553" s="83" t="s">
        <v>179</v>
      </c>
      <c r="CX553" s="79" t="s">
        <v>153</v>
      </c>
      <c r="CY553" s="79">
        <f>SUM(COUNTIF(CR553:CW553,"Realizado y Devuelto a la Ciudadanía"),COUNTIF(CR553:CW553,"Realizado y Trasladado por competencia"), COUNTIF(CR553:CW553,"Realizado y Gestionado"))</f>
        <v>0</v>
      </c>
      <c r="CZ553" s="79">
        <v>0</v>
      </c>
      <c r="DA553" s="79">
        <f>COUNTIF(CR553:CW553,"Realizado y Devuelto a la Ciudadanía")</f>
        <v>0</v>
      </c>
      <c r="DB553" s="84" t="str">
        <f>IFERROR(CY553/CK553,"")</f>
        <v/>
      </c>
      <c r="DC553" s="41"/>
      <c r="DD553" s="79" t="s">
        <v>153</v>
      </c>
      <c r="DE553" s="71"/>
      <c r="DF553" s="127" t="s">
        <v>3864</v>
      </c>
      <c r="DG553" s="79">
        <v>542</v>
      </c>
      <c r="DH553" s="86" t="str">
        <f t="shared" si="392"/>
        <v>Completo</v>
      </c>
      <c r="DI553" s="79" t="s">
        <v>181</v>
      </c>
      <c r="DJ553" s="79" t="s">
        <v>182</v>
      </c>
      <c r="DK553" s="79"/>
      <c r="DL553" s="79">
        <v>0</v>
      </c>
      <c r="DM553" s="79">
        <v>0</v>
      </c>
      <c r="DN553" s="79" t="s">
        <v>182</v>
      </c>
      <c r="DO553" s="79"/>
      <c r="DP553" s="79"/>
      <c r="DQ553" s="79"/>
      <c r="DR553" s="75" t="str">
        <f t="shared" si="393"/>
        <v>No aplica</v>
      </c>
      <c r="DS553" s="79"/>
      <c r="DT553" s="79"/>
      <c r="DU553" s="75" t="str">
        <f t="shared" si="394"/>
        <v>No aplica</v>
      </c>
      <c r="DV553" s="79" t="s">
        <v>182</v>
      </c>
      <c r="DW553" s="79" t="s">
        <v>182</v>
      </c>
      <c r="DX553" s="79"/>
      <c r="DY553" s="79"/>
      <c r="DZ553" s="79"/>
      <c r="EA553" s="79"/>
      <c r="EB553" s="79" t="s">
        <v>182</v>
      </c>
      <c r="EC553" s="79" t="s">
        <v>3865</v>
      </c>
      <c r="ED553" s="79" t="s">
        <v>3866</v>
      </c>
      <c r="EE553" s="79" t="str">
        <f>IF(DI553="Subsanado","Completo","Por Completar")</f>
        <v>Completo</v>
      </c>
      <c r="EF553" s="41"/>
      <c r="EG553" s="79" t="s">
        <v>153</v>
      </c>
      <c r="EH553" s="71"/>
      <c r="EI553" s="80"/>
      <c r="EJ553" s="71"/>
      <c r="EK553" s="79"/>
      <c r="EL553" s="76" t="str">
        <f t="shared" si="370"/>
        <v>No requiere</v>
      </c>
      <c r="EM553" s="76" t="str">
        <f t="shared" si="371"/>
        <v>No requiere</v>
      </c>
      <c r="EN553" s="76" t="str">
        <f t="shared" si="385"/>
        <v>No requiere</v>
      </c>
      <c r="EO553" s="71"/>
      <c r="EP553" s="73" t="str">
        <f t="shared" si="372"/>
        <v>No requiere</v>
      </c>
      <c r="EQ553" s="77" t="str">
        <f t="shared" si="373"/>
        <v>No requiere</v>
      </c>
      <c r="ER553" s="71"/>
      <c r="ES553" s="79"/>
      <c r="ET553" s="73" t="str">
        <f t="shared" si="374"/>
        <v>No requiere</v>
      </c>
      <c r="EU553" s="73" t="str">
        <f t="shared" si="341"/>
        <v>No requiere</v>
      </c>
      <c r="EV553" s="73" t="str">
        <f t="shared" si="375"/>
        <v>No requiere</v>
      </c>
      <c r="EW553" s="73" t="str">
        <f t="shared" si="386"/>
        <v>No requiere</v>
      </c>
      <c r="EX553" s="78"/>
      <c r="EY553" s="78"/>
    </row>
    <row r="554" spans="1:155" ht="46.5" customHeight="1">
      <c r="A554" s="79">
        <v>550</v>
      </c>
      <c r="B554" s="80" t="s">
        <v>3867</v>
      </c>
      <c r="C554" s="81">
        <v>45455</v>
      </c>
      <c r="D554" s="82">
        <v>0.49305555555555558</v>
      </c>
      <c r="E554" s="79" t="s">
        <v>853</v>
      </c>
      <c r="F554" s="79" t="s">
        <v>153</v>
      </c>
      <c r="G554" s="79" t="s">
        <v>152</v>
      </c>
      <c r="H554" s="79" t="s">
        <v>152</v>
      </c>
      <c r="I554" s="79" t="s">
        <v>152</v>
      </c>
      <c r="J554" s="79" t="s">
        <v>2201</v>
      </c>
      <c r="K554" s="79" t="s">
        <v>155</v>
      </c>
      <c r="L554" s="80" t="s">
        <v>3868</v>
      </c>
      <c r="M554" s="80" t="s">
        <v>157</v>
      </c>
      <c r="N554" s="79" t="s">
        <v>966</v>
      </c>
      <c r="O554" s="80" t="str">
        <f t="shared" si="383"/>
        <v>Renata Rengifo Moyano</v>
      </c>
      <c r="P554" s="79" t="s">
        <v>1066</v>
      </c>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t="s">
        <v>304</v>
      </c>
      <c r="AP554" s="79"/>
      <c r="AQ554" s="80" t="s">
        <v>3869</v>
      </c>
      <c r="AR554" s="83">
        <v>3102727031</v>
      </c>
      <c r="AS554" s="80" t="s">
        <v>3870</v>
      </c>
      <c r="AT554" s="80" t="str">
        <f t="shared" si="396"/>
        <v>Distrital</v>
      </c>
      <c r="AU554" s="79" t="s">
        <v>172</v>
      </c>
      <c r="AV554" s="79"/>
      <c r="AW554" s="79"/>
      <c r="AX554" s="79"/>
      <c r="AY554" s="79"/>
      <c r="AZ554" s="79"/>
      <c r="BA554" s="80" t="str">
        <f t="shared" si="367"/>
        <v>Distrital</v>
      </c>
      <c r="BB554" s="79" t="s">
        <v>172</v>
      </c>
      <c r="BC554" s="79"/>
      <c r="BD554" s="79"/>
      <c r="BE554" s="79"/>
      <c r="BF554" s="79"/>
      <c r="BG554" s="79"/>
      <c r="BH554" s="80" t="str">
        <f t="shared" si="368"/>
        <v>Distrital</v>
      </c>
      <c r="BI554" s="79" t="s">
        <v>172</v>
      </c>
      <c r="BJ554" s="79"/>
      <c r="BK554" s="79"/>
      <c r="BL554" s="79"/>
      <c r="BM554" s="79"/>
      <c r="BN554" s="79"/>
      <c r="BO554" s="79"/>
      <c r="BP554" s="79"/>
      <c r="BQ554" s="79"/>
      <c r="BR554" s="79"/>
      <c r="BS554" s="80" t="s">
        <v>288</v>
      </c>
      <c r="BT554" s="80" t="s">
        <v>174</v>
      </c>
      <c r="BU554" s="80" t="s">
        <v>3871</v>
      </c>
      <c r="BV554" s="71"/>
      <c r="BW554" s="79" t="s">
        <v>152</v>
      </c>
      <c r="BX554" s="79" t="s">
        <v>179</v>
      </c>
      <c r="BY554" s="71"/>
      <c r="BZ554" s="79">
        <v>4</v>
      </c>
      <c r="CA554" s="79">
        <v>4</v>
      </c>
      <c r="CB554" s="79">
        <f>BZ554+CA554</f>
        <v>8</v>
      </c>
      <c r="CC554" s="79" t="str">
        <f>_xlfn.TEXTJOIN(", ",TRUE,$CD554:$CF554)</f>
        <v>Ninguna</v>
      </c>
      <c r="CD554" s="79" t="s">
        <v>174</v>
      </c>
      <c r="CE554" s="79"/>
      <c r="CF554" s="79"/>
      <c r="CG554" s="83" t="s">
        <v>3872</v>
      </c>
      <c r="CH554" s="41"/>
      <c r="CI554" s="79" t="s">
        <v>153</v>
      </c>
      <c r="CJ554" s="71"/>
      <c r="CK554" s="79">
        <f>COUNTIF(CL554:CQ554,"*")</f>
        <v>0</v>
      </c>
      <c r="CL554" s="79"/>
      <c r="CM554" s="79"/>
      <c r="CN554" s="79"/>
      <c r="CO554" s="79"/>
      <c r="CP554" s="79"/>
      <c r="CQ554" s="79"/>
      <c r="CR554" s="83" t="s">
        <v>179</v>
      </c>
      <c r="CS554" s="83" t="s">
        <v>179</v>
      </c>
      <c r="CT554" s="83" t="s">
        <v>179</v>
      </c>
      <c r="CU554" s="83" t="s">
        <v>179</v>
      </c>
      <c r="CV554" s="83" t="s">
        <v>179</v>
      </c>
      <c r="CW554" s="83" t="s">
        <v>179</v>
      </c>
      <c r="CX554" s="79" t="s">
        <v>153</v>
      </c>
      <c r="CY554" s="79">
        <f>SUM(COUNTIF(CR554:CW554,"Realizado y Devuelto a la Ciudadanía"),COUNTIF(CR554:CW554,"Realizado y Trasladado por competencia"), COUNTIF(CR554:CW554,"Realizado y Gestionado"))</f>
        <v>0</v>
      </c>
      <c r="CZ554" s="79">
        <v>0</v>
      </c>
      <c r="DA554" s="79">
        <f>COUNTIF(CR554:CW554,"Realizado y Devuelto a la Ciudadanía")</f>
        <v>0</v>
      </c>
      <c r="DB554" s="84" t="str">
        <f>IFERROR(CY554/CK554,"")</f>
        <v/>
      </c>
      <c r="DC554" s="41"/>
      <c r="DD554" s="79" t="s">
        <v>153</v>
      </c>
      <c r="DE554" s="71"/>
      <c r="DF554" s="127" t="s">
        <v>3873</v>
      </c>
      <c r="DG554" s="79">
        <v>543</v>
      </c>
      <c r="DH554" s="86" t="str">
        <f t="shared" si="392"/>
        <v>Completo</v>
      </c>
      <c r="DI554" s="79" t="s">
        <v>181</v>
      </c>
      <c r="DJ554" s="79" t="s">
        <v>182</v>
      </c>
      <c r="DK554" s="79"/>
      <c r="DL554" s="79">
        <v>0</v>
      </c>
      <c r="DM554" s="79">
        <v>0</v>
      </c>
      <c r="DN554" s="79" t="s">
        <v>182</v>
      </c>
      <c r="DO554" s="79"/>
      <c r="DP554" s="79"/>
      <c r="DQ554" s="79"/>
      <c r="DR554" s="75" t="str">
        <f t="shared" si="393"/>
        <v>No aplica</v>
      </c>
      <c r="DS554" s="79"/>
      <c r="DT554" s="79"/>
      <c r="DU554" s="75" t="str">
        <f t="shared" si="394"/>
        <v>No aplica</v>
      </c>
      <c r="DV554" s="79" t="s">
        <v>182</v>
      </c>
      <c r="DW554" s="79" t="s">
        <v>191</v>
      </c>
      <c r="DX554" s="79"/>
      <c r="DY554" s="79"/>
      <c r="DZ554" s="79"/>
      <c r="EA554" s="79"/>
      <c r="EB554" s="79"/>
      <c r="EC554" s="79"/>
      <c r="ED554" s="79" t="s">
        <v>1743</v>
      </c>
      <c r="EE554" s="79" t="str">
        <f>IF(DI554="Subsanado","Completo","Por Completar")</f>
        <v>Completo</v>
      </c>
      <c r="EF554" s="41"/>
      <c r="EG554" s="79" t="s">
        <v>153</v>
      </c>
      <c r="EH554" s="71"/>
      <c r="EI554" s="80"/>
      <c r="EJ554" s="71"/>
      <c r="EK554" s="79"/>
      <c r="EL554" s="87" t="str">
        <f t="shared" si="370"/>
        <v>No requiere</v>
      </c>
      <c r="EM554" s="87" t="str">
        <f t="shared" si="371"/>
        <v>No requiere</v>
      </c>
      <c r="EN554" s="87" t="str">
        <f t="shared" si="385"/>
        <v>No requiere</v>
      </c>
      <c r="EO554" s="71"/>
      <c r="EP554" s="84" t="str">
        <f t="shared" si="372"/>
        <v>No requiere</v>
      </c>
      <c r="EQ554" s="88" t="str">
        <f t="shared" si="373"/>
        <v>No requiere</v>
      </c>
      <c r="ER554" s="71"/>
      <c r="ES554" s="79"/>
      <c r="ET554" s="84" t="str">
        <f t="shared" si="374"/>
        <v>No requiere</v>
      </c>
      <c r="EU554" s="84" t="str">
        <f t="shared" si="341"/>
        <v>No requiere</v>
      </c>
      <c r="EV554" s="84" t="str">
        <f t="shared" si="375"/>
        <v>No requiere</v>
      </c>
      <c r="EW554" s="84" t="str">
        <f t="shared" si="386"/>
        <v>No requiere</v>
      </c>
      <c r="EX554" s="78"/>
      <c r="EY554" s="78"/>
    </row>
    <row r="555" spans="1:155" ht="46.5" customHeight="1">
      <c r="A555" s="79">
        <v>551</v>
      </c>
      <c r="B555" s="80" t="s">
        <v>3874</v>
      </c>
      <c r="C555" s="81">
        <v>45455</v>
      </c>
      <c r="D555" s="82">
        <v>0.58333333333333337</v>
      </c>
      <c r="E555" s="79" t="s">
        <v>151</v>
      </c>
      <c r="F555" s="79" t="s">
        <v>153</v>
      </c>
      <c r="G555" s="79" t="s">
        <v>153</v>
      </c>
      <c r="H555" s="79" t="s">
        <v>152</v>
      </c>
      <c r="I555" s="79" t="s">
        <v>152</v>
      </c>
      <c r="J555" s="79" t="s">
        <v>3175</v>
      </c>
      <c r="K555" s="79" t="s">
        <v>155</v>
      </c>
      <c r="L555" s="80" t="s">
        <v>3875</v>
      </c>
      <c r="M555" s="80" t="s">
        <v>157</v>
      </c>
      <c r="N555" s="79" t="s">
        <v>373</v>
      </c>
      <c r="O555" s="80" t="str">
        <f t="shared" si="383"/>
        <v>PENDIENTE</v>
      </c>
      <c r="P555" s="79" t="s">
        <v>196</v>
      </c>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t="s">
        <v>169</v>
      </c>
      <c r="AP555" s="79" t="s">
        <v>170</v>
      </c>
      <c r="AQ555" s="80" t="s">
        <v>3876</v>
      </c>
      <c r="AR555" s="83" t="s">
        <v>171</v>
      </c>
      <c r="AS555" s="80" t="s">
        <v>171</v>
      </c>
      <c r="AT555" s="80" t="str">
        <f t="shared" si="396"/>
        <v>Distrital</v>
      </c>
      <c r="AU555" s="79" t="s">
        <v>172</v>
      </c>
      <c r="AV555" s="79"/>
      <c r="AW555" s="79"/>
      <c r="AX555" s="79"/>
      <c r="AY555" s="79"/>
      <c r="AZ555" s="79"/>
      <c r="BA555" s="80" t="str">
        <f t="shared" si="367"/>
        <v>Distrital</v>
      </c>
      <c r="BB555" s="79" t="s">
        <v>172</v>
      </c>
      <c r="BC555" s="79"/>
      <c r="BD555" s="79"/>
      <c r="BE555" s="79"/>
      <c r="BF555" s="79"/>
      <c r="BG555" s="79"/>
      <c r="BH555" s="80" t="str">
        <f t="shared" si="368"/>
        <v>Distrital</v>
      </c>
      <c r="BI555" s="79" t="s">
        <v>172</v>
      </c>
      <c r="BJ555" s="79"/>
      <c r="BK555" s="79"/>
      <c r="BL555" s="79"/>
      <c r="BM555" s="79"/>
      <c r="BN555" s="79"/>
      <c r="BO555" s="79"/>
      <c r="BP555" s="79"/>
      <c r="BQ555" s="79"/>
      <c r="BR555" s="79"/>
      <c r="BS555" s="80" t="s">
        <v>288</v>
      </c>
      <c r="BT555" s="80" t="s">
        <v>174</v>
      </c>
      <c r="BU555" s="80" t="s">
        <v>3877</v>
      </c>
      <c r="BV555" s="71"/>
      <c r="BW555" s="79" t="s">
        <v>152</v>
      </c>
      <c r="BX555" s="79" t="s">
        <v>179</v>
      </c>
      <c r="BY555" s="71"/>
      <c r="BZ555" s="79">
        <v>22</v>
      </c>
      <c r="CA555" s="79">
        <v>2</v>
      </c>
      <c r="CB555" s="79">
        <f t="shared" ref="CB555" si="397">BZ555+CA555</f>
        <v>24</v>
      </c>
      <c r="CC555" s="79" t="str">
        <f t="shared" si="382"/>
        <v>Contenidos adaptados</v>
      </c>
      <c r="CD555" s="79" t="s">
        <v>350</v>
      </c>
      <c r="CE555" s="79"/>
      <c r="CF555" s="79"/>
      <c r="CG555" s="83" t="s">
        <v>3878</v>
      </c>
      <c r="CH555" s="41"/>
      <c r="CI555" s="79" t="s">
        <v>153</v>
      </c>
      <c r="CJ555" s="71"/>
      <c r="CK555" s="79">
        <f t="shared" ref="CK555" si="398">COUNTIF(CL555:CQ555,"*")</f>
        <v>0</v>
      </c>
      <c r="CL555" s="79"/>
      <c r="CM555" s="79"/>
      <c r="CN555" s="79"/>
      <c r="CO555" s="79"/>
      <c r="CP555" s="79"/>
      <c r="CQ555" s="79"/>
      <c r="CR555" s="83" t="s">
        <v>179</v>
      </c>
      <c r="CS555" s="83" t="s">
        <v>179</v>
      </c>
      <c r="CT555" s="83" t="s">
        <v>179</v>
      </c>
      <c r="CU555" s="83" t="s">
        <v>179</v>
      </c>
      <c r="CV555" s="83" t="s">
        <v>179</v>
      </c>
      <c r="CW555" s="83" t="s">
        <v>179</v>
      </c>
      <c r="CX555" s="79" t="s">
        <v>153</v>
      </c>
      <c r="CY555" s="79">
        <f t="shared" ref="CY555" si="399">SUM(COUNTIF(CR555:CW555,"Realizado y Devuelto a la Ciudadanía"),COUNTIF(CR555:CW555,"Realizado y Trasladado por competencia"), COUNTIF(CR555:CW555,"Realizado y Gestionado"))</f>
        <v>0</v>
      </c>
      <c r="CZ555" s="79">
        <v>0</v>
      </c>
      <c r="DA555" s="79">
        <f t="shared" ref="DA555" si="400">COUNTIF(CR555:CW555,"Realizado y Devuelto a la Ciudadanía")</f>
        <v>0</v>
      </c>
      <c r="DB555" s="84" t="str">
        <f t="shared" ref="DB555" si="401">IFERROR(CY555/CK555,"")</f>
        <v/>
      </c>
      <c r="DC555" s="41"/>
      <c r="DD555" s="79" t="s">
        <v>153</v>
      </c>
      <c r="DE555" s="71"/>
      <c r="DF555" s="127" t="s">
        <v>3879</v>
      </c>
      <c r="DG555" s="79">
        <v>544</v>
      </c>
      <c r="DH555" s="86" t="str">
        <f t="shared" si="392"/>
        <v>Completo</v>
      </c>
      <c r="DI555" s="79" t="s">
        <v>181</v>
      </c>
      <c r="DJ555" s="79" t="s">
        <v>182</v>
      </c>
      <c r="DK555" s="79"/>
      <c r="DL555" s="79">
        <v>0</v>
      </c>
      <c r="DM555" s="79">
        <v>0</v>
      </c>
      <c r="DN555" s="79" t="s">
        <v>182</v>
      </c>
      <c r="DO555" s="79"/>
      <c r="DP555" s="79"/>
      <c r="DQ555" s="79"/>
      <c r="DR555" s="75" t="str">
        <f t="shared" si="393"/>
        <v>No aplica</v>
      </c>
      <c r="DS555" s="79"/>
      <c r="DT555" s="79"/>
      <c r="DU555" s="75" t="str">
        <f t="shared" si="394"/>
        <v>No aplica</v>
      </c>
      <c r="DV555" s="79" t="s">
        <v>182</v>
      </c>
      <c r="DW555" s="79"/>
      <c r="DX555" s="79"/>
      <c r="DY555" s="79"/>
      <c r="DZ555" s="79"/>
      <c r="EA555" s="79"/>
      <c r="EB555" s="79" t="s">
        <v>182</v>
      </c>
      <c r="EC555" s="79" t="s">
        <v>3880</v>
      </c>
      <c r="ED555" s="79" t="s">
        <v>3881</v>
      </c>
      <c r="EE555" s="79" t="str">
        <f t="shared" ref="EE555" si="402">IF(DI555="Subsanado","Completo","Por Completar")</f>
        <v>Completo</v>
      </c>
      <c r="EF555" s="41"/>
      <c r="EG555" s="79" t="s">
        <v>153</v>
      </c>
      <c r="EH555" s="71"/>
      <c r="EI555" s="80"/>
      <c r="EJ555" s="71"/>
      <c r="EK555" s="79"/>
      <c r="EL555" s="76" t="str">
        <f t="shared" si="370"/>
        <v>No requiere</v>
      </c>
      <c r="EM555" s="76" t="str">
        <f t="shared" si="371"/>
        <v>No requiere</v>
      </c>
      <c r="EN555" s="76" t="str">
        <f t="shared" si="385"/>
        <v>No requiere</v>
      </c>
      <c r="EO555" s="71"/>
      <c r="EP555" s="73" t="str">
        <f t="shared" si="372"/>
        <v>No requiere</v>
      </c>
      <c r="EQ555" s="77" t="str">
        <f t="shared" si="373"/>
        <v>No requiere</v>
      </c>
      <c r="ER555" s="71"/>
      <c r="ES555" s="79"/>
      <c r="ET555" s="73" t="str">
        <f t="shared" si="374"/>
        <v>No requiere</v>
      </c>
      <c r="EU555" s="73" t="str">
        <f t="shared" si="341"/>
        <v>No requiere</v>
      </c>
      <c r="EV555" s="73" t="str">
        <f t="shared" si="375"/>
        <v>No requiere</v>
      </c>
      <c r="EW555" s="73" t="str">
        <f t="shared" si="386"/>
        <v>No requiere</v>
      </c>
      <c r="EX555" s="78"/>
      <c r="EY555" s="78"/>
    </row>
    <row r="556" spans="1:155" ht="46.5" customHeight="1">
      <c r="A556" s="79">
        <v>552</v>
      </c>
      <c r="B556" s="80" t="s">
        <v>2792</v>
      </c>
      <c r="C556" s="81">
        <v>45455</v>
      </c>
      <c r="D556" s="82">
        <v>0.58333333333333337</v>
      </c>
      <c r="E556" s="79" t="s">
        <v>200</v>
      </c>
      <c r="F556" s="79" t="s">
        <v>153</v>
      </c>
      <c r="G556" s="79" t="s">
        <v>152</v>
      </c>
      <c r="H556" s="79" t="s">
        <v>152</v>
      </c>
      <c r="I556" s="79" t="s">
        <v>152</v>
      </c>
      <c r="J556" s="79" t="s">
        <v>504</v>
      </c>
      <c r="K556" s="79" t="s">
        <v>202</v>
      </c>
      <c r="L556" s="80" t="s">
        <v>3882</v>
      </c>
      <c r="M556" s="80" t="s">
        <v>157</v>
      </c>
      <c r="N556" s="79" t="s">
        <v>720</v>
      </c>
      <c r="O556" s="80" t="str">
        <f t="shared" si="383"/>
        <v/>
      </c>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t="s">
        <v>169</v>
      </c>
      <c r="AP556" s="79" t="s">
        <v>2702</v>
      </c>
      <c r="AQ556" s="80" t="s">
        <v>3883</v>
      </c>
      <c r="AR556" s="83">
        <v>3003358888</v>
      </c>
      <c r="AS556" s="80" t="s">
        <v>3546</v>
      </c>
      <c r="AT556" s="80" t="str">
        <f t="shared" si="396"/>
        <v>Ciudad Bolívar</v>
      </c>
      <c r="AU556" s="79" t="s">
        <v>217</v>
      </c>
      <c r="AV556" s="79"/>
      <c r="AW556" s="79"/>
      <c r="AX556" s="79"/>
      <c r="AY556" s="79"/>
      <c r="AZ556" s="79"/>
      <c r="BA556" s="80" t="str">
        <f t="shared" si="367"/>
        <v>Suroccidente, Ruralidad</v>
      </c>
      <c r="BB556" s="79" t="s">
        <v>732</v>
      </c>
      <c r="BC556" s="79" t="s">
        <v>219</v>
      </c>
      <c r="BD556" s="79"/>
      <c r="BE556" s="79"/>
      <c r="BF556" s="79"/>
      <c r="BG556" s="79"/>
      <c r="BH556" s="80" t="str">
        <f t="shared" si="368"/>
        <v>Arborizadora, Lucero, Cuenca del Tunjuelo</v>
      </c>
      <c r="BI556" s="79" t="s">
        <v>220</v>
      </c>
      <c r="BJ556" s="79" t="s">
        <v>221</v>
      </c>
      <c r="BK556" s="79" t="s">
        <v>222</v>
      </c>
      <c r="BL556" s="79"/>
      <c r="BM556" s="79"/>
      <c r="BN556" s="79"/>
      <c r="BO556" s="79"/>
      <c r="BP556" s="79"/>
      <c r="BQ556" s="79"/>
      <c r="BR556" s="79"/>
      <c r="BS556" s="80" t="s">
        <v>288</v>
      </c>
      <c r="BT556" s="80" t="s">
        <v>174</v>
      </c>
      <c r="BU556" s="128" t="s">
        <v>3884</v>
      </c>
      <c r="BV556" s="71"/>
      <c r="BW556" s="79" t="s">
        <v>152</v>
      </c>
      <c r="BX556" s="79" t="s">
        <v>179</v>
      </c>
      <c r="BY556" s="71"/>
      <c r="BZ556" s="79">
        <v>19</v>
      </c>
      <c r="CA556" s="79">
        <v>1</v>
      </c>
      <c r="CB556" s="79">
        <f>BZ556+CA556</f>
        <v>20</v>
      </c>
      <c r="CC556" s="79" t="str">
        <f t="shared" si="382"/>
        <v>Ninguna</v>
      </c>
      <c r="CD556" s="79" t="s">
        <v>174</v>
      </c>
      <c r="CE556" s="79"/>
      <c r="CF556" s="79"/>
      <c r="CG556" s="83" t="s">
        <v>3885</v>
      </c>
      <c r="CH556" s="41"/>
      <c r="CI556" s="79" t="s">
        <v>153</v>
      </c>
      <c r="CJ556" s="71"/>
      <c r="CK556" s="79">
        <f>COUNTIF(CL556:CQ556,"*")</f>
        <v>0</v>
      </c>
      <c r="CL556" s="79"/>
      <c r="CM556" s="79"/>
      <c r="CN556" s="79"/>
      <c r="CO556" s="79"/>
      <c r="CP556" s="79"/>
      <c r="CQ556" s="79"/>
      <c r="CR556" s="83" t="s">
        <v>179</v>
      </c>
      <c r="CS556" s="83" t="s">
        <v>179</v>
      </c>
      <c r="CT556" s="83" t="s">
        <v>179</v>
      </c>
      <c r="CU556" s="83" t="s">
        <v>179</v>
      </c>
      <c r="CV556" s="83" t="s">
        <v>179</v>
      </c>
      <c r="CW556" s="83" t="s">
        <v>179</v>
      </c>
      <c r="CX556" s="79" t="s">
        <v>153</v>
      </c>
      <c r="CY556" s="79">
        <f>SUM(COUNTIF(CR556:CW556,"Realizado y Devuelto a la Ciudadanía"),COUNTIF(CR556:CW556,"Realizado y Trasladado por competencia"), COUNTIF(CR556:CW556,"Realizado y Gestionado"))</f>
        <v>0</v>
      </c>
      <c r="CZ556" s="79">
        <v>0</v>
      </c>
      <c r="DA556" s="79">
        <f>COUNTIF(CR556:CW556,"Realizado y Devuelto a la Ciudadanía")</f>
        <v>0</v>
      </c>
      <c r="DB556" s="84" t="str">
        <f>IFERROR(CY556/CK556,"")</f>
        <v/>
      </c>
      <c r="DC556" s="41"/>
      <c r="DD556" s="79" t="s">
        <v>153</v>
      </c>
      <c r="DE556" s="71"/>
      <c r="DF556" s="127" t="s">
        <v>3858</v>
      </c>
      <c r="DG556" s="79">
        <v>545</v>
      </c>
      <c r="DH556" s="86" t="str">
        <f t="shared" si="392"/>
        <v>Completo</v>
      </c>
      <c r="DI556" s="79" t="s">
        <v>181</v>
      </c>
      <c r="DJ556" s="79" t="s">
        <v>182</v>
      </c>
      <c r="DK556" s="79"/>
      <c r="DL556" s="79">
        <v>0</v>
      </c>
      <c r="DM556" s="79">
        <v>0</v>
      </c>
      <c r="DN556" s="79" t="s">
        <v>182</v>
      </c>
      <c r="DO556" s="79"/>
      <c r="DP556" s="79"/>
      <c r="DQ556" s="79"/>
      <c r="DR556" s="75" t="str">
        <f t="shared" si="393"/>
        <v>No aplica</v>
      </c>
      <c r="DS556" s="79"/>
      <c r="DT556" s="79"/>
      <c r="DU556" s="75" t="str">
        <f t="shared" si="394"/>
        <v>No aplica</v>
      </c>
      <c r="DV556" s="79" t="s">
        <v>182</v>
      </c>
      <c r="DW556" s="79" t="s">
        <v>182</v>
      </c>
      <c r="DX556" s="79"/>
      <c r="DY556" s="79"/>
      <c r="DZ556" s="79"/>
      <c r="EA556" s="79"/>
      <c r="EB556" s="79"/>
      <c r="EC556" s="79"/>
      <c r="ED556" s="79" t="s">
        <v>3808</v>
      </c>
      <c r="EE556" s="79" t="str">
        <f>IF(DI556="Subsanado","Completo","Por Completar")</f>
        <v>Completo</v>
      </c>
      <c r="EF556" s="41"/>
      <c r="EG556" s="79" t="s">
        <v>153</v>
      </c>
      <c r="EH556" s="71"/>
      <c r="EI556" s="80"/>
      <c r="EJ556" s="71"/>
      <c r="EK556" s="79"/>
      <c r="EL556" s="87" t="str">
        <f t="shared" si="370"/>
        <v>No requiere</v>
      </c>
      <c r="EM556" s="87" t="str">
        <f t="shared" si="371"/>
        <v>No requiere</v>
      </c>
      <c r="EN556" s="87" t="str">
        <f t="shared" si="385"/>
        <v>No requiere</v>
      </c>
      <c r="EO556" s="71"/>
      <c r="EP556" s="84" t="str">
        <f t="shared" si="372"/>
        <v>No requiere</v>
      </c>
      <c r="EQ556" s="88" t="str">
        <f t="shared" si="373"/>
        <v>No requiere</v>
      </c>
      <c r="ER556" s="71"/>
      <c r="ES556" s="79"/>
      <c r="ET556" s="84" t="str">
        <f t="shared" si="374"/>
        <v>No requiere</v>
      </c>
      <c r="EU556" s="84" t="str">
        <f t="shared" si="341"/>
        <v>No requiere</v>
      </c>
      <c r="EV556" s="84" t="str">
        <f t="shared" si="375"/>
        <v>No requiere</v>
      </c>
      <c r="EW556" s="84" t="str">
        <f t="shared" si="386"/>
        <v>No requiere</v>
      </c>
      <c r="EX556" s="78"/>
      <c r="EY556" s="78"/>
    </row>
    <row r="557" spans="1:155" ht="46.5" customHeight="1">
      <c r="A557" s="79">
        <v>553</v>
      </c>
      <c r="B557" s="80" t="s">
        <v>3886</v>
      </c>
      <c r="C557" s="81">
        <v>45455</v>
      </c>
      <c r="D557" s="82">
        <v>0.60416666666666663</v>
      </c>
      <c r="E557" s="79" t="s">
        <v>151</v>
      </c>
      <c r="F557" s="79" t="s">
        <v>153</v>
      </c>
      <c r="G557" s="79" t="s">
        <v>152</v>
      </c>
      <c r="H557" s="79" t="s">
        <v>152</v>
      </c>
      <c r="I557" s="79" t="s">
        <v>152</v>
      </c>
      <c r="J557" s="79" t="s">
        <v>272</v>
      </c>
      <c r="K557" s="79" t="s">
        <v>155</v>
      </c>
      <c r="L557" s="80" t="s">
        <v>3887</v>
      </c>
      <c r="M557" s="80" t="s">
        <v>157</v>
      </c>
      <c r="N557" s="79" t="s">
        <v>924</v>
      </c>
      <c r="O557" s="80" t="str">
        <f t="shared" si="383"/>
        <v/>
      </c>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t="s">
        <v>304</v>
      </c>
      <c r="AP557" s="79"/>
      <c r="AQ557" s="80" t="s">
        <v>3888</v>
      </c>
      <c r="AR557" s="83" t="s">
        <v>171</v>
      </c>
      <c r="AS557" s="80" t="s">
        <v>3889</v>
      </c>
      <c r="AT557" s="80" t="str">
        <f t="shared" si="396"/>
        <v>Kennedy</v>
      </c>
      <c r="AU557" s="79" t="s">
        <v>731</v>
      </c>
      <c r="AV557" s="79"/>
      <c r="AW557" s="79"/>
      <c r="AX557" s="79"/>
      <c r="AY557" s="79"/>
      <c r="AZ557" s="79"/>
      <c r="BA557" s="80" t="str">
        <f t="shared" si="367"/>
        <v>Suroccidente</v>
      </c>
      <c r="BB557" s="79" t="s">
        <v>732</v>
      </c>
      <c r="BC557" s="79"/>
      <c r="BD557" s="79"/>
      <c r="BE557" s="79"/>
      <c r="BF557" s="79"/>
      <c r="BG557" s="79"/>
      <c r="BH557" s="80" t="str">
        <f t="shared" si="368"/>
        <v>Tintal, Kennedy, Patio Bonito, Edén, Porvenir, Bosa</v>
      </c>
      <c r="BI557" s="79" t="s">
        <v>1697</v>
      </c>
      <c r="BJ557" s="79" t="s">
        <v>731</v>
      </c>
      <c r="BK557" s="79" t="s">
        <v>967</v>
      </c>
      <c r="BL557" s="79" t="s">
        <v>1057</v>
      </c>
      <c r="BM557" s="79" t="s">
        <v>1058</v>
      </c>
      <c r="BN557" s="79" t="s">
        <v>730</v>
      </c>
      <c r="BO557" s="79"/>
      <c r="BP557" s="79"/>
      <c r="BQ557" s="79"/>
      <c r="BR557" s="79"/>
      <c r="BS557" s="80" t="s">
        <v>3890</v>
      </c>
      <c r="BT557" s="80" t="s">
        <v>174</v>
      </c>
      <c r="BU557" s="80" t="s">
        <v>3891</v>
      </c>
      <c r="BV557" s="71"/>
      <c r="BW557" s="79" t="s">
        <v>152</v>
      </c>
      <c r="BX557" s="79" t="s">
        <v>179</v>
      </c>
      <c r="BY557" s="71"/>
      <c r="BZ557" s="79">
        <v>16</v>
      </c>
      <c r="CA557" s="79">
        <v>2</v>
      </c>
      <c r="CB557" s="79">
        <f t="shared" si="281"/>
        <v>18</v>
      </c>
      <c r="CC557" s="79" t="str">
        <f t="shared" si="382"/>
        <v>Ninguna</v>
      </c>
      <c r="CD557" s="79" t="s">
        <v>174</v>
      </c>
      <c r="CE557" s="79"/>
      <c r="CF557" s="79"/>
      <c r="CG557" s="83" t="s">
        <v>3892</v>
      </c>
      <c r="CH557" s="41"/>
      <c r="CI557" s="79" t="s">
        <v>153</v>
      </c>
      <c r="CJ557" s="71"/>
      <c r="CK557" s="79">
        <f t="shared" si="377"/>
        <v>0</v>
      </c>
      <c r="CL557" s="79"/>
      <c r="CM557" s="79"/>
      <c r="CN557" s="79"/>
      <c r="CO557" s="79"/>
      <c r="CP557" s="79"/>
      <c r="CQ557" s="79"/>
      <c r="CR557" s="83" t="s">
        <v>179</v>
      </c>
      <c r="CS557" s="83" t="s">
        <v>179</v>
      </c>
      <c r="CT557" s="83" t="s">
        <v>179</v>
      </c>
      <c r="CU557" s="83" t="s">
        <v>179</v>
      </c>
      <c r="CV557" s="83" t="s">
        <v>179</v>
      </c>
      <c r="CW557" s="83" t="s">
        <v>179</v>
      </c>
      <c r="CX557" s="79" t="s">
        <v>153</v>
      </c>
      <c r="CY557" s="79">
        <f t="shared" si="358"/>
        <v>0</v>
      </c>
      <c r="CZ557" s="79">
        <v>0</v>
      </c>
      <c r="DA557" s="79">
        <f t="shared" si="359"/>
        <v>0</v>
      </c>
      <c r="DB557" s="84" t="str">
        <f t="shared" si="364"/>
        <v/>
      </c>
      <c r="DC557" s="41"/>
      <c r="DD557" s="79" t="s">
        <v>153</v>
      </c>
      <c r="DE557" s="71"/>
      <c r="DF557" s="127" t="s">
        <v>3893</v>
      </c>
      <c r="DG557" s="79">
        <v>546</v>
      </c>
      <c r="DH557" s="86" t="str">
        <f t="shared" si="392"/>
        <v>Completo</v>
      </c>
      <c r="DI557" s="79" t="s">
        <v>181</v>
      </c>
      <c r="DJ557" s="79" t="s">
        <v>182</v>
      </c>
      <c r="DK557" s="79"/>
      <c r="DL557" s="79">
        <v>0</v>
      </c>
      <c r="DM557" s="79">
        <v>0</v>
      </c>
      <c r="DN557" s="79" t="s">
        <v>182</v>
      </c>
      <c r="DO557" s="79"/>
      <c r="DP557" s="79"/>
      <c r="DQ557" s="79"/>
      <c r="DR557" s="75" t="str">
        <f t="shared" si="393"/>
        <v>No aplica</v>
      </c>
      <c r="DS557" s="79"/>
      <c r="DT557" s="79"/>
      <c r="DU557" s="75" t="str">
        <f t="shared" si="394"/>
        <v>No aplica</v>
      </c>
      <c r="DV557" s="79" t="s">
        <v>182</v>
      </c>
      <c r="DW557" s="79" t="s">
        <v>182</v>
      </c>
      <c r="DX557" s="79"/>
      <c r="DY557" s="79"/>
      <c r="DZ557" s="79"/>
      <c r="EA557" s="79"/>
      <c r="EB557" s="79"/>
      <c r="EC557" s="79"/>
      <c r="ED557" s="79" t="s">
        <v>3894</v>
      </c>
      <c r="EE557" s="79" t="str">
        <f t="shared" si="384"/>
        <v>Completo</v>
      </c>
      <c r="EF557" s="41"/>
      <c r="EG557" s="79" t="s">
        <v>153</v>
      </c>
      <c r="EH557" s="71"/>
      <c r="EI557" s="80"/>
      <c r="EJ557" s="71"/>
      <c r="EK557" s="79"/>
      <c r="EL557" s="76" t="str">
        <f t="shared" si="370"/>
        <v>No requiere</v>
      </c>
      <c r="EM557" s="76" t="str">
        <f t="shared" si="371"/>
        <v>No requiere</v>
      </c>
      <c r="EN557" s="76" t="str">
        <f t="shared" si="385"/>
        <v>No requiere</v>
      </c>
      <c r="EO557" s="71"/>
      <c r="EP557" s="73" t="str">
        <f t="shared" si="372"/>
        <v>No requiere</v>
      </c>
      <c r="EQ557" s="77" t="str">
        <f t="shared" si="373"/>
        <v>No requiere</v>
      </c>
      <c r="ER557" s="71"/>
      <c r="ES557" s="79"/>
      <c r="ET557" s="73" t="str">
        <f t="shared" si="374"/>
        <v>No requiere</v>
      </c>
      <c r="EU557" s="73" t="str">
        <f t="shared" si="341"/>
        <v>No requiere</v>
      </c>
      <c r="EV557" s="73" t="str">
        <f t="shared" si="375"/>
        <v>No requiere</v>
      </c>
      <c r="EW557" s="73" t="str">
        <f t="shared" si="386"/>
        <v>No requiere</v>
      </c>
      <c r="EX557" s="78"/>
      <c r="EY557" s="78"/>
    </row>
    <row r="558" spans="1:155" s="197" customFormat="1" ht="46.5" customHeight="1">
      <c r="A558" s="129">
        <v>554</v>
      </c>
      <c r="B558" s="148" t="s">
        <v>3895</v>
      </c>
      <c r="C558" s="149">
        <v>45455</v>
      </c>
      <c r="D558" s="150">
        <v>0.61458333333333337</v>
      </c>
      <c r="E558" s="129" t="s">
        <v>151</v>
      </c>
      <c r="F558" s="129" t="s">
        <v>153</v>
      </c>
      <c r="G558" s="129" t="s">
        <v>153</v>
      </c>
      <c r="H558" s="129" t="s">
        <v>152</v>
      </c>
      <c r="I558" s="129" t="s">
        <v>153</v>
      </c>
      <c r="J558" s="129" t="s">
        <v>3175</v>
      </c>
      <c r="K558" s="129" t="s">
        <v>202</v>
      </c>
      <c r="L558" s="148" t="s">
        <v>3896</v>
      </c>
      <c r="M558" s="148" t="s">
        <v>229</v>
      </c>
      <c r="N558" s="129" t="s">
        <v>1387</v>
      </c>
      <c r="O558" s="148" t="str">
        <f t="shared" si="383"/>
        <v>Luz Maritza Acero, Diego Alejandro Camacho</v>
      </c>
      <c r="P558" s="129" t="s">
        <v>167</v>
      </c>
      <c r="Q558" s="129" t="s">
        <v>422</v>
      </c>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t="s">
        <v>230</v>
      </c>
      <c r="AP558" s="129" t="s">
        <v>1996</v>
      </c>
      <c r="AQ558" s="148" t="s">
        <v>171</v>
      </c>
      <c r="AR558" s="152" t="s">
        <v>171</v>
      </c>
      <c r="AS558" s="148" t="s">
        <v>171</v>
      </c>
      <c r="AT558" s="148" t="str">
        <f t="shared" si="396"/>
        <v>Teusaquillo</v>
      </c>
      <c r="AU558" s="129" t="s">
        <v>1004</v>
      </c>
      <c r="AV558" s="129"/>
      <c r="AW558" s="129"/>
      <c r="AX558" s="129"/>
      <c r="AY558" s="129"/>
      <c r="AZ558" s="129"/>
      <c r="BA558" s="148" t="str">
        <f t="shared" si="367"/>
        <v>Centro Ampliado</v>
      </c>
      <c r="BB558" s="129" t="s">
        <v>636</v>
      </c>
      <c r="BC558" s="129"/>
      <c r="BD558" s="129"/>
      <c r="BE558" s="129"/>
      <c r="BF558" s="129"/>
      <c r="BG558" s="129"/>
      <c r="BH558" s="148" t="str">
        <f t="shared" si="368"/>
        <v>Teusaquillo</v>
      </c>
      <c r="BI558" s="129" t="s">
        <v>1004</v>
      </c>
      <c r="BJ558" s="129"/>
      <c r="BK558" s="129"/>
      <c r="BL558" s="129"/>
      <c r="BM558" s="129"/>
      <c r="BN558" s="129"/>
      <c r="BO558" s="129"/>
      <c r="BP558" s="129"/>
      <c r="BQ558" s="129"/>
      <c r="BR558" s="129"/>
      <c r="BS558" s="148" t="s">
        <v>288</v>
      </c>
      <c r="BT558" s="148" t="s">
        <v>174</v>
      </c>
      <c r="BU558" s="148" t="s">
        <v>3897</v>
      </c>
      <c r="BV558" s="151"/>
      <c r="BW558" s="129" t="s">
        <v>152</v>
      </c>
      <c r="BX558" s="129" t="s">
        <v>179</v>
      </c>
      <c r="BY558" s="151"/>
      <c r="BZ558" s="129">
        <v>3</v>
      </c>
      <c r="CA558" s="129">
        <v>3</v>
      </c>
      <c r="CB558" s="129">
        <f t="shared" ref="CB558" si="403">BZ558+CA558</f>
        <v>6</v>
      </c>
      <c r="CC558" s="129" t="str">
        <f t="shared" si="382"/>
        <v>Ninguna</v>
      </c>
      <c r="CD558" s="129" t="s">
        <v>174</v>
      </c>
      <c r="CE558" s="129"/>
      <c r="CF558" s="129"/>
      <c r="CG558" s="152" t="s">
        <v>3898</v>
      </c>
      <c r="CH558" s="153"/>
      <c r="CI558" s="129" t="s">
        <v>153</v>
      </c>
      <c r="CJ558" s="151"/>
      <c r="CK558" s="129">
        <f t="shared" ref="CK558" si="404">COUNTIF(CL558:CQ558,"*")</f>
        <v>0</v>
      </c>
      <c r="CL558" s="129"/>
      <c r="CM558" s="129"/>
      <c r="CN558" s="129"/>
      <c r="CO558" s="129"/>
      <c r="CP558" s="129"/>
      <c r="CQ558" s="129"/>
      <c r="CR558" s="152" t="s">
        <v>179</v>
      </c>
      <c r="CS558" s="152" t="s">
        <v>179</v>
      </c>
      <c r="CT558" s="152" t="s">
        <v>179</v>
      </c>
      <c r="CU558" s="152" t="s">
        <v>179</v>
      </c>
      <c r="CV558" s="152" t="s">
        <v>179</v>
      </c>
      <c r="CW558" s="152" t="s">
        <v>179</v>
      </c>
      <c r="CX558" s="129" t="s">
        <v>153</v>
      </c>
      <c r="CY558" s="129">
        <f t="shared" ref="CY558" si="405">SUM(COUNTIF(CR558:CW558,"Realizado y Devuelto a la Ciudadanía"),COUNTIF(CR558:CW558,"Realizado y Trasladado por competencia"), COUNTIF(CR558:CW558,"Realizado y Gestionado"))</f>
        <v>0</v>
      </c>
      <c r="CZ558" s="129">
        <v>0</v>
      </c>
      <c r="DA558" s="129">
        <f t="shared" ref="DA558" si="406">COUNTIF(CR558:CW558,"Realizado y Devuelto a la Ciudadanía")</f>
        <v>0</v>
      </c>
      <c r="DB558" s="154" t="str">
        <f t="shared" ref="DB558" si="407">IFERROR(CY558/CK558,"")</f>
        <v/>
      </c>
      <c r="DC558" s="153"/>
      <c r="DD558" s="129" t="s">
        <v>153</v>
      </c>
      <c r="DE558" s="71"/>
      <c r="DF558" s="202" t="s">
        <v>3899</v>
      </c>
      <c r="DG558" s="79">
        <v>547</v>
      </c>
      <c r="DH558" s="155" t="str">
        <f t="shared" si="392"/>
        <v>Completo</v>
      </c>
      <c r="DI558" s="129" t="s">
        <v>181</v>
      </c>
      <c r="DJ558" s="129" t="s">
        <v>182</v>
      </c>
      <c r="DK558" s="129"/>
      <c r="DL558" s="129">
        <v>0</v>
      </c>
      <c r="DM558" s="129">
        <v>0</v>
      </c>
      <c r="DN558" s="129" t="s">
        <v>182</v>
      </c>
      <c r="DO558" s="129"/>
      <c r="DP558" s="129"/>
      <c r="DQ558" s="129"/>
      <c r="DR558" s="156" t="str">
        <f t="shared" si="393"/>
        <v>No aplica</v>
      </c>
      <c r="DS558" s="129"/>
      <c r="DT558" s="129"/>
      <c r="DU558" s="156" t="str">
        <f t="shared" si="394"/>
        <v>No aplica</v>
      </c>
      <c r="DV558" s="129" t="s">
        <v>182</v>
      </c>
      <c r="DW558" s="129" t="s">
        <v>182</v>
      </c>
      <c r="DX558" s="129"/>
      <c r="DY558" s="129"/>
      <c r="DZ558" s="129"/>
      <c r="EA558" s="129"/>
      <c r="EB558" s="129" t="s">
        <v>182</v>
      </c>
      <c r="EC558" s="129" t="s">
        <v>3900</v>
      </c>
      <c r="ED558" s="129" t="s">
        <v>3854</v>
      </c>
      <c r="EE558" s="129" t="str">
        <f t="shared" ref="EE558" si="408">IF(DI558="Subsanado","Completo","Por Completar")</f>
        <v>Completo</v>
      </c>
      <c r="EF558" s="153"/>
      <c r="EG558" s="129" t="s">
        <v>153</v>
      </c>
      <c r="EH558" s="151"/>
      <c r="EI558" s="148"/>
      <c r="EJ558" s="151"/>
      <c r="EK558" s="129"/>
      <c r="EL558" s="157" t="str">
        <f t="shared" si="370"/>
        <v>No requiere</v>
      </c>
      <c r="EM558" s="157" t="str">
        <f t="shared" si="371"/>
        <v>No requiere</v>
      </c>
      <c r="EN558" s="157" t="str">
        <f t="shared" ref="EN558" si="409">IF(F558="NO","No requiere",IF(H558="No","No requiere",IF(CC558="","",IF(CD558&lt;&gt;"No aplica",IF(CD558&lt;&gt;"Ninguna",IF(COUNTIF(CD558:CF558,"*")&gt;=1,"Sí","No"),"No"),"No aplica"))))</f>
        <v>No requiere</v>
      </c>
      <c r="EO558" s="151"/>
      <c r="EP558" s="154" t="str">
        <f t="shared" si="372"/>
        <v>No requiere</v>
      </c>
      <c r="EQ558" s="158" t="str">
        <f t="shared" si="373"/>
        <v>No requiere</v>
      </c>
      <c r="ER558" s="151"/>
      <c r="ES558" s="129"/>
      <c r="ET558" s="154" t="str">
        <f t="shared" si="374"/>
        <v>No requiere</v>
      </c>
      <c r="EU558" s="154" t="str">
        <f t="shared" ref="EU558" si="410">IF(F558="NO","No requiere",IF(H558="No","No requiere",IF(B558="","",IF(CX558="SÍ",IF(CK558&gt;=1,CY558/CK558,"Sin compromisos"),"Por verificar"))))</f>
        <v>No requiere</v>
      </c>
      <c r="EV558" s="154" t="str">
        <f t="shared" si="375"/>
        <v>No requiere</v>
      </c>
      <c r="EW558" s="154" t="str">
        <f t="shared" si="386"/>
        <v>No requiere</v>
      </c>
      <c r="EX558" s="159"/>
      <c r="EY558" s="159"/>
    </row>
    <row r="559" spans="1:155" ht="46.5" customHeight="1">
      <c r="A559" s="79">
        <v>555</v>
      </c>
      <c r="B559" s="80" t="s">
        <v>3000</v>
      </c>
      <c r="C559" s="81">
        <v>45456</v>
      </c>
      <c r="D559" s="82">
        <v>0.33333333333333331</v>
      </c>
      <c r="E559" s="79" t="s">
        <v>200</v>
      </c>
      <c r="F559" s="79" t="s">
        <v>153</v>
      </c>
      <c r="G559" s="79" t="s">
        <v>152</v>
      </c>
      <c r="H559" s="79" t="s">
        <v>152</v>
      </c>
      <c r="I559" s="79" t="s">
        <v>152</v>
      </c>
      <c r="J559" s="79" t="s">
        <v>504</v>
      </c>
      <c r="K559" s="79" t="s">
        <v>155</v>
      </c>
      <c r="L559" s="80" t="s">
        <v>3901</v>
      </c>
      <c r="M559" s="80" t="s">
        <v>157</v>
      </c>
      <c r="N559" s="79" t="s">
        <v>1387</v>
      </c>
      <c r="O559" s="80" t="str">
        <f t="shared" si="383"/>
        <v/>
      </c>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t="s">
        <v>169</v>
      </c>
      <c r="AP559" s="79" t="s">
        <v>2702</v>
      </c>
      <c r="AQ559" s="80" t="s">
        <v>3902</v>
      </c>
      <c r="AR559" s="83">
        <v>3004614328</v>
      </c>
      <c r="AS559" s="80" t="s">
        <v>3903</v>
      </c>
      <c r="AT559" s="80" t="str">
        <f t="shared" si="396"/>
        <v>Barrios Unidos</v>
      </c>
      <c r="AU559" s="79" t="s">
        <v>1031</v>
      </c>
      <c r="AV559" s="79"/>
      <c r="AW559" s="79"/>
      <c r="AX559" s="79"/>
      <c r="AY559" s="79"/>
      <c r="AZ559" s="79"/>
      <c r="BA559" s="80" t="str">
        <f t="shared" si="367"/>
        <v>Centro Ampliado</v>
      </c>
      <c r="BB559" s="79" t="s">
        <v>636</v>
      </c>
      <c r="BC559" s="79"/>
      <c r="BD559" s="79"/>
      <c r="BE559" s="79"/>
      <c r="BF559" s="79"/>
      <c r="BG559" s="79"/>
      <c r="BH559" s="80" t="str">
        <f t="shared" si="368"/>
        <v>Barrios Unidos</v>
      </c>
      <c r="BI559" s="79" t="s">
        <v>1031</v>
      </c>
      <c r="BJ559" s="79"/>
      <c r="BK559" s="79"/>
      <c r="BL559" s="79"/>
      <c r="BM559" s="79"/>
      <c r="BN559" s="79"/>
      <c r="BO559" s="79"/>
      <c r="BP559" s="79"/>
      <c r="BQ559" s="79"/>
      <c r="BR559" s="79"/>
      <c r="BS559" s="80" t="s">
        <v>3904</v>
      </c>
      <c r="BT559" s="80" t="s">
        <v>174</v>
      </c>
      <c r="BU559" s="80" t="s">
        <v>3905</v>
      </c>
      <c r="BV559" s="71"/>
      <c r="BW559" s="79" t="s">
        <v>152</v>
      </c>
      <c r="BX559" s="79" t="s">
        <v>179</v>
      </c>
      <c r="BY559" s="71"/>
      <c r="BZ559" s="79">
        <v>31</v>
      </c>
      <c r="CA559" s="79">
        <v>2</v>
      </c>
      <c r="CB559" s="79">
        <f>BZ559+CA559</f>
        <v>33</v>
      </c>
      <c r="CC559" s="79" t="str">
        <f t="shared" si="382"/>
        <v>Ninguna</v>
      </c>
      <c r="CD559" s="79" t="s">
        <v>174</v>
      </c>
      <c r="CE559" s="79"/>
      <c r="CF559" s="79"/>
      <c r="CG559" s="83" t="s">
        <v>3906</v>
      </c>
      <c r="CH559" s="41"/>
      <c r="CI559" s="79" t="s">
        <v>153</v>
      </c>
      <c r="CJ559" s="71"/>
      <c r="CK559" s="79">
        <f>COUNTIF(CL559:CQ559,"*")</f>
        <v>0</v>
      </c>
      <c r="CL559" s="79"/>
      <c r="CM559" s="79"/>
      <c r="CN559" s="79"/>
      <c r="CO559" s="79"/>
      <c r="CP559" s="79"/>
      <c r="CQ559" s="79"/>
      <c r="CR559" s="83" t="s">
        <v>179</v>
      </c>
      <c r="CS559" s="83" t="s">
        <v>179</v>
      </c>
      <c r="CT559" s="83" t="s">
        <v>179</v>
      </c>
      <c r="CU559" s="83" t="s">
        <v>179</v>
      </c>
      <c r="CV559" s="83" t="s">
        <v>179</v>
      </c>
      <c r="CW559" s="83" t="s">
        <v>179</v>
      </c>
      <c r="CX559" s="79" t="s">
        <v>153</v>
      </c>
      <c r="CY559" s="79">
        <f>SUM(COUNTIF(CR559:CW559,"Realizado y Devuelto a la Ciudadanía"),COUNTIF(CR559:CW559,"Realizado y Trasladado por competencia"), COUNTIF(CR559:CW559,"Realizado y Gestionado"))</f>
        <v>0</v>
      </c>
      <c r="CZ559" s="79">
        <v>0</v>
      </c>
      <c r="DA559" s="79">
        <f>COUNTIF(CR559:CW559,"Realizado y Devuelto a la Ciudadanía")</f>
        <v>0</v>
      </c>
      <c r="DB559" s="84" t="str">
        <f>IFERROR(CY559/CK559,"")</f>
        <v/>
      </c>
      <c r="DC559" s="41"/>
      <c r="DD559" s="79" t="s">
        <v>153</v>
      </c>
      <c r="DE559" s="71"/>
      <c r="DF559" s="127" t="s">
        <v>3907</v>
      </c>
      <c r="DG559" s="79">
        <v>548</v>
      </c>
      <c r="DH559" s="86" t="str">
        <f t="shared" si="392"/>
        <v>Completo</v>
      </c>
      <c r="DI559" s="79" t="s">
        <v>181</v>
      </c>
      <c r="DJ559" s="79" t="s">
        <v>182</v>
      </c>
      <c r="DK559" s="79"/>
      <c r="DL559" s="79">
        <v>0</v>
      </c>
      <c r="DM559" s="79">
        <v>0</v>
      </c>
      <c r="DN559" s="79" t="s">
        <v>182</v>
      </c>
      <c r="DO559" s="79"/>
      <c r="DP559" s="79"/>
      <c r="DQ559" s="79"/>
      <c r="DR559" s="75" t="str">
        <f t="shared" si="393"/>
        <v>No aplica</v>
      </c>
      <c r="DS559" s="79"/>
      <c r="DT559" s="79"/>
      <c r="DU559" s="75" t="str">
        <f t="shared" si="394"/>
        <v>No aplica</v>
      </c>
      <c r="DV559" s="79" t="s">
        <v>182</v>
      </c>
      <c r="DW559" s="79" t="s">
        <v>182</v>
      </c>
      <c r="DX559" s="79"/>
      <c r="DY559" s="79"/>
      <c r="DZ559" s="79"/>
      <c r="EA559" s="79"/>
      <c r="EB559" s="79" t="s">
        <v>182</v>
      </c>
      <c r="EC559" s="79" t="s">
        <v>3908</v>
      </c>
      <c r="ED559" s="79" t="s">
        <v>3909</v>
      </c>
      <c r="EE559" s="79" t="str">
        <f>IF(DI559="Subsanado","Completo","Por Completar")</f>
        <v>Completo</v>
      </c>
      <c r="EF559" s="41"/>
      <c r="EG559" s="79" t="s">
        <v>153</v>
      </c>
      <c r="EH559" s="71"/>
      <c r="EI559" s="80"/>
      <c r="EJ559" s="71"/>
      <c r="EK559" s="79"/>
      <c r="EL559" s="76" t="str">
        <f t="shared" si="370"/>
        <v>No requiere</v>
      </c>
      <c r="EM559" s="76" t="str">
        <f t="shared" si="371"/>
        <v>No requiere</v>
      </c>
      <c r="EN559" s="76" t="str">
        <f>IF(F559="NO","No requiere",IF(H559="No","No requiere",IF(CC559="","",IF(CD559&lt;&gt;"No aplica",IF(CD559&lt;&gt;"Ninguna",IF(COUNTIF(CD559:CF559,"*")&gt;=1,"Sí","No"),"No"),"No aplica"))))</f>
        <v>No requiere</v>
      </c>
      <c r="EO559" s="71"/>
      <c r="EP559" s="73" t="str">
        <f t="shared" si="372"/>
        <v>No requiere</v>
      </c>
      <c r="EQ559" s="77" t="str">
        <f t="shared" si="373"/>
        <v>No requiere</v>
      </c>
      <c r="ER559" s="71"/>
      <c r="ES559" s="79"/>
      <c r="ET559" s="73" t="str">
        <f t="shared" si="374"/>
        <v>No requiere</v>
      </c>
      <c r="EU559" s="73" t="str">
        <f>IF(F559="NO","No requiere",IF(H559="No","No requiere",IF(B559="","",IF(CX559="SÍ",IF(CK559&gt;=1,CY559/CK559,"Sin compromisos"),"Por verificar"))))</f>
        <v>No requiere</v>
      </c>
      <c r="EV559" s="73" t="str">
        <f t="shared" si="375"/>
        <v>No requiere</v>
      </c>
      <c r="EW559" s="73" t="str">
        <f t="shared" si="386"/>
        <v>No requiere</v>
      </c>
      <c r="EX559" s="78"/>
      <c r="EY559" s="78"/>
    </row>
    <row r="560" spans="1:155" ht="46.5" customHeight="1">
      <c r="A560" s="79">
        <v>556</v>
      </c>
      <c r="B560" s="80" t="s">
        <v>1052</v>
      </c>
      <c r="C560" s="81">
        <v>45456</v>
      </c>
      <c r="D560" s="82">
        <v>0.35416666666666669</v>
      </c>
      <c r="E560" s="79" t="s">
        <v>200</v>
      </c>
      <c r="F560" s="79" t="s">
        <v>153</v>
      </c>
      <c r="G560" s="79" t="s">
        <v>152</v>
      </c>
      <c r="H560" s="79" t="s">
        <v>152</v>
      </c>
      <c r="I560" s="79" t="s">
        <v>152</v>
      </c>
      <c r="J560" s="79" t="s">
        <v>504</v>
      </c>
      <c r="K560" s="79" t="s">
        <v>155</v>
      </c>
      <c r="L560" s="80" t="s">
        <v>1053</v>
      </c>
      <c r="M560" s="80" t="s">
        <v>157</v>
      </c>
      <c r="N560" s="79" t="s">
        <v>965</v>
      </c>
      <c r="O560" s="80" t="str">
        <f t="shared" si="383"/>
        <v/>
      </c>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t="s">
        <v>169</v>
      </c>
      <c r="AP560" s="79" t="s">
        <v>2702</v>
      </c>
      <c r="AQ560" s="80" t="s">
        <v>2071</v>
      </c>
      <c r="AR560" s="83">
        <v>3132133446</v>
      </c>
      <c r="AS560" s="80" t="s">
        <v>1056</v>
      </c>
      <c r="AT560" s="80" t="str">
        <f t="shared" si="396"/>
        <v>Bosa</v>
      </c>
      <c r="AU560" s="79" t="s">
        <v>730</v>
      </c>
      <c r="AV560" s="79"/>
      <c r="AW560" s="79"/>
      <c r="AX560" s="79"/>
      <c r="AY560" s="79"/>
      <c r="AZ560" s="79"/>
      <c r="BA560" s="80" t="str">
        <f t="shared" si="367"/>
        <v>Suroccidente</v>
      </c>
      <c r="BB560" s="79" t="s">
        <v>732</v>
      </c>
      <c r="BC560" s="79"/>
      <c r="BD560" s="79"/>
      <c r="BE560" s="79"/>
      <c r="BF560" s="79"/>
      <c r="BG560" s="79"/>
      <c r="BH560" s="80" t="str">
        <f t="shared" si="368"/>
        <v>Bosa, Edén, Porvenir</v>
      </c>
      <c r="BI560" s="79" t="s">
        <v>730</v>
      </c>
      <c r="BJ560" s="79" t="s">
        <v>1057</v>
      </c>
      <c r="BK560" s="79" t="s">
        <v>1058</v>
      </c>
      <c r="BL560" s="79"/>
      <c r="BM560" s="79"/>
      <c r="BN560" s="79"/>
      <c r="BO560" s="79"/>
      <c r="BP560" s="79"/>
      <c r="BQ560" s="79"/>
      <c r="BR560" s="79"/>
      <c r="BS560" s="80" t="s">
        <v>2071</v>
      </c>
      <c r="BT560" s="80" t="s">
        <v>174</v>
      </c>
      <c r="BU560" s="80" t="s">
        <v>3910</v>
      </c>
      <c r="BV560" s="71"/>
      <c r="BW560" s="79" t="s">
        <v>152</v>
      </c>
      <c r="BX560" s="79" t="s">
        <v>179</v>
      </c>
      <c r="BY560" s="71"/>
      <c r="BZ560" s="79">
        <v>22</v>
      </c>
      <c r="CA560" s="79">
        <v>1</v>
      </c>
      <c r="CB560" s="79">
        <f>BZ560+CA560</f>
        <v>23</v>
      </c>
      <c r="CC560" s="79" t="str">
        <f t="shared" si="382"/>
        <v>Accesibilidad Universal</v>
      </c>
      <c r="CD560" s="79" t="s">
        <v>397</v>
      </c>
      <c r="CE560" s="79"/>
      <c r="CF560" s="79"/>
      <c r="CG560" s="83" t="s">
        <v>3911</v>
      </c>
      <c r="CH560" s="41"/>
      <c r="CI560" s="79" t="s">
        <v>153</v>
      </c>
      <c r="CJ560" s="71"/>
      <c r="CK560" s="79">
        <f t="shared" si="377"/>
        <v>0</v>
      </c>
      <c r="CL560" s="79"/>
      <c r="CM560" s="79"/>
      <c r="CN560" s="79"/>
      <c r="CO560" s="79"/>
      <c r="CP560" s="79"/>
      <c r="CQ560" s="79"/>
      <c r="CR560" s="83" t="s">
        <v>179</v>
      </c>
      <c r="CS560" s="83" t="s">
        <v>179</v>
      </c>
      <c r="CT560" s="83" t="s">
        <v>179</v>
      </c>
      <c r="CU560" s="83" t="s">
        <v>179</v>
      </c>
      <c r="CV560" s="83" t="s">
        <v>179</v>
      </c>
      <c r="CW560" s="83" t="s">
        <v>179</v>
      </c>
      <c r="CX560" s="79" t="s">
        <v>153</v>
      </c>
      <c r="CY560" s="79">
        <f t="shared" si="358"/>
        <v>0</v>
      </c>
      <c r="CZ560" s="79">
        <v>0</v>
      </c>
      <c r="DA560" s="79">
        <f t="shared" si="359"/>
        <v>0</v>
      </c>
      <c r="DB560" s="84" t="str">
        <f t="shared" si="364"/>
        <v/>
      </c>
      <c r="DC560" s="41"/>
      <c r="DD560" s="79" t="s">
        <v>153</v>
      </c>
      <c r="DE560" s="71"/>
      <c r="DF560" s="85" t="s">
        <v>3907</v>
      </c>
      <c r="DG560" s="79">
        <v>549</v>
      </c>
      <c r="DH560" s="86" t="str">
        <f t="shared" si="392"/>
        <v>Completo</v>
      </c>
      <c r="DI560" s="79" t="s">
        <v>181</v>
      </c>
      <c r="DJ560" s="79" t="s">
        <v>182</v>
      </c>
      <c r="DK560" s="79"/>
      <c r="DL560" s="79">
        <v>0</v>
      </c>
      <c r="DM560" s="79">
        <v>0</v>
      </c>
      <c r="DN560" s="79" t="s">
        <v>182</v>
      </c>
      <c r="DO560" s="79"/>
      <c r="DP560" s="79"/>
      <c r="DQ560" s="79"/>
      <c r="DR560" s="75" t="str">
        <f>IF(H560="SÍ", (DQ560/(BZ542*0.3)), "No aplica")</f>
        <v>No aplica</v>
      </c>
      <c r="DS560" s="79"/>
      <c r="DT560" s="79"/>
      <c r="DU560" s="75" t="str">
        <f>IF(H560="SÍ", (DT560/(BZ542*0.35)), "No aplica")</f>
        <v>No aplica</v>
      </c>
      <c r="DV560" s="79" t="s">
        <v>182</v>
      </c>
      <c r="DW560" s="79" t="s">
        <v>182</v>
      </c>
      <c r="DX560" s="79"/>
      <c r="DY560" s="79"/>
      <c r="DZ560" s="79"/>
      <c r="EA560" s="79"/>
      <c r="EB560" s="79"/>
      <c r="EC560" s="79"/>
      <c r="ED560" s="79" t="s">
        <v>3912</v>
      </c>
      <c r="EE560" s="79" t="str">
        <f t="shared" si="384"/>
        <v>Completo</v>
      </c>
      <c r="EF560" s="41"/>
      <c r="EG560" s="79" t="s">
        <v>153</v>
      </c>
      <c r="EH560" s="71"/>
      <c r="EI560" s="80"/>
      <c r="EJ560" s="71"/>
      <c r="EK560" s="79"/>
      <c r="EL560" s="76" t="str">
        <f t="shared" si="370"/>
        <v>No requiere</v>
      </c>
      <c r="EM560" s="76" t="str">
        <f t="shared" si="371"/>
        <v>No requiere</v>
      </c>
      <c r="EN560" s="76" t="str">
        <f>IF(F560="NO","No requiere",IF(H560="No","No requiere",IF(CC542="","",IF(CD542&lt;&gt;"No aplica",IF(CD542&lt;&gt;"Ninguna",IF(COUNTIF(CD542:CF542,"*")&gt;=1,"Sí","No"),"No"),"No aplica"))))</f>
        <v>No requiere</v>
      </c>
      <c r="EO560" s="71"/>
      <c r="EP560" s="73" t="str">
        <f t="shared" si="372"/>
        <v>No requiere</v>
      </c>
      <c r="EQ560" s="77" t="str">
        <f t="shared" si="373"/>
        <v>No requiere</v>
      </c>
      <c r="ER560" s="71"/>
      <c r="ES560" s="79"/>
      <c r="ET560" s="73" t="str">
        <f t="shared" si="374"/>
        <v>No requiere</v>
      </c>
      <c r="EU560" s="73" t="str">
        <f>IF(F560="NO","No requiere",IF(H560="No","No requiere",IF(B560="","",IF(CX560="SÍ",IF(CK560&gt;=1,CY560/CK560,"Sin compromisos"),"Por verificar"))))</f>
        <v>No requiere</v>
      </c>
      <c r="EV560" s="73" t="str">
        <f t="shared" si="375"/>
        <v>No requiere</v>
      </c>
      <c r="EW560" s="73" t="str">
        <f>IF(F560="NO","No requiere",IF(H560="No","No requiere",IFERROR(IF(BZ542="","",IF(EA560&lt;&gt;"No aplica",IF(EA560&gt;=1,DO560/EA560,"0%"),"No aplica")),"")))</f>
        <v>No requiere</v>
      </c>
      <c r="EX560" s="78"/>
      <c r="EY560" s="78"/>
    </row>
    <row r="561" spans="1:155" ht="46.5" customHeight="1">
      <c r="A561" s="79" t="str">
        <v/>
      </c>
      <c r="B561" s="80" t="s">
        <v>3913</v>
      </c>
      <c r="C561" s="81">
        <v>45456</v>
      </c>
      <c r="D561" s="82">
        <v>0.41666666666666669</v>
      </c>
      <c r="E561" s="79" t="s">
        <v>151</v>
      </c>
      <c r="F561" s="79" t="s">
        <v>152</v>
      </c>
      <c r="G561" s="79" t="s">
        <v>153</v>
      </c>
      <c r="H561" s="79" t="s">
        <v>152</v>
      </c>
      <c r="I561" s="79" t="s">
        <v>152</v>
      </c>
      <c r="J561" s="79" t="s">
        <v>1768</v>
      </c>
      <c r="K561" s="79" t="s">
        <v>155</v>
      </c>
      <c r="L561" s="80" t="s">
        <v>3914</v>
      </c>
      <c r="M561" s="80" t="s">
        <v>157</v>
      </c>
      <c r="N561" s="79" t="s">
        <v>924</v>
      </c>
      <c r="O561" s="80" t="str">
        <f t="shared" si="383"/>
        <v/>
      </c>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t="s">
        <v>169</v>
      </c>
      <c r="AP561" s="79" t="s">
        <v>170</v>
      </c>
      <c r="AQ561" s="80" t="s">
        <v>3643</v>
      </c>
      <c r="AR561" s="83">
        <v>3192173863</v>
      </c>
      <c r="AS561" s="80" t="s">
        <v>3010</v>
      </c>
      <c r="AT561" s="80" t="str">
        <f t="shared" si="396"/>
        <v>Distrital</v>
      </c>
      <c r="AU561" s="79" t="s">
        <v>172</v>
      </c>
      <c r="AV561" s="79"/>
      <c r="AW561" s="79"/>
      <c r="AX561" s="79"/>
      <c r="AY561" s="79"/>
      <c r="AZ561" s="79"/>
      <c r="BA561" s="80" t="str">
        <f t="shared" si="367"/>
        <v>Distrital</v>
      </c>
      <c r="BB561" s="79" t="s">
        <v>172</v>
      </c>
      <c r="BC561" s="79"/>
      <c r="BD561" s="79"/>
      <c r="BE561" s="79"/>
      <c r="BF561" s="79"/>
      <c r="BG561" s="79"/>
      <c r="BH561" s="80" t="str">
        <f t="shared" si="368"/>
        <v>Distrital</v>
      </c>
      <c r="BI561" s="79" t="s">
        <v>172</v>
      </c>
      <c r="BJ561" s="79"/>
      <c r="BK561" s="79"/>
      <c r="BL561" s="79"/>
      <c r="BM561" s="79"/>
      <c r="BN561" s="79"/>
      <c r="BO561" s="79"/>
      <c r="BP561" s="79"/>
      <c r="BQ561" s="79"/>
      <c r="BR561" s="79"/>
      <c r="BS561" s="80" t="s">
        <v>288</v>
      </c>
      <c r="BT561" s="80" t="s">
        <v>174</v>
      </c>
      <c r="BU561" s="92" t="s">
        <v>813</v>
      </c>
      <c r="BV561" s="71"/>
      <c r="BW561" s="79" t="s">
        <v>152</v>
      </c>
      <c r="BX561" s="79" t="s">
        <v>179</v>
      </c>
      <c r="BY561" s="71"/>
      <c r="BZ561" s="79">
        <v>0</v>
      </c>
      <c r="CA561" s="79">
        <v>12</v>
      </c>
      <c r="CB561" s="79">
        <f>BZ561+CA561</f>
        <v>12</v>
      </c>
      <c r="CC561" s="79" t="str">
        <f>_xlfn.TEXTJOIN(", ",TRUE,$CD561:$CF561)</f>
        <v>Ninguna</v>
      </c>
      <c r="CD561" s="79" t="s">
        <v>174</v>
      </c>
      <c r="CE561" s="79"/>
      <c r="CF561" s="79"/>
      <c r="CG561" s="83" t="s">
        <v>3915</v>
      </c>
      <c r="CH561" s="41"/>
      <c r="CI561" s="79" t="s">
        <v>153</v>
      </c>
      <c r="CJ561" s="71"/>
      <c r="CK561" s="79">
        <f>COUNTIF(CL561:CQ561,"*")</f>
        <v>0</v>
      </c>
      <c r="CL561" s="79"/>
      <c r="CM561" s="79"/>
      <c r="CN561" s="79"/>
      <c r="CO561" s="79"/>
      <c r="CP561" s="79"/>
      <c r="CQ561" s="79"/>
      <c r="CR561" s="83" t="s">
        <v>179</v>
      </c>
      <c r="CS561" s="83" t="s">
        <v>179</v>
      </c>
      <c r="CT561" s="83" t="s">
        <v>179</v>
      </c>
      <c r="CU561" s="83" t="s">
        <v>179</v>
      </c>
      <c r="CV561" s="83" t="s">
        <v>179</v>
      </c>
      <c r="CW561" s="83" t="s">
        <v>179</v>
      </c>
      <c r="CX561" s="79" t="s">
        <v>153</v>
      </c>
      <c r="CY561" s="79">
        <f>SUM(COUNTIF(CR561:CW561,"Realizado y Devuelto a la Ciudadanía"),COUNTIF(CR561:CW561,"Realizado y Trasladado por competencia"), COUNTIF(CR561:CW561,"Realizado y Gestionado"))</f>
        <v>0</v>
      </c>
      <c r="CZ561" s="79">
        <v>0</v>
      </c>
      <c r="DA561" s="79">
        <f>COUNTIF(CR561:CW561,"Realizado y Devuelto a la Ciudadanía")</f>
        <v>0</v>
      </c>
      <c r="DB561" s="84" t="str">
        <f>IFERROR(CY561/CK561,"")</f>
        <v/>
      </c>
      <c r="DC561" s="41"/>
      <c r="DD561" s="79" t="s">
        <v>153</v>
      </c>
      <c r="DE561" s="71"/>
      <c r="DF561" s="127" t="s">
        <v>3916</v>
      </c>
      <c r="DG561" s="79">
        <v>550</v>
      </c>
      <c r="DH561" s="86" t="str">
        <f t="shared" si="392"/>
        <v>Completo</v>
      </c>
      <c r="DI561" s="79" t="s">
        <v>181</v>
      </c>
      <c r="DJ561" s="79" t="s">
        <v>182</v>
      </c>
      <c r="DK561" s="79"/>
      <c r="DL561" s="79">
        <v>0</v>
      </c>
      <c r="DM561" s="79">
        <v>0</v>
      </c>
      <c r="DN561" s="79" t="s">
        <v>191</v>
      </c>
      <c r="DO561" s="79"/>
      <c r="DP561" s="79"/>
      <c r="DQ561" s="79"/>
      <c r="DR561" s="75" t="str">
        <f t="shared" ref="DR561:DR591" si="411">IF(H561="SÍ", (DQ561/(BZ561*0.3)), "No aplica")</f>
        <v>No aplica</v>
      </c>
      <c r="DS561" s="79"/>
      <c r="DT561" s="79"/>
      <c r="DU561" s="75" t="str">
        <f t="shared" ref="DU561:DU591" si="412">IF(H561="SÍ", (DT561/(BZ561*0.35)), "No aplica")</f>
        <v>No aplica</v>
      </c>
      <c r="DV561" s="79" t="s">
        <v>182</v>
      </c>
      <c r="DW561" s="79" t="s">
        <v>182</v>
      </c>
      <c r="DX561" s="79"/>
      <c r="DY561" s="79"/>
      <c r="DZ561" s="79"/>
      <c r="EA561" s="79"/>
      <c r="EB561" s="79"/>
      <c r="EC561" s="79"/>
      <c r="ED561" s="79" t="s">
        <v>1743</v>
      </c>
      <c r="EE561" s="79" t="str">
        <f>IF(DI561="Subsanado","Completo","Por Completar")</f>
        <v>Completo</v>
      </c>
      <c r="EF561" s="41"/>
      <c r="EG561" s="79" t="s">
        <v>153</v>
      </c>
      <c r="EH561" s="71"/>
      <c r="EI561" s="80"/>
      <c r="EJ561" s="71"/>
      <c r="EK561" s="79"/>
      <c r="EL561" s="76" t="str">
        <f t="shared" si="370"/>
        <v>No requiere</v>
      </c>
      <c r="EM561" s="76" t="str">
        <f t="shared" si="371"/>
        <v>No requiere</v>
      </c>
      <c r="EN561" s="76" t="str">
        <f>IF(F561="NO","No requiere",IF(H561="No","No requiere",IF(CC561="","",IF(CD561&lt;&gt;"No aplica",IF(CD561&lt;&gt;"Ninguna",IF(COUNTIF(CD561:CF561,"*")&gt;=1,"Sí","No"),"No"),"No aplica"))))</f>
        <v>No requiere</v>
      </c>
      <c r="EO561" s="71"/>
      <c r="EP561" s="73" t="str">
        <f t="shared" si="372"/>
        <v>No requiere</v>
      </c>
      <c r="EQ561" s="77" t="str">
        <f t="shared" si="373"/>
        <v>No requiere</v>
      </c>
      <c r="ER561" s="71"/>
      <c r="ES561" s="79"/>
      <c r="ET561" s="73" t="str">
        <f t="shared" si="374"/>
        <v>No requiere</v>
      </c>
      <c r="EU561" s="73" t="str">
        <f>IF(F561="NO","No requiere",IF(H561="No","No requiere",IF(B561="","",IF(CX561="SÍ",IF(CK561&gt;=1,CY561/CK561,"Sin compromisos"),"Por verificar"))))</f>
        <v>No requiere</v>
      </c>
      <c r="EV561" s="73" t="str">
        <f t="shared" si="375"/>
        <v>No requiere</v>
      </c>
      <c r="EW561" s="73" t="str">
        <f t="shared" ref="EW561:EW591" si="413">IF(F561="NO","No requiere",IF(H561="No","No requiere",IFERROR(IF(BZ561="","",IF(EA561&lt;&gt;"No aplica",IF(EA561&gt;=1,DO561/EA561,"0%"),"No aplica")),"")))</f>
        <v>No requiere</v>
      </c>
      <c r="EX561" s="78"/>
      <c r="EY561" s="78"/>
    </row>
    <row r="562" spans="1:155" ht="46.5" customHeight="1">
      <c r="A562" s="79">
        <v>558</v>
      </c>
      <c r="B562" s="80" t="s">
        <v>3917</v>
      </c>
      <c r="C562" s="81">
        <v>45456</v>
      </c>
      <c r="D562" s="82">
        <v>0.41666666666666669</v>
      </c>
      <c r="E562" s="79" t="s">
        <v>853</v>
      </c>
      <c r="F562" s="79" t="s">
        <v>153</v>
      </c>
      <c r="G562" s="79" t="s">
        <v>152</v>
      </c>
      <c r="H562" s="79" t="s">
        <v>152</v>
      </c>
      <c r="I562" s="79" t="s">
        <v>152</v>
      </c>
      <c r="J562" s="79" t="s">
        <v>2201</v>
      </c>
      <c r="K562" s="79" t="s">
        <v>155</v>
      </c>
      <c r="L562" s="80" t="s">
        <v>3918</v>
      </c>
      <c r="M562" s="80" t="s">
        <v>157</v>
      </c>
      <c r="N562" s="79" t="s">
        <v>729</v>
      </c>
      <c r="O562" s="80" t="str">
        <f t="shared" si="383"/>
        <v>PENDIENTE</v>
      </c>
      <c r="P562" s="79" t="s">
        <v>196</v>
      </c>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t="s">
        <v>230</v>
      </c>
      <c r="AP562" s="79" t="s">
        <v>1996</v>
      </c>
      <c r="AQ562" s="80" t="s">
        <v>3919</v>
      </c>
      <c r="AR562" s="83">
        <v>3108675147</v>
      </c>
      <c r="AS562" s="80" t="s">
        <v>3920</v>
      </c>
      <c r="AT562" s="80" t="str">
        <f t="shared" si="396"/>
        <v>Teusaquillo</v>
      </c>
      <c r="AU562" s="79" t="s">
        <v>1004</v>
      </c>
      <c r="AV562" s="79"/>
      <c r="AW562" s="79"/>
      <c r="AX562" s="79"/>
      <c r="AY562" s="79"/>
      <c r="AZ562" s="79"/>
      <c r="BA562" s="80" t="str">
        <f t="shared" si="367"/>
        <v>Centro Ampliado</v>
      </c>
      <c r="BB562" s="79" t="s">
        <v>636</v>
      </c>
      <c r="BC562" s="79"/>
      <c r="BD562" s="79"/>
      <c r="BE562" s="79"/>
      <c r="BF562" s="79"/>
      <c r="BG562" s="79"/>
      <c r="BH562" s="80" t="str">
        <f t="shared" si="368"/>
        <v>Teusaquillo</v>
      </c>
      <c r="BI562" s="79" t="s">
        <v>1004</v>
      </c>
      <c r="BJ562" s="79"/>
      <c r="BK562" s="79"/>
      <c r="BL562" s="79"/>
      <c r="BM562" s="79"/>
      <c r="BN562" s="79"/>
      <c r="BO562" s="79"/>
      <c r="BP562" s="79"/>
      <c r="BQ562" s="79"/>
      <c r="BR562" s="79"/>
      <c r="BS562" s="80" t="s">
        <v>1004</v>
      </c>
      <c r="BT562" s="80" t="s">
        <v>174</v>
      </c>
      <c r="BU562" s="80" t="s">
        <v>3921</v>
      </c>
      <c r="BV562" s="71"/>
      <c r="BW562" s="79" t="s">
        <v>152</v>
      </c>
      <c r="BX562" s="79" t="s">
        <v>179</v>
      </c>
      <c r="BY562" s="71"/>
      <c r="BZ562" s="79">
        <v>2</v>
      </c>
      <c r="CA562" s="79">
        <v>3</v>
      </c>
      <c r="CB562" s="79">
        <f t="shared" ref="CB562" si="414">BZ562+CA562</f>
        <v>5</v>
      </c>
      <c r="CC562" s="79" t="str">
        <f t="shared" si="382"/>
        <v>Ninguna</v>
      </c>
      <c r="CD562" s="79" t="s">
        <v>174</v>
      </c>
      <c r="CE562" s="79"/>
      <c r="CF562" s="79"/>
      <c r="CG562" s="83" t="s">
        <v>3922</v>
      </c>
      <c r="CH562" s="41"/>
      <c r="CI562" s="79" t="s">
        <v>153</v>
      </c>
      <c r="CJ562" s="71"/>
      <c r="CK562" s="79">
        <f t="shared" ref="CK562" si="415">COUNTIF(CL562:CQ562,"*")</f>
        <v>0</v>
      </c>
      <c r="CL562" s="79"/>
      <c r="CM562" s="79"/>
      <c r="CN562" s="79"/>
      <c r="CO562" s="79"/>
      <c r="CP562" s="79"/>
      <c r="CQ562" s="79"/>
      <c r="CR562" s="83" t="s">
        <v>179</v>
      </c>
      <c r="CS562" s="83" t="s">
        <v>179</v>
      </c>
      <c r="CT562" s="83" t="s">
        <v>179</v>
      </c>
      <c r="CU562" s="83" t="s">
        <v>179</v>
      </c>
      <c r="CV562" s="83" t="s">
        <v>179</v>
      </c>
      <c r="CW562" s="83" t="s">
        <v>179</v>
      </c>
      <c r="CX562" s="79" t="s">
        <v>153</v>
      </c>
      <c r="CY562" s="79">
        <f t="shared" ref="CY562" si="416">SUM(COUNTIF(CR562:CW562,"Realizado y Devuelto a la Ciudadanía"),COUNTIF(CR562:CW562,"Realizado y Trasladado por competencia"), COUNTIF(CR562:CW562,"Realizado y Gestionado"))</f>
        <v>0</v>
      </c>
      <c r="CZ562" s="79">
        <v>0</v>
      </c>
      <c r="DA562" s="79">
        <f t="shared" ref="DA562" si="417">COUNTIF(CR562:CW562,"Realizado y Devuelto a la Ciudadanía")</f>
        <v>0</v>
      </c>
      <c r="DB562" s="84" t="str">
        <f t="shared" ref="DB562" si="418">IFERROR(CY562/CK562,"")</f>
        <v/>
      </c>
      <c r="DC562" s="41"/>
      <c r="DD562" s="79" t="s">
        <v>153</v>
      </c>
      <c r="DE562" s="71"/>
      <c r="DF562" s="127" t="s">
        <v>3923</v>
      </c>
      <c r="DG562" s="79">
        <v>551</v>
      </c>
      <c r="DH562" s="86" t="str">
        <f t="shared" si="392"/>
        <v>Completo</v>
      </c>
      <c r="DI562" s="79" t="s">
        <v>181</v>
      </c>
      <c r="DJ562" s="79" t="s">
        <v>182</v>
      </c>
      <c r="DK562" s="79"/>
      <c r="DL562" s="79">
        <v>0</v>
      </c>
      <c r="DM562" s="79">
        <v>0</v>
      </c>
      <c r="DN562" s="79" t="s">
        <v>182</v>
      </c>
      <c r="DO562" s="79"/>
      <c r="DP562" s="79"/>
      <c r="DQ562" s="79"/>
      <c r="DR562" s="75" t="str">
        <f t="shared" si="411"/>
        <v>No aplica</v>
      </c>
      <c r="DS562" s="79"/>
      <c r="DT562" s="79"/>
      <c r="DU562" s="75" t="str">
        <f t="shared" si="412"/>
        <v>No aplica</v>
      </c>
      <c r="DV562" s="79" t="s">
        <v>182</v>
      </c>
      <c r="DW562" s="79" t="s">
        <v>191</v>
      </c>
      <c r="DX562" s="79"/>
      <c r="DY562" s="79"/>
      <c r="DZ562" s="79"/>
      <c r="EA562" s="79"/>
      <c r="EB562" s="79" t="s">
        <v>191</v>
      </c>
      <c r="EC562" s="79"/>
      <c r="ED562" s="79" t="s">
        <v>3924</v>
      </c>
      <c r="EE562" s="79" t="str">
        <f t="shared" ref="EE562" si="419">IF(DI562="Subsanado","Completo","Por Completar")</f>
        <v>Completo</v>
      </c>
      <c r="EF562" s="41"/>
      <c r="EG562" s="79" t="s">
        <v>153</v>
      </c>
      <c r="EH562" s="71"/>
      <c r="EI562" s="80"/>
      <c r="EJ562" s="71"/>
      <c r="EK562" s="79"/>
      <c r="EL562" s="87" t="str">
        <f t="shared" si="370"/>
        <v>No requiere</v>
      </c>
      <c r="EM562" s="87" t="str">
        <f t="shared" si="371"/>
        <v>No requiere</v>
      </c>
      <c r="EN562" s="87" t="str">
        <f t="shared" ref="EN562" si="420">IF(F562="NO","No requiere",IF(H562="No","No requiere",IF(CC562="","",IF(CD562&lt;&gt;"No aplica",IF(CD562&lt;&gt;"Ninguna",IF(COUNTIF(CD562:CF562,"*")&gt;=1,"Sí","No"),"No"),"No aplica"))))</f>
        <v>No requiere</v>
      </c>
      <c r="EO562" s="71"/>
      <c r="EP562" s="84" t="str">
        <f t="shared" si="372"/>
        <v>No requiere</v>
      </c>
      <c r="EQ562" s="88" t="str">
        <f t="shared" si="373"/>
        <v>No requiere</v>
      </c>
      <c r="ER562" s="71"/>
      <c r="ES562" s="79"/>
      <c r="ET562" s="84" t="str">
        <f t="shared" si="374"/>
        <v>No requiere</v>
      </c>
      <c r="EU562" s="84" t="str">
        <f t="shared" ref="EU562" si="421">IF(F562="NO","No requiere",IF(H562="No","No requiere",IF(B562="","",IF(CX562="SÍ",IF(CK562&gt;=1,CY562/CK562,"Sin compromisos"),"Por verificar"))))</f>
        <v>No requiere</v>
      </c>
      <c r="EV562" s="84" t="str">
        <f t="shared" si="375"/>
        <v>No requiere</v>
      </c>
      <c r="EW562" s="84" t="str">
        <f t="shared" si="413"/>
        <v>No requiere</v>
      </c>
      <c r="EX562" s="78"/>
      <c r="EY562" s="78"/>
    </row>
    <row r="563" spans="1:155" ht="46.5" customHeight="1">
      <c r="A563" s="79">
        <v>559</v>
      </c>
      <c r="B563" s="80" t="s">
        <v>680</v>
      </c>
      <c r="C563" s="81">
        <v>45456</v>
      </c>
      <c r="D563" s="82">
        <v>0.70833333333333337</v>
      </c>
      <c r="E563" s="79" t="s">
        <v>200</v>
      </c>
      <c r="F563" s="79" t="s">
        <v>153</v>
      </c>
      <c r="G563" s="79" t="s">
        <v>152</v>
      </c>
      <c r="H563" s="79" t="s">
        <v>152</v>
      </c>
      <c r="I563" s="79" t="s">
        <v>152</v>
      </c>
      <c r="J563" s="79" t="s">
        <v>211</v>
      </c>
      <c r="K563" s="79" t="s">
        <v>155</v>
      </c>
      <c r="L563" s="80" t="s">
        <v>3925</v>
      </c>
      <c r="M563" s="80" t="s">
        <v>624</v>
      </c>
      <c r="N563" s="79" t="s">
        <v>253</v>
      </c>
      <c r="O563" s="80" t="str">
        <f t="shared" si="383"/>
        <v>PENDIENTE</v>
      </c>
      <c r="P563" s="79" t="s">
        <v>196</v>
      </c>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t="s">
        <v>169</v>
      </c>
      <c r="AP563" s="79" t="s">
        <v>242</v>
      </c>
      <c r="AQ563" s="80" t="s">
        <v>625</v>
      </c>
      <c r="AR563" s="83" t="s">
        <v>3926</v>
      </c>
      <c r="AS563" s="80" t="s">
        <v>2040</v>
      </c>
      <c r="AT563" s="80" t="str">
        <f t="shared" si="396"/>
        <v>Distrital</v>
      </c>
      <c r="AU563" s="79" t="s">
        <v>172</v>
      </c>
      <c r="AV563" s="79"/>
      <c r="AW563" s="79"/>
      <c r="AX563" s="79"/>
      <c r="AY563" s="79"/>
      <c r="AZ563" s="79"/>
      <c r="BA563" s="80" t="str">
        <f t="shared" si="367"/>
        <v>Distrital</v>
      </c>
      <c r="BB563" s="79" t="s">
        <v>172</v>
      </c>
      <c r="BC563" s="79"/>
      <c r="BD563" s="79"/>
      <c r="BE563" s="79"/>
      <c r="BF563" s="79"/>
      <c r="BG563" s="79"/>
      <c r="BH563" s="80" t="str">
        <f t="shared" si="368"/>
        <v>Distrital</v>
      </c>
      <c r="BI563" s="79" t="s">
        <v>172</v>
      </c>
      <c r="BJ563" s="79"/>
      <c r="BK563" s="79"/>
      <c r="BL563" s="79"/>
      <c r="BM563" s="79"/>
      <c r="BN563" s="79"/>
      <c r="BO563" s="79"/>
      <c r="BP563" s="79"/>
      <c r="BQ563" s="79"/>
      <c r="BR563" s="79"/>
      <c r="BS563" s="80" t="s">
        <v>288</v>
      </c>
      <c r="BT563" s="80" t="s">
        <v>174</v>
      </c>
      <c r="BU563" s="80" t="s">
        <v>3927</v>
      </c>
      <c r="BV563" s="71"/>
      <c r="BW563" s="79" t="s">
        <v>152</v>
      </c>
      <c r="BX563" s="79" t="s">
        <v>179</v>
      </c>
      <c r="BY563" s="71"/>
      <c r="BZ563" s="79">
        <v>60</v>
      </c>
      <c r="CA563" s="79">
        <v>2</v>
      </c>
      <c r="CB563" s="79">
        <f t="shared" ref="CB563:CB564" si="422">BZ563+CA563</f>
        <v>62</v>
      </c>
      <c r="CC563" s="79" t="str">
        <f t="shared" si="382"/>
        <v>Ninguna</v>
      </c>
      <c r="CD563" s="79" t="s">
        <v>174</v>
      </c>
      <c r="CE563" s="79"/>
      <c r="CF563" s="79"/>
      <c r="CG563" s="83" t="s">
        <v>3928</v>
      </c>
      <c r="CH563" s="41"/>
      <c r="CI563" s="79" t="s">
        <v>153</v>
      </c>
      <c r="CJ563" s="71"/>
      <c r="CK563" s="79">
        <f t="shared" ref="CK563:CK564" si="423">COUNTIF(CL563:CQ563,"*")</f>
        <v>0</v>
      </c>
      <c r="CL563" s="79"/>
      <c r="CM563" s="79"/>
      <c r="CN563" s="79"/>
      <c r="CO563" s="79"/>
      <c r="CP563" s="79"/>
      <c r="CQ563" s="79"/>
      <c r="CR563" s="83" t="s">
        <v>179</v>
      </c>
      <c r="CS563" s="83" t="s">
        <v>179</v>
      </c>
      <c r="CT563" s="83" t="s">
        <v>179</v>
      </c>
      <c r="CU563" s="83" t="s">
        <v>179</v>
      </c>
      <c r="CV563" s="83" t="s">
        <v>179</v>
      </c>
      <c r="CW563" s="83" t="s">
        <v>179</v>
      </c>
      <c r="CX563" s="79" t="s">
        <v>153</v>
      </c>
      <c r="CY563" s="79">
        <f t="shared" ref="CY563:CY564" si="424">SUM(COUNTIF(CR563:CW563,"Realizado y Devuelto a la Ciudadanía"),COUNTIF(CR563:CW563,"Realizado y Trasladado por competencia"), COUNTIF(CR563:CW563,"Realizado y Gestionado"))</f>
        <v>0</v>
      </c>
      <c r="CZ563" s="79">
        <v>0</v>
      </c>
      <c r="DA563" s="79">
        <f t="shared" ref="DA563:DA564" si="425">COUNTIF(CR563:CW563,"Realizado y Devuelto a la Ciudadanía")</f>
        <v>0</v>
      </c>
      <c r="DB563" s="84" t="str">
        <f t="shared" ref="DB563:DB564" si="426">IFERROR(CY563/CK563,"")</f>
        <v/>
      </c>
      <c r="DC563" s="41"/>
      <c r="DD563" s="79" t="s">
        <v>153</v>
      </c>
      <c r="DE563" s="71"/>
      <c r="DF563" s="127" t="s">
        <v>3929</v>
      </c>
      <c r="DG563" s="79">
        <v>552</v>
      </c>
      <c r="DH563" s="86" t="str">
        <f t="shared" si="392"/>
        <v>Completo</v>
      </c>
      <c r="DI563" s="79" t="s">
        <v>181</v>
      </c>
      <c r="DJ563" s="79" t="s">
        <v>182</v>
      </c>
      <c r="DK563" s="79"/>
      <c r="DL563" s="79">
        <v>0</v>
      </c>
      <c r="DM563" s="79">
        <v>0</v>
      </c>
      <c r="DN563" s="79" t="s">
        <v>182</v>
      </c>
      <c r="DO563" s="79"/>
      <c r="DP563" s="79"/>
      <c r="DQ563" s="79"/>
      <c r="DR563" s="75" t="str">
        <f t="shared" si="411"/>
        <v>No aplica</v>
      </c>
      <c r="DS563" s="79"/>
      <c r="DT563" s="79"/>
      <c r="DU563" s="75" t="str">
        <f t="shared" si="412"/>
        <v>No aplica</v>
      </c>
      <c r="DV563" s="79" t="s">
        <v>182</v>
      </c>
      <c r="DW563" s="79" t="s">
        <v>182</v>
      </c>
      <c r="DX563" s="79"/>
      <c r="DY563" s="79"/>
      <c r="DZ563" s="79"/>
      <c r="EA563" s="79"/>
      <c r="EB563" s="79" t="s">
        <v>182</v>
      </c>
      <c r="EC563" s="79" t="s">
        <v>3930</v>
      </c>
      <c r="ED563" s="79" t="s">
        <v>3854</v>
      </c>
      <c r="EE563" s="79" t="str">
        <f t="shared" ref="EE563:EE564" si="427">IF(DI563="Subsanado","Completo","Por Completar")</f>
        <v>Completo</v>
      </c>
      <c r="EF563" s="41"/>
      <c r="EG563" s="79" t="s">
        <v>153</v>
      </c>
      <c r="EH563" s="71"/>
      <c r="EI563" s="80"/>
      <c r="EJ563" s="71"/>
      <c r="EK563" s="79"/>
      <c r="EL563" s="87" t="str">
        <f t="shared" si="370"/>
        <v>No requiere</v>
      </c>
      <c r="EM563" s="87" t="str">
        <f t="shared" si="371"/>
        <v>No requiere</v>
      </c>
      <c r="EN563" s="87" t="str">
        <f t="shared" ref="EN563:EN564" si="428">IF(F563="NO","No requiere",IF(H563="No","No requiere",IF(CC563="","",IF(CD563&lt;&gt;"No aplica",IF(CD563&lt;&gt;"Ninguna",IF(COUNTIF(CD563:CF563,"*")&gt;=1,"Sí","No"),"No"),"No aplica"))))</f>
        <v>No requiere</v>
      </c>
      <c r="EO563" s="71"/>
      <c r="EP563" s="84" t="str">
        <f t="shared" si="372"/>
        <v>No requiere</v>
      </c>
      <c r="EQ563" s="88" t="str">
        <f t="shared" si="373"/>
        <v>No requiere</v>
      </c>
      <c r="ER563" s="71"/>
      <c r="ES563" s="79"/>
      <c r="ET563" s="84" t="str">
        <f t="shared" si="374"/>
        <v>No requiere</v>
      </c>
      <c r="EU563" s="84" t="str">
        <f t="shared" ref="EU563:EU564" si="429">IF(F563="NO","No requiere",IF(H563="No","No requiere",IF(B563="","",IF(CX563="SÍ",IF(CK563&gt;=1,CY563/CK563,"Sin compromisos"),"Por verificar"))))</f>
        <v>No requiere</v>
      </c>
      <c r="EV563" s="84" t="str">
        <f t="shared" si="375"/>
        <v>No requiere</v>
      </c>
      <c r="EW563" s="84" t="str">
        <f t="shared" si="413"/>
        <v>No requiere</v>
      </c>
      <c r="EX563" s="78"/>
      <c r="EY563" s="78"/>
    </row>
    <row r="564" spans="1:155" ht="46.5" customHeight="1">
      <c r="A564" s="79" t="str">
        <v/>
      </c>
      <c r="B564" s="166" t="s">
        <v>3913</v>
      </c>
      <c r="C564" s="167">
        <v>45457</v>
      </c>
      <c r="D564" s="206">
        <v>0.29166666666666669</v>
      </c>
      <c r="E564" s="79" t="s">
        <v>151</v>
      </c>
      <c r="F564" s="79" t="s">
        <v>152</v>
      </c>
      <c r="G564" s="79" t="s">
        <v>153</v>
      </c>
      <c r="H564" s="79" t="s">
        <v>152</v>
      </c>
      <c r="I564" s="79" t="s">
        <v>152</v>
      </c>
      <c r="J564" s="79" t="s">
        <v>1768</v>
      </c>
      <c r="K564" s="79" t="s">
        <v>202</v>
      </c>
      <c r="L564" s="80" t="s">
        <v>3914</v>
      </c>
      <c r="M564" s="80" t="s">
        <v>157</v>
      </c>
      <c r="N564" s="79" t="s">
        <v>924</v>
      </c>
      <c r="O564" s="80" t="str">
        <f t="shared" si="383"/>
        <v>Paula Andrea González</v>
      </c>
      <c r="P564" s="79" t="s">
        <v>158</v>
      </c>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t="s">
        <v>169</v>
      </c>
      <c r="AP564" s="79" t="s">
        <v>170</v>
      </c>
      <c r="AQ564" s="80" t="s">
        <v>3643</v>
      </c>
      <c r="AR564" s="83">
        <v>3192173863</v>
      </c>
      <c r="AS564" s="80" t="s">
        <v>3010</v>
      </c>
      <c r="AT564" s="80" t="str">
        <f t="shared" si="396"/>
        <v>Distrital</v>
      </c>
      <c r="AU564" s="79" t="s">
        <v>172</v>
      </c>
      <c r="AV564" s="79"/>
      <c r="AW564" s="79"/>
      <c r="AX564" s="79"/>
      <c r="AY564" s="79"/>
      <c r="AZ564" s="79"/>
      <c r="BA564" s="80" t="str">
        <f t="shared" si="367"/>
        <v>Distrital</v>
      </c>
      <c r="BB564" s="79" t="s">
        <v>172</v>
      </c>
      <c r="BC564" s="79"/>
      <c r="BD564" s="79"/>
      <c r="BE564" s="79"/>
      <c r="BF564" s="79"/>
      <c r="BG564" s="79"/>
      <c r="BH564" s="80" t="str">
        <f t="shared" si="368"/>
        <v>Distrital</v>
      </c>
      <c r="BI564" s="79" t="s">
        <v>172</v>
      </c>
      <c r="BJ564" s="79"/>
      <c r="BK564" s="79"/>
      <c r="BL564" s="79"/>
      <c r="BM564" s="79"/>
      <c r="BN564" s="79"/>
      <c r="BO564" s="79"/>
      <c r="BP564" s="79"/>
      <c r="BQ564" s="79"/>
      <c r="BR564" s="79"/>
      <c r="BS564" s="80" t="s">
        <v>288</v>
      </c>
      <c r="BT564" s="80" t="s">
        <v>174</v>
      </c>
      <c r="BU564" s="131" t="s">
        <v>3931</v>
      </c>
      <c r="BV564" s="71"/>
      <c r="BW564" s="79" t="s">
        <v>152</v>
      </c>
      <c r="BX564" s="79" t="s">
        <v>179</v>
      </c>
      <c r="BY564" s="71"/>
      <c r="BZ564" s="79">
        <v>0</v>
      </c>
      <c r="CA564" s="79">
        <v>14</v>
      </c>
      <c r="CB564" s="79">
        <f t="shared" si="422"/>
        <v>14</v>
      </c>
      <c r="CC564" s="79" t="str">
        <f t="shared" si="382"/>
        <v>Ninguna</v>
      </c>
      <c r="CD564" s="79" t="s">
        <v>174</v>
      </c>
      <c r="CE564" s="79"/>
      <c r="CF564" s="79"/>
      <c r="CG564" s="83" t="s">
        <v>3932</v>
      </c>
      <c r="CH564" s="41"/>
      <c r="CI564" s="79" t="s">
        <v>153</v>
      </c>
      <c r="CJ564" s="71"/>
      <c r="CK564" s="79">
        <f t="shared" si="423"/>
        <v>0</v>
      </c>
      <c r="CL564" s="79"/>
      <c r="CM564" s="79"/>
      <c r="CN564" s="79"/>
      <c r="CO564" s="79"/>
      <c r="CP564" s="79"/>
      <c r="CQ564" s="79"/>
      <c r="CR564" s="83" t="s">
        <v>179</v>
      </c>
      <c r="CS564" s="83" t="s">
        <v>179</v>
      </c>
      <c r="CT564" s="83" t="s">
        <v>179</v>
      </c>
      <c r="CU564" s="83" t="s">
        <v>179</v>
      </c>
      <c r="CV564" s="83" t="s">
        <v>179</v>
      </c>
      <c r="CW564" s="83" t="s">
        <v>179</v>
      </c>
      <c r="CX564" s="79" t="s">
        <v>153</v>
      </c>
      <c r="CY564" s="79">
        <f t="shared" si="424"/>
        <v>0</v>
      </c>
      <c r="CZ564" s="79">
        <v>0</v>
      </c>
      <c r="DA564" s="79">
        <f t="shared" si="425"/>
        <v>0</v>
      </c>
      <c r="DB564" s="84" t="str">
        <f t="shared" si="426"/>
        <v/>
      </c>
      <c r="DC564" s="41"/>
      <c r="DD564" s="79" t="s">
        <v>153</v>
      </c>
      <c r="DE564" s="71"/>
      <c r="DF564" s="127" t="s">
        <v>3933</v>
      </c>
      <c r="DG564" s="79">
        <v>553</v>
      </c>
      <c r="DH564" s="86" t="str">
        <f t="shared" si="392"/>
        <v>Completo</v>
      </c>
      <c r="DI564" s="79" t="s">
        <v>181</v>
      </c>
      <c r="DJ564" s="79" t="s">
        <v>182</v>
      </c>
      <c r="DK564" s="79"/>
      <c r="DL564" s="79">
        <v>0</v>
      </c>
      <c r="DM564" s="79">
        <v>0</v>
      </c>
      <c r="DN564" s="79"/>
      <c r="DO564" s="79"/>
      <c r="DP564" s="79"/>
      <c r="DQ564" s="79"/>
      <c r="DR564" s="75" t="str">
        <f t="shared" si="411"/>
        <v>No aplica</v>
      </c>
      <c r="DS564" s="79"/>
      <c r="DT564" s="79"/>
      <c r="DU564" s="75" t="str">
        <f t="shared" si="412"/>
        <v>No aplica</v>
      </c>
      <c r="DV564" s="79" t="s">
        <v>182</v>
      </c>
      <c r="DW564" s="79" t="s">
        <v>182</v>
      </c>
      <c r="DX564" s="79"/>
      <c r="DY564" s="79"/>
      <c r="DZ564" s="79"/>
      <c r="EA564" s="79"/>
      <c r="EB564" s="79" t="s">
        <v>191</v>
      </c>
      <c r="EC564" s="79"/>
      <c r="ED564" s="79" t="s">
        <v>184</v>
      </c>
      <c r="EE564" s="79" t="str">
        <f t="shared" si="427"/>
        <v>Completo</v>
      </c>
      <c r="EF564" s="41"/>
      <c r="EG564" s="79" t="s">
        <v>153</v>
      </c>
      <c r="EH564" s="71"/>
      <c r="EI564" s="80"/>
      <c r="EJ564" s="71"/>
      <c r="EK564" s="79"/>
      <c r="EL564" s="87" t="str">
        <f t="shared" si="370"/>
        <v>No requiere</v>
      </c>
      <c r="EM564" s="87" t="str">
        <f t="shared" si="371"/>
        <v>No requiere</v>
      </c>
      <c r="EN564" s="87" t="str">
        <f t="shared" si="428"/>
        <v>No requiere</v>
      </c>
      <c r="EO564" s="71"/>
      <c r="EP564" s="84" t="str">
        <f t="shared" si="372"/>
        <v>No requiere</v>
      </c>
      <c r="EQ564" s="88" t="str">
        <f t="shared" si="373"/>
        <v>No requiere</v>
      </c>
      <c r="ER564" s="71"/>
      <c r="ES564" s="79"/>
      <c r="ET564" s="84" t="str">
        <f t="shared" si="374"/>
        <v>No requiere</v>
      </c>
      <c r="EU564" s="84" t="str">
        <f t="shared" si="429"/>
        <v>No requiere</v>
      </c>
      <c r="EV564" s="84" t="str">
        <f t="shared" si="375"/>
        <v>No requiere</v>
      </c>
      <c r="EW564" s="84" t="str">
        <f t="shared" si="413"/>
        <v>No requiere</v>
      </c>
      <c r="EX564" s="78"/>
      <c r="EY564" s="78"/>
    </row>
    <row r="565" spans="1:155" ht="46.5" customHeight="1">
      <c r="A565" s="165">
        <v>561</v>
      </c>
      <c r="B565" s="166" t="s">
        <v>3934</v>
      </c>
      <c r="C565" s="69">
        <v>45457</v>
      </c>
      <c r="D565" s="206">
        <v>0.41666666666666669</v>
      </c>
      <c r="E565" s="205" t="s">
        <v>151</v>
      </c>
      <c r="F565" s="79" t="s">
        <v>153</v>
      </c>
      <c r="G565" s="79" t="s">
        <v>153</v>
      </c>
      <c r="H565" s="79" t="s">
        <v>153</v>
      </c>
      <c r="I565" s="79" t="s">
        <v>153</v>
      </c>
      <c r="J565" s="79" t="s">
        <v>3324</v>
      </c>
      <c r="K565" s="79" t="s">
        <v>155</v>
      </c>
      <c r="L565" s="80" t="s">
        <v>3325</v>
      </c>
      <c r="M565" s="80" t="s">
        <v>229</v>
      </c>
      <c r="N565" s="79" t="s">
        <v>818</v>
      </c>
      <c r="O565" s="80" t="str">
        <f t="shared" si="383"/>
        <v>Andres Castro Latorre, Manuel Fernando Vergara, William Arturo González, Luis Fernando Barreto , Joan Sebastian García, Laura Sofia Morales</v>
      </c>
      <c r="P565" s="79" t="s">
        <v>749</v>
      </c>
      <c r="Q565" s="79" t="s">
        <v>820</v>
      </c>
      <c r="R565" s="79" t="s">
        <v>2786</v>
      </c>
      <c r="S565" s="79" t="s">
        <v>720</v>
      </c>
      <c r="T565" s="79" t="s">
        <v>728</v>
      </c>
      <c r="U565" s="79" t="s">
        <v>506</v>
      </c>
      <c r="V565" s="79"/>
      <c r="W565" s="79"/>
      <c r="X565" s="79"/>
      <c r="Y565" s="79"/>
      <c r="Z565" s="79"/>
      <c r="AA565" s="79"/>
      <c r="AB565" s="79"/>
      <c r="AC565" s="79"/>
      <c r="AD565" s="79"/>
      <c r="AE565" s="79"/>
      <c r="AF565" s="79"/>
      <c r="AG565" s="79"/>
      <c r="AH565" s="79"/>
      <c r="AI565" s="79"/>
      <c r="AJ565" s="79"/>
      <c r="AK565" s="79"/>
      <c r="AL565" s="79"/>
      <c r="AM565" s="79"/>
      <c r="AN565" s="79"/>
      <c r="AO565" s="79" t="s">
        <v>304</v>
      </c>
      <c r="AP565" s="79"/>
      <c r="AQ565" s="80" t="s">
        <v>3370</v>
      </c>
      <c r="AR565" s="83">
        <v>3228657280</v>
      </c>
      <c r="AS565" s="80" t="s">
        <v>3371</v>
      </c>
      <c r="AT565" s="80" t="str">
        <f t="shared" si="396"/>
        <v>Barrios Unidos, Teusaquillo</v>
      </c>
      <c r="AU565" s="79" t="s">
        <v>1031</v>
      </c>
      <c r="AV565" s="79" t="s">
        <v>1004</v>
      </c>
      <c r="AW565" s="79"/>
      <c r="AX565" s="79"/>
      <c r="AY565" s="79"/>
      <c r="AZ565" s="79"/>
      <c r="BA565" s="80" t="str">
        <f t="shared" si="367"/>
        <v>Centro Ampliado</v>
      </c>
      <c r="BB565" s="79" t="s">
        <v>636</v>
      </c>
      <c r="BC565" s="79"/>
      <c r="BD565" s="79"/>
      <c r="BE565" s="79"/>
      <c r="BF565" s="79"/>
      <c r="BG565" s="79"/>
      <c r="BH565" s="80" t="str">
        <f t="shared" si="368"/>
        <v>Barrios Unidos, Teusaquillo</v>
      </c>
      <c r="BI565" s="79" t="s">
        <v>1031</v>
      </c>
      <c r="BJ565" s="79" t="s">
        <v>1004</v>
      </c>
      <c r="BK565" s="79"/>
      <c r="BL565" s="79"/>
      <c r="BM565" s="79"/>
      <c r="BN565" s="79"/>
      <c r="BO565" s="79"/>
      <c r="BP565" s="79"/>
      <c r="BQ565" s="79"/>
      <c r="BR565" s="79"/>
      <c r="BS565" s="80" t="s">
        <v>3935</v>
      </c>
      <c r="BT565" s="80" t="s">
        <v>2362</v>
      </c>
      <c r="BU565" s="80" t="s">
        <v>3936</v>
      </c>
      <c r="BV565" s="71"/>
      <c r="BW565" s="79" t="s">
        <v>152</v>
      </c>
      <c r="BX565" s="79" t="s">
        <v>179</v>
      </c>
      <c r="BY565" s="71"/>
      <c r="BZ565" s="79">
        <v>14</v>
      </c>
      <c r="CA565" s="79">
        <v>16</v>
      </c>
      <c r="CB565" s="79">
        <f t="shared" si="281"/>
        <v>30</v>
      </c>
      <c r="CC565" s="79" t="str">
        <f t="shared" si="382"/>
        <v>Contenidos adaptados</v>
      </c>
      <c r="CD565" s="79" t="s">
        <v>350</v>
      </c>
      <c r="CE565" s="79"/>
      <c r="CF565" s="79"/>
      <c r="CG565" s="83" t="s">
        <v>3937</v>
      </c>
      <c r="CH565" s="41"/>
      <c r="CI565" s="79" t="s">
        <v>153</v>
      </c>
      <c r="CJ565" s="71"/>
      <c r="CK565" s="79">
        <f>COUNTIF(CL565:CQ565,"*")</f>
        <v>1</v>
      </c>
      <c r="CL565" s="189" t="s">
        <v>3938</v>
      </c>
      <c r="CM565" s="79"/>
      <c r="CN565" s="79"/>
      <c r="CO565" s="79"/>
      <c r="CP565" s="79"/>
      <c r="CQ565" s="79"/>
      <c r="CR565" s="83" t="s">
        <v>390</v>
      </c>
      <c r="CS565" s="83"/>
      <c r="CT565" s="83"/>
      <c r="CU565" s="83"/>
      <c r="CV565" s="83"/>
      <c r="CW565" s="83"/>
      <c r="CX565" s="79" t="s">
        <v>153</v>
      </c>
      <c r="CY565" s="79">
        <f t="shared" si="358"/>
        <v>1</v>
      </c>
      <c r="CZ565" s="79">
        <v>1</v>
      </c>
      <c r="DA565" s="79">
        <f t="shared" si="359"/>
        <v>1</v>
      </c>
      <c r="DB565" s="84">
        <f t="shared" si="364"/>
        <v>1</v>
      </c>
      <c r="DC565" s="41"/>
      <c r="DD565" s="79" t="s">
        <v>153</v>
      </c>
      <c r="DE565" s="71"/>
      <c r="DF565" s="85" t="s">
        <v>3939</v>
      </c>
      <c r="DG565" s="79">
        <v>554</v>
      </c>
      <c r="DH565" s="86" t="str">
        <f t="shared" si="392"/>
        <v>Completo</v>
      </c>
      <c r="DI565" s="79" t="s">
        <v>181</v>
      </c>
      <c r="DJ565" s="79" t="s">
        <v>182</v>
      </c>
      <c r="DK565" s="79" t="s">
        <v>153</v>
      </c>
      <c r="DL565" s="79">
        <v>0</v>
      </c>
      <c r="DM565" s="79">
        <v>0</v>
      </c>
      <c r="DN565" s="79" t="s">
        <v>182</v>
      </c>
      <c r="DO565" s="79">
        <v>230</v>
      </c>
      <c r="DP565" s="79" t="s">
        <v>191</v>
      </c>
      <c r="DQ565" s="79"/>
      <c r="DR565" s="75">
        <f t="shared" si="411"/>
        <v>0</v>
      </c>
      <c r="DS565" s="79" t="s">
        <v>191</v>
      </c>
      <c r="DT565" s="79"/>
      <c r="DU565" s="75">
        <f t="shared" si="412"/>
        <v>0</v>
      </c>
      <c r="DV565" s="79" t="s">
        <v>182</v>
      </c>
      <c r="DW565" s="79" t="s">
        <v>182</v>
      </c>
      <c r="DX565" s="79">
        <v>1</v>
      </c>
      <c r="DY565" s="79" t="s">
        <v>179</v>
      </c>
      <c r="DZ565" s="79"/>
      <c r="EA565" s="79">
        <v>230</v>
      </c>
      <c r="EB565" s="79" t="s">
        <v>182</v>
      </c>
      <c r="EC565" s="79" t="s">
        <v>3940</v>
      </c>
      <c r="ED565" s="79" t="s">
        <v>3941</v>
      </c>
      <c r="EE565" s="79" t="str">
        <f t="shared" si="384"/>
        <v>Completo</v>
      </c>
      <c r="EF565" s="41"/>
      <c r="EG565" s="79" t="s">
        <v>153</v>
      </c>
      <c r="EH565" s="71"/>
      <c r="EI565" s="199" t="s">
        <v>3942</v>
      </c>
      <c r="EJ565" s="71"/>
      <c r="EK565" s="79" t="s">
        <v>191</v>
      </c>
      <c r="EL565" s="76" t="str">
        <f t="shared" si="370"/>
        <v>No</v>
      </c>
      <c r="EM565" s="76" t="str">
        <f t="shared" si="371"/>
        <v>No aplica</v>
      </c>
      <c r="EN565" s="76" t="str">
        <f>IF(F565="NO","No requiere",IF(H565="No","No requiere",IF(CC565="","",IF(CD565&lt;&gt;"No aplica",IF(CD565&lt;&gt;"Ninguna",IF(COUNTIF(CD565:CF565,"*")&gt;=1,"Sí","No"),"No"),"No aplica"))))</f>
        <v>Sí</v>
      </c>
      <c r="EO565" s="71"/>
      <c r="EP565" s="73" t="str">
        <f t="shared" si="372"/>
        <v>No aplica</v>
      </c>
      <c r="EQ565" s="77">
        <f t="shared" si="373"/>
        <v>0</v>
      </c>
      <c r="ER565" s="71"/>
      <c r="ES565" s="79" t="s">
        <v>191</v>
      </c>
      <c r="ET565" s="73">
        <f t="shared" si="374"/>
        <v>0.66666666666666663</v>
      </c>
      <c r="EU565" s="73">
        <f>IF(F565="NO","No requiere",IF(H565="No","No requiere",IF(B565="","",IF(CX565="SÍ",IF(CK565&gt;=1,CY565/CK565,"Sin compromisos"),"Por verificar"))))</f>
        <v>1</v>
      </c>
      <c r="EV565" s="73">
        <f t="shared" si="375"/>
        <v>1</v>
      </c>
      <c r="EW565" s="73">
        <f t="shared" si="413"/>
        <v>1</v>
      </c>
      <c r="EX565" s="78"/>
      <c r="EY565" s="78"/>
    </row>
    <row r="566" spans="1:155" ht="46.5" customHeight="1">
      <c r="A566" s="165">
        <v>562</v>
      </c>
      <c r="B566" s="166" t="s">
        <v>3943</v>
      </c>
      <c r="C566" s="69">
        <v>45457</v>
      </c>
      <c r="D566" s="206">
        <v>0.41666666666666669</v>
      </c>
      <c r="E566" s="205" t="s">
        <v>151</v>
      </c>
      <c r="F566" s="79" t="s">
        <v>153</v>
      </c>
      <c r="G566" s="79" t="s">
        <v>153</v>
      </c>
      <c r="H566" s="79" t="s">
        <v>153</v>
      </c>
      <c r="I566" s="79" t="s">
        <v>153</v>
      </c>
      <c r="J566" s="79" t="s">
        <v>3324</v>
      </c>
      <c r="K566" s="79" t="s">
        <v>155</v>
      </c>
      <c r="L566" s="80" t="s">
        <v>3325</v>
      </c>
      <c r="M566" s="80" t="s">
        <v>229</v>
      </c>
      <c r="N566" s="79" t="s">
        <v>1387</v>
      </c>
      <c r="O566" s="80" t="str">
        <f t="shared" si="383"/>
        <v>César Augusto Barrantes, Carlos Eduardo Escandón, Aida Vanessa Rocha, William Jair Gil, Nestor Jecfrid Sánchez, Maria Angélica Higuera</v>
      </c>
      <c r="P566" s="79" t="s">
        <v>729</v>
      </c>
      <c r="Q566" s="79" t="s">
        <v>819</v>
      </c>
      <c r="R566" s="79" t="s">
        <v>801</v>
      </c>
      <c r="S566" s="79" t="s">
        <v>862</v>
      </c>
      <c r="T566" s="79" t="s">
        <v>965</v>
      </c>
      <c r="U566" s="79" t="s">
        <v>328</v>
      </c>
      <c r="V566" s="79"/>
      <c r="W566" s="79"/>
      <c r="X566" s="79"/>
      <c r="Y566" s="79"/>
      <c r="Z566" s="79"/>
      <c r="AA566" s="79"/>
      <c r="AB566" s="79"/>
      <c r="AC566" s="79"/>
      <c r="AD566" s="79"/>
      <c r="AE566" s="79"/>
      <c r="AF566" s="79"/>
      <c r="AG566" s="79"/>
      <c r="AH566" s="79"/>
      <c r="AI566" s="79"/>
      <c r="AJ566" s="79"/>
      <c r="AK566" s="79"/>
      <c r="AL566" s="79"/>
      <c r="AM566" s="79"/>
      <c r="AN566" s="79"/>
      <c r="AO566" s="79" t="s">
        <v>304</v>
      </c>
      <c r="AP566" s="79"/>
      <c r="AQ566" s="80" t="s">
        <v>3370</v>
      </c>
      <c r="AR566" s="83">
        <v>3228657280</v>
      </c>
      <c r="AS566" s="80" t="s">
        <v>3371</v>
      </c>
      <c r="AT566" s="80" t="str">
        <f t="shared" si="396"/>
        <v>Barrios Unidos, Teusaquillo</v>
      </c>
      <c r="AU566" s="79" t="s">
        <v>1031</v>
      </c>
      <c r="AV566" s="79" t="s">
        <v>1004</v>
      </c>
      <c r="AW566" s="79"/>
      <c r="AX566" s="79"/>
      <c r="AY566" s="79"/>
      <c r="AZ566" s="79"/>
      <c r="BA566" s="80" t="str">
        <f t="shared" si="367"/>
        <v>Centro Ampliado</v>
      </c>
      <c r="BB566" s="79" t="s">
        <v>636</v>
      </c>
      <c r="BC566" s="79"/>
      <c r="BD566" s="79"/>
      <c r="BE566" s="79"/>
      <c r="BF566" s="79"/>
      <c r="BG566" s="79"/>
      <c r="BH566" s="80" t="str">
        <f t="shared" si="368"/>
        <v>Barrios Unidos, Teusaquillo</v>
      </c>
      <c r="BI566" s="79" t="s">
        <v>1031</v>
      </c>
      <c r="BJ566" s="79" t="s">
        <v>1004</v>
      </c>
      <c r="BK566" s="79"/>
      <c r="BL566" s="79"/>
      <c r="BM566" s="79"/>
      <c r="BN566" s="79"/>
      <c r="BO566" s="79"/>
      <c r="BP566" s="79"/>
      <c r="BQ566" s="79"/>
      <c r="BR566" s="79"/>
      <c r="BS566" s="80" t="s">
        <v>3944</v>
      </c>
      <c r="BT566" s="80" t="s">
        <v>2362</v>
      </c>
      <c r="BU566" s="80" t="s">
        <v>3945</v>
      </c>
      <c r="BV566" s="71"/>
      <c r="BW566" s="79" t="s">
        <v>152</v>
      </c>
      <c r="BX566" s="79" t="s">
        <v>179</v>
      </c>
      <c r="BY566" s="71"/>
      <c r="BZ566" s="79">
        <v>30</v>
      </c>
      <c r="CA566" s="79">
        <v>11</v>
      </c>
      <c r="CB566" s="79">
        <f t="shared" si="281"/>
        <v>41</v>
      </c>
      <c r="CC566" s="79" t="str">
        <f t="shared" si="382"/>
        <v>Ninguna</v>
      </c>
      <c r="CD566" s="79" t="s">
        <v>174</v>
      </c>
      <c r="CE566" s="79"/>
      <c r="CF566" s="79"/>
      <c r="CG566" s="83" t="s">
        <v>3946</v>
      </c>
      <c r="CH566" s="41"/>
      <c r="CI566" s="79" t="s">
        <v>153</v>
      </c>
      <c r="CJ566" s="71"/>
      <c r="CK566" s="79">
        <v>1</v>
      </c>
      <c r="CL566" s="79" t="s">
        <v>3756</v>
      </c>
      <c r="CM566" s="79"/>
      <c r="CN566" s="79"/>
      <c r="CO566" s="79"/>
      <c r="CP566" s="79"/>
      <c r="CQ566" s="79"/>
      <c r="CR566" s="83" t="s">
        <v>390</v>
      </c>
      <c r="CS566" s="83" t="s">
        <v>179</v>
      </c>
      <c r="CT566" s="83" t="s">
        <v>179</v>
      </c>
      <c r="CU566" s="83" t="s">
        <v>179</v>
      </c>
      <c r="CV566" s="83" t="s">
        <v>179</v>
      </c>
      <c r="CW566" s="83" t="s">
        <v>179</v>
      </c>
      <c r="CX566" s="79" t="s">
        <v>153</v>
      </c>
      <c r="CY566" s="79">
        <f t="shared" si="358"/>
        <v>1</v>
      </c>
      <c r="CZ566" s="79">
        <v>1</v>
      </c>
      <c r="DA566" s="79">
        <f t="shared" si="359"/>
        <v>1</v>
      </c>
      <c r="DB566" s="84">
        <f t="shared" si="364"/>
        <v>1</v>
      </c>
      <c r="DC566" s="41"/>
      <c r="DD566" s="79" t="s">
        <v>153</v>
      </c>
      <c r="DE566" s="71"/>
      <c r="DF566" s="85" t="s">
        <v>3947</v>
      </c>
      <c r="DG566" s="79">
        <v>555</v>
      </c>
      <c r="DH566" s="86" t="str">
        <f t="shared" si="392"/>
        <v>Completo</v>
      </c>
      <c r="DI566" s="79" t="s">
        <v>181</v>
      </c>
      <c r="DJ566" s="79" t="s">
        <v>182</v>
      </c>
      <c r="DK566" s="79" t="s">
        <v>153</v>
      </c>
      <c r="DL566" s="79">
        <v>8</v>
      </c>
      <c r="DM566" s="79">
        <v>8</v>
      </c>
      <c r="DN566" s="79" t="s">
        <v>182</v>
      </c>
      <c r="DO566" s="79">
        <v>230</v>
      </c>
      <c r="DP566" s="79" t="s">
        <v>182</v>
      </c>
      <c r="DQ566" s="79">
        <v>10</v>
      </c>
      <c r="DR566" s="75">
        <f t="shared" si="411"/>
        <v>1.1111111111111112</v>
      </c>
      <c r="DS566" s="79" t="s">
        <v>191</v>
      </c>
      <c r="DT566" s="79"/>
      <c r="DU566" s="75">
        <f t="shared" si="412"/>
        <v>0</v>
      </c>
      <c r="DV566" s="79" t="s">
        <v>182</v>
      </c>
      <c r="DW566" s="79" t="s">
        <v>182</v>
      </c>
      <c r="DX566" s="79">
        <v>2</v>
      </c>
      <c r="DY566" s="79"/>
      <c r="DZ566" s="79"/>
      <c r="EA566" s="79">
        <v>230</v>
      </c>
      <c r="EB566" s="79" t="s">
        <v>182</v>
      </c>
      <c r="EC566" s="79" t="s">
        <v>3940</v>
      </c>
      <c r="ED566" s="79" t="s">
        <v>3948</v>
      </c>
      <c r="EE566" s="79" t="str">
        <f t="shared" si="384"/>
        <v>Completo</v>
      </c>
      <c r="EF566" s="41"/>
      <c r="EG566" s="79" t="s">
        <v>153</v>
      </c>
      <c r="EH566" s="71"/>
      <c r="EI566" s="199" t="s">
        <v>3949</v>
      </c>
      <c r="EJ566" s="71"/>
      <c r="EK566" s="79" t="s">
        <v>393</v>
      </c>
      <c r="EL566" s="76" t="str">
        <f t="shared" si="370"/>
        <v>Sí</v>
      </c>
      <c r="EM566" s="76" t="str">
        <f t="shared" si="371"/>
        <v>No</v>
      </c>
      <c r="EN566" s="76" t="str">
        <f>IF(F566="NO","No requiere",IF(H566="No","No requiere",IF(CC566="","",IF(CD566&lt;&gt;"No aplica",IF(CD566&lt;&gt;"Ninguna",IF(COUNTIF(CD566:CF566,"*")&gt;=1,"Sí","No"),"No"),"No aplica"))))</f>
        <v>No</v>
      </c>
      <c r="EO566" s="71"/>
      <c r="EP566" s="73">
        <f t="shared" si="372"/>
        <v>1</v>
      </c>
      <c r="EQ566" s="77">
        <f t="shared" si="373"/>
        <v>0</v>
      </c>
      <c r="ER566" s="71"/>
      <c r="ES566" s="79" t="s">
        <v>393</v>
      </c>
      <c r="ET566" s="73">
        <f t="shared" si="374"/>
        <v>0.83333333333333337</v>
      </c>
      <c r="EU566" s="73">
        <f>IF(F566="NO","No requiere",IF(H566="No","No requiere",IF(B566="","",IF(CX566="SÍ",IF(CK566&gt;=1,CY566/CK566,"Sin compromisos"),"Por verificar"))))</f>
        <v>1</v>
      </c>
      <c r="EV566" s="73">
        <f t="shared" si="375"/>
        <v>1</v>
      </c>
      <c r="EW566" s="73">
        <f t="shared" si="413"/>
        <v>1</v>
      </c>
      <c r="EX566" s="78"/>
      <c r="EY566" s="78"/>
    </row>
    <row r="567" spans="1:155" ht="46.5" customHeight="1">
      <c r="A567" s="79">
        <v>563</v>
      </c>
      <c r="B567" s="68" t="s">
        <v>3950</v>
      </c>
      <c r="C567" s="69">
        <v>45457</v>
      </c>
      <c r="D567" s="70">
        <v>0.41666666666666669</v>
      </c>
      <c r="E567" s="79" t="s">
        <v>151</v>
      </c>
      <c r="F567" s="79" t="s">
        <v>153</v>
      </c>
      <c r="G567" s="79" t="s">
        <v>153</v>
      </c>
      <c r="H567" s="79" t="s">
        <v>153</v>
      </c>
      <c r="I567" s="79" t="s">
        <v>153</v>
      </c>
      <c r="J567" s="132" t="s">
        <v>3324</v>
      </c>
      <c r="K567" s="79" t="s">
        <v>155</v>
      </c>
      <c r="L567" s="80" t="s">
        <v>3325</v>
      </c>
      <c r="M567" s="80" t="s">
        <v>229</v>
      </c>
      <c r="N567" s="79" t="s">
        <v>632</v>
      </c>
      <c r="O567" s="80" t="str">
        <f t="shared" si="383"/>
        <v>Nixon Sandoval Mateus, Germán Ramón Jacome, Nancy Stella Villa , Nicolas Esteban Hernández, Paola Andrea González, Renata Rengifo Moyano</v>
      </c>
      <c r="P567" s="79" t="s">
        <v>644</v>
      </c>
      <c r="Q567" s="79" t="s">
        <v>525</v>
      </c>
      <c r="R567" s="79" t="s">
        <v>1611</v>
      </c>
      <c r="S567" s="79" t="s">
        <v>645</v>
      </c>
      <c r="T567" s="79" t="s">
        <v>924</v>
      </c>
      <c r="U567" s="79" t="s">
        <v>1066</v>
      </c>
      <c r="V567" s="79"/>
      <c r="W567" s="79"/>
      <c r="X567" s="79"/>
      <c r="Y567" s="79"/>
      <c r="Z567" s="79"/>
      <c r="AA567" s="79"/>
      <c r="AB567" s="79"/>
      <c r="AC567" s="79"/>
      <c r="AD567" s="79"/>
      <c r="AE567" s="79"/>
      <c r="AF567" s="79"/>
      <c r="AG567" s="79"/>
      <c r="AH567" s="79"/>
      <c r="AI567" s="79"/>
      <c r="AJ567" s="79"/>
      <c r="AK567" s="79"/>
      <c r="AL567" s="79"/>
      <c r="AM567" s="79"/>
      <c r="AN567" s="79"/>
      <c r="AO567" s="79" t="s">
        <v>304</v>
      </c>
      <c r="AP567" s="79"/>
      <c r="AQ567" s="80" t="s">
        <v>3370</v>
      </c>
      <c r="AR567" s="83">
        <v>3228657280</v>
      </c>
      <c r="AS567" s="80" t="s">
        <v>3371</v>
      </c>
      <c r="AT567" s="80" t="str">
        <f t="shared" si="396"/>
        <v>Barrios Unidos, Teusaquillo</v>
      </c>
      <c r="AU567" s="79" t="s">
        <v>1031</v>
      </c>
      <c r="AV567" s="79" t="s">
        <v>1004</v>
      </c>
      <c r="AW567" s="79"/>
      <c r="AX567" s="79"/>
      <c r="AY567" s="79"/>
      <c r="AZ567" s="79"/>
      <c r="BA567" s="80" t="str">
        <f t="shared" si="367"/>
        <v>Centro Ampliado</v>
      </c>
      <c r="BB567" s="79" t="s">
        <v>636</v>
      </c>
      <c r="BC567" s="79"/>
      <c r="BD567" s="79"/>
      <c r="BE567" s="79"/>
      <c r="BF567" s="79"/>
      <c r="BG567" s="79"/>
      <c r="BH567" s="80" t="str">
        <f t="shared" si="368"/>
        <v>Barrios Unidos, Teusaquillo</v>
      </c>
      <c r="BI567" s="79" t="s">
        <v>1031</v>
      </c>
      <c r="BJ567" s="79" t="s">
        <v>1004</v>
      </c>
      <c r="BK567" s="79"/>
      <c r="BL567" s="79"/>
      <c r="BM567" s="79"/>
      <c r="BN567" s="79"/>
      <c r="BO567" s="79"/>
      <c r="BP567" s="79"/>
      <c r="BQ567" s="79"/>
      <c r="BR567" s="79"/>
      <c r="BS567" s="80" t="s">
        <v>3951</v>
      </c>
      <c r="BT567" s="80" t="s">
        <v>2362</v>
      </c>
      <c r="BU567" s="80" t="s">
        <v>3952</v>
      </c>
      <c r="BV567" s="71"/>
      <c r="BW567" s="79" t="s">
        <v>152</v>
      </c>
      <c r="BX567" s="79" t="s">
        <v>179</v>
      </c>
      <c r="BY567" s="71"/>
      <c r="BZ567" s="79">
        <v>26</v>
      </c>
      <c r="CA567" s="79">
        <v>13</v>
      </c>
      <c r="CB567" s="79">
        <f t="shared" si="281"/>
        <v>39</v>
      </c>
      <c r="CC567" s="79" t="str">
        <f t="shared" si="382"/>
        <v>Contenidos adaptados</v>
      </c>
      <c r="CD567" s="79" t="s">
        <v>350</v>
      </c>
      <c r="CE567" s="79"/>
      <c r="CF567" s="79"/>
      <c r="CG567" s="83" t="s">
        <v>3953</v>
      </c>
      <c r="CH567" s="41"/>
      <c r="CI567" s="79" t="s">
        <v>153</v>
      </c>
      <c r="CJ567" s="71"/>
      <c r="CK567" s="79">
        <f>COUNTIF(CL567:CQ567,"*")</f>
        <v>2</v>
      </c>
      <c r="CL567" s="79" t="s">
        <v>3954</v>
      </c>
      <c r="CM567" s="226" t="s">
        <v>3955</v>
      </c>
      <c r="CN567" s="79"/>
      <c r="CO567" s="79"/>
      <c r="CP567" s="79"/>
      <c r="CQ567" s="79"/>
      <c r="CR567" s="83" t="s">
        <v>390</v>
      </c>
      <c r="CS567" s="83" t="s">
        <v>390</v>
      </c>
      <c r="CT567" s="83" t="s">
        <v>179</v>
      </c>
      <c r="CU567" s="83" t="s">
        <v>179</v>
      </c>
      <c r="CV567" s="83" t="s">
        <v>179</v>
      </c>
      <c r="CW567" s="83" t="s">
        <v>179</v>
      </c>
      <c r="CX567" s="79" t="s">
        <v>153</v>
      </c>
      <c r="CY567" s="79">
        <v>2</v>
      </c>
      <c r="CZ567" s="79">
        <v>2</v>
      </c>
      <c r="DA567" s="79">
        <v>2</v>
      </c>
      <c r="DB567" s="84">
        <f t="shared" si="364"/>
        <v>1</v>
      </c>
      <c r="DC567" s="41"/>
      <c r="DD567" s="79" t="s">
        <v>153</v>
      </c>
      <c r="DE567" s="71"/>
      <c r="DF567" s="85" t="s">
        <v>3956</v>
      </c>
      <c r="DG567" s="79">
        <v>556</v>
      </c>
      <c r="DH567" s="86" t="str">
        <f t="shared" si="392"/>
        <v>Completo</v>
      </c>
      <c r="DI567" s="79" t="s">
        <v>181</v>
      </c>
      <c r="DJ567" s="79" t="s">
        <v>182</v>
      </c>
      <c r="DK567" s="79" t="s">
        <v>153</v>
      </c>
      <c r="DL567" s="79">
        <v>8</v>
      </c>
      <c r="DM567" s="79">
        <v>8</v>
      </c>
      <c r="DN567" s="79" t="s">
        <v>182</v>
      </c>
      <c r="DO567" s="79">
        <v>230</v>
      </c>
      <c r="DP567" s="79" t="s">
        <v>182</v>
      </c>
      <c r="DQ567" s="79">
        <v>10</v>
      </c>
      <c r="DR567" s="75">
        <f t="shared" si="411"/>
        <v>1.2820512820512822</v>
      </c>
      <c r="DS567" s="79" t="s">
        <v>182</v>
      </c>
      <c r="DT567" s="79">
        <v>11</v>
      </c>
      <c r="DU567" s="75">
        <f t="shared" si="412"/>
        <v>1.2087912087912089</v>
      </c>
      <c r="DV567" s="79" t="s">
        <v>182</v>
      </c>
      <c r="DW567" s="79" t="s">
        <v>182</v>
      </c>
      <c r="DX567" s="79"/>
      <c r="DY567" s="79"/>
      <c r="DZ567" s="79"/>
      <c r="EA567" s="79">
        <v>230</v>
      </c>
      <c r="EB567" s="79" t="s">
        <v>182</v>
      </c>
      <c r="EC567" s="79" t="s">
        <v>3940</v>
      </c>
      <c r="ED567" s="79" t="s">
        <v>3957</v>
      </c>
      <c r="EE567" s="79" t="str">
        <f t="shared" si="384"/>
        <v>Completo</v>
      </c>
      <c r="EF567" s="41"/>
      <c r="EG567" s="79" t="s">
        <v>153</v>
      </c>
      <c r="EH567" s="71"/>
      <c r="EI567" s="199" t="s">
        <v>3958</v>
      </c>
      <c r="EJ567" s="71"/>
      <c r="EK567" s="79" t="s">
        <v>393</v>
      </c>
      <c r="EL567" s="76" t="str">
        <f t="shared" si="370"/>
        <v>No</v>
      </c>
      <c r="EM567" s="76" t="str">
        <f t="shared" si="371"/>
        <v>No</v>
      </c>
      <c r="EN567" s="76" t="str">
        <f>IF(F567="NO","No requiere",IF(H567="No","No requiere",IF(CC567="","",IF(CD567&lt;&gt;"No aplica",IF(CD567&lt;&gt;"Ninguna",IF(COUNTIF(CD567:CF567,"*")&gt;=1,"Sí","No"),"No"),"No aplica"))))</f>
        <v>Sí</v>
      </c>
      <c r="EO567" s="71"/>
      <c r="EP567" s="73">
        <f t="shared" si="372"/>
        <v>1</v>
      </c>
      <c r="EQ567" s="77">
        <f t="shared" si="373"/>
        <v>1.2087912087912089</v>
      </c>
      <c r="ER567" s="71"/>
      <c r="ES567" s="79" t="s">
        <v>393</v>
      </c>
      <c r="ET567" s="73">
        <f t="shared" si="374"/>
        <v>1</v>
      </c>
      <c r="EU567" s="73">
        <f>IF(F567="NO","No requiere",IF(H567="No","No requiere",IF(B567="","",IF(CX567="SÍ",IF(CK567&gt;=1,CY567/CK567,"Sin compromisos"),"Por verificar"))))</f>
        <v>1</v>
      </c>
      <c r="EV567" s="73">
        <f t="shared" si="375"/>
        <v>1</v>
      </c>
      <c r="EW567" s="73">
        <f t="shared" si="413"/>
        <v>1</v>
      </c>
      <c r="EX567" s="78"/>
      <c r="EY567" s="78"/>
    </row>
    <row r="568" spans="1:155" ht="46.5" customHeight="1">
      <c r="A568" s="79">
        <v>564</v>
      </c>
      <c r="B568" s="80" t="s">
        <v>3959</v>
      </c>
      <c r="C568" s="81">
        <v>45457</v>
      </c>
      <c r="D568" s="82">
        <v>0.58333333333333337</v>
      </c>
      <c r="E568" s="79" t="s">
        <v>151</v>
      </c>
      <c r="F568" s="79" t="s">
        <v>153</v>
      </c>
      <c r="G568" s="79" t="s">
        <v>153</v>
      </c>
      <c r="H568" s="79" t="s">
        <v>152</v>
      </c>
      <c r="I568" s="67" t="s">
        <v>152</v>
      </c>
      <c r="J568" s="67" t="s">
        <v>251</v>
      </c>
      <c r="K568" s="79" t="s">
        <v>155</v>
      </c>
      <c r="L568" s="80" t="s">
        <v>3960</v>
      </c>
      <c r="M568" s="80" t="s">
        <v>157</v>
      </c>
      <c r="N568" s="79" t="s">
        <v>887</v>
      </c>
      <c r="O568" s="80" t="str">
        <f t="shared" si="383"/>
        <v/>
      </c>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t="s">
        <v>169</v>
      </c>
      <c r="AP568" s="79"/>
      <c r="AQ568" s="80" t="s">
        <v>3961</v>
      </c>
      <c r="AR568" s="83">
        <v>3133734752</v>
      </c>
      <c r="AS568" s="80" t="s">
        <v>3962</v>
      </c>
      <c r="AT568" s="80" t="str">
        <f t="shared" si="396"/>
        <v>Distrital</v>
      </c>
      <c r="AU568" s="79" t="s">
        <v>172</v>
      </c>
      <c r="AV568" s="79"/>
      <c r="AW568" s="79"/>
      <c r="AX568" s="79"/>
      <c r="AY568" s="79"/>
      <c r="AZ568" s="79"/>
      <c r="BA568" s="80" t="str">
        <f t="shared" si="367"/>
        <v>Distrital</v>
      </c>
      <c r="BB568" s="79" t="s">
        <v>172</v>
      </c>
      <c r="BC568" s="79"/>
      <c r="BD568" s="79"/>
      <c r="BE568" s="79"/>
      <c r="BF568" s="79"/>
      <c r="BG568" s="79"/>
      <c r="BH568" s="80" t="str">
        <f t="shared" si="368"/>
        <v>Distrital</v>
      </c>
      <c r="BI568" s="79" t="s">
        <v>172</v>
      </c>
      <c r="BJ568" s="79"/>
      <c r="BK568" s="79"/>
      <c r="BL568" s="79"/>
      <c r="BM568" s="79"/>
      <c r="BN568" s="79"/>
      <c r="BO568" s="79"/>
      <c r="BP568" s="79"/>
      <c r="BQ568" s="79"/>
      <c r="BR568" s="79"/>
      <c r="BS568" s="80" t="s">
        <v>3963</v>
      </c>
      <c r="BT568" s="80" t="s">
        <v>174</v>
      </c>
      <c r="BU568" s="80" t="s">
        <v>3964</v>
      </c>
      <c r="BV568" s="71"/>
      <c r="BW568" s="79" t="s">
        <v>152</v>
      </c>
      <c r="BX568" s="79" t="s">
        <v>179</v>
      </c>
      <c r="BY568" s="71"/>
      <c r="BZ568" s="79">
        <v>9</v>
      </c>
      <c r="CA568" s="79">
        <v>6</v>
      </c>
      <c r="CB568" s="79">
        <f t="shared" ref="CB568" si="430">BZ568+CA568</f>
        <v>15</v>
      </c>
      <c r="CC568" s="79" t="str">
        <f t="shared" si="382"/>
        <v>Ninguna</v>
      </c>
      <c r="CD568" s="79" t="s">
        <v>174</v>
      </c>
      <c r="CE568" s="79"/>
      <c r="CF568" s="79"/>
      <c r="CG568" s="83" t="s">
        <v>3965</v>
      </c>
      <c r="CH568" s="41"/>
      <c r="CI568" s="79" t="s">
        <v>153</v>
      </c>
      <c r="CJ568" s="71"/>
      <c r="CK568" s="79">
        <f t="shared" ref="CK568" si="431">COUNTIF(CL568:CQ568,"*")</f>
        <v>0</v>
      </c>
      <c r="CL568" s="79"/>
      <c r="CM568" s="79"/>
      <c r="CN568" s="79"/>
      <c r="CO568" s="79"/>
      <c r="CP568" s="79"/>
      <c r="CQ568" s="79"/>
      <c r="CR568" s="83" t="s">
        <v>179</v>
      </c>
      <c r="CS568" s="83" t="s">
        <v>179</v>
      </c>
      <c r="CT568" s="83" t="s">
        <v>179</v>
      </c>
      <c r="CU568" s="83" t="s">
        <v>179</v>
      </c>
      <c r="CV568" s="83" t="s">
        <v>179</v>
      </c>
      <c r="CW568" s="83" t="s">
        <v>179</v>
      </c>
      <c r="CX568" s="79" t="s">
        <v>153</v>
      </c>
      <c r="CY568" s="79">
        <f t="shared" ref="CY568" si="432">SUM(COUNTIF(CR568:CW568,"Realizado y Devuelto a la Ciudadanía"),COUNTIF(CR568:CW568,"Realizado y Trasladado por competencia"), COUNTIF(CR568:CW568,"Realizado y Gestionado"))</f>
        <v>0</v>
      </c>
      <c r="CZ568" s="79">
        <v>0</v>
      </c>
      <c r="DA568" s="79">
        <f t="shared" ref="DA568" si="433">COUNTIF(CR568:CW568,"Realizado y Devuelto a la Ciudadanía")</f>
        <v>0</v>
      </c>
      <c r="DB568" s="84" t="str">
        <f t="shared" ref="DB568" si="434">IFERROR(CY568/CK568,"")</f>
        <v/>
      </c>
      <c r="DC568" s="41"/>
      <c r="DD568" s="79" t="s">
        <v>153</v>
      </c>
      <c r="DE568" s="71"/>
      <c r="DF568" s="130" t="s">
        <v>3966</v>
      </c>
      <c r="DG568" s="79">
        <v>557</v>
      </c>
      <c r="DH568" s="86" t="str">
        <f t="shared" si="392"/>
        <v>Completo</v>
      </c>
      <c r="DI568" s="79" t="s">
        <v>181</v>
      </c>
      <c r="DJ568" s="79" t="s">
        <v>182</v>
      </c>
      <c r="DK568" s="79"/>
      <c r="DL568" s="79">
        <v>0</v>
      </c>
      <c r="DM568" s="79">
        <v>0</v>
      </c>
      <c r="DN568" s="79" t="s">
        <v>182</v>
      </c>
      <c r="DO568" s="79"/>
      <c r="DP568" s="79"/>
      <c r="DQ568" s="79"/>
      <c r="DR568" s="75" t="str">
        <f t="shared" si="411"/>
        <v>No aplica</v>
      </c>
      <c r="DS568" s="79"/>
      <c r="DT568" s="79"/>
      <c r="DU568" s="75" t="str">
        <f t="shared" si="412"/>
        <v>No aplica</v>
      </c>
      <c r="DV568" s="79" t="s">
        <v>182</v>
      </c>
      <c r="DW568" s="79" t="s">
        <v>182</v>
      </c>
      <c r="DX568" s="79"/>
      <c r="DY568" s="79"/>
      <c r="DZ568" s="79"/>
      <c r="EA568" s="79"/>
      <c r="EB568" s="79"/>
      <c r="EC568" s="79"/>
      <c r="ED568" s="79" t="s">
        <v>3967</v>
      </c>
      <c r="EE568" s="79" t="str">
        <f t="shared" ref="EE568" si="435">IF(DI568="Subsanado","Completo","Por Completar")</f>
        <v>Completo</v>
      </c>
      <c r="EF568" s="41"/>
      <c r="EG568" s="79" t="s">
        <v>153</v>
      </c>
      <c r="EH568" s="71"/>
      <c r="EI568" s="80"/>
      <c r="EJ568" s="71"/>
      <c r="EK568" s="79"/>
      <c r="EL568" s="87" t="str">
        <f t="shared" si="370"/>
        <v>No requiere</v>
      </c>
      <c r="EM568" s="87" t="str">
        <f t="shared" si="371"/>
        <v>No requiere</v>
      </c>
      <c r="EN568" s="87" t="str">
        <f t="shared" ref="EN568" si="436">IF(F568="NO","No requiere",IF(H568="No","No requiere",IF(CC568="","",IF(CD568&lt;&gt;"No aplica",IF(CD568&lt;&gt;"Ninguna",IF(COUNTIF(CD568:CF568,"*")&gt;=1,"Sí","No"),"No"),"No aplica"))))</f>
        <v>No requiere</v>
      </c>
      <c r="EO568" s="71"/>
      <c r="EP568" s="84" t="str">
        <f t="shared" si="372"/>
        <v>No requiere</v>
      </c>
      <c r="EQ568" s="88" t="str">
        <f t="shared" si="373"/>
        <v>No requiere</v>
      </c>
      <c r="ER568" s="71"/>
      <c r="ES568" s="79"/>
      <c r="ET568" s="84" t="str">
        <f t="shared" si="374"/>
        <v>No requiere</v>
      </c>
      <c r="EU568" s="84" t="str">
        <f t="shared" ref="EU568" si="437">IF(F568="NO","No requiere",IF(H568="No","No requiere",IF(B568="","",IF(CX568="SÍ",IF(CK568&gt;=1,CY568/CK568,"Sin compromisos"),"Por verificar"))))</f>
        <v>No requiere</v>
      </c>
      <c r="EV568" s="84" t="str">
        <f t="shared" si="375"/>
        <v>No requiere</v>
      </c>
      <c r="EW568" s="84" t="str">
        <f t="shared" si="413"/>
        <v>No requiere</v>
      </c>
      <c r="EX568" s="78"/>
      <c r="EY568" s="78"/>
    </row>
    <row r="569" spans="1:155" ht="46.5" customHeight="1">
      <c r="A569" s="79">
        <v>565</v>
      </c>
      <c r="B569" s="80" t="s">
        <v>3968</v>
      </c>
      <c r="C569" s="81">
        <v>45458</v>
      </c>
      <c r="D569" s="82">
        <v>0.625</v>
      </c>
      <c r="E569" s="79" t="s">
        <v>853</v>
      </c>
      <c r="F569" s="79" t="s">
        <v>153</v>
      </c>
      <c r="G569" s="79" t="s">
        <v>152</v>
      </c>
      <c r="H569" s="79" t="s">
        <v>152</v>
      </c>
      <c r="I569" s="79" t="s">
        <v>152</v>
      </c>
      <c r="J569" s="79" t="s">
        <v>2201</v>
      </c>
      <c r="K569" s="79" t="s">
        <v>155</v>
      </c>
      <c r="L569" s="80" t="s">
        <v>3969</v>
      </c>
      <c r="M569" s="80" t="s">
        <v>157</v>
      </c>
      <c r="N569" s="79" t="s">
        <v>1066</v>
      </c>
      <c r="O569" s="80" t="str">
        <f t="shared" si="383"/>
        <v>James Fernando Núñez, César Augusto Barrantes, Nicolás Enrique Moncaleano</v>
      </c>
      <c r="P569" s="79" t="s">
        <v>632</v>
      </c>
      <c r="Q569" s="79" t="s">
        <v>729</v>
      </c>
      <c r="R569" s="79" t="s">
        <v>966</v>
      </c>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t="s">
        <v>304</v>
      </c>
      <c r="AP569" s="79"/>
      <c r="AQ569" s="80" t="s">
        <v>3970</v>
      </c>
      <c r="AR569" s="83">
        <v>3159278946</v>
      </c>
      <c r="AS569" s="80" t="s">
        <v>3971</v>
      </c>
      <c r="AT569" s="80" t="str">
        <f t="shared" si="396"/>
        <v>La Candelaria</v>
      </c>
      <c r="AU569" s="79" t="s">
        <v>753</v>
      </c>
      <c r="AV569" s="79"/>
      <c r="AW569" s="79"/>
      <c r="AX569" s="79"/>
      <c r="AY569" s="79"/>
      <c r="AZ569" s="79"/>
      <c r="BA569" s="80" t="str">
        <f t="shared" si="367"/>
        <v>Centro Ampliado</v>
      </c>
      <c r="BB569" s="79" t="s">
        <v>636</v>
      </c>
      <c r="BC569" s="79"/>
      <c r="BD569" s="79"/>
      <c r="BE569" s="79"/>
      <c r="BF569" s="79"/>
      <c r="BG569" s="79"/>
      <c r="BH569" s="80" t="str">
        <f t="shared" si="368"/>
        <v>Centro Histórico</v>
      </c>
      <c r="BI569" s="79" t="s">
        <v>754</v>
      </c>
      <c r="BJ569" s="79"/>
      <c r="BK569" s="79"/>
      <c r="BL569" s="79"/>
      <c r="BM569" s="79"/>
      <c r="BN569" s="79"/>
      <c r="BO569" s="79"/>
      <c r="BP569" s="79"/>
      <c r="BQ569" s="79"/>
      <c r="BR569" s="79"/>
      <c r="BS569" s="80" t="s">
        <v>753</v>
      </c>
      <c r="BT569" s="80" t="s">
        <v>174</v>
      </c>
      <c r="BU569" s="80" t="s">
        <v>3972</v>
      </c>
      <c r="BV569" s="71"/>
      <c r="BW569" s="79" t="s">
        <v>152</v>
      </c>
      <c r="BX569" s="79" t="s">
        <v>179</v>
      </c>
      <c r="BY569" s="71"/>
      <c r="BZ569" s="79">
        <v>145</v>
      </c>
      <c r="CA569" s="79">
        <v>5</v>
      </c>
      <c r="CB569" s="79">
        <f t="shared" si="281"/>
        <v>150</v>
      </c>
      <c r="CC569" s="79" t="str">
        <f t="shared" si="382"/>
        <v>Ninguna</v>
      </c>
      <c r="CD569" s="79" t="s">
        <v>174</v>
      </c>
      <c r="CE569" s="79"/>
      <c r="CF569" s="79"/>
      <c r="CG569" s="83" t="s">
        <v>3973</v>
      </c>
      <c r="CH569" s="41"/>
      <c r="CI569" s="79" t="s">
        <v>153</v>
      </c>
      <c r="CJ569" s="71"/>
      <c r="CK569" s="79">
        <f t="shared" si="377"/>
        <v>0</v>
      </c>
      <c r="CL569" s="79"/>
      <c r="CM569" s="79"/>
      <c r="CN569" s="79"/>
      <c r="CO569" s="79"/>
      <c r="CP569" s="79"/>
      <c r="CQ569" s="79"/>
      <c r="CR569" s="83" t="s">
        <v>179</v>
      </c>
      <c r="CS569" s="83" t="s">
        <v>179</v>
      </c>
      <c r="CT569" s="83" t="s">
        <v>179</v>
      </c>
      <c r="CU569" s="83" t="s">
        <v>179</v>
      </c>
      <c r="CV569" s="83" t="s">
        <v>179</v>
      </c>
      <c r="CW569" s="83" t="s">
        <v>179</v>
      </c>
      <c r="CX569" s="79" t="s">
        <v>153</v>
      </c>
      <c r="CY569" s="79">
        <f t="shared" si="358"/>
        <v>0</v>
      </c>
      <c r="CZ569" s="79">
        <v>0</v>
      </c>
      <c r="DA569" s="79">
        <f t="shared" si="359"/>
        <v>0</v>
      </c>
      <c r="DB569" s="84" t="str">
        <f t="shared" si="364"/>
        <v/>
      </c>
      <c r="DC569" s="41"/>
      <c r="DD569" s="79" t="s">
        <v>153</v>
      </c>
      <c r="DE569" s="71"/>
      <c r="DF569" s="85" t="s">
        <v>3974</v>
      </c>
      <c r="DG569" s="79">
        <v>558</v>
      </c>
      <c r="DH569" s="86" t="str">
        <f t="shared" si="392"/>
        <v>Completo</v>
      </c>
      <c r="DI569" s="79" t="s">
        <v>181</v>
      </c>
      <c r="DJ569" s="79" t="s">
        <v>182</v>
      </c>
      <c r="DK569" s="79"/>
      <c r="DL569" s="79">
        <v>0</v>
      </c>
      <c r="DM569" s="79">
        <v>0</v>
      </c>
      <c r="DN569" s="79" t="s">
        <v>191</v>
      </c>
      <c r="DO569" s="79"/>
      <c r="DP569" s="79"/>
      <c r="DQ569" s="79"/>
      <c r="DR569" s="75" t="str">
        <f t="shared" si="411"/>
        <v>No aplica</v>
      </c>
      <c r="DS569" s="79"/>
      <c r="DT569" s="79"/>
      <c r="DU569" s="75" t="str">
        <f t="shared" si="412"/>
        <v>No aplica</v>
      </c>
      <c r="DV569" s="79" t="s">
        <v>182</v>
      </c>
      <c r="DW569" s="79" t="s">
        <v>182</v>
      </c>
      <c r="DX569" s="79"/>
      <c r="DY569" s="79"/>
      <c r="DZ569" s="79"/>
      <c r="EA569" s="79"/>
      <c r="EB569" s="79"/>
      <c r="EC569" s="79"/>
      <c r="ED569" s="79" t="s">
        <v>3975</v>
      </c>
      <c r="EE569" s="79" t="str">
        <f t="shared" si="384"/>
        <v>Completo</v>
      </c>
      <c r="EF569" s="41"/>
      <c r="EG569" s="79" t="s">
        <v>153</v>
      </c>
      <c r="EH569" s="71"/>
      <c r="EI569" s="80"/>
      <c r="EJ569" s="71"/>
      <c r="EK569" s="79"/>
      <c r="EL569" s="76" t="str">
        <f t="shared" si="370"/>
        <v>No requiere</v>
      </c>
      <c r="EM569" s="76" t="str">
        <f t="shared" si="371"/>
        <v>No requiere</v>
      </c>
      <c r="EN569" s="76" t="str">
        <f>IF(F569="NO","No requiere",IF(H569="No","No requiere",IF(CC569="","",IF(CD569&lt;&gt;"No aplica",IF(CD569&lt;&gt;"Ninguna",IF(COUNTIF(CD569:CF569,"*")&gt;=1,"Sí","No"),"No"),"No aplica"))))</f>
        <v>No requiere</v>
      </c>
      <c r="EO569" s="71"/>
      <c r="EP569" s="73" t="str">
        <f t="shared" si="372"/>
        <v>No requiere</v>
      </c>
      <c r="EQ569" s="77" t="str">
        <f t="shared" si="373"/>
        <v>No requiere</v>
      </c>
      <c r="ER569" s="71"/>
      <c r="ES569" s="79"/>
      <c r="ET569" s="73" t="str">
        <f t="shared" si="374"/>
        <v>No requiere</v>
      </c>
      <c r="EU569" s="73" t="str">
        <f>IF(F569="NO","No requiere",IF(H569="No","No requiere",IF(B569="","",IF(CX569="SÍ",IF(CK569&gt;=1,CY569/CK569,"Sin compromisos"),"Por verificar"))))</f>
        <v>No requiere</v>
      </c>
      <c r="EV569" s="73" t="str">
        <f t="shared" si="375"/>
        <v>No requiere</v>
      </c>
      <c r="EW569" s="73" t="str">
        <f t="shared" si="413"/>
        <v>No requiere</v>
      </c>
      <c r="EX569" s="78"/>
      <c r="EY569" s="78"/>
    </row>
    <row r="570" spans="1:155" ht="46.5" customHeight="1">
      <c r="A570" s="79">
        <v>566</v>
      </c>
      <c r="B570" s="80" t="s">
        <v>3976</v>
      </c>
      <c r="C570" s="81">
        <v>45460</v>
      </c>
      <c r="D570" s="82">
        <v>0.375</v>
      </c>
      <c r="E570" s="79" t="s">
        <v>151</v>
      </c>
      <c r="F570" s="79" t="s">
        <v>153</v>
      </c>
      <c r="G570" s="79" t="s">
        <v>153</v>
      </c>
      <c r="H570" s="79" t="s">
        <v>152</v>
      </c>
      <c r="I570" s="79" t="s">
        <v>152</v>
      </c>
      <c r="J570" s="79" t="s">
        <v>154</v>
      </c>
      <c r="K570" s="79" t="s">
        <v>202</v>
      </c>
      <c r="L570" s="80" t="s">
        <v>3977</v>
      </c>
      <c r="M570" s="80" t="s">
        <v>157</v>
      </c>
      <c r="N570" s="79" t="s">
        <v>729</v>
      </c>
      <c r="O570" s="80" t="str">
        <f t="shared" si="383"/>
        <v>PENDIENTE</v>
      </c>
      <c r="P570" s="79" t="s">
        <v>196</v>
      </c>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t="s">
        <v>169</v>
      </c>
      <c r="AP570" s="79" t="s">
        <v>170</v>
      </c>
      <c r="AQ570" s="80" t="s">
        <v>171</v>
      </c>
      <c r="AR570" s="83" t="s">
        <v>171</v>
      </c>
      <c r="AS570" s="80" t="s">
        <v>171</v>
      </c>
      <c r="AT570" s="80" t="str">
        <f t="shared" si="396"/>
        <v>Distrital</v>
      </c>
      <c r="AU570" s="79" t="s">
        <v>172</v>
      </c>
      <c r="AV570" s="79"/>
      <c r="AW570" s="79"/>
      <c r="AX570" s="79"/>
      <c r="AY570" s="79"/>
      <c r="AZ570" s="79"/>
      <c r="BA570" s="80" t="str">
        <f t="shared" si="367"/>
        <v>Distrital</v>
      </c>
      <c r="BB570" s="79" t="s">
        <v>172</v>
      </c>
      <c r="BC570" s="79"/>
      <c r="BD570" s="79"/>
      <c r="BE570" s="79"/>
      <c r="BF570" s="79"/>
      <c r="BG570" s="79"/>
      <c r="BH570" s="80" t="str">
        <f t="shared" si="368"/>
        <v>Distrital</v>
      </c>
      <c r="BI570" s="79" t="s">
        <v>172</v>
      </c>
      <c r="BJ570" s="79"/>
      <c r="BK570" s="79"/>
      <c r="BL570" s="79"/>
      <c r="BM570" s="79"/>
      <c r="BN570" s="79"/>
      <c r="BO570" s="79"/>
      <c r="BP570" s="79"/>
      <c r="BQ570" s="79"/>
      <c r="BR570" s="79"/>
      <c r="BS570" s="80" t="s">
        <v>1004</v>
      </c>
      <c r="BT570" s="80" t="s">
        <v>174</v>
      </c>
      <c r="BU570" s="128" t="s">
        <v>3978</v>
      </c>
      <c r="BV570" s="71"/>
      <c r="BW570" s="79" t="s">
        <v>153</v>
      </c>
      <c r="BX570" s="79" t="s">
        <v>176</v>
      </c>
      <c r="BY570" s="71"/>
      <c r="BZ570" s="79">
        <v>60</v>
      </c>
      <c r="CA570" s="79">
        <v>15</v>
      </c>
      <c r="CB570" s="79">
        <f>BZ570+CA570</f>
        <v>75</v>
      </c>
      <c r="CC570" s="79" t="str">
        <f>_xlfn.TEXTJOIN(", ",TRUE,$CD570:$CF570)</f>
        <v>Ninguna</v>
      </c>
      <c r="CD570" s="79" t="s">
        <v>174</v>
      </c>
      <c r="CE570" s="79"/>
      <c r="CF570" s="79"/>
      <c r="CG570" s="83" t="s">
        <v>3979</v>
      </c>
      <c r="CH570" s="41"/>
      <c r="CI570" s="79" t="s">
        <v>153</v>
      </c>
      <c r="CJ570" s="71"/>
      <c r="CK570" s="79">
        <v>1</v>
      </c>
      <c r="CL570" s="79" t="s">
        <v>3980</v>
      </c>
      <c r="CM570" s="79"/>
      <c r="CN570" s="79"/>
      <c r="CO570" s="79"/>
      <c r="CP570" s="79"/>
      <c r="CQ570" s="79"/>
      <c r="CR570" s="83" t="s">
        <v>390</v>
      </c>
      <c r="CS570" s="83" t="s">
        <v>179</v>
      </c>
      <c r="CT570" s="83" t="s">
        <v>179</v>
      </c>
      <c r="CU570" s="83" t="s">
        <v>179</v>
      </c>
      <c r="CV570" s="83" t="s">
        <v>179</v>
      </c>
      <c r="CW570" s="83" t="s">
        <v>179</v>
      </c>
      <c r="CX570" s="79" t="s">
        <v>153</v>
      </c>
      <c r="CY570" s="79">
        <f>SUM(COUNTIF(CR570:CW570,"Realizado y Devuelto a la Ciudadanía"),COUNTIF(CR570:CW570,"Realizado y Trasladado por competencia"), COUNTIF(CR570:CW570,"Realizado y Gestionado"))</f>
        <v>1</v>
      </c>
      <c r="CZ570" s="79">
        <v>1</v>
      </c>
      <c r="DA570" s="79">
        <f>COUNTIF(CR570:CW570,"Realizado y Devuelto a la Ciudadanía")</f>
        <v>1</v>
      </c>
      <c r="DB570" s="84">
        <f>IFERROR(CY570/CK570,"")</f>
        <v>1</v>
      </c>
      <c r="DC570" s="41"/>
      <c r="DD570" s="79" t="s">
        <v>153</v>
      </c>
      <c r="DE570" s="71"/>
      <c r="DF570" s="85" t="s">
        <v>3981</v>
      </c>
      <c r="DG570" s="79">
        <v>559</v>
      </c>
      <c r="DH570" s="86" t="str">
        <f t="shared" si="392"/>
        <v>Completo</v>
      </c>
      <c r="DI570" s="79" t="s">
        <v>181</v>
      </c>
      <c r="DJ570" s="79" t="s">
        <v>182</v>
      </c>
      <c r="DK570" s="79"/>
      <c r="DL570" s="79">
        <v>0</v>
      </c>
      <c r="DM570" s="79">
        <v>0</v>
      </c>
      <c r="DN570" s="79" t="s">
        <v>182</v>
      </c>
      <c r="DO570" s="79">
        <v>75</v>
      </c>
      <c r="DP570" s="79"/>
      <c r="DQ570" s="79"/>
      <c r="DR570" s="75" t="str">
        <f t="shared" si="411"/>
        <v>No aplica</v>
      </c>
      <c r="DS570" s="79"/>
      <c r="DT570" s="79"/>
      <c r="DU570" s="75" t="str">
        <f t="shared" si="412"/>
        <v>No aplica</v>
      </c>
      <c r="DV570" s="79" t="s">
        <v>182</v>
      </c>
      <c r="DW570" s="79" t="s">
        <v>182</v>
      </c>
      <c r="DX570" s="79"/>
      <c r="DY570" s="79"/>
      <c r="DZ570" s="79"/>
      <c r="EA570" s="79"/>
      <c r="EB570" s="79" t="s">
        <v>182</v>
      </c>
      <c r="EC570" s="79" t="s">
        <v>3982</v>
      </c>
      <c r="ED570" s="79" t="s">
        <v>3924</v>
      </c>
      <c r="EE570" s="79" t="str">
        <f>IF(DI570="Subsanado","Completo","Por Completar")</f>
        <v>Completo</v>
      </c>
      <c r="EF570" s="41"/>
      <c r="EG570" s="79" t="s">
        <v>153</v>
      </c>
      <c r="EH570" s="71"/>
      <c r="EI570" s="80"/>
      <c r="EJ570" s="71"/>
      <c r="EK570" s="79"/>
      <c r="EL570" s="87" t="str">
        <f t="shared" si="370"/>
        <v>No requiere</v>
      </c>
      <c r="EM570" s="87" t="str">
        <f t="shared" si="371"/>
        <v>No requiere</v>
      </c>
      <c r="EN570" s="87" t="str">
        <f>IF(F570="NO","No requiere",IF(H570="No","No requiere",IF(CC570="","",IF(CD570&lt;&gt;"No aplica",IF(CD570&lt;&gt;"Ninguna",IF(COUNTIF(CD570:CF570,"*")&gt;=1,"Sí","No"),"No"),"No aplica"))))</f>
        <v>No requiere</v>
      </c>
      <c r="EO570" s="71"/>
      <c r="EP570" s="84" t="str">
        <f t="shared" si="372"/>
        <v>No requiere</v>
      </c>
      <c r="EQ570" s="88" t="str">
        <f t="shared" si="373"/>
        <v>No requiere</v>
      </c>
      <c r="ER570" s="71"/>
      <c r="ES570" s="79"/>
      <c r="ET570" s="84" t="str">
        <f t="shared" si="374"/>
        <v>No requiere</v>
      </c>
      <c r="EU570" s="84" t="str">
        <f>IF(F570="NO","No requiere",IF(H570="No","No requiere",IF(B570="","",IF(CX570="SÍ",IF(CK570&gt;=1,CY570/CK570,"Sin compromisos"),"Por verificar"))))</f>
        <v>No requiere</v>
      </c>
      <c r="EV570" s="84" t="str">
        <f t="shared" si="375"/>
        <v>No requiere</v>
      </c>
      <c r="EW570" s="84" t="str">
        <f t="shared" si="413"/>
        <v>No requiere</v>
      </c>
      <c r="EX570" s="78"/>
      <c r="EY570" s="78"/>
    </row>
    <row r="571" spans="1:155" ht="46.5" customHeight="1">
      <c r="A571" s="79">
        <v>567</v>
      </c>
      <c r="B571" s="80" t="s">
        <v>3983</v>
      </c>
      <c r="C571" s="81">
        <v>45460</v>
      </c>
      <c r="D571" s="82">
        <v>0.75</v>
      </c>
      <c r="E571" s="79" t="s">
        <v>151</v>
      </c>
      <c r="F571" s="79" t="s">
        <v>153</v>
      </c>
      <c r="G571" s="79" t="s">
        <v>152</v>
      </c>
      <c r="H571" s="79" t="s">
        <v>152</v>
      </c>
      <c r="I571" s="79" t="s">
        <v>153</v>
      </c>
      <c r="J571" s="79" t="s">
        <v>227</v>
      </c>
      <c r="K571" s="79" t="s">
        <v>155</v>
      </c>
      <c r="L571" s="80" t="s">
        <v>3984</v>
      </c>
      <c r="M571" s="80" t="s">
        <v>229</v>
      </c>
      <c r="N571" s="79" t="s">
        <v>373</v>
      </c>
      <c r="O571" s="80" t="str">
        <f t="shared" si="383"/>
        <v/>
      </c>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t="s">
        <v>230</v>
      </c>
      <c r="AP571" s="79" t="s">
        <v>1996</v>
      </c>
      <c r="AQ571" s="80" t="s">
        <v>3985</v>
      </c>
      <c r="AR571" s="83">
        <v>3174393178</v>
      </c>
      <c r="AS571" s="80" t="s">
        <v>171</v>
      </c>
      <c r="AT571" s="80" t="str">
        <f t="shared" si="396"/>
        <v>Engativá</v>
      </c>
      <c r="AU571" s="79" t="s">
        <v>234</v>
      </c>
      <c r="AV571" s="79"/>
      <c r="AW571" s="79"/>
      <c r="AX571" s="79"/>
      <c r="AY571" s="79"/>
      <c r="AZ571" s="79"/>
      <c r="BA571" s="80" t="str">
        <f t="shared" si="367"/>
        <v>Occidente</v>
      </c>
      <c r="BB571" s="79" t="s">
        <v>235</v>
      </c>
      <c r="BC571" s="79"/>
      <c r="BD571" s="79"/>
      <c r="BE571" s="79"/>
      <c r="BF571" s="79"/>
      <c r="BG571" s="79"/>
      <c r="BH571" s="80" t="str">
        <f t="shared" si="368"/>
        <v>Engativá, Tabora, Salitre</v>
      </c>
      <c r="BI571" s="79" t="s">
        <v>234</v>
      </c>
      <c r="BJ571" s="79" t="s">
        <v>414</v>
      </c>
      <c r="BK571" s="79" t="s">
        <v>415</v>
      </c>
      <c r="BL571" s="79"/>
      <c r="BM571" s="79"/>
      <c r="BN571" s="79"/>
      <c r="BO571" s="79"/>
      <c r="BP571" s="79"/>
      <c r="BQ571" s="79"/>
      <c r="BR571" s="79"/>
      <c r="BS571" s="80" t="s">
        <v>3986</v>
      </c>
      <c r="BT571" s="80" t="s">
        <v>174</v>
      </c>
      <c r="BU571" s="80" t="s">
        <v>3987</v>
      </c>
      <c r="BV571" s="71"/>
      <c r="BW571" s="79" t="s">
        <v>152</v>
      </c>
      <c r="BX571" s="79" t="s">
        <v>179</v>
      </c>
      <c r="BY571" s="71"/>
      <c r="BZ571" s="79">
        <v>20</v>
      </c>
      <c r="CA571" s="79">
        <v>2</v>
      </c>
      <c r="CB571" s="79">
        <f t="shared" ref="CB571:CB575" si="438">BZ571+CA571</f>
        <v>22</v>
      </c>
      <c r="CC571" s="79" t="str">
        <f t="shared" si="382"/>
        <v>Horarios Acordes</v>
      </c>
      <c r="CD571" s="79" t="s">
        <v>351</v>
      </c>
      <c r="CE571" s="79"/>
      <c r="CF571" s="79"/>
      <c r="CG571" s="83" t="s">
        <v>3988</v>
      </c>
      <c r="CH571" s="41"/>
      <c r="CI571" s="79" t="s">
        <v>153</v>
      </c>
      <c r="CJ571" s="71"/>
      <c r="CK571" s="79">
        <f>COUNTIF(CL571:CQ571,"*")</f>
        <v>0</v>
      </c>
      <c r="CL571" s="79"/>
      <c r="CM571" s="79"/>
      <c r="CN571" s="79"/>
      <c r="CO571" s="79"/>
      <c r="CP571" s="79"/>
      <c r="CQ571" s="79"/>
      <c r="CR571" s="83" t="s">
        <v>179</v>
      </c>
      <c r="CS571" s="83" t="s">
        <v>179</v>
      </c>
      <c r="CT571" s="83" t="s">
        <v>179</v>
      </c>
      <c r="CU571" s="83" t="s">
        <v>179</v>
      </c>
      <c r="CV571" s="83" t="s">
        <v>179</v>
      </c>
      <c r="CW571" s="83" t="s">
        <v>179</v>
      </c>
      <c r="CX571" s="79" t="s">
        <v>153</v>
      </c>
      <c r="CY571" s="79">
        <f t="shared" ref="CY571:CY575" si="439">SUM(COUNTIF(CR571:CW571,"Realizado y Devuelto a la Ciudadanía"),COUNTIF(CR571:CW571,"Realizado y Trasladado por competencia"), COUNTIF(CR571:CW571,"Realizado y Gestionado"))</f>
        <v>0</v>
      </c>
      <c r="CZ571" s="79">
        <v>0</v>
      </c>
      <c r="DA571" s="79">
        <f t="shared" ref="DA571:DA575" si="440">COUNTIF(CR571:CW571,"Realizado y Devuelto a la Ciudadanía")</f>
        <v>0</v>
      </c>
      <c r="DB571" s="84" t="str">
        <f t="shared" ref="DB571:DB575" si="441">IFERROR(CY571/CK571,"")</f>
        <v/>
      </c>
      <c r="DC571" s="41"/>
      <c r="DD571" s="79" t="s">
        <v>153</v>
      </c>
      <c r="DE571" s="71"/>
      <c r="DF571" s="127" t="s">
        <v>3989</v>
      </c>
      <c r="DG571" s="79">
        <v>560</v>
      </c>
      <c r="DH571" s="86" t="str">
        <f t="shared" si="392"/>
        <v>Completo</v>
      </c>
      <c r="DI571" s="79" t="s">
        <v>181</v>
      </c>
      <c r="DJ571" s="79" t="s">
        <v>182</v>
      </c>
      <c r="DK571" s="79"/>
      <c r="DL571" s="79">
        <v>0</v>
      </c>
      <c r="DM571" s="79">
        <v>0</v>
      </c>
      <c r="DN571" s="79" t="s">
        <v>182</v>
      </c>
      <c r="DO571" s="79"/>
      <c r="DP571" s="79"/>
      <c r="DQ571" s="79"/>
      <c r="DR571" s="75" t="str">
        <f t="shared" si="411"/>
        <v>No aplica</v>
      </c>
      <c r="DS571" s="79"/>
      <c r="DT571" s="79"/>
      <c r="DU571" s="75" t="str">
        <f t="shared" si="412"/>
        <v>No aplica</v>
      </c>
      <c r="DV571" s="79" t="s">
        <v>182</v>
      </c>
      <c r="DW571" s="79" t="s">
        <v>182</v>
      </c>
      <c r="DX571" s="79"/>
      <c r="DY571" s="79"/>
      <c r="DZ571" s="79"/>
      <c r="EA571" s="79"/>
      <c r="EB571" s="79"/>
      <c r="EC571" s="79"/>
      <c r="ED571" s="79" t="s">
        <v>3990</v>
      </c>
      <c r="EE571" s="79" t="str">
        <f t="shared" ref="EE571:EE575" si="442">IF(DI571="Subsanado","Completo","Por Completar")</f>
        <v>Completo</v>
      </c>
      <c r="EF571" s="41"/>
      <c r="EG571" s="79" t="s">
        <v>153</v>
      </c>
      <c r="EH571" s="71"/>
      <c r="EI571" s="80"/>
      <c r="EJ571" s="71"/>
      <c r="EK571" s="79"/>
      <c r="EL571" s="87" t="str">
        <f t="shared" si="370"/>
        <v>No requiere</v>
      </c>
      <c r="EM571" s="87" t="str">
        <f t="shared" si="371"/>
        <v>No requiere</v>
      </c>
      <c r="EN571" s="87" t="str">
        <f t="shared" ref="EN571:EN575" si="443">IF(F571="NO","No requiere",IF(H571="No","No requiere",IF(CC571="","",IF(CD571&lt;&gt;"No aplica",IF(CD571&lt;&gt;"Ninguna",IF(COUNTIF(CD571:CF571,"*")&gt;=1,"Sí","No"),"No"),"No aplica"))))</f>
        <v>No requiere</v>
      </c>
      <c r="EO571" s="71"/>
      <c r="EP571" s="84" t="str">
        <f t="shared" si="372"/>
        <v>No requiere</v>
      </c>
      <c r="EQ571" s="88" t="str">
        <f t="shared" si="373"/>
        <v>No requiere</v>
      </c>
      <c r="ER571" s="71"/>
      <c r="ES571" s="79"/>
      <c r="ET571" s="84" t="str">
        <f t="shared" si="374"/>
        <v>No requiere</v>
      </c>
      <c r="EU571" s="84" t="str">
        <f t="shared" ref="EU571:EU575" si="444">IF(F571="NO","No requiere",IF(H571="No","No requiere",IF(B571="","",IF(CX571="SÍ",IF(CK571&gt;=1,CY571/CK571,"Sin compromisos"),"Por verificar"))))</f>
        <v>No requiere</v>
      </c>
      <c r="EV571" s="84" t="str">
        <f t="shared" si="375"/>
        <v>No requiere</v>
      </c>
      <c r="EW571" s="84" t="str">
        <f t="shared" si="413"/>
        <v>No requiere</v>
      </c>
      <c r="EX571" s="78"/>
      <c r="EY571" s="78"/>
    </row>
    <row r="572" spans="1:155" ht="46.5" customHeight="1">
      <c r="A572" s="79" t="str">
        <v/>
      </c>
      <c r="B572" s="80" t="s">
        <v>3991</v>
      </c>
      <c r="C572" s="81">
        <v>45460</v>
      </c>
      <c r="D572" s="82">
        <v>0.58333333333333337</v>
      </c>
      <c r="E572" s="79" t="s">
        <v>151</v>
      </c>
      <c r="F572" s="79" t="s">
        <v>152</v>
      </c>
      <c r="G572" s="79" t="s">
        <v>152</v>
      </c>
      <c r="H572" s="79" t="s">
        <v>152</v>
      </c>
      <c r="I572" s="79" t="s">
        <v>152</v>
      </c>
      <c r="J572" s="79" t="s">
        <v>251</v>
      </c>
      <c r="K572" s="79" t="s">
        <v>155</v>
      </c>
      <c r="L572" s="80" t="s">
        <v>3992</v>
      </c>
      <c r="M572" s="80" t="s">
        <v>157</v>
      </c>
      <c r="N572" s="79" t="s">
        <v>346</v>
      </c>
      <c r="O572" s="80" t="str">
        <f t="shared" si="383"/>
        <v xml:space="preserve">Maria Angélica Higuera, Paola Andrea González, Luis Fernando Barreto , Juan Pablo Serna, Nixon Sandoval Mateus, Manuel Fernando Vergara, Nancy Stella Villa </v>
      </c>
      <c r="P572" s="79" t="s">
        <v>328</v>
      </c>
      <c r="Q572" s="79" t="s">
        <v>924</v>
      </c>
      <c r="R572" s="79" t="s">
        <v>720</v>
      </c>
      <c r="S572" s="79" t="s">
        <v>818</v>
      </c>
      <c r="T572" s="79" t="s">
        <v>644</v>
      </c>
      <c r="U572" s="79" t="s">
        <v>820</v>
      </c>
      <c r="V572" s="79" t="s">
        <v>1611</v>
      </c>
      <c r="W572" s="79"/>
      <c r="X572" s="79"/>
      <c r="Y572" s="79"/>
      <c r="Z572" s="79"/>
      <c r="AA572" s="79"/>
      <c r="AB572" s="79"/>
      <c r="AC572" s="79"/>
      <c r="AD572" s="79"/>
      <c r="AE572" s="79"/>
      <c r="AF572" s="79"/>
      <c r="AG572" s="79"/>
      <c r="AH572" s="79"/>
      <c r="AI572" s="79"/>
      <c r="AJ572" s="79"/>
      <c r="AK572" s="79"/>
      <c r="AL572" s="79"/>
      <c r="AM572" s="79"/>
      <c r="AN572" s="79"/>
      <c r="AO572" s="79" t="s">
        <v>169</v>
      </c>
      <c r="AP572" s="79" t="s">
        <v>170</v>
      </c>
      <c r="AQ572" s="80" t="s">
        <v>171</v>
      </c>
      <c r="AR572" s="80" t="s">
        <v>171</v>
      </c>
      <c r="AS572" s="80" t="s">
        <v>171</v>
      </c>
      <c r="AT572" s="80" t="str">
        <f t="shared" si="396"/>
        <v>Distrital</v>
      </c>
      <c r="AU572" s="79" t="s">
        <v>172</v>
      </c>
      <c r="AV572" s="79"/>
      <c r="AW572" s="79"/>
      <c r="AX572" s="79"/>
      <c r="AY572" s="79"/>
      <c r="AZ572" s="79"/>
      <c r="BA572" s="80" t="str">
        <f t="shared" si="367"/>
        <v>Distrital</v>
      </c>
      <c r="BB572" s="79" t="s">
        <v>172</v>
      </c>
      <c r="BC572" s="79"/>
      <c r="BD572" s="79"/>
      <c r="BE572" s="79"/>
      <c r="BF572" s="79"/>
      <c r="BG572" s="79"/>
      <c r="BH572" s="80" t="str">
        <f t="shared" si="368"/>
        <v>Distrital</v>
      </c>
      <c r="BI572" s="79" t="s">
        <v>172</v>
      </c>
      <c r="BJ572" s="79"/>
      <c r="BK572" s="79"/>
      <c r="BL572" s="79"/>
      <c r="BM572" s="79"/>
      <c r="BN572" s="79"/>
      <c r="BO572" s="79"/>
      <c r="BP572" s="79"/>
      <c r="BQ572" s="79"/>
      <c r="BR572" s="79"/>
      <c r="BS572" s="80" t="s">
        <v>288</v>
      </c>
      <c r="BT572" s="80" t="s">
        <v>3993</v>
      </c>
      <c r="BU572" s="80" t="s">
        <v>3994</v>
      </c>
      <c r="BV572" s="71"/>
      <c r="BW572" s="79" t="s">
        <v>152</v>
      </c>
      <c r="BX572" s="79" t="s">
        <v>179</v>
      </c>
      <c r="BY572" s="71"/>
      <c r="BZ572" s="79">
        <v>0</v>
      </c>
      <c r="CA572" s="79">
        <v>20</v>
      </c>
      <c r="CB572" s="79">
        <f t="shared" si="438"/>
        <v>20</v>
      </c>
      <c r="CC572" s="79" t="str">
        <f t="shared" si="382"/>
        <v>Ninguna</v>
      </c>
      <c r="CD572" s="79" t="s">
        <v>174</v>
      </c>
      <c r="CE572" s="79"/>
      <c r="CF572" s="79"/>
      <c r="CG572" s="83" t="s">
        <v>3995</v>
      </c>
      <c r="CH572" s="41"/>
      <c r="CI572" s="79" t="s">
        <v>153</v>
      </c>
      <c r="CJ572" s="71"/>
      <c r="CK572" s="79">
        <f t="shared" ref="CK572:CK575" si="445">COUNTIF(CL572:CQ572,"*")</f>
        <v>0</v>
      </c>
      <c r="CL572" s="79"/>
      <c r="CM572" s="79"/>
      <c r="CN572" s="79"/>
      <c r="CO572" s="79"/>
      <c r="CP572" s="79"/>
      <c r="CQ572" s="79"/>
      <c r="CR572" s="83" t="s">
        <v>179</v>
      </c>
      <c r="CS572" s="83" t="s">
        <v>179</v>
      </c>
      <c r="CT572" s="83" t="s">
        <v>179</v>
      </c>
      <c r="CU572" s="83" t="s">
        <v>179</v>
      </c>
      <c r="CV572" s="83" t="s">
        <v>179</v>
      </c>
      <c r="CW572" s="83" t="s">
        <v>179</v>
      </c>
      <c r="CX572" s="79" t="s">
        <v>153</v>
      </c>
      <c r="CY572" s="79">
        <f t="shared" si="439"/>
        <v>0</v>
      </c>
      <c r="CZ572" s="79">
        <v>0</v>
      </c>
      <c r="DA572" s="79">
        <f t="shared" si="440"/>
        <v>0</v>
      </c>
      <c r="DB572" s="84" t="str">
        <f t="shared" si="441"/>
        <v/>
      </c>
      <c r="DC572" s="41"/>
      <c r="DD572" s="79" t="s">
        <v>153</v>
      </c>
      <c r="DE572" s="71"/>
      <c r="DF572" s="127" t="s">
        <v>3996</v>
      </c>
      <c r="DG572" s="79">
        <v>561</v>
      </c>
      <c r="DH572" s="86" t="str">
        <f t="shared" si="392"/>
        <v>Completo</v>
      </c>
      <c r="DI572" s="79" t="s">
        <v>181</v>
      </c>
      <c r="DJ572" s="79" t="s">
        <v>182</v>
      </c>
      <c r="DK572" s="79"/>
      <c r="DL572" s="79">
        <v>0</v>
      </c>
      <c r="DM572" s="79">
        <v>0</v>
      </c>
      <c r="DN572" s="79" t="s">
        <v>182</v>
      </c>
      <c r="DO572" s="79"/>
      <c r="DP572" s="79"/>
      <c r="DQ572" s="79"/>
      <c r="DR572" s="75" t="str">
        <f t="shared" si="411"/>
        <v>No aplica</v>
      </c>
      <c r="DS572" s="79"/>
      <c r="DT572" s="79"/>
      <c r="DU572" s="75" t="str">
        <f t="shared" si="412"/>
        <v>No aplica</v>
      </c>
      <c r="DV572" s="79" t="s">
        <v>191</v>
      </c>
      <c r="DW572" s="79"/>
      <c r="DX572" s="79"/>
      <c r="DY572" s="79"/>
      <c r="DZ572" s="79"/>
      <c r="EA572" s="79"/>
      <c r="EB572" s="79"/>
      <c r="EC572" s="79"/>
      <c r="ED572" s="79" t="s">
        <v>3997</v>
      </c>
      <c r="EE572" s="79" t="str">
        <f t="shared" si="442"/>
        <v>Completo</v>
      </c>
      <c r="EF572" s="41"/>
      <c r="EG572" s="79" t="s">
        <v>153</v>
      </c>
      <c r="EH572" s="71"/>
      <c r="EI572" s="80"/>
      <c r="EJ572" s="71"/>
      <c r="EK572" s="79"/>
      <c r="EL572" s="87" t="str">
        <f t="shared" si="370"/>
        <v>No requiere</v>
      </c>
      <c r="EM572" s="87" t="str">
        <f t="shared" si="371"/>
        <v>No requiere</v>
      </c>
      <c r="EN572" s="87" t="str">
        <f t="shared" si="443"/>
        <v>No requiere</v>
      </c>
      <c r="EO572" s="71"/>
      <c r="EP572" s="84" t="str">
        <f t="shared" si="372"/>
        <v>No requiere</v>
      </c>
      <c r="EQ572" s="88" t="str">
        <f t="shared" si="373"/>
        <v>No requiere</v>
      </c>
      <c r="ER572" s="71"/>
      <c r="ES572" s="79"/>
      <c r="ET572" s="84" t="str">
        <f t="shared" si="374"/>
        <v>No requiere</v>
      </c>
      <c r="EU572" s="84" t="str">
        <f t="shared" si="444"/>
        <v>No requiere</v>
      </c>
      <c r="EV572" s="84" t="str">
        <f t="shared" si="375"/>
        <v>No requiere</v>
      </c>
      <c r="EW572" s="84" t="str">
        <f t="shared" si="413"/>
        <v>No requiere</v>
      </c>
      <c r="EX572" s="78"/>
      <c r="EY572" s="78"/>
    </row>
    <row r="573" spans="1:155" ht="46.5" customHeight="1">
      <c r="A573" s="79">
        <v>569</v>
      </c>
      <c r="B573" s="80" t="s">
        <v>3998</v>
      </c>
      <c r="C573" s="81">
        <v>45460</v>
      </c>
      <c r="D573" s="82">
        <v>0.66666666666666663</v>
      </c>
      <c r="E573" s="79" t="s">
        <v>151</v>
      </c>
      <c r="F573" s="79" t="s">
        <v>153</v>
      </c>
      <c r="G573" s="79" t="s">
        <v>152</v>
      </c>
      <c r="H573" s="79" t="s">
        <v>152</v>
      </c>
      <c r="I573" s="79" t="s">
        <v>152</v>
      </c>
      <c r="J573" s="79" t="s">
        <v>3999</v>
      </c>
      <c r="K573" s="79" t="s">
        <v>155</v>
      </c>
      <c r="L573" s="80" t="s">
        <v>4000</v>
      </c>
      <c r="M573" s="80" t="s">
        <v>241</v>
      </c>
      <c r="N573" s="79" t="s">
        <v>818</v>
      </c>
      <c r="O573" s="80" t="str">
        <f t="shared" si="383"/>
        <v/>
      </c>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t="s">
        <v>230</v>
      </c>
      <c r="AP573" s="79" t="s">
        <v>356</v>
      </c>
      <c r="AQ573" s="80" t="s">
        <v>171</v>
      </c>
      <c r="AR573" s="80" t="s">
        <v>171</v>
      </c>
      <c r="AS573" s="80" t="s">
        <v>171</v>
      </c>
      <c r="AT573" s="80" t="str">
        <f t="shared" si="396"/>
        <v>La Candelaria</v>
      </c>
      <c r="AU573" s="79" t="s">
        <v>753</v>
      </c>
      <c r="AV573" s="79"/>
      <c r="AW573" s="79"/>
      <c r="AX573" s="79"/>
      <c r="AY573" s="79"/>
      <c r="AZ573" s="79"/>
      <c r="BA573" s="80" t="str">
        <f t="shared" si="367"/>
        <v>Centro Ampliado</v>
      </c>
      <c r="BB573" s="79" t="s">
        <v>636</v>
      </c>
      <c r="BC573" s="79"/>
      <c r="BD573" s="79"/>
      <c r="BE573" s="79"/>
      <c r="BF573" s="79"/>
      <c r="BG573" s="79"/>
      <c r="BH573" s="80" t="str">
        <f t="shared" si="368"/>
        <v>Centro Histórico</v>
      </c>
      <c r="BI573" s="79" t="s">
        <v>754</v>
      </c>
      <c r="BJ573" s="79"/>
      <c r="BK573" s="79"/>
      <c r="BL573" s="79"/>
      <c r="BM573" s="79"/>
      <c r="BN573" s="79"/>
      <c r="BO573" s="79"/>
      <c r="BP573" s="79"/>
      <c r="BQ573" s="79"/>
      <c r="BR573" s="79"/>
      <c r="BS573" s="80" t="s">
        <v>4001</v>
      </c>
      <c r="BT573" s="80" t="s">
        <v>174</v>
      </c>
      <c r="BU573" s="80" t="s">
        <v>4002</v>
      </c>
      <c r="BV573" s="71"/>
      <c r="BW573" s="79" t="s">
        <v>152</v>
      </c>
      <c r="BX573" s="79" t="s">
        <v>179</v>
      </c>
      <c r="BY573" s="71"/>
      <c r="BZ573" s="79">
        <v>9</v>
      </c>
      <c r="CA573" s="79">
        <v>1</v>
      </c>
      <c r="CB573" s="79">
        <f t="shared" si="438"/>
        <v>10</v>
      </c>
      <c r="CC573" s="79" t="str">
        <f t="shared" si="382"/>
        <v>Horarios Acordes</v>
      </c>
      <c r="CD573" s="79" t="s">
        <v>351</v>
      </c>
      <c r="CE573" s="79"/>
      <c r="CF573" s="79"/>
      <c r="CG573" s="83" t="s">
        <v>4003</v>
      </c>
      <c r="CH573" s="41"/>
      <c r="CI573" s="79" t="s">
        <v>153</v>
      </c>
      <c r="CJ573" s="71"/>
      <c r="CK573" s="79">
        <f t="shared" si="445"/>
        <v>0</v>
      </c>
      <c r="CL573" s="79"/>
      <c r="CM573" s="79"/>
      <c r="CN573" s="79"/>
      <c r="CO573" s="79"/>
      <c r="CP573" s="79"/>
      <c r="CQ573" s="79"/>
      <c r="CR573" s="83" t="s">
        <v>179</v>
      </c>
      <c r="CS573" s="83" t="s">
        <v>179</v>
      </c>
      <c r="CT573" s="83" t="s">
        <v>179</v>
      </c>
      <c r="CU573" s="83" t="s">
        <v>179</v>
      </c>
      <c r="CV573" s="83" t="s">
        <v>179</v>
      </c>
      <c r="CW573" s="83" t="s">
        <v>179</v>
      </c>
      <c r="CX573" s="79" t="s">
        <v>153</v>
      </c>
      <c r="CY573" s="79">
        <f t="shared" si="439"/>
        <v>0</v>
      </c>
      <c r="CZ573" s="79">
        <v>0</v>
      </c>
      <c r="DA573" s="79">
        <f t="shared" si="440"/>
        <v>0</v>
      </c>
      <c r="DB573" s="84" t="str">
        <f t="shared" si="441"/>
        <v/>
      </c>
      <c r="DC573" s="41"/>
      <c r="DD573" s="79" t="s">
        <v>153</v>
      </c>
      <c r="DE573" s="71"/>
      <c r="DF573" s="127" t="s">
        <v>4004</v>
      </c>
      <c r="DG573" s="79">
        <v>562</v>
      </c>
      <c r="DH573" s="86" t="str">
        <f t="shared" si="392"/>
        <v>Completo</v>
      </c>
      <c r="DI573" s="79" t="s">
        <v>181</v>
      </c>
      <c r="DJ573" s="79" t="s">
        <v>182</v>
      </c>
      <c r="DK573" s="79"/>
      <c r="DL573" s="79">
        <v>0</v>
      </c>
      <c r="DM573" s="79">
        <v>0</v>
      </c>
      <c r="DN573" s="79" t="s">
        <v>182</v>
      </c>
      <c r="DO573" s="79"/>
      <c r="DP573" s="79"/>
      <c r="DQ573" s="79"/>
      <c r="DR573" s="75" t="str">
        <f t="shared" si="411"/>
        <v>No aplica</v>
      </c>
      <c r="DS573" s="79"/>
      <c r="DT573" s="79"/>
      <c r="DU573" s="75" t="str">
        <f t="shared" si="412"/>
        <v>No aplica</v>
      </c>
      <c r="DV573" s="79" t="s">
        <v>182</v>
      </c>
      <c r="DW573" s="79"/>
      <c r="DX573" s="79"/>
      <c r="DY573" s="79"/>
      <c r="DZ573" s="79"/>
      <c r="EA573" s="79"/>
      <c r="EB573" s="79"/>
      <c r="EC573" s="79"/>
      <c r="ED573" s="79" t="s">
        <v>4005</v>
      </c>
      <c r="EE573" s="79" t="str">
        <f t="shared" si="442"/>
        <v>Completo</v>
      </c>
      <c r="EF573" s="41"/>
      <c r="EG573" s="79" t="s">
        <v>153</v>
      </c>
      <c r="EH573" s="71"/>
      <c r="EI573" s="80"/>
      <c r="EJ573" s="71"/>
      <c r="EK573" s="79"/>
      <c r="EL573" s="87" t="str">
        <f t="shared" si="370"/>
        <v>No requiere</v>
      </c>
      <c r="EM573" s="87" t="str">
        <f t="shared" si="371"/>
        <v>No requiere</v>
      </c>
      <c r="EN573" s="87" t="str">
        <f t="shared" si="443"/>
        <v>No requiere</v>
      </c>
      <c r="EO573" s="71"/>
      <c r="EP573" s="84" t="str">
        <f t="shared" si="372"/>
        <v>No requiere</v>
      </c>
      <c r="EQ573" s="88" t="str">
        <f t="shared" si="373"/>
        <v>No requiere</v>
      </c>
      <c r="ER573" s="71"/>
      <c r="ES573" s="79"/>
      <c r="ET573" s="84" t="str">
        <f t="shared" si="374"/>
        <v>No requiere</v>
      </c>
      <c r="EU573" s="84" t="str">
        <f t="shared" si="444"/>
        <v>No requiere</v>
      </c>
      <c r="EV573" s="84" t="str">
        <f t="shared" si="375"/>
        <v>No requiere</v>
      </c>
      <c r="EW573" s="84" t="str">
        <f t="shared" si="413"/>
        <v>No requiere</v>
      </c>
      <c r="EX573" s="78"/>
      <c r="EY573" s="78"/>
    </row>
    <row r="574" spans="1:155" ht="46.5" customHeight="1">
      <c r="A574" s="79">
        <v>570</v>
      </c>
      <c r="B574" s="80" t="s">
        <v>2583</v>
      </c>
      <c r="C574" s="81">
        <v>45460</v>
      </c>
      <c r="D574" s="82">
        <v>0.70833333333333337</v>
      </c>
      <c r="E574" s="79" t="s">
        <v>200</v>
      </c>
      <c r="F574" s="79" t="s">
        <v>153</v>
      </c>
      <c r="G574" s="79" t="s">
        <v>152</v>
      </c>
      <c r="H574" s="79" t="s">
        <v>152</v>
      </c>
      <c r="I574" s="79" t="s">
        <v>152</v>
      </c>
      <c r="J574" s="79" t="s">
        <v>211</v>
      </c>
      <c r="K574" s="79" t="s">
        <v>202</v>
      </c>
      <c r="L574" s="80" t="s">
        <v>4006</v>
      </c>
      <c r="M574" s="80" t="s">
        <v>624</v>
      </c>
      <c r="N574" s="79" t="s">
        <v>524</v>
      </c>
      <c r="O574" s="80" t="str">
        <f t="shared" si="383"/>
        <v/>
      </c>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t="s">
        <v>230</v>
      </c>
      <c r="AP574" s="79" t="s">
        <v>242</v>
      </c>
      <c r="AQ574" s="80" t="s">
        <v>2585</v>
      </c>
      <c r="AR574" s="83">
        <v>3178255261</v>
      </c>
      <c r="AS574" s="80" t="s">
        <v>1103</v>
      </c>
      <c r="AT574" s="80" t="str">
        <f t="shared" si="396"/>
        <v>Distrital</v>
      </c>
      <c r="AU574" s="79" t="s">
        <v>172</v>
      </c>
      <c r="AV574" s="79"/>
      <c r="AW574" s="79"/>
      <c r="AX574" s="79"/>
      <c r="AY574" s="79"/>
      <c r="AZ574" s="79"/>
      <c r="BA574" s="80" t="str">
        <f t="shared" si="367"/>
        <v>Distrital</v>
      </c>
      <c r="BB574" s="79" t="s">
        <v>172</v>
      </c>
      <c r="BC574" s="79"/>
      <c r="BD574" s="79"/>
      <c r="BE574" s="79"/>
      <c r="BF574" s="79"/>
      <c r="BG574" s="79"/>
      <c r="BH574" s="80" t="str">
        <f t="shared" si="368"/>
        <v>Distrital</v>
      </c>
      <c r="BI574" s="79" t="s">
        <v>172</v>
      </c>
      <c r="BJ574" s="79"/>
      <c r="BK574" s="79"/>
      <c r="BL574" s="79"/>
      <c r="BM574" s="79"/>
      <c r="BN574" s="79"/>
      <c r="BO574" s="79"/>
      <c r="BP574" s="79"/>
      <c r="BQ574" s="79"/>
      <c r="BR574" s="79"/>
      <c r="BS574" s="80" t="s">
        <v>288</v>
      </c>
      <c r="BT574" s="80" t="s">
        <v>174</v>
      </c>
      <c r="BU574" s="128" t="s">
        <v>3978</v>
      </c>
      <c r="BV574" s="71"/>
      <c r="BW574" s="79" t="s">
        <v>152</v>
      </c>
      <c r="BX574" s="79" t="s">
        <v>179</v>
      </c>
      <c r="BY574" s="71"/>
      <c r="BZ574" s="79">
        <v>14</v>
      </c>
      <c r="CA574" s="79">
        <v>1</v>
      </c>
      <c r="CB574" s="79">
        <f t="shared" si="438"/>
        <v>15</v>
      </c>
      <c r="CC574" s="79" t="str">
        <f t="shared" si="382"/>
        <v>Ninguna</v>
      </c>
      <c r="CD574" s="79" t="s">
        <v>174</v>
      </c>
      <c r="CE574" s="79"/>
      <c r="CF574" s="79"/>
      <c r="CG574" s="83" t="s">
        <v>4007</v>
      </c>
      <c r="CH574" s="41"/>
      <c r="CI574" s="79" t="s">
        <v>153</v>
      </c>
      <c r="CJ574" s="71"/>
      <c r="CK574" s="79">
        <f t="shared" si="445"/>
        <v>0</v>
      </c>
      <c r="CL574" s="79"/>
      <c r="CM574" s="79"/>
      <c r="CN574" s="79"/>
      <c r="CO574" s="79"/>
      <c r="CP574" s="79"/>
      <c r="CQ574" s="79"/>
      <c r="CR574" s="83" t="s">
        <v>179</v>
      </c>
      <c r="CS574" s="83" t="s">
        <v>179</v>
      </c>
      <c r="CT574" s="83" t="s">
        <v>179</v>
      </c>
      <c r="CU574" s="83" t="s">
        <v>179</v>
      </c>
      <c r="CV574" s="83" t="s">
        <v>179</v>
      </c>
      <c r="CW574" s="83" t="s">
        <v>179</v>
      </c>
      <c r="CX574" s="79" t="s">
        <v>153</v>
      </c>
      <c r="CY574" s="79">
        <f t="shared" si="439"/>
        <v>0</v>
      </c>
      <c r="CZ574" s="79">
        <v>0</v>
      </c>
      <c r="DA574" s="79">
        <f t="shared" si="440"/>
        <v>0</v>
      </c>
      <c r="DB574" s="84" t="str">
        <f t="shared" si="441"/>
        <v/>
      </c>
      <c r="DC574" s="41"/>
      <c r="DD574" s="79" t="s">
        <v>153</v>
      </c>
      <c r="DE574" s="71"/>
      <c r="DF574" s="127" t="s">
        <v>4008</v>
      </c>
      <c r="DG574" s="79">
        <v>563</v>
      </c>
      <c r="DH574" s="86" t="str">
        <f t="shared" si="392"/>
        <v>Completo</v>
      </c>
      <c r="DI574" s="79" t="s">
        <v>181</v>
      </c>
      <c r="DJ574" s="79" t="s">
        <v>182</v>
      </c>
      <c r="DK574" s="79"/>
      <c r="DL574" s="79">
        <v>0</v>
      </c>
      <c r="DM574" s="79">
        <v>0</v>
      </c>
      <c r="DN574" s="79" t="s">
        <v>182</v>
      </c>
      <c r="DO574" s="79"/>
      <c r="DP574" s="79"/>
      <c r="DQ574" s="79"/>
      <c r="DR574" s="75" t="str">
        <f t="shared" si="411"/>
        <v>No aplica</v>
      </c>
      <c r="DS574" s="79"/>
      <c r="DT574" s="79"/>
      <c r="DU574" s="75" t="str">
        <f t="shared" si="412"/>
        <v>No aplica</v>
      </c>
      <c r="DV574" s="79" t="s">
        <v>182</v>
      </c>
      <c r="DW574" s="79" t="s">
        <v>182</v>
      </c>
      <c r="DX574" s="79"/>
      <c r="DY574" s="79"/>
      <c r="DZ574" s="79"/>
      <c r="EA574" s="79"/>
      <c r="EB574" s="79"/>
      <c r="EC574" s="79"/>
      <c r="ED574" s="79" t="s">
        <v>4009</v>
      </c>
      <c r="EE574" s="79" t="str">
        <f t="shared" si="442"/>
        <v>Completo</v>
      </c>
      <c r="EF574" s="41"/>
      <c r="EG574" s="79" t="s">
        <v>153</v>
      </c>
      <c r="EH574" s="71"/>
      <c r="EI574" s="80"/>
      <c r="EJ574" s="71"/>
      <c r="EK574" s="79"/>
      <c r="EL574" s="87" t="str">
        <f t="shared" si="370"/>
        <v>No requiere</v>
      </c>
      <c r="EM574" s="87" t="str">
        <f t="shared" si="371"/>
        <v>No requiere</v>
      </c>
      <c r="EN574" s="87" t="str">
        <f t="shared" si="443"/>
        <v>No requiere</v>
      </c>
      <c r="EO574" s="71"/>
      <c r="EP574" s="84" t="str">
        <f t="shared" si="372"/>
        <v>No requiere</v>
      </c>
      <c r="EQ574" s="88" t="str">
        <f t="shared" si="373"/>
        <v>No requiere</v>
      </c>
      <c r="ER574" s="71"/>
      <c r="ES574" s="79"/>
      <c r="ET574" s="84" t="str">
        <f t="shared" si="374"/>
        <v>No requiere</v>
      </c>
      <c r="EU574" s="84" t="str">
        <f t="shared" si="444"/>
        <v>No requiere</v>
      </c>
      <c r="EV574" s="84" t="str">
        <f t="shared" si="375"/>
        <v>No requiere</v>
      </c>
      <c r="EW574" s="84" t="str">
        <f t="shared" si="413"/>
        <v>No requiere</v>
      </c>
      <c r="EX574" s="78"/>
      <c r="EY574" s="78"/>
    </row>
    <row r="575" spans="1:155" ht="46.5" customHeight="1">
      <c r="A575" s="79" t="str">
        <v/>
      </c>
      <c r="B575" s="80" t="s">
        <v>4010</v>
      </c>
      <c r="C575" s="81">
        <v>45461</v>
      </c>
      <c r="D575" s="82">
        <v>0.33333333333333331</v>
      </c>
      <c r="E575" s="79" t="s">
        <v>151</v>
      </c>
      <c r="F575" s="79" t="s">
        <v>152</v>
      </c>
      <c r="G575" s="79" t="s">
        <v>153</v>
      </c>
      <c r="H575" s="79" t="s">
        <v>152</v>
      </c>
      <c r="I575" s="79" t="s">
        <v>152</v>
      </c>
      <c r="J575" s="79" t="s">
        <v>1768</v>
      </c>
      <c r="K575" s="79" t="s">
        <v>202</v>
      </c>
      <c r="L575" s="80" t="s">
        <v>4011</v>
      </c>
      <c r="M575" s="80" t="s">
        <v>157</v>
      </c>
      <c r="N575" s="79" t="s">
        <v>924</v>
      </c>
      <c r="O575" s="80" t="str">
        <f t="shared" si="383"/>
        <v>Renata Rengifo Moyano, Nestor Jecfrid Sánchez, Reinaldo Terrios Andrade</v>
      </c>
      <c r="P575" s="79" t="s">
        <v>1066</v>
      </c>
      <c r="Q575" s="79" t="s">
        <v>965</v>
      </c>
      <c r="R575" s="79" t="s">
        <v>675</v>
      </c>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t="s">
        <v>169</v>
      </c>
      <c r="AP575" s="79" t="s">
        <v>170</v>
      </c>
      <c r="AQ575" s="80" t="s">
        <v>171</v>
      </c>
      <c r="AR575" s="80" t="s">
        <v>171</v>
      </c>
      <c r="AS575" s="80" t="s">
        <v>171</v>
      </c>
      <c r="AT575" s="80" t="str">
        <f t="shared" si="396"/>
        <v>Distrital</v>
      </c>
      <c r="AU575" s="79" t="s">
        <v>172</v>
      </c>
      <c r="AV575" s="79"/>
      <c r="AW575" s="79"/>
      <c r="AX575" s="79"/>
      <c r="AY575" s="79"/>
      <c r="AZ575" s="79"/>
      <c r="BA575" s="80" t="str">
        <f t="shared" si="367"/>
        <v>Suroccidente</v>
      </c>
      <c r="BB575" s="79" t="s">
        <v>732</v>
      </c>
      <c r="BC575" s="79"/>
      <c r="BD575" s="79"/>
      <c r="BE575" s="79"/>
      <c r="BF575" s="79"/>
      <c r="BG575" s="79"/>
      <c r="BH575" s="80" t="str">
        <f t="shared" si="368"/>
        <v>Distrital</v>
      </c>
      <c r="BI575" s="79" t="s">
        <v>172</v>
      </c>
      <c r="BJ575" s="79"/>
      <c r="BK575" s="79"/>
      <c r="BL575" s="79"/>
      <c r="BM575" s="79"/>
      <c r="BN575" s="79"/>
      <c r="BO575" s="79"/>
      <c r="BP575" s="79"/>
      <c r="BQ575" s="79"/>
      <c r="BR575" s="79"/>
      <c r="BS575" s="80" t="s">
        <v>4012</v>
      </c>
      <c r="BT575" s="80" t="s">
        <v>174</v>
      </c>
      <c r="BU575" s="128" t="s">
        <v>3931</v>
      </c>
      <c r="BV575" s="71"/>
      <c r="BW575" s="79" t="s">
        <v>152</v>
      </c>
      <c r="BX575" s="79" t="s">
        <v>179</v>
      </c>
      <c r="BY575" s="71"/>
      <c r="BZ575" s="79">
        <v>0</v>
      </c>
      <c r="CA575" s="79">
        <v>4</v>
      </c>
      <c r="CB575" s="79">
        <f t="shared" si="438"/>
        <v>4</v>
      </c>
      <c r="CC575" s="79" t="str">
        <f t="shared" si="382"/>
        <v>Ninguna</v>
      </c>
      <c r="CD575" s="79" t="s">
        <v>174</v>
      </c>
      <c r="CE575" s="79"/>
      <c r="CF575" s="79"/>
      <c r="CG575" s="83" t="s">
        <v>4013</v>
      </c>
      <c r="CH575" s="41"/>
      <c r="CI575" s="79" t="s">
        <v>153</v>
      </c>
      <c r="CJ575" s="71"/>
      <c r="CK575" s="79">
        <f t="shared" si="445"/>
        <v>0</v>
      </c>
      <c r="CL575" s="79"/>
      <c r="CM575" s="79"/>
      <c r="CN575" s="79"/>
      <c r="CO575" s="79"/>
      <c r="CP575" s="79"/>
      <c r="CQ575" s="79"/>
      <c r="CR575" s="83" t="s">
        <v>179</v>
      </c>
      <c r="CS575" s="83" t="s">
        <v>179</v>
      </c>
      <c r="CT575" s="83" t="s">
        <v>179</v>
      </c>
      <c r="CU575" s="83" t="s">
        <v>179</v>
      </c>
      <c r="CV575" s="83" t="s">
        <v>179</v>
      </c>
      <c r="CW575" s="83" t="s">
        <v>179</v>
      </c>
      <c r="CX575" s="79" t="s">
        <v>153</v>
      </c>
      <c r="CY575" s="79">
        <f t="shared" si="439"/>
        <v>0</v>
      </c>
      <c r="CZ575" s="79">
        <v>0</v>
      </c>
      <c r="DA575" s="79">
        <f t="shared" si="440"/>
        <v>0</v>
      </c>
      <c r="DB575" s="84" t="str">
        <f t="shared" si="441"/>
        <v/>
      </c>
      <c r="DC575" s="41"/>
      <c r="DD575" s="79" t="s">
        <v>153</v>
      </c>
      <c r="DE575" s="71"/>
      <c r="DF575" s="127" t="s">
        <v>4014</v>
      </c>
      <c r="DG575" s="79">
        <v>564</v>
      </c>
      <c r="DH575" s="86" t="str">
        <f t="shared" si="392"/>
        <v>Completo</v>
      </c>
      <c r="DI575" s="79" t="s">
        <v>181</v>
      </c>
      <c r="DJ575" s="79" t="s">
        <v>182</v>
      </c>
      <c r="DK575" s="79"/>
      <c r="DL575" s="79">
        <v>0</v>
      </c>
      <c r="DM575" s="79">
        <v>0</v>
      </c>
      <c r="DN575" s="79"/>
      <c r="DO575" s="79"/>
      <c r="DP575" s="79"/>
      <c r="DQ575" s="79"/>
      <c r="DR575" s="75" t="str">
        <f t="shared" si="411"/>
        <v>No aplica</v>
      </c>
      <c r="DS575" s="79"/>
      <c r="DT575" s="79"/>
      <c r="DU575" s="75" t="str">
        <f t="shared" si="412"/>
        <v>No aplica</v>
      </c>
      <c r="DV575" s="79" t="s">
        <v>182</v>
      </c>
      <c r="DW575" s="79" t="s">
        <v>182</v>
      </c>
      <c r="DX575" s="79"/>
      <c r="DY575" s="79"/>
      <c r="DZ575" s="79"/>
      <c r="EA575" s="79"/>
      <c r="EB575" s="79"/>
      <c r="EC575" s="79"/>
      <c r="ED575" s="79" t="s">
        <v>3732</v>
      </c>
      <c r="EE575" s="79" t="str">
        <f t="shared" si="442"/>
        <v>Completo</v>
      </c>
      <c r="EF575" s="41"/>
      <c r="EG575" s="79" t="s">
        <v>153</v>
      </c>
      <c r="EH575" s="71"/>
      <c r="EI575" s="80"/>
      <c r="EJ575" s="71"/>
      <c r="EK575" s="79"/>
      <c r="EL575" s="87" t="str">
        <f t="shared" si="370"/>
        <v>No requiere</v>
      </c>
      <c r="EM575" s="87" t="str">
        <f t="shared" si="371"/>
        <v>No requiere</v>
      </c>
      <c r="EN575" s="87" t="str">
        <f t="shared" si="443"/>
        <v>No requiere</v>
      </c>
      <c r="EO575" s="71"/>
      <c r="EP575" s="84" t="str">
        <f t="shared" si="372"/>
        <v>No requiere</v>
      </c>
      <c r="EQ575" s="88" t="str">
        <f t="shared" si="373"/>
        <v>No requiere</v>
      </c>
      <c r="ER575" s="71"/>
      <c r="ES575" s="79"/>
      <c r="ET575" s="84" t="str">
        <f t="shared" si="374"/>
        <v>No requiere</v>
      </c>
      <c r="EU575" s="84" t="str">
        <f t="shared" si="444"/>
        <v>No requiere</v>
      </c>
      <c r="EV575" s="84" t="str">
        <f t="shared" si="375"/>
        <v>No requiere</v>
      </c>
      <c r="EW575" s="84" t="str">
        <f t="shared" si="413"/>
        <v>No requiere</v>
      </c>
      <c r="EX575" s="78"/>
      <c r="EY575" s="78"/>
    </row>
    <row r="576" spans="1:155" ht="46.5" customHeight="1">
      <c r="A576" s="79" t="str">
        <v/>
      </c>
      <c r="B576" s="80" t="s">
        <v>4015</v>
      </c>
      <c r="C576" s="81">
        <v>45461</v>
      </c>
      <c r="D576" s="82">
        <v>0.375</v>
      </c>
      <c r="E576" s="79" t="s">
        <v>151</v>
      </c>
      <c r="F576" s="79" t="s">
        <v>152</v>
      </c>
      <c r="G576" s="79" t="s">
        <v>153</v>
      </c>
      <c r="H576" s="79" t="s">
        <v>152</v>
      </c>
      <c r="I576" s="79" t="s">
        <v>152</v>
      </c>
      <c r="J576" s="79" t="s">
        <v>2153</v>
      </c>
      <c r="K576" s="79" t="s">
        <v>202</v>
      </c>
      <c r="L576" s="80" t="s">
        <v>4016</v>
      </c>
      <c r="M576" s="80" t="s">
        <v>624</v>
      </c>
      <c r="N576" s="79" t="s">
        <v>346</v>
      </c>
      <c r="O576" s="80" t="str">
        <f t="shared" si="383"/>
        <v>Freddy Martínez, César Augusto Barrantes</v>
      </c>
      <c r="P576" s="79" t="s">
        <v>3049</v>
      </c>
      <c r="Q576" s="79" t="s">
        <v>729</v>
      </c>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t="s">
        <v>304</v>
      </c>
      <c r="AP576" s="79"/>
      <c r="AQ576" s="80" t="s">
        <v>171</v>
      </c>
      <c r="AR576" s="80" t="s">
        <v>171</v>
      </c>
      <c r="AS576" s="80" t="s">
        <v>171</v>
      </c>
      <c r="AT576" s="80" t="str">
        <f t="shared" si="396"/>
        <v>Distrital</v>
      </c>
      <c r="AU576" s="79" t="s">
        <v>172</v>
      </c>
      <c r="AV576" s="79"/>
      <c r="AW576" s="79"/>
      <c r="AX576" s="79"/>
      <c r="AY576" s="79"/>
      <c r="AZ576" s="79"/>
      <c r="BA576" s="80" t="str">
        <f t="shared" si="367"/>
        <v>Distrital</v>
      </c>
      <c r="BB576" s="79" t="s">
        <v>172</v>
      </c>
      <c r="BC576" s="79"/>
      <c r="BD576" s="79"/>
      <c r="BE576" s="79"/>
      <c r="BF576" s="79"/>
      <c r="BG576" s="79"/>
      <c r="BH576" s="80" t="str">
        <f t="shared" si="368"/>
        <v>Distrital</v>
      </c>
      <c r="BI576" s="79" t="s">
        <v>172</v>
      </c>
      <c r="BJ576" s="79"/>
      <c r="BK576" s="79"/>
      <c r="BL576" s="79"/>
      <c r="BM576" s="79"/>
      <c r="BN576" s="79"/>
      <c r="BO576" s="79"/>
      <c r="BP576" s="79"/>
      <c r="BQ576" s="79"/>
      <c r="BR576" s="79"/>
      <c r="BS576" s="80" t="s">
        <v>288</v>
      </c>
      <c r="BT576" s="80" t="s">
        <v>174</v>
      </c>
      <c r="BU576" s="128" t="s">
        <v>3931</v>
      </c>
      <c r="BV576" s="71"/>
      <c r="BW576" s="79" t="s">
        <v>152</v>
      </c>
      <c r="BX576" s="79" t="s">
        <v>179</v>
      </c>
      <c r="BY576" s="71"/>
      <c r="BZ576" s="79">
        <v>4</v>
      </c>
      <c r="CA576" s="79">
        <v>5</v>
      </c>
      <c r="CB576" s="79">
        <f>BZ576+CA576</f>
        <v>9</v>
      </c>
      <c r="CC576" s="79" t="str">
        <f>_xlfn.TEXTJOIN(", ",TRUE,$CD576:$CF576)</f>
        <v>Ninguna</v>
      </c>
      <c r="CD576" s="79" t="s">
        <v>174</v>
      </c>
      <c r="CE576" s="79"/>
      <c r="CF576" s="79"/>
      <c r="CG576" s="83" t="s">
        <v>4017</v>
      </c>
      <c r="CH576" s="41"/>
      <c r="CI576" s="79" t="s">
        <v>153</v>
      </c>
      <c r="CJ576" s="71"/>
      <c r="CK576" s="79">
        <f>COUNTIF(CL576:CQ576,"*")</f>
        <v>0</v>
      </c>
      <c r="CL576" s="79"/>
      <c r="CM576" s="79"/>
      <c r="CN576" s="79"/>
      <c r="CO576" s="79"/>
      <c r="CP576" s="79"/>
      <c r="CQ576" s="79"/>
      <c r="CR576" s="83" t="s">
        <v>179</v>
      </c>
      <c r="CS576" s="83" t="s">
        <v>179</v>
      </c>
      <c r="CT576" s="83" t="s">
        <v>179</v>
      </c>
      <c r="CU576" s="83" t="s">
        <v>179</v>
      </c>
      <c r="CV576" s="83" t="s">
        <v>179</v>
      </c>
      <c r="CW576" s="83" t="s">
        <v>179</v>
      </c>
      <c r="CX576" s="79" t="s">
        <v>153</v>
      </c>
      <c r="CY576" s="79">
        <f>SUM(COUNTIF(CR576:CW576,"Realizado y Devuelto a la Ciudadanía"),COUNTIF(CR576:CW576,"Realizado y Trasladado por competencia"), COUNTIF(CR576:CW576,"Realizado y Gestionado"))</f>
        <v>0</v>
      </c>
      <c r="CZ576" s="79">
        <v>0</v>
      </c>
      <c r="DA576" s="79">
        <f>COUNTIF(CR576:CW576,"Realizado y Devuelto a la Ciudadanía")</f>
        <v>0</v>
      </c>
      <c r="DB576" s="84" t="str">
        <f>IFERROR(CY576/CK576,"")</f>
        <v/>
      </c>
      <c r="DC576" s="41"/>
      <c r="DD576" s="79" t="s">
        <v>153</v>
      </c>
      <c r="DE576" s="71"/>
      <c r="DF576" s="127" t="s">
        <v>4018</v>
      </c>
      <c r="DG576" s="79">
        <v>565</v>
      </c>
      <c r="DH576" s="86" t="str">
        <f t="shared" si="392"/>
        <v>Completo</v>
      </c>
      <c r="DI576" s="79" t="s">
        <v>181</v>
      </c>
      <c r="DJ576" s="79" t="s">
        <v>182</v>
      </c>
      <c r="DK576" s="79"/>
      <c r="DL576" s="79">
        <v>0</v>
      </c>
      <c r="DM576" s="79">
        <v>0</v>
      </c>
      <c r="DN576" s="79" t="s">
        <v>182</v>
      </c>
      <c r="DO576" s="79"/>
      <c r="DP576" s="79"/>
      <c r="DQ576" s="79"/>
      <c r="DR576" s="75" t="str">
        <f t="shared" si="411"/>
        <v>No aplica</v>
      </c>
      <c r="DS576" s="79"/>
      <c r="DT576" s="79"/>
      <c r="DU576" s="75" t="str">
        <f t="shared" si="412"/>
        <v>No aplica</v>
      </c>
      <c r="DV576" s="79" t="s">
        <v>182</v>
      </c>
      <c r="DW576" s="79"/>
      <c r="DX576" s="79"/>
      <c r="DY576" s="79"/>
      <c r="DZ576" s="79"/>
      <c r="EA576" s="79"/>
      <c r="EB576" s="79"/>
      <c r="EC576" s="79"/>
      <c r="ED576" s="79" t="s">
        <v>4019</v>
      </c>
      <c r="EE576" s="79" t="str">
        <f>IF(DI576="Subsanado","Completo","Por Completar")</f>
        <v>Completo</v>
      </c>
      <c r="EF576" s="41"/>
      <c r="EG576" s="79" t="s">
        <v>153</v>
      </c>
      <c r="EH576" s="71"/>
      <c r="EI576" s="80"/>
      <c r="EJ576" s="71"/>
      <c r="EK576" s="79"/>
      <c r="EL576" s="87" t="str">
        <f t="shared" si="370"/>
        <v>No requiere</v>
      </c>
      <c r="EM576" s="87" t="str">
        <f t="shared" si="371"/>
        <v>No requiere</v>
      </c>
      <c r="EN576" s="87" t="str">
        <f>IF(F576="NO","No requiere",IF(H576="No","No requiere",IF(CC576="","",IF(CD576&lt;&gt;"No aplica",IF(CD576&lt;&gt;"Ninguna",IF(COUNTIF(CD576:CF576,"*")&gt;=1,"Sí","No"),"No"),"No aplica"))))</f>
        <v>No requiere</v>
      </c>
      <c r="EO576" s="71"/>
      <c r="EP576" s="84" t="str">
        <f t="shared" si="372"/>
        <v>No requiere</v>
      </c>
      <c r="EQ576" s="88" t="str">
        <f t="shared" si="373"/>
        <v>No requiere</v>
      </c>
      <c r="ER576" s="71"/>
      <c r="ES576" s="79"/>
      <c r="ET576" s="84" t="str">
        <f t="shared" si="374"/>
        <v>No requiere</v>
      </c>
      <c r="EU576" s="84" t="str">
        <f>IF(F576="NO","No requiere",IF(H576="No","No requiere",IF(B576="","",IF(CX576="SÍ",IF(CK576&gt;=1,CY576/CK576,"Sin compromisos"),"Por verificar"))))</f>
        <v>No requiere</v>
      </c>
      <c r="EV576" s="84" t="str">
        <f t="shared" si="375"/>
        <v>No requiere</v>
      </c>
      <c r="EW576" s="84" t="str">
        <f t="shared" si="413"/>
        <v>No requiere</v>
      </c>
      <c r="EX576" s="78"/>
      <c r="EY576" s="78"/>
    </row>
    <row r="577" spans="1:155" ht="46.5" customHeight="1">
      <c r="A577" s="79">
        <v>573</v>
      </c>
      <c r="B577" s="80" t="s">
        <v>1231</v>
      </c>
      <c r="C577" s="81">
        <v>45461</v>
      </c>
      <c r="D577" s="82">
        <v>0.375</v>
      </c>
      <c r="E577" s="79" t="s">
        <v>200</v>
      </c>
      <c r="F577" s="79" t="s">
        <v>153</v>
      </c>
      <c r="G577" s="79" t="s">
        <v>152</v>
      </c>
      <c r="H577" s="79" t="s">
        <v>152</v>
      </c>
      <c r="I577" s="79" t="s">
        <v>152</v>
      </c>
      <c r="J577" s="79" t="s">
        <v>504</v>
      </c>
      <c r="K577" s="79" t="s">
        <v>155</v>
      </c>
      <c r="L577" s="80" t="s">
        <v>4020</v>
      </c>
      <c r="M577" s="80" t="s">
        <v>157</v>
      </c>
      <c r="N577" s="79" t="s">
        <v>749</v>
      </c>
      <c r="O577" s="80" t="str">
        <f t="shared" si="383"/>
        <v/>
      </c>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t="s">
        <v>169</v>
      </c>
      <c r="AP577" s="79" t="s">
        <v>2702</v>
      </c>
      <c r="AQ577" s="80" t="s">
        <v>1233</v>
      </c>
      <c r="AR577" s="83">
        <v>3156499699</v>
      </c>
      <c r="AS577" s="80" t="s">
        <v>3307</v>
      </c>
      <c r="AT577" s="80" t="str">
        <f t="shared" si="396"/>
        <v>Puente Aranda</v>
      </c>
      <c r="AU577" s="79" t="s">
        <v>1235</v>
      </c>
      <c r="AV577" s="79"/>
      <c r="AW577" s="79"/>
      <c r="AX577" s="79"/>
      <c r="AY577" s="79"/>
      <c r="AZ577" s="79"/>
      <c r="BA577" s="80" t="str">
        <f t="shared" si="367"/>
        <v>Centro Ampliado</v>
      </c>
      <c r="BB577" s="79" t="s">
        <v>636</v>
      </c>
      <c r="BC577" s="79"/>
      <c r="BD577" s="79"/>
      <c r="BE577" s="79"/>
      <c r="BF577" s="79"/>
      <c r="BG577" s="79"/>
      <c r="BH577" s="80" t="str">
        <f t="shared" si="368"/>
        <v>Puente Aranda</v>
      </c>
      <c r="BI577" s="79" t="s">
        <v>1235</v>
      </c>
      <c r="BJ577" s="79"/>
      <c r="BK577" s="79"/>
      <c r="BL577" s="79"/>
      <c r="BM577" s="79"/>
      <c r="BN577" s="79"/>
      <c r="BO577" s="79"/>
      <c r="BP577" s="79"/>
      <c r="BQ577" s="79"/>
      <c r="BR577" s="79"/>
      <c r="BS577" s="80" t="s">
        <v>288</v>
      </c>
      <c r="BT577" s="80" t="s">
        <v>174</v>
      </c>
      <c r="BU577" s="89" t="s">
        <v>3762</v>
      </c>
      <c r="BV577" s="71"/>
      <c r="BW577" s="79" t="s">
        <v>152</v>
      </c>
      <c r="BX577" s="79" t="s">
        <v>179</v>
      </c>
      <c r="BY577" s="71"/>
      <c r="BZ577" s="79">
        <v>24</v>
      </c>
      <c r="CA577" s="79">
        <v>1</v>
      </c>
      <c r="CB577" s="79">
        <f t="shared" si="281"/>
        <v>25</v>
      </c>
      <c r="CC577" s="79" t="str">
        <f t="shared" si="382"/>
        <v>Ninguna</v>
      </c>
      <c r="CD577" s="79" t="s">
        <v>174</v>
      </c>
      <c r="CE577" s="79"/>
      <c r="CF577" s="79"/>
      <c r="CG577" s="83" t="s">
        <v>4021</v>
      </c>
      <c r="CH577" s="41"/>
      <c r="CI577" s="79" t="s">
        <v>153</v>
      </c>
      <c r="CJ577" s="71"/>
      <c r="CK577" s="79">
        <f t="shared" si="377"/>
        <v>0</v>
      </c>
      <c r="CL577" s="79"/>
      <c r="CM577" s="79"/>
      <c r="CN577" s="79"/>
      <c r="CO577" s="79"/>
      <c r="CP577" s="79"/>
      <c r="CQ577" s="79"/>
      <c r="CR577" s="83" t="s">
        <v>179</v>
      </c>
      <c r="CS577" s="83" t="s">
        <v>179</v>
      </c>
      <c r="CT577" s="83" t="s">
        <v>179</v>
      </c>
      <c r="CU577" s="83" t="s">
        <v>179</v>
      </c>
      <c r="CV577" s="83" t="s">
        <v>179</v>
      </c>
      <c r="CW577" s="83" t="s">
        <v>179</v>
      </c>
      <c r="CX577" s="79" t="s">
        <v>153</v>
      </c>
      <c r="CY577" s="79">
        <f t="shared" si="358"/>
        <v>0</v>
      </c>
      <c r="CZ577" s="79">
        <v>0</v>
      </c>
      <c r="DA577" s="79">
        <f t="shared" si="359"/>
        <v>0</v>
      </c>
      <c r="DB577" s="84" t="str">
        <f t="shared" si="364"/>
        <v/>
      </c>
      <c r="DC577" s="41"/>
      <c r="DD577" s="79" t="s">
        <v>153</v>
      </c>
      <c r="DE577" s="71"/>
      <c r="DF577" s="85" t="s">
        <v>4022</v>
      </c>
      <c r="DG577" s="79">
        <v>566</v>
      </c>
      <c r="DH577" s="86" t="str">
        <f t="shared" ref="DH577:DH607" si="446">IF(EE577="Por completar",C577+3,"Completo")</f>
        <v>Completo</v>
      </c>
      <c r="DI577" s="79" t="s">
        <v>181</v>
      </c>
      <c r="DJ577" s="79" t="s">
        <v>182</v>
      </c>
      <c r="DK577" s="79"/>
      <c r="DL577" s="79">
        <v>0</v>
      </c>
      <c r="DM577" s="79">
        <v>0</v>
      </c>
      <c r="DN577" s="79" t="s">
        <v>182</v>
      </c>
      <c r="DO577" s="79"/>
      <c r="DP577" s="79"/>
      <c r="DQ577" s="79"/>
      <c r="DR577" s="75" t="str">
        <f t="shared" si="411"/>
        <v>No aplica</v>
      </c>
      <c r="DS577" s="79"/>
      <c r="DT577" s="79"/>
      <c r="DU577" s="75" t="str">
        <f t="shared" si="412"/>
        <v>No aplica</v>
      </c>
      <c r="DV577" s="79" t="s">
        <v>182</v>
      </c>
      <c r="DW577" s="79" t="s">
        <v>182</v>
      </c>
      <c r="DX577" s="79"/>
      <c r="DY577" s="79"/>
      <c r="DZ577" s="79"/>
      <c r="EA577" s="79"/>
      <c r="EB577" s="79"/>
      <c r="EC577" s="79"/>
      <c r="ED577" s="79" t="s">
        <v>4023</v>
      </c>
      <c r="EE577" s="79" t="str">
        <f t="shared" si="384"/>
        <v>Completo</v>
      </c>
      <c r="EF577" s="41"/>
      <c r="EG577" s="79" t="s">
        <v>153</v>
      </c>
      <c r="EH577" s="71"/>
      <c r="EI577" s="80"/>
      <c r="EJ577" s="71"/>
      <c r="EK577" s="79"/>
      <c r="EL577" s="76" t="str">
        <f t="shared" si="370"/>
        <v>No requiere</v>
      </c>
      <c r="EM577" s="76" t="str">
        <f t="shared" si="371"/>
        <v>No requiere</v>
      </c>
      <c r="EN577" s="76" t="str">
        <f>IF(F577="NO","No requiere",IF(H577="No","No requiere",IF(CC577="","",IF(CD577&lt;&gt;"No aplica",IF(CD577&lt;&gt;"Ninguna",IF(COUNTIF(CD577:CF577,"*")&gt;=1,"Sí","No"),"No"),"No aplica"))))</f>
        <v>No requiere</v>
      </c>
      <c r="EO577" s="71"/>
      <c r="EP577" s="73" t="str">
        <f t="shared" si="372"/>
        <v>No requiere</v>
      </c>
      <c r="EQ577" s="77" t="str">
        <f t="shared" si="373"/>
        <v>No requiere</v>
      </c>
      <c r="ER577" s="71"/>
      <c r="ES577" s="79"/>
      <c r="ET577" s="73" t="str">
        <f t="shared" si="374"/>
        <v>No requiere</v>
      </c>
      <c r="EU577" s="73" t="str">
        <f>IF(F577="NO","No requiere",IF(H577="No","No requiere",IF(B577="","",IF(CX577="SÍ",IF(CK577&gt;=1,CY577/CK577,"Sin compromisos"),"Por verificar"))))</f>
        <v>No requiere</v>
      </c>
      <c r="EV577" s="73" t="str">
        <f t="shared" si="375"/>
        <v>No requiere</v>
      </c>
      <c r="EW577" s="73" t="str">
        <f t="shared" si="413"/>
        <v>No requiere</v>
      </c>
      <c r="EX577" s="78"/>
      <c r="EY577" s="78"/>
    </row>
    <row r="578" spans="1:155" ht="46.5" customHeight="1">
      <c r="A578" s="79" t="str">
        <v/>
      </c>
      <c r="B578" s="80" t="s">
        <v>4024</v>
      </c>
      <c r="C578" s="81">
        <v>45461</v>
      </c>
      <c r="D578" s="82">
        <v>0.41666666666666669</v>
      </c>
      <c r="E578" s="79" t="s">
        <v>151</v>
      </c>
      <c r="F578" s="79" t="s">
        <v>152</v>
      </c>
      <c r="G578" s="79" t="s">
        <v>153</v>
      </c>
      <c r="H578" s="79" t="s">
        <v>152</v>
      </c>
      <c r="I578" s="79" t="s">
        <v>152</v>
      </c>
      <c r="J578" s="79" t="s">
        <v>1768</v>
      </c>
      <c r="K578" s="79" t="s">
        <v>155</v>
      </c>
      <c r="L578" s="80" t="s">
        <v>4025</v>
      </c>
      <c r="M578" s="80" t="s">
        <v>157</v>
      </c>
      <c r="N578" s="79" t="s">
        <v>644</v>
      </c>
      <c r="O578" s="80" t="str">
        <f t="shared" si="383"/>
        <v/>
      </c>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t="s">
        <v>169</v>
      </c>
      <c r="AP578" s="79" t="s">
        <v>170</v>
      </c>
      <c r="AQ578" s="80" t="s">
        <v>2083</v>
      </c>
      <c r="AR578" s="83" t="s">
        <v>4026</v>
      </c>
      <c r="AS578" s="80" t="s">
        <v>2084</v>
      </c>
      <c r="AT578" s="80" t="str">
        <f t="shared" si="396"/>
        <v>Distrital</v>
      </c>
      <c r="AU578" s="79" t="s">
        <v>172</v>
      </c>
      <c r="AV578" s="79"/>
      <c r="AW578" s="79"/>
      <c r="AX578" s="79"/>
      <c r="AY578" s="79"/>
      <c r="AZ578" s="79"/>
      <c r="BA578" s="80" t="str">
        <f t="shared" si="367"/>
        <v>Distrital</v>
      </c>
      <c r="BB578" s="79" t="s">
        <v>172</v>
      </c>
      <c r="BC578" s="79"/>
      <c r="BD578" s="79"/>
      <c r="BE578" s="79"/>
      <c r="BF578" s="79"/>
      <c r="BG578" s="79"/>
      <c r="BH578" s="80" t="str">
        <f t="shared" si="368"/>
        <v>Distrital</v>
      </c>
      <c r="BI578" s="79" t="s">
        <v>172</v>
      </c>
      <c r="BJ578" s="79"/>
      <c r="BK578" s="79"/>
      <c r="BL578" s="79"/>
      <c r="BM578" s="79"/>
      <c r="BN578" s="79"/>
      <c r="BO578" s="79"/>
      <c r="BP578" s="79"/>
      <c r="BQ578" s="79"/>
      <c r="BR578" s="79"/>
      <c r="BS578" s="80" t="s">
        <v>288</v>
      </c>
      <c r="BT578" s="80" t="s">
        <v>174</v>
      </c>
      <c r="BU578" s="80" t="s">
        <v>4027</v>
      </c>
      <c r="BV578" s="71"/>
      <c r="BW578" s="79" t="s">
        <v>152</v>
      </c>
      <c r="BX578" s="79" t="s">
        <v>179</v>
      </c>
      <c r="BY578" s="71"/>
      <c r="BZ578" s="79">
        <v>0</v>
      </c>
      <c r="CA578" s="79">
        <v>6</v>
      </c>
      <c r="CB578" s="79">
        <f t="shared" ref="CB578" si="447">BZ578+CA578</f>
        <v>6</v>
      </c>
      <c r="CC578" s="79" t="str">
        <f t="shared" si="382"/>
        <v>Ninguna</v>
      </c>
      <c r="CD578" s="79" t="s">
        <v>174</v>
      </c>
      <c r="CE578" s="79"/>
      <c r="CF578" s="79"/>
      <c r="CG578" s="83" t="s">
        <v>4028</v>
      </c>
      <c r="CH578" s="41"/>
      <c r="CI578" s="79" t="s">
        <v>153</v>
      </c>
      <c r="CJ578" s="71"/>
      <c r="CK578" s="79">
        <f t="shared" ref="CK578" si="448">COUNTIF(CL578:CQ578,"*")</f>
        <v>0</v>
      </c>
      <c r="CL578" s="79"/>
      <c r="CM578" s="79"/>
      <c r="CN578" s="79"/>
      <c r="CO578" s="79"/>
      <c r="CP578" s="79"/>
      <c r="CQ578" s="79"/>
      <c r="CR578" s="83" t="s">
        <v>179</v>
      </c>
      <c r="CS578" s="83" t="s">
        <v>179</v>
      </c>
      <c r="CT578" s="83" t="s">
        <v>179</v>
      </c>
      <c r="CU578" s="83" t="s">
        <v>179</v>
      </c>
      <c r="CV578" s="83" t="s">
        <v>179</v>
      </c>
      <c r="CW578" s="83" t="s">
        <v>179</v>
      </c>
      <c r="CX578" s="79" t="s">
        <v>153</v>
      </c>
      <c r="CY578" s="79">
        <f t="shared" ref="CY578" si="449">SUM(COUNTIF(CR578:CW578,"Realizado y Devuelto a la Ciudadanía"),COUNTIF(CR578:CW578,"Realizado y Trasladado por competencia"), COUNTIF(CR578:CW578,"Realizado y Gestionado"))</f>
        <v>0</v>
      </c>
      <c r="CZ578" s="79">
        <v>0</v>
      </c>
      <c r="DA578" s="79">
        <f t="shared" ref="DA578" si="450">COUNTIF(CR578:CW578,"Realizado y Devuelto a la Ciudadanía")</f>
        <v>0</v>
      </c>
      <c r="DB578" s="84" t="str">
        <f t="shared" ref="DB578" si="451">IFERROR(CY578/CK578,"")</f>
        <v/>
      </c>
      <c r="DC578" s="41"/>
      <c r="DD578" s="79" t="s">
        <v>153</v>
      </c>
      <c r="DE578" s="71"/>
      <c r="DF578" s="127" t="s">
        <v>4029</v>
      </c>
      <c r="DG578" s="79">
        <v>567</v>
      </c>
      <c r="DH578" s="86" t="str">
        <f t="shared" si="446"/>
        <v>Completo</v>
      </c>
      <c r="DI578" s="79" t="s">
        <v>181</v>
      </c>
      <c r="DJ578" s="79" t="s">
        <v>182</v>
      </c>
      <c r="DK578" s="79"/>
      <c r="DL578" s="79">
        <v>0</v>
      </c>
      <c r="DM578" s="79">
        <v>0</v>
      </c>
      <c r="DN578" s="79" t="s">
        <v>182</v>
      </c>
      <c r="DO578" s="79"/>
      <c r="DP578" s="79"/>
      <c r="DQ578" s="79"/>
      <c r="DR578" s="75" t="str">
        <f t="shared" si="411"/>
        <v>No aplica</v>
      </c>
      <c r="DS578" s="79"/>
      <c r="DT578" s="79"/>
      <c r="DU578" s="75" t="str">
        <f t="shared" si="412"/>
        <v>No aplica</v>
      </c>
      <c r="DV578" s="79" t="s">
        <v>182</v>
      </c>
      <c r="DW578" s="79"/>
      <c r="DX578" s="79"/>
      <c r="DY578" s="79"/>
      <c r="DZ578" s="79"/>
      <c r="EA578" s="79"/>
      <c r="EB578" s="79"/>
      <c r="EC578" s="79"/>
      <c r="ED578" s="79" t="s">
        <v>4030</v>
      </c>
      <c r="EE578" s="79" t="str">
        <f t="shared" ref="EE578" si="452">IF(DI578="Subsanado","Completo","Por Completar")</f>
        <v>Completo</v>
      </c>
      <c r="EF578" s="41"/>
      <c r="EG578" s="79" t="s">
        <v>153</v>
      </c>
      <c r="EH578" s="71"/>
      <c r="EI578" s="80"/>
      <c r="EJ578" s="71"/>
      <c r="EK578" s="79"/>
      <c r="EL578" s="87" t="str">
        <f t="shared" si="370"/>
        <v>No requiere</v>
      </c>
      <c r="EM578" s="87" t="str">
        <f t="shared" si="371"/>
        <v>No requiere</v>
      </c>
      <c r="EN578" s="87" t="str">
        <f t="shared" ref="EN578" si="453">IF(F578="NO","No requiere",IF(H578="No","No requiere",IF(CC578="","",IF(CD578&lt;&gt;"No aplica",IF(CD578&lt;&gt;"Ninguna",IF(COUNTIF(CD578:CF578,"*")&gt;=1,"Sí","No"),"No"),"No aplica"))))</f>
        <v>No requiere</v>
      </c>
      <c r="EO578" s="71"/>
      <c r="EP578" s="84" t="str">
        <f t="shared" si="372"/>
        <v>No requiere</v>
      </c>
      <c r="EQ578" s="88" t="str">
        <f t="shared" si="373"/>
        <v>No requiere</v>
      </c>
      <c r="ER578" s="71"/>
      <c r="ES578" s="79"/>
      <c r="ET578" s="84" t="str">
        <f t="shared" si="374"/>
        <v>No requiere</v>
      </c>
      <c r="EU578" s="84" t="str">
        <f t="shared" ref="EU578" si="454">IF(F578="NO","No requiere",IF(H578="No","No requiere",IF(B578="","",IF(CX578="SÍ",IF(CK578&gt;=1,CY578/CK578,"Sin compromisos"),"Por verificar"))))</f>
        <v>No requiere</v>
      </c>
      <c r="EV578" s="84" t="str">
        <f t="shared" si="375"/>
        <v>No requiere</v>
      </c>
      <c r="EW578" s="84" t="str">
        <f t="shared" si="413"/>
        <v>No requiere</v>
      </c>
      <c r="EX578" s="78"/>
      <c r="EY578" s="78"/>
    </row>
    <row r="579" spans="1:155" ht="46.5" customHeight="1">
      <c r="A579" s="79" t="str">
        <v/>
      </c>
      <c r="B579" s="80" t="s">
        <v>4031</v>
      </c>
      <c r="C579" s="81">
        <v>45461</v>
      </c>
      <c r="D579" s="82">
        <v>0.45833333333333331</v>
      </c>
      <c r="E579" s="79" t="s">
        <v>151</v>
      </c>
      <c r="F579" s="79" t="s">
        <v>152</v>
      </c>
      <c r="G579" s="79" t="s">
        <v>152</v>
      </c>
      <c r="H579" s="79" t="s">
        <v>152</v>
      </c>
      <c r="I579" s="79" t="s">
        <v>152</v>
      </c>
      <c r="J579" s="79" t="s">
        <v>2615</v>
      </c>
      <c r="K579" s="79" t="s">
        <v>202</v>
      </c>
      <c r="L579" s="80" t="s">
        <v>4032</v>
      </c>
      <c r="M579" s="80" t="s">
        <v>624</v>
      </c>
      <c r="N579" s="79" t="s">
        <v>632</v>
      </c>
      <c r="O579" s="80" t="str">
        <f t="shared" si="383"/>
        <v>Freddy Martínez</v>
      </c>
      <c r="P579" s="79" t="s">
        <v>3049</v>
      </c>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t="s">
        <v>169</v>
      </c>
      <c r="AP579" s="79" t="s">
        <v>170</v>
      </c>
      <c r="AQ579" s="80" t="s">
        <v>171</v>
      </c>
      <c r="AR579" s="83" t="s">
        <v>171</v>
      </c>
      <c r="AS579" s="80" t="s">
        <v>171</v>
      </c>
      <c r="AT579" s="80" t="str">
        <f t="shared" si="396"/>
        <v>Distrital</v>
      </c>
      <c r="AU579" s="79" t="s">
        <v>172</v>
      </c>
      <c r="AV579" s="79"/>
      <c r="AW579" s="79"/>
      <c r="AX579" s="79"/>
      <c r="AY579" s="79"/>
      <c r="AZ579" s="79"/>
      <c r="BA579" s="80" t="str">
        <f t="shared" ref="BA579:BA584" si="455">_xlfn.TEXTJOIN(", ",TRUE,$BB579:$BG579)</f>
        <v>Distrital</v>
      </c>
      <c r="BB579" s="79" t="s">
        <v>172</v>
      </c>
      <c r="BC579" s="79"/>
      <c r="BD579" s="79"/>
      <c r="BE579" s="79"/>
      <c r="BF579" s="79"/>
      <c r="BG579" s="79"/>
      <c r="BH579" s="80" t="str">
        <f t="shared" ref="BH579:BH584" si="456">_xlfn.TEXTJOIN(", ",TRUE,$BI579:$BR579)</f>
        <v>Distrital</v>
      </c>
      <c r="BI579" s="79" t="s">
        <v>172</v>
      </c>
      <c r="BJ579" s="79"/>
      <c r="BK579" s="79"/>
      <c r="BL579" s="79"/>
      <c r="BM579" s="79"/>
      <c r="BN579" s="79"/>
      <c r="BO579" s="79"/>
      <c r="BP579" s="79"/>
      <c r="BQ579" s="79"/>
      <c r="BR579" s="79"/>
      <c r="BS579" s="80" t="s">
        <v>288</v>
      </c>
      <c r="BT579" s="80" t="s">
        <v>174</v>
      </c>
      <c r="BU579" s="128" t="s">
        <v>3931</v>
      </c>
      <c r="BV579" s="71"/>
      <c r="BW579" s="79" t="s">
        <v>152</v>
      </c>
      <c r="BX579" s="79" t="s">
        <v>179</v>
      </c>
      <c r="BY579" s="71"/>
      <c r="BZ579" s="79">
        <v>0</v>
      </c>
      <c r="CA579" s="79">
        <v>10</v>
      </c>
      <c r="CB579" s="79">
        <f t="shared" ref="CB579:CB583" si="457">BZ579+CA579</f>
        <v>10</v>
      </c>
      <c r="CC579" s="79" t="str">
        <f t="shared" si="382"/>
        <v>Ninguna</v>
      </c>
      <c r="CD579" s="79" t="s">
        <v>174</v>
      </c>
      <c r="CE579" s="79"/>
      <c r="CF579" s="79"/>
      <c r="CG579" s="83" t="s">
        <v>4033</v>
      </c>
      <c r="CH579" s="41"/>
      <c r="CI579" s="79" t="s">
        <v>153</v>
      </c>
      <c r="CJ579" s="71"/>
      <c r="CK579" s="79">
        <f t="shared" ref="CK579:CK583" si="458">COUNTIF(CL579:CQ579,"*")</f>
        <v>0</v>
      </c>
      <c r="CL579" s="79"/>
      <c r="CM579" s="79"/>
      <c r="CN579" s="79"/>
      <c r="CO579" s="79"/>
      <c r="CP579" s="79"/>
      <c r="CQ579" s="79"/>
      <c r="CR579" s="83" t="s">
        <v>179</v>
      </c>
      <c r="CS579" s="83" t="s">
        <v>179</v>
      </c>
      <c r="CT579" s="83" t="s">
        <v>179</v>
      </c>
      <c r="CU579" s="83" t="s">
        <v>179</v>
      </c>
      <c r="CV579" s="83" t="s">
        <v>179</v>
      </c>
      <c r="CW579" s="83" t="s">
        <v>179</v>
      </c>
      <c r="CX579" s="79" t="s">
        <v>153</v>
      </c>
      <c r="CY579" s="79">
        <f t="shared" ref="CY579:CY583" si="459">SUM(COUNTIF(CR579:CW579,"Realizado y Devuelto a la Ciudadanía"),COUNTIF(CR579:CW579,"Realizado y Trasladado por competencia"), COUNTIF(CR579:CW579,"Realizado y Gestionado"))</f>
        <v>0</v>
      </c>
      <c r="CZ579" s="79">
        <v>0</v>
      </c>
      <c r="DA579" s="79">
        <f t="shared" ref="DA579:DA583" si="460">COUNTIF(CR579:CW579,"Realizado y Devuelto a la Ciudadanía")</f>
        <v>0</v>
      </c>
      <c r="DB579" s="84" t="str">
        <f t="shared" ref="DB579:DB583" si="461">IFERROR(CY579/CK579,"")</f>
        <v/>
      </c>
      <c r="DC579" s="41"/>
      <c r="DD579" s="79" t="s">
        <v>153</v>
      </c>
      <c r="DE579" s="71"/>
      <c r="DF579" s="127" t="s">
        <v>4034</v>
      </c>
      <c r="DG579" s="79">
        <v>568</v>
      </c>
      <c r="DH579" s="86" t="str">
        <f t="shared" si="446"/>
        <v>Completo</v>
      </c>
      <c r="DI579" s="79" t="s">
        <v>181</v>
      </c>
      <c r="DJ579" s="79" t="s">
        <v>182</v>
      </c>
      <c r="DK579" s="79"/>
      <c r="DL579" s="79">
        <v>0</v>
      </c>
      <c r="DM579" s="79">
        <v>0</v>
      </c>
      <c r="DN579" s="79" t="s">
        <v>182</v>
      </c>
      <c r="DO579" s="79"/>
      <c r="DP579" s="79"/>
      <c r="DQ579" s="79"/>
      <c r="DR579" s="75" t="str">
        <f t="shared" si="411"/>
        <v>No aplica</v>
      </c>
      <c r="DS579" s="79"/>
      <c r="DT579" s="79"/>
      <c r="DU579" s="75" t="str">
        <f t="shared" si="412"/>
        <v>No aplica</v>
      </c>
      <c r="DV579" s="79" t="s">
        <v>182</v>
      </c>
      <c r="DW579" s="79"/>
      <c r="DX579" s="79"/>
      <c r="DY579" s="79"/>
      <c r="DZ579" s="79"/>
      <c r="EA579" s="79"/>
      <c r="EB579" s="79"/>
      <c r="EC579" s="79"/>
      <c r="ED579" s="79" t="s">
        <v>4035</v>
      </c>
      <c r="EE579" s="79" t="str">
        <f t="shared" ref="EE579:EE583" si="462">IF(DI579="Subsanado","Completo","Por Completar")</f>
        <v>Completo</v>
      </c>
      <c r="EF579" s="41"/>
      <c r="EG579" s="79" t="s">
        <v>153</v>
      </c>
      <c r="EH579" s="71"/>
      <c r="EI579" s="80"/>
      <c r="EJ579" s="71"/>
      <c r="EK579" s="79"/>
      <c r="EL579" s="87" t="str">
        <f t="shared" si="370"/>
        <v>No requiere</v>
      </c>
      <c r="EM579" s="87" t="str">
        <f t="shared" si="371"/>
        <v>No requiere</v>
      </c>
      <c r="EN579" s="87" t="str">
        <f t="shared" ref="EN579:EN583" si="463">IF(F579="NO","No requiere",IF(H579="No","No requiere",IF(CC579="","",IF(CD579&lt;&gt;"No aplica",IF(CD579&lt;&gt;"Ninguna",IF(COUNTIF(CD579:CF579,"*")&gt;=1,"Sí","No"),"No"),"No aplica"))))</f>
        <v>No requiere</v>
      </c>
      <c r="EO579" s="71"/>
      <c r="EP579" s="84" t="str">
        <f t="shared" si="372"/>
        <v>No requiere</v>
      </c>
      <c r="EQ579" s="88" t="str">
        <f t="shared" si="373"/>
        <v>No requiere</v>
      </c>
      <c r="ER579" s="71"/>
      <c r="ES579" s="79"/>
      <c r="ET579" s="84" t="str">
        <f t="shared" si="374"/>
        <v>No requiere</v>
      </c>
      <c r="EU579" s="84" t="str">
        <f t="shared" ref="EU579:EU583" si="464">IF(F579="NO","No requiere",IF(H579="No","No requiere",IF(B579="","",IF(CX579="SÍ",IF(CK579&gt;=1,CY579/CK579,"Sin compromisos"),"Por verificar"))))</f>
        <v>No requiere</v>
      </c>
      <c r="EV579" s="84" t="str">
        <f t="shared" si="375"/>
        <v>No requiere</v>
      </c>
      <c r="EW579" s="84" t="str">
        <f t="shared" si="413"/>
        <v>No requiere</v>
      </c>
      <c r="EX579" s="78"/>
      <c r="EY579" s="78"/>
    </row>
    <row r="580" spans="1:155" ht="46.5" customHeight="1">
      <c r="A580" s="79">
        <v>576</v>
      </c>
      <c r="B580" s="80" t="s">
        <v>4036</v>
      </c>
      <c r="C580" s="81">
        <v>45461</v>
      </c>
      <c r="D580" s="82">
        <v>0.5</v>
      </c>
      <c r="E580" s="79" t="s">
        <v>151</v>
      </c>
      <c r="F580" s="79" t="s">
        <v>153</v>
      </c>
      <c r="G580" s="79" t="s">
        <v>153</v>
      </c>
      <c r="H580" s="79" t="s">
        <v>152</v>
      </c>
      <c r="I580" s="79" t="s">
        <v>152</v>
      </c>
      <c r="J580" s="79" t="s">
        <v>3999</v>
      </c>
      <c r="K580" s="79" t="s">
        <v>155</v>
      </c>
      <c r="L580" s="80" t="s">
        <v>4037</v>
      </c>
      <c r="M580" s="80" t="s">
        <v>241</v>
      </c>
      <c r="N580" s="79" t="s">
        <v>749</v>
      </c>
      <c r="O580" s="80" t="str">
        <f t="shared" si="383"/>
        <v/>
      </c>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t="s">
        <v>169</v>
      </c>
      <c r="AP580" s="79" t="s">
        <v>214</v>
      </c>
      <c r="AQ580" s="80" t="s">
        <v>171</v>
      </c>
      <c r="AR580" s="83" t="s">
        <v>171</v>
      </c>
      <c r="AS580" s="80" t="s">
        <v>171</v>
      </c>
      <c r="AT580" s="80" t="str">
        <f t="shared" si="396"/>
        <v>Puente Aranda</v>
      </c>
      <c r="AU580" s="79" t="s">
        <v>1235</v>
      </c>
      <c r="AV580" s="79"/>
      <c r="AW580" s="79"/>
      <c r="AX580" s="79"/>
      <c r="AY580" s="79"/>
      <c r="AZ580" s="79"/>
      <c r="BA580" s="80" t="str">
        <f>_xlfn.TEXTJOIN(", ",TRUE,$BB580:$BG580)</f>
        <v>Centro Ampliado</v>
      </c>
      <c r="BB580" s="79" t="s">
        <v>636</v>
      </c>
      <c r="BC580" s="79"/>
      <c r="BD580" s="79"/>
      <c r="BE580" s="79"/>
      <c r="BF580" s="79"/>
      <c r="BG580" s="79"/>
      <c r="BH580" s="80" t="str">
        <f>_xlfn.TEXTJOIN(", ",TRUE,$BI580:$BR580)</f>
        <v>Puente Aranda</v>
      </c>
      <c r="BI580" s="79" t="s">
        <v>1235</v>
      </c>
      <c r="BJ580" s="79"/>
      <c r="BK580" s="79"/>
      <c r="BL580" s="79"/>
      <c r="BM580" s="79"/>
      <c r="BN580" s="79"/>
      <c r="BO580" s="79"/>
      <c r="BP580" s="79"/>
      <c r="BQ580" s="79"/>
      <c r="BR580" s="79"/>
      <c r="BS580" s="80" t="s">
        <v>288</v>
      </c>
      <c r="BT580" s="80" t="s">
        <v>174</v>
      </c>
      <c r="BU580" s="80" t="s">
        <v>4038</v>
      </c>
      <c r="BV580" s="71"/>
      <c r="BW580" s="79" t="s">
        <v>152</v>
      </c>
      <c r="BX580" s="79" t="s">
        <v>179</v>
      </c>
      <c r="BY580" s="71"/>
      <c r="BZ580" s="79">
        <v>1</v>
      </c>
      <c r="CA580" s="79">
        <v>1</v>
      </c>
      <c r="CB580" s="79">
        <f t="shared" si="457"/>
        <v>2</v>
      </c>
      <c r="CC580" s="79" t="str">
        <f t="shared" si="382"/>
        <v>Ninguna</v>
      </c>
      <c r="CD580" s="79" t="s">
        <v>174</v>
      </c>
      <c r="CE580" s="79"/>
      <c r="CF580" s="79"/>
      <c r="CG580" s="204" t="s">
        <v>4039</v>
      </c>
      <c r="CH580" s="41"/>
      <c r="CI580" s="79" t="s">
        <v>152</v>
      </c>
      <c r="CJ580" s="71"/>
      <c r="CK580" s="79">
        <f t="shared" si="458"/>
        <v>0</v>
      </c>
      <c r="CL580" s="79"/>
      <c r="CM580" s="79"/>
      <c r="CN580" s="79"/>
      <c r="CO580" s="79"/>
      <c r="CP580" s="79"/>
      <c r="CQ580" s="79"/>
      <c r="CR580" s="83" t="s">
        <v>179</v>
      </c>
      <c r="CS580" s="83" t="s">
        <v>179</v>
      </c>
      <c r="CT580" s="83" t="s">
        <v>179</v>
      </c>
      <c r="CU580" s="83" t="s">
        <v>179</v>
      </c>
      <c r="CV580" s="83" t="s">
        <v>179</v>
      </c>
      <c r="CW580" s="83" t="s">
        <v>179</v>
      </c>
      <c r="CX580" s="79" t="s">
        <v>153</v>
      </c>
      <c r="CY580" s="79">
        <f t="shared" si="459"/>
        <v>0</v>
      </c>
      <c r="CZ580" s="79">
        <v>0</v>
      </c>
      <c r="DA580" s="79">
        <f t="shared" si="460"/>
        <v>0</v>
      </c>
      <c r="DB580" s="84" t="str">
        <f t="shared" si="461"/>
        <v/>
      </c>
      <c r="DC580" s="41"/>
      <c r="DD580" s="79" t="s">
        <v>153</v>
      </c>
      <c r="DE580" s="71"/>
      <c r="DF580" s="127" t="s">
        <v>4040</v>
      </c>
      <c r="DG580" s="79">
        <v>569</v>
      </c>
      <c r="DH580" s="86" t="str">
        <f t="shared" si="446"/>
        <v>Completo</v>
      </c>
      <c r="DI580" s="79" t="s">
        <v>181</v>
      </c>
      <c r="DJ580" s="79" t="s">
        <v>182</v>
      </c>
      <c r="DK580" s="79"/>
      <c r="DL580" s="79">
        <v>0</v>
      </c>
      <c r="DM580" s="79">
        <v>0</v>
      </c>
      <c r="DN580" s="79" t="s">
        <v>182</v>
      </c>
      <c r="DO580" s="79"/>
      <c r="DP580" s="79"/>
      <c r="DQ580" s="79"/>
      <c r="DR580" s="75" t="str">
        <f t="shared" si="411"/>
        <v>No aplica</v>
      </c>
      <c r="DS580" s="79"/>
      <c r="DT580" s="79"/>
      <c r="DU580" s="75" t="str">
        <f t="shared" si="412"/>
        <v>No aplica</v>
      </c>
      <c r="DV580" s="79" t="s">
        <v>182</v>
      </c>
      <c r="DW580" s="79"/>
      <c r="DX580" s="79"/>
      <c r="DY580" s="79"/>
      <c r="DZ580" s="79"/>
      <c r="EA580" s="79"/>
      <c r="EB580" s="79" t="s">
        <v>182</v>
      </c>
      <c r="EC580" s="79" t="s">
        <v>4041</v>
      </c>
      <c r="ED580" s="79" t="s">
        <v>1743</v>
      </c>
      <c r="EE580" s="79" t="str">
        <f t="shared" si="462"/>
        <v>Completo</v>
      </c>
      <c r="EF580" s="41"/>
      <c r="EG580" s="79" t="s">
        <v>153</v>
      </c>
      <c r="EH580" s="71"/>
      <c r="EI580" s="80"/>
      <c r="EJ580" s="71"/>
      <c r="EK580" s="79"/>
      <c r="EL580" s="87" t="str">
        <f t="shared" ref="EL580:EL688" si="465">IF(F580="NO","No requiere",IF(H580="No","No requiere",IF(DW580="","",IF(DW580&lt;&gt;"No aplica",IF(DX580&lt;&gt;"No aplica",IF(DX580&gt;=2,"Sí","No"),"No aplica"),"No aplica"))))</f>
        <v>No requiere</v>
      </c>
      <c r="EM580" s="87" t="str">
        <f t="shared" ref="EM580:EM688" si="466">IF(F580="NO","No requiere",IF(H580="No","No requiere",IF(DW580="","",IF(DW580&lt;&gt;"No aplica",IF(DY580&lt;&gt;"No aplica",IF(DY580&gt;=1,"Sí","No"),"No aplica"),"No aplica"))))</f>
        <v>No requiere</v>
      </c>
      <c r="EN580" s="87" t="str">
        <f t="shared" si="463"/>
        <v>No requiere</v>
      </c>
      <c r="EO580" s="71"/>
      <c r="EP580" s="84" t="str">
        <f t="shared" ref="EP580:EP688" si="467">IF(F580="NO","No requiere",IF(H580="No","No requiere",IF(DL580="","",IF(DL580&gt;=1,DM580/DL580,"No aplica"))))</f>
        <v>No requiere</v>
      </c>
      <c r="EQ580" s="88" t="str">
        <f t="shared" ref="EQ580:EQ688" si="468">IFERROR(IF(F580="NO","No requiere",IF(H580="No","No requiere",DU580)),"")</f>
        <v>No requiere</v>
      </c>
      <c r="ER580" s="71"/>
      <c r="ES580" s="79"/>
      <c r="ET580" s="84" t="str">
        <f t="shared" ref="ET580:ET688" si="469">IF(F580="NO","No requiere",IF(H580="No","No requiere",IFERROR(COUNTIF(DJ580:DW580,"Completo")/SUM(COUNTIF(DJ580:DW580,"Completo"),COUNTIF(DJ580:DW580,"Incompleto"),COUNTIF(DJ580:DW580,"No subido"),COUNTIF(DJ580:DW580,"No existente"),COUNTIF(DJ580:DW580,"Pendiente")),"")))</f>
        <v>No requiere</v>
      </c>
      <c r="EU580" s="84" t="str">
        <f t="shared" si="464"/>
        <v>No requiere</v>
      </c>
      <c r="EV580" s="84" t="str">
        <f t="shared" ref="EV580:EV688" si="470">IF(EU580="Por verificar","Por verificar",IF(F580="NO","No requiere",IF(H580="No","No requiere",IFERROR(IF(EU580="","",IF(CK580&gt;=1,DA580/CZ580,"No aplica")),"No aplica"))))</f>
        <v>No requiere</v>
      </c>
      <c r="EW580" s="84" t="str">
        <f t="shared" si="413"/>
        <v>No requiere</v>
      </c>
      <c r="EX580" s="78"/>
      <c r="EY580" s="78"/>
    </row>
    <row r="581" spans="1:155" ht="46.5" customHeight="1">
      <c r="A581" s="79">
        <v>577</v>
      </c>
      <c r="B581" s="80" t="s">
        <v>4042</v>
      </c>
      <c r="C581" s="81">
        <v>45461</v>
      </c>
      <c r="D581" s="82">
        <v>0.52083333333333337</v>
      </c>
      <c r="E581" s="79" t="s">
        <v>151</v>
      </c>
      <c r="F581" s="79" t="s">
        <v>153</v>
      </c>
      <c r="G581" s="79" t="s">
        <v>153</v>
      </c>
      <c r="H581" s="79" t="s">
        <v>152</v>
      </c>
      <c r="I581" s="79" t="s">
        <v>152</v>
      </c>
      <c r="J581" s="79" t="s">
        <v>3999</v>
      </c>
      <c r="K581" s="79" t="s">
        <v>155</v>
      </c>
      <c r="L581" s="80" t="s">
        <v>4043</v>
      </c>
      <c r="M581" s="80" t="s">
        <v>241</v>
      </c>
      <c r="N581" s="79" t="s">
        <v>818</v>
      </c>
      <c r="O581" s="80" t="str">
        <f t="shared" si="383"/>
        <v/>
      </c>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t="s">
        <v>230</v>
      </c>
      <c r="AP581" s="79" t="s">
        <v>356</v>
      </c>
      <c r="AQ581" s="80" t="s">
        <v>171</v>
      </c>
      <c r="AR581" s="80" t="s">
        <v>171</v>
      </c>
      <c r="AS581" s="80" t="s">
        <v>171</v>
      </c>
      <c r="AT581" s="80" t="str">
        <f t="shared" si="396"/>
        <v>Antonio Nariño</v>
      </c>
      <c r="AU581" s="79" t="s">
        <v>634</v>
      </c>
      <c r="AV581" s="79"/>
      <c r="AW581" s="79"/>
      <c r="AX581" s="79"/>
      <c r="AY581" s="79"/>
      <c r="AZ581" s="79"/>
      <c r="BA581" s="80" t="str">
        <f>_xlfn.TEXTJOIN(", ",TRUE,$BB581:$BG581)</f>
        <v>Centro Ampliado</v>
      </c>
      <c r="BB581" s="79" t="s">
        <v>636</v>
      </c>
      <c r="BC581" s="79"/>
      <c r="BD581" s="79"/>
      <c r="BE581" s="79"/>
      <c r="BF581" s="79"/>
      <c r="BG581" s="79"/>
      <c r="BH581" s="80" t="str">
        <f>_xlfn.TEXTJOIN(", ",TRUE,$BI581:$BR581)</f>
        <v>Restrepo</v>
      </c>
      <c r="BI581" s="79" t="s">
        <v>637</v>
      </c>
      <c r="BJ581" s="79"/>
      <c r="BK581" s="79"/>
      <c r="BL581" s="79"/>
      <c r="BM581" s="79"/>
      <c r="BN581" s="79"/>
      <c r="BO581" s="79"/>
      <c r="BP581" s="79"/>
      <c r="BQ581" s="79"/>
      <c r="BR581" s="79"/>
      <c r="BS581" s="80" t="s">
        <v>637</v>
      </c>
      <c r="BT581" s="80" t="s">
        <v>174</v>
      </c>
      <c r="BU581" s="80" t="s">
        <v>4044</v>
      </c>
      <c r="BV581" s="71"/>
      <c r="BW581" s="79" t="s">
        <v>152</v>
      </c>
      <c r="BX581" s="79" t="s">
        <v>179</v>
      </c>
      <c r="BY581" s="71"/>
      <c r="BZ581" s="79">
        <v>1</v>
      </c>
      <c r="CA581" s="79">
        <v>1</v>
      </c>
      <c r="CB581" s="79">
        <f t="shared" si="457"/>
        <v>2</v>
      </c>
      <c r="CC581" s="79" t="str">
        <f t="shared" si="382"/>
        <v>Horarios Acordes</v>
      </c>
      <c r="CD581" s="79" t="s">
        <v>351</v>
      </c>
      <c r="CE581" s="79"/>
      <c r="CF581" s="79"/>
      <c r="CG581" s="83" t="s">
        <v>4045</v>
      </c>
      <c r="CH581" s="41"/>
      <c r="CI581" s="79" t="s">
        <v>153</v>
      </c>
      <c r="CJ581" s="71"/>
      <c r="CK581" s="79">
        <f t="shared" si="458"/>
        <v>0</v>
      </c>
      <c r="CL581" s="79"/>
      <c r="CM581" s="79"/>
      <c r="CN581" s="79"/>
      <c r="CO581" s="79"/>
      <c r="CP581" s="79"/>
      <c r="CQ581" s="79"/>
      <c r="CR581" s="83" t="s">
        <v>179</v>
      </c>
      <c r="CS581" s="83" t="s">
        <v>179</v>
      </c>
      <c r="CT581" s="83" t="s">
        <v>179</v>
      </c>
      <c r="CU581" s="83" t="s">
        <v>179</v>
      </c>
      <c r="CV581" s="83" t="s">
        <v>179</v>
      </c>
      <c r="CW581" s="83" t="s">
        <v>179</v>
      </c>
      <c r="CX581" s="79" t="s">
        <v>153</v>
      </c>
      <c r="CY581" s="79">
        <f t="shared" si="459"/>
        <v>0</v>
      </c>
      <c r="CZ581" s="79">
        <v>0</v>
      </c>
      <c r="DA581" s="79">
        <f t="shared" si="460"/>
        <v>0</v>
      </c>
      <c r="DB581" s="84" t="str">
        <f t="shared" si="461"/>
        <v/>
      </c>
      <c r="DC581" s="41"/>
      <c r="DD581" s="79" t="s">
        <v>153</v>
      </c>
      <c r="DE581" s="71"/>
      <c r="DF581" s="127" t="s">
        <v>4046</v>
      </c>
      <c r="DG581" s="79">
        <v>570</v>
      </c>
      <c r="DH581" s="86" t="str">
        <f t="shared" si="446"/>
        <v>Completo</v>
      </c>
      <c r="DI581" s="79" t="s">
        <v>181</v>
      </c>
      <c r="DJ581" s="79" t="s">
        <v>182</v>
      </c>
      <c r="DK581" s="79"/>
      <c r="DL581" s="79">
        <v>0</v>
      </c>
      <c r="DM581" s="79">
        <v>0</v>
      </c>
      <c r="DN581" s="79" t="s">
        <v>182</v>
      </c>
      <c r="DO581" s="79"/>
      <c r="DP581" s="79"/>
      <c r="DQ581" s="79"/>
      <c r="DR581" s="75" t="str">
        <f t="shared" si="411"/>
        <v>No aplica</v>
      </c>
      <c r="DS581" s="79"/>
      <c r="DT581" s="79"/>
      <c r="DU581" s="75" t="str">
        <f t="shared" si="412"/>
        <v>No aplica</v>
      </c>
      <c r="DV581" s="79" t="s">
        <v>182</v>
      </c>
      <c r="DW581" s="79"/>
      <c r="DX581" s="79"/>
      <c r="DY581" s="79"/>
      <c r="DZ581" s="79"/>
      <c r="EA581" s="79"/>
      <c r="EB581" s="79"/>
      <c r="EC581" s="79"/>
      <c r="ED581" s="79" t="s">
        <v>1743</v>
      </c>
      <c r="EE581" s="79" t="str">
        <f t="shared" si="462"/>
        <v>Completo</v>
      </c>
      <c r="EF581" s="41"/>
      <c r="EG581" s="79" t="s">
        <v>153</v>
      </c>
      <c r="EH581" s="71"/>
      <c r="EI581" s="80"/>
      <c r="EJ581" s="71"/>
      <c r="EK581" s="79"/>
      <c r="EL581" s="87" t="str">
        <f t="shared" si="465"/>
        <v>No requiere</v>
      </c>
      <c r="EM581" s="87" t="str">
        <f t="shared" si="466"/>
        <v>No requiere</v>
      </c>
      <c r="EN581" s="87" t="str">
        <f t="shared" si="463"/>
        <v>No requiere</v>
      </c>
      <c r="EO581" s="71"/>
      <c r="EP581" s="84" t="str">
        <f t="shared" si="467"/>
        <v>No requiere</v>
      </c>
      <c r="EQ581" s="88" t="str">
        <f t="shared" si="468"/>
        <v>No requiere</v>
      </c>
      <c r="ER581" s="71"/>
      <c r="ES581" s="79"/>
      <c r="ET581" s="84" t="str">
        <f t="shared" si="469"/>
        <v>No requiere</v>
      </c>
      <c r="EU581" s="84" t="str">
        <f t="shared" si="464"/>
        <v>No requiere</v>
      </c>
      <c r="EV581" s="84" t="str">
        <f t="shared" si="470"/>
        <v>No requiere</v>
      </c>
      <c r="EW581" s="84" t="str">
        <f t="shared" si="413"/>
        <v>No requiere</v>
      </c>
      <c r="EX581" s="78"/>
      <c r="EY581" s="78"/>
    </row>
    <row r="582" spans="1:155" ht="46.5" customHeight="1">
      <c r="A582" s="79">
        <v>578</v>
      </c>
      <c r="B582" s="80" t="s">
        <v>4047</v>
      </c>
      <c r="C582" s="81">
        <v>45461</v>
      </c>
      <c r="D582" s="82">
        <v>0.58333333333333337</v>
      </c>
      <c r="E582" s="79" t="s">
        <v>151</v>
      </c>
      <c r="F582" s="79" t="s">
        <v>153</v>
      </c>
      <c r="G582" s="79" t="s">
        <v>152</v>
      </c>
      <c r="H582" s="79" t="s">
        <v>152</v>
      </c>
      <c r="I582" s="79" t="s">
        <v>153</v>
      </c>
      <c r="J582" s="79" t="s">
        <v>227</v>
      </c>
      <c r="K582" s="79" t="s">
        <v>155</v>
      </c>
      <c r="L582" s="80" t="s">
        <v>4048</v>
      </c>
      <c r="M582" s="80" t="s">
        <v>241</v>
      </c>
      <c r="N582" s="79" t="s">
        <v>1387</v>
      </c>
      <c r="O582" s="80" t="str">
        <f t="shared" si="383"/>
        <v/>
      </c>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t="s">
        <v>304</v>
      </c>
      <c r="AP582" s="79"/>
      <c r="AQ582" s="80" t="s">
        <v>4049</v>
      </c>
      <c r="AR582" s="83" t="s">
        <v>4050</v>
      </c>
      <c r="AS582" s="80" t="s">
        <v>3219</v>
      </c>
      <c r="AT582" s="80" t="str">
        <f t="shared" si="396"/>
        <v>Teusaquillo</v>
      </c>
      <c r="AU582" s="79" t="s">
        <v>1004</v>
      </c>
      <c r="AV582" s="79"/>
      <c r="AW582" s="79"/>
      <c r="AX582" s="79"/>
      <c r="AY582" s="79"/>
      <c r="AZ582" s="79"/>
      <c r="BA582" s="80" t="str">
        <f>_xlfn.TEXTJOIN(", ",TRUE,$BB582:$BG582)</f>
        <v>Centro Ampliado</v>
      </c>
      <c r="BB582" s="79" t="s">
        <v>636</v>
      </c>
      <c r="BC582" s="79"/>
      <c r="BD582" s="79"/>
      <c r="BE582" s="79"/>
      <c r="BF582" s="79"/>
      <c r="BG582" s="79"/>
      <c r="BH582" s="80" t="str">
        <f>_xlfn.TEXTJOIN(", ",TRUE,$BI582:$BR582)</f>
        <v>Teusaquillo</v>
      </c>
      <c r="BI582" s="79" t="s">
        <v>1004</v>
      </c>
      <c r="BJ582" s="79"/>
      <c r="BK582" s="79"/>
      <c r="BL582" s="79"/>
      <c r="BM582" s="79"/>
      <c r="BN582" s="79"/>
      <c r="BO582" s="79"/>
      <c r="BP582" s="79"/>
      <c r="BQ582" s="79"/>
      <c r="BR582" s="79"/>
      <c r="BS582" s="80" t="s">
        <v>4051</v>
      </c>
      <c r="BT582" s="80" t="s">
        <v>174</v>
      </c>
      <c r="BU582" s="80" t="s">
        <v>4052</v>
      </c>
      <c r="BV582" s="71"/>
      <c r="BW582" s="79" t="s">
        <v>152</v>
      </c>
      <c r="BX582" s="79" t="s">
        <v>179</v>
      </c>
      <c r="BY582" s="71"/>
      <c r="BZ582" s="164">
        <v>25</v>
      </c>
      <c r="CA582" s="164">
        <v>1</v>
      </c>
      <c r="CB582" s="164">
        <f t="shared" ref="CB582" si="471">BZ582+CA582</f>
        <v>26</v>
      </c>
      <c r="CC582" s="164" t="str">
        <f t="shared" si="382"/>
        <v>Ninguna</v>
      </c>
      <c r="CD582" s="164" t="s">
        <v>174</v>
      </c>
      <c r="CE582" s="164"/>
      <c r="CF582" s="164"/>
      <c r="CG582" s="230" t="s">
        <v>4048</v>
      </c>
      <c r="CH582" s="41"/>
      <c r="CI582" s="79" t="s">
        <v>153</v>
      </c>
      <c r="CJ582" s="71"/>
      <c r="CK582" s="79">
        <f>COUNTIF(CL582:CQ582,"*")</f>
        <v>0</v>
      </c>
      <c r="CL582" s="79"/>
      <c r="CM582" s="79"/>
      <c r="CN582" s="79"/>
      <c r="CO582" s="79"/>
      <c r="CP582" s="79"/>
      <c r="CQ582" s="79"/>
      <c r="CR582" s="83" t="s">
        <v>179</v>
      </c>
      <c r="CS582" s="83" t="s">
        <v>179</v>
      </c>
      <c r="CT582" s="83" t="s">
        <v>179</v>
      </c>
      <c r="CU582" s="83" t="s">
        <v>179</v>
      </c>
      <c r="CV582" s="83" t="s">
        <v>179</v>
      </c>
      <c r="CW582" s="83" t="s">
        <v>179</v>
      </c>
      <c r="CX582" s="79" t="s">
        <v>153</v>
      </c>
      <c r="CY582" s="79">
        <f t="shared" si="459"/>
        <v>0</v>
      </c>
      <c r="CZ582" s="79">
        <v>0</v>
      </c>
      <c r="DA582" s="79">
        <f t="shared" si="460"/>
        <v>0</v>
      </c>
      <c r="DB582" s="84" t="str">
        <f t="shared" si="461"/>
        <v/>
      </c>
      <c r="DC582" s="41"/>
      <c r="DD582" s="79" t="s">
        <v>153</v>
      </c>
      <c r="DE582" s="71"/>
      <c r="DF582" s="127" t="s">
        <v>4053</v>
      </c>
      <c r="DG582" s="79">
        <v>571</v>
      </c>
      <c r="DH582" s="86" t="str">
        <f t="shared" si="446"/>
        <v>Completo</v>
      </c>
      <c r="DI582" s="79" t="s">
        <v>181</v>
      </c>
      <c r="DJ582" s="79" t="s">
        <v>182</v>
      </c>
      <c r="DK582" s="79"/>
      <c r="DL582" s="79">
        <v>0</v>
      </c>
      <c r="DM582" s="79">
        <v>0</v>
      </c>
      <c r="DN582" s="79" t="s">
        <v>182</v>
      </c>
      <c r="DO582" s="79"/>
      <c r="DP582" s="79"/>
      <c r="DQ582" s="79"/>
      <c r="DR582" s="75" t="str">
        <f t="shared" si="411"/>
        <v>No aplica</v>
      </c>
      <c r="DS582" s="79"/>
      <c r="DT582" s="79"/>
      <c r="DU582" s="75" t="str">
        <f t="shared" si="412"/>
        <v>No aplica</v>
      </c>
      <c r="DV582" s="79" t="s">
        <v>182</v>
      </c>
      <c r="DW582" s="79" t="s">
        <v>182</v>
      </c>
      <c r="DX582" s="79"/>
      <c r="DY582" s="79"/>
      <c r="DZ582" s="79"/>
      <c r="EA582" s="79"/>
      <c r="EB582" s="79" t="s">
        <v>182</v>
      </c>
      <c r="EC582" s="79" t="s">
        <v>4054</v>
      </c>
      <c r="ED582" s="79"/>
      <c r="EE582" s="79" t="str">
        <f t="shared" si="462"/>
        <v>Completo</v>
      </c>
      <c r="EF582" s="41"/>
      <c r="EG582" s="79" t="s">
        <v>153</v>
      </c>
      <c r="EH582" s="71"/>
      <c r="EI582" s="80"/>
      <c r="EJ582" s="71"/>
      <c r="EK582" s="79"/>
      <c r="EL582" s="87" t="str">
        <f t="shared" si="465"/>
        <v>No requiere</v>
      </c>
      <c r="EM582" s="87" t="str">
        <f t="shared" si="466"/>
        <v>No requiere</v>
      </c>
      <c r="EN582" s="87" t="str">
        <f t="shared" si="463"/>
        <v>No requiere</v>
      </c>
      <c r="EO582" s="71"/>
      <c r="EP582" s="84" t="str">
        <f t="shared" si="467"/>
        <v>No requiere</v>
      </c>
      <c r="EQ582" s="88" t="str">
        <f t="shared" si="468"/>
        <v>No requiere</v>
      </c>
      <c r="ER582" s="71"/>
      <c r="ES582" s="79"/>
      <c r="ET582" s="84" t="str">
        <f t="shared" si="469"/>
        <v>No requiere</v>
      </c>
      <c r="EU582" s="84" t="str">
        <f t="shared" si="464"/>
        <v>No requiere</v>
      </c>
      <c r="EV582" s="84" t="str">
        <f t="shared" si="470"/>
        <v>No requiere</v>
      </c>
      <c r="EW582" s="84" t="str">
        <f t="shared" si="413"/>
        <v>No requiere</v>
      </c>
      <c r="EX582" s="78"/>
      <c r="EY582" s="78"/>
    </row>
    <row r="583" spans="1:155" ht="46.5" customHeight="1">
      <c r="A583" s="79" t="str">
        <v/>
      </c>
      <c r="B583" s="80" t="s">
        <v>4055</v>
      </c>
      <c r="C583" s="81">
        <v>45461</v>
      </c>
      <c r="D583" s="82">
        <v>0.60416666666666663</v>
      </c>
      <c r="E583" s="79" t="s">
        <v>151</v>
      </c>
      <c r="F583" s="79" t="s">
        <v>152</v>
      </c>
      <c r="G583" s="79" t="s">
        <v>153</v>
      </c>
      <c r="H583" s="79" t="s">
        <v>152</v>
      </c>
      <c r="I583" s="79" t="s">
        <v>152</v>
      </c>
      <c r="J583" s="79" t="s">
        <v>272</v>
      </c>
      <c r="K583" s="79" t="s">
        <v>155</v>
      </c>
      <c r="L583" s="80" t="s">
        <v>4056</v>
      </c>
      <c r="M583" s="80" t="s">
        <v>157</v>
      </c>
      <c r="N583" s="79" t="s">
        <v>346</v>
      </c>
      <c r="O583" s="80" t="str">
        <f t="shared" si="383"/>
        <v>Freddy Martínez, César Augusto Barrantes</v>
      </c>
      <c r="P583" s="79" t="s">
        <v>3049</v>
      </c>
      <c r="Q583" s="79" t="s">
        <v>729</v>
      </c>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t="s">
        <v>304</v>
      </c>
      <c r="AP583" s="79"/>
      <c r="AQ583" s="80" t="s">
        <v>171</v>
      </c>
      <c r="AR583" s="80" t="s">
        <v>171</v>
      </c>
      <c r="AS583" s="80" t="s">
        <v>171</v>
      </c>
      <c r="AT583" s="80" t="str">
        <f t="shared" ref="AT583:AT614" si="472">_xlfn.TEXTJOIN(", ",TRUE,$AU583:$AY583)</f>
        <v>Distrital</v>
      </c>
      <c r="AU583" s="79" t="s">
        <v>172</v>
      </c>
      <c r="AV583" s="79"/>
      <c r="AW583" s="79"/>
      <c r="AX583" s="79"/>
      <c r="AY583" s="79"/>
      <c r="AZ583" s="79"/>
      <c r="BA583" s="80" t="str">
        <f>_xlfn.TEXTJOIN(", ",TRUE,$BB583:$BG583)</f>
        <v>Distrital</v>
      </c>
      <c r="BB583" s="79" t="s">
        <v>172</v>
      </c>
      <c r="BC583" s="79"/>
      <c r="BD583" s="79"/>
      <c r="BE583" s="79"/>
      <c r="BF583" s="79"/>
      <c r="BG583" s="79"/>
      <c r="BH583" s="80" t="str">
        <f>_xlfn.TEXTJOIN(", ",TRUE,$BI583:$BR583)</f>
        <v>Distrital</v>
      </c>
      <c r="BI583" s="79" t="s">
        <v>172</v>
      </c>
      <c r="BJ583" s="79"/>
      <c r="BK583" s="79"/>
      <c r="BL583" s="79"/>
      <c r="BM583" s="79"/>
      <c r="BN583" s="79"/>
      <c r="BO583" s="79"/>
      <c r="BP583" s="79"/>
      <c r="BQ583" s="79"/>
      <c r="BR583" s="79"/>
      <c r="BS583" s="80" t="s">
        <v>288</v>
      </c>
      <c r="BT583" s="80" t="s">
        <v>174</v>
      </c>
      <c r="BU583" s="80" t="s">
        <v>3609</v>
      </c>
      <c r="BV583" s="71"/>
      <c r="BW583" s="79" t="s">
        <v>152</v>
      </c>
      <c r="BX583" s="79" t="s">
        <v>179</v>
      </c>
      <c r="BY583" s="71"/>
      <c r="BZ583" s="79">
        <v>0</v>
      </c>
      <c r="CA583" s="79">
        <v>5</v>
      </c>
      <c r="CB583" s="79">
        <f t="shared" si="457"/>
        <v>5</v>
      </c>
      <c r="CC583" s="79" t="str">
        <f t="shared" si="382"/>
        <v>Ninguna</v>
      </c>
      <c r="CD583" s="79" t="s">
        <v>174</v>
      </c>
      <c r="CE583" s="79"/>
      <c r="CF583" s="79"/>
      <c r="CG583" s="83" t="s">
        <v>4057</v>
      </c>
      <c r="CH583" s="41"/>
      <c r="CI583" s="79" t="s">
        <v>153</v>
      </c>
      <c r="CJ583" s="71"/>
      <c r="CK583" s="79">
        <f t="shared" si="458"/>
        <v>0</v>
      </c>
      <c r="CL583" s="79"/>
      <c r="CM583" s="79"/>
      <c r="CN583" s="79"/>
      <c r="CO583" s="79"/>
      <c r="CP583" s="79"/>
      <c r="CQ583" s="79"/>
      <c r="CR583" s="83" t="s">
        <v>179</v>
      </c>
      <c r="CS583" s="83" t="s">
        <v>179</v>
      </c>
      <c r="CT583" s="83" t="s">
        <v>179</v>
      </c>
      <c r="CU583" s="83" t="s">
        <v>179</v>
      </c>
      <c r="CV583" s="83" t="s">
        <v>179</v>
      </c>
      <c r="CW583" s="83" t="s">
        <v>179</v>
      </c>
      <c r="CX583" s="79" t="s">
        <v>153</v>
      </c>
      <c r="CY583" s="79">
        <f t="shared" si="459"/>
        <v>0</v>
      </c>
      <c r="CZ583" s="79">
        <v>0</v>
      </c>
      <c r="DA583" s="79">
        <f t="shared" si="460"/>
        <v>0</v>
      </c>
      <c r="DB583" s="84" t="str">
        <f t="shared" si="461"/>
        <v/>
      </c>
      <c r="DC583" s="41"/>
      <c r="DD583" s="79" t="s">
        <v>153</v>
      </c>
      <c r="DE583" s="71"/>
      <c r="DF583" s="127" t="s">
        <v>4058</v>
      </c>
      <c r="DG583" s="79">
        <v>572</v>
      </c>
      <c r="DH583" s="86" t="str">
        <f t="shared" si="446"/>
        <v>Completo</v>
      </c>
      <c r="DI583" s="79" t="s">
        <v>181</v>
      </c>
      <c r="DJ583" s="79" t="s">
        <v>182</v>
      </c>
      <c r="DK583" s="79"/>
      <c r="DL583" s="79">
        <v>0</v>
      </c>
      <c r="DM583" s="79">
        <v>0</v>
      </c>
      <c r="DN583" s="79" t="s">
        <v>182</v>
      </c>
      <c r="DO583" s="79"/>
      <c r="DP583" s="79"/>
      <c r="DQ583" s="79"/>
      <c r="DR583" s="75" t="str">
        <f t="shared" si="411"/>
        <v>No aplica</v>
      </c>
      <c r="DS583" s="79"/>
      <c r="DT583" s="79"/>
      <c r="DU583" s="75" t="str">
        <f t="shared" si="412"/>
        <v>No aplica</v>
      </c>
      <c r="DV583" s="79"/>
      <c r="DW583" s="79"/>
      <c r="DX583" s="79"/>
      <c r="DY583" s="79"/>
      <c r="DZ583" s="79"/>
      <c r="EA583" s="79"/>
      <c r="EB583" s="79"/>
      <c r="EC583" s="79"/>
      <c r="ED583" s="79" t="s">
        <v>3380</v>
      </c>
      <c r="EE583" s="79" t="str">
        <f t="shared" si="462"/>
        <v>Completo</v>
      </c>
      <c r="EF583" s="41"/>
      <c r="EG583" s="79" t="s">
        <v>153</v>
      </c>
      <c r="EH583" s="71"/>
      <c r="EI583" s="80"/>
      <c r="EJ583" s="71"/>
      <c r="EK583" s="79"/>
      <c r="EL583" s="87" t="str">
        <f t="shared" si="465"/>
        <v>No requiere</v>
      </c>
      <c r="EM583" s="87" t="str">
        <f t="shared" si="466"/>
        <v>No requiere</v>
      </c>
      <c r="EN583" s="87" t="str">
        <f t="shared" si="463"/>
        <v>No requiere</v>
      </c>
      <c r="EO583" s="71"/>
      <c r="EP583" s="84" t="str">
        <f t="shared" si="467"/>
        <v>No requiere</v>
      </c>
      <c r="EQ583" s="88" t="str">
        <f t="shared" si="468"/>
        <v>No requiere</v>
      </c>
      <c r="ER583" s="71"/>
      <c r="ES583" s="79"/>
      <c r="ET583" s="84" t="str">
        <f t="shared" si="469"/>
        <v>No requiere</v>
      </c>
      <c r="EU583" s="84" t="str">
        <f t="shared" si="464"/>
        <v>No requiere</v>
      </c>
      <c r="EV583" s="84" t="str">
        <f t="shared" si="470"/>
        <v>No requiere</v>
      </c>
      <c r="EW583" s="84" t="str">
        <f t="shared" si="413"/>
        <v>No requiere</v>
      </c>
      <c r="EX583" s="78"/>
      <c r="EY583" s="78"/>
    </row>
    <row r="584" spans="1:155" ht="46.5" customHeight="1">
      <c r="A584" s="79" t="str">
        <v/>
      </c>
      <c r="B584" s="80" t="s">
        <v>4059</v>
      </c>
      <c r="C584" s="81">
        <v>45461</v>
      </c>
      <c r="D584" s="82">
        <v>0.625</v>
      </c>
      <c r="E584" s="79" t="s">
        <v>151</v>
      </c>
      <c r="F584" s="79" t="s">
        <v>152</v>
      </c>
      <c r="G584" s="79" t="s">
        <v>153</v>
      </c>
      <c r="H584" s="79" t="s">
        <v>152</v>
      </c>
      <c r="I584" s="79" t="s">
        <v>152</v>
      </c>
      <c r="J584" s="79" t="s">
        <v>1768</v>
      </c>
      <c r="K584" s="79" t="s">
        <v>155</v>
      </c>
      <c r="L584" s="80" t="s">
        <v>3841</v>
      </c>
      <c r="M584" s="80" t="s">
        <v>157</v>
      </c>
      <c r="N584" s="79" t="s">
        <v>328</v>
      </c>
      <c r="O584" s="80" t="str">
        <f t="shared" si="383"/>
        <v>Laura Sofia Morales, Mónica Lyzeth Cantor</v>
      </c>
      <c r="P584" s="79" t="s">
        <v>506</v>
      </c>
      <c r="Q584" s="79" t="s">
        <v>346</v>
      </c>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t="s">
        <v>169</v>
      </c>
      <c r="AP584" s="79" t="s">
        <v>170</v>
      </c>
      <c r="AQ584" s="80" t="s">
        <v>4060</v>
      </c>
      <c r="AR584" s="83" t="s">
        <v>3843</v>
      </c>
      <c r="AS584" s="80" t="s">
        <v>4061</v>
      </c>
      <c r="AT584" s="80" t="str">
        <f t="shared" si="472"/>
        <v>Distrital</v>
      </c>
      <c r="AU584" s="79" t="s">
        <v>172</v>
      </c>
      <c r="AV584" s="79"/>
      <c r="AW584" s="79"/>
      <c r="AX584" s="79"/>
      <c r="AY584" s="79"/>
      <c r="AZ584" s="79"/>
      <c r="BA584" s="80" t="str">
        <f t="shared" si="455"/>
        <v>Distrital</v>
      </c>
      <c r="BB584" s="79" t="s">
        <v>172</v>
      </c>
      <c r="BC584" s="79"/>
      <c r="BD584" s="79"/>
      <c r="BE584" s="79"/>
      <c r="BF584" s="79"/>
      <c r="BG584" s="79"/>
      <c r="BH584" s="80" t="str">
        <f t="shared" si="456"/>
        <v>Distrital</v>
      </c>
      <c r="BI584" s="79" t="s">
        <v>172</v>
      </c>
      <c r="BJ584" s="79"/>
      <c r="BK584" s="79"/>
      <c r="BL584" s="79"/>
      <c r="BM584" s="79"/>
      <c r="BN584" s="79"/>
      <c r="BO584" s="79"/>
      <c r="BP584" s="79"/>
      <c r="BQ584" s="79"/>
      <c r="BR584" s="79"/>
      <c r="BS584" s="80" t="s">
        <v>288</v>
      </c>
      <c r="BT584" s="80" t="s">
        <v>174</v>
      </c>
      <c r="BU584" s="134" t="s">
        <v>4062</v>
      </c>
      <c r="BV584" s="71"/>
      <c r="BW584" s="79" t="s">
        <v>152</v>
      </c>
      <c r="BX584" s="79" t="s">
        <v>179</v>
      </c>
      <c r="BY584" s="71"/>
      <c r="BZ584" s="79">
        <v>0</v>
      </c>
      <c r="CA584" s="79">
        <v>4</v>
      </c>
      <c r="CB584" s="79">
        <f t="shared" ref="CB584:CB585" si="473">BZ584+CA584</f>
        <v>4</v>
      </c>
      <c r="CC584" s="79" t="str">
        <f t="shared" si="382"/>
        <v>Ninguna</v>
      </c>
      <c r="CD584" s="79" t="s">
        <v>174</v>
      </c>
      <c r="CE584" s="79"/>
      <c r="CF584" s="79"/>
      <c r="CG584" s="83" t="s">
        <v>4063</v>
      </c>
      <c r="CH584" s="41"/>
      <c r="CI584" s="79" t="s">
        <v>153</v>
      </c>
      <c r="CJ584" s="71"/>
      <c r="CK584" s="79">
        <f t="shared" ref="CK584:CK585" si="474">COUNTIF(CL584:CQ584,"*")</f>
        <v>0</v>
      </c>
      <c r="CL584" s="79"/>
      <c r="CM584" s="79"/>
      <c r="CN584" s="79"/>
      <c r="CO584" s="79"/>
      <c r="CP584" s="79"/>
      <c r="CQ584" s="79"/>
      <c r="CR584" s="83" t="s">
        <v>179</v>
      </c>
      <c r="CS584" s="83" t="s">
        <v>179</v>
      </c>
      <c r="CT584" s="83" t="s">
        <v>179</v>
      </c>
      <c r="CU584" s="83" t="s">
        <v>179</v>
      </c>
      <c r="CV584" s="83" t="s">
        <v>179</v>
      </c>
      <c r="CW584" s="83" t="s">
        <v>179</v>
      </c>
      <c r="CX584" s="79" t="s">
        <v>152</v>
      </c>
      <c r="CY584" s="79">
        <f t="shared" ref="CY584:CY585" si="475">SUM(COUNTIF(CR584:CW584,"Realizado y Devuelto a la Ciudadanía"),COUNTIF(CR584:CW584,"Realizado y Trasladado por competencia"), COUNTIF(CR584:CW584,"Realizado y Gestionado"))</f>
        <v>0</v>
      </c>
      <c r="CZ584" s="79">
        <v>0</v>
      </c>
      <c r="DA584" s="79">
        <f t="shared" ref="DA584:DA585" si="476">COUNTIF(CR584:CW584,"Realizado y Devuelto a la Ciudadanía")</f>
        <v>0</v>
      </c>
      <c r="DB584" s="84" t="str">
        <f t="shared" ref="DB584:DB585" si="477">IFERROR(CY584/CK584,"")</f>
        <v/>
      </c>
      <c r="DC584" s="41"/>
      <c r="DD584" s="79" t="s">
        <v>153</v>
      </c>
      <c r="DE584" s="71"/>
      <c r="DF584" s="127" t="s">
        <v>4064</v>
      </c>
      <c r="DG584" s="79">
        <v>573</v>
      </c>
      <c r="DH584" s="86" t="str">
        <f t="shared" si="446"/>
        <v>Completo</v>
      </c>
      <c r="DI584" s="79" t="s">
        <v>181</v>
      </c>
      <c r="DJ584" s="79" t="s">
        <v>182</v>
      </c>
      <c r="DK584" s="79"/>
      <c r="DL584" s="79">
        <v>0</v>
      </c>
      <c r="DM584" s="79">
        <v>0</v>
      </c>
      <c r="DN584" s="79" t="s">
        <v>182</v>
      </c>
      <c r="DO584" s="79"/>
      <c r="DP584" s="79"/>
      <c r="DQ584" s="79"/>
      <c r="DR584" s="75" t="str">
        <f t="shared" si="411"/>
        <v>No aplica</v>
      </c>
      <c r="DS584" s="79"/>
      <c r="DT584" s="79"/>
      <c r="DU584" s="75" t="str">
        <f t="shared" si="412"/>
        <v>No aplica</v>
      </c>
      <c r="DV584" s="79" t="s">
        <v>182</v>
      </c>
      <c r="DW584" s="79"/>
      <c r="DX584" s="79"/>
      <c r="DY584" s="79"/>
      <c r="DZ584" s="79"/>
      <c r="EA584" s="79"/>
      <c r="EB584" s="79"/>
      <c r="EC584" s="79"/>
      <c r="ED584" s="79" t="s">
        <v>4065</v>
      </c>
      <c r="EE584" s="79" t="str">
        <f t="shared" ref="EE584:EE585" si="478">IF(DI584="Subsanado","Completo","Por Completar")</f>
        <v>Completo</v>
      </c>
      <c r="EF584" s="41"/>
      <c r="EG584" s="79" t="s">
        <v>153</v>
      </c>
      <c r="EH584" s="71"/>
      <c r="EI584" s="80"/>
      <c r="EJ584" s="71"/>
      <c r="EK584" s="79"/>
      <c r="EL584" s="87" t="str">
        <f t="shared" si="465"/>
        <v>No requiere</v>
      </c>
      <c r="EM584" s="87" t="str">
        <f t="shared" si="466"/>
        <v>No requiere</v>
      </c>
      <c r="EN584" s="87" t="str">
        <f t="shared" ref="EN584:EN585" si="479">IF(F584="NO","No requiere",IF(H584="No","No requiere",IF(CC584="","",IF(CD584&lt;&gt;"No aplica",IF(CD584&lt;&gt;"Ninguna",IF(COUNTIF(CD584:CF584,"*")&gt;=1,"Sí","No"),"No"),"No aplica"))))</f>
        <v>No requiere</v>
      </c>
      <c r="EO584" s="71"/>
      <c r="EP584" s="84" t="str">
        <f t="shared" si="467"/>
        <v>No requiere</v>
      </c>
      <c r="EQ584" s="88" t="str">
        <f t="shared" si="468"/>
        <v>No requiere</v>
      </c>
      <c r="ER584" s="71"/>
      <c r="ES584" s="79"/>
      <c r="ET584" s="84" t="str">
        <f t="shared" si="469"/>
        <v>No requiere</v>
      </c>
      <c r="EU584" s="84" t="str">
        <f t="shared" ref="EU584:EU585" si="480">IF(F584="NO","No requiere",IF(H584="No","No requiere",IF(B584="","",IF(CX584="SÍ",IF(CK584&gt;=1,CY584/CK584,"Sin compromisos"),"Por verificar"))))</f>
        <v>No requiere</v>
      </c>
      <c r="EV584" s="84" t="str">
        <f t="shared" si="470"/>
        <v>No requiere</v>
      </c>
      <c r="EW584" s="84" t="str">
        <f t="shared" si="413"/>
        <v>No requiere</v>
      </c>
      <c r="EX584" s="78"/>
      <c r="EY584" s="78"/>
    </row>
    <row r="585" spans="1:155" ht="46.5" customHeight="1">
      <c r="A585" s="79">
        <v>581</v>
      </c>
      <c r="B585" s="80" t="s">
        <v>680</v>
      </c>
      <c r="C585" s="81">
        <v>45461</v>
      </c>
      <c r="D585" s="82">
        <v>0.70833333333333337</v>
      </c>
      <c r="E585" s="79" t="s">
        <v>200</v>
      </c>
      <c r="F585" s="79" t="s">
        <v>153</v>
      </c>
      <c r="G585" s="79" t="s">
        <v>152</v>
      </c>
      <c r="H585" s="79" t="s">
        <v>152</v>
      </c>
      <c r="I585" s="79" t="s">
        <v>152</v>
      </c>
      <c r="J585" s="79" t="s">
        <v>211</v>
      </c>
      <c r="K585" s="79" t="s">
        <v>202</v>
      </c>
      <c r="L585" s="80" t="s">
        <v>4066</v>
      </c>
      <c r="M585" s="80" t="s">
        <v>624</v>
      </c>
      <c r="N585" s="79" t="s">
        <v>522</v>
      </c>
      <c r="O585" s="80" t="str">
        <f t="shared" si="383"/>
        <v>PENDIENTE</v>
      </c>
      <c r="P585" s="79" t="s">
        <v>196</v>
      </c>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t="s">
        <v>230</v>
      </c>
      <c r="AP585" s="79" t="s">
        <v>242</v>
      </c>
      <c r="AQ585" s="80" t="s">
        <v>4067</v>
      </c>
      <c r="AR585" s="83" t="s">
        <v>4068</v>
      </c>
      <c r="AS585" s="80" t="s">
        <v>1042</v>
      </c>
      <c r="AT585" s="80" t="str">
        <f t="shared" si="472"/>
        <v>Distrital</v>
      </c>
      <c r="AU585" s="79" t="s">
        <v>172</v>
      </c>
      <c r="AV585" s="79"/>
      <c r="AW585" s="79"/>
      <c r="AX585" s="79"/>
      <c r="AY585" s="79"/>
      <c r="AZ585" s="79"/>
      <c r="BA585" s="80" t="str">
        <f t="shared" ref="BA585:BA617" si="481">_xlfn.TEXTJOIN(", ",TRUE,$BB585:$BG585)</f>
        <v>Distrital</v>
      </c>
      <c r="BB585" s="79" t="s">
        <v>172</v>
      </c>
      <c r="BC585" s="79"/>
      <c r="BD585" s="79"/>
      <c r="BE585" s="79"/>
      <c r="BF585" s="79"/>
      <c r="BG585" s="79"/>
      <c r="BH585" s="80" t="str">
        <f t="shared" ref="BH585:BH617" si="482">_xlfn.TEXTJOIN(", ",TRUE,$BI585:$BR585)</f>
        <v>Distrital</v>
      </c>
      <c r="BI585" s="79" t="s">
        <v>172</v>
      </c>
      <c r="BJ585" s="79"/>
      <c r="BK585" s="79"/>
      <c r="BL585" s="79"/>
      <c r="BM585" s="79"/>
      <c r="BN585" s="79"/>
      <c r="BO585" s="79"/>
      <c r="BP585" s="79"/>
      <c r="BQ585" s="79"/>
      <c r="BR585" s="79"/>
      <c r="BS585" s="80" t="s">
        <v>288</v>
      </c>
      <c r="BT585" s="80" t="s">
        <v>174</v>
      </c>
      <c r="BU585" s="128" t="s">
        <v>3931</v>
      </c>
      <c r="BV585" s="71"/>
      <c r="BW585" s="79" t="s">
        <v>152</v>
      </c>
      <c r="BX585" s="79" t="s">
        <v>179</v>
      </c>
      <c r="BY585" s="71"/>
      <c r="BZ585" s="79">
        <v>2</v>
      </c>
      <c r="CA585" s="79">
        <v>2</v>
      </c>
      <c r="CB585" s="79">
        <f t="shared" si="473"/>
        <v>4</v>
      </c>
      <c r="CC585" s="79" t="str">
        <f t="shared" si="382"/>
        <v>Ninguna</v>
      </c>
      <c r="CD585" s="79" t="s">
        <v>174</v>
      </c>
      <c r="CE585" s="79"/>
      <c r="CF585" s="79"/>
      <c r="CG585" s="83" t="s">
        <v>4069</v>
      </c>
      <c r="CH585" s="41"/>
      <c r="CI585" s="79" t="s">
        <v>153</v>
      </c>
      <c r="CJ585" s="71"/>
      <c r="CK585" s="79">
        <f t="shared" si="474"/>
        <v>0</v>
      </c>
      <c r="CL585" s="79"/>
      <c r="CM585" s="79"/>
      <c r="CN585" s="79"/>
      <c r="CO585" s="79"/>
      <c r="CP585" s="79"/>
      <c r="CQ585" s="79"/>
      <c r="CR585" s="83" t="s">
        <v>179</v>
      </c>
      <c r="CS585" s="83" t="s">
        <v>179</v>
      </c>
      <c r="CT585" s="83" t="s">
        <v>179</v>
      </c>
      <c r="CU585" s="83" t="s">
        <v>179</v>
      </c>
      <c r="CV585" s="83" t="s">
        <v>179</v>
      </c>
      <c r="CW585" s="83" t="s">
        <v>179</v>
      </c>
      <c r="CX585" s="79" t="s">
        <v>153</v>
      </c>
      <c r="CY585" s="79">
        <f t="shared" si="475"/>
        <v>0</v>
      </c>
      <c r="CZ585" s="79">
        <v>0</v>
      </c>
      <c r="DA585" s="79">
        <f t="shared" si="476"/>
        <v>0</v>
      </c>
      <c r="DB585" s="84" t="str">
        <f t="shared" si="477"/>
        <v/>
      </c>
      <c r="DC585" s="41"/>
      <c r="DD585" s="79" t="s">
        <v>153</v>
      </c>
      <c r="DE585" s="71"/>
      <c r="DF585" s="127" t="s">
        <v>4070</v>
      </c>
      <c r="DG585" s="79">
        <v>574</v>
      </c>
      <c r="DH585" s="86" t="str">
        <f t="shared" si="446"/>
        <v>Completo</v>
      </c>
      <c r="DI585" s="79" t="s">
        <v>181</v>
      </c>
      <c r="DJ585" s="79" t="s">
        <v>182</v>
      </c>
      <c r="DK585" s="79"/>
      <c r="DL585" s="79">
        <v>0</v>
      </c>
      <c r="DM585" s="79">
        <v>0</v>
      </c>
      <c r="DN585" s="79" t="s">
        <v>182</v>
      </c>
      <c r="DO585" s="79">
        <v>132</v>
      </c>
      <c r="DP585" s="79"/>
      <c r="DQ585" s="79"/>
      <c r="DR585" s="75" t="str">
        <f t="shared" si="411"/>
        <v>No aplica</v>
      </c>
      <c r="DS585" s="79"/>
      <c r="DT585" s="79"/>
      <c r="DU585" s="75" t="str">
        <f t="shared" si="412"/>
        <v>No aplica</v>
      </c>
      <c r="DV585" s="79" t="s">
        <v>182</v>
      </c>
      <c r="DW585" s="79" t="s">
        <v>182</v>
      </c>
      <c r="DX585" s="79"/>
      <c r="DY585" s="79"/>
      <c r="DZ585" s="79"/>
      <c r="EA585" s="79"/>
      <c r="EB585" s="79"/>
      <c r="EC585" s="79"/>
      <c r="ED585" s="79" t="s">
        <v>1743</v>
      </c>
      <c r="EE585" s="79" t="str">
        <f t="shared" si="478"/>
        <v>Completo</v>
      </c>
      <c r="EF585" s="41"/>
      <c r="EG585" s="79" t="s">
        <v>153</v>
      </c>
      <c r="EH585" s="71"/>
      <c r="EI585" s="80"/>
      <c r="EJ585" s="71"/>
      <c r="EK585" s="79"/>
      <c r="EL585" s="87" t="str">
        <f t="shared" si="465"/>
        <v>No requiere</v>
      </c>
      <c r="EM585" s="87" t="str">
        <f t="shared" si="466"/>
        <v>No requiere</v>
      </c>
      <c r="EN585" s="87" t="str">
        <f t="shared" si="479"/>
        <v>No requiere</v>
      </c>
      <c r="EO585" s="71"/>
      <c r="EP585" s="84" t="str">
        <f t="shared" si="467"/>
        <v>No requiere</v>
      </c>
      <c r="EQ585" s="88" t="str">
        <f t="shared" si="468"/>
        <v>No requiere</v>
      </c>
      <c r="ER585" s="71"/>
      <c r="ES585" s="79"/>
      <c r="ET585" s="84" t="str">
        <f t="shared" si="469"/>
        <v>No requiere</v>
      </c>
      <c r="EU585" s="84" t="str">
        <f t="shared" si="480"/>
        <v>No requiere</v>
      </c>
      <c r="EV585" s="84" t="str">
        <f t="shared" si="470"/>
        <v>No requiere</v>
      </c>
      <c r="EW585" s="84" t="str">
        <f t="shared" si="413"/>
        <v>No requiere</v>
      </c>
      <c r="EX585" s="78"/>
      <c r="EY585" s="78"/>
    </row>
    <row r="586" spans="1:155" ht="46.5" customHeight="1">
      <c r="A586" s="79">
        <v>582</v>
      </c>
      <c r="B586" s="80" t="s">
        <v>4071</v>
      </c>
      <c r="C586" s="81">
        <v>45462</v>
      </c>
      <c r="D586" s="82" t="s">
        <v>4072</v>
      </c>
      <c r="E586" s="79" t="s">
        <v>151</v>
      </c>
      <c r="F586" s="79" t="s">
        <v>153</v>
      </c>
      <c r="G586" s="79" t="s">
        <v>152</v>
      </c>
      <c r="H586" s="79" t="s">
        <v>152</v>
      </c>
      <c r="I586" s="79" t="s">
        <v>152</v>
      </c>
      <c r="J586" s="79" t="s">
        <v>1711</v>
      </c>
      <c r="K586" s="79" t="s">
        <v>155</v>
      </c>
      <c r="L586" s="80" t="s">
        <v>4073</v>
      </c>
      <c r="M586" s="80" t="s">
        <v>157</v>
      </c>
      <c r="N586" s="79" t="s">
        <v>167</v>
      </c>
      <c r="O586" s="80" t="str">
        <f t="shared" si="383"/>
        <v>Yeiker Guerra Sarmiento, Laura Camila Bechara</v>
      </c>
      <c r="P586" s="79" t="s">
        <v>163</v>
      </c>
      <c r="Q586" s="79" t="s">
        <v>887</v>
      </c>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t="s">
        <v>169</v>
      </c>
      <c r="AP586" s="79" t="s">
        <v>170</v>
      </c>
      <c r="AQ586" s="80" t="s">
        <v>171</v>
      </c>
      <c r="AR586" s="83" t="s">
        <v>171</v>
      </c>
      <c r="AS586" s="80" t="s">
        <v>171</v>
      </c>
      <c r="AT586" s="80" t="str">
        <f t="shared" si="472"/>
        <v>Distrital</v>
      </c>
      <c r="AU586" s="79" t="s">
        <v>172</v>
      </c>
      <c r="AV586" s="79"/>
      <c r="AW586" s="79"/>
      <c r="AX586" s="79"/>
      <c r="AY586" s="79"/>
      <c r="AZ586" s="79"/>
      <c r="BA586" s="80" t="str">
        <f t="shared" si="481"/>
        <v>Distrital</v>
      </c>
      <c r="BB586" s="79" t="s">
        <v>172</v>
      </c>
      <c r="BC586" s="79"/>
      <c r="BD586" s="79"/>
      <c r="BE586" s="79"/>
      <c r="BF586" s="79"/>
      <c r="BG586" s="79"/>
      <c r="BH586" s="80" t="str">
        <f t="shared" si="482"/>
        <v>Distrital</v>
      </c>
      <c r="BI586" s="79" t="s">
        <v>172</v>
      </c>
      <c r="BJ586" s="79"/>
      <c r="BK586" s="79"/>
      <c r="BL586" s="79"/>
      <c r="BM586" s="79"/>
      <c r="BN586" s="79"/>
      <c r="BO586" s="79"/>
      <c r="BP586" s="79"/>
      <c r="BQ586" s="79"/>
      <c r="BR586" s="79"/>
      <c r="BS586" s="80" t="s">
        <v>288</v>
      </c>
      <c r="BT586" s="80" t="s">
        <v>174</v>
      </c>
      <c r="BU586" s="80" t="s">
        <v>4074</v>
      </c>
      <c r="BV586" s="71"/>
      <c r="BW586" s="79" t="s">
        <v>152</v>
      </c>
      <c r="BX586" s="79" t="s">
        <v>179</v>
      </c>
      <c r="BY586" s="71"/>
      <c r="BZ586" s="79">
        <v>45</v>
      </c>
      <c r="CA586" s="79">
        <v>3</v>
      </c>
      <c r="CB586" s="79">
        <f t="shared" ref="CB586:CB589" si="483">BZ586+CA586</f>
        <v>48</v>
      </c>
      <c r="CC586" s="79" t="str">
        <f t="shared" si="382"/>
        <v>Ninguna</v>
      </c>
      <c r="CD586" s="79" t="s">
        <v>174</v>
      </c>
      <c r="CE586" s="79"/>
      <c r="CF586" s="79"/>
      <c r="CG586" s="83" t="s">
        <v>4075</v>
      </c>
      <c r="CH586" s="41"/>
      <c r="CI586" s="79" t="s">
        <v>153</v>
      </c>
      <c r="CJ586" s="71"/>
      <c r="CK586" s="79">
        <f t="shared" ref="CK586:CK588" si="484">COUNTIF(CL586:CQ586,"*")</f>
        <v>0</v>
      </c>
      <c r="CL586" s="79"/>
      <c r="CM586" s="79"/>
      <c r="CN586" s="79"/>
      <c r="CO586" s="79"/>
      <c r="CP586" s="79"/>
      <c r="CQ586" s="79"/>
      <c r="CR586" s="83" t="s">
        <v>179</v>
      </c>
      <c r="CS586" s="83" t="s">
        <v>179</v>
      </c>
      <c r="CT586" s="83" t="s">
        <v>179</v>
      </c>
      <c r="CU586" s="83" t="s">
        <v>179</v>
      </c>
      <c r="CV586" s="83" t="s">
        <v>179</v>
      </c>
      <c r="CW586" s="83" t="s">
        <v>179</v>
      </c>
      <c r="CX586" s="79" t="s">
        <v>153</v>
      </c>
      <c r="CY586" s="79">
        <f t="shared" ref="CY586:CY589" si="485">SUM(COUNTIF(CR586:CW586,"Realizado y Devuelto a la Ciudadanía"),COUNTIF(CR586:CW586,"Realizado y Trasladado por competencia"), COUNTIF(CR586:CW586,"Realizado y Gestionado"))</f>
        <v>0</v>
      </c>
      <c r="CZ586" s="79">
        <v>0</v>
      </c>
      <c r="DA586" s="79">
        <f t="shared" ref="DA586:DA589" si="486">COUNTIF(CR586:CW586,"Realizado y Devuelto a la Ciudadanía")</f>
        <v>0</v>
      </c>
      <c r="DB586" s="84" t="str">
        <f t="shared" ref="DB586:DB589" si="487">IFERROR(CY586/CK586,"")</f>
        <v/>
      </c>
      <c r="DC586" s="41"/>
      <c r="DD586" s="79" t="s">
        <v>153</v>
      </c>
      <c r="DE586" s="71"/>
      <c r="DF586" s="127" t="s">
        <v>4076</v>
      </c>
      <c r="DG586" s="79">
        <v>575</v>
      </c>
      <c r="DH586" s="86" t="str">
        <f t="shared" si="446"/>
        <v>Completo</v>
      </c>
      <c r="DI586" s="79" t="s">
        <v>181</v>
      </c>
      <c r="DJ586" s="79" t="s">
        <v>182</v>
      </c>
      <c r="DK586" s="79"/>
      <c r="DL586" s="79">
        <v>0</v>
      </c>
      <c r="DM586" s="79">
        <v>0</v>
      </c>
      <c r="DN586" s="79"/>
      <c r="DO586" s="79"/>
      <c r="DP586" s="79"/>
      <c r="DQ586" s="79"/>
      <c r="DR586" s="75" t="str">
        <f t="shared" si="411"/>
        <v>No aplica</v>
      </c>
      <c r="DS586" s="79"/>
      <c r="DT586" s="79"/>
      <c r="DU586" s="75" t="str">
        <f t="shared" si="412"/>
        <v>No aplica</v>
      </c>
      <c r="DV586" s="79" t="s">
        <v>191</v>
      </c>
      <c r="DW586" s="79" t="s">
        <v>182</v>
      </c>
      <c r="DX586" s="79"/>
      <c r="DY586" s="79"/>
      <c r="DZ586" s="79"/>
      <c r="EA586" s="79"/>
      <c r="EB586" s="79" t="s">
        <v>182</v>
      </c>
      <c r="EC586" s="79" t="s">
        <v>4077</v>
      </c>
      <c r="ED586" s="79" t="s">
        <v>4078</v>
      </c>
      <c r="EE586" s="79" t="str">
        <f t="shared" ref="EE586:EE589" si="488">IF(DI586="Subsanado","Completo","Por Completar")</f>
        <v>Completo</v>
      </c>
      <c r="EF586" s="41"/>
      <c r="EG586" s="79" t="s">
        <v>153</v>
      </c>
      <c r="EH586" s="71"/>
      <c r="EI586" s="80"/>
      <c r="EJ586" s="71"/>
      <c r="EK586" s="79"/>
      <c r="EL586" s="87" t="str">
        <f t="shared" si="465"/>
        <v>No requiere</v>
      </c>
      <c r="EM586" s="87" t="str">
        <f t="shared" si="466"/>
        <v>No requiere</v>
      </c>
      <c r="EN586" s="87" t="str">
        <f t="shared" ref="EN586:EN589" si="489">IF(F586="NO","No requiere",IF(H586="No","No requiere",IF(CC586="","",IF(CD586&lt;&gt;"No aplica",IF(CD586&lt;&gt;"Ninguna",IF(COUNTIF(CD586:CF586,"*")&gt;=1,"Sí","No"),"No"),"No aplica"))))</f>
        <v>No requiere</v>
      </c>
      <c r="EO586" s="71"/>
      <c r="EP586" s="84" t="str">
        <f t="shared" si="467"/>
        <v>No requiere</v>
      </c>
      <c r="EQ586" s="88" t="str">
        <f t="shared" si="468"/>
        <v>No requiere</v>
      </c>
      <c r="ER586" s="71"/>
      <c r="ES586" s="79"/>
      <c r="ET586" s="84" t="str">
        <f t="shared" si="469"/>
        <v>No requiere</v>
      </c>
      <c r="EU586" s="84" t="str">
        <f t="shared" ref="EU586:EU589" si="490">IF(F586="NO","No requiere",IF(H586="No","No requiere",IF(B586="","",IF(CX586="SÍ",IF(CK586&gt;=1,CY586/CK586,"Sin compromisos"),"Por verificar"))))</f>
        <v>No requiere</v>
      </c>
      <c r="EV586" s="84" t="str">
        <f t="shared" si="470"/>
        <v>No requiere</v>
      </c>
      <c r="EW586" s="84" t="str">
        <f t="shared" si="413"/>
        <v>No requiere</v>
      </c>
      <c r="EX586" s="78"/>
      <c r="EY586" s="78"/>
    </row>
    <row r="587" spans="1:155" ht="46.5" customHeight="1">
      <c r="A587" s="79" t="str">
        <v/>
      </c>
      <c r="B587" s="80" t="s">
        <v>4079</v>
      </c>
      <c r="C587" s="81">
        <v>45462</v>
      </c>
      <c r="D587" s="82">
        <v>0.375</v>
      </c>
      <c r="E587" s="79" t="s">
        <v>151</v>
      </c>
      <c r="F587" s="79" t="s">
        <v>152</v>
      </c>
      <c r="G587" s="79" t="s">
        <v>153</v>
      </c>
      <c r="H587" s="79" t="s">
        <v>152</v>
      </c>
      <c r="I587" s="79" t="s">
        <v>152</v>
      </c>
      <c r="J587" s="79" t="s">
        <v>1768</v>
      </c>
      <c r="K587" s="79" t="s">
        <v>155</v>
      </c>
      <c r="L587" s="80" t="s">
        <v>4080</v>
      </c>
      <c r="M587" s="80" t="s">
        <v>157</v>
      </c>
      <c r="N587" s="79" t="s">
        <v>720</v>
      </c>
      <c r="O587" s="80" t="str">
        <f t="shared" si="383"/>
        <v>PENDIENTE, PENDIENTE, PENDIENTE</v>
      </c>
      <c r="P587" s="79" t="s">
        <v>196</v>
      </c>
      <c r="Q587" s="79" t="s">
        <v>196</v>
      </c>
      <c r="R587" s="79" t="s">
        <v>196</v>
      </c>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t="s">
        <v>169</v>
      </c>
      <c r="AP587" s="79" t="s">
        <v>170</v>
      </c>
      <c r="AQ587" s="80" t="s">
        <v>4081</v>
      </c>
      <c r="AR587" s="83" t="s">
        <v>3821</v>
      </c>
      <c r="AS587" s="80" t="s">
        <v>3822</v>
      </c>
      <c r="AT587" s="80" t="str">
        <f t="shared" si="472"/>
        <v>Distrital</v>
      </c>
      <c r="AU587" s="79" t="s">
        <v>172</v>
      </c>
      <c r="AV587" s="79"/>
      <c r="AW587" s="79"/>
      <c r="AX587" s="79"/>
      <c r="AY587" s="79"/>
      <c r="AZ587" s="79"/>
      <c r="BA587" s="80" t="str">
        <f t="shared" si="481"/>
        <v>Distrital</v>
      </c>
      <c r="BB587" s="79" t="s">
        <v>172</v>
      </c>
      <c r="BC587" s="79"/>
      <c r="BD587" s="79"/>
      <c r="BE587" s="79"/>
      <c r="BF587" s="79"/>
      <c r="BG587" s="79"/>
      <c r="BH587" s="80" t="str">
        <f t="shared" si="482"/>
        <v>Distrital</v>
      </c>
      <c r="BI587" s="79" t="s">
        <v>172</v>
      </c>
      <c r="BJ587" s="79"/>
      <c r="BK587" s="79"/>
      <c r="BL587" s="79"/>
      <c r="BM587" s="79"/>
      <c r="BN587" s="79"/>
      <c r="BO587" s="79"/>
      <c r="BP587" s="79"/>
      <c r="BQ587" s="79"/>
      <c r="BR587" s="79"/>
      <c r="BS587" s="80" t="s">
        <v>288</v>
      </c>
      <c r="BT587" s="80" t="s">
        <v>174</v>
      </c>
      <c r="BU587" s="134" t="s">
        <v>4082</v>
      </c>
      <c r="BV587" s="71"/>
      <c r="BW587" s="79" t="s">
        <v>152</v>
      </c>
      <c r="BX587" s="79" t="s">
        <v>179</v>
      </c>
      <c r="BY587" s="71"/>
      <c r="BZ587" s="79">
        <v>7</v>
      </c>
      <c r="CA587" s="79">
        <v>10</v>
      </c>
      <c r="CB587" s="79">
        <f t="shared" si="483"/>
        <v>17</v>
      </c>
      <c r="CC587" s="79" t="str">
        <f t="shared" si="382"/>
        <v>Ninguna</v>
      </c>
      <c r="CD587" s="79" t="s">
        <v>174</v>
      </c>
      <c r="CE587" s="79"/>
      <c r="CF587" s="79"/>
      <c r="CG587" s="83" t="s">
        <v>4083</v>
      </c>
      <c r="CH587" s="41"/>
      <c r="CI587" s="79" t="s">
        <v>153</v>
      </c>
      <c r="CJ587" s="71"/>
      <c r="CK587" s="79">
        <f t="shared" si="484"/>
        <v>0</v>
      </c>
      <c r="CL587" s="79"/>
      <c r="CM587" s="79"/>
      <c r="CN587" s="79"/>
      <c r="CO587" s="79"/>
      <c r="CP587" s="79"/>
      <c r="CQ587" s="79"/>
      <c r="CR587" s="83" t="s">
        <v>179</v>
      </c>
      <c r="CS587" s="83" t="s">
        <v>179</v>
      </c>
      <c r="CT587" s="83" t="s">
        <v>179</v>
      </c>
      <c r="CU587" s="83" t="s">
        <v>179</v>
      </c>
      <c r="CV587" s="83" t="s">
        <v>179</v>
      </c>
      <c r="CW587" s="83" t="s">
        <v>179</v>
      </c>
      <c r="CX587" s="79" t="s">
        <v>153</v>
      </c>
      <c r="CY587" s="79">
        <f t="shared" si="485"/>
        <v>0</v>
      </c>
      <c r="CZ587" s="79">
        <v>0</v>
      </c>
      <c r="DA587" s="79">
        <f t="shared" si="486"/>
        <v>0</v>
      </c>
      <c r="DB587" s="84" t="str">
        <f t="shared" si="487"/>
        <v/>
      </c>
      <c r="DC587" s="41"/>
      <c r="DD587" s="79" t="s">
        <v>153</v>
      </c>
      <c r="DE587" s="71"/>
      <c r="DF587" s="127" t="s">
        <v>4084</v>
      </c>
      <c r="DG587" s="79">
        <v>576</v>
      </c>
      <c r="DH587" s="86" t="str">
        <f t="shared" si="446"/>
        <v>Completo</v>
      </c>
      <c r="DI587" s="79" t="s">
        <v>181</v>
      </c>
      <c r="DJ587" s="79" t="s">
        <v>182</v>
      </c>
      <c r="DK587" s="79"/>
      <c r="DL587" s="79">
        <v>0</v>
      </c>
      <c r="DM587" s="79">
        <v>0</v>
      </c>
      <c r="DN587" s="79" t="s">
        <v>182</v>
      </c>
      <c r="DO587" s="79"/>
      <c r="DP587" s="79"/>
      <c r="DQ587" s="79"/>
      <c r="DR587" s="75" t="str">
        <f t="shared" si="411"/>
        <v>No aplica</v>
      </c>
      <c r="DS587" s="79"/>
      <c r="DT587" s="79"/>
      <c r="DU587" s="75" t="str">
        <f t="shared" si="412"/>
        <v>No aplica</v>
      </c>
      <c r="DV587" s="79" t="s">
        <v>182</v>
      </c>
      <c r="DW587" s="79"/>
      <c r="DX587" s="79"/>
      <c r="DY587" s="79"/>
      <c r="DZ587" s="79"/>
      <c r="EA587" s="79"/>
      <c r="EB587" s="79"/>
      <c r="EC587" s="79"/>
      <c r="ED587" s="79" t="s">
        <v>4085</v>
      </c>
      <c r="EE587" s="79" t="str">
        <f t="shared" si="488"/>
        <v>Completo</v>
      </c>
      <c r="EF587" s="41"/>
      <c r="EG587" s="79" t="s">
        <v>153</v>
      </c>
      <c r="EH587" s="71"/>
      <c r="EI587" s="80"/>
      <c r="EJ587" s="71"/>
      <c r="EK587" s="79"/>
      <c r="EL587" s="87" t="str">
        <f t="shared" si="465"/>
        <v>No requiere</v>
      </c>
      <c r="EM587" s="87" t="str">
        <f t="shared" si="466"/>
        <v>No requiere</v>
      </c>
      <c r="EN587" s="87" t="str">
        <f t="shared" si="489"/>
        <v>No requiere</v>
      </c>
      <c r="EO587" s="71"/>
      <c r="EP587" s="84" t="str">
        <f t="shared" si="467"/>
        <v>No requiere</v>
      </c>
      <c r="EQ587" s="88" t="str">
        <f t="shared" si="468"/>
        <v>No requiere</v>
      </c>
      <c r="ER587" s="71"/>
      <c r="ES587" s="79"/>
      <c r="ET587" s="84" t="str">
        <f t="shared" si="469"/>
        <v>No requiere</v>
      </c>
      <c r="EU587" s="84" t="str">
        <f t="shared" si="490"/>
        <v>No requiere</v>
      </c>
      <c r="EV587" s="84" t="str">
        <f t="shared" si="470"/>
        <v>No requiere</v>
      </c>
      <c r="EW587" s="84" t="str">
        <f t="shared" si="413"/>
        <v>No requiere</v>
      </c>
      <c r="EX587" s="78"/>
      <c r="EY587" s="78"/>
    </row>
    <row r="588" spans="1:155" ht="46.5" customHeight="1">
      <c r="A588" s="79">
        <v>584</v>
      </c>
      <c r="B588" s="80" t="s">
        <v>1007</v>
      </c>
      <c r="C588" s="81">
        <v>45462</v>
      </c>
      <c r="D588" s="82">
        <v>0.375</v>
      </c>
      <c r="E588" s="79" t="s">
        <v>200</v>
      </c>
      <c r="F588" s="79" t="s">
        <v>153</v>
      </c>
      <c r="G588" s="79" t="s">
        <v>152</v>
      </c>
      <c r="H588" s="79" t="s">
        <v>152</v>
      </c>
      <c r="I588" s="79" t="s">
        <v>152</v>
      </c>
      <c r="J588" s="79" t="s">
        <v>504</v>
      </c>
      <c r="K588" s="79" t="s">
        <v>155</v>
      </c>
      <c r="L588" s="80" t="s">
        <v>4086</v>
      </c>
      <c r="M588" s="80" t="s">
        <v>157</v>
      </c>
      <c r="N588" s="79" t="s">
        <v>645</v>
      </c>
      <c r="O588" s="80" t="str">
        <f t="shared" si="383"/>
        <v/>
      </c>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t="s">
        <v>169</v>
      </c>
      <c r="AP588" s="79" t="s">
        <v>2702</v>
      </c>
      <c r="AQ588" s="80" t="s">
        <v>4087</v>
      </c>
      <c r="AR588" s="83" t="s">
        <v>4088</v>
      </c>
      <c r="AS588" s="80" t="s">
        <v>4089</v>
      </c>
      <c r="AT588" s="80" t="str">
        <f t="shared" si="472"/>
        <v>Usme</v>
      </c>
      <c r="AU588" s="79" t="s">
        <v>1009</v>
      </c>
      <c r="AV588" s="79"/>
      <c r="AW588" s="79"/>
      <c r="AX588" s="79"/>
      <c r="AY588" s="79"/>
      <c r="AZ588" s="79"/>
      <c r="BA588" s="80" t="str">
        <f t="shared" si="481"/>
        <v>Suroriente, Ruralidad</v>
      </c>
      <c r="BB588" s="79" t="s">
        <v>218</v>
      </c>
      <c r="BC588" s="79" t="s">
        <v>219</v>
      </c>
      <c r="BD588" s="79"/>
      <c r="BE588" s="79"/>
      <c r="BF588" s="79"/>
      <c r="BG588" s="79"/>
      <c r="BH588" s="80" t="str">
        <f t="shared" si="482"/>
        <v>Usme Entrenubes, Cerros Orientales, Rafael Uribe, Cuenca del Tunjuelo</v>
      </c>
      <c r="BI588" s="79" t="s">
        <v>1010</v>
      </c>
      <c r="BJ588" s="79" t="s">
        <v>361</v>
      </c>
      <c r="BK588" s="79" t="s">
        <v>723</v>
      </c>
      <c r="BL588" s="79" t="s">
        <v>222</v>
      </c>
      <c r="BM588" s="79"/>
      <c r="BN588" s="79"/>
      <c r="BO588" s="79"/>
      <c r="BP588" s="79"/>
      <c r="BQ588" s="79"/>
      <c r="BR588" s="79"/>
      <c r="BS588" s="80" t="s">
        <v>288</v>
      </c>
      <c r="BT588" s="80" t="s">
        <v>174</v>
      </c>
      <c r="BU588" s="80" t="s">
        <v>4090</v>
      </c>
      <c r="BV588" s="71"/>
      <c r="BW588" s="79" t="s">
        <v>152</v>
      </c>
      <c r="BX588" s="79" t="s">
        <v>179</v>
      </c>
      <c r="BY588" s="71"/>
      <c r="BZ588" s="79">
        <v>18</v>
      </c>
      <c r="CA588" s="79">
        <v>1</v>
      </c>
      <c r="CB588" s="79">
        <f t="shared" si="483"/>
        <v>19</v>
      </c>
      <c r="CC588" s="79" t="str">
        <f t="shared" si="382"/>
        <v>Ninguna</v>
      </c>
      <c r="CD588" s="79" t="s">
        <v>174</v>
      </c>
      <c r="CE588" s="79"/>
      <c r="CF588" s="79"/>
      <c r="CG588" s="83" t="s">
        <v>4091</v>
      </c>
      <c r="CH588" s="41"/>
      <c r="CI588" s="79" t="s">
        <v>153</v>
      </c>
      <c r="CJ588" s="71"/>
      <c r="CK588" s="79">
        <f t="shared" si="484"/>
        <v>0</v>
      </c>
      <c r="CL588" s="79"/>
      <c r="CM588" s="79"/>
      <c r="CN588" s="79"/>
      <c r="CO588" s="79"/>
      <c r="CP588" s="79"/>
      <c r="CQ588" s="79"/>
      <c r="CR588" s="83" t="s">
        <v>179</v>
      </c>
      <c r="CS588" s="83" t="s">
        <v>179</v>
      </c>
      <c r="CT588" s="83" t="s">
        <v>179</v>
      </c>
      <c r="CU588" s="83" t="s">
        <v>179</v>
      </c>
      <c r="CV588" s="83" t="s">
        <v>179</v>
      </c>
      <c r="CW588" s="83" t="s">
        <v>179</v>
      </c>
      <c r="CX588" s="79" t="s">
        <v>153</v>
      </c>
      <c r="CY588" s="79">
        <f t="shared" si="485"/>
        <v>0</v>
      </c>
      <c r="CZ588" s="79">
        <v>0</v>
      </c>
      <c r="DA588" s="79">
        <f t="shared" si="486"/>
        <v>0</v>
      </c>
      <c r="DB588" s="84" t="str">
        <f t="shared" si="487"/>
        <v/>
      </c>
      <c r="DC588" s="41"/>
      <c r="DD588" s="79" t="s">
        <v>153</v>
      </c>
      <c r="DE588" s="71"/>
      <c r="DF588" s="127" t="s">
        <v>4092</v>
      </c>
      <c r="DG588" s="79">
        <v>577</v>
      </c>
      <c r="DH588" s="86" t="str">
        <f t="shared" si="446"/>
        <v>Completo</v>
      </c>
      <c r="DI588" s="79" t="s">
        <v>181</v>
      </c>
      <c r="DJ588" s="79" t="s">
        <v>182</v>
      </c>
      <c r="DK588" s="79"/>
      <c r="DL588" s="79">
        <v>0</v>
      </c>
      <c r="DM588" s="79">
        <v>0</v>
      </c>
      <c r="DN588" s="79" t="s">
        <v>182</v>
      </c>
      <c r="DO588" s="79"/>
      <c r="DP588" s="79"/>
      <c r="DQ588" s="79"/>
      <c r="DR588" s="75" t="str">
        <f t="shared" si="411"/>
        <v>No aplica</v>
      </c>
      <c r="DS588" s="79"/>
      <c r="DT588" s="79"/>
      <c r="DU588" s="75" t="str">
        <f t="shared" si="412"/>
        <v>No aplica</v>
      </c>
      <c r="DV588" s="79" t="s">
        <v>182</v>
      </c>
      <c r="DW588" s="79" t="s">
        <v>182</v>
      </c>
      <c r="DX588" s="79"/>
      <c r="DY588" s="79"/>
      <c r="DZ588" s="79"/>
      <c r="EA588" s="79"/>
      <c r="EB588" s="79" t="s">
        <v>182</v>
      </c>
      <c r="EC588" s="79" t="s">
        <v>4093</v>
      </c>
      <c r="ED588" s="79" t="s">
        <v>770</v>
      </c>
      <c r="EE588" s="79" t="str">
        <f t="shared" si="488"/>
        <v>Completo</v>
      </c>
      <c r="EF588" s="41"/>
      <c r="EG588" s="79" t="s">
        <v>153</v>
      </c>
      <c r="EH588" s="71"/>
      <c r="EI588" s="80"/>
      <c r="EJ588" s="71"/>
      <c r="EK588" s="79"/>
      <c r="EL588" s="87" t="str">
        <f t="shared" si="465"/>
        <v>No requiere</v>
      </c>
      <c r="EM588" s="87" t="str">
        <f t="shared" si="466"/>
        <v>No requiere</v>
      </c>
      <c r="EN588" s="87" t="str">
        <f t="shared" si="489"/>
        <v>No requiere</v>
      </c>
      <c r="EO588" s="71"/>
      <c r="EP588" s="84" t="str">
        <f t="shared" si="467"/>
        <v>No requiere</v>
      </c>
      <c r="EQ588" s="88" t="str">
        <f t="shared" si="468"/>
        <v>No requiere</v>
      </c>
      <c r="ER588" s="71"/>
      <c r="ES588" s="79"/>
      <c r="ET588" s="84" t="str">
        <f t="shared" si="469"/>
        <v>No requiere</v>
      </c>
      <c r="EU588" s="84" t="str">
        <f t="shared" si="490"/>
        <v>No requiere</v>
      </c>
      <c r="EV588" s="84" t="str">
        <f t="shared" si="470"/>
        <v>No requiere</v>
      </c>
      <c r="EW588" s="84" t="str">
        <f t="shared" si="413"/>
        <v>No requiere</v>
      </c>
      <c r="EX588" s="78"/>
      <c r="EY588" s="78"/>
    </row>
    <row r="589" spans="1:155" ht="46.5" customHeight="1">
      <c r="A589" s="79">
        <v>585</v>
      </c>
      <c r="B589" s="80" t="s">
        <v>4094</v>
      </c>
      <c r="C589" s="81">
        <v>45462</v>
      </c>
      <c r="D589" s="82">
        <v>0.4375</v>
      </c>
      <c r="E589" s="79" t="s">
        <v>151</v>
      </c>
      <c r="F589" s="79" t="s">
        <v>153</v>
      </c>
      <c r="G589" s="79" t="s">
        <v>153</v>
      </c>
      <c r="H589" s="79" t="s">
        <v>152</v>
      </c>
      <c r="I589" s="79" t="s">
        <v>152</v>
      </c>
      <c r="J589" s="79" t="s">
        <v>3999</v>
      </c>
      <c r="K589" s="79" t="s">
        <v>155</v>
      </c>
      <c r="L589" s="80" t="s">
        <v>4000</v>
      </c>
      <c r="M589" s="80" t="s">
        <v>157</v>
      </c>
      <c r="N589" s="79" t="s">
        <v>632</v>
      </c>
      <c r="O589" s="80"/>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t="s">
        <v>230</v>
      </c>
      <c r="AP589" s="79" t="s">
        <v>356</v>
      </c>
      <c r="AQ589" s="80" t="s">
        <v>4095</v>
      </c>
      <c r="AR589" s="83" t="s">
        <v>4096</v>
      </c>
      <c r="AS589" s="80" t="s">
        <v>171</v>
      </c>
      <c r="AT589" s="80" t="str">
        <f t="shared" si="472"/>
        <v>Santa Fe</v>
      </c>
      <c r="AU589" s="79" t="s">
        <v>822</v>
      </c>
      <c r="AV589" s="79"/>
      <c r="AW589" s="79"/>
      <c r="AX589" s="79"/>
      <c r="AY589" s="79"/>
      <c r="AZ589" s="79"/>
      <c r="BA589" s="80" t="str">
        <f t="shared" si="481"/>
        <v>Centro Ampliado, Ruralidad</v>
      </c>
      <c r="BB589" s="79" t="s">
        <v>636</v>
      </c>
      <c r="BC589" s="79" t="s">
        <v>219</v>
      </c>
      <c r="BD589" s="79"/>
      <c r="BE589" s="79"/>
      <c r="BF589" s="79"/>
      <c r="BG589" s="79"/>
      <c r="BH589" s="80" t="str">
        <f t="shared" si="482"/>
        <v>Centro Histórico, Cerros Orientales</v>
      </c>
      <c r="BI589" s="79" t="s">
        <v>754</v>
      </c>
      <c r="BJ589" s="79" t="s">
        <v>361</v>
      </c>
      <c r="BK589" s="79"/>
      <c r="BL589" s="79"/>
      <c r="BM589" s="79"/>
      <c r="BN589" s="79"/>
      <c r="BO589" s="79"/>
      <c r="BP589" s="79"/>
      <c r="BQ589" s="79"/>
      <c r="BR589" s="79"/>
      <c r="BS589" s="80" t="s">
        <v>288</v>
      </c>
      <c r="BT589" s="80" t="s">
        <v>174</v>
      </c>
      <c r="BU589" s="80" t="s">
        <v>4097</v>
      </c>
      <c r="BV589" s="71"/>
      <c r="BW589" s="79" t="s">
        <v>152</v>
      </c>
      <c r="BX589" s="79" t="s">
        <v>179</v>
      </c>
      <c r="BY589" s="71"/>
      <c r="BZ589" s="79">
        <v>3</v>
      </c>
      <c r="CA589" s="79">
        <v>1</v>
      </c>
      <c r="CB589" s="79">
        <f t="shared" si="483"/>
        <v>4</v>
      </c>
      <c r="CC589" s="79" t="str">
        <f t="shared" si="382"/>
        <v>Ninguna</v>
      </c>
      <c r="CD589" s="79" t="s">
        <v>174</v>
      </c>
      <c r="CE589" s="79"/>
      <c r="CF589" s="79"/>
      <c r="CG589" s="83" t="s">
        <v>4098</v>
      </c>
      <c r="CH589" s="41"/>
      <c r="CI589" s="79" t="s">
        <v>153</v>
      </c>
      <c r="CJ589" s="71"/>
      <c r="CK589" s="79">
        <v>1</v>
      </c>
      <c r="CL589" s="209" t="s">
        <v>4099</v>
      </c>
      <c r="CM589" s="79"/>
      <c r="CN589" s="79"/>
      <c r="CO589" s="79"/>
      <c r="CP589" s="79"/>
      <c r="CQ589" s="79"/>
      <c r="CR589" s="83" t="s">
        <v>390</v>
      </c>
      <c r="CS589" s="83" t="s">
        <v>179</v>
      </c>
      <c r="CT589" s="83" t="s">
        <v>179</v>
      </c>
      <c r="CU589" s="83" t="s">
        <v>179</v>
      </c>
      <c r="CV589" s="83" t="s">
        <v>179</v>
      </c>
      <c r="CW589" s="83" t="s">
        <v>179</v>
      </c>
      <c r="CX589" s="79" t="s">
        <v>153</v>
      </c>
      <c r="CY589" s="79">
        <f t="shared" si="485"/>
        <v>1</v>
      </c>
      <c r="CZ589" s="79">
        <v>1</v>
      </c>
      <c r="DA589" s="79">
        <f t="shared" si="486"/>
        <v>1</v>
      </c>
      <c r="DB589" s="84">
        <f t="shared" si="487"/>
        <v>1</v>
      </c>
      <c r="DC589" s="41"/>
      <c r="DD589" s="79" t="s">
        <v>153</v>
      </c>
      <c r="DE589" s="71"/>
      <c r="DF589" s="127" t="s">
        <v>4100</v>
      </c>
      <c r="DG589" s="79">
        <v>578</v>
      </c>
      <c r="DH589" s="86" t="str">
        <f t="shared" si="446"/>
        <v>Completo</v>
      </c>
      <c r="DI589" s="79" t="s">
        <v>181</v>
      </c>
      <c r="DJ589" s="79" t="s">
        <v>182</v>
      </c>
      <c r="DK589" s="79"/>
      <c r="DL589" s="79">
        <v>0</v>
      </c>
      <c r="DM589" s="79">
        <v>0</v>
      </c>
      <c r="DN589" s="79" t="s">
        <v>182</v>
      </c>
      <c r="DO589" s="79"/>
      <c r="DP589" s="79"/>
      <c r="DQ589" s="79"/>
      <c r="DR589" s="75" t="str">
        <f t="shared" si="411"/>
        <v>No aplica</v>
      </c>
      <c r="DS589" s="79"/>
      <c r="DT589" s="79"/>
      <c r="DU589" s="75" t="str">
        <f t="shared" si="412"/>
        <v>No aplica</v>
      </c>
      <c r="DV589" s="79" t="s">
        <v>182</v>
      </c>
      <c r="DW589" s="79" t="s">
        <v>191</v>
      </c>
      <c r="DX589" s="79"/>
      <c r="DY589" s="79"/>
      <c r="DZ589" s="79"/>
      <c r="EA589" s="79"/>
      <c r="EB589" s="79"/>
      <c r="EC589" s="79"/>
      <c r="ED589" s="79" t="s">
        <v>4101</v>
      </c>
      <c r="EE589" s="79" t="str">
        <f t="shared" si="488"/>
        <v>Completo</v>
      </c>
      <c r="EF589" s="79"/>
      <c r="EG589" s="194" t="s">
        <v>4102</v>
      </c>
      <c r="EH589" s="71"/>
      <c r="EI589" s="80"/>
      <c r="EJ589" s="71"/>
      <c r="EK589" s="79"/>
      <c r="EL589" s="87" t="str">
        <f t="shared" si="465"/>
        <v>No requiere</v>
      </c>
      <c r="EM589" s="87" t="str">
        <f t="shared" si="466"/>
        <v>No requiere</v>
      </c>
      <c r="EN589" s="87" t="str">
        <f t="shared" si="489"/>
        <v>No requiere</v>
      </c>
      <c r="EO589" s="71"/>
      <c r="EP589" s="84" t="str">
        <f t="shared" si="467"/>
        <v>No requiere</v>
      </c>
      <c r="EQ589" s="88" t="str">
        <f t="shared" si="468"/>
        <v>No requiere</v>
      </c>
      <c r="ER589" s="71"/>
      <c r="ES589" s="79"/>
      <c r="ET589" s="84" t="str">
        <f t="shared" si="469"/>
        <v>No requiere</v>
      </c>
      <c r="EU589" s="84" t="str">
        <f t="shared" si="490"/>
        <v>No requiere</v>
      </c>
      <c r="EV589" s="84" t="str">
        <f t="shared" si="470"/>
        <v>No requiere</v>
      </c>
      <c r="EW589" s="84" t="str">
        <f t="shared" si="413"/>
        <v>No requiere</v>
      </c>
      <c r="EX589" s="78"/>
      <c r="EY589" s="78"/>
    </row>
    <row r="590" spans="1:155" ht="46.5" customHeight="1">
      <c r="A590" s="79">
        <v>586</v>
      </c>
      <c r="B590" s="80" t="s">
        <v>2321</v>
      </c>
      <c r="C590" s="81">
        <v>45462</v>
      </c>
      <c r="D590" s="82">
        <v>0.58333333333333337</v>
      </c>
      <c r="E590" s="79" t="s">
        <v>200</v>
      </c>
      <c r="F590" s="79" t="s">
        <v>153</v>
      </c>
      <c r="G590" s="79" t="s">
        <v>152</v>
      </c>
      <c r="H590" s="79" t="s">
        <v>152</v>
      </c>
      <c r="I590" s="79" t="s">
        <v>152</v>
      </c>
      <c r="J590" s="79" t="s">
        <v>504</v>
      </c>
      <c r="K590" s="79" t="s">
        <v>155</v>
      </c>
      <c r="L590" s="80" t="s">
        <v>2322</v>
      </c>
      <c r="M590" s="80" t="s">
        <v>157</v>
      </c>
      <c r="N590" s="79" t="s">
        <v>924</v>
      </c>
      <c r="O590" s="80" t="str">
        <f t="shared" ref="O590:O599" si="491">_xlfn.TEXTJOIN(", ",TRUE,P590:AN590)</f>
        <v/>
      </c>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t="s">
        <v>169</v>
      </c>
      <c r="AP590" s="79" t="s">
        <v>2702</v>
      </c>
      <c r="AQ590" s="80" t="s">
        <v>4103</v>
      </c>
      <c r="AR590" s="83" t="s">
        <v>4104</v>
      </c>
      <c r="AS590" s="80" t="s">
        <v>3692</v>
      </c>
      <c r="AT590" s="80" t="str">
        <f t="shared" si="472"/>
        <v>Kennedy</v>
      </c>
      <c r="AU590" s="79" t="s">
        <v>731</v>
      </c>
      <c r="AV590" s="79"/>
      <c r="AW590" s="79"/>
      <c r="AX590" s="79"/>
      <c r="AY590" s="79"/>
      <c r="AZ590" s="79"/>
      <c r="BA590" s="80" t="str">
        <f t="shared" si="481"/>
        <v>Suroccidente</v>
      </c>
      <c r="BB590" s="79" t="s">
        <v>732</v>
      </c>
      <c r="BC590" s="79"/>
      <c r="BD590" s="79"/>
      <c r="BE590" s="79"/>
      <c r="BF590" s="79"/>
      <c r="BG590" s="79"/>
      <c r="BH590" s="80" t="str">
        <f t="shared" si="482"/>
        <v>Kennedy, Tintal, Bosa, Edén, Patio Bonito, Porvenir</v>
      </c>
      <c r="BI590" s="79" t="s">
        <v>731</v>
      </c>
      <c r="BJ590" s="79" t="s">
        <v>1697</v>
      </c>
      <c r="BK590" s="79" t="s">
        <v>730</v>
      </c>
      <c r="BL590" s="79" t="s">
        <v>1057</v>
      </c>
      <c r="BM590" s="79" t="s">
        <v>967</v>
      </c>
      <c r="BN590" s="79" t="s">
        <v>1058</v>
      </c>
      <c r="BO590" s="79"/>
      <c r="BP590" s="79"/>
      <c r="BQ590" s="79"/>
      <c r="BR590" s="79"/>
      <c r="BS590" s="80" t="s">
        <v>288</v>
      </c>
      <c r="BT590" s="80" t="s">
        <v>174</v>
      </c>
      <c r="BU590" s="80" t="s">
        <v>4105</v>
      </c>
      <c r="BV590" s="71"/>
      <c r="BW590" s="79" t="s">
        <v>152</v>
      </c>
      <c r="BX590" s="79" t="s">
        <v>179</v>
      </c>
      <c r="BY590" s="71"/>
      <c r="BZ590" s="79">
        <v>12</v>
      </c>
      <c r="CA590" s="79">
        <v>1</v>
      </c>
      <c r="CB590" s="79">
        <f>BZ590+CA590</f>
        <v>13</v>
      </c>
      <c r="CC590" s="79" t="str">
        <f>_xlfn.TEXTJOIN(", ",TRUE,$CD590:$CF590)</f>
        <v>Ninguna</v>
      </c>
      <c r="CD590" s="79" t="s">
        <v>174</v>
      </c>
      <c r="CE590" s="79"/>
      <c r="CF590" s="79"/>
      <c r="CG590" s="83" t="s">
        <v>4106</v>
      </c>
      <c r="CH590" s="41"/>
      <c r="CI590" s="79" t="s">
        <v>153</v>
      </c>
      <c r="CJ590" s="71"/>
      <c r="CK590" s="79">
        <f>COUNTIF(CL590:CQ590,"*")</f>
        <v>0</v>
      </c>
      <c r="CL590" s="79"/>
      <c r="CM590" s="79"/>
      <c r="CN590" s="79"/>
      <c r="CO590" s="79"/>
      <c r="CP590" s="79"/>
      <c r="CQ590" s="79"/>
      <c r="CR590" s="83" t="s">
        <v>179</v>
      </c>
      <c r="CS590" s="83" t="s">
        <v>179</v>
      </c>
      <c r="CT590" s="83" t="s">
        <v>179</v>
      </c>
      <c r="CU590" s="83" t="s">
        <v>179</v>
      </c>
      <c r="CV590" s="83" t="s">
        <v>179</v>
      </c>
      <c r="CW590" s="83" t="s">
        <v>179</v>
      </c>
      <c r="CX590" s="79" t="s">
        <v>153</v>
      </c>
      <c r="CY590" s="79">
        <f>SUM(COUNTIF(CR590:CW590,"Realizado y Devuelto a la Ciudadanía"),COUNTIF(CR590:CW590,"Realizado y Trasladado por competencia"), COUNTIF(CR590:CW590,"Realizado y Gestionado"))</f>
        <v>0</v>
      </c>
      <c r="CZ590" s="79">
        <v>0</v>
      </c>
      <c r="DA590" s="79">
        <f>COUNTIF(CR590:CW590,"Realizado y Devuelto a la Ciudadanía")</f>
        <v>0</v>
      </c>
      <c r="DB590" s="84" t="str">
        <f>IFERROR(CY590/CK590,"")</f>
        <v/>
      </c>
      <c r="DC590" s="41"/>
      <c r="DD590" s="79" t="s">
        <v>153</v>
      </c>
      <c r="DE590" s="71"/>
      <c r="DF590" s="127" t="s">
        <v>4092</v>
      </c>
      <c r="DG590" s="79">
        <v>579</v>
      </c>
      <c r="DH590" s="86" t="str">
        <f t="shared" si="446"/>
        <v>Completo</v>
      </c>
      <c r="DI590" s="79" t="s">
        <v>181</v>
      </c>
      <c r="DJ590" s="79" t="s">
        <v>182</v>
      </c>
      <c r="DK590" s="79"/>
      <c r="DL590" s="79">
        <v>0</v>
      </c>
      <c r="DM590" s="79">
        <v>0</v>
      </c>
      <c r="DN590" s="79" t="s">
        <v>182</v>
      </c>
      <c r="DO590" s="79"/>
      <c r="DP590" s="79"/>
      <c r="DQ590" s="79"/>
      <c r="DR590" s="75" t="str">
        <f t="shared" si="411"/>
        <v>No aplica</v>
      </c>
      <c r="DS590" s="79"/>
      <c r="DT590" s="79"/>
      <c r="DU590" s="75" t="str">
        <f t="shared" si="412"/>
        <v>No aplica</v>
      </c>
      <c r="DV590" s="79" t="s">
        <v>182</v>
      </c>
      <c r="DW590" s="79" t="s">
        <v>182</v>
      </c>
      <c r="DX590" s="79"/>
      <c r="DY590" s="79"/>
      <c r="DZ590" s="79"/>
      <c r="EA590" s="79"/>
      <c r="EB590" s="79"/>
      <c r="EC590" s="79"/>
      <c r="ED590" s="79" t="s">
        <v>4107</v>
      </c>
      <c r="EE590" s="79" t="str">
        <f>IF(DI590="Subsanado","Completo","Por Completar")</f>
        <v>Completo</v>
      </c>
      <c r="EF590" s="41"/>
      <c r="EG590" s="79" t="s">
        <v>153</v>
      </c>
      <c r="EH590" s="71"/>
      <c r="EI590" s="80"/>
      <c r="EJ590" s="71"/>
      <c r="EK590" s="79"/>
      <c r="EL590" s="87" t="str">
        <f t="shared" si="465"/>
        <v>No requiere</v>
      </c>
      <c r="EM590" s="87" t="str">
        <f t="shared" si="466"/>
        <v>No requiere</v>
      </c>
      <c r="EN590" s="87" t="str">
        <f>IF(F590="NO","No requiere",IF(H590="No","No requiere",IF(CC590="","",IF(CD590&lt;&gt;"No aplica",IF(CD590&lt;&gt;"Ninguna",IF(COUNTIF(CD590:CF590,"*")&gt;=1,"Sí","No"),"No"),"No aplica"))))</f>
        <v>No requiere</v>
      </c>
      <c r="EO590" s="71"/>
      <c r="EP590" s="84" t="str">
        <f t="shared" si="467"/>
        <v>No requiere</v>
      </c>
      <c r="EQ590" s="88" t="str">
        <f t="shared" si="468"/>
        <v>No requiere</v>
      </c>
      <c r="ER590" s="71"/>
      <c r="ES590" s="79"/>
      <c r="ET590" s="84" t="str">
        <f t="shared" si="469"/>
        <v>No requiere</v>
      </c>
      <c r="EU590" s="84" t="str">
        <f>IF(F590="NO","No requiere",IF(H590="No","No requiere",IF(B590="","",IF(CX590="SÍ",IF(CK590&gt;=1,CY590/CK590,"Sin compromisos"),"Por verificar"))))</f>
        <v>No requiere</v>
      </c>
      <c r="EV590" s="84" t="str">
        <f t="shared" si="470"/>
        <v>No requiere</v>
      </c>
      <c r="EW590" s="84" t="str">
        <f t="shared" si="413"/>
        <v>No requiere</v>
      </c>
      <c r="EX590" s="78"/>
      <c r="EY590" s="78"/>
    </row>
    <row r="591" spans="1:155" ht="46.5" customHeight="1">
      <c r="A591" s="79">
        <v>587</v>
      </c>
      <c r="B591" s="80" t="s">
        <v>4108</v>
      </c>
      <c r="C591" s="81">
        <v>45462</v>
      </c>
      <c r="D591" s="82">
        <v>0.60416666666666663</v>
      </c>
      <c r="E591" s="79" t="s">
        <v>151</v>
      </c>
      <c r="F591" s="79" t="s">
        <v>153</v>
      </c>
      <c r="G591" s="79" t="s">
        <v>152</v>
      </c>
      <c r="H591" s="79" t="s">
        <v>152</v>
      </c>
      <c r="I591" s="79" t="s">
        <v>152</v>
      </c>
      <c r="J591" s="79" t="s">
        <v>251</v>
      </c>
      <c r="K591" s="79" t="s">
        <v>155</v>
      </c>
      <c r="L591" s="80" t="s">
        <v>4109</v>
      </c>
      <c r="M591" s="80" t="s">
        <v>157</v>
      </c>
      <c r="N591" s="79" t="s">
        <v>801</v>
      </c>
      <c r="O591" s="80" t="str">
        <f t="shared" si="491"/>
        <v/>
      </c>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t="s">
        <v>304</v>
      </c>
      <c r="AP591" s="79"/>
      <c r="AQ591" s="80" t="s">
        <v>4110</v>
      </c>
      <c r="AR591" s="83" t="s">
        <v>4111</v>
      </c>
      <c r="AS591" s="80" t="s">
        <v>4112</v>
      </c>
      <c r="AT591" s="80" t="str">
        <f t="shared" si="472"/>
        <v>Suba</v>
      </c>
      <c r="AU591" s="79" t="s">
        <v>602</v>
      </c>
      <c r="AV591" s="79"/>
      <c r="AW591" s="79"/>
      <c r="AX591" s="79"/>
      <c r="AY591" s="79"/>
      <c r="AZ591" s="79"/>
      <c r="BA591" s="80" t="str">
        <f t="shared" si="481"/>
        <v>Norte</v>
      </c>
      <c r="BB591" s="79" t="s">
        <v>662</v>
      </c>
      <c r="BC591" s="79"/>
      <c r="BD591" s="79"/>
      <c r="BE591" s="79"/>
      <c r="BF591" s="79"/>
      <c r="BG591" s="79"/>
      <c r="BH591" s="80" t="str">
        <f t="shared" si="482"/>
        <v>Niza, Suba, Suba Rincón, Tibabuyes, Britalia, Torca</v>
      </c>
      <c r="BI591" s="79" t="s">
        <v>865</v>
      </c>
      <c r="BJ591" s="79" t="s">
        <v>602</v>
      </c>
      <c r="BK591" s="79" t="s">
        <v>604</v>
      </c>
      <c r="BL591" s="79" t="s">
        <v>1378</v>
      </c>
      <c r="BM591" s="79" t="s">
        <v>1313</v>
      </c>
      <c r="BN591" s="79" t="s">
        <v>805</v>
      </c>
      <c r="BO591" s="79"/>
      <c r="BP591" s="79"/>
      <c r="BQ591" s="79"/>
      <c r="BR591" s="79"/>
      <c r="BS591" s="80" t="s">
        <v>288</v>
      </c>
      <c r="BT591" s="80" t="s">
        <v>174</v>
      </c>
      <c r="BU591" s="80" t="s">
        <v>4113</v>
      </c>
      <c r="BV591" s="71"/>
      <c r="BW591" s="79" t="s">
        <v>152</v>
      </c>
      <c r="BX591" s="79" t="s">
        <v>179</v>
      </c>
      <c r="BY591" s="71"/>
      <c r="BZ591" s="79">
        <v>26</v>
      </c>
      <c r="CA591" s="79">
        <v>4</v>
      </c>
      <c r="CB591" s="79">
        <f t="shared" ref="CB591" si="492">BZ591+CA591</f>
        <v>30</v>
      </c>
      <c r="CC591" s="79" t="str">
        <f t="shared" si="382"/>
        <v>Ninguna</v>
      </c>
      <c r="CD591" s="79" t="s">
        <v>174</v>
      </c>
      <c r="CE591" s="79"/>
      <c r="CF591" s="79"/>
      <c r="CG591" s="83" t="s">
        <v>4114</v>
      </c>
      <c r="CH591" s="41"/>
      <c r="CI591" s="79" t="s">
        <v>153</v>
      </c>
      <c r="CJ591" s="71"/>
      <c r="CK591" s="79">
        <f t="shared" ref="CK591" si="493">COUNTIF(CL591:CQ591,"*")</f>
        <v>0</v>
      </c>
      <c r="CL591" s="79"/>
      <c r="CM591" s="79"/>
      <c r="CN591" s="79"/>
      <c r="CO591" s="79"/>
      <c r="CP591" s="79"/>
      <c r="CQ591" s="79"/>
      <c r="CR591" s="83" t="s">
        <v>179</v>
      </c>
      <c r="CS591" s="83" t="s">
        <v>179</v>
      </c>
      <c r="CT591" s="83" t="s">
        <v>179</v>
      </c>
      <c r="CU591" s="83" t="s">
        <v>179</v>
      </c>
      <c r="CV591" s="83" t="s">
        <v>179</v>
      </c>
      <c r="CW591" s="83" t="s">
        <v>179</v>
      </c>
      <c r="CX591" s="79" t="s">
        <v>153</v>
      </c>
      <c r="CY591" s="79">
        <f t="shared" ref="CY591" si="494">SUM(COUNTIF(CR591:CW591,"Realizado y Devuelto a la Ciudadanía"),COUNTIF(CR591:CW591,"Realizado y Trasladado por competencia"), COUNTIF(CR591:CW591,"Realizado y Gestionado"))</f>
        <v>0</v>
      </c>
      <c r="CZ591" s="79">
        <v>0</v>
      </c>
      <c r="DA591" s="79">
        <f t="shared" ref="DA591" si="495">COUNTIF(CR591:CW591,"Realizado y Devuelto a la Ciudadanía")</f>
        <v>0</v>
      </c>
      <c r="DB591" s="84" t="str">
        <f t="shared" ref="DB591" si="496">IFERROR(CY591/CK591,"")</f>
        <v/>
      </c>
      <c r="DC591" s="41"/>
      <c r="DD591" s="79" t="s">
        <v>153</v>
      </c>
      <c r="DE591" s="71"/>
      <c r="DF591" s="127" t="s">
        <v>4115</v>
      </c>
      <c r="DG591" s="79">
        <v>580</v>
      </c>
      <c r="DH591" s="86" t="str">
        <f t="shared" si="446"/>
        <v>Completo</v>
      </c>
      <c r="DI591" s="79" t="s">
        <v>181</v>
      </c>
      <c r="DJ591" s="79" t="s">
        <v>182</v>
      </c>
      <c r="DK591" s="79"/>
      <c r="DL591" s="79">
        <v>0</v>
      </c>
      <c r="DM591" s="79">
        <v>0</v>
      </c>
      <c r="DN591" s="79" t="s">
        <v>182</v>
      </c>
      <c r="DO591" s="79"/>
      <c r="DP591" s="79"/>
      <c r="DQ591" s="79"/>
      <c r="DR591" s="75" t="str">
        <f t="shared" si="411"/>
        <v>No aplica</v>
      </c>
      <c r="DS591" s="79"/>
      <c r="DT591" s="79"/>
      <c r="DU591" s="75" t="str">
        <f t="shared" si="412"/>
        <v>No aplica</v>
      </c>
      <c r="DV591" s="79" t="s">
        <v>182</v>
      </c>
      <c r="DW591" s="79" t="s">
        <v>182</v>
      </c>
      <c r="DX591" s="79"/>
      <c r="DY591" s="79"/>
      <c r="DZ591" s="79"/>
      <c r="EA591" s="79"/>
      <c r="EB591" s="79"/>
      <c r="EC591" s="79"/>
      <c r="ED591" s="79" t="s">
        <v>4009</v>
      </c>
      <c r="EE591" s="79" t="str">
        <f t="shared" ref="EE591" si="497">IF(DI591="Subsanado","Completo","Por Completar")</f>
        <v>Completo</v>
      </c>
      <c r="EF591" s="41"/>
      <c r="EG591" s="79" t="s">
        <v>153</v>
      </c>
      <c r="EH591" s="71"/>
      <c r="EI591" s="80"/>
      <c r="EJ591" s="71"/>
      <c r="EK591" s="79"/>
      <c r="EL591" s="87" t="str">
        <f t="shared" si="465"/>
        <v>No requiere</v>
      </c>
      <c r="EM591" s="87" t="str">
        <f t="shared" si="466"/>
        <v>No requiere</v>
      </c>
      <c r="EN591" s="87" t="str">
        <f t="shared" ref="EN591" si="498">IF(F591="NO","No requiere",IF(H591="No","No requiere",IF(CC591="","",IF(CD591&lt;&gt;"No aplica",IF(CD591&lt;&gt;"Ninguna",IF(COUNTIF(CD591:CF591,"*")&gt;=1,"Sí","No"),"No"),"No aplica"))))</f>
        <v>No requiere</v>
      </c>
      <c r="EO591" s="71"/>
      <c r="EP591" s="84" t="str">
        <f t="shared" si="467"/>
        <v>No requiere</v>
      </c>
      <c r="EQ591" s="88" t="str">
        <f t="shared" si="468"/>
        <v>No requiere</v>
      </c>
      <c r="ER591" s="71"/>
      <c r="ES591" s="79"/>
      <c r="ET591" s="84" t="str">
        <f t="shared" si="469"/>
        <v>No requiere</v>
      </c>
      <c r="EU591" s="84" t="str">
        <f t="shared" ref="EU591" si="499">IF(F591="NO","No requiere",IF(H591="No","No requiere",IF(B591="","",IF(CX591="SÍ",IF(CK591&gt;=1,CY591/CK591,"Sin compromisos"),"Por verificar"))))</f>
        <v>No requiere</v>
      </c>
      <c r="EV591" s="84" t="str">
        <f t="shared" si="470"/>
        <v>No requiere</v>
      </c>
      <c r="EW591" s="84" t="str">
        <f t="shared" si="413"/>
        <v>No requiere</v>
      </c>
      <c r="EX591" s="78"/>
      <c r="EY591" s="78"/>
    </row>
    <row r="592" spans="1:155" ht="46.5" customHeight="1">
      <c r="A592" s="79" t="str">
        <v/>
      </c>
      <c r="B592" s="80" t="s">
        <v>4116</v>
      </c>
      <c r="C592" s="81">
        <v>45462</v>
      </c>
      <c r="D592" s="82">
        <v>0.625</v>
      </c>
      <c r="E592" s="79" t="s">
        <v>151</v>
      </c>
      <c r="F592" s="79" t="s">
        <v>152</v>
      </c>
      <c r="G592" s="79" t="s">
        <v>153</v>
      </c>
      <c r="H592" s="79" t="s">
        <v>152</v>
      </c>
      <c r="I592" s="79" t="s">
        <v>152</v>
      </c>
      <c r="J592" s="79" t="s">
        <v>1768</v>
      </c>
      <c r="K592" s="79" t="s">
        <v>202</v>
      </c>
      <c r="L592" s="80" t="s">
        <v>4117</v>
      </c>
      <c r="M592" s="80" t="s">
        <v>157</v>
      </c>
      <c r="N592" s="79" t="s">
        <v>924</v>
      </c>
      <c r="O592" s="80" t="str">
        <f t="shared" si="491"/>
        <v/>
      </c>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t="s">
        <v>169</v>
      </c>
      <c r="AP592" s="79" t="s">
        <v>170</v>
      </c>
      <c r="AQ592" s="80" t="s">
        <v>3643</v>
      </c>
      <c r="AR592" s="83" t="s">
        <v>4118</v>
      </c>
      <c r="AS592" s="80" t="s">
        <v>3010</v>
      </c>
      <c r="AT592" s="80" t="str">
        <f t="shared" si="472"/>
        <v>Distrital</v>
      </c>
      <c r="AU592" s="79" t="s">
        <v>172</v>
      </c>
      <c r="AV592" s="79"/>
      <c r="AW592" s="79"/>
      <c r="AX592" s="79"/>
      <c r="AY592" s="79"/>
      <c r="AZ592" s="79"/>
      <c r="BA592" s="80" t="str">
        <f t="shared" si="481"/>
        <v>Distrital</v>
      </c>
      <c r="BB592" s="79" t="s">
        <v>172</v>
      </c>
      <c r="BC592" s="79"/>
      <c r="BD592" s="79"/>
      <c r="BE592" s="79"/>
      <c r="BF592" s="79"/>
      <c r="BG592" s="79"/>
      <c r="BH592" s="80" t="str">
        <f t="shared" si="482"/>
        <v>Distrital</v>
      </c>
      <c r="BI592" s="79" t="s">
        <v>172</v>
      </c>
      <c r="BJ592" s="79"/>
      <c r="BK592" s="79"/>
      <c r="BL592" s="79"/>
      <c r="BM592" s="79"/>
      <c r="BN592" s="79"/>
      <c r="BO592" s="79"/>
      <c r="BP592" s="79"/>
      <c r="BQ592" s="79"/>
      <c r="BR592" s="79"/>
      <c r="BS592" s="80" t="s">
        <v>288</v>
      </c>
      <c r="BT592" s="80" t="s">
        <v>174</v>
      </c>
      <c r="BU592" s="128" t="s">
        <v>3931</v>
      </c>
      <c r="BV592" s="71"/>
      <c r="BW592" s="79" t="s">
        <v>152</v>
      </c>
      <c r="BX592" s="79" t="s">
        <v>179</v>
      </c>
      <c r="BY592" s="71"/>
      <c r="BZ592" s="79">
        <v>0</v>
      </c>
      <c r="CA592" s="79">
        <v>7</v>
      </c>
      <c r="CB592" s="79">
        <f>BZ592+CA592</f>
        <v>7</v>
      </c>
      <c r="CC592" s="79" t="str">
        <f>_xlfn.TEXTJOIN(", ",TRUE,$CD592:$CF592)</f>
        <v>Ninguna</v>
      </c>
      <c r="CD592" s="79" t="s">
        <v>174</v>
      </c>
      <c r="CE592" s="79"/>
      <c r="CF592" s="79"/>
      <c r="CG592" s="83" t="s">
        <v>4119</v>
      </c>
      <c r="CH592" s="41"/>
      <c r="CI592" s="79" t="s">
        <v>153</v>
      </c>
      <c r="CJ592" s="71"/>
      <c r="CK592" s="79">
        <f>COUNTIF(CL592:CQ592,"*")</f>
        <v>0</v>
      </c>
      <c r="CL592" s="79"/>
      <c r="CM592" s="79"/>
      <c r="CN592" s="79"/>
      <c r="CO592" s="79"/>
      <c r="CP592" s="79"/>
      <c r="CQ592" s="79"/>
      <c r="CR592" s="83" t="s">
        <v>179</v>
      </c>
      <c r="CS592" s="83" t="s">
        <v>179</v>
      </c>
      <c r="CT592" s="83" t="s">
        <v>179</v>
      </c>
      <c r="CU592" s="83" t="s">
        <v>179</v>
      </c>
      <c r="CV592" s="83" t="s">
        <v>179</v>
      </c>
      <c r="CW592" s="83" t="s">
        <v>179</v>
      </c>
      <c r="CX592" s="79" t="s">
        <v>153</v>
      </c>
      <c r="CY592" s="79">
        <f>SUM(COUNTIF(CR592:CW592,"Realizado y Devuelto a la Ciudadanía"),COUNTIF(CR592:CW592,"Realizado y Trasladado por competencia"), COUNTIF(CR592:CW592,"Realizado y Gestionado"))</f>
        <v>0</v>
      </c>
      <c r="CZ592" s="79">
        <v>0</v>
      </c>
      <c r="DA592" s="79">
        <f>COUNTIF(CR592:CW592,"Realizado y Devuelto a la Ciudadanía")</f>
        <v>0</v>
      </c>
      <c r="DB592" s="84" t="str">
        <f>IFERROR(CY592/CK592,"")</f>
        <v/>
      </c>
      <c r="DC592" s="41"/>
      <c r="DD592" s="79" t="s">
        <v>153</v>
      </c>
      <c r="DE592" s="71"/>
      <c r="DF592" s="127" t="s">
        <v>4120</v>
      </c>
      <c r="DG592" s="79">
        <v>581</v>
      </c>
      <c r="DH592" s="86" t="str">
        <f t="shared" si="446"/>
        <v>Completo</v>
      </c>
      <c r="DI592" s="79" t="s">
        <v>181</v>
      </c>
      <c r="DJ592" s="79" t="s">
        <v>182</v>
      </c>
      <c r="DK592" s="79"/>
      <c r="DL592" s="79">
        <v>0</v>
      </c>
      <c r="DM592" s="79">
        <v>0</v>
      </c>
      <c r="DN592" s="79" t="s">
        <v>191</v>
      </c>
      <c r="DO592" s="79"/>
      <c r="DP592" s="79"/>
      <c r="DQ592" s="79"/>
      <c r="DR592" s="75" t="str">
        <f t="shared" ref="DR592:DR623" si="500">IF(H592="SÍ", (DQ592/(BZ592*0.3)), "No aplica")</f>
        <v>No aplica</v>
      </c>
      <c r="DS592" s="79"/>
      <c r="DT592" s="79"/>
      <c r="DU592" s="75" t="str">
        <f t="shared" ref="DU592:DU623" si="501">IF(H592="SÍ", (DT592/(BZ592*0.35)), "No aplica")</f>
        <v>No aplica</v>
      </c>
      <c r="DV592" s="79" t="s">
        <v>182</v>
      </c>
      <c r="DW592" s="79" t="s">
        <v>182</v>
      </c>
      <c r="DX592" s="79"/>
      <c r="DY592" s="79"/>
      <c r="DZ592" s="79"/>
      <c r="EA592" s="79"/>
      <c r="EB592" s="79"/>
      <c r="EC592" s="79"/>
      <c r="ED592" s="79" t="s">
        <v>4121</v>
      </c>
      <c r="EE592" s="79" t="str">
        <f>IF(DI592="Subsanado","Completo","Por Completar")</f>
        <v>Completo</v>
      </c>
      <c r="EF592" s="41"/>
      <c r="EG592" s="79" t="s">
        <v>153</v>
      </c>
      <c r="EH592" s="71"/>
      <c r="EI592" s="80"/>
      <c r="EJ592" s="71"/>
      <c r="EK592" s="79"/>
      <c r="EL592" s="87" t="str">
        <f t="shared" si="465"/>
        <v>No requiere</v>
      </c>
      <c r="EM592" s="87" t="str">
        <f t="shared" si="466"/>
        <v>No requiere</v>
      </c>
      <c r="EN592" s="87" t="str">
        <f>IF(F592="NO","No requiere",IF(H592="No","No requiere",IF(CC592="","",IF(CD592&lt;&gt;"No aplica",IF(CD592&lt;&gt;"Ninguna",IF(COUNTIF(CD592:CF592,"*")&gt;=1,"Sí","No"),"No"),"No aplica"))))</f>
        <v>No requiere</v>
      </c>
      <c r="EO592" s="71"/>
      <c r="EP592" s="84" t="str">
        <f t="shared" si="467"/>
        <v>No requiere</v>
      </c>
      <c r="EQ592" s="88" t="str">
        <f t="shared" si="468"/>
        <v>No requiere</v>
      </c>
      <c r="ER592" s="71"/>
      <c r="ES592" s="79"/>
      <c r="ET592" s="84" t="str">
        <f t="shared" si="469"/>
        <v>No requiere</v>
      </c>
      <c r="EU592" s="84" t="str">
        <f>IF(F592="NO","No requiere",IF(H592="No","No requiere",IF(B592="","",IF(CX592="SÍ",IF(CK592&gt;=1,CY592/CK592,"Sin compromisos"),"Por verificar"))))</f>
        <v>No requiere</v>
      </c>
      <c r="EV592" s="84" t="str">
        <f t="shared" si="470"/>
        <v>No requiere</v>
      </c>
      <c r="EW592" s="84" t="str">
        <f t="shared" ref="EW592:EW623" si="502">IF(F592="NO","No requiere",IF(H592="No","No requiere",IFERROR(IF(BZ592="","",IF(EA592&lt;&gt;"No aplica",IF(EA592&gt;=1,DO592/EA592,"0%"),"No aplica")),"")))</f>
        <v>No requiere</v>
      </c>
      <c r="EX592" s="78"/>
      <c r="EY592" s="78"/>
    </row>
    <row r="593" spans="1:155" ht="46.5" customHeight="1">
      <c r="A593" s="79" t="str">
        <v/>
      </c>
      <c r="B593" s="80" t="s">
        <v>4122</v>
      </c>
      <c r="C593" s="81">
        <v>45462</v>
      </c>
      <c r="D593" s="82">
        <v>0.625</v>
      </c>
      <c r="E593" s="79" t="s">
        <v>151</v>
      </c>
      <c r="F593" s="79" t="s">
        <v>152</v>
      </c>
      <c r="G593" s="79" t="s">
        <v>153</v>
      </c>
      <c r="H593" s="79" t="s">
        <v>152</v>
      </c>
      <c r="I593" s="79" t="s">
        <v>152</v>
      </c>
      <c r="J593" s="79" t="s">
        <v>1768</v>
      </c>
      <c r="K593" s="79" t="s">
        <v>155</v>
      </c>
      <c r="L593" s="80" t="s">
        <v>4123</v>
      </c>
      <c r="M593" s="80" t="s">
        <v>157</v>
      </c>
      <c r="N593" s="79" t="s">
        <v>820</v>
      </c>
      <c r="O593" s="80" t="str">
        <f t="shared" si="491"/>
        <v xml:space="preserve">Nancy Stella Villa </v>
      </c>
      <c r="P593" s="79" t="s">
        <v>1611</v>
      </c>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t="s">
        <v>169</v>
      </c>
      <c r="AP593" s="79" t="s">
        <v>170</v>
      </c>
      <c r="AQ593" s="80" t="s">
        <v>4124</v>
      </c>
      <c r="AR593" s="83" t="s">
        <v>4125</v>
      </c>
      <c r="AS593" s="80" t="s">
        <v>4126</v>
      </c>
      <c r="AT593" s="80" t="str">
        <f t="shared" si="472"/>
        <v>Distrital</v>
      </c>
      <c r="AU593" s="79" t="s">
        <v>172</v>
      </c>
      <c r="AV593" s="79"/>
      <c r="AW593" s="79"/>
      <c r="AX593" s="79"/>
      <c r="AY593" s="79"/>
      <c r="AZ593" s="79"/>
      <c r="BA593" s="80" t="str">
        <f t="shared" si="481"/>
        <v>Distrital</v>
      </c>
      <c r="BB593" s="79" t="s">
        <v>172</v>
      </c>
      <c r="BC593" s="79"/>
      <c r="BD593" s="79"/>
      <c r="BE593" s="79"/>
      <c r="BF593" s="79"/>
      <c r="BG593" s="79"/>
      <c r="BH593" s="80" t="str">
        <f t="shared" si="482"/>
        <v>Distrital</v>
      </c>
      <c r="BI593" s="79" t="s">
        <v>172</v>
      </c>
      <c r="BJ593" s="79"/>
      <c r="BK593" s="79"/>
      <c r="BL593" s="79"/>
      <c r="BM593" s="79"/>
      <c r="BN593" s="79"/>
      <c r="BO593" s="79"/>
      <c r="BP593" s="79"/>
      <c r="BQ593" s="79"/>
      <c r="BR593" s="79"/>
      <c r="BS593" s="80" t="s">
        <v>288</v>
      </c>
      <c r="BT593" s="80" t="s">
        <v>4127</v>
      </c>
      <c r="BU593" s="80" t="s">
        <v>4128</v>
      </c>
      <c r="BV593" s="71"/>
      <c r="BW593" s="79" t="s">
        <v>152</v>
      </c>
      <c r="BX593" s="79" t="s">
        <v>179</v>
      </c>
      <c r="BY593" s="71"/>
      <c r="BZ593" s="79">
        <v>0</v>
      </c>
      <c r="CA593" s="79">
        <v>11</v>
      </c>
      <c r="CB593" s="79">
        <f t="shared" ref="CB593:CB594" si="503">BZ593+CA593</f>
        <v>11</v>
      </c>
      <c r="CC593" s="79" t="str">
        <f t="shared" si="382"/>
        <v>Ninguna</v>
      </c>
      <c r="CD593" s="79" t="s">
        <v>174</v>
      </c>
      <c r="CE593" s="79"/>
      <c r="CF593" s="79"/>
      <c r="CG593" s="83" t="s">
        <v>4129</v>
      </c>
      <c r="CH593" s="41"/>
      <c r="CI593" s="79" t="s">
        <v>153</v>
      </c>
      <c r="CJ593" s="71"/>
      <c r="CK593" s="79">
        <f t="shared" ref="CK593:CK594" si="504">COUNTIF(CL593:CQ593,"*")</f>
        <v>0</v>
      </c>
      <c r="CL593" s="79"/>
      <c r="CM593" s="79"/>
      <c r="CN593" s="79"/>
      <c r="CO593" s="79"/>
      <c r="CP593" s="79"/>
      <c r="CQ593" s="79"/>
      <c r="CR593" s="83" t="s">
        <v>179</v>
      </c>
      <c r="CS593" s="83" t="s">
        <v>179</v>
      </c>
      <c r="CT593" s="83" t="s">
        <v>179</v>
      </c>
      <c r="CU593" s="83" t="s">
        <v>179</v>
      </c>
      <c r="CV593" s="83" t="s">
        <v>179</v>
      </c>
      <c r="CW593" s="83" t="s">
        <v>179</v>
      </c>
      <c r="CX593" s="79" t="s">
        <v>153</v>
      </c>
      <c r="CY593" s="79">
        <f t="shared" ref="CY593:CY594" si="505">SUM(COUNTIF(CR593:CW593,"Realizado y Devuelto a la Ciudadanía"),COUNTIF(CR593:CW593,"Realizado y Trasladado por competencia"), COUNTIF(CR593:CW593,"Realizado y Gestionado"))</f>
        <v>0</v>
      </c>
      <c r="CZ593" s="79">
        <v>0</v>
      </c>
      <c r="DA593" s="79">
        <f t="shared" ref="DA593:DA594" si="506">COUNTIF(CR593:CW593,"Realizado y Devuelto a la Ciudadanía")</f>
        <v>0</v>
      </c>
      <c r="DB593" s="84" t="str">
        <f t="shared" ref="DB593:DB594" si="507">IFERROR(CY593/CK593,"")</f>
        <v/>
      </c>
      <c r="DC593" s="41"/>
      <c r="DD593" s="79" t="s">
        <v>153</v>
      </c>
      <c r="DE593" s="71"/>
      <c r="DF593" s="127" t="s">
        <v>4130</v>
      </c>
      <c r="DG593" s="79">
        <v>582</v>
      </c>
      <c r="DH593" s="86" t="str">
        <f t="shared" si="446"/>
        <v>Completo</v>
      </c>
      <c r="DI593" s="79" t="s">
        <v>181</v>
      </c>
      <c r="DJ593" s="79" t="s">
        <v>182</v>
      </c>
      <c r="DK593" s="79"/>
      <c r="DL593" s="79">
        <v>0</v>
      </c>
      <c r="DM593" s="79">
        <v>0</v>
      </c>
      <c r="DN593" s="79" t="s">
        <v>182</v>
      </c>
      <c r="DO593" s="79"/>
      <c r="DP593" s="79"/>
      <c r="DQ593" s="79"/>
      <c r="DR593" s="75" t="str">
        <f t="shared" si="500"/>
        <v>No aplica</v>
      </c>
      <c r="DS593" s="79"/>
      <c r="DT593" s="79"/>
      <c r="DU593" s="75" t="str">
        <f t="shared" si="501"/>
        <v>No aplica</v>
      </c>
      <c r="DV593" s="79" t="s">
        <v>182</v>
      </c>
      <c r="DW593" s="79" t="s">
        <v>182</v>
      </c>
      <c r="DX593" s="79"/>
      <c r="DY593" s="79"/>
      <c r="DZ593" s="79"/>
      <c r="EA593" s="79"/>
      <c r="EB593" s="79" t="s">
        <v>191</v>
      </c>
      <c r="EC593" s="79"/>
      <c r="ED593" s="79" t="s">
        <v>4131</v>
      </c>
      <c r="EE593" s="79" t="str">
        <f t="shared" ref="EE593:EE594" si="508">IF(DI593="Subsanado","Completo","Por Completar")</f>
        <v>Completo</v>
      </c>
      <c r="EF593" s="41"/>
      <c r="EG593" s="79" t="s">
        <v>153</v>
      </c>
      <c r="EH593" s="71"/>
      <c r="EI593" s="80"/>
      <c r="EJ593" s="71"/>
      <c r="EK593" s="79"/>
      <c r="EL593" s="87" t="str">
        <f t="shared" si="465"/>
        <v>No requiere</v>
      </c>
      <c r="EM593" s="87" t="str">
        <f t="shared" si="466"/>
        <v>No requiere</v>
      </c>
      <c r="EN593" s="87" t="str">
        <f t="shared" ref="EN593:EN594" si="509">IF(F593="NO","No requiere",IF(H593="No","No requiere",IF(CC593="","",IF(CD593&lt;&gt;"No aplica",IF(CD593&lt;&gt;"Ninguna",IF(COUNTIF(CD593:CF593,"*")&gt;=1,"Sí","No"),"No"),"No aplica"))))</f>
        <v>No requiere</v>
      </c>
      <c r="EO593" s="71"/>
      <c r="EP593" s="84" t="str">
        <f t="shared" si="467"/>
        <v>No requiere</v>
      </c>
      <c r="EQ593" s="88" t="str">
        <f t="shared" si="468"/>
        <v>No requiere</v>
      </c>
      <c r="ER593" s="71"/>
      <c r="ES593" s="79"/>
      <c r="ET593" s="84" t="str">
        <f t="shared" si="469"/>
        <v>No requiere</v>
      </c>
      <c r="EU593" s="84" t="str">
        <f t="shared" ref="EU593:EU594" si="510">IF(F593="NO","No requiere",IF(H593="No","No requiere",IF(B593="","",IF(CX593="SÍ",IF(CK593&gt;=1,CY593/CK593,"Sin compromisos"),"Por verificar"))))</f>
        <v>No requiere</v>
      </c>
      <c r="EV593" s="84" t="str">
        <f t="shared" si="470"/>
        <v>No requiere</v>
      </c>
      <c r="EW593" s="84" t="str">
        <f t="shared" si="502"/>
        <v>No requiere</v>
      </c>
      <c r="EX593" s="78"/>
      <c r="EY593" s="78"/>
    </row>
    <row r="594" spans="1:155" ht="46.5" customHeight="1">
      <c r="A594" s="79">
        <v>590</v>
      </c>
      <c r="B594" s="80" t="s">
        <v>4132</v>
      </c>
      <c r="C594" s="81">
        <v>45462</v>
      </c>
      <c r="D594" s="82">
        <v>0.6875</v>
      </c>
      <c r="E594" s="79" t="s">
        <v>151</v>
      </c>
      <c r="F594" s="79" t="s">
        <v>153</v>
      </c>
      <c r="G594" s="79" t="s">
        <v>153</v>
      </c>
      <c r="H594" s="79" t="s">
        <v>152</v>
      </c>
      <c r="I594" s="79" t="s">
        <v>152</v>
      </c>
      <c r="J594" s="79" t="s">
        <v>3999</v>
      </c>
      <c r="K594" s="79" t="s">
        <v>202</v>
      </c>
      <c r="L594" s="80" t="s">
        <v>4043</v>
      </c>
      <c r="M594" s="80" t="s">
        <v>157</v>
      </c>
      <c r="N594" s="79" t="s">
        <v>818</v>
      </c>
      <c r="O594" s="80" t="str">
        <f t="shared" si="491"/>
        <v/>
      </c>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t="s">
        <v>230</v>
      </c>
      <c r="AP594" s="79" t="s">
        <v>356</v>
      </c>
      <c r="AQ594" s="80" t="s">
        <v>171</v>
      </c>
      <c r="AR594" s="83" t="s">
        <v>171</v>
      </c>
      <c r="AS594" s="80" t="s">
        <v>171</v>
      </c>
      <c r="AT594" s="80" t="str">
        <f t="shared" si="472"/>
        <v>Antonio Nariño</v>
      </c>
      <c r="AU594" s="79" t="s">
        <v>634</v>
      </c>
      <c r="AV594" s="79"/>
      <c r="AW594" s="79"/>
      <c r="AX594" s="79"/>
      <c r="AY594" s="79"/>
      <c r="AZ594" s="79"/>
      <c r="BA594" s="80" t="str">
        <f t="shared" si="481"/>
        <v>Centro Ampliado</v>
      </c>
      <c r="BB594" s="79" t="s">
        <v>636</v>
      </c>
      <c r="BC594" s="79"/>
      <c r="BD594" s="79"/>
      <c r="BE594" s="79"/>
      <c r="BF594" s="79"/>
      <c r="BG594" s="79"/>
      <c r="BH594" s="80" t="str">
        <f t="shared" si="482"/>
        <v>Restrepo</v>
      </c>
      <c r="BI594" s="79" t="s">
        <v>637</v>
      </c>
      <c r="BJ594" s="79"/>
      <c r="BK594" s="79"/>
      <c r="BL594" s="79"/>
      <c r="BM594" s="79"/>
      <c r="BN594" s="79"/>
      <c r="BO594" s="79"/>
      <c r="BP594" s="79"/>
      <c r="BQ594" s="79"/>
      <c r="BR594" s="79"/>
      <c r="BS594" s="80" t="s">
        <v>637</v>
      </c>
      <c r="BT594" s="80" t="s">
        <v>174</v>
      </c>
      <c r="BU594" s="128" t="s">
        <v>3931</v>
      </c>
      <c r="BV594" s="71"/>
      <c r="BW594" s="79" t="s">
        <v>152</v>
      </c>
      <c r="BX594" s="79" t="s">
        <v>179</v>
      </c>
      <c r="BY594" s="71"/>
      <c r="BZ594" s="79">
        <v>12</v>
      </c>
      <c r="CA594" s="79">
        <v>1</v>
      </c>
      <c r="CB594" s="79">
        <f t="shared" si="503"/>
        <v>13</v>
      </c>
      <c r="CC594" s="79" t="str">
        <f t="shared" si="382"/>
        <v>Horarios Acordes</v>
      </c>
      <c r="CD594" s="79" t="s">
        <v>351</v>
      </c>
      <c r="CE594" s="79"/>
      <c r="CF594" s="79"/>
      <c r="CG594" s="83" t="s">
        <v>4133</v>
      </c>
      <c r="CH594" s="41"/>
      <c r="CI594" s="79" t="s">
        <v>153</v>
      </c>
      <c r="CJ594" s="71"/>
      <c r="CK594" s="79">
        <f t="shared" si="504"/>
        <v>0</v>
      </c>
      <c r="CL594" s="79"/>
      <c r="CM594" s="79"/>
      <c r="CN594" s="79"/>
      <c r="CO594" s="79"/>
      <c r="CP594" s="79"/>
      <c r="CQ594" s="79"/>
      <c r="CR594" s="83" t="s">
        <v>179</v>
      </c>
      <c r="CS594" s="83" t="s">
        <v>179</v>
      </c>
      <c r="CT594" s="83" t="s">
        <v>179</v>
      </c>
      <c r="CU594" s="83" t="s">
        <v>179</v>
      </c>
      <c r="CV594" s="83" t="s">
        <v>179</v>
      </c>
      <c r="CW594" s="83" t="s">
        <v>179</v>
      </c>
      <c r="CX594" s="79" t="s">
        <v>153</v>
      </c>
      <c r="CY594" s="79">
        <f t="shared" si="505"/>
        <v>0</v>
      </c>
      <c r="CZ594" s="79">
        <v>0</v>
      </c>
      <c r="DA594" s="79">
        <f t="shared" si="506"/>
        <v>0</v>
      </c>
      <c r="DB594" s="84" t="str">
        <f t="shared" si="507"/>
        <v/>
      </c>
      <c r="DC594" s="41"/>
      <c r="DD594" s="79" t="s">
        <v>153</v>
      </c>
      <c r="DE594" s="71"/>
      <c r="DF594" s="127" t="s">
        <v>4134</v>
      </c>
      <c r="DG594" s="79">
        <v>583</v>
      </c>
      <c r="DH594" s="86" t="str">
        <f t="shared" si="446"/>
        <v>Completo</v>
      </c>
      <c r="DI594" s="79" t="s">
        <v>181</v>
      </c>
      <c r="DJ594" s="79" t="s">
        <v>182</v>
      </c>
      <c r="DK594" s="79"/>
      <c r="DL594" s="79">
        <v>0</v>
      </c>
      <c r="DM594" s="79">
        <v>0</v>
      </c>
      <c r="DN594" s="79" t="s">
        <v>182</v>
      </c>
      <c r="DO594" s="79"/>
      <c r="DP594" s="79"/>
      <c r="DQ594" s="79"/>
      <c r="DR594" s="75" t="str">
        <f t="shared" si="500"/>
        <v>No aplica</v>
      </c>
      <c r="DS594" s="79"/>
      <c r="DT594" s="79"/>
      <c r="DU594" s="75" t="str">
        <f t="shared" si="501"/>
        <v>No aplica</v>
      </c>
      <c r="DV594" s="79" t="s">
        <v>182</v>
      </c>
      <c r="DW594" s="79"/>
      <c r="DX594" s="79"/>
      <c r="DY594" s="79"/>
      <c r="DZ594" s="79"/>
      <c r="EA594" s="79"/>
      <c r="EB594" s="79"/>
      <c r="EC594" s="79"/>
      <c r="ED594" s="79" t="s">
        <v>4135</v>
      </c>
      <c r="EE594" s="79" t="str">
        <f t="shared" si="508"/>
        <v>Completo</v>
      </c>
      <c r="EF594" s="41"/>
      <c r="EG594" s="79" t="s">
        <v>153</v>
      </c>
      <c r="EH594" s="71"/>
      <c r="EI594" s="80"/>
      <c r="EJ594" s="71"/>
      <c r="EK594" s="79"/>
      <c r="EL594" s="87" t="str">
        <f t="shared" si="465"/>
        <v>No requiere</v>
      </c>
      <c r="EM594" s="87" t="str">
        <f t="shared" si="466"/>
        <v>No requiere</v>
      </c>
      <c r="EN594" s="87" t="str">
        <f t="shared" si="509"/>
        <v>No requiere</v>
      </c>
      <c r="EO594" s="71"/>
      <c r="EP594" s="84" t="str">
        <f t="shared" si="467"/>
        <v>No requiere</v>
      </c>
      <c r="EQ594" s="88" t="str">
        <f t="shared" si="468"/>
        <v>No requiere</v>
      </c>
      <c r="ER594" s="71"/>
      <c r="ES594" s="79"/>
      <c r="ET594" s="84" t="str">
        <f t="shared" si="469"/>
        <v>No requiere</v>
      </c>
      <c r="EU594" s="84" t="str">
        <f t="shared" si="510"/>
        <v>No requiere</v>
      </c>
      <c r="EV594" s="84" t="str">
        <f t="shared" si="470"/>
        <v>No requiere</v>
      </c>
      <c r="EW594" s="84" t="str">
        <f t="shared" si="502"/>
        <v>No requiere</v>
      </c>
      <c r="EX594" s="78"/>
      <c r="EY594" s="78"/>
    </row>
    <row r="595" spans="1:155" ht="46.5" customHeight="1">
      <c r="A595" s="79">
        <v>591</v>
      </c>
      <c r="B595" s="80" t="s">
        <v>4136</v>
      </c>
      <c r="C595" s="81">
        <v>45462</v>
      </c>
      <c r="D595" s="82">
        <v>0.75</v>
      </c>
      <c r="E595" s="79" t="s">
        <v>200</v>
      </c>
      <c r="F595" s="79" t="s">
        <v>153</v>
      </c>
      <c r="G595" s="79" t="s">
        <v>152</v>
      </c>
      <c r="H595" s="79" t="s">
        <v>152</v>
      </c>
      <c r="I595" s="79" t="s">
        <v>152</v>
      </c>
      <c r="J595" s="79" t="s">
        <v>211</v>
      </c>
      <c r="K595" s="79" t="s">
        <v>202</v>
      </c>
      <c r="L595" s="80" t="s">
        <v>4137</v>
      </c>
      <c r="M595" s="80" t="s">
        <v>624</v>
      </c>
      <c r="N595" s="79" t="s">
        <v>888</v>
      </c>
      <c r="O595" s="80" t="str">
        <f t="shared" si="491"/>
        <v/>
      </c>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t="s">
        <v>230</v>
      </c>
      <c r="AP595" s="79" t="s">
        <v>242</v>
      </c>
      <c r="AQ595" s="80" t="s">
        <v>1334</v>
      </c>
      <c r="AR595" s="83" t="s">
        <v>4138</v>
      </c>
      <c r="AS595" s="80" t="s">
        <v>3403</v>
      </c>
      <c r="AT595" s="80" t="str">
        <f t="shared" si="472"/>
        <v>Distrital</v>
      </c>
      <c r="AU595" s="79" t="s">
        <v>172</v>
      </c>
      <c r="AV595" s="79"/>
      <c r="AW595" s="79"/>
      <c r="AX595" s="79"/>
      <c r="AY595" s="79"/>
      <c r="AZ595" s="79"/>
      <c r="BA595" s="80" t="str">
        <f t="shared" si="481"/>
        <v>Distrital</v>
      </c>
      <c r="BB595" s="79" t="s">
        <v>172</v>
      </c>
      <c r="BC595" s="79"/>
      <c r="BD595" s="79"/>
      <c r="BE595" s="79"/>
      <c r="BF595" s="79"/>
      <c r="BG595" s="79"/>
      <c r="BH595" s="80" t="str">
        <f t="shared" si="482"/>
        <v>Distrital</v>
      </c>
      <c r="BI595" s="79" t="s">
        <v>172</v>
      </c>
      <c r="BJ595" s="79"/>
      <c r="BK595" s="79"/>
      <c r="BL595" s="79"/>
      <c r="BM595" s="79"/>
      <c r="BN595" s="79"/>
      <c r="BO595" s="79"/>
      <c r="BP595" s="79"/>
      <c r="BQ595" s="79"/>
      <c r="BR595" s="79"/>
      <c r="BS595" s="80" t="s">
        <v>288</v>
      </c>
      <c r="BT595" s="80" t="s">
        <v>174</v>
      </c>
      <c r="BU595" s="80" t="s">
        <v>211</v>
      </c>
      <c r="BV595" s="71"/>
      <c r="BW595" s="79" t="s">
        <v>152</v>
      </c>
      <c r="BX595" s="79" t="s">
        <v>179</v>
      </c>
      <c r="BY595" s="71"/>
      <c r="BZ595" s="79">
        <v>14</v>
      </c>
      <c r="CA595" s="79">
        <v>1</v>
      </c>
      <c r="CB595" s="79">
        <f>BZ595+CA595</f>
        <v>15</v>
      </c>
      <c r="CC595" s="79" t="str">
        <f>_xlfn.TEXTJOIN(", ",TRUE,$CD595:$CF595)</f>
        <v>Ninguna</v>
      </c>
      <c r="CD595" s="79" t="s">
        <v>174</v>
      </c>
      <c r="CE595" s="79"/>
      <c r="CF595" s="79"/>
      <c r="CG595" s="83" t="s">
        <v>4139</v>
      </c>
      <c r="CH595" s="41"/>
      <c r="CI595" s="79" t="s">
        <v>153</v>
      </c>
      <c r="CJ595" s="71"/>
      <c r="CK595" s="79">
        <f>COUNTIF(CL595:CQ595,"*")</f>
        <v>0</v>
      </c>
      <c r="CL595" s="79"/>
      <c r="CM595" s="79"/>
      <c r="CN595" s="79"/>
      <c r="CO595" s="79"/>
      <c r="CP595" s="79"/>
      <c r="CQ595" s="79"/>
      <c r="CR595" s="83" t="s">
        <v>179</v>
      </c>
      <c r="CS595" s="83" t="s">
        <v>179</v>
      </c>
      <c r="CT595" s="83" t="s">
        <v>179</v>
      </c>
      <c r="CU595" s="83" t="s">
        <v>179</v>
      </c>
      <c r="CV595" s="83" t="s">
        <v>179</v>
      </c>
      <c r="CW595" s="83" t="s">
        <v>179</v>
      </c>
      <c r="CX595" s="79" t="s">
        <v>153</v>
      </c>
      <c r="CY595" s="79">
        <f>SUM(COUNTIF(CR595:CW595,"Realizado y Devuelto a la Ciudadanía"),COUNTIF(CR595:CW595,"Realizado y Trasladado por competencia"), COUNTIF(CR595:CW595,"Realizado y Gestionado"))</f>
        <v>0</v>
      </c>
      <c r="CZ595" s="79">
        <v>0</v>
      </c>
      <c r="DA595" s="79">
        <f>COUNTIF(CR595:CW595,"Realizado y Devuelto a la Ciudadanía")</f>
        <v>0</v>
      </c>
      <c r="DB595" s="84" t="str">
        <f>IFERROR(CY595/CK595,"")</f>
        <v/>
      </c>
      <c r="DC595" s="41"/>
      <c r="DD595" s="79" t="s">
        <v>153</v>
      </c>
      <c r="DE595" s="71"/>
      <c r="DF595" s="127" t="s">
        <v>4140</v>
      </c>
      <c r="DG595" s="79">
        <v>584</v>
      </c>
      <c r="DH595" s="86" t="str">
        <f t="shared" si="446"/>
        <v>Completo</v>
      </c>
      <c r="DI595" s="79" t="s">
        <v>181</v>
      </c>
      <c r="DJ595" s="79" t="s">
        <v>182</v>
      </c>
      <c r="DK595" s="79"/>
      <c r="DL595" s="79">
        <v>0</v>
      </c>
      <c r="DM595" s="79">
        <v>0</v>
      </c>
      <c r="DN595" s="79" t="s">
        <v>182</v>
      </c>
      <c r="DO595" s="79"/>
      <c r="DP595" s="79"/>
      <c r="DQ595" s="79"/>
      <c r="DR595" s="75" t="str">
        <f t="shared" si="500"/>
        <v>No aplica</v>
      </c>
      <c r="DS595" s="79"/>
      <c r="DT595" s="79"/>
      <c r="DU595" s="75" t="str">
        <f t="shared" si="501"/>
        <v>No aplica</v>
      </c>
      <c r="DV595" s="79" t="s">
        <v>182</v>
      </c>
      <c r="DW595" s="79" t="s">
        <v>182</v>
      </c>
      <c r="DX595" s="79"/>
      <c r="DY595" s="79"/>
      <c r="DZ595" s="79"/>
      <c r="EA595" s="79"/>
      <c r="EB595" s="79" t="s">
        <v>182</v>
      </c>
      <c r="EC595" s="79" t="s">
        <v>4141</v>
      </c>
      <c r="ED595" s="79" t="s">
        <v>3866</v>
      </c>
      <c r="EE595" s="79" t="str">
        <f>IF(DI595="Subsanado","Completo","Por Completar")</f>
        <v>Completo</v>
      </c>
      <c r="EF595" s="41"/>
      <c r="EG595" s="79" t="s">
        <v>153</v>
      </c>
      <c r="EH595" s="71"/>
      <c r="EI595" s="80"/>
      <c r="EJ595" s="71"/>
      <c r="EK595" s="79"/>
      <c r="EL595" s="87" t="str">
        <f t="shared" si="465"/>
        <v>No requiere</v>
      </c>
      <c r="EM595" s="87" t="str">
        <f t="shared" si="466"/>
        <v>No requiere</v>
      </c>
      <c r="EN595" s="87" t="str">
        <f>IF(F595="NO","No requiere",IF(H595="No","No requiere",IF(CC595="","",IF(CD595&lt;&gt;"No aplica",IF(CD595&lt;&gt;"Ninguna",IF(COUNTIF(CD595:CF595,"*")&gt;=1,"Sí","No"),"No"),"No aplica"))))</f>
        <v>No requiere</v>
      </c>
      <c r="EO595" s="71"/>
      <c r="EP595" s="84" t="str">
        <f t="shared" si="467"/>
        <v>No requiere</v>
      </c>
      <c r="EQ595" s="88" t="str">
        <f t="shared" si="468"/>
        <v>No requiere</v>
      </c>
      <c r="ER595" s="71"/>
      <c r="ES595" s="79"/>
      <c r="ET595" s="84" t="str">
        <f t="shared" si="469"/>
        <v>No requiere</v>
      </c>
      <c r="EU595" s="84" t="str">
        <f>IF(F595="NO","No requiere",IF(H595="No","No requiere",IF(B595="","",IF(CX595="SÍ",IF(CK595&gt;=1,CY595/CK595,"Sin compromisos"),"Por verificar"))))</f>
        <v>No requiere</v>
      </c>
      <c r="EV595" s="84" t="str">
        <f t="shared" si="470"/>
        <v>No requiere</v>
      </c>
      <c r="EW595" s="84" t="str">
        <f t="shared" si="502"/>
        <v>No requiere</v>
      </c>
      <c r="EX595" s="78"/>
      <c r="EY595" s="78"/>
    </row>
    <row r="596" spans="1:155" ht="46.5" customHeight="1">
      <c r="A596" s="79" t="str">
        <v/>
      </c>
      <c r="B596" s="80" t="s">
        <v>4142</v>
      </c>
      <c r="C596" s="81">
        <v>45463</v>
      </c>
      <c r="D596" s="82">
        <v>0.33333333333333331</v>
      </c>
      <c r="E596" s="79" t="s">
        <v>151</v>
      </c>
      <c r="F596" s="79" t="s">
        <v>152</v>
      </c>
      <c r="G596" s="79" t="s">
        <v>152</v>
      </c>
      <c r="H596" s="79" t="s">
        <v>152</v>
      </c>
      <c r="I596" s="79" t="s">
        <v>152</v>
      </c>
      <c r="J596" s="79" t="s">
        <v>455</v>
      </c>
      <c r="K596" s="79" t="s">
        <v>202</v>
      </c>
      <c r="L596" s="80" t="s">
        <v>4143</v>
      </c>
      <c r="M596" s="80" t="s">
        <v>157</v>
      </c>
      <c r="N596" s="79" t="s">
        <v>158</v>
      </c>
      <c r="O596" s="80" t="str">
        <f t="shared" si="491"/>
        <v/>
      </c>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t="s">
        <v>169</v>
      </c>
      <c r="AP596" s="79" t="s">
        <v>170</v>
      </c>
      <c r="AQ596" s="80" t="s">
        <v>457</v>
      </c>
      <c r="AR596" s="83" t="s">
        <v>4144</v>
      </c>
      <c r="AS596" s="80" t="s">
        <v>459</v>
      </c>
      <c r="AT596" s="80" t="str">
        <f t="shared" si="472"/>
        <v>Distrital</v>
      </c>
      <c r="AU596" s="79" t="s">
        <v>172</v>
      </c>
      <c r="AV596" s="79"/>
      <c r="AW596" s="79"/>
      <c r="AX596" s="79"/>
      <c r="AY596" s="79"/>
      <c r="AZ596" s="79"/>
      <c r="BA596" s="80" t="str">
        <f t="shared" si="481"/>
        <v>Distrital</v>
      </c>
      <c r="BB596" s="79" t="s">
        <v>172</v>
      </c>
      <c r="BC596" s="79"/>
      <c r="BD596" s="79"/>
      <c r="BE596" s="79"/>
      <c r="BF596" s="79"/>
      <c r="BG596" s="79"/>
      <c r="BH596" s="80" t="str">
        <f t="shared" si="482"/>
        <v>Distrital</v>
      </c>
      <c r="BI596" s="79" t="s">
        <v>172</v>
      </c>
      <c r="BJ596" s="79"/>
      <c r="BK596" s="79"/>
      <c r="BL596" s="79"/>
      <c r="BM596" s="79"/>
      <c r="BN596" s="79"/>
      <c r="BO596" s="79"/>
      <c r="BP596" s="79"/>
      <c r="BQ596" s="79"/>
      <c r="BR596" s="79"/>
      <c r="BS596" s="80" t="s">
        <v>288</v>
      </c>
      <c r="BT596" s="80" t="s">
        <v>704</v>
      </c>
      <c r="BU596" s="128" t="s">
        <v>3931</v>
      </c>
      <c r="BV596" s="71"/>
      <c r="BW596" s="79" t="s">
        <v>152</v>
      </c>
      <c r="BX596" s="79" t="s">
        <v>179</v>
      </c>
      <c r="BY596" s="71"/>
      <c r="BZ596" s="79">
        <v>0</v>
      </c>
      <c r="CA596" s="79">
        <v>5</v>
      </c>
      <c r="CB596" s="79">
        <f>BZ596+CA596</f>
        <v>5</v>
      </c>
      <c r="CC596" s="79" t="str">
        <f>_xlfn.TEXTJOIN(", ",TRUE,$CD596:$CF596)</f>
        <v>Ninguna</v>
      </c>
      <c r="CD596" s="79" t="s">
        <v>174</v>
      </c>
      <c r="CE596" s="79"/>
      <c r="CF596" s="79"/>
      <c r="CG596" s="83" t="s">
        <v>4145</v>
      </c>
      <c r="CH596" s="41"/>
      <c r="CI596" s="79" t="s">
        <v>153</v>
      </c>
      <c r="CJ596" s="71"/>
      <c r="CK596" s="79">
        <f>COUNTIF(CL596:CQ596,"*")</f>
        <v>0</v>
      </c>
      <c r="CL596" s="79"/>
      <c r="CM596" s="79"/>
      <c r="CN596" s="79"/>
      <c r="CO596" s="79"/>
      <c r="CP596" s="79"/>
      <c r="CQ596" s="79"/>
      <c r="CR596" s="83" t="s">
        <v>179</v>
      </c>
      <c r="CS596" s="83" t="s">
        <v>179</v>
      </c>
      <c r="CT596" s="83" t="s">
        <v>179</v>
      </c>
      <c r="CU596" s="83" t="s">
        <v>179</v>
      </c>
      <c r="CV596" s="83" t="s">
        <v>179</v>
      </c>
      <c r="CW596" s="83" t="s">
        <v>179</v>
      </c>
      <c r="CX596" s="79" t="s">
        <v>153</v>
      </c>
      <c r="CY596" s="79">
        <f>SUM(COUNTIF(CR596:CW596,"Realizado y Devuelto a la Ciudadanía"),COUNTIF(CR596:CW596,"Realizado y Trasladado por competencia"), COUNTIF(CR596:CW596,"Realizado y Gestionado"))</f>
        <v>0</v>
      </c>
      <c r="CZ596" s="79">
        <v>0</v>
      </c>
      <c r="DA596" s="79">
        <f>COUNTIF(CR596:CW596,"Realizado y Devuelto a la Ciudadanía")</f>
        <v>0</v>
      </c>
      <c r="DB596" s="84" t="str">
        <f>IFERROR(CY596/CK596,"")</f>
        <v/>
      </c>
      <c r="DC596" s="41"/>
      <c r="DD596" s="79" t="s">
        <v>153</v>
      </c>
      <c r="DE596" s="71"/>
      <c r="DF596" s="127" t="s">
        <v>4146</v>
      </c>
      <c r="DG596" s="79">
        <v>585</v>
      </c>
      <c r="DH596" s="86" t="str">
        <f t="shared" si="446"/>
        <v>Completo</v>
      </c>
      <c r="DI596" s="79" t="s">
        <v>181</v>
      </c>
      <c r="DJ596" s="79" t="s">
        <v>182</v>
      </c>
      <c r="DK596" s="79"/>
      <c r="DL596" s="79">
        <v>0</v>
      </c>
      <c r="DM596" s="79">
        <v>0</v>
      </c>
      <c r="DN596" s="79" t="s">
        <v>182</v>
      </c>
      <c r="DO596" s="79"/>
      <c r="DP596" s="79"/>
      <c r="DQ596" s="79"/>
      <c r="DR596" s="75" t="str">
        <f t="shared" si="500"/>
        <v>No aplica</v>
      </c>
      <c r="DS596" s="79"/>
      <c r="DT596" s="79"/>
      <c r="DU596" s="75" t="str">
        <f t="shared" si="501"/>
        <v>No aplica</v>
      </c>
      <c r="DV596" s="79" t="s">
        <v>182</v>
      </c>
      <c r="DW596" s="79" t="s">
        <v>182</v>
      </c>
      <c r="DX596" s="79"/>
      <c r="DY596" s="79"/>
      <c r="DZ596" s="79"/>
      <c r="EA596" s="79"/>
      <c r="EB596" s="79"/>
      <c r="EC596" s="79"/>
      <c r="ED596" s="79" t="s">
        <v>4147</v>
      </c>
      <c r="EE596" s="79" t="str">
        <f>IF(DI596="Subsanado","Completo","Por Completar")</f>
        <v>Completo</v>
      </c>
      <c r="EF596" s="41"/>
      <c r="EG596" s="79" t="s">
        <v>153</v>
      </c>
      <c r="EH596" s="71"/>
      <c r="EI596" s="80"/>
      <c r="EJ596" s="71"/>
      <c r="EK596" s="79"/>
      <c r="EL596" s="87" t="str">
        <f t="shared" si="465"/>
        <v>No requiere</v>
      </c>
      <c r="EM596" s="87" t="str">
        <f t="shared" si="466"/>
        <v>No requiere</v>
      </c>
      <c r="EN596" s="87" t="str">
        <f>IF(F596="NO","No requiere",IF(H596="No","No requiere",IF(CC596="","",IF(CD596&lt;&gt;"No aplica",IF(CD596&lt;&gt;"Ninguna",IF(COUNTIF(CD596:CF596,"*")&gt;=1,"Sí","No"),"No"),"No aplica"))))</f>
        <v>No requiere</v>
      </c>
      <c r="EO596" s="71"/>
      <c r="EP596" s="84" t="str">
        <f t="shared" si="467"/>
        <v>No requiere</v>
      </c>
      <c r="EQ596" s="88" t="str">
        <f t="shared" si="468"/>
        <v>No requiere</v>
      </c>
      <c r="ER596" s="71"/>
      <c r="ES596" s="79"/>
      <c r="ET596" s="84" t="str">
        <f t="shared" si="469"/>
        <v>No requiere</v>
      </c>
      <c r="EU596" s="84" t="str">
        <f>IF(F596="NO","No requiere",IF(H596="No","No requiere",IF(B596="","",IF(CX596="SÍ",IF(CK596&gt;=1,CY596/CK596,"Sin compromisos"),"Por verificar"))))</f>
        <v>No requiere</v>
      </c>
      <c r="EV596" s="84" t="str">
        <f t="shared" si="470"/>
        <v>No requiere</v>
      </c>
      <c r="EW596" s="84" t="str">
        <f t="shared" si="502"/>
        <v>No requiere</v>
      </c>
      <c r="EX596" s="78"/>
      <c r="EY596" s="78"/>
    </row>
    <row r="597" spans="1:155" ht="46.5" customHeight="1">
      <c r="A597" s="79" t="str">
        <v/>
      </c>
      <c r="B597" s="80" t="s">
        <v>4148</v>
      </c>
      <c r="C597" s="81">
        <v>45463</v>
      </c>
      <c r="D597" s="82">
        <v>0.375</v>
      </c>
      <c r="E597" s="79" t="s">
        <v>151</v>
      </c>
      <c r="F597" s="79" t="s">
        <v>152</v>
      </c>
      <c r="G597" s="79" t="s">
        <v>153</v>
      </c>
      <c r="H597" s="79" t="s">
        <v>152</v>
      </c>
      <c r="I597" s="79" t="s">
        <v>152</v>
      </c>
      <c r="J597" s="79" t="s">
        <v>1768</v>
      </c>
      <c r="K597" s="79" t="s">
        <v>202</v>
      </c>
      <c r="L597" s="80" t="s">
        <v>4149</v>
      </c>
      <c r="M597" s="80" t="s">
        <v>624</v>
      </c>
      <c r="N597" s="79" t="s">
        <v>818</v>
      </c>
      <c r="O597" s="80" t="str">
        <f t="shared" si="491"/>
        <v/>
      </c>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t="s">
        <v>169</v>
      </c>
      <c r="AP597" s="79" t="s">
        <v>170</v>
      </c>
      <c r="AQ597" s="80" t="s">
        <v>232</v>
      </c>
      <c r="AR597" s="83" t="s">
        <v>4150</v>
      </c>
      <c r="AS597" s="80" t="s">
        <v>3371</v>
      </c>
      <c r="AT597" s="80" t="str">
        <f t="shared" si="472"/>
        <v>Distrital</v>
      </c>
      <c r="AU597" s="79" t="s">
        <v>172</v>
      </c>
      <c r="AV597" s="79"/>
      <c r="AW597" s="79"/>
      <c r="AX597" s="79"/>
      <c r="AY597" s="79"/>
      <c r="AZ597" s="79"/>
      <c r="BA597" s="80" t="str">
        <f t="shared" si="481"/>
        <v>Centro Ampliado</v>
      </c>
      <c r="BB597" s="79" t="s">
        <v>636</v>
      </c>
      <c r="BC597" s="79"/>
      <c r="BD597" s="79"/>
      <c r="BE597" s="79"/>
      <c r="BF597" s="79"/>
      <c r="BG597" s="79"/>
      <c r="BH597" s="80" t="str">
        <f t="shared" si="482"/>
        <v>Distrital</v>
      </c>
      <c r="BI597" s="79" t="s">
        <v>172</v>
      </c>
      <c r="BJ597" s="79"/>
      <c r="BK597" s="79"/>
      <c r="BL597" s="79"/>
      <c r="BM597" s="79"/>
      <c r="BN597" s="79"/>
      <c r="BO597" s="79"/>
      <c r="BP597" s="79"/>
      <c r="BQ597" s="79"/>
      <c r="BR597" s="79"/>
      <c r="BS597" s="80" t="s">
        <v>288</v>
      </c>
      <c r="BT597" s="80" t="s">
        <v>2362</v>
      </c>
      <c r="BU597" s="128" t="s">
        <v>3931</v>
      </c>
      <c r="BV597" s="71"/>
      <c r="BW597" s="79" t="s">
        <v>152</v>
      </c>
      <c r="BX597" s="79" t="s">
        <v>179</v>
      </c>
      <c r="BY597" s="71"/>
      <c r="BZ597" s="79">
        <v>0</v>
      </c>
      <c r="CA597" s="79">
        <v>2</v>
      </c>
      <c r="CB597" s="79">
        <f>BZ597+CA597</f>
        <v>2</v>
      </c>
      <c r="CC597" s="79" t="str">
        <f>_xlfn.TEXTJOIN(", ",TRUE,$CD597:$CF597)</f>
        <v>Horarios Acordes</v>
      </c>
      <c r="CD597" s="79" t="s">
        <v>351</v>
      </c>
      <c r="CE597" s="79"/>
      <c r="CF597" s="79"/>
      <c r="CG597" s="83" t="s">
        <v>4151</v>
      </c>
      <c r="CH597" s="41"/>
      <c r="CI597" s="79" t="s">
        <v>153</v>
      </c>
      <c r="CJ597" s="71"/>
      <c r="CK597" s="79">
        <f>COUNTIF(CL597:CQ597,"*")</f>
        <v>0</v>
      </c>
      <c r="CL597" s="79"/>
      <c r="CM597" s="79"/>
      <c r="CN597" s="79"/>
      <c r="CO597" s="79"/>
      <c r="CP597" s="79"/>
      <c r="CQ597" s="79"/>
      <c r="CR597" s="83" t="s">
        <v>179</v>
      </c>
      <c r="CS597" s="83" t="s">
        <v>179</v>
      </c>
      <c r="CT597" s="83" t="s">
        <v>179</v>
      </c>
      <c r="CU597" s="83" t="s">
        <v>179</v>
      </c>
      <c r="CV597" s="83" t="s">
        <v>179</v>
      </c>
      <c r="CW597" s="83" t="s">
        <v>179</v>
      </c>
      <c r="CX597" s="79" t="s">
        <v>153</v>
      </c>
      <c r="CY597" s="79">
        <f>SUM(COUNTIF(CR597:CW597,"Realizado y Devuelto a la Ciudadanía"),COUNTIF(CR597:CW597,"Realizado y Trasladado por competencia"), COUNTIF(CR597:CW597,"Realizado y Gestionado"))</f>
        <v>0</v>
      </c>
      <c r="CZ597" s="79">
        <v>0</v>
      </c>
      <c r="DA597" s="79">
        <f>COUNTIF(CR597:CW597,"Realizado y Devuelto a la Ciudadanía")</f>
        <v>0</v>
      </c>
      <c r="DB597" s="84" t="str">
        <f>IFERROR(CY597/CK597,"")</f>
        <v/>
      </c>
      <c r="DC597" s="41"/>
      <c r="DD597" s="79" t="s">
        <v>153</v>
      </c>
      <c r="DE597" s="71"/>
      <c r="DF597" s="127" t="s">
        <v>4152</v>
      </c>
      <c r="DG597" s="79">
        <v>586</v>
      </c>
      <c r="DH597" s="86" t="str">
        <f t="shared" si="446"/>
        <v>Completo</v>
      </c>
      <c r="DI597" s="79" t="s">
        <v>181</v>
      </c>
      <c r="DJ597" s="79" t="s">
        <v>182</v>
      </c>
      <c r="DK597" s="79"/>
      <c r="DL597" s="79">
        <v>0</v>
      </c>
      <c r="DM597" s="79">
        <v>0</v>
      </c>
      <c r="DN597" s="79" t="s">
        <v>191</v>
      </c>
      <c r="DO597" s="79"/>
      <c r="DP597" s="79"/>
      <c r="DQ597" s="79"/>
      <c r="DR597" s="75" t="str">
        <f t="shared" si="500"/>
        <v>No aplica</v>
      </c>
      <c r="DS597" s="79"/>
      <c r="DT597" s="79"/>
      <c r="DU597" s="75" t="str">
        <f t="shared" si="501"/>
        <v>No aplica</v>
      </c>
      <c r="DV597" s="79"/>
      <c r="DW597" s="79"/>
      <c r="DX597" s="79"/>
      <c r="DY597" s="79"/>
      <c r="DZ597" s="79"/>
      <c r="EA597" s="79"/>
      <c r="EB597" s="79"/>
      <c r="EC597" s="79"/>
      <c r="ED597" s="79" t="s">
        <v>4153</v>
      </c>
      <c r="EE597" s="79" t="str">
        <f>IF(DI597="Subsanado","Completo","Por Completar")</f>
        <v>Completo</v>
      </c>
      <c r="EF597" s="41"/>
      <c r="EG597" s="79" t="s">
        <v>153</v>
      </c>
      <c r="EH597" s="71"/>
      <c r="EI597" s="80"/>
      <c r="EJ597" s="71"/>
      <c r="EK597" s="79"/>
      <c r="EL597" s="87" t="str">
        <f t="shared" si="465"/>
        <v>No requiere</v>
      </c>
      <c r="EM597" s="87" t="str">
        <f t="shared" si="466"/>
        <v>No requiere</v>
      </c>
      <c r="EN597" s="87" t="str">
        <f>IF(F597="NO","No requiere",IF(H597="No","No requiere",IF(CC597="","",IF(CD597&lt;&gt;"No aplica",IF(CD597&lt;&gt;"Ninguna",IF(COUNTIF(CD597:CF597,"*")&gt;=1,"Sí","No"),"No"),"No aplica"))))</f>
        <v>No requiere</v>
      </c>
      <c r="EO597" s="71"/>
      <c r="EP597" s="84" t="str">
        <f t="shared" si="467"/>
        <v>No requiere</v>
      </c>
      <c r="EQ597" s="88" t="str">
        <f t="shared" si="468"/>
        <v>No requiere</v>
      </c>
      <c r="ER597" s="71"/>
      <c r="ES597" s="79"/>
      <c r="ET597" s="84" t="str">
        <f t="shared" si="469"/>
        <v>No requiere</v>
      </c>
      <c r="EU597" s="84" t="str">
        <f>IF(F597="NO","No requiere",IF(H597="No","No requiere",IF(B597="","",IF(CX597="SÍ",IF(CK597&gt;=1,CY597/CK597,"Sin compromisos"),"Por verificar"))))</f>
        <v>No requiere</v>
      </c>
      <c r="EV597" s="84" t="str">
        <f t="shared" si="470"/>
        <v>No requiere</v>
      </c>
      <c r="EW597" s="84" t="str">
        <f t="shared" si="502"/>
        <v>No requiere</v>
      </c>
      <c r="EX597" s="78"/>
      <c r="EY597" s="78"/>
    </row>
    <row r="598" spans="1:155" ht="46.5" customHeight="1">
      <c r="A598" s="79" t="str">
        <v/>
      </c>
      <c r="B598" s="80" t="s">
        <v>4154</v>
      </c>
      <c r="C598" s="81">
        <v>45463</v>
      </c>
      <c r="D598" s="82">
        <v>0.375</v>
      </c>
      <c r="E598" s="79" t="s">
        <v>151</v>
      </c>
      <c r="F598" s="79" t="s">
        <v>152</v>
      </c>
      <c r="G598" s="79" t="s">
        <v>152</v>
      </c>
      <c r="H598" s="79" t="s">
        <v>152</v>
      </c>
      <c r="I598" s="79" t="s">
        <v>152</v>
      </c>
      <c r="J598" s="79" t="s">
        <v>251</v>
      </c>
      <c r="K598" s="79" t="s">
        <v>155</v>
      </c>
      <c r="L598" s="80" t="s">
        <v>4155</v>
      </c>
      <c r="M598" s="80" t="s">
        <v>241</v>
      </c>
      <c r="N598" s="79" t="s">
        <v>506</v>
      </c>
      <c r="O598" s="80" t="str">
        <f t="shared" si="491"/>
        <v>Diego Alejandro Camacho</v>
      </c>
      <c r="P598" s="79" t="s">
        <v>422</v>
      </c>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t="s">
        <v>169</v>
      </c>
      <c r="AP598" s="79" t="s">
        <v>170</v>
      </c>
      <c r="AQ598" s="80" t="s">
        <v>4060</v>
      </c>
      <c r="AR598" s="83" t="s">
        <v>4156</v>
      </c>
      <c r="AS598" s="80" t="s">
        <v>4061</v>
      </c>
      <c r="AT598" s="80" t="str">
        <f t="shared" si="472"/>
        <v>Distrital</v>
      </c>
      <c r="AU598" s="79" t="s">
        <v>172</v>
      </c>
      <c r="AV598" s="79"/>
      <c r="AW598" s="79"/>
      <c r="AX598" s="79"/>
      <c r="AY598" s="79"/>
      <c r="AZ598" s="79"/>
      <c r="BA598" s="80" t="str">
        <f t="shared" si="481"/>
        <v>Distrital</v>
      </c>
      <c r="BB598" s="79" t="s">
        <v>172</v>
      </c>
      <c r="BC598" s="79"/>
      <c r="BD598" s="79"/>
      <c r="BE598" s="79"/>
      <c r="BF598" s="79"/>
      <c r="BG598" s="79"/>
      <c r="BH598" s="80" t="str">
        <f t="shared" si="482"/>
        <v>Distrital</v>
      </c>
      <c r="BI598" s="79" t="s">
        <v>172</v>
      </c>
      <c r="BJ598" s="79"/>
      <c r="BK598" s="79"/>
      <c r="BL598" s="79"/>
      <c r="BM598" s="79"/>
      <c r="BN598" s="79"/>
      <c r="BO598" s="79"/>
      <c r="BP598" s="79"/>
      <c r="BQ598" s="79"/>
      <c r="BR598" s="79"/>
      <c r="BS598" s="80" t="s">
        <v>288</v>
      </c>
      <c r="BT598" s="80" t="s">
        <v>174</v>
      </c>
      <c r="BU598" s="80" t="s">
        <v>4157</v>
      </c>
      <c r="BV598" s="71"/>
      <c r="BW598" s="79" t="s">
        <v>152</v>
      </c>
      <c r="BX598" s="79" t="s">
        <v>179</v>
      </c>
      <c r="BY598" s="71"/>
      <c r="BZ598" s="79">
        <v>0</v>
      </c>
      <c r="CA598" s="79">
        <v>6</v>
      </c>
      <c r="CB598" s="79">
        <f t="shared" ref="CB598:CB604" si="511">BZ598+CA598</f>
        <v>6</v>
      </c>
      <c r="CC598" s="79" t="str">
        <f t="shared" si="382"/>
        <v>Ninguna</v>
      </c>
      <c r="CD598" s="79" t="s">
        <v>174</v>
      </c>
      <c r="CE598" s="79"/>
      <c r="CF598" s="79"/>
      <c r="CG598" s="83" t="s">
        <v>4158</v>
      </c>
      <c r="CH598" s="41"/>
      <c r="CI598" s="79" t="s">
        <v>153</v>
      </c>
      <c r="CJ598" s="71"/>
      <c r="CK598" s="79">
        <f t="shared" ref="CK598:CK604" si="512">COUNTIF(CL598:CQ598,"*")</f>
        <v>0</v>
      </c>
      <c r="CL598" s="79"/>
      <c r="CM598" s="79"/>
      <c r="CN598" s="79"/>
      <c r="CO598" s="79"/>
      <c r="CP598" s="79"/>
      <c r="CQ598" s="79"/>
      <c r="CR598" s="83" t="s">
        <v>179</v>
      </c>
      <c r="CS598" s="83" t="s">
        <v>179</v>
      </c>
      <c r="CT598" s="83" t="s">
        <v>179</v>
      </c>
      <c r="CU598" s="83" t="s">
        <v>179</v>
      </c>
      <c r="CV598" s="83" t="s">
        <v>179</v>
      </c>
      <c r="CW598" s="83" t="s">
        <v>179</v>
      </c>
      <c r="CX598" s="79" t="s">
        <v>153</v>
      </c>
      <c r="CY598" s="79">
        <f t="shared" ref="CY598:CY604" si="513">SUM(COUNTIF(CR598:CW598,"Realizado y Devuelto a la Ciudadanía"),COUNTIF(CR598:CW598,"Realizado y Trasladado por competencia"), COUNTIF(CR598:CW598,"Realizado y Gestionado"))</f>
        <v>0</v>
      </c>
      <c r="CZ598" s="79">
        <v>0</v>
      </c>
      <c r="DA598" s="79">
        <f t="shared" ref="DA598:DA604" si="514">COUNTIF(CR598:CW598,"Realizado y Devuelto a la Ciudadanía")</f>
        <v>0</v>
      </c>
      <c r="DB598" s="84" t="str">
        <f t="shared" ref="DB598:DB604" si="515">IFERROR(CY598/CK598,"")</f>
        <v/>
      </c>
      <c r="DC598" s="41"/>
      <c r="DD598" s="79" t="s">
        <v>153</v>
      </c>
      <c r="DE598" s="71"/>
      <c r="DF598" s="127" t="s">
        <v>4159</v>
      </c>
      <c r="DG598" s="79">
        <v>587</v>
      </c>
      <c r="DH598" s="86" t="str">
        <f t="shared" si="446"/>
        <v>Completo</v>
      </c>
      <c r="DI598" s="79" t="s">
        <v>181</v>
      </c>
      <c r="DJ598" s="79" t="s">
        <v>182</v>
      </c>
      <c r="DK598" s="79"/>
      <c r="DL598" s="79">
        <v>0</v>
      </c>
      <c r="DM598" s="79">
        <v>0</v>
      </c>
      <c r="DN598" s="79" t="s">
        <v>182</v>
      </c>
      <c r="DO598" s="79"/>
      <c r="DP598" s="79"/>
      <c r="DQ598" s="79"/>
      <c r="DR598" s="75" t="str">
        <f t="shared" si="500"/>
        <v>No aplica</v>
      </c>
      <c r="DS598" s="79"/>
      <c r="DT598" s="79"/>
      <c r="DU598" s="75" t="str">
        <f t="shared" si="501"/>
        <v>No aplica</v>
      </c>
      <c r="DV598" s="79" t="s">
        <v>182</v>
      </c>
      <c r="DW598" s="79"/>
      <c r="DX598" s="79"/>
      <c r="DY598" s="79"/>
      <c r="DZ598" s="79"/>
      <c r="EA598" s="79"/>
      <c r="EB598" s="79"/>
      <c r="EC598" s="79"/>
      <c r="ED598" s="79" t="s">
        <v>4160</v>
      </c>
      <c r="EE598" s="79" t="str">
        <f t="shared" ref="EE598:EE604" si="516">IF(DI598="Subsanado","Completo","Por Completar")</f>
        <v>Completo</v>
      </c>
      <c r="EF598" s="41"/>
      <c r="EG598" s="79" t="s">
        <v>153</v>
      </c>
      <c r="EH598" s="71"/>
      <c r="EI598" s="80"/>
      <c r="EJ598" s="71"/>
      <c r="EK598" s="79"/>
      <c r="EL598" s="87" t="str">
        <f t="shared" si="465"/>
        <v>No requiere</v>
      </c>
      <c r="EM598" s="87" t="str">
        <f t="shared" si="466"/>
        <v>No requiere</v>
      </c>
      <c r="EN598" s="87" t="str">
        <f t="shared" ref="EN598:EN604" si="517">IF(F598="NO","No requiere",IF(H598="No","No requiere",IF(CC598="","",IF(CD598&lt;&gt;"No aplica",IF(CD598&lt;&gt;"Ninguna",IF(COUNTIF(CD598:CF598,"*")&gt;=1,"Sí","No"),"No"),"No aplica"))))</f>
        <v>No requiere</v>
      </c>
      <c r="EO598" s="71"/>
      <c r="EP598" s="84" t="str">
        <f t="shared" si="467"/>
        <v>No requiere</v>
      </c>
      <c r="EQ598" s="88" t="str">
        <f t="shared" si="468"/>
        <v>No requiere</v>
      </c>
      <c r="ER598" s="71"/>
      <c r="ES598" s="79"/>
      <c r="ET598" s="84" t="str">
        <f t="shared" si="469"/>
        <v>No requiere</v>
      </c>
      <c r="EU598" s="84" t="str">
        <f t="shared" ref="EU598:EU604" si="518">IF(F598="NO","No requiere",IF(H598="No","No requiere",IF(B598="","",IF(CX598="SÍ",IF(CK598&gt;=1,CY598/CK598,"Sin compromisos"),"Por verificar"))))</f>
        <v>No requiere</v>
      </c>
      <c r="EV598" s="84" t="str">
        <f t="shared" si="470"/>
        <v>No requiere</v>
      </c>
      <c r="EW598" s="84" t="str">
        <f t="shared" si="502"/>
        <v>No requiere</v>
      </c>
      <c r="EX598" s="78"/>
      <c r="EY598" s="78"/>
    </row>
    <row r="599" spans="1:155" ht="46.5" customHeight="1">
      <c r="A599" s="79">
        <v>595</v>
      </c>
      <c r="B599" s="80" t="s">
        <v>4161</v>
      </c>
      <c r="C599" s="81">
        <v>45463</v>
      </c>
      <c r="D599" s="82">
        <v>0.45833333333333331</v>
      </c>
      <c r="E599" s="79" t="s">
        <v>151</v>
      </c>
      <c r="F599" s="79" t="s">
        <v>153</v>
      </c>
      <c r="G599" s="79" t="s">
        <v>153</v>
      </c>
      <c r="H599" s="79" t="s">
        <v>152</v>
      </c>
      <c r="I599" s="79" t="s">
        <v>152</v>
      </c>
      <c r="J599" s="79" t="s">
        <v>154</v>
      </c>
      <c r="K599" s="79" t="s">
        <v>202</v>
      </c>
      <c r="L599" s="80" t="s">
        <v>4162</v>
      </c>
      <c r="M599" s="80" t="s">
        <v>241</v>
      </c>
      <c r="N599" s="79" t="s">
        <v>346</v>
      </c>
      <c r="O599" s="80" t="str">
        <f t="shared" si="491"/>
        <v>James Fernando Núñez</v>
      </c>
      <c r="P599" s="79" t="s">
        <v>632</v>
      </c>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t="s">
        <v>169</v>
      </c>
      <c r="AP599" s="79" t="s">
        <v>170</v>
      </c>
      <c r="AQ599" s="80" t="s">
        <v>4163</v>
      </c>
      <c r="AR599" s="83" t="s">
        <v>4164</v>
      </c>
      <c r="AS599" s="80" t="s">
        <v>171</v>
      </c>
      <c r="AT599" s="80" t="str">
        <f t="shared" si="472"/>
        <v>Distrital</v>
      </c>
      <c r="AU599" s="79" t="s">
        <v>172</v>
      </c>
      <c r="AV599" s="79"/>
      <c r="AW599" s="79"/>
      <c r="AX599" s="79"/>
      <c r="AY599" s="79"/>
      <c r="AZ599" s="79"/>
      <c r="BA599" s="80" t="str">
        <f t="shared" si="481"/>
        <v>Distrital</v>
      </c>
      <c r="BB599" s="79" t="s">
        <v>172</v>
      </c>
      <c r="BC599" s="79"/>
      <c r="BD599" s="79"/>
      <c r="BE599" s="79"/>
      <c r="BF599" s="79"/>
      <c r="BG599" s="79"/>
      <c r="BH599" s="80" t="str">
        <f t="shared" si="482"/>
        <v>Distrital</v>
      </c>
      <c r="BI599" s="79" t="s">
        <v>172</v>
      </c>
      <c r="BJ599" s="79"/>
      <c r="BK599" s="79"/>
      <c r="BL599" s="79"/>
      <c r="BM599" s="79"/>
      <c r="BN599" s="79"/>
      <c r="BO599" s="79"/>
      <c r="BP599" s="79"/>
      <c r="BQ599" s="79"/>
      <c r="BR599" s="79"/>
      <c r="BS599" s="80" t="s">
        <v>4165</v>
      </c>
      <c r="BT599" s="80" t="s">
        <v>2617</v>
      </c>
      <c r="BU599" s="128" t="s">
        <v>4166</v>
      </c>
      <c r="BV599" s="71"/>
      <c r="BW599" s="79" t="s">
        <v>152</v>
      </c>
      <c r="BX599" s="79" t="s">
        <v>179</v>
      </c>
      <c r="BY599" s="71"/>
      <c r="BZ599" s="79">
        <v>0</v>
      </c>
      <c r="CA599" s="79">
        <v>4</v>
      </c>
      <c r="CB599" s="79">
        <f t="shared" si="511"/>
        <v>4</v>
      </c>
      <c r="CC599" s="79" t="str">
        <f t="shared" si="382"/>
        <v>Ninguna</v>
      </c>
      <c r="CD599" s="79" t="s">
        <v>174</v>
      </c>
      <c r="CE599" s="79"/>
      <c r="CF599" s="79"/>
      <c r="CG599" s="83" t="s">
        <v>4167</v>
      </c>
      <c r="CH599" s="41"/>
      <c r="CI599" s="79" t="s">
        <v>153</v>
      </c>
      <c r="CJ599" s="71"/>
      <c r="CK599" s="79">
        <f t="shared" si="512"/>
        <v>0</v>
      </c>
      <c r="CL599" s="79"/>
      <c r="CM599" s="79"/>
      <c r="CN599" s="79"/>
      <c r="CO599" s="79"/>
      <c r="CP599" s="79"/>
      <c r="CQ599" s="79"/>
      <c r="CR599" s="83" t="s">
        <v>179</v>
      </c>
      <c r="CS599" s="83" t="s">
        <v>179</v>
      </c>
      <c r="CT599" s="83" t="s">
        <v>179</v>
      </c>
      <c r="CU599" s="83" t="s">
        <v>179</v>
      </c>
      <c r="CV599" s="83" t="s">
        <v>179</v>
      </c>
      <c r="CW599" s="83" t="s">
        <v>179</v>
      </c>
      <c r="CX599" s="79" t="s">
        <v>153</v>
      </c>
      <c r="CY599" s="79">
        <f t="shared" si="513"/>
        <v>0</v>
      </c>
      <c r="CZ599" s="79">
        <v>0</v>
      </c>
      <c r="DA599" s="79">
        <f t="shared" si="514"/>
        <v>0</v>
      </c>
      <c r="DB599" s="84" t="str">
        <f t="shared" si="515"/>
        <v/>
      </c>
      <c r="DC599" s="41"/>
      <c r="DD599" s="79" t="s">
        <v>153</v>
      </c>
      <c r="DE599" s="71"/>
      <c r="DF599" s="127" t="s">
        <v>4168</v>
      </c>
      <c r="DG599" s="79">
        <v>588</v>
      </c>
      <c r="DH599" s="86" t="str">
        <f t="shared" si="446"/>
        <v>Completo</v>
      </c>
      <c r="DI599" s="79" t="s">
        <v>181</v>
      </c>
      <c r="DJ599" s="79" t="s">
        <v>182</v>
      </c>
      <c r="DK599" s="79"/>
      <c r="DL599" s="79">
        <v>0</v>
      </c>
      <c r="DM599" s="79">
        <v>0</v>
      </c>
      <c r="DN599" s="79"/>
      <c r="DO599" s="79"/>
      <c r="DP599" s="79"/>
      <c r="DQ599" s="79"/>
      <c r="DR599" s="75" t="str">
        <f t="shared" si="500"/>
        <v>No aplica</v>
      </c>
      <c r="DS599" s="79"/>
      <c r="DT599" s="79"/>
      <c r="DU599" s="75" t="str">
        <f t="shared" si="501"/>
        <v>No aplica</v>
      </c>
      <c r="DV599" s="79"/>
      <c r="DW599" s="79" t="s">
        <v>182</v>
      </c>
      <c r="DX599" s="79"/>
      <c r="DY599" s="79"/>
      <c r="DZ599" s="79"/>
      <c r="EA599" s="79"/>
      <c r="EB599" s="79"/>
      <c r="EC599" s="79"/>
      <c r="ED599" s="79" t="s">
        <v>4169</v>
      </c>
      <c r="EE599" s="79" t="str">
        <f t="shared" si="516"/>
        <v>Completo</v>
      </c>
      <c r="EF599" s="41"/>
      <c r="EG599" s="79" t="s">
        <v>153</v>
      </c>
      <c r="EH599" s="71"/>
      <c r="EI599" s="80"/>
      <c r="EJ599" s="71"/>
      <c r="EK599" s="79"/>
      <c r="EL599" s="87" t="str">
        <f t="shared" si="465"/>
        <v>No requiere</v>
      </c>
      <c r="EM599" s="87" t="str">
        <f t="shared" si="466"/>
        <v>No requiere</v>
      </c>
      <c r="EN599" s="87" t="str">
        <f t="shared" si="517"/>
        <v>No requiere</v>
      </c>
      <c r="EO599" s="71"/>
      <c r="EP599" s="84" t="str">
        <f t="shared" si="467"/>
        <v>No requiere</v>
      </c>
      <c r="EQ599" s="88" t="str">
        <f t="shared" si="468"/>
        <v>No requiere</v>
      </c>
      <c r="ER599" s="71"/>
      <c r="ES599" s="79"/>
      <c r="ET599" s="84" t="str">
        <f t="shared" si="469"/>
        <v>No requiere</v>
      </c>
      <c r="EU599" s="84" t="str">
        <f t="shared" si="518"/>
        <v>No requiere</v>
      </c>
      <c r="EV599" s="84" t="str">
        <f t="shared" si="470"/>
        <v>No requiere</v>
      </c>
      <c r="EW599" s="84" t="str">
        <f t="shared" si="502"/>
        <v>No requiere</v>
      </c>
      <c r="EX599" s="78"/>
      <c r="EY599" s="78"/>
    </row>
    <row r="600" spans="1:155" ht="46.5" customHeight="1">
      <c r="A600" s="79">
        <v>596</v>
      </c>
      <c r="B600" s="80" t="s">
        <v>4170</v>
      </c>
      <c r="C600" s="81">
        <v>45463</v>
      </c>
      <c r="D600" s="82">
        <v>0.5625</v>
      </c>
      <c r="E600" s="79" t="s">
        <v>151</v>
      </c>
      <c r="F600" s="79" t="s">
        <v>153</v>
      </c>
      <c r="G600" s="79" t="s">
        <v>153</v>
      </c>
      <c r="H600" s="79" t="s">
        <v>152</v>
      </c>
      <c r="I600" s="79" t="s">
        <v>152</v>
      </c>
      <c r="J600" s="79" t="s">
        <v>3999</v>
      </c>
      <c r="K600" s="79" t="s">
        <v>155</v>
      </c>
      <c r="L600" s="80" t="s">
        <v>4000</v>
      </c>
      <c r="M600" s="80" t="s">
        <v>157</v>
      </c>
      <c r="N600" s="79" t="s">
        <v>1611</v>
      </c>
      <c r="O600" s="80" t="str">
        <f t="shared" ref="O600:O601" si="519">_xlfn.TEXTJOIN(", ",TRUE,P600:AN600)</f>
        <v/>
      </c>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t="s">
        <v>230</v>
      </c>
      <c r="AP600" s="79" t="s">
        <v>231</v>
      </c>
      <c r="AQ600" s="80" t="s">
        <v>4171</v>
      </c>
      <c r="AR600" s="83" t="s">
        <v>4172</v>
      </c>
      <c r="AS600" s="80" t="s">
        <v>4173</v>
      </c>
      <c r="AT600" s="80" t="str">
        <f t="shared" si="472"/>
        <v>Usaquén</v>
      </c>
      <c r="AU600" s="79" t="s">
        <v>661</v>
      </c>
      <c r="AV600" s="79"/>
      <c r="AW600" s="79"/>
      <c r="AX600" s="79"/>
      <c r="AY600" s="79"/>
      <c r="AZ600" s="79"/>
      <c r="BA600" s="80" t="str">
        <f t="shared" si="481"/>
        <v>Norte, Ruralidad</v>
      </c>
      <c r="BB600" s="79" t="s">
        <v>662</v>
      </c>
      <c r="BC600" s="79" t="s">
        <v>219</v>
      </c>
      <c r="BD600" s="79"/>
      <c r="BE600" s="79"/>
      <c r="BF600" s="79"/>
      <c r="BG600" s="79"/>
      <c r="BH600" s="80" t="str">
        <f t="shared" si="482"/>
        <v>Usaquén, Toberín, Torca, Cerros Orientales</v>
      </c>
      <c r="BI600" s="79" t="s">
        <v>661</v>
      </c>
      <c r="BJ600" s="79" t="s">
        <v>804</v>
      </c>
      <c r="BK600" s="79" t="s">
        <v>805</v>
      </c>
      <c r="BL600" s="79" t="s">
        <v>361</v>
      </c>
      <c r="BM600" s="79"/>
      <c r="BN600" s="79"/>
      <c r="BO600" s="79"/>
      <c r="BP600" s="79"/>
      <c r="BQ600" s="79"/>
      <c r="BR600" s="79"/>
      <c r="BS600" s="80" t="s">
        <v>4174</v>
      </c>
      <c r="BT600" s="80" t="s">
        <v>174</v>
      </c>
      <c r="BU600" s="80" t="s">
        <v>4175</v>
      </c>
      <c r="BV600" s="71"/>
      <c r="BW600" s="79" t="s">
        <v>152</v>
      </c>
      <c r="BX600" s="79" t="s">
        <v>179</v>
      </c>
      <c r="BY600" s="71"/>
      <c r="BZ600" s="79">
        <v>7</v>
      </c>
      <c r="CA600" s="79">
        <v>1</v>
      </c>
      <c r="CB600" s="79">
        <f t="shared" si="511"/>
        <v>8</v>
      </c>
      <c r="CC600" s="79" t="str">
        <f t="shared" si="382"/>
        <v>Horarios Acordes</v>
      </c>
      <c r="CD600" s="79" t="s">
        <v>351</v>
      </c>
      <c r="CE600" s="79"/>
      <c r="CF600" s="79"/>
      <c r="CG600" s="83" t="s">
        <v>4176</v>
      </c>
      <c r="CH600" s="41"/>
      <c r="CI600" s="79" t="s">
        <v>153</v>
      </c>
      <c r="CJ600" s="71"/>
      <c r="CK600" s="79">
        <f t="shared" si="512"/>
        <v>0</v>
      </c>
      <c r="CL600" s="79"/>
      <c r="CM600" s="79"/>
      <c r="CN600" s="79"/>
      <c r="CO600" s="79"/>
      <c r="CP600" s="79"/>
      <c r="CQ600" s="79"/>
      <c r="CR600" s="83" t="s">
        <v>179</v>
      </c>
      <c r="CS600" s="83" t="s">
        <v>179</v>
      </c>
      <c r="CT600" s="83" t="s">
        <v>179</v>
      </c>
      <c r="CU600" s="83" t="s">
        <v>179</v>
      </c>
      <c r="CV600" s="83" t="s">
        <v>179</v>
      </c>
      <c r="CW600" s="83" t="s">
        <v>179</v>
      </c>
      <c r="CX600" s="79" t="s">
        <v>153</v>
      </c>
      <c r="CY600" s="79">
        <f t="shared" si="513"/>
        <v>0</v>
      </c>
      <c r="CZ600" s="79">
        <v>0</v>
      </c>
      <c r="DA600" s="79">
        <f t="shared" si="514"/>
        <v>0</v>
      </c>
      <c r="DB600" s="84" t="str">
        <f t="shared" si="515"/>
        <v/>
      </c>
      <c r="DC600" s="41"/>
      <c r="DD600" s="79" t="s">
        <v>153</v>
      </c>
      <c r="DE600" s="71"/>
      <c r="DF600" s="127" t="s">
        <v>4177</v>
      </c>
      <c r="DG600" s="79">
        <v>589</v>
      </c>
      <c r="DH600" s="86" t="str">
        <f t="shared" si="446"/>
        <v>Completo</v>
      </c>
      <c r="DI600" s="79" t="s">
        <v>181</v>
      </c>
      <c r="DJ600" s="79" t="s">
        <v>182</v>
      </c>
      <c r="DK600" s="79"/>
      <c r="DL600" s="79">
        <v>0</v>
      </c>
      <c r="DM600" s="79">
        <v>0</v>
      </c>
      <c r="DN600" s="79" t="s">
        <v>182</v>
      </c>
      <c r="DO600" s="79"/>
      <c r="DP600" s="79"/>
      <c r="DQ600" s="79"/>
      <c r="DR600" s="75" t="str">
        <f t="shared" si="500"/>
        <v>No aplica</v>
      </c>
      <c r="DS600" s="79"/>
      <c r="DT600" s="79"/>
      <c r="DU600" s="75" t="str">
        <f t="shared" si="501"/>
        <v>No aplica</v>
      </c>
      <c r="DV600" s="79" t="s">
        <v>182</v>
      </c>
      <c r="DW600" s="79" t="s">
        <v>191</v>
      </c>
      <c r="DX600" s="79"/>
      <c r="DY600" s="79"/>
      <c r="DZ600" s="79"/>
      <c r="EA600" s="79"/>
      <c r="EB600" s="79"/>
      <c r="EC600" s="79"/>
      <c r="ED600" s="79" t="s">
        <v>1743</v>
      </c>
      <c r="EE600" s="79" t="str">
        <f t="shared" si="516"/>
        <v>Completo</v>
      </c>
      <c r="EF600" s="41"/>
      <c r="EG600" s="79" t="s">
        <v>152</v>
      </c>
      <c r="EH600" s="71"/>
      <c r="EI600" s="80"/>
      <c r="EJ600" s="71"/>
      <c r="EK600" s="79"/>
      <c r="EL600" s="87" t="str">
        <f t="shared" si="465"/>
        <v>No requiere</v>
      </c>
      <c r="EM600" s="87" t="str">
        <f t="shared" si="466"/>
        <v>No requiere</v>
      </c>
      <c r="EN600" s="87" t="str">
        <f t="shared" si="517"/>
        <v>No requiere</v>
      </c>
      <c r="EO600" s="71"/>
      <c r="EP600" s="84" t="str">
        <f t="shared" si="467"/>
        <v>No requiere</v>
      </c>
      <c r="EQ600" s="88" t="str">
        <f t="shared" si="468"/>
        <v>No requiere</v>
      </c>
      <c r="ER600" s="71"/>
      <c r="ES600" s="79"/>
      <c r="ET600" s="84" t="str">
        <f t="shared" si="469"/>
        <v>No requiere</v>
      </c>
      <c r="EU600" s="84" t="str">
        <f t="shared" si="518"/>
        <v>No requiere</v>
      </c>
      <c r="EV600" s="84" t="str">
        <f t="shared" si="470"/>
        <v>No requiere</v>
      </c>
      <c r="EW600" s="84" t="str">
        <f t="shared" si="502"/>
        <v>No requiere</v>
      </c>
      <c r="EX600" s="78"/>
      <c r="EY600" s="78"/>
    </row>
    <row r="601" spans="1:155" ht="46.5" customHeight="1">
      <c r="A601" s="79">
        <v>597</v>
      </c>
      <c r="B601" s="80" t="s">
        <v>4178</v>
      </c>
      <c r="C601" s="81">
        <v>45463</v>
      </c>
      <c r="D601" s="82">
        <v>0.58333333333333337</v>
      </c>
      <c r="E601" s="79" t="s">
        <v>151</v>
      </c>
      <c r="F601" s="79" t="s">
        <v>153</v>
      </c>
      <c r="G601" s="79" t="s">
        <v>152</v>
      </c>
      <c r="H601" s="79" t="s">
        <v>152</v>
      </c>
      <c r="I601" s="79" t="s">
        <v>153</v>
      </c>
      <c r="J601" s="79" t="s">
        <v>1806</v>
      </c>
      <c r="K601" s="79" t="s">
        <v>155</v>
      </c>
      <c r="L601" s="80" t="s">
        <v>4179</v>
      </c>
      <c r="M601" s="80" t="s">
        <v>624</v>
      </c>
      <c r="N601" s="79" t="s">
        <v>887</v>
      </c>
      <c r="O601" s="80" t="str">
        <f t="shared" si="519"/>
        <v>Diego Alejandro Camacho</v>
      </c>
      <c r="P601" s="79" t="s">
        <v>422</v>
      </c>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t="s">
        <v>304</v>
      </c>
      <c r="AP601" s="79"/>
      <c r="AQ601" s="80" t="s">
        <v>4180</v>
      </c>
      <c r="AR601" s="83" t="s">
        <v>4181</v>
      </c>
      <c r="AS601" s="80" t="s">
        <v>4182</v>
      </c>
      <c r="AT601" s="80" t="str">
        <f t="shared" si="472"/>
        <v>Distrital</v>
      </c>
      <c r="AU601" s="79" t="s">
        <v>172</v>
      </c>
      <c r="AV601" s="79"/>
      <c r="AW601" s="79"/>
      <c r="AX601" s="79"/>
      <c r="AY601" s="79"/>
      <c r="AZ601" s="79"/>
      <c r="BA601" s="80" t="str">
        <f t="shared" si="481"/>
        <v>Distrital</v>
      </c>
      <c r="BB601" s="79" t="s">
        <v>172</v>
      </c>
      <c r="BC601" s="79"/>
      <c r="BD601" s="79"/>
      <c r="BE601" s="79"/>
      <c r="BF601" s="79"/>
      <c r="BG601" s="79"/>
      <c r="BH601" s="80" t="str">
        <f t="shared" si="482"/>
        <v>Distrital</v>
      </c>
      <c r="BI601" s="79" t="s">
        <v>172</v>
      </c>
      <c r="BJ601" s="79"/>
      <c r="BK601" s="79"/>
      <c r="BL601" s="79"/>
      <c r="BM601" s="79"/>
      <c r="BN601" s="79"/>
      <c r="BO601" s="79"/>
      <c r="BP601" s="79"/>
      <c r="BQ601" s="79"/>
      <c r="BR601" s="79"/>
      <c r="BS601" s="80" t="s">
        <v>288</v>
      </c>
      <c r="BT601" s="80" t="s">
        <v>174</v>
      </c>
      <c r="BU601" s="80" t="s">
        <v>4183</v>
      </c>
      <c r="BV601" s="71"/>
      <c r="BW601" s="79" t="s">
        <v>152</v>
      </c>
      <c r="BX601" s="79" t="s">
        <v>179</v>
      </c>
      <c r="BY601" s="71"/>
      <c r="BZ601" s="79">
        <v>10</v>
      </c>
      <c r="CA601" s="79">
        <v>2</v>
      </c>
      <c r="CB601" s="79">
        <f t="shared" si="511"/>
        <v>12</v>
      </c>
      <c r="CC601" s="79" t="str">
        <f t="shared" si="382"/>
        <v>Ninguna</v>
      </c>
      <c r="CD601" s="79" t="s">
        <v>174</v>
      </c>
      <c r="CE601" s="79"/>
      <c r="CF601" s="79"/>
      <c r="CG601" s="83" t="s">
        <v>4184</v>
      </c>
      <c r="CH601" s="41"/>
      <c r="CI601" s="79" t="s">
        <v>153</v>
      </c>
      <c r="CJ601" s="71"/>
      <c r="CK601" s="79">
        <f t="shared" si="512"/>
        <v>0</v>
      </c>
      <c r="CL601" s="79"/>
      <c r="CM601" s="79"/>
      <c r="CN601" s="79"/>
      <c r="CO601" s="79"/>
      <c r="CP601" s="79"/>
      <c r="CQ601" s="79"/>
      <c r="CR601" s="83" t="s">
        <v>179</v>
      </c>
      <c r="CS601" s="83" t="s">
        <v>179</v>
      </c>
      <c r="CT601" s="83" t="s">
        <v>179</v>
      </c>
      <c r="CU601" s="83" t="s">
        <v>179</v>
      </c>
      <c r="CV601" s="83" t="s">
        <v>179</v>
      </c>
      <c r="CW601" s="83" t="s">
        <v>179</v>
      </c>
      <c r="CX601" s="79" t="s">
        <v>153</v>
      </c>
      <c r="CY601" s="79">
        <f t="shared" si="513"/>
        <v>0</v>
      </c>
      <c r="CZ601" s="79">
        <v>0</v>
      </c>
      <c r="DA601" s="79">
        <f t="shared" si="514"/>
        <v>0</v>
      </c>
      <c r="DB601" s="84" t="str">
        <f t="shared" si="515"/>
        <v/>
      </c>
      <c r="DC601" s="41"/>
      <c r="DD601" s="79" t="s">
        <v>153</v>
      </c>
      <c r="DE601" s="71"/>
      <c r="DF601" s="127" t="s">
        <v>4185</v>
      </c>
      <c r="DG601" s="79">
        <v>590</v>
      </c>
      <c r="DH601" s="86">
        <v>45466</v>
      </c>
      <c r="DI601" s="79" t="s">
        <v>181</v>
      </c>
      <c r="DJ601" s="79" t="s">
        <v>182</v>
      </c>
      <c r="DK601" s="79"/>
      <c r="DL601" s="79">
        <v>0</v>
      </c>
      <c r="DM601" s="79">
        <v>0</v>
      </c>
      <c r="DN601" s="79" t="s">
        <v>182</v>
      </c>
      <c r="DO601" s="79"/>
      <c r="DP601" s="79"/>
      <c r="DQ601" s="79"/>
      <c r="DR601" s="75" t="str">
        <f t="shared" si="500"/>
        <v>No aplica</v>
      </c>
      <c r="DS601" s="79"/>
      <c r="DT601" s="79"/>
      <c r="DU601" s="75" t="str">
        <f t="shared" si="501"/>
        <v>No aplica</v>
      </c>
      <c r="DV601" s="79" t="s">
        <v>191</v>
      </c>
      <c r="DW601" s="79" t="s">
        <v>182</v>
      </c>
      <c r="DX601" s="79"/>
      <c r="DY601" s="79"/>
      <c r="DZ601" s="79"/>
      <c r="EA601" s="79"/>
      <c r="EB601" s="79"/>
      <c r="EC601" s="79"/>
      <c r="ED601" s="79" t="s">
        <v>4186</v>
      </c>
      <c r="EE601" s="79" t="str">
        <f t="shared" si="516"/>
        <v>Completo</v>
      </c>
      <c r="EF601" s="41"/>
      <c r="EG601" s="79" t="s">
        <v>153</v>
      </c>
      <c r="EH601" s="71"/>
      <c r="EI601" s="80"/>
      <c r="EJ601" s="71"/>
      <c r="EK601" s="79"/>
      <c r="EL601" s="87" t="str">
        <f t="shared" si="465"/>
        <v>No requiere</v>
      </c>
      <c r="EM601" s="87" t="str">
        <f t="shared" si="466"/>
        <v>No requiere</v>
      </c>
      <c r="EN601" s="87" t="str">
        <f t="shared" si="517"/>
        <v>No requiere</v>
      </c>
      <c r="EO601" s="71"/>
      <c r="EP601" s="84" t="str">
        <f t="shared" si="467"/>
        <v>No requiere</v>
      </c>
      <c r="EQ601" s="88" t="str">
        <f t="shared" si="468"/>
        <v>No requiere</v>
      </c>
      <c r="ER601" s="71"/>
      <c r="ES601" s="79"/>
      <c r="ET601" s="84" t="str">
        <f t="shared" si="469"/>
        <v>No requiere</v>
      </c>
      <c r="EU601" s="84" t="str">
        <f t="shared" si="518"/>
        <v>No requiere</v>
      </c>
      <c r="EV601" s="84" t="str">
        <f t="shared" si="470"/>
        <v>No requiere</v>
      </c>
      <c r="EW601" s="84" t="str">
        <f t="shared" si="502"/>
        <v>No requiere</v>
      </c>
      <c r="EX601" s="78"/>
      <c r="EY601" s="78"/>
    </row>
    <row r="602" spans="1:155" ht="46.5" customHeight="1">
      <c r="A602" s="79" t="str">
        <v/>
      </c>
      <c r="B602" s="80" t="s">
        <v>4187</v>
      </c>
      <c r="C602" s="81">
        <v>45463</v>
      </c>
      <c r="D602" s="82">
        <v>0.58333333333333337</v>
      </c>
      <c r="E602" s="79" t="s">
        <v>151</v>
      </c>
      <c r="F602" s="79" t="s">
        <v>152</v>
      </c>
      <c r="G602" s="79" t="s">
        <v>152</v>
      </c>
      <c r="H602" s="79" t="s">
        <v>152</v>
      </c>
      <c r="I602" s="79" t="s">
        <v>153</v>
      </c>
      <c r="J602" s="79" t="s">
        <v>227</v>
      </c>
      <c r="K602" s="79" t="s">
        <v>155</v>
      </c>
      <c r="L602" s="80" t="s">
        <v>4188</v>
      </c>
      <c r="M602" s="80" t="s">
        <v>624</v>
      </c>
      <c r="N602" s="79" t="s">
        <v>373</v>
      </c>
      <c r="O602" s="80" t="str">
        <f t="shared" ref="O602:O652" si="520">_xlfn.TEXTJOIN(", ",TRUE,P602:AN602)</f>
        <v/>
      </c>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t="s">
        <v>169</v>
      </c>
      <c r="AP602" s="79" t="s">
        <v>170</v>
      </c>
      <c r="AQ602" s="80" t="s">
        <v>232</v>
      </c>
      <c r="AR602" s="83" t="s">
        <v>4150</v>
      </c>
      <c r="AS602" s="80" t="s">
        <v>4189</v>
      </c>
      <c r="AT602" s="80" t="str">
        <f t="shared" si="472"/>
        <v>Puente Aranda</v>
      </c>
      <c r="AU602" s="79" t="s">
        <v>1235</v>
      </c>
      <c r="AV602" s="79"/>
      <c r="AW602" s="79"/>
      <c r="AX602" s="79"/>
      <c r="AY602" s="79"/>
      <c r="AZ602" s="79"/>
      <c r="BA602" s="80" t="str">
        <f t="shared" si="481"/>
        <v>Centro Ampliado</v>
      </c>
      <c r="BB602" s="79" t="s">
        <v>636</v>
      </c>
      <c r="BC602" s="79"/>
      <c r="BD602" s="79"/>
      <c r="BE602" s="79"/>
      <c r="BF602" s="79"/>
      <c r="BG602" s="79"/>
      <c r="BH602" s="80" t="str">
        <f t="shared" si="482"/>
        <v>Puente Aranda</v>
      </c>
      <c r="BI602" s="79" t="s">
        <v>1235</v>
      </c>
      <c r="BJ602" s="79"/>
      <c r="BK602" s="79"/>
      <c r="BL602" s="79"/>
      <c r="BM602" s="79"/>
      <c r="BN602" s="79"/>
      <c r="BO602" s="79"/>
      <c r="BP602" s="79"/>
      <c r="BQ602" s="79"/>
      <c r="BR602" s="79"/>
      <c r="BS602" s="80" t="s">
        <v>288</v>
      </c>
      <c r="BT602" s="80" t="s">
        <v>2362</v>
      </c>
      <c r="BU602" s="80" t="s">
        <v>4190</v>
      </c>
      <c r="BV602" s="71"/>
      <c r="BW602" s="79" t="s">
        <v>152</v>
      </c>
      <c r="BX602" s="79" t="s">
        <v>179</v>
      </c>
      <c r="BY602" s="71"/>
      <c r="BZ602" s="79">
        <v>10</v>
      </c>
      <c r="CA602" s="79">
        <v>17</v>
      </c>
      <c r="CB602" s="79">
        <f t="shared" si="511"/>
        <v>27</v>
      </c>
      <c r="CC602" s="79" t="str">
        <f t="shared" si="382"/>
        <v>Ninguna</v>
      </c>
      <c r="CD602" s="79" t="s">
        <v>174</v>
      </c>
      <c r="CE602" s="79"/>
      <c r="CF602" s="79"/>
      <c r="CG602" s="83" t="s">
        <v>4191</v>
      </c>
      <c r="CH602" s="41"/>
      <c r="CI602" s="79" t="s">
        <v>153</v>
      </c>
      <c r="CJ602" s="71"/>
      <c r="CK602" s="79">
        <f>COUNTIF(CL602:CQ602,"*")</f>
        <v>0</v>
      </c>
      <c r="CL602" s="79"/>
      <c r="CM602" s="79"/>
      <c r="CN602" s="79"/>
      <c r="CO602" s="79"/>
      <c r="CP602" s="79"/>
      <c r="CQ602" s="79"/>
      <c r="CR602" s="83" t="s">
        <v>179</v>
      </c>
      <c r="CS602" s="83" t="s">
        <v>179</v>
      </c>
      <c r="CT602" s="83" t="s">
        <v>179</v>
      </c>
      <c r="CU602" s="83" t="s">
        <v>179</v>
      </c>
      <c r="CV602" s="83" t="s">
        <v>179</v>
      </c>
      <c r="CW602" s="83" t="s">
        <v>179</v>
      </c>
      <c r="CX602" s="79" t="s">
        <v>153</v>
      </c>
      <c r="CY602" s="79">
        <f t="shared" si="513"/>
        <v>0</v>
      </c>
      <c r="CZ602" s="79">
        <v>0</v>
      </c>
      <c r="DA602" s="79">
        <f t="shared" si="514"/>
        <v>0</v>
      </c>
      <c r="DB602" s="84" t="str">
        <f t="shared" si="515"/>
        <v/>
      </c>
      <c r="DC602" s="41"/>
      <c r="DD602" s="79" t="s">
        <v>153</v>
      </c>
      <c r="DE602" s="71"/>
      <c r="DF602" s="127" t="s">
        <v>4192</v>
      </c>
      <c r="DG602" s="79">
        <v>591</v>
      </c>
      <c r="DH602" s="86" t="str">
        <f t="shared" si="446"/>
        <v>Completo</v>
      </c>
      <c r="DI602" s="79" t="s">
        <v>181</v>
      </c>
      <c r="DJ602" s="79" t="s">
        <v>182</v>
      </c>
      <c r="DK602" s="79"/>
      <c r="DL602" s="79">
        <v>0</v>
      </c>
      <c r="DM602" s="79">
        <v>0</v>
      </c>
      <c r="DN602" s="79" t="s">
        <v>182</v>
      </c>
      <c r="DO602" s="79"/>
      <c r="DP602" s="79"/>
      <c r="DQ602" s="79"/>
      <c r="DR602" s="75" t="str">
        <f t="shared" si="500"/>
        <v>No aplica</v>
      </c>
      <c r="DS602" s="79"/>
      <c r="DT602" s="79"/>
      <c r="DU602" s="75" t="str">
        <f t="shared" si="501"/>
        <v>No aplica</v>
      </c>
      <c r="DV602" s="79" t="s">
        <v>182</v>
      </c>
      <c r="DW602" s="79" t="s">
        <v>191</v>
      </c>
      <c r="DX602" s="79"/>
      <c r="DY602" s="79"/>
      <c r="DZ602" s="79"/>
      <c r="EA602" s="79"/>
      <c r="EB602" s="79" t="s">
        <v>182</v>
      </c>
      <c r="EC602" s="79" t="s">
        <v>4193</v>
      </c>
      <c r="ED602" s="79" t="s">
        <v>4194</v>
      </c>
      <c r="EE602" s="79" t="str">
        <f t="shared" si="516"/>
        <v>Completo</v>
      </c>
      <c r="EF602" s="41"/>
      <c r="EG602" s="79" t="s">
        <v>153</v>
      </c>
      <c r="EH602" s="71"/>
      <c r="EI602" s="80"/>
      <c r="EJ602" s="71"/>
      <c r="EK602" s="79"/>
      <c r="EL602" s="87" t="str">
        <f>IF(F602="NO","No requiere",IF(H602="No","No requiere",IF(#REF!="","",IF(#REF!&lt;&gt;"No aplica",IF(DX602&lt;&gt;"No aplica",IF(DX602&gt;=2,"Sí","No"),"No aplica"),"No aplica"))))</f>
        <v>No requiere</v>
      </c>
      <c r="EM602" s="87" t="str">
        <f>IF(F602="NO","No requiere",IF(H602="No","No requiere",IF(#REF!="","",IF(#REF!&lt;&gt;"No aplica",IF(DY602&lt;&gt;"No aplica",IF(DY602&gt;=1,"Sí","No"),"No aplica"),"No aplica"))))</f>
        <v>No requiere</v>
      </c>
      <c r="EN602" s="87" t="str">
        <f t="shared" si="517"/>
        <v>No requiere</v>
      </c>
      <c r="EO602" s="71"/>
      <c r="EP602" s="84" t="str">
        <f t="shared" si="467"/>
        <v>No requiere</v>
      </c>
      <c r="EQ602" s="88" t="str">
        <f t="shared" si="468"/>
        <v>No requiere</v>
      </c>
      <c r="ER602" s="71"/>
      <c r="ES602" s="79"/>
      <c r="ET602" s="84" t="str">
        <f>IF(F602="NO","No requiere",IF(H602="No","No requiere",IFERROR(COUNTIF(DJ602:DW602,"Completo")/SUM(COUNTIF(DJ602:DW602,"Completo"),COUNTIF(DJ602:DW602,"Incompleto"),COUNTIF(DJ602:DW602,"No subido"),COUNTIF(DJ602:DW602,"No existente"),COUNTIF(DJ602:DW602,"Pendiente")),"")))</f>
        <v>No requiere</v>
      </c>
      <c r="EU602" s="84" t="str">
        <f t="shared" si="518"/>
        <v>No requiere</v>
      </c>
      <c r="EV602" s="84" t="str">
        <f t="shared" si="470"/>
        <v>No requiere</v>
      </c>
      <c r="EW602" s="84" t="str">
        <f t="shared" si="502"/>
        <v>No requiere</v>
      </c>
      <c r="EX602" s="78"/>
      <c r="EY602" s="78"/>
    </row>
    <row r="603" spans="1:155" ht="46.5" customHeight="1">
      <c r="A603" s="79" t="str">
        <v/>
      </c>
      <c r="B603" s="80" t="s">
        <v>4195</v>
      </c>
      <c r="C603" s="81">
        <v>45463</v>
      </c>
      <c r="D603" s="82">
        <v>0.625</v>
      </c>
      <c r="E603" s="79" t="s">
        <v>151</v>
      </c>
      <c r="F603" s="79" t="s">
        <v>152</v>
      </c>
      <c r="G603" s="79" t="s">
        <v>153</v>
      </c>
      <c r="H603" s="79" t="s">
        <v>152</v>
      </c>
      <c r="I603" s="79" t="s">
        <v>152</v>
      </c>
      <c r="J603" s="79" t="s">
        <v>2153</v>
      </c>
      <c r="K603" s="79" t="s">
        <v>155</v>
      </c>
      <c r="L603" s="80" t="s">
        <v>4196</v>
      </c>
      <c r="M603" s="80" t="s">
        <v>157</v>
      </c>
      <c r="N603" s="79" t="s">
        <v>346</v>
      </c>
      <c r="O603" s="80" t="str">
        <f t="shared" si="520"/>
        <v>Freddy Martínez, César Augusto Barrantes</v>
      </c>
      <c r="P603" s="79" t="s">
        <v>3049</v>
      </c>
      <c r="Q603" s="79" t="s">
        <v>729</v>
      </c>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t="s">
        <v>304</v>
      </c>
      <c r="AP603" s="79"/>
      <c r="AQ603" s="80" t="s">
        <v>171</v>
      </c>
      <c r="AR603" s="83" t="s">
        <v>171</v>
      </c>
      <c r="AS603" s="80" t="s">
        <v>171</v>
      </c>
      <c r="AT603" s="80" t="str">
        <f t="shared" si="472"/>
        <v>Distrital</v>
      </c>
      <c r="AU603" s="79" t="s">
        <v>172</v>
      </c>
      <c r="AV603" s="79"/>
      <c r="AW603" s="79"/>
      <c r="AX603" s="79"/>
      <c r="AY603" s="79"/>
      <c r="AZ603" s="79"/>
      <c r="BA603" s="80" t="str">
        <f t="shared" si="481"/>
        <v>Distrital</v>
      </c>
      <c r="BB603" s="79" t="s">
        <v>172</v>
      </c>
      <c r="BC603" s="79"/>
      <c r="BD603" s="79"/>
      <c r="BE603" s="79"/>
      <c r="BF603" s="79"/>
      <c r="BG603" s="79"/>
      <c r="BH603" s="80" t="str">
        <f t="shared" si="482"/>
        <v>Distrital</v>
      </c>
      <c r="BI603" s="79" t="s">
        <v>172</v>
      </c>
      <c r="BJ603" s="79"/>
      <c r="BK603" s="79"/>
      <c r="BL603" s="79"/>
      <c r="BM603" s="79"/>
      <c r="BN603" s="79"/>
      <c r="BO603" s="79"/>
      <c r="BP603" s="79"/>
      <c r="BQ603" s="79"/>
      <c r="BR603" s="79"/>
      <c r="BS603" s="80" t="s">
        <v>288</v>
      </c>
      <c r="BT603" s="80" t="s">
        <v>174</v>
      </c>
      <c r="BU603" s="80" t="s">
        <v>4197</v>
      </c>
      <c r="BV603" s="71"/>
      <c r="BW603" s="79" t="s">
        <v>152</v>
      </c>
      <c r="BX603" s="79" t="s">
        <v>179</v>
      </c>
      <c r="BY603" s="71"/>
      <c r="BZ603" s="79">
        <v>3</v>
      </c>
      <c r="CA603" s="79">
        <v>5</v>
      </c>
      <c r="CB603" s="79">
        <f t="shared" si="511"/>
        <v>8</v>
      </c>
      <c r="CC603" s="79" t="str">
        <f t="shared" si="382"/>
        <v>Ninguna</v>
      </c>
      <c r="CD603" s="79" t="s">
        <v>174</v>
      </c>
      <c r="CE603" s="79"/>
      <c r="CF603" s="79"/>
      <c r="CG603" s="83" t="s">
        <v>4198</v>
      </c>
      <c r="CH603" s="41"/>
      <c r="CI603" s="79" t="s">
        <v>153</v>
      </c>
      <c r="CJ603" s="71"/>
      <c r="CK603" s="79">
        <f t="shared" si="512"/>
        <v>0</v>
      </c>
      <c r="CL603" s="79"/>
      <c r="CM603" s="79"/>
      <c r="CN603" s="79"/>
      <c r="CO603" s="79"/>
      <c r="CP603" s="79"/>
      <c r="CQ603" s="79"/>
      <c r="CR603" s="83" t="s">
        <v>179</v>
      </c>
      <c r="CS603" s="83" t="s">
        <v>179</v>
      </c>
      <c r="CT603" s="83" t="s">
        <v>179</v>
      </c>
      <c r="CU603" s="83" t="s">
        <v>179</v>
      </c>
      <c r="CV603" s="83" t="s">
        <v>179</v>
      </c>
      <c r="CW603" s="83" t="s">
        <v>179</v>
      </c>
      <c r="CX603" s="79" t="s">
        <v>153</v>
      </c>
      <c r="CY603" s="79">
        <f t="shared" si="513"/>
        <v>0</v>
      </c>
      <c r="CZ603" s="79">
        <v>0</v>
      </c>
      <c r="DA603" s="79">
        <f t="shared" si="514"/>
        <v>0</v>
      </c>
      <c r="DB603" s="84" t="str">
        <f t="shared" si="515"/>
        <v/>
      </c>
      <c r="DC603" s="41"/>
      <c r="DD603" s="79" t="s">
        <v>153</v>
      </c>
      <c r="DE603" s="71"/>
      <c r="DF603" s="127" t="s">
        <v>4199</v>
      </c>
      <c r="DG603" s="79">
        <v>592</v>
      </c>
      <c r="DH603" s="86" t="str">
        <f t="shared" si="446"/>
        <v>Completo</v>
      </c>
      <c r="DI603" s="79" t="s">
        <v>181</v>
      </c>
      <c r="DJ603" s="79" t="s">
        <v>182</v>
      </c>
      <c r="DK603" s="79"/>
      <c r="DL603" s="79">
        <v>0</v>
      </c>
      <c r="DM603" s="79">
        <v>0</v>
      </c>
      <c r="DN603" s="79" t="s">
        <v>182</v>
      </c>
      <c r="DO603" s="79"/>
      <c r="DP603" s="79"/>
      <c r="DQ603" s="79"/>
      <c r="DR603" s="75" t="str">
        <f t="shared" si="500"/>
        <v>No aplica</v>
      </c>
      <c r="DS603" s="79"/>
      <c r="DT603" s="79"/>
      <c r="DU603" s="75" t="str">
        <f t="shared" si="501"/>
        <v>No aplica</v>
      </c>
      <c r="DV603" s="79"/>
      <c r="DW603" s="79"/>
      <c r="DX603" s="79"/>
      <c r="DY603" s="79"/>
      <c r="DZ603" s="79"/>
      <c r="EA603" s="79"/>
      <c r="EB603" s="79"/>
      <c r="EC603" s="79"/>
      <c r="ED603" s="79" t="s">
        <v>4200</v>
      </c>
      <c r="EE603" s="79" t="str">
        <f t="shared" si="516"/>
        <v>Completo</v>
      </c>
      <c r="EF603" s="41"/>
      <c r="EG603" s="79" t="s">
        <v>153</v>
      </c>
      <c r="EH603" s="71"/>
      <c r="EI603" s="80"/>
      <c r="EJ603" s="71"/>
      <c r="EK603" s="79"/>
      <c r="EL603" s="87" t="str">
        <f t="shared" si="465"/>
        <v>No requiere</v>
      </c>
      <c r="EM603" s="87" t="str">
        <f t="shared" si="466"/>
        <v>No requiere</v>
      </c>
      <c r="EN603" s="87" t="str">
        <f t="shared" si="517"/>
        <v>No requiere</v>
      </c>
      <c r="EO603" s="71"/>
      <c r="EP603" s="84" t="str">
        <f t="shared" si="467"/>
        <v>No requiere</v>
      </c>
      <c r="EQ603" s="88" t="str">
        <f t="shared" si="468"/>
        <v>No requiere</v>
      </c>
      <c r="ER603" s="71"/>
      <c r="ES603" s="79"/>
      <c r="ET603" s="84" t="str">
        <f t="shared" si="469"/>
        <v>No requiere</v>
      </c>
      <c r="EU603" s="84" t="str">
        <f t="shared" si="518"/>
        <v>No requiere</v>
      </c>
      <c r="EV603" s="84" t="str">
        <f t="shared" si="470"/>
        <v>No requiere</v>
      </c>
      <c r="EW603" s="84" t="str">
        <f t="shared" si="502"/>
        <v>No requiere</v>
      </c>
      <c r="EX603" s="78"/>
      <c r="EY603" s="78"/>
    </row>
    <row r="604" spans="1:155" ht="46.5" customHeight="1">
      <c r="A604" s="79">
        <v>600</v>
      </c>
      <c r="B604" s="80" t="s">
        <v>4201</v>
      </c>
      <c r="C604" s="81">
        <v>45464</v>
      </c>
      <c r="D604" s="82">
        <v>0.375</v>
      </c>
      <c r="E604" s="79" t="s">
        <v>151</v>
      </c>
      <c r="F604" s="79" t="s">
        <v>153</v>
      </c>
      <c r="G604" s="79" t="s">
        <v>153</v>
      </c>
      <c r="H604" s="79" t="s">
        <v>152</v>
      </c>
      <c r="I604" s="79" t="s">
        <v>152</v>
      </c>
      <c r="J604" s="79" t="s">
        <v>3999</v>
      </c>
      <c r="K604" s="79" t="s">
        <v>155</v>
      </c>
      <c r="L604" s="80" t="s">
        <v>4202</v>
      </c>
      <c r="M604" s="80" t="s">
        <v>157</v>
      </c>
      <c r="N604" s="79" t="s">
        <v>820</v>
      </c>
      <c r="O604" s="80" t="str">
        <f t="shared" si="520"/>
        <v>Carlos Eduardo Escandón</v>
      </c>
      <c r="P604" s="79" t="s">
        <v>819</v>
      </c>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t="s">
        <v>169</v>
      </c>
      <c r="AP604" s="79" t="s">
        <v>214</v>
      </c>
      <c r="AQ604" s="80" t="s">
        <v>171</v>
      </c>
      <c r="AR604" s="83" t="s">
        <v>171</v>
      </c>
      <c r="AS604" s="80" t="s">
        <v>171</v>
      </c>
      <c r="AT604" s="80" t="str">
        <f t="shared" si="472"/>
        <v>Suba</v>
      </c>
      <c r="AU604" s="79" t="s">
        <v>602</v>
      </c>
      <c r="AV604" s="79"/>
      <c r="AW604" s="79"/>
      <c r="AX604" s="79"/>
      <c r="AY604" s="79"/>
      <c r="AZ604" s="79"/>
      <c r="BA604" s="80" t="str">
        <f t="shared" si="481"/>
        <v>Noroccidente, Norte</v>
      </c>
      <c r="BB604" s="79" t="s">
        <v>603</v>
      </c>
      <c r="BC604" s="79" t="s">
        <v>662</v>
      </c>
      <c r="BD604" s="79"/>
      <c r="BE604" s="79"/>
      <c r="BF604" s="79"/>
      <c r="BG604" s="79"/>
      <c r="BH604" s="80" t="str">
        <f t="shared" si="482"/>
        <v>Suba, Suba Rincón, Tibabuyes, Niza, Britalia, Torca</v>
      </c>
      <c r="BI604" s="79" t="s">
        <v>602</v>
      </c>
      <c r="BJ604" s="79" t="s">
        <v>604</v>
      </c>
      <c r="BK604" s="79" t="s">
        <v>1378</v>
      </c>
      <c r="BL604" s="79" t="s">
        <v>865</v>
      </c>
      <c r="BM604" s="79" t="s">
        <v>1313</v>
      </c>
      <c r="BN604" s="79" t="s">
        <v>805</v>
      </c>
      <c r="BO604" s="79"/>
      <c r="BP604" s="79"/>
      <c r="BQ604" s="79"/>
      <c r="BR604" s="79"/>
      <c r="BS604" s="80" t="s">
        <v>288</v>
      </c>
      <c r="BT604" s="80" t="s">
        <v>174</v>
      </c>
      <c r="BU604" s="80" t="s">
        <v>4203</v>
      </c>
      <c r="BV604" s="71"/>
      <c r="BW604" s="79" t="s">
        <v>152</v>
      </c>
      <c r="BX604" s="79" t="s">
        <v>179</v>
      </c>
      <c r="BY604" s="71"/>
      <c r="BZ604" s="79">
        <v>2</v>
      </c>
      <c r="CA604" s="79">
        <v>2</v>
      </c>
      <c r="CB604" s="79">
        <f t="shared" si="511"/>
        <v>4</v>
      </c>
      <c r="CC604" s="79" t="str">
        <f t="shared" si="382"/>
        <v>Ninguna</v>
      </c>
      <c r="CD604" s="79" t="s">
        <v>174</v>
      </c>
      <c r="CE604" s="79"/>
      <c r="CF604" s="79"/>
      <c r="CG604" s="83" t="s">
        <v>4204</v>
      </c>
      <c r="CH604" s="41"/>
      <c r="CI604" s="79" t="s">
        <v>153</v>
      </c>
      <c r="CJ604" s="71"/>
      <c r="CK604" s="79">
        <f t="shared" si="512"/>
        <v>0</v>
      </c>
      <c r="CL604" s="79"/>
      <c r="CM604" s="79"/>
      <c r="CN604" s="79"/>
      <c r="CO604" s="79"/>
      <c r="CP604" s="79"/>
      <c r="CQ604" s="79"/>
      <c r="CR604" s="83" t="s">
        <v>179</v>
      </c>
      <c r="CS604" s="83" t="s">
        <v>179</v>
      </c>
      <c r="CT604" s="83" t="s">
        <v>179</v>
      </c>
      <c r="CU604" s="83" t="s">
        <v>179</v>
      </c>
      <c r="CV604" s="83" t="s">
        <v>179</v>
      </c>
      <c r="CW604" s="83" t="s">
        <v>179</v>
      </c>
      <c r="CX604" s="79" t="s">
        <v>153</v>
      </c>
      <c r="CY604" s="79">
        <f t="shared" si="513"/>
        <v>0</v>
      </c>
      <c r="CZ604" s="79">
        <v>0</v>
      </c>
      <c r="DA604" s="79">
        <f t="shared" si="514"/>
        <v>0</v>
      </c>
      <c r="DB604" s="84" t="str">
        <f t="shared" si="515"/>
        <v/>
      </c>
      <c r="DC604" s="41"/>
      <c r="DD604" s="79" t="s">
        <v>153</v>
      </c>
      <c r="DE604" s="71"/>
      <c r="DF604" s="127" t="s">
        <v>4205</v>
      </c>
      <c r="DG604" s="79">
        <v>593</v>
      </c>
      <c r="DH604" s="86" t="str">
        <f t="shared" si="446"/>
        <v>Completo</v>
      </c>
      <c r="DI604" s="79" t="s">
        <v>181</v>
      </c>
      <c r="DJ604" s="79" t="s">
        <v>182</v>
      </c>
      <c r="DK604" s="79"/>
      <c r="DL604" s="79">
        <v>0</v>
      </c>
      <c r="DM604" s="79">
        <v>0</v>
      </c>
      <c r="DN604" s="79" t="s">
        <v>182</v>
      </c>
      <c r="DO604" s="79"/>
      <c r="DP604" s="79"/>
      <c r="DQ604" s="79"/>
      <c r="DR604" s="75" t="str">
        <f t="shared" si="500"/>
        <v>No aplica</v>
      </c>
      <c r="DS604" s="79"/>
      <c r="DT604" s="79"/>
      <c r="DU604" s="75" t="str">
        <f t="shared" si="501"/>
        <v>No aplica</v>
      </c>
      <c r="DV604" s="79" t="s">
        <v>182</v>
      </c>
      <c r="DW604" s="79" t="s">
        <v>182</v>
      </c>
      <c r="DX604" s="79"/>
      <c r="DY604" s="79"/>
      <c r="DZ604" s="79"/>
      <c r="EA604" s="79"/>
      <c r="EB604" s="79"/>
      <c r="EC604" s="79"/>
      <c r="ED604" s="79" t="s">
        <v>3990</v>
      </c>
      <c r="EE604" s="79" t="str">
        <f t="shared" si="516"/>
        <v>Completo</v>
      </c>
      <c r="EF604" s="41"/>
      <c r="EG604" s="79" t="s">
        <v>153</v>
      </c>
      <c r="EH604" s="71"/>
      <c r="EI604" s="80"/>
      <c r="EJ604" s="71"/>
      <c r="EK604" s="79"/>
      <c r="EL604" s="87" t="str">
        <f t="shared" si="465"/>
        <v>No requiere</v>
      </c>
      <c r="EM604" s="87" t="str">
        <f t="shared" si="466"/>
        <v>No requiere</v>
      </c>
      <c r="EN604" s="87" t="str">
        <f t="shared" si="517"/>
        <v>No requiere</v>
      </c>
      <c r="EO604" s="71"/>
      <c r="EP604" s="84" t="str">
        <f t="shared" si="467"/>
        <v>No requiere</v>
      </c>
      <c r="EQ604" s="88" t="str">
        <f t="shared" si="468"/>
        <v>No requiere</v>
      </c>
      <c r="ER604" s="71"/>
      <c r="ES604" s="79"/>
      <c r="ET604" s="84" t="str">
        <f t="shared" si="469"/>
        <v>No requiere</v>
      </c>
      <c r="EU604" s="84" t="str">
        <f t="shared" si="518"/>
        <v>No requiere</v>
      </c>
      <c r="EV604" s="84" t="str">
        <f t="shared" si="470"/>
        <v>No requiere</v>
      </c>
      <c r="EW604" s="84" t="str">
        <f t="shared" si="502"/>
        <v>No requiere</v>
      </c>
      <c r="EX604" s="78"/>
      <c r="EY604" s="78"/>
    </row>
    <row r="605" spans="1:155" ht="46.5" customHeight="1">
      <c r="A605" s="79">
        <v>601</v>
      </c>
      <c r="B605" s="80" t="s">
        <v>4206</v>
      </c>
      <c r="C605" s="81">
        <v>45464</v>
      </c>
      <c r="D605" s="82">
        <v>0.41666666666666669</v>
      </c>
      <c r="E605" s="79" t="s">
        <v>151</v>
      </c>
      <c r="F605" s="79" t="s">
        <v>153</v>
      </c>
      <c r="G605" s="79" t="s">
        <v>153</v>
      </c>
      <c r="H605" s="79" t="s">
        <v>152</v>
      </c>
      <c r="I605" s="79" t="s">
        <v>152</v>
      </c>
      <c r="J605" s="79" t="s">
        <v>1711</v>
      </c>
      <c r="K605" s="79" t="s">
        <v>155</v>
      </c>
      <c r="L605" s="80" t="s">
        <v>4207</v>
      </c>
      <c r="M605" s="80" t="s">
        <v>241</v>
      </c>
      <c r="N605" s="79" t="s">
        <v>163</v>
      </c>
      <c r="O605" s="80" t="str">
        <f t="shared" si="520"/>
        <v>Laura Camila Bechara, PENDIENTE</v>
      </c>
      <c r="P605" s="79" t="s">
        <v>887</v>
      </c>
      <c r="Q605" s="79" t="s">
        <v>196</v>
      </c>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t="s">
        <v>230</v>
      </c>
      <c r="AP605" s="79" t="s">
        <v>347</v>
      </c>
      <c r="AQ605" s="80" t="s">
        <v>3698</v>
      </c>
      <c r="AR605" s="83">
        <v>3106185411</v>
      </c>
      <c r="AS605" s="80" t="s">
        <v>3699</v>
      </c>
      <c r="AT605" s="80" t="str">
        <f t="shared" si="472"/>
        <v>Distrital</v>
      </c>
      <c r="AU605" s="79" t="s">
        <v>172</v>
      </c>
      <c r="AV605" s="79"/>
      <c r="AW605" s="79"/>
      <c r="AX605" s="79"/>
      <c r="AY605" s="79"/>
      <c r="AZ605" s="79"/>
      <c r="BA605" s="80" t="str">
        <f t="shared" si="481"/>
        <v>Distrital</v>
      </c>
      <c r="BB605" s="79" t="s">
        <v>172</v>
      </c>
      <c r="BC605" s="79"/>
      <c r="BD605" s="79"/>
      <c r="BE605" s="79"/>
      <c r="BF605" s="79"/>
      <c r="BG605" s="79"/>
      <c r="BH605" s="80" t="str">
        <f t="shared" si="482"/>
        <v>Distrital</v>
      </c>
      <c r="BI605" s="79" t="s">
        <v>172</v>
      </c>
      <c r="BJ605" s="79"/>
      <c r="BK605" s="79"/>
      <c r="BL605" s="79"/>
      <c r="BM605" s="79"/>
      <c r="BN605" s="79"/>
      <c r="BO605" s="79"/>
      <c r="BP605" s="79"/>
      <c r="BQ605" s="79"/>
      <c r="BR605" s="79"/>
      <c r="BS605" s="80" t="s">
        <v>288</v>
      </c>
      <c r="BT605" s="80" t="s">
        <v>174</v>
      </c>
      <c r="BU605" s="80" t="s">
        <v>4208</v>
      </c>
      <c r="BV605" s="71"/>
      <c r="BW605" s="79" t="s">
        <v>152</v>
      </c>
      <c r="BX605" s="79" t="s">
        <v>179</v>
      </c>
      <c r="BY605" s="71"/>
      <c r="BZ605" s="79">
        <v>6</v>
      </c>
      <c r="CA605" s="79">
        <v>53</v>
      </c>
      <c r="CB605" s="79">
        <f t="shared" ref="CB605" si="521">BZ605+CA605</f>
        <v>59</v>
      </c>
      <c r="CC605" s="79" t="str">
        <f t="shared" si="382"/>
        <v>Ninguna</v>
      </c>
      <c r="CD605" s="79" t="s">
        <v>174</v>
      </c>
      <c r="CE605" s="79"/>
      <c r="CF605" s="79"/>
      <c r="CG605" s="83" t="s">
        <v>4209</v>
      </c>
      <c r="CH605" s="41"/>
      <c r="CI605" s="79" t="s">
        <v>153</v>
      </c>
      <c r="CJ605" s="71"/>
      <c r="CK605" s="79">
        <f t="shared" ref="CK605" si="522">COUNTIF(CL605:CQ605,"*")</f>
        <v>0</v>
      </c>
      <c r="CL605" s="79"/>
      <c r="CM605" s="79"/>
      <c r="CN605" s="79"/>
      <c r="CO605" s="79"/>
      <c r="CP605" s="79"/>
      <c r="CQ605" s="79"/>
      <c r="CR605" s="83" t="s">
        <v>179</v>
      </c>
      <c r="CS605" s="83" t="s">
        <v>179</v>
      </c>
      <c r="CT605" s="83" t="s">
        <v>179</v>
      </c>
      <c r="CU605" s="83" t="s">
        <v>179</v>
      </c>
      <c r="CV605" s="83" t="s">
        <v>179</v>
      </c>
      <c r="CW605" s="83" t="s">
        <v>179</v>
      </c>
      <c r="CX605" s="79" t="s">
        <v>153</v>
      </c>
      <c r="CY605" s="79">
        <f t="shared" ref="CY605" si="523">SUM(COUNTIF(CR605:CW605,"Realizado y Devuelto a la Ciudadanía"),COUNTIF(CR605:CW605,"Realizado y Trasladado por competencia"), COUNTIF(CR605:CW605,"Realizado y Gestionado"))</f>
        <v>0</v>
      </c>
      <c r="CZ605" s="79">
        <v>0</v>
      </c>
      <c r="DA605" s="79">
        <f t="shared" ref="DA605" si="524">COUNTIF(CR605:CW605,"Realizado y Devuelto a la Ciudadanía")</f>
        <v>0</v>
      </c>
      <c r="DB605" s="84" t="str">
        <f t="shared" ref="DB605" si="525">IFERROR(CY605/CK605,"")</f>
        <v/>
      </c>
      <c r="DC605" s="41"/>
      <c r="DD605" s="79" t="s">
        <v>153</v>
      </c>
      <c r="DE605" s="71"/>
      <c r="DF605" s="127" t="s">
        <v>4210</v>
      </c>
      <c r="DG605" s="79">
        <v>594</v>
      </c>
      <c r="DH605" s="86" t="str">
        <f t="shared" si="446"/>
        <v>Completo</v>
      </c>
      <c r="DI605" s="79" t="s">
        <v>181</v>
      </c>
      <c r="DJ605" s="79" t="s">
        <v>182</v>
      </c>
      <c r="DK605" s="79"/>
      <c r="DL605" s="79">
        <v>0</v>
      </c>
      <c r="DM605" s="79">
        <v>0</v>
      </c>
      <c r="DN605" s="79" t="s">
        <v>182</v>
      </c>
      <c r="DO605" s="79"/>
      <c r="DP605" s="79" t="s">
        <v>182</v>
      </c>
      <c r="DQ605" s="79">
        <v>20</v>
      </c>
      <c r="DR605" s="75" t="str">
        <f t="shared" si="500"/>
        <v>No aplica</v>
      </c>
      <c r="DS605" s="79"/>
      <c r="DT605" s="79"/>
      <c r="DU605" s="75" t="str">
        <f t="shared" si="501"/>
        <v>No aplica</v>
      </c>
      <c r="DV605" s="79" t="s">
        <v>182</v>
      </c>
      <c r="DW605" s="79" t="s">
        <v>182</v>
      </c>
      <c r="DX605" s="79"/>
      <c r="DY605" s="79"/>
      <c r="DZ605" s="79"/>
      <c r="EA605" s="79"/>
      <c r="EB605" s="79" t="s">
        <v>182</v>
      </c>
      <c r="EC605" s="79" t="s">
        <v>4211</v>
      </c>
      <c r="ED605" s="79" t="s">
        <v>1743</v>
      </c>
      <c r="EE605" s="79" t="str">
        <f t="shared" ref="EE605" si="526">IF(DI605="Subsanado","Completo","Por Completar")</f>
        <v>Completo</v>
      </c>
      <c r="EF605" s="41"/>
      <c r="EG605" s="79" t="s">
        <v>153</v>
      </c>
      <c r="EH605" s="71"/>
      <c r="EI605" s="80"/>
      <c r="EJ605" s="71"/>
      <c r="EK605" s="79"/>
      <c r="EL605" s="87" t="str">
        <f t="shared" si="465"/>
        <v>No requiere</v>
      </c>
      <c r="EM605" s="87" t="str">
        <f t="shared" si="466"/>
        <v>No requiere</v>
      </c>
      <c r="EN605" s="87" t="str">
        <f t="shared" ref="EN605" si="527">IF(F605="NO","No requiere",IF(H605="No","No requiere",IF(CC605="","",IF(CD605&lt;&gt;"No aplica",IF(CD605&lt;&gt;"Ninguna",IF(COUNTIF(CD605:CF605,"*")&gt;=1,"Sí","No"),"No"),"No aplica"))))</f>
        <v>No requiere</v>
      </c>
      <c r="EO605" s="71"/>
      <c r="EP605" s="84" t="str">
        <f t="shared" si="467"/>
        <v>No requiere</v>
      </c>
      <c r="EQ605" s="88" t="str">
        <f t="shared" si="468"/>
        <v>No requiere</v>
      </c>
      <c r="ER605" s="71"/>
      <c r="ES605" s="79"/>
      <c r="ET605" s="84" t="str">
        <f t="shared" si="469"/>
        <v>No requiere</v>
      </c>
      <c r="EU605" s="84" t="str">
        <f t="shared" ref="EU605" si="528">IF(F605="NO","No requiere",IF(H605="No","No requiere",IF(B605="","",IF(CX605="SÍ",IF(CK605&gt;=1,CY605/CK605,"Sin compromisos"),"Por verificar"))))</f>
        <v>No requiere</v>
      </c>
      <c r="EV605" s="84" t="str">
        <f t="shared" si="470"/>
        <v>No requiere</v>
      </c>
      <c r="EW605" s="84" t="str">
        <f t="shared" si="502"/>
        <v>No requiere</v>
      </c>
      <c r="EX605" s="78"/>
      <c r="EY605" s="78"/>
    </row>
    <row r="606" spans="1:155" ht="46.5" customHeight="1">
      <c r="A606" s="79">
        <v>602</v>
      </c>
      <c r="B606" s="80" t="s">
        <v>4212</v>
      </c>
      <c r="C606" s="81">
        <v>45464</v>
      </c>
      <c r="D606" s="82">
        <v>0.45833333333333331</v>
      </c>
      <c r="E606" s="79" t="s">
        <v>151</v>
      </c>
      <c r="F606" s="79" t="s">
        <v>153</v>
      </c>
      <c r="G606" s="79" t="s">
        <v>152</v>
      </c>
      <c r="H606" s="79" t="s">
        <v>152</v>
      </c>
      <c r="I606" s="79" t="s">
        <v>152</v>
      </c>
      <c r="J606" s="79" t="s">
        <v>3999</v>
      </c>
      <c r="K606" s="79" t="s">
        <v>202</v>
      </c>
      <c r="L606" s="80" t="s">
        <v>4043</v>
      </c>
      <c r="M606" s="80" t="s">
        <v>157</v>
      </c>
      <c r="N606" s="79" t="s">
        <v>506</v>
      </c>
      <c r="O606" s="80" t="str">
        <f t="shared" si="520"/>
        <v>Maria Angélica Higuera, Diego Alejandro Camacho</v>
      </c>
      <c r="P606" s="79" t="s">
        <v>328</v>
      </c>
      <c r="Q606" s="79" t="s">
        <v>422</v>
      </c>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t="s">
        <v>169</v>
      </c>
      <c r="AP606" s="79" t="s">
        <v>214</v>
      </c>
      <c r="AQ606" s="80" t="s">
        <v>4213</v>
      </c>
      <c r="AR606" s="83">
        <v>3202149489</v>
      </c>
      <c r="AS606" s="80" t="s">
        <v>4214</v>
      </c>
      <c r="AT606" s="80" t="str">
        <f t="shared" si="472"/>
        <v>Sumapaz</v>
      </c>
      <c r="AU606" s="79" t="s">
        <v>510</v>
      </c>
      <c r="AV606" s="79"/>
      <c r="AW606" s="79"/>
      <c r="AX606" s="79"/>
      <c r="AY606" s="79"/>
      <c r="AZ606" s="79"/>
      <c r="BA606" s="80" t="str">
        <f t="shared" si="481"/>
        <v>Ruralidad</v>
      </c>
      <c r="BB606" s="79" t="s">
        <v>219</v>
      </c>
      <c r="BC606" s="79"/>
      <c r="BD606" s="79"/>
      <c r="BE606" s="79"/>
      <c r="BF606" s="79"/>
      <c r="BG606" s="79"/>
      <c r="BH606" s="80" t="str">
        <f t="shared" si="482"/>
        <v>Sumapaz</v>
      </c>
      <c r="BI606" s="79" t="s">
        <v>510</v>
      </c>
      <c r="BJ606" s="79"/>
      <c r="BK606" s="79"/>
      <c r="BL606" s="79"/>
      <c r="BM606" s="79"/>
      <c r="BN606" s="79"/>
      <c r="BO606" s="79"/>
      <c r="BP606" s="79"/>
      <c r="BQ606" s="79"/>
      <c r="BR606" s="79"/>
      <c r="BS606" s="80" t="s">
        <v>510</v>
      </c>
      <c r="BT606" s="80" t="s">
        <v>174</v>
      </c>
      <c r="BU606" s="80" t="s">
        <v>2907</v>
      </c>
      <c r="BV606" s="71"/>
      <c r="BW606" s="79" t="s">
        <v>153</v>
      </c>
      <c r="BX606" s="79" t="s">
        <v>176</v>
      </c>
      <c r="BY606" s="71"/>
      <c r="BZ606" s="79">
        <v>6</v>
      </c>
      <c r="CA606" s="208">
        <v>2</v>
      </c>
      <c r="CB606" s="79">
        <f t="shared" ref="CB606:CB612" si="529">BZ606+CA606</f>
        <v>8</v>
      </c>
      <c r="CC606" s="79" t="str">
        <f t="shared" si="382"/>
        <v>Horarios Acordes</v>
      </c>
      <c r="CD606" s="79" t="s">
        <v>351</v>
      </c>
      <c r="CE606" s="79"/>
      <c r="CF606" s="79"/>
      <c r="CG606" s="83" t="s">
        <v>154</v>
      </c>
      <c r="CH606" s="41"/>
      <c r="CI606" s="79" t="s">
        <v>153</v>
      </c>
      <c r="CJ606" s="71"/>
      <c r="CK606" s="79">
        <f t="shared" ref="CK606:CK609" si="530">COUNTIF(CL606:CQ606,"*")</f>
        <v>0</v>
      </c>
      <c r="CL606" s="79"/>
      <c r="CM606" s="79"/>
      <c r="CN606" s="79"/>
      <c r="CO606" s="79"/>
      <c r="CP606" s="79"/>
      <c r="CQ606" s="79"/>
      <c r="CR606" s="83" t="s">
        <v>179</v>
      </c>
      <c r="CS606" s="83" t="s">
        <v>179</v>
      </c>
      <c r="CT606" s="83" t="s">
        <v>179</v>
      </c>
      <c r="CU606" s="83" t="s">
        <v>179</v>
      </c>
      <c r="CV606" s="83" t="s">
        <v>179</v>
      </c>
      <c r="CW606" s="83" t="s">
        <v>179</v>
      </c>
      <c r="CX606" s="79" t="s">
        <v>153</v>
      </c>
      <c r="CY606" s="79">
        <f t="shared" ref="CY606:CY612" si="531">SUM(COUNTIF(CR606:CW606,"Realizado y Devuelto a la Ciudadanía"),COUNTIF(CR606:CW606,"Realizado y Trasladado por competencia"), COUNTIF(CR606:CW606,"Realizado y Gestionado"))</f>
        <v>0</v>
      </c>
      <c r="CZ606" s="79">
        <v>0</v>
      </c>
      <c r="DA606" s="79">
        <f t="shared" ref="DA606:DA612" si="532">COUNTIF(CR606:CW606,"Realizado y Devuelto a la Ciudadanía")</f>
        <v>0</v>
      </c>
      <c r="DB606" s="84" t="str">
        <f t="shared" ref="DB606:DB612" si="533">IFERROR(CY606/CK606,"")</f>
        <v/>
      </c>
      <c r="DC606" s="41"/>
      <c r="DD606" s="79" t="s">
        <v>153</v>
      </c>
      <c r="DE606" s="71"/>
      <c r="DF606" s="127" t="s">
        <v>4215</v>
      </c>
      <c r="DG606" s="79">
        <v>595</v>
      </c>
      <c r="DH606" s="86" t="str">
        <f t="shared" si="446"/>
        <v>Completo</v>
      </c>
      <c r="DI606" s="79" t="s">
        <v>181</v>
      </c>
      <c r="DJ606" s="79" t="s">
        <v>182</v>
      </c>
      <c r="DK606" s="79"/>
      <c r="DL606" s="79">
        <v>0</v>
      </c>
      <c r="DM606" s="79">
        <v>0</v>
      </c>
      <c r="DN606" s="79" t="s">
        <v>182</v>
      </c>
      <c r="DO606" s="79"/>
      <c r="DP606" s="79"/>
      <c r="DQ606" s="79"/>
      <c r="DR606" s="75" t="str">
        <f t="shared" si="500"/>
        <v>No aplica</v>
      </c>
      <c r="DS606" s="79"/>
      <c r="DT606" s="79"/>
      <c r="DU606" s="75" t="str">
        <f t="shared" si="501"/>
        <v>No aplica</v>
      </c>
      <c r="DV606" s="79" t="s">
        <v>182</v>
      </c>
      <c r="DW606" s="79" t="s">
        <v>182</v>
      </c>
      <c r="DX606" s="79"/>
      <c r="DY606" s="79"/>
      <c r="DZ606" s="79"/>
      <c r="EA606" s="79"/>
      <c r="EB606" s="79" t="s">
        <v>182</v>
      </c>
      <c r="EC606" s="79" t="s">
        <v>4216</v>
      </c>
      <c r="ED606" s="79"/>
      <c r="EE606" s="79" t="str">
        <f t="shared" ref="EE606:EE612" si="534">IF(DI606="Subsanado","Completo","Por Completar")</f>
        <v>Completo</v>
      </c>
      <c r="EF606" s="41"/>
      <c r="EG606" s="79" t="s">
        <v>153</v>
      </c>
      <c r="EH606" s="71"/>
      <c r="EI606" s="80"/>
      <c r="EJ606" s="71"/>
      <c r="EK606" s="79"/>
      <c r="EL606" s="87" t="str">
        <f t="shared" si="465"/>
        <v>No requiere</v>
      </c>
      <c r="EM606" s="87" t="str">
        <f t="shared" si="466"/>
        <v>No requiere</v>
      </c>
      <c r="EN606" s="87" t="str">
        <f t="shared" ref="EN606:EN612" si="535">IF(F606="NO","No requiere",IF(H606="No","No requiere",IF(CC606="","",IF(CD606&lt;&gt;"No aplica",IF(CD606&lt;&gt;"Ninguna",IF(COUNTIF(CD606:CF606,"*")&gt;=1,"Sí","No"),"No"),"No aplica"))))</f>
        <v>No requiere</v>
      </c>
      <c r="EO606" s="71"/>
      <c r="EP606" s="84" t="str">
        <f t="shared" si="467"/>
        <v>No requiere</v>
      </c>
      <c r="EQ606" s="88" t="str">
        <f t="shared" si="468"/>
        <v>No requiere</v>
      </c>
      <c r="ER606" s="71"/>
      <c r="ES606" s="79"/>
      <c r="ET606" s="84" t="str">
        <f t="shared" si="469"/>
        <v>No requiere</v>
      </c>
      <c r="EU606" s="84" t="str">
        <f t="shared" ref="EU606:EU612" si="536">IF(F606="NO","No requiere",IF(H606="No","No requiere",IF(B606="","",IF(CX606="SÍ",IF(CK606&gt;=1,CY606/CK606,"Sin compromisos"),"Por verificar"))))</f>
        <v>No requiere</v>
      </c>
      <c r="EV606" s="84" t="str">
        <f t="shared" si="470"/>
        <v>No requiere</v>
      </c>
      <c r="EW606" s="84" t="str">
        <f t="shared" si="502"/>
        <v>No requiere</v>
      </c>
      <c r="EX606" s="78"/>
      <c r="EY606" s="78"/>
    </row>
    <row r="607" spans="1:155" ht="46.5" customHeight="1">
      <c r="A607" s="79">
        <v>603</v>
      </c>
      <c r="B607" s="80" t="s">
        <v>4217</v>
      </c>
      <c r="C607" s="81">
        <v>45464</v>
      </c>
      <c r="D607" s="82">
        <v>0.79166666666666663</v>
      </c>
      <c r="E607" s="79" t="s">
        <v>200</v>
      </c>
      <c r="F607" s="79" t="s">
        <v>153</v>
      </c>
      <c r="G607" s="79" t="s">
        <v>152</v>
      </c>
      <c r="H607" s="79" t="s">
        <v>152</v>
      </c>
      <c r="I607" s="79" t="s">
        <v>152</v>
      </c>
      <c r="J607" s="79" t="s">
        <v>211</v>
      </c>
      <c r="K607" s="79" t="s">
        <v>202</v>
      </c>
      <c r="L607" s="80" t="s">
        <v>3597</v>
      </c>
      <c r="M607" s="80" t="s">
        <v>157</v>
      </c>
      <c r="N607" s="79" t="s">
        <v>888</v>
      </c>
      <c r="O607" s="80" t="str">
        <f t="shared" si="520"/>
        <v/>
      </c>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t="s">
        <v>230</v>
      </c>
      <c r="AP607" s="79" t="s">
        <v>242</v>
      </c>
      <c r="AQ607" s="80" t="s">
        <v>1322</v>
      </c>
      <c r="AR607" s="83" t="s">
        <v>4218</v>
      </c>
      <c r="AS607" s="80" t="s">
        <v>1324</v>
      </c>
      <c r="AT607" s="80" t="str">
        <f t="shared" si="472"/>
        <v>Distrital</v>
      </c>
      <c r="AU607" s="79" t="s">
        <v>172</v>
      </c>
      <c r="AV607" s="79"/>
      <c r="AW607" s="79"/>
      <c r="AX607" s="79"/>
      <c r="AY607" s="79"/>
      <c r="AZ607" s="79"/>
      <c r="BA607" s="80" t="str">
        <f t="shared" si="481"/>
        <v>Distrital</v>
      </c>
      <c r="BB607" s="79" t="s">
        <v>172</v>
      </c>
      <c r="BC607" s="79"/>
      <c r="BD607" s="79"/>
      <c r="BE607" s="79"/>
      <c r="BF607" s="79"/>
      <c r="BG607" s="79"/>
      <c r="BH607" s="80" t="str">
        <f t="shared" si="482"/>
        <v>Distrital</v>
      </c>
      <c r="BI607" s="79" t="s">
        <v>172</v>
      </c>
      <c r="BJ607" s="79"/>
      <c r="BK607" s="79"/>
      <c r="BL607" s="79"/>
      <c r="BM607" s="79"/>
      <c r="BN607" s="79"/>
      <c r="BO607" s="79"/>
      <c r="BP607" s="79"/>
      <c r="BQ607" s="79"/>
      <c r="BR607" s="79"/>
      <c r="BS607" s="80" t="s">
        <v>288</v>
      </c>
      <c r="BT607" s="80" t="s">
        <v>174</v>
      </c>
      <c r="BU607" s="128" t="s">
        <v>3931</v>
      </c>
      <c r="BV607" s="71"/>
      <c r="BW607" s="79" t="s">
        <v>152</v>
      </c>
      <c r="BX607" s="79" t="s">
        <v>179</v>
      </c>
      <c r="BY607" s="71"/>
      <c r="BZ607" s="79">
        <v>7</v>
      </c>
      <c r="CA607" s="79">
        <v>1</v>
      </c>
      <c r="CB607" s="79">
        <f t="shared" si="529"/>
        <v>8</v>
      </c>
      <c r="CC607" s="79" t="str">
        <f t="shared" si="382"/>
        <v>Ninguna</v>
      </c>
      <c r="CD607" s="79" t="s">
        <v>174</v>
      </c>
      <c r="CE607" s="79"/>
      <c r="CF607" s="79"/>
      <c r="CG607" s="83" t="s">
        <v>4219</v>
      </c>
      <c r="CH607" s="41"/>
      <c r="CI607" s="79" t="s">
        <v>153</v>
      </c>
      <c r="CJ607" s="71"/>
      <c r="CK607" s="79">
        <f t="shared" si="530"/>
        <v>0</v>
      </c>
      <c r="CL607" s="79"/>
      <c r="CM607" s="79"/>
      <c r="CN607" s="79"/>
      <c r="CO607" s="79"/>
      <c r="CP607" s="79"/>
      <c r="CQ607" s="79"/>
      <c r="CR607" s="83" t="s">
        <v>179</v>
      </c>
      <c r="CS607" s="83" t="s">
        <v>179</v>
      </c>
      <c r="CT607" s="83" t="s">
        <v>179</v>
      </c>
      <c r="CU607" s="83" t="s">
        <v>179</v>
      </c>
      <c r="CV607" s="83" t="s">
        <v>179</v>
      </c>
      <c r="CW607" s="83" t="s">
        <v>179</v>
      </c>
      <c r="CX607" s="79" t="s">
        <v>153</v>
      </c>
      <c r="CY607" s="79">
        <f t="shared" si="531"/>
        <v>0</v>
      </c>
      <c r="CZ607" s="79">
        <v>0</v>
      </c>
      <c r="DA607" s="79">
        <f t="shared" si="532"/>
        <v>0</v>
      </c>
      <c r="DB607" s="84" t="str">
        <f t="shared" si="533"/>
        <v/>
      </c>
      <c r="DC607" s="41"/>
      <c r="DD607" s="79" t="s">
        <v>153</v>
      </c>
      <c r="DE607" s="71"/>
      <c r="DF607" s="127" t="s">
        <v>4220</v>
      </c>
      <c r="DG607" s="79">
        <v>596</v>
      </c>
      <c r="DH607" s="86" t="str">
        <f t="shared" si="446"/>
        <v>Completo</v>
      </c>
      <c r="DI607" s="79" t="s">
        <v>181</v>
      </c>
      <c r="DJ607" s="79" t="s">
        <v>182</v>
      </c>
      <c r="DK607" s="79"/>
      <c r="DL607" s="79">
        <v>0</v>
      </c>
      <c r="DM607" s="79">
        <v>0</v>
      </c>
      <c r="DN607" s="79" t="s">
        <v>182</v>
      </c>
      <c r="DO607" s="79"/>
      <c r="DP607" s="79"/>
      <c r="DQ607" s="79"/>
      <c r="DR607" s="75" t="str">
        <f t="shared" si="500"/>
        <v>No aplica</v>
      </c>
      <c r="DS607" s="79"/>
      <c r="DT607" s="79"/>
      <c r="DU607" s="75" t="str">
        <f t="shared" si="501"/>
        <v>No aplica</v>
      </c>
      <c r="DV607" s="79" t="s">
        <v>182</v>
      </c>
      <c r="DW607" s="79" t="s">
        <v>182</v>
      </c>
      <c r="DX607" s="79"/>
      <c r="DY607" s="79"/>
      <c r="DZ607" s="79"/>
      <c r="EA607" s="79"/>
      <c r="EB607" s="79" t="s">
        <v>182</v>
      </c>
      <c r="EC607" s="79" t="s">
        <v>4221</v>
      </c>
      <c r="ED607" s="79" t="s">
        <v>3912</v>
      </c>
      <c r="EE607" s="79" t="str">
        <f t="shared" si="534"/>
        <v>Completo</v>
      </c>
      <c r="EF607" s="41"/>
      <c r="EG607" s="79" t="s">
        <v>153</v>
      </c>
      <c r="EH607" s="71"/>
      <c r="EI607" s="80"/>
      <c r="EJ607" s="71"/>
      <c r="EK607" s="79"/>
      <c r="EL607" s="87" t="str">
        <f t="shared" si="465"/>
        <v>No requiere</v>
      </c>
      <c r="EM607" s="87" t="str">
        <f t="shared" si="466"/>
        <v>No requiere</v>
      </c>
      <c r="EN607" s="87" t="str">
        <f t="shared" si="535"/>
        <v>No requiere</v>
      </c>
      <c r="EO607" s="71"/>
      <c r="EP607" s="84" t="str">
        <f t="shared" si="467"/>
        <v>No requiere</v>
      </c>
      <c r="EQ607" s="88" t="str">
        <f t="shared" si="468"/>
        <v>No requiere</v>
      </c>
      <c r="ER607" s="71"/>
      <c r="ES607" s="79"/>
      <c r="ET607" s="84" t="str">
        <f t="shared" si="469"/>
        <v>No requiere</v>
      </c>
      <c r="EU607" s="84" t="str">
        <f t="shared" si="536"/>
        <v>No requiere</v>
      </c>
      <c r="EV607" s="84" t="str">
        <f t="shared" si="470"/>
        <v>No requiere</v>
      </c>
      <c r="EW607" s="84" t="str">
        <f t="shared" si="502"/>
        <v>No requiere</v>
      </c>
      <c r="EX607" s="78"/>
      <c r="EY607" s="78"/>
    </row>
    <row r="608" spans="1:155" ht="46.5" customHeight="1">
      <c r="A608" s="79">
        <v>604</v>
      </c>
      <c r="B608" s="80" t="s">
        <v>4222</v>
      </c>
      <c r="C608" s="81">
        <v>45465</v>
      </c>
      <c r="D608" s="82">
        <v>0.39583333333333331</v>
      </c>
      <c r="E608" s="79" t="s">
        <v>151</v>
      </c>
      <c r="F608" s="79" t="s">
        <v>153</v>
      </c>
      <c r="G608" s="79" t="s">
        <v>152</v>
      </c>
      <c r="H608" s="79" t="s">
        <v>152</v>
      </c>
      <c r="I608" s="79" t="s">
        <v>152</v>
      </c>
      <c r="J608" s="79" t="s">
        <v>272</v>
      </c>
      <c r="K608" s="79" t="s">
        <v>202</v>
      </c>
      <c r="L608" s="80" t="s">
        <v>4223</v>
      </c>
      <c r="M608" s="80" t="s">
        <v>157</v>
      </c>
      <c r="N608" s="79" t="s">
        <v>862</v>
      </c>
      <c r="O608" s="80" t="str">
        <f t="shared" si="520"/>
        <v/>
      </c>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t="s">
        <v>169</v>
      </c>
      <c r="AP608" s="79" t="s">
        <v>214</v>
      </c>
      <c r="AQ608" s="80" t="s">
        <v>4224</v>
      </c>
      <c r="AR608" s="83" t="s">
        <v>4225</v>
      </c>
      <c r="AS608" s="80" t="s">
        <v>4226</v>
      </c>
      <c r="AT608" s="80" t="str">
        <f t="shared" si="472"/>
        <v>Tunjuelito</v>
      </c>
      <c r="AU608" s="79" t="s">
        <v>937</v>
      </c>
      <c r="AV608" s="79"/>
      <c r="AW608" s="79"/>
      <c r="AX608" s="79"/>
      <c r="AY608" s="79"/>
      <c r="AZ608" s="79"/>
      <c r="BA608" s="80" t="str">
        <f t="shared" si="481"/>
        <v>Suroriente</v>
      </c>
      <c r="BB608" s="79" t="s">
        <v>218</v>
      </c>
      <c r="BC608" s="79"/>
      <c r="BD608" s="79"/>
      <c r="BE608" s="79"/>
      <c r="BF608" s="79"/>
      <c r="BG608" s="79"/>
      <c r="BH608" s="80" t="str">
        <f t="shared" si="482"/>
        <v>Tunjuelito, Arborizadora</v>
      </c>
      <c r="BI608" s="79" t="s">
        <v>937</v>
      </c>
      <c r="BJ608" s="79" t="s">
        <v>220</v>
      </c>
      <c r="BK608" s="79"/>
      <c r="BL608" s="79"/>
      <c r="BM608" s="79"/>
      <c r="BN608" s="79"/>
      <c r="BO608" s="79"/>
      <c r="BP608" s="79"/>
      <c r="BQ608" s="79"/>
      <c r="BR608" s="79"/>
      <c r="BS608" s="80" t="s">
        <v>937</v>
      </c>
      <c r="BT608" s="80" t="s">
        <v>4227</v>
      </c>
      <c r="BU608" s="128" t="s">
        <v>3931</v>
      </c>
      <c r="BV608" s="71"/>
      <c r="BW608" s="79" t="s">
        <v>152</v>
      </c>
      <c r="BX608" s="79" t="s">
        <v>179</v>
      </c>
      <c r="BY608" s="71"/>
      <c r="BZ608" s="79">
        <v>18</v>
      </c>
      <c r="CA608" s="79">
        <v>1</v>
      </c>
      <c r="CB608" s="79">
        <f t="shared" si="529"/>
        <v>19</v>
      </c>
      <c r="CC608" s="79" t="str">
        <f t="shared" si="382"/>
        <v>Horarios Acordes</v>
      </c>
      <c r="CD608" s="79" t="s">
        <v>351</v>
      </c>
      <c r="CE608" s="79"/>
      <c r="CF608" s="79"/>
      <c r="CG608" s="83" t="s">
        <v>4228</v>
      </c>
      <c r="CH608" s="41"/>
      <c r="CI608" s="79" t="s">
        <v>153</v>
      </c>
      <c r="CJ608" s="71"/>
      <c r="CK608" s="79">
        <f t="shared" si="530"/>
        <v>0</v>
      </c>
      <c r="CL608" s="79"/>
      <c r="CM608" s="79"/>
      <c r="CN608" s="79"/>
      <c r="CO608" s="79"/>
      <c r="CP608" s="79"/>
      <c r="CQ608" s="79"/>
      <c r="CR608" s="83" t="s">
        <v>179</v>
      </c>
      <c r="CS608" s="83" t="s">
        <v>179</v>
      </c>
      <c r="CT608" s="83" t="s">
        <v>179</v>
      </c>
      <c r="CU608" s="83" t="s">
        <v>179</v>
      </c>
      <c r="CV608" s="83" t="s">
        <v>179</v>
      </c>
      <c r="CW608" s="83" t="s">
        <v>179</v>
      </c>
      <c r="CX608" s="79" t="s">
        <v>153</v>
      </c>
      <c r="CY608" s="79">
        <f t="shared" si="531"/>
        <v>0</v>
      </c>
      <c r="CZ608" s="79">
        <v>0</v>
      </c>
      <c r="DA608" s="79">
        <f t="shared" si="532"/>
        <v>0</v>
      </c>
      <c r="DB608" s="84" t="str">
        <f t="shared" si="533"/>
        <v/>
      </c>
      <c r="DC608" s="41"/>
      <c r="DD608" s="79" t="s">
        <v>153</v>
      </c>
      <c r="DE608" s="71"/>
      <c r="DF608" s="127" t="s">
        <v>4229</v>
      </c>
      <c r="DG608" s="79">
        <v>597</v>
      </c>
      <c r="DH608" s="86" t="str">
        <f t="shared" ref="DH608:DH683" si="537">IF(EE608="Por completar",C608+3,"Completo")</f>
        <v>Completo</v>
      </c>
      <c r="DI608" s="79" t="s">
        <v>181</v>
      </c>
      <c r="DJ608" s="79" t="s">
        <v>182</v>
      </c>
      <c r="DK608" s="79"/>
      <c r="DL608" s="79">
        <v>0</v>
      </c>
      <c r="DM608" s="79">
        <v>0</v>
      </c>
      <c r="DN608" s="79" t="s">
        <v>182</v>
      </c>
      <c r="DO608" s="79"/>
      <c r="DP608" s="79"/>
      <c r="DQ608" s="79"/>
      <c r="DR608" s="75" t="str">
        <f t="shared" si="500"/>
        <v>No aplica</v>
      </c>
      <c r="DS608" s="79"/>
      <c r="DT608" s="79"/>
      <c r="DU608" s="75" t="str">
        <f t="shared" si="501"/>
        <v>No aplica</v>
      </c>
      <c r="DV608" s="79" t="s">
        <v>182</v>
      </c>
      <c r="DW608" s="79" t="s">
        <v>182</v>
      </c>
      <c r="DX608" s="79"/>
      <c r="DY608" s="79"/>
      <c r="DZ608" s="79"/>
      <c r="EA608" s="79"/>
      <c r="EB608" s="79"/>
      <c r="EC608" s="79"/>
      <c r="ED608" s="79" t="s">
        <v>3912</v>
      </c>
      <c r="EE608" s="79" t="str">
        <f t="shared" si="534"/>
        <v>Completo</v>
      </c>
      <c r="EF608" s="41"/>
      <c r="EG608" s="79" t="s">
        <v>153</v>
      </c>
      <c r="EH608" s="71"/>
      <c r="EI608" s="80"/>
      <c r="EJ608" s="71"/>
      <c r="EK608" s="79"/>
      <c r="EL608" s="87" t="str">
        <f t="shared" si="465"/>
        <v>No requiere</v>
      </c>
      <c r="EM608" s="87" t="str">
        <f t="shared" si="466"/>
        <v>No requiere</v>
      </c>
      <c r="EN608" s="87" t="str">
        <f t="shared" si="535"/>
        <v>No requiere</v>
      </c>
      <c r="EO608" s="71"/>
      <c r="EP608" s="84" t="str">
        <f t="shared" si="467"/>
        <v>No requiere</v>
      </c>
      <c r="EQ608" s="88" t="str">
        <f t="shared" si="468"/>
        <v>No requiere</v>
      </c>
      <c r="ER608" s="71"/>
      <c r="ES608" s="79"/>
      <c r="ET608" s="84" t="str">
        <f t="shared" si="469"/>
        <v>No requiere</v>
      </c>
      <c r="EU608" s="84" t="str">
        <f t="shared" si="536"/>
        <v>No requiere</v>
      </c>
      <c r="EV608" s="84" t="str">
        <f t="shared" si="470"/>
        <v>No requiere</v>
      </c>
      <c r="EW608" s="84" t="str">
        <f t="shared" si="502"/>
        <v>No requiere</v>
      </c>
      <c r="EX608" s="78"/>
      <c r="EY608" s="78"/>
    </row>
    <row r="609" spans="1:155" ht="46.5" customHeight="1">
      <c r="A609" s="79">
        <v>605</v>
      </c>
      <c r="B609" s="80" t="s">
        <v>4230</v>
      </c>
      <c r="C609" s="81">
        <v>45465</v>
      </c>
      <c r="D609" s="82">
        <v>0.41666666666666669</v>
      </c>
      <c r="E609" s="79" t="s">
        <v>151</v>
      </c>
      <c r="F609" s="79" t="s">
        <v>153</v>
      </c>
      <c r="G609" s="79" t="s">
        <v>153</v>
      </c>
      <c r="H609" s="79" t="s">
        <v>152</v>
      </c>
      <c r="I609" s="79" t="s">
        <v>152</v>
      </c>
      <c r="J609" s="79" t="s">
        <v>3999</v>
      </c>
      <c r="K609" s="79" t="s">
        <v>155</v>
      </c>
      <c r="L609" s="80" t="s">
        <v>4231</v>
      </c>
      <c r="M609" s="80" t="s">
        <v>241</v>
      </c>
      <c r="N609" s="79" t="s">
        <v>801</v>
      </c>
      <c r="O609" s="80" t="str">
        <f t="shared" si="520"/>
        <v/>
      </c>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t="s">
        <v>230</v>
      </c>
      <c r="AP609" s="79" t="s">
        <v>231</v>
      </c>
      <c r="AQ609" s="80" t="s">
        <v>4232</v>
      </c>
      <c r="AR609" s="83" t="s">
        <v>4233</v>
      </c>
      <c r="AS609" s="80" t="s">
        <v>4234</v>
      </c>
      <c r="AT609" s="80" t="str">
        <f t="shared" si="472"/>
        <v>Suba</v>
      </c>
      <c r="AU609" s="79" t="s">
        <v>602</v>
      </c>
      <c r="AV609" s="79"/>
      <c r="AW609" s="79"/>
      <c r="AX609" s="79"/>
      <c r="AY609" s="79"/>
      <c r="AZ609" s="79"/>
      <c r="BA609" s="80" t="str">
        <f t="shared" si="481"/>
        <v>Noroccidente, Norte</v>
      </c>
      <c r="BB609" s="79" t="s">
        <v>603</v>
      </c>
      <c r="BC609" s="79" t="s">
        <v>662</v>
      </c>
      <c r="BD609" s="79"/>
      <c r="BE609" s="79"/>
      <c r="BF609" s="79"/>
      <c r="BG609" s="79"/>
      <c r="BH609" s="80" t="str">
        <f t="shared" si="482"/>
        <v>Suba, Suba Rincón, Tibabuyes, Niza, Britalia, Torca</v>
      </c>
      <c r="BI609" s="79" t="s">
        <v>602</v>
      </c>
      <c r="BJ609" s="79" t="s">
        <v>604</v>
      </c>
      <c r="BK609" s="79" t="s">
        <v>1378</v>
      </c>
      <c r="BL609" s="79" t="s">
        <v>865</v>
      </c>
      <c r="BM609" s="79" t="s">
        <v>1313</v>
      </c>
      <c r="BN609" s="79" t="s">
        <v>805</v>
      </c>
      <c r="BO609" s="79"/>
      <c r="BP609" s="79"/>
      <c r="BQ609" s="79"/>
      <c r="BR609" s="79"/>
      <c r="BS609" s="80" t="s">
        <v>4235</v>
      </c>
      <c r="BT609" s="80" t="s">
        <v>174</v>
      </c>
      <c r="BU609" s="80" t="s">
        <v>4236</v>
      </c>
      <c r="BV609" s="71"/>
      <c r="BW609" s="79" t="s">
        <v>152</v>
      </c>
      <c r="BX609" s="79" t="s">
        <v>179</v>
      </c>
      <c r="BY609" s="71"/>
      <c r="BZ609" s="79">
        <v>11</v>
      </c>
      <c r="CA609" s="79">
        <v>1</v>
      </c>
      <c r="CB609" s="79">
        <f t="shared" si="529"/>
        <v>12</v>
      </c>
      <c r="CC609" s="79" t="str">
        <f t="shared" si="382"/>
        <v>No Aplica</v>
      </c>
      <c r="CD609" s="79" t="s">
        <v>177</v>
      </c>
      <c r="CE609" s="79"/>
      <c r="CF609" s="79"/>
      <c r="CG609" s="83" t="s">
        <v>4237</v>
      </c>
      <c r="CH609" s="41"/>
      <c r="CI609" s="79" t="s">
        <v>153</v>
      </c>
      <c r="CJ609" s="71"/>
      <c r="CK609" s="79">
        <f t="shared" si="530"/>
        <v>0</v>
      </c>
      <c r="CL609" s="79"/>
      <c r="CM609" s="79"/>
      <c r="CN609" s="79"/>
      <c r="CO609" s="79"/>
      <c r="CP609" s="79"/>
      <c r="CQ609" s="79"/>
      <c r="CR609" s="83" t="s">
        <v>179</v>
      </c>
      <c r="CS609" s="83" t="s">
        <v>179</v>
      </c>
      <c r="CT609" s="83" t="s">
        <v>179</v>
      </c>
      <c r="CU609" s="83" t="s">
        <v>179</v>
      </c>
      <c r="CV609" s="83" t="s">
        <v>179</v>
      </c>
      <c r="CW609" s="83" t="s">
        <v>179</v>
      </c>
      <c r="CX609" s="79" t="s">
        <v>153</v>
      </c>
      <c r="CY609" s="79">
        <f t="shared" si="531"/>
        <v>0</v>
      </c>
      <c r="CZ609" s="79">
        <v>0</v>
      </c>
      <c r="DA609" s="79">
        <f t="shared" si="532"/>
        <v>0</v>
      </c>
      <c r="DB609" s="84">
        <v>0</v>
      </c>
      <c r="DC609" s="41"/>
      <c r="DD609" s="79" t="s">
        <v>153</v>
      </c>
      <c r="DE609" s="71"/>
      <c r="DF609" s="127" t="s">
        <v>4238</v>
      </c>
      <c r="DG609" s="79">
        <v>598</v>
      </c>
      <c r="DH609" s="86" t="str">
        <f t="shared" si="537"/>
        <v>Completo</v>
      </c>
      <c r="DI609" s="79" t="s">
        <v>181</v>
      </c>
      <c r="DJ609" s="79" t="s">
        <v>182</v>
      </c>
      <c r="DK609" s="79"/>
      <c r="DL609" s="79">
        <v>0</v>
      </c>
      <c r="DM609" s="79">
        <v>0</v>
      </c>
      <c r="DN609" s="79" t="s">
        <v>182</v>
      </c>
      <c r="DO609" s="79"/>
      <c r="DP609" s="79"/>
      <c r="DQ609" s="79"/>
      <c r="DR609" s="75" t="str">
        <f t="shared" si="500"/>
        <v>No aplica</v>
      </c>
      <c r="DS609" s="79"/>
      <c r="DT609" s="79"/>
      <c r="DU609" s="75" t="str">
        <f t="shared" si="501"/>
        <v>No aplica</v>
      </c>
      <c r="DV609" s="79" t="s">
        <v>182</v>
      </c>
      <c r="DW609" s="79" t="s">
        <v>182</v>
      </c>
      <c r="DX609" s="79"/>
      <c r="DY609" s="79"/>
      <c r="DZ609" s="79"/>
      <c r="EA609" s="79"/>
      <c r="EB609" s="79"/>
      <c r="EC609" s="79"/>
      <c r="ED609" s="79" t="s">
        <v>4009</v>
      </c>
      <c r="EE609" s="79" t="str">
        <f t="shared" si="534"/>
        <v>Completo</v>
      </c>
      <c r="EF609" s="41"/>
      <c r="EG609" s="79" t="s">
        <v>153</v>
      </c>
      <c r="EH609" s="71"/>
      <c r="EI609" s="80"/>
      <c r="EJ609" s="71"/>
      <c r="EK609" s="79"/>
      <c r="EL609" s="87" t="str">
        <f t="shared" si="465"/>
        <v>No requiere</v>
      </c>
      <c r="EM609" s="87" t="str">
        <f t="shared" si="466"/>
        <v>No requiere</v>
      </c>
      <c r="EN609" s="87" t="str">
        <f t="shared" si="535"/>
        <v>No requiere</v>
      </c>
      <c r="EO609" s="71"/>
      <c r="EP609" s="84" t="str">
        <f t="shared" si="467"/>
        <v>No requiere</v>
      </c>
      <c r="EQ609" s="88" t="str">
        <f t="shared" si="468"/>
        <v>No requiere</v>
      </c>
      <c r="ER609" s="71"/>
      <c r="ES609" s="79"/>
      <c r="ET609" s="84" t="str">
        <f t="shared" si="469"/>
        <v>No requiere</v>
      </c>
      <c r="EU609" s="84" t="str">
        <f t="shared" si="536"/>
        <v>No requiere</v>
      </c>
      <c r="EV609" s="84" t="str">
        <f t="shared" si="470"/>
        <v>No requiere</v>
      </c>
      <c r="EW609" s="84" t="str">
        <f t="shared" si="502"/>
        <v>No requiere</v>
      </c>
      <c r="EX609" s="78"/>
      <c r="EY609" s="78"/>
    </row>
    <row r="610" spans="1:155" ht="46.5" customHeight="1">
      <c r="A610" s="79">
        <v>606</v>
      </c>
      <c r="B610" s="80" t="s">
        <v>4239</v>
      </c>
      <c r="C610" s="81">
        <v>45465</v>
      </c>
      <c r="D610" s="82">
        <v>0.47916666666666669</v>
      </c>
      <c r="E610" s="79" t="s">
        <v>151</v>
      </c>
      <c r="F610" s="79" t="s">
        <v>153</v>
      </c>
      <c r="G610" s="79" t="s">
        <v>153</v>
      </c>
      <c r="H610" s="79" t="s">
        <v>153</v>
      </c>
      <c r="I610" s="79" t="s">
        <v>152</v>
      </c>
      <c r="J610" s="79" t="s">
        <v>154</v>
      </c>
      <c r="K610" s="79" t="s">
        <v>155</v>
      </c>
      <c r="L610" s="80" t="s">
        <v>4240</v>
      </c>
      <c r="M610" s="80" t="s">
        <v>241</v>
      </c>
      <c r="N610" s="79" t="s">
        <v>163</v>
      </c>
      <c r="O610" s="80" t="str">
        <f>_xlfn.TEXTJOIN(", ",TRUE,P610:AN610)</f>
        <v>Laura Camila Bechara, Sarah Lucia Triviño</v>
      </c>
      <c r="P610" s="79" t="s">
        <v>887</v>
      </c>
      <c r="Q610" s="79" t="s">
        <v>499</v>
      </c>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t="s">
        <v>230</v>
      </c>
      <c r="AP610" s="79" t="s">
        <v>347</v>
      </c>
      <c r="AQ610" s="80" t="s">
        <v>1713</v>
      </c>
      <c r="AR610" s="83">
        <v>3148396805</v>
      </c>
      <c r="AS610" s="80" t="s">
        <v>1714</v>
      </c>
      <c r="AT610" s="80" t="str">
        <f>_xlfn.TEXTJOIN(", ",TRUE,$AU610:$AY610)</f>
        <v>Distrital</v>
      </c>
      <c r="AU610" s="79" t="s">
        <v>172</v>
      </c>
      <c r="AV610" s="79"/>
      <c r="AW610" s="79"/>
      <c r="AX610" s="79"/>
      <c r="AY610" s="79"/>
      <c r="AZ610" s="79"/>
      <c r="BA610" s="80" t="str">
        <f>_xlfn.TEXTJOIN(", ",TRUE,$BB610:$BG610)</f>
        <v>Distrital</v>
      </c>
      <c r="BB610" s="79" t="s">
        <v>172</v>
      </c>
      <c r="BC610" s="79"/>
      <c r="BD610" s="79"/>
      <c r="BE610" s="79"/>
      <c r="BF610" s="79"/>
      <c r="BG610" s="79"/>
      <c r="BH610" s="80" t="str">
        <f>_xlfn.TEXTJOIN(", ",TRUE,$BI610:$BR610)</f>
        <v>Distrital</v>
      </c>
      <c r="BI610" s="79" t="s">
        <v>172</v>
      </c>
      <c r="BJ610" s="79"/>
      <c r="BK610" s="79"/>
      <c r="BL610" s="79"/>
      <c r="BM610" s="79"/>
      <c r="BN610" s="79"/>
      <c r="BO610" s="79"/>
      <c r="BP610" s="79"/>
      <c r="BQ610" s="79"/>
      <c r="BR610" s="79"/>
      <c r="BS610" s="80" t="s">
        <v>288</v>
      </c>
      <c r="BT610" s="80" t="s">
        <v>174</v>
      </c>
      <c r="BU610" s="80" t="s">
        <v>4241</v>
      </c>
      <c r="BV610" s="71"/>
      <c r="BW610" s="79" t="s">
        <v>153</v>
      </c>
      <c r="BX610" s="79" t="s">
        <v>4242</v>
      </c>
      <c r="BY610" s="71"/>
      <c r="BZ610" s="79">
        <v>23</v>
      </c>
      <c r="CA610" s="79">
        <v>5</v>
      </c>
      <c r="CB610" s="79">
        <f>BZ610+CA610</f>
        <v>28</v>
      </c>
      <c r="CC610" s="79" t="str">
        <f>_xlfn.TEXTJOIN(", ",TRUE,$CD610:$CF610)</f>
        <v>No Aplica</v>
      </c>
      <c r="CD610" s="79" t="s">
        <v>177</v>
      </c>
      <c r="CE610" s="79"/>
      <c r="CF610" s="79"/>
      <c r="CG610" s="83" t="s">
        <v>4243</v>
      </c>
      <c r="CH610" s="41"/>
      <c r="CI610" s="79" t="s">
        <v>153</v>
      </c>
      <c r="CJ610" s="71"/>
      <c r="CK610" s="79">
        <v>1</v>
      </c>
      <c r="CL610" s="79" t="s">
        <v>4244</v>
      </c>
      <c r="CM610" s="79"/>
      <c r="CN610" s="79"/>
      <c r="CO610" s="79"/>
      <c r="CP610" s="79"/>
      <c r="CQ610" s="79"/>
      <c r="CR610" s="83" t="s">
        <v>390</v>
      </c>
      <c r="CS610" s="83" t="s">
        <v>179</v>
      </c>
      <c r="CT610" s="83" t="s">
        <v>179</v>
      </c>
      <c r="CU610" s="83" t="s">
        <v>179</v>
      </c>
      <c r="CV610" s="83" t="s">
        <v>179</v>
      </c>
      <c r="CW610" s="83" t="s">
        <v>179</v>
      </c>
      <c r="CX610" s="79" t="s">
        <v>153</v>
      </c>
      <c r="CY610" s="79">
        <f>SUM(COUNTIF(CR610:CW610,"Realizado y Devuelto a la Ciudadanía"),COUNTIF(CR610:CW610,"Realizado y Trasladado por competencia"), COUNTIF(CR610:CW610,"Realizado y Gestionado"))</f>
        <v>1</v>
      </c>
      <c r="CZ610" s="79">
        <v>1</v>
      </c>
      <c r="DA610" s="79">
        <f>COUNTIF(CR610:CW610,"Realizado y Devuelto a la Ciudadanía")</f>
        <v>1</v>
      </c>
      <c r="DB610" s="84">
        <f>IFERROR(CY610/CK610,"")</f>
        <v>1</v>
      </c>
      <c r="DC610" s="41"/>
      <c r="DD610" s="79" t="s">
        <v>153</v>
      </c>
      <c r="DE610" s="71"/>
      <c r="DF610" s="130" t="s">
        <v>4245</v>
      </c>
      <c r="DG610" s="79">
        <v>599</v>
      </c>
      <c r="DH610" s="86" t="str">
        <f>IF(EE610="Por completar",C610+3,"Completo")</f>
        <v>Completo</v>
      </c>
      <c r="DI610" s="79" t="s">
        <v>181</v>
      </c>
      <c r="DJ610" s="79" t="s">
        <v>182</v>
      </c>
      <c r="DK610" s="79" t="s">
        <v>153</v>
      </c>
      <c r="DL610" s="79">
        <v>0</v>
      </c>
      <c r="DM610" s="79">
        <v>0</v>
      </c>
      <c r="DN610" s="79" t="s">
        <v>182</v>
      </c>
      <c r="DO610" s="79">
        <v>0</v>
      </c>
      <c r="DP610" s="79" t="s">
        <v>182</v>
      </c>
      <c r="DQ610" s="79">
        <v>7</v>
      </c>
      <c r="DR610" s="75">
        <f>IF(H610="SÍ", (DQ610/(BZ610*0.3)), "No aplica")</f>
        <v>1.0144927536231885</v>
      </c>
      <c r="DS610" s="79" t="s">
        <v>182</v>
      </c>
      <c r="DT610" s="79">
        <v>8</v>
      </c>
      <c r="DU610" s="75">
        <f>IF(H610="SÍ", (DT610/(BZ610*0.35)), "No aplica")</f>
        <v>0.9937888198757765</v>
      </c>
      <c r="DV610" s="79" t="s">
        <v>191</v>
      </c>
      <c r="DW610" s="79" t="s">
        <v>191</v>
      </c>
      <c r="DX610" s="79">
        <v>1</v>
      </c>
      <c r="DY610" s="79"/>
      <c r="DZ610" s="79"/>
      <c r="EA610" s="79" t="s">
        <v>179</v>
      </c>
      <c r="EB610" s="79" t="s">
        <v>182</v>
      </c>
      <c r="EC610" s="79" t="s">
        <v>4246</v>
      </c>
      <c r="ED610" s="79" t="s">
        <v>1743</v>
      </c>
      <c r="EE610" s="79" t="str">
        <f>IF(DI610="Subsanado","Completo","Por Completar")</f>
        <v>Completo</v>
      </c>
      <c r="EF610" s="41"/>
      <c r="EG610" s="79" t="s">
        <v>153</v>
      </c>
      <c r="EH610" s="71"/>
      <c r="EI610" s="199" t="s">
        <v>4247</v>
      </c>
      <c r="EJ610" s="71"/>
      <c r="EK610" s="79" t="s">
        <v>393</v>
      </c>
      <c r="EL610" s="87" t="str">
        <f>IF(F610="NO","No requiere",IF(H610="No","No requiere",IF(DW610="","",IF(DW610&lt;&gt;"No aplica",IF(DX610&lt;&gt;"No aplica",IF(DX610&gt;=2,"Sí","No"),"No aplica"),"No aplica"))))</f>
        <v>No</v>
      </c>
      <c r="EM610" s="87" t="str">
        <f>IF(F610="NO","No requiere",IF(H610="No","No requiere",IF(DW610="","",IF(DW610&lt;&gt;"No aplica",IF(DY610&lt;&gt;"No aplica",IF(DY610&gt;=1,"Sí","No"),"No aplica"),"No aplica"))))</f>
        <v>No</v>
      </c>
      <c r="EN610" s="87" t="str">
        <f>IF(F610="NO","No requiere",IF(H610="No","No requiere",IF(CC610="","",IF(CD610&lt;&gt;"No aplica",IF(CD610&lt;&gt;"Ninguna",IF(COUNTIF(CD610:CF610,"*")&gt;=1,"Sí","No"),"No"),"No aplica"))))</f>
        <v>No aplica</v>
      </c>
      <c r="EO610" s="71"/>
      <c r="EP610" s="84" t="str">
        <f>IF(F610="NO","No requiere",IF(H610="No","No requiere",IF(DL610="","",IF(DL610&gt;=1,DM610/DL610,"No aplica"))))</f>
        <v>No aplica</v>
      </c>
      <c r="EQ610" s="88">
        <f>IFERROR(IF(F610="NO","No requiere",IF(H610="No","No requiere",DU610)),"")</f>
        <v>0.9937888198757765</v>
      </c>
      <c r="ER610" s="71"/>
      <c r="ES610" s="79" t="s">
        <v>393</v>
      </c>
      <c r="ET610" s="84">
        <f>IF(F610="NO","No requiere",IF(H610="No","No requiere",IFERROR(COUNTIF(DJ610:DW610,"Completo")/SUM(COUNTIF(DJ610:DW610,"Completo"),COUNTIF(DJ610:DW610,"Incompleto"),COUNTIF(DJ610:DW610,"No subido"),COUNTIF(DJ610:DW610,"No existente"),COUNTIF(DJ610:DW610,"Pendiente")),"")))</f>
        <v>0.66666666666666663</v>
      </c>
      <c r="EU610" s="84">
        <f>IF(F610="NO","No requiere",IF(H610="No","No requiere",IF(B610="","",IF(CX610="SÍ",IF(CK610&gt;=1,CY610/CK610,"Sin compromisos"),"Por verificar"))))</f>
        <v>1</v>
      </c>
      <c r="EV610" s="84">
        <f>IF(EU610="Por verificar","Por verificar",IF(F610="NO","No requiere",IF(H610="No","No requiere",IFERROR(IF(EU610="","",IF(CK610&gt;=1,DA610/CZ610,"No aplica")),"No aplica"))))</f>
        <v>1</v>
      </c>
      <c r="EW610" s="84" t="str">
        <f>IF(F610="NO","No requiere",IF(H610="No","No requiere",IFERROR(IF(BZ610="","",IF(EA610&lt;&gt;"No aplica",IF(EA610&gt;=1,DO610/EA610,"0%"),"No aplica")),"")))</f>
        <v>No aplica</v>
      </c>
      <c r="EX610" s="78"/>
      <c r="EY610" s="78"/>
    </row>
    <row r="611" spans="1:155" ht="46.5" customHeight="1">
      <c r="A611" s="79">
        <v>607</v>
      </c>
      <c r="B611" s="80" t="s">
        <v>4248</v>
      </c>
      <c r="C611" s="81">
        <v>45467</v>
      </c>
      <c r="D611" s="82">
        <v>0.41666666666666669</v>
      </c>
      <c r="E611" s="79" t="s">
        <v>151</v>
      </c>
      <c r="F611" s="79" t="s">
        <v>153</v>
      </c>
      <c r="G611" s="79" t="s">
        <v>153</v>
      </c>
      <c r="H611" s="79" t="s">
        <v>152</v>
      </c>
      <c r="I611" s="79" t="s">
        <v>152</v>
      </c>
      <c r="J611" s="79" t="s">
        <v>3999</v>
      </c>
      <c r="K611" s="79" t="s">
        <v>155</v>
      </c>
      <c r="L611" s="80" t="s">
        <v>4249</v>
      </c>
      <c r="M611" s="80" t="s">
        <v>241</v>
      </c>
      <c r="N611" s="79" t="s">
        <v>801</v>
      </c>
      <c r="O611" s="80" t="str">
        <f t="shared" si="520"/>
        <v/>
      </c>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t="s">
        <v>230</v>
      </c>
      <c r="AP611" s="79" t="s">
        <v>2065</v>
      </c>
      <c r="AQ611" s="80" t="s">
        <v>4250</v>
      </c>
      <c r="AR611" s="83" t="s">
        <v>4251</v>
      </c>
      <c r="AS611" s="80" t="s">
        <v>4252</v>
      </c>
      <c r="AT611" s="80" t="str">
        <f t="shared" si="472"/>
        <v>Usaquén</v>
      </c>
      <c r="AU611" s="79" t="s">
        <v>661</v>
      </c>
      <c r="AV611" s="79"/>
      <c r="AW611" s="79"/>
      <c r="AX611" s="79"/>
      <c r="AY611" s="79"/>
      <c r="AZ611" s="79"/>
      <c r="BA611" s="80" t="str">
        <f t="shared" si="481"/>
        <v>Norte</v>
      </c>
      <c r="BB611" s="79" t="s">
        <v>662</v>
      </c>
      <c r="BC611" s="79"/>
      <c r="BD611" s="79"/>
      <c r="BE611" s="79"/>
      <c r="BF611" s="79"/>
      <c r="BG611" s="79"/>
      <c r="BH611" s="80" t="str">
        <f t="shared" si="482"/>
        <v>Usaquén, Toberín, Torca, Cerros Orientales</v>
      </c>
      <c r="BI611" s="79" t="s">
        <v>661</v>
      </c>
      <c r="BJ611" s="79" t="s">
        <v>804</v>
      </c>
      <c r="BK611" s="79" t="s">
        <v>805</v>
      </c>
      <c r="BL611" s="79" t="s">
        <v>361</v>
      </c>
      <c r="BM611" s="79"/>
      <c r="BN611" s="79"/>
      <c r="BO611" s="79"/>
      <c r="BP611" s="79"/>
      <c r="BQ611" s="79"/>
      <c r="BR611" s="79"/>
      <c r="BS611" s="80" t="s">
        <v>661</v>
      </c>
      <c r="BT611" s="80" t="s">
        <v>174</v>
      </c>
      <c r="BU611" s="80" t="s">
        <v>4253</v>
      </c>
      <c r="BV611" s="71"/>
      <c r="BW611" s="79" t="s">
        <v>152</v>
      </c>
      <c r="BX611" s="79" t="s">
        <v>179</v>
      </c>
      <c r="BY611" s="71"/>
      <c r="BZ611" s="79">
        <v>9</v>
      </c>
      <c r="CA611" s="79">
        <v>1</v>
      </c>
      <c r="CB611" s="79">
        <f t="shared" si="529"/>
        <v>10</v>
      </c>
      <c r="CC611" s="79" t="str">
        <f t="shared" si="382"/>
        <v>Ninguna</v>
      </c>
      <c r="CD611" s="79" t="s">
        <v>174</v>
      </c>
      <c r="CE611" s="79"/>
      <c r="CF611" s="79"/>
      <c r="CG611" s="83" t="s">
        <v>4254</v>
      </c>
      <c r="CH611" s="41"/>
      <c r="CI611" s="79" t="s">
        <v>153</v>
      </c>
      <c r="CJ611" s="71"/>
      <c r="CK611" s="79">
        <v>1</v>
      </c>
      <c r="CL611" s="79" t="s">
        <v>4255</v>
      </c>
      <c r="CM611" s="79"/>
      <c r="CN611" s="79"/>
      <c r="CO611" s="79"/>
      <c r="CP611" s="79"/>
      <c r="CQ611" s="79"/>
      <c r="CR611" s="83" t="s">
        <v>390</v>
      </c>
      <c r="CS611" s="83" t="s">
        <v>179</v>
      </c>
      <c r="CT611" s="83" t="s">
        <v>179</v>
      </c>
      <c r="CU611" s="83" t="s">
        <v>179</v>
      </c>
      <c r="CV611" s="83" t="s">
        <v>179</v>
      </c>
      <c r="CW611" s="83" t="s">
        <v>179</v>
      </c>
      <c r="CX611" s="79" t="s">
        <v>153</v>
      </c>
      <c r="CY611" s="79">
        <f t="shared" si="531"/>
        <v>1</v>
      </c>
      <c r="CZ611" s="79">
        <v>1</v>
      </c>
      <c r="DA611" s="79">
        <f t="shared" si="532"/>
        <v>1</v>
      </c>
      <c r="DB611" s="84">
        <f t="shared" si="533"/>
        <v>1</v>
      </c>
      <c r="DC611" s="41"/>
      <c r="DD611" s="79" t="s">
        <v>153</v>
      </c>
      <c r="DE611" s="71"/>
      <c r="DF611" s="127" t="s">
        <v>4256</v>
      </c>
      <c r="DG611" s="79">
        <v>600</v>
      </c>
      <c r="DH611" s="86" t="str">
        <f t="shared" si="537"/>
        <v>Completo</v>
      </c>
      <c r="DI611" s="79" t="s">
        <v>181</v>
      </c>
      <c r="DJ611" s="79" t="s">
        <v>182</v>
      </c>
      <c r="DK611" s="79"/>
      <c r="DL611" s="79">
        <v>0</v>
      </c>
      <c r="DM611" s="79">
        <v>0</v>
      </c>
      <c r="DN611" s="79" t="s">
        <v>182</v>
      </c>
      <c r="DO611" s="79"/>
      <c r="DP611" s="79"/>
      <c r="DQ611" s="79"/>
      <c r="DR611" s="75" t="str">
        <f t="shared" si="500"/>
        <v>No aplica</v>
      </c>
      <c r="DS611" s="79"/>
      <c r="DT611" s="79"/>
      <c r="DU611" s="75" t="str">
        <f t="shared" si="501"/>
        <v>No aplica</v>
      </c>
      <c r="DV611" s="79" t="s">
        <v>182</v>
      </c>
      <c r="DW611" s="79" t="s">
        <v>182</v>
      </c>
      <c r="DX611" s="79"/>
      <c r="DY611" s="79"/>
      <c r="DZ611" s="79"/>
      <c r="EA611" s="79"/>
      <c r="EB611" s="79"/>
      <c r="EC611" s="79"/>
      <c r="ED611" s="79" t="s">
        <v>4009</v>
      </c>
      <c r="EE611" s="79" t="str">
        <f t="shared" si="534"/>
        <v>Completo</v>
      </c>
      <c r="EF611" s="41"/>
      <c r="EG611" s="79" t="s">
        <v>153</v>
      </c>
      <c r="EH611" s="71"/>
      <c r="EI611" s="80"/>
      <c r="EJ611" s="71"/>
      <c r="EK611" s="79"/>
      <c r="EL611" s="87" t="str">
        <f t="shared" si="465"/>
        <v>No requiere</v>
      </c>
      <c r="EM611" s="87" t="str">
        <f t="shared" si="466"/>
        <v>No requiere</v>
      </c>
      <c r="EN611" s="87" t="str">
        <f t="shared" si="535"/>
        <v>No requiere</v>
      </c>
      <c r="EO611" s="71"/>
      <c r="EP611" s="84" t="str">
        <f t="shared" si="467"/>
        <v>No requiere</v>
      </c>
      <c r="EQ611" s="88" t="str">
        <f t="shared" si="468"/>
        <v>No requiere</v>
      </c>
      <c r="ER611" s="71"/>
      <c r="ES611" s="79"/>
      <c r="ET611" s="84" t="str">
        <f t="shared" si="469"/>
        <v>No requiere</v>
      </c>
      <c r="EU611" s="84" t="str">
        <f t="shared" si="536"/>
        <v>No requiere</v>
      </c>
      <c r="EV611" s="84" t="str">
        <f t="shared" si="470"/>
        <v>No requiere</v>
      </c>
      <c r="EW611" s="84" t="str">
        <f t="shared" si="502"/>
        <v>No requiere</v>
      </c>
      <c r="EX611" s="78"/>
      <c r="EY611" s="78"/>
    </row>
    <row r="612" spans="1:155" ht="46.5" customHeight="1">
      <c r="A612" s="79">
        <v>608</v>
      </c>
      <c r="B612" s="80" t="s">
        <v>4257</v>
      </c>
      <c r="C612" s="81">
        <v>45467</v>
      </c>
      <c r="D612" s="82">
        <v>0.58333333333333337</v>
      </c>
      <c r="E612" s="79" t="s">
        <v>151</v>
      </c>
      <c r="F612" s="79" t="s">
        <v>153</v>
      </c>
      <c r="G612" s="79" t="s">
        <v>153</v>
      </c>
      <c r="H612" s="79" t="s">
        <v>152</v>
      </c>
      <c r="I612" s="79" t="s">
        <v>152</v>
      </c>
      <c r="J612" s="79" t="s">
        <v>3999</v>
      </c>
      <c r="K612" s="79" t="s">
        <v>155</v>
      </c>
      <c r="L612" s="80" t="s">
        <v>4258</v>
      </c>
      <c r="M612" s="80" t="s">
        <v>241</v>
      </c>
      <c r="N612" s="79" t="s">
        <v>1066</v>
      </c>
      <c r="O612" s="80" t="str">
        <f t="shared" si="520"/>
        <v>Paola Andrea González, Reinaldo Terrios Andrade</v>
      </c>
      <c r="P612" s="79" t="s">
        <v>924</v>
      </c>
      <c r="Q612" s="79" t="s">
        <v>675</v>
      </c>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t="s">
        <v>304</v>
      </c>
      <c r="AP612" s="79"/>
      <c r="AQ612" s="80" t="s">
        <v>4252</v>
      </c>
      <c r="AR612" s="80" t="s">
        <v>4252</v>
      </c>
      <c r="AS612" s="80" t="s">
        <v>4252</v>
      </c>
      <c r="AT612" s="80" t="str">
        <f t="shared" si="472"/>
        <v>Kennedy</v>
      </c>
      <c r="AU612" s="79" t="s">
        <v>731</v>
      </c>
      <c r="AV612" s="79"/>
      <c r="AW612" s="79"/>
      <c r="AX612" s="79"/>
      <c r="AY612" s="79"/>
      <c r="AZ612" s="79"/>
      <c r="BA612" s="80" t="str">
        <f t="shared" si="481"/>
        <v>Suroccidente</v>
      </c>
      <c r="BB612" s="79" t="s">
        <v>732</v>
      </c>
      <c r="BC612" s="79"/>
      <c r="BD612" s="79"/>
      <c r="BE612" s="79"/>
      <c r="BF612" s="79"/>
      <c r="BG612" s="79"/>
      <c r="BH612" s="80" t="str">
        <f t="shared" si="482"/>
        <v>Kennedy, Tintal, Bosa, Edén, Porvenir, Patio Bonito</v>
      </c>
      <c r="BI612" s="79" t="s">
        <v>731</v>
      </c>
      <c r="BJ612" s="79" t="s">
        <v>1697</v>
      </c>
      <c r="BK612" s="79" t="s">
        <v>730</v>
      </c>
      <c r="BL612" s="79" t="s">
        <v>1057</v>
      </c>
      <c r="BM612" s="79" t="s">
        <v>1058</v>
      </c>
      <c r="BN612" s="79" t="s">
        <v>967</v>
      </c>
      <c r="BO612" s="79"/>
      <c r="BP612" s="79"/>
      <c r="BQ612" s="79"/>
      <c r="BR612" s="79"/>
      <c r="BS612" s="80" t="s">
        <v>1697</v>
      </c>
      <c r="BT612" s="80" t="s">
        <v>174</v>
      </c>
      <c r="BU612" s="80" t="s">
        <v>4259</v>
      </c>
      <c r="BV612" s="71"/>
      <c r="BW612" s="79" t="s">
        <v>152</v>
      </c>
      <c r="BX612" s="79" t="s">
        <v>179</v>
      </c>
      <c r="BY612" s="71"/>
      <c r="BZ612" s="79">
        <v>5</v>
      </c>
      <c r="CA612" s="79">
        <v>3</v>
      </c>
      <c r="CB612" s="79">
        <f t="shared" si="529"/>
        <v>8</v>
      </c>
      <c r="CC612" s="79" t="str">
        <f t="shared" si="382"/>
        <v>Horarios Acordes</v>
      </c>
      <c r="CD612" s="79" t="s">
        <v>351</v>
      </c>
      <c r="CE612" s="79"/>
      <c r="CF612" s="79"/>
      <c r="CG612" s="83" t="s">
        <v>4260</v>
      </c>
      <c r="CH612" s="41"/>
      <c r="CI612" s="79" t="s">
        <v>153</v>
      </c>
      <c r="CJ612" s="71"/>
      <c r="CK612" s="79">
        <v>1</v>
      </c>
      <c r="CL612" s="79" t="s">
        <v>4261</v>
      </c>
      <c r="CM612" s="79"/>
      <c r="CN612" s="79"/>
      <c r="CO612" s="79"/>
      <c r="CP612" s="79"/>
      <c r="CQ612" s="79"/>
      <c r="CR612" s="83" t="s">
        <v>390</v>
      </c>
      <c r="CS612" s="83" t="s">
        <v>179</v>
      </c>
      <c r="CT612" s="83" t="s">
        <v>179</v>
      </c>
      <c r="CU612" s="83" t="s">
        <v>179</v>
      </c>
      <c r="CV612" s="83" t="s">
        <v>179</v>
      </c>
      <c r="CW612" s="83" t="s">
        <v>179</v>
      </c>
      <c r="CX612" s="79" t="s">
        <v>153</v>
      </c>
      <c r="CY612" s="79">
        <f t="shared" si="531"/>
        <v>1</v>
      </c>
      <c r="CZ612" s="79">
        <v>0</v>
      </c>
      <c r="DA612" s="79">
        <f t="shared" si="532"/>
        <v>1</v>
      </c>
      <c r="DB612" s="84">
        <f t="shared" si="533"/>
        <v>1</v>
      </c>
      <c r="DC612" s="41"/>
      <c r="DD612" s="79" t="s">
        <v>153</v>
      </c>
      <c r="DE612" s="71"/>
      <c r="DF612" s="127" t="s">
        <v>4262</v>
      </c>
      <c r="DG612" s="79">
        <v>601</v>
      </c>
      <c r="DH612" s="86" t="str">
        <f t="shared" si="537"/>
        <v>Completo</v>
      </c>
      <c r="DI612" s="79" t="s">
        <v>181</v>
      </c>
      <c r="DJ612" s="79" t="s">
        <v>182</v>
      </c>
      <c r="DK612" s="79"/>
      <c r="DL612" s="79">
        <v>0</v>
      </c>
      <c r="DM612" s="79">
        <v>0</v>
      </c>
      <c r="DN612" s="79" t="s">
        <v>182</v>
      </c>
      <c r="DO612" s="79"/>
      <c r="DP612" s="79"/>
      <c r="DQ612" s="79"/>
      <c r="DR612" s="75" t="str">
        <f t="shared" si="500"/>
        <v>No aplica</v>
      </c>
      <c r="DS612" s="79"/>
      <c r="DT612" s="79"/>
      <c r="DU612" s="75" t="str">
        <f t="shared" si="501"/>
        <v>No aplica</v>
      </c>
      <c r="DV612" s="79" t="s">
        <v>182</v>
      </c>
      <c r="DW612" s="79"/>
      <c r="DX612" s="79"/>
      <c r="DY612" s="79"/>
      <c r="DZ612" s="79"/>
      <c r="EA612" s="79"/>
      <c r="EB612" s="79"/>
      <c r="EC612" s="79"/>
      <c r="ED612" s="79" t="s">
        <v>3728</v>
      </c>
      <c r="EE612" s="79" t="str">
        <f t="shared" si="534"/>
        <v>Completo</v>
      </c>
      <c r="EF612" s="41"/>
      <c r="EG612" s="79" t="s">
        <v>153</v>
      </c>
      <c r="EH612" s="71"/>
      <c r="EI612" s="80"/>
      <c r="EJ612" s="71"/>
      <c r="EK612" s="79"/>
      <c r="EL612" s="87" t="str">
        <f t="shared" si="465"/>
        <v>No requiere</v>
      </c>
      <c r="EM612" s="87" t="str">
        <f t="shared" si="466"/>
        <v>No requiere</v>
      </c>
      <c r="EN612" s="87" t="str">
        <f t="shared" si="535"/>
        <v>No requiere</v>
      </c>
      <c r="EO612" s="71"/>
      <c r="EP612" s="84" t="str">
        <f t="shared" si="467"/>
        <v>No requiere</v>
      </c>
      <c r="EQ612" s="88" t="str">
        <f t="shared" si="468"/>
        <v>No requiere</v>
      </c>
      <c r="ER612" s="71"/>
      <c r="ES612" s="79"/>
      <c r="ET612" s="84" t="str">
        <f t="shared" si="469"/>
        <v>No requiere</v>
      </c>
      <c r="EU612" s="84" t="str">
        <f t="shared" si="536"/>
        <v>No requiere</v>
      </c>
      <c r="EV612" s="84" t="str">
        <f t="shared" si="470"/>
        <v>No requiere</v>
      </c>
      <c r="EW612" s="84" t="str">
        <f t="shared" si="502"/>
        <v>No requiere</v>
      </c>
      <c r="EX612" s="78"/>
      <c r="EY612" s="78"/>
    </row>
    <row r="613" spans="1:155" ht="46.5" customHeight="1">
      <c r="A613" s="79">
        <v>609</v>
      </c>
      <c r="B613" s="80" t="s">
        <v>4263</v>
      </c>
      <c r="C613" s="81">
        <v>45467</v>
      </c>
      <c r="D613" s="82">
        <v>0.58333333333333337</v>
      </c>
      <c r="E613" s="79" t="s">
        <v>151</v>
      </c>
      <c r="F613" s="79" t="s">
        <v>153</v>
      </c>
      <c r="G613" s="79" t="s">
        <v>152</v>
      </c>
      <c r="H613" s="79" t="s">
        <v>152</v>
      </c>
      <c r="I613" s="79" t="s">
        <v>152</v>
      </c>
      <c r="J613" s="79" t="s">
        <v>154</v>
      </c>
      <c r="K613" s="79" t="s">
        <v>155</v>
      </c>
      <c r="L613" s="80" t="s">
        <v>4264</v>
      </c>
      <c r="M613" s="80" t="s">
        <v>624</v>
      </c>
      <c r="N613" s="79" t="s">
        <v>163</v>
      </c>
      <c r="O613" s="80" t="str">
        <f t="shared" si="520"/>
        <v/>
      </c>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t="s">
        <v>169</v>
      </c>
      <c r="AP613" s="79" t="s">
        <v>475</v>
      </c>
      <c r="AQ613" s="80" t="s">
        <v>4180</v>
      </c>
      <c r="AR613" s="83" t="s">
        <v>4265</v>
      </c>
      <c r="AS613" s="80" t="s">
        <v>4182</v>
      </c>
      <c r="AT613" s="80" t="str">
        <f t="shared" si="472"/>
        <v>Distrital</v>
      </c>
      <c r="AU613" s="79" t="s">
        <v>172</v>
      </c>
      <c r="AV613" s="79"/>
      <c r="AW613" s="79"/>
      <c r="AX613" s="79"/>
      <c r="AY613" s="79"/>
      <c r="AZ613" s="79"/>
      <c r="BA613" s="80" t="str">
        <f t="shared" si="481"/>
        <v>Distrital</v>
      </c>
      <c r="BB613" s="79" t="s">
        <v>172</v>
      </c>
      <c r="BC613" s="79"/>
      <c r="BD613" s="79"/>
      <c r="BE613" s="79"/>
      <c r="BF613" s="79"/>
      <c r="BG613" s="79"/>
      <c r="BH613" s="80" t="str">
        <f t="shared" si="482"/>
        <v>Distrital</v>
      </c>
      <c r="BI613" s="79" t="s">
        <v>172</v>
      </c>
      <c r="BJ613" s="79"/>
      <c r="BK613" s="79"/>
      <c r="BL613" s="79"/>
      <c r="BM613" s="79"/>
      <c r="BN613" s="79"/>
      <c r="BO613" s="79"/>
      <c r="BP613" s="79"/>
      <c r="BQ613" s="79"/>
      <c r="BR613" s="79"/>
      <c r="BS613" s="80" t="s">
        <v>288</v>
      </c>
      <c r="BT613" s="80" t="s">
        <v>174</v>
      </c>
      <c r="BU613" s="80" t="s">
        <v>4266</v>
      </c>
      <c r="BV613" s="71"/>
      <c r="BW613" s="79" t="s">
        <v>152</v>
      </c>
      <c r="BX613" s="79" t="s">
        <v>179</v>
      </c>
      <c r="BY613" s="71"/>
      <c r="BZ613" s="79">
        <v>17</v>
      </c>
      <c r="CA613" s="79">
        <v>1</v>
      </c>
      <c r="CB613" s="79">
        <f>BZ613+CA613</f>
        <v>18</v>
      </c>
      <c r="CC613" s="79" t="str">
        <f>_xlfn.TEXTJOIN(", ",TRUE,$CD613:$CF613)</f>
        <v>No Aplica</v>
      </c>
      <c r="CD613" s="79" t="s">
        <v>177</v>
      </c>
      <c r="CE613" s="79"/>
      <c r="CF613" s="79"/>
      <c r="CG613" s="83" t="s">
        <v>4267</v>
      </c>
      <c r="CH613" s="41"/>
      <c r="CI613" s="79" t="s">
        <v>153</v>
      </c>
      <c r="CJ613" s="71"/>
      <c r="CK613" s="79">
        <f>COUNTIF(CL613:CQ613,"*")</f>
        <v>0</v>
      </c>
      <c r="CL613" s="79"/>
      <c r="CM613" s="79"/>
      <c r="CN613" s="79"/>
      <c r="CO613" s="79"/>
      <c r="CP613" s="79"/>
      <c r="CQ613" s="79"/>
      <c r="CR613" s="83" t="s">
        <v>179</v>
      </c>
      <c r="CS613" s="83" t="s">
        <v>179</v>
      </c>
      <c r="CT613" s="83" t="s">
        <v>179</v>
      </c>
      <c r="CU613" s="83" t="s">
        <v>179</v>
      </c>
      <c r="CV613" s="83" t="s">
        <v>179</v>
      </c>
      <c r="CW613" s="83" t="s">
        <v>179</v>
      </c>
      <c r="CX613" s="79" t="s">
        <v>153</v>
      </c>
      <c r="CY613" s="79">
        <f>SUM(COUNTIF(CR613:CW613,"Realizado y Devuelto a la Ciudadanía"),COUNTIF(CR613:CW613,"Realizado y Trasladado por competencia"), COUNTIF(CR613:CW613,"Realizado y Gestionado"))</f>
        <v>0</v>
      </c>
      <c r="CZ613" s="79">
        <v>0</v>
      </c>
      <c r="DA613" s="79">
        <f>COUNTIF(CR613:CW613,"Realizado y Devuelto a la Ciudadanía")</f>
        <v>0</v>
      </c>
      <c r="DB613" s="84" t="str">
        <f>IFERROR(CY613/CK613,"")</f>
        <v/>
      </c>
      <c r="DC613" s="41"/>
      <c r="DD613" s="79" t="s">
        <v>153</v>
      </c>
      <c r="DE613" s="71"/>
      <c r="DF613" s="127" t="s">
        <v>4268</v>
      </c>
      <c r="DG613" s="79">
        <v>602</v>
      </c>
      <c r="DH613" s="86" t="str">
        <f t="shared" si="537"/>
        <v>Completo</v>
      </c>
      <c r="DI613" s="79" t="s">
        <v>181</v>
      </c>
      <c r="DJ613" s="79" t="s">
        <v>182</v>
      </c>
      <c r="DK613" s="79"/>
      <c r="DL613" s="79">
        <v>0</v>
      </c>
      <c r="DM613" s="79">
        <v>0</v>
      </c>
      <c r="DN613" s="79" t="s">
        <v>182</v>
      </c>
      <c r="DO613" s="79"/>
      <c r="DP613" s="79"/>
      <c r="DQ613" s="79"/>
      <c r="DR613" s="75" t="str">
        <f t="shared" si="500"/>
        <v>No aplica</v>
      </c>
      <c r="DS613" s="79"/>
      <c r="DT613" s="79"/>
      <c r="DU613" s="75" t="str">
        <f t="shared" si="501"/>
        <v>No aplica</v>
      </c>
      <c r="DV613" s="79" t="s">
        <v>182</v>
      </c>
      <c r="DW613" s="79" t="s">
        <v>182</v>
      </c>
      <c r="DX613" s="79"/>
      <c r="DY613" s="79"/>
      <c r="DZ613" s="79"/>
      <c r="EA613" s="79"/>
      <c r="EB613" s="79"/>
      <c r="EC613" s="79"/>
      <c r="ED613" s="79" t="s">
        <v>4269</v>
      </c>
      <c r="EE613" s="79" t="str">
        <f>IF(DI613="Subsanado","Completo","Por Completar")</f>
        <v>Completo</v>
      </c>
      <c r="EF613" s="41"/>
      <c r="EG613" s="79" t="s">
        <v>153</v>
      </c>
      <c r="EH613" s="71"/>
      <c r="EI613" s="80"/>
      <c r="EJ613" s="71"/>
      <c r="EK613" s="79"/>
      <c r="EL613" s="87" t="str">
        <f t="shared" si="465"/>
        <v>No requiere</v>
      </c>
      <c r="EM613" s="87" t="str">
        <f t="shared" si="466"/>
        <v>No requiere</v>
      </c>
      <c r="EN613" s="87" t="str">
        <f>IF(F613="NO","No requiere",IF(H613="No","No requiere",IF(CC613="","",IF(CD613&lt;&gt;"No aplica",IF(CD613&lt;&gt;"Ninguna",IF(COUNTIF(CD613:CF613,"*")&gt;=1,"Sí","No"),"No"),"No aplica"))))</f>
        <v>No requiere</v>
      </c>
      <c r="EO613" s="71"/>
      <c r="EP613" s="84" t="str">
        <f t="shared" si="467"/>
        <v>No requiere</v>
      </c>
      <c r="EQ613" s="88" t="str">
        <f t="shared" si="468"/>
        <v>No requiere</v>
      </c>
      <c r="ER613" s="71"/>
      <c r="ES613" s="79"/>
      <c r="ET613" s="84" t="str">
        <f t="shared" si="469"/>
        <v>No requiere</v>
      </c>
      <c r="EU613" s="84" t="str">
        <f>IF(F613="NO","No requiere",IF(H613="No","No requiere",IF(B613="","",IF(CX613="SÍ",IF(CK613&gt;=1,CY613/CK613,"Sin compromisos"),"Por verificar"))))</f>
        <v>No requiere</v>
      </c>
      <c r="EV613" s="84" t="str">
        <f t="shared" si="470"/>
        <v>No requiere</v>
      </c>
      <c r="EW613" s="84" t="str">
        <f t="shared" si="502"/>
        <v>No requiere</v>
      </c>
      <c r="EX613" s="78"/>
      <c r="EY613" s="78"/>
    </row>
    <row r="614" spans="1:155" ht="46.5" customHeight="1">
      <c r="A614" s="79">
        <v>610</v>
      </c>
      <c r="B614" s="80" t="s">
        <v>4270</v>
      </c>
      <c r="C614" s="81">
        <v>45467</v>
      </c>
      <c r="D614" s="82">
        <v>0.625</v>
      </c>
      <c r="E614" s="79" t="s">
        <v>151</v>
      </c>
      <c r="F614" s="79" t="s">
        <v>153</v>
      </c>
      <c r="G614" s="79" t="s">
        <v>153</v>
      </c>
      <c r="H614" s="79" t="s">
        <v>152</v>
      </c>
      <c r="I614" s="79" t="s">
        <v>152</v>
      </c>
      <c r="J614" s="79" t="s">
        <v>3999</v>
      </c>
      <c r="K614" s="79" t="s">
        <v>155</v>
      </c>
      <c r="L614" s="80" t="s">
        <v>4271</v>
      </c>
      <c r="M614" s="80" t="s">
        <v>241</v>
      </c>
      <c r="N614" s="79" t="s">
        <v>1611</v>
      </c>
      <c r="O614" s="80" t="str">
        <f t="shared" si="520"/>
        <v/>
      </c>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t="s">
        <v>230</v>
      </c>
      <c r="AP614" s="79" t="s">
        <v>231</v>
      </c>
      <c r="AQ614" s="80" t="s">
        <v>4272</v>
      </c>
      <c r="AR614" s="83" t="s">
        <v>4273</v>
      </c>
      <c r="AS614" s="80" t="s">
        <v>171</v>
      </c>
      <c r="AT614" s="80" t="str">
        <f t="shared" si="472"/>
        <v>Usaquén</v>
      </c>
      <c r="AU614" s="79" t="s">
        <v>661</v>
      </c>
      <c r="AV614" s="79"/>
      <c r="AW614" s="79"/>
      <c r="AX614" s="79"/>
      <c r="AY614" s="79"/>
      <c r="AZ614" s="79"/>
      <c r="BA614" s="80" t="str">
        <f t="shared" si="481"/>
        <v>Norte</v>
      </c>
      <c r="BB614" s="79" t="s">
        <v>662</v>
      </c>
      <c r="BC614" s="79"/>
      <c r="BD614" s="79"/>
      <c r="BE614" s="79"/>
      <c r="BF614" s="79"/>
      <c r="BG614" s="79"/>
      <c r="BH614" s="80" t="str">
        <f t="shared" si="482"/>
        <v>Usaquén, Toberín, Torca, Cerros Orientales</v>
      </c>
      <c r="BI614" s="79" t="s">
        <v>661</v>
      </c>
      <c r="BJ614" s="79" t="s">
        <v>804</v>
      </c>
      <c r="BK614" s="79" t="s">
        <v>805</v>
      </c>
      <c r="BL614" s="79" t="s">
        <v>361</v>
      </c>
      <c r="BM614" s="79"/>
      <c r="BN614" s="79"/>
      <c r="BO614" s="79"/>
      <c r="BP614" s="79"/>
      <c r="BQ614" s="79"/>
      <c r="BR614" s="79"/>
      <c r="BS614" s="80" t="s">
        <v>4274</v>
      </c>
      <c r="BT614" s="80" t="s">
        <v>174</v>
      </c>
      <c r="BU614" s="80" t="s">
        <v>4275</v>
      </c>
      <c r="BV614" s="71"/>
      <c r="BW614" s="79" t="s">
        <v>152</v>
      </c>
      <c r="BX614" s="79" t="s">
        <v>179</v>
      </c>
      <c r="BY614" s="71"/>
      <c r="BZ614" s="79">
        <v>4</v>
      </c>
      <c r="CA614" s="79">
        <v>1</v>
      </c>
      <c r="CB614" s="79">
        <f t="shared" ref="CB614" si="538">BZ614+CA614</f>
        <v>5</v>
      </c>
      <c r="CC614" s="79" t="str">
        <f t="shared" si="382"/>
        <v>Horarios Acordes</v>
      </c>
      <c r="CD614" s="79" t="s">
        <v>351</v>
      </c>
      <c r="CE614" s="79"/>
      <c r="CF614" s="79"/>
      <c r="CG614" s="83" t="s">
        <v>4176</v>
      </c>
      <c r="CH614" s="41"/>
      <c r="CI614" s="79" t="s">
        <v>153</v>
      </c>
      <c r="CJ614" s="71"/>
      <c r="CK614" s="79">
        <v>1</v>
      </c>
      <c r="CL614" s="79" t="s">
        <v>4276</v>
      </c>
      <c r="CM614" s="79"/>
      <c r="CN614" s="79"/>
      <c r="CO614" s="79"/>
      <c r="CP614" s="79"/>
      <c r="CQ614" s="79"/>
      <c r="CR614" s="83" t="s">
        <v>390</v>
      </c>
      <c r="CS614" s="83" t="s">
        <v>179</v>
      </c>
      <c r="CT614" s="83" t="s">
        <v>179</v>
      </c>
      <c r="CU614" s="83" t="s">
        <v>179</v>
      </c>
      <c r="CV614" s="83" t="s">
        <v>179</v>
      </c>
      <c r="CW614" s="83" t="s">
        <v>179</v>
      </c>
      <c r="CX614" s="79" t="s">
        <v>153</v>
      </c>
      <c r="CY614" s="79">
        <f t="shared" ref="CY614" si="539">SUM(COUNTIF(CR614:CW614,"Realizado y Devuelto a la Ciudadanía"),COUNTIF(CR614:CW614,"Realizado y Trasladado por competencia"), COUNTIF(CR614:CW614,"Realizado y Gestionado"))</f>
        <v>1</v>
      </c>
      <c r="CZ614" s="79">
        <v>1</v>
      </c>
      <c r="DA614" s="79">
        <f t="shared" ref="DA614" si="540">COUNTIF(CR614:CW614,"Realizado y Devuelto a la Ciudadanía")</f>
        <v>1</v>
      </c>
      <c r="DB614" s="84">
        <f t="shared" ref="DB614" si="541">IFERROR(CY614/CK614,"")</f>
        <v>1</v>
      </c>
      <c r="DC614" s="41"/>
      <c r="DD614" s="79" t="s">
        <v>153</v>
      </c>
      <c r="DE614" s="71"/>
      <c r="DF614" s="127" t="s">
        <v>4277</v>
      </c>
      <c r="DG614" s="79">
        <v>603</v>
      </c>
      <c r="DH614" s="86" t="str">
        <f t="shared" si="537"/>
        <v>Completo</v>
      </c>
      <c r="DI614" s="79" t="s">
        <v>181</v>
      </c>
      <c r="DJ614" s="79" t="s">
        <v>182</v>
      </c>
      <c r="DK614" s="79"/>
      <c r="DL614" s="79">
        <v>0</v>
      </c>
      <c r="DM614" s="79">
        <v>0</v>
      </c>
      <c r="DN614" s="79" t="s">
        <v>182</v>
      </c>
      <c r="DO614" s="79">
        <v>4</v>
      </c>
      <c r="DP614" s="79"/>
      <c r="DQ614" s="79"/>
      <c r="DR614" s="75" t="str">
        <f t="shared" si="500"/>
        <v>No aplica</v>
      </c>
      <c r="DS614" s="79"/>
      <c r="DT614" s="79"/>
      <c r="DU614" s="75" t="str">
        <f t="shared" si="501"/>
        <v>No aplica</v>
      </c>
      <c r="DV614" s="79" t="s">
        <v>182</v>
      </c>
      <c r="DW614" s="79" t="s">
        <v>191</v>
      </c>
      <c r="DX614" s="79"/>
      <c r="DY614" s="79"/>
      <c r="DZ614" s="79"/>
      <c r="EA614" s="79"/>
      <c r="EB614" s="79"/>
      <c r="EC614" s="79"/>
      <c r="ED614" s="79" t="s">
        <v>1743</v>
      </c>
      <c r="EE614" s="79" t="str">
        <f t="shared" ref="EE614" si="542">IF(DI614="Subsanado","Completo","Por Completar")</f>
        <v>Completo</v>
      </c>
      <c r="EF614" s="41"/>
      <c r="EG614" s="79" t="s">
        <v>153</v>
      </c>
      <c r="EH614" s="71"/>
      <c r="EI614" s="80"/>
      <c r="EJ614" s="71"/>
      <c r="EK614" s="79"/>
      <c r="EL614" s="87" t="str">
        <f t="shared" si="465"/>
        <v>No requiere</v>
      </c>
      <c r="EM614" s="87" t="str">
        <f t="shared" si="466"/>
        <v>No requiere</v>
      </c>
      <c r="EN614" s="87" t="str">
        <f t="shared" ref="EN614" si="543">IF(F614="NO","No requiere",IF(H614="No","No requiere",IF(CC614="","",IF(CD614&lt;&gt;"No aplica",IF(CD614&lt;&gt;"Ninguna",IF(COUNTIF(CD614:CF614,"*")&gt;=1,"Sí","No"),"No"),"No aplica"))))</f>
        <v>No requiere</v>
      </c>
      <c r="EO614" s="71"/>
      <c r="EP614" s="84" t="str">
        <f t="shared" si="467"/>
        <v>No requiere</v>
      </c>
      <c r="EQ614" s="88" t="str">
        <f t="shared" si="468"/>
        <v>No requiere</v>
      </c>
      <c r="ER614" s="71"/>
      <c r="ES614" s="79"/>
      <c r="ET614" s="84" t="str">
        <f t="shared" si="469"/>
        <v>No requiere</v>
      </c>
      <c r="EU614" s="84" t="str">
        <f t="shared" ref="EU614" si="544">IF(F614="NO","No requiere",IF(H614="No","No requiere",IF(B614="","",IF(CX614="SÍ",IF(CK614&gt;=1,CY614/CK614,"Sin compromisos"),"Por verificar"))))</f>
        <v>No requiere</v>
      </c>
      <c r="EV614" s="84" t="str">
        <f t="shared" si="470"/>
        <v>No requiere</v>
      </c>
      <c r="EW614" s="84" t="str">
        <f t="shared" si="502"/>
        <v>No requiere</v>
      </c>
      <c r="EX614" s="78"/>
      <c r="EY614" s="78"/>
    </row>
    <row r="615" spans="1:155" ht="46.5" customHeight="1">
      <c r="A615" s="79">
        <v>611</v>
      </c>
      <c r="B615" s="80" t="s">
        <v>4278</v>
      </c>
      <c r="C615" s="81">
        <v>45467</v>
      </c>
      <c r="D615" s="82">
        <v>0.66666666666666663</v>
      </c>
      <c r="E615" s="79" t="s">
        <v>151</v>
      </c>
      <c r="F615" s="79" t="s">
        <v>153</v>
      </c>
      <c r="G615" s="79" t="s">
        <v>153</v>
      </c>
      <c r="H615" s="79" t="s">
        <v>152</v>
      </c>
      <c r="I615" s="79" t="s">
        <v>152</v>
      </c>
      <c r="J615" s="79" t="s">
        <v>3999</v>
      </c>
      <c r="K615" s="79" t="s">
        <v>155</v>
      </c>
      <c r="L615" s="80" t="s">
        <v>4279</v>
      </c>
      <c r="M615" s="80" t="s">
        <v>241</v>
      </c>
      <c r="N615" s="79" t="s">
        <v>924</v>
      </c>
      <c r="O615" s="80" t="str">
        <f t="shared" si="520"/>
        <v>Renata Rengifo Moyano, Reinaldo Terrios Andrade</v>
      </c>
      <c r="P615" s="79" t="s">
        <v>1066</v>
      </c>
      <c r="Q615" s="79" t="s">
        <v>675</v>
      </c>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t="s">
        <v>304</v>
      </c>
      <c r="AP615" s="79"/>
      <c r="AQ615" s="80" t="s">
        <v>4252</v>
      </c>
      <c r="AR615" s="80" t="s">
        <v>4252</v>
      </c>
      <c r="AS615" s="80" t="s">
        <v>4252</v>
      </c>
      <c r="AT615" s="80" t="str">
        <f t="shared" ref="AT615:AT768" si="545">_xlfn.TEXTJOIN(", ",TRUE,$AU615:$AY615)</f>
        <v>Kennedy</v>
      </c>
      <c r="AU615" s="79" t="s">
        <v>731</v>
      </c>
      <c r="AV615" s="79"/>
      <c r="AW615" s="79"/>
      <c r="AX615" s="79"/>
      <c r="AY615" s="79"/>
      <c r="AZ615" s="79"/>
      <c r="BA615" s="80" t="str">
        <f t="shared" si="481"/>
        <v>Suroccidente</v>
      </c>
      <c r="BB615" s="79" t="s">
        <v>732</v>
      </c>
      <c r="BC615" s="79"/>
      <c r="BD615" s="79"/>
      <c r="BE615" s="79"/>
      <c r="BF615" s="79"/>
      <c r="BG615" s="79"/>
      <c r="BH615" s="80" t="str">
        <f t="shared" si="482"/>
        <v>Kennedy, Tintal, Bosa, Edén, Porvenir, Patio Bonito</v>
      </c>
      <c r="BI615" s="79" t="s">
        <v>731</v>
      </c>
      <c r="BJ615" s="79" t="s">
        <v>1697</v>
      </c>
      <c r="BK615" s="79" t="s">
        <v>730</v>
      </c>
      <c r="BL615" s="79" t="s">
        <v>1057</v>
      </c>
      <c r="BM615" s="79" t="s">
        <v>1058</v>
      </c>
      <c r="BN615" s="79" t="s">
        <v>967</v>
      </c>
      <c r="BO615" s="79"/>
      <c r="BP615" s="79"/>
      <c r="BQ615" s="79"/>
      <c r="BR615" s="79"/>
      <c r="BS615" s="80" t="s">
        <v>1697</v>
      </c>
      <c r="BT615" s="80" t="s">
        <v>174</v>
      </c>
      <c r="BU615" s="80" t="s">
        <v>4280</v>
      </c>
      <c r="BV615" s="71"/>
      <c r="BW615" s="79" t="s">
        <v>152</v>
      </c>
      <c r="BX615" s="79" t="s">
        <v>179</v>
      </c>
      <c r="BY615" s="71"/>
      <c r="BZ615" s="79">
        <v>9</v>
      </c>
      <c r="CA615" s="79">
        <v>3</v>
      </c>
      <c r="CB615" s="79">
        <f>BZ615+CA615</f>
        <v>12</v>
      </c>
      <c r="CC615" s="79" t="str">
        <f>_xlfn.TEXTJOIN(", ",TRUE,$CD615:$CF615)</f>
        <v>Ninguna</v>
      </c>
      <c r="CD615" s="79" t="s">
        <v>174</v>
      </c>
      <c r="CE615" s="79"/>
      <c r="CF615" s="79"/>
      <c r="CG615" s="83" t="s">
        <v>4281</v>
      </c>
      <c r="CH615" s="41"/>
      <c r="CI615" s="79" t="s">
        <v>153</v>
      </c>
      <c r="CJ615" s="71"/>
      <c r="CK615" s="79">
        <f>COUNTIF(CL615:CQ615,"*")</f>
        <v>0</v>
      </c>
      <c r="CL615" s="79"/>
      <c r="CM615" s="79"/>
      <c r="CN615" s="79"/>
      <c r="CO615" s="79"/>
      <c r="CP615" s="79"/>
      <c r="CQ615" s="79"/>
      <c r="CR615" s="83" t="s">
        <v>179</v>
      </c>
      <c r="CS615" s="83" t="s">
        <v>179</v>
      </c>
      <c r="CT615" s="83" t="s">
        <v>179</v>
      </c>
      <c r="CU615" s="83" t="s">
        <v>179</v>
      </c>
      <c r="CV615" s="83" t="s">
        <v>179</v>
      </c>
      <c r="CW615" s="83" t="s">
        <v>179</v>
      </c>
      <c r="CX615" s="79" t="s">
        <v>153</v>
      </c>
      <c r="CY615" s="79">
        <f>SUM(COUNTIF(CR615:CW615,"Realizado y Devuelto a la Ciudadanía"),COUNTIF(CR615:CW615,"Realizado y Trasladado por competencia"), COUNTIF(CR615:CW615,"Realizado y Gestionado"))</f>
        <v>0</v>
      </c>
      <c r="CZ615" s="79">
        <v>0</v>
      </c>
      <c r="DA615" s="79">
        <f>COUNTIF(CR615:CW615,"Realizado y Devuelto a la Ciudadanía")</f>
        <v>0</v>
      </c>
      <c r="DB615" s="84" t="str">
        <f>IFERROR(CY615/CK615,"")</f>
        <v/>
      </c>
      <c r="DC615" s="41"/>
      <c r="DD615" s="79" t="s">
        <v>153</v>
      </c>
      <c r="DE615" s="71"/>
      <c r="DF615" s="127" t="s">
        <v>4282</v>
      </c>
      <c r="DG615" s="79">
        <v>604</v>
      </c>
      <c r="DH615" s="86" t="str">
        <f t="shared" si="537"/>
        <v>Completo</v>
      </c>
      <c r="DI615" s="79" t="s">
        <v>181</v>
      </c>
      <c r="DJ615" s="79" t="s">
        <v>182</v>
      </c>
      <c r="DK615" s="79"/>
      <c r="DL615" s="79">
        <v>0</v>
      </c>
      <c r="DM615" s="79">
        <v>0</v>
      </c>
      <c r="DN615" s="79" t="s">
        <v>182</v>
      </c>
      <c r="DO615" s="79">
        <v>10</v>
      </c>
      <c r="DP615" s="79"/>
      <c r="DQ615" s="79"/>
      <c r="DR615" s="75" t="str">
        <f t="shared" si="500"/>
        <v>No aplica</v>
      </c>
      <c r="DS615" s="79"/>
      <c r="DT615" s="79"/>
      <c r="DU615" s="75" t="str">
        <f t="shared" si="501"/>
        <v>No aplica</v>
      </c>
      <c r="DV615" s="79" t="s">
        <v>182</v>
      </c>
      <c r="DW615" s="79" t="s">
        <v>182</v>
      </c>
      <c r="DX615" s="79"/>
      <c r="DY615" s="79"/>
      <c r="DZ615" s="79"/>
      <c r="EA615" s="79"/>
      <c r="EB615" s="79"/>
      <c r="EC615" s="79"/>
      <c r="ED615" s="79" t="s">
        <v>3728</v>
      </c>
      <c r="EE615" s="79" t="str">
        <f>IF(DI615="Subsanado","Completo","Por Completar")</f>
        <v>Completo</v>
      </c>
      <c r="EF615" s="41"/>
      <c r="EG615" s="79" t="s">
        <v>153</v>
      </c>
      <c r="EH615" s="71"/>
      <c r="EI615" s="80"/>
      <c r="EJ615" s="71"/>
      <c r="EK615" s="79"/>
      <c r="EL615" s="87" t="str">
        <f t="shared" si="465"/>
        <v>No requiere</v>
      </c>
      <c r="EM615" s="87" t="str">
        <f t="shared" si="466"/>
        <v>No requiere</v>
      </c>
      <c r="EN615" s="87" t="str">
        <f>IF(F615="NO","No requiere",IF(H615="No","No requiere",IF(CC615="","",IF(CD615&lt;&gt;"No aplica",IF(CD615&lt;&gt;"Ninguna",IF(COUNTIF(CD615:CF615,"*")&gt;=1,"Sí","No"),"No"),"No aplica"))))</f>
        <v>No requiere</v>
      </c>
      <c r="EO615" s="71"/>
      <c r="EP615" s="84" t="str">
        <f t="shared" si="467"/>
        <v>No requiere</v>
      </c>
      <c r="EQ615" s="88" t="str">
        <f t="shared" si="468"/>
        <v>No requiere</v>
      </c>
      <c r="ER615" s="71"/>
      <c r="ES615" s="79"/>
      <c r="ET615" s="84" t="str">
        <f t="shared" si="469"/>
        <v>No requiere</v>
      </c>
      <c r="EU615" s="84" t="str">
        <f>IF(F615="NO","No requiere",IF(H615="No","No requiere",IF(B615="","",IF(CX615="SÍ",IF(CK615&gt;=1,CY615/CK615,"Sin compromisos"),"Por verificar"))))</f>
        <v>No requiere</v>
      </c>
      <c r="EV615" s="84" t="str">
        <f t="shared" si="470"/>
        <v>No requiere</v>
      </c>
      <c r="EW615" s="84" t="str">
        <f t="shared" si="502"/>
        <v>No requiere</v>
      </c>
      <c r="EX615" s="78"/>
      <c r="EY615" s="78"/>
    </row>
    <row r="616" spans="1:155" ht="46.5" customHeight="1">
      <c r="A616" s="79" t="str">
        <v/>
      </c>
      <c r="B616" s="80" t="s">
        <v>4283</v>
      </c>
      <c r="C616" s="81">
        <v>45468</v>
      </c>
      <c r="D616" s="82" t="s">
        <v>4284</v>
      </c>
      <c r="E616" s="79" t="s">
        <v>151</v>
      </c>
      <c r="F616" s="79" t="s">
        <v>152</v>
      </c>
      <c r="G616" s="79" t="s">
        <v>152</v>
      </c>
      <c r="H616" s="79" t="s">
        <v>152</v>
      </c>
      <c r="I616" s="79" t="s">
        <v>152</v>
      </c>
      <c r="J616" s="79" t="s">
        <v>3649</v>
      </c>
      <c r="K616" s="79" t="s">
        <v>155</v>
      </c>
      <c r="L616" s="80" t="s">
        <v>4285</v>
      </c>
      <c r="M616" s="80" t="s">
        <v>157</v>
      </c>
      <c r="N616" s="79" t="s">
        <v>720</v>
      </c>
      <c r="O616" s="80" t="str">
        <f t="shared" si="520"/>
        <v/>
      </c>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t="s">
        <v>169</v>
      </c>
      <c r="AP616" s="79" t="s">
        <v>170</v>
      </c>
      <c r="AQ616" s="80" t="s">
        <v>4286</v>
      </c>
      <c r="AR616" s="83" t="s">
        <v>4287</v>
      </c>
      <c r="AS616" s="80" t="s">
        <v>4288</v>
      </c>
      <c r="AT616" s="80" t="str">
        <f t="shared" si="545"/>
        <v>Distrital</v>
      </c>
      <c r="AU616" s="79" t="s">
        <v>172</v>
      </c>
      <c r="AV616" s="79"/>
      <c r="AW616" s="79"/>
      <c r="AX616" s="79"/>
      <c r="AY616" s="79"/>
      <c r="AZ616" s="79"/>
      <c r="BA616" s="80" t="str">
        <f t="shared" si="481"/>
        <v>Distrital</v>
      </c>
      <c r="BB616" s="79" t="s">
        <v>172</v>
      </c>
      <c r="BC616" s="79"/>
      <c r="BD616" s="79"/>
      <c r="BE616" s="79"/>
      <c r="BF616" s="79"/>
      <c r="BG616" s="79"/>
      <c r="BH616" s="80" t="str">
        <f t="shared" si="482"/>
        <v>Distrital</v>
      </c>
      <c r="BI616" s="79" t="s">
        <v>172</v>
      </c>
      <c r="BJ616" s="79"/>
      <c r="BK616" s="79"/>
      <c r="BL616" s="79"/>
      <c r="BM616" s="79"/>
      <c r="BN616" s="79"/>
      <c r="BO616" s="79"/>
      <c r="BP616" s="79"/>
      <c r="BQ616" s="79"/>
      <c r="BR616" s="79"/>
      <c r="BS616" s="80" t="s">
        <v>4289</v>
      </c>
      <c r="BT616" s="80" t="s">
        <v>174</v>
      </c>
      <c r="BU616" s="80" t="s">
        <v>4290</v>
      </c>
      <c r="BV616" s="71"/>
      <c r="BW616" s="79" t="s">
        <v>152</v>
      </c>
      <c r="BX616" s="79" t="s">
        <v>179</v>
      </c>
      <c r="BY616" s="71"/>
      <c r="BZ616" s="79">
        <v>23</v>
      </c>
      <c r="CA616" s="79">
        <v>1</v>
      </c>
      <c r="CB616" s="79">
        <f t="shared" ref="CB616" si="546">BZ616+CA616</f>
        <v>24</v>
      </c>
      <c r="CC616" s="79" t="str">
        <f t="shared" si="382"/>
        <v>Ninguna</v>
      </c>
      <c r="CD616" s="79" t="s">
        <v>174</v>
      </c>
      <c r="CE616" s="79"/>
      <c r="CF616" s="79"/>
      <c r="CG616" s="83" t="s">
        <v>4291</v>
      </c>
      <c r="CH616" s="41"/>
      <c r="CI616" s="79" t="s">
        <v>153</v>
      </c>
      <c r="CJ616" s="71"/>
      <c r="CK616" s="79">
        <f t="shared" ref="CK616" si="547">COUNTIF(CL616:CQ616,"*")</f>
        <v>0</v>
      </c>
      <c r="CL616" s="79"/>
      <c r="CM616" s="79"/>
      <c r="CN616" s="79"/>
      <c r="CO616" s="79"/>
      <c r="CP616" s="79"/>
      <c r="CQ616" s="79"/>
      <c r="CR616" s="83" t="s">
        <v>179</v>
      </c>
      <c r="CS616" s="83" t="s">
        <v>179</v>
      </c>
      <c r="CT616" s="83" t="s">
        <v>179</v>
      </c>
      <c r="CU616" s="83" t="s">
        <v>179</v>
      </c>
      <c r="CV616" s="83" t="s">
        <v>179</v>
      </c>
      <c r="CW616" s="83" t="s">
        <v>179</v>
      </c>
      <c r="CX616" s="79" t="s">
        <v>153</v>
      </c>
      <c r="CY616" s="79">
        <f t="shared" ref="CY616" si="548">SUM(COUNTIF(CR616:CW616,"Realizado y Devuelto a la Ciudadanía"),COUNTIF(CR616:CW616,"Realizado y Trasladado por competencia"), COUNTIF(CR616:CW616,"Realizado y Gestionado"))</f>
        <v>0</v>
      </c>
      <c r="CZ616" s="79">
        <v>0</v>
      </c>
      <c r="DA616" s="79">
        <f t="shared" ref="DA616" si="549">COUNTIF(CR616:CW616,"Realizado y Devuelto a la Ciudadanía")</f>
        <v>0</v>
      </c>
      <c r="DB616" s="84" t="str">
        <f t="shared" ref="DB616" si="550">IFERROR(CY616/CK616,"")</f>
        <v/>
      </c>
      <c r="DC616" s="41"/>
      <c r="DD616" s="79" t="s">
        <v>153</v>
      </c>
      <c r="DE616" s="71"/>
      <c r="DF616" s="127" t="s">
        <v>4292</v>
      </c>
      <c r="DG616" s="79">
        <v>605</v>
      </c>
      <c r="DH616" s="86" t="str">
        <f t="shared" si="537"/>
        <v>Completo</v>
      </c>
      <c r="DI616" s="79" t="s">
        <v>181</v>
      </c>
      <c r="DJ616" s="79" t="s">
        <v>182</v>
      </c>
      <c r="DK616" s="79"/>
      <c r="DL616" s="79">
        <v>0</v>
      </c>
      <c r="DM616" s="79">
        <v>0</v>
      </c>
      <c r="DN616" s="79" t="s">
        <v>182</v>
      </c>
      <c r="DO616" s="79"/>
      <c r="DP616" s="79"/>
      <c r="DQ616" s="79"/>
      <c r="DR616" s="75" t="str">
        <f t="shared" si="500"/>
        <v>No aplica</v>
      </c>
      <c r="DS616" s="79"/>
      <c r="DT616" s="79"/>
      <c r="DU616" s="75" t="str">
        <f t="shared" si="501"/>
        <v>No aplica</v>
      </c>
      <c r="DV616" s="79"/>
      <c r="DW616" s="79"/>
      <c r="DX616" s="79"/>
      <c r="DY616" s="79"/>
      <c r="DZ616" s="79"/>
      <c r="EA616" s="79"/>
      <c r="EB616" s="79"/>
      <c r="EC616" s="79"/>
      <c r="ED616" s="79" t="s">
        <v>4293</v>
      </c>
      <c r="EE616" s="79" t="str">
        <f t="shared" ref="EE616" si="551">IF(DI616="Subsanado","Completo","Por Completar")</f>
        <v>Completo</v>
      </c>
      <c r="EF616" s="41"/>
      <c r="EG616" s="79" t="s">
        <v>153</v>
      </c>
      <c r="EH616" s="71"/>
      <c r="EI616" s="80"/>
      <c r="EJ616" s="71"/>
      <c r="EK616" s="79"/>
      <c r="EL616" s="87" t="str">
        <f t="shared" si="465"/>
        <v>No requiere</v>
      </c>
      <c r="EM616" s="87" t="str">
        <f t="shared" si="466"/>
        <v>No requiere</v>
      </c>
      <c r="EN616" s="87" t="str">
        <f t="shared" ref="EN616" si="552">IF(F616="NO","No requiere",IF(H616="No","No requiere",IF(CC616="","",IF(CD616&lt;&gt;"No aplica",IF(CD616&lt;&gt;"Ninguna",IF(COUNTIF(CD616:CF616,"*")&gt;=1,"Sí","No"),"No"),"No aplica"))))</f>
        <v>No requiere</v>
      </c>
      <c r="EO616" s="71"/>
      <c r="EP616" s="84" t="str">
        <f t="shared" si="467"/>
        <v>No requiere</v>
      </c>
      <c r="EQ616" s="88" t="str">
        <f t="shared" si="468"/>
        <v>No requiere</v>
      </c>
      <c r="ER616" s="71"/>
      <c r="ES616" s="79"/>
      <c r="ET616" s="84" t="str">
        <f t="shared" si="469"/>
        <v>No requiere</v>
      </c>
      <c r="EU616" s="84" t="str">
        <f t="shared" ref="EU616" si="553">IF(F616="NO","No requiere",IF(H616="No","No requiere",IF(B616="","",IF(CX616="SÍ",IF(CK616&gt;=1,CY616/CK616,"Sin compromisos"),"Por verificar"))))</f>
        <v>No requiere</v>
      </c>
      <c r="EV616" s="84" t="str">
        <f t="shared" si="470"/>
        <v>No requiere</v>
      </c>
      <c r="EW616" s="84" t="str">
        <f t="shared" si="502"/>
        <v>No requiere</v>
      </c>
      <c r="EX616" s="78"/>
      <c r="EY616" s="78"/>
    </row>
    <row r="617" spans="1:155" ht="46.5" customHeight="1">
      <c r="A617" s="79">
        <v>613</v>
      </c>
      <c r="B617" s="80" t="s">
        <v>4294</v>
      </c>
      <c r="C617" s="81">
        <v>45467</v>
      </c>
      <c r="D617" s="82">
        <v>0.70833333333333337</v>
      </c>
      <c r="E617" s="79" t="s">
        <v>200</v>
      </c>
      <c r="F617" s="79" t="s">
        <v>153</v>
      </c>
      <c r="G617" s="79" t="s">
        <v>152</v>
      </c>
      <c r="H617" s="79" t="s">
        <v>152</v>
      </c>
      <c r="I617" s="79" t="s">
        <v>152</v>
      </c>
      <c r="J617" s="79" t="s">
        <v>211</v>
      </c>
      <c r="K617" s="79" t="s">
        <v>202</v>
      </c>
      <c r="L617" s="80" t="s">
        <v>4295</v>
      </c>
      <c r="M617" s="80" t="s">
        <v>624</v>
      </c>
      <c r="N617" s="79" t="s">
        <v>524</v>
      </c>
      <c r="O617" s="80" t="str">
        <f t="shared" si="520"/>
        <v/>
      </c>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t="s">
        <v>230</v>
      </c>
      <c r="AP617" s="79" t="s">
        <v>242</v>
      </c>
      <c r="AQ617" s="80" t="s">
        <v>4296</v>
      </c>
      <c r="AR617" s="83" t="s">
        <v>4297</v>
      </c>
      <c r="AS617" s="80" t="s">
        <v>4298</v>
      </c>
      <c r="AT617" s="80" t="str">
        <f t="shared" si="545"/>
        <v>Distrital</v>
      </c>
      <c r="AU617" s="79" t="s">
        <v>172</v>
      </c>
      <c r="AV617" s="79"/>
      <c r="AW617" s="79"/>
      <c r="AX617" s="79"/>
      <c r="AY617" s="79"/>
      <c r="AZ617" s="79"/>
      <c r="BA617" s="80" t="str">
        <f t="shared" si="481"/>
        <v>Distrital</v>
      </c>
      <c r="BB617" s="79" t="s">
        <v>172</v>
      </c>
      <c r="BC617" s="79"/>
      <c r="BD617" s="79"/>
      <c r="BE617" s="79"/>
      <c r="BF617" s="79"/>
      <c r="BG617" s="79"/>
      <c r="BH617" s="80" t="str">
        <f t="shared" si="482"/>
        <v>Distrital</v>
      </c>
      <c r="BI617" s="79" t="s">
        <v>172</v>
      </c>
      <c r="BJ617" s="79"/>
      <c r="BK617" s="79"/>
      <c r="BL617" s="79"/>
      <c r="BM617" s="79"/>
      <c r="BN617" s="79"/>
      <c r="BO617" s="79"/>
      <c r="BP617" s="79"/>
      <c r="BQ617" s="79"/>
      <c r="BR617" s="79"/>
      <c r="BS617" s="80" t="s">
        <v>288</v>
      </c>
      <c r="BT617" s="80" t="s">
        <v>174</v>
      </c>
      <c r="BU617" s="128" t="s">
        <v>3931</v>
      </c>
      <c r="BV617" s="71"/>
      <c r="BW617" s="79" t="s">
        <v>152</v>
      </c>
      <c r="BX617" s="79" t="s">
        <v>179</v>
      </c>
      <c r="BY617" s="71"/>
      <c r="BZ617" s="79">
        <v>11</v>
      </c>
      <c r="CA617" s="79">
        <v>1</v>
      </c>
      <c r="CB617" s="79">
        <f t="shared" ref="CB617:CB618" si="554">BZ617+CA617</f>
        <v>12</v>
      </c>
      <c r="CC617" s="79" t="str">
        <f t="shared" si="382"/>
        <v>Ninguna</v>
      </c>
      <c r="CD617" s="79" t="s">
        <v>174</v>
      </c>
      <c r="CE617" s="79"/>
      <c r="CF617" s="79"/>
      <c r="CG617" s="83" t="s">
        <v>4299</v>
      </c>
      <c r="CH617" s="41"/>
      <c r="CI617" s="79" t="s">
        <v>153</v>
      </c>
      <c r="CJ617" s="71"/>
      <c r="CK617" s="79">
        <f t="shared" ref="CK617:CK618" si="555">COUNTIF(CL617:CQ617,"*")</f>
        <v>0</v>
      </c>
      <c r="CL617" s="79"/>
      <c r="CM617" s="79"/>
      <c r="CN617" s="79"/>
      <c r="CO617" s="79"/>
      <c r="CP617" s="79"/>
      <c r="CQ617" s="79"/>
      <c r="CR617" s="83" t="s">
        <v>179</v>
      </c>
      <c r="CS617" s="83" t="s">
        <v>179</v>
      </c>
      <c r="CT617" s="83" t="s">
        <v>179</v>
      </c>
      <c r="CU617" s="83" t="s">
        <v>179</v>
      </c>
      <c r="CV617" s="83" t="s">
        <v>179</v>
      </c>
      <c r="CW617" s="83" t="s">
        <v>179</v>
      </c>
      <c r="CX617" s="79" t="s">
        <v>153</v>
      </c>
      <c r="CY617" s="79">
        <f t="shared" ref="CY617:CY618" si="556">SUM(COUNTIF(CR617:CW617,"Realizado y Devuelto a la Ciudadanía"),COUNTIF(CR617:CW617,"Realizado y Trasladado por competencia"), COUNTIF(CR617:CW617,"Realizado y Gestionado"))</f>
        <v>0</v>
      </c>
      <c r="CZ617" s="79">
        <v>0</v>
      </c>
      <c r="DA617" s="79">
        <f t="shared" ref="DA617:DA618" si="557">COUNTIF(CR617:CW617,"Realizado y Devuelto a la Ciudadanía")</f>
        <v>0</v>
      </c>
      <c r="DB617" s="84" t="str">
        <f t="shared" ref="DB617:DB618" si="558">IFERROR(CY617/CK617,"")</f>
        <v/>
      </c>
      <c r="DC617" s="41"/>
      <c r="DD617" s="79" t="s">
        <v>153</v>
      </c>
      <c r="DE617" s="71"/>
      <c r="DF617" s="127" t="s">
        <v>4300</v>
      </c>
      <c r="DG617" s="79">
        <v>606</v>
      </c>
      <c r="DH617" s="86" t="str">
        <f t="shared" si="537"/>
        <v>Completo</v>
      </c>
      <c r="DI617" s="79" t="s">
        <v>181</v>
      </c>
      <c r="DJ617" s="79" t="s">
        <v>182</v>
      </c>
      <c r="DK617" s="79"/>
      <c r="DL617" s="79">
        <v>0</v>
      </c>
      <c r="DM617" s="79">
        <v>0</v>
      </c>
      <c r="DN617" s="79" t="s">
        <v>182</v>
      </c>
      <c r="DO617" s="79"/>
      <c r="DP617" s="79"/>
      <c r="DQ617" s="79"/>
      <c r="DR617" s="75" t="str">
        <f t="shared" si="500"/>
        <v>No aplica</v>
      </c>
      <c r="DS617" s="79"/>
      <c r="DT617" s="79"/>
      <c r="DU617" s="75" t="str">
        <f t="shared" si="501"/>
        <v>No aplica</v>
      </c>
      <c r="DV617" s="79" t="s">
        <v>182</v>
      </c>
      <c r="DW617" s="79" t="s">
        <v>182</v>
      </c>
      <c r="DX617" s="79"/>
      <c r="DY617" s="79"/>
      <c r="DZ617" s="79"/>
      <c r="EA617" s="79"/>
      <c r="EB617" s="79" t="s">
        <v>182</v>
      </c>
      <c r="EC617" s="79" t="s">
        <v>4301</v>
      </c>
      <c r="ED617" s="79" t="s">
        <v>3866</v>
      </c>
      <c r="EE617" s="79" t="str">
        <f t="shared" ref="EE617:EE618" si="559">IF(DI617="Subsanado","Completo","Por Completar")</f>
        <v>Completo</v>
      </c>
      <c r="EF617" s="41"/>
      <c r="EG617" s="79" t="s">
        <v>153</v>
      </c>
      <c r="EH617" s="71"/>
      <c r="EI617" s="80"/>
      <c r="EJ617" s="71"/>
      <c r="EK617" s="79"/>
      <c r="EL617" s="87" t="str">
        <f t="shared" si="465"/>
        <v>No requiere</v>
      </c>
      <c r="EM617" s="87" t="str">
        <f t="shared" si="466"/>
        <v>No requiere</v>
      </c>
      <c r="EN617" s="87" t="str">
        <f t="shared" ref="EN617:EN618" si="560">IF(F617="NO","No requiere",IF(H617="No","No requiere",IF(CC617="","",IF(CD617&lt;&gt;"No aplica",IF(CD617&lt;&gt;"Ninguna",IF(COUNTIF(CD617:CF617,"*")&gt;=1,"Sí","No"),"No"),"No aplica"))))</f>
        <v>No requiere</v>
      </c>
      <c r="EO617" s="71"/>
      <c r="EP617" s="84" t="str">
        <f t="shared" si="467"/>
        <v>No requiere</v>
      </c>
      <c r="EQ617" s="88" t="str">
        <f t="shared" si="468"/>
        <v>No requiere</v>
      </c>
      <c r="ER617" s="71"/>
      <c r="ES617" s="79"/>
      <c r="ET617" s="84" t="str">
        <f t="shared" si="469"/>
        <v>No requiere</v>
      </c>
      <c r="EU617" s="84" t="str">
        <f t="shared" ref="EU617:EU618" si="561">IF(F617="NO","No requiere",IF(H617="No","No requiere",IF(B617="","",IF(CX617="SÍ",IF(CK617&gt;=1,CY617/CK617,"Sin compromisos"),"Por verificar"))))</f>
        <v>No requiere</v>
      </c>
      <c r="EV617" s="84" t="str">
        <f t="shared" si="470"/>
        <v>No requiere</v>
      </c>
      <c r="EW617" s="84" t="str">
        <f t="shared" si="502"/>
        <v>No requiere</v>
      </c>
      <c r="EX617" s="78"/>
      <c r="EY617" s="78"/>
    </row>
    <row r="618" spans="1:155" ht="46.5" customHeight="1">
      <c r="A618" s="79">
        <v>614</v>
      </c>
      <c r="B618" s="80" t="s">
        <v>4302</v>
      </c>
      <c r="C618" s="81">
        <v>45468</v>
      </c>
      <c r="D618" s="82">
        <v>0.35416666666666669</v>
      </c>
      <c r="E618" s="79" t="s">
        <v>151</v>
      </c>
      <c r="F618" s="79" t="s">
        <v>153</v>
      </c>
      <c r="G618" s="79" t="s">
        <v>153</v>
      </c>
      <c r="H618" s="79" t="s">
        <v>152</v>
      </c>
      <c r="I618" s="79" t="s">
        <v>152</v>
      </c>
      <c r="J618" s="79" t="s">
        <v>3999</v>
      </c>
      <c r="K618" s="79" t="s">
        <v>155</v>
      </c>
      <c r="L618" s="80" t="s">
        <v>4303</v>
      </c>
      <c r="M618" s="80" t="s">
        <v>241</v>
      </c>
      <c r="N618" s="79" t="s">
        <v>818</v>
      </c>
      <c r="O618" s="80" t="str">
        <f t="shared" si="520"/>
        <v/>
      </c>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t="s">
        <v>230</v>
      </c>
      <c r="AP618" s="79" t="s">
        <v>231</v>
      </c>
      <c r="AQ618" s="80" t="s">
        <v>171</v>
      </c>
      <c r="AR618" s="83" t="s">
        <v>171</v>
      </c>
      <c r="AS618" s="80" t="s">
        <v>171</v>
      </c>
      <c r="AT618" s="80" t="str">
        <f t="shared" si="545"/>
        <v>Antonio Nariño</v>
      </c>
      <c r="AU618" s="79" t="s">
        <v>634</v>
      </c>
      <c r="AV618" s="79"/>
      <c r="AW618" s="79"/>
      <c r="AX618" s="79"/>
      <c r="AY618" s="79"/>
      <c r="AZ618" s="79"/>
      <c r="BA618" s="80" t="str">
        <f t="shared" ref="BA618:BA768" si="562">_xlfn.TEXTJOIN(", ",TRUE,$BB618:$BG618)</f>
        <v>Centro Ampliado</v>
      </c>
      <c r="BB618" s="79" t="s">
        <v>636</v>
      </c>
      <c r="BC618" s="79"/>
      <c r="BD618" s="79"/>
      <c r="BE618" s="79"/>
      <c r="BF618" s="79"/>
      <c r="BG618" s="79"/>
      <c r="BH618" s="80" t="str">
        <f t="shared" ref="BH618:BH768" si="563">_xlfn.TEXTJOIN(", ",TRUE,$BI618:$BR618)</f>
        <v>Restrepo</v>
      </c>
      <c r="BI618" s="79" t="s">
        <v>637</v>
      </c>
      <c r="BJ618" s="79"/>
      <c r="BK618" s="79"/>
      <c r="BL618" s="79"/>
      <c r="BM618" s="79"/>
      <c r="BN618" s="79"/>
      <c r="BO618" s="79"/>
      <c r="BP618" s="79"/>
      <c r="BQ618" s="79"/>
      <c r="BR618" s="79"/>
      <c r="BS618" s="80" t="s">
        <v>4304</v>
      </c>
      <c r="BT618" s="80" t="s">
        <v>174</v>
      </c>
      <c r="BU618" s="80" t="s">
        <v>4305</v>
      </c>
      <c r="BV618" s="71"/>
      <c r="BW618" s="79" t="s">
        <v>152</v>
      </c>
      <c r="BX618" s="79" t="s">
        <v>179</v>
      </c>
      <c r="BY618" s="71"/>
      <c r="BZ618" s="79">
        <v>4</v>
      </c>
      <c r="CA618" s="79">
        <v>1</v>
      </c>
      <c r="CB618" s="79">
        <f t="shared" si="554"/>
        <v>5</v>
      </c>
      <c r="CC618" s="79" t="str">
        <f t="shared" si="382"/>
        <v>Horarios Acordes</v>
      </c>
      <c r="CD618" s="79" t="s">
        <v>351</v>
      </c>
      <c r="CE618" s="79"/>
      <c r="CF618" s="79"/>
      <c r="CG618" s="83" t="s">
        <v>4306</v>
      </c>
      <c r="CH618" s="41"/>
      <c r="CI618" s="79" t="s">
        <v>153</v>
      </c>
      <c r="CJ618" s="71"/>
      <c r="CK618" s="79">
        <f t="shared" si="555"/>
        <v>0</v>
      </c>
      <c r="CL618" s="79"/>
      <c r="CM618" s="79"/>
      <c r="CN618" s="79"/>
      <c r="CO618" s="79"/>
      <c r="CP618" s="79"/>
      <c r="CQ618" s="79"/>
      <c r="CR618" s="83" t="s">
        <v>179</v>
      </c>
      <c r="CS618" s="83" t="s">
        <v>179</v>
      </c>
      <c r="CT618" s="83" t="s">
        <v>179</v>
      </c>
      <c r="CU618" s="83" t="s">
        <v>179</v>
      </c>
      <c r="CV618" s="83" t="s">
        <v>179</v>
      </c>
      <c r="CW618" s="83" t="s">
        <v>179</v>
      </c>
      <c r="CX618" s="79" t="s">
        <v>153</v>
      </c>
      <c r="CY618" s="79">
        <f t="shared" si="556"/>
        <v>0</v>
      </c>
      <c r="CZ618" s="79">
        <v>0</v>
      </c>
      <c r="DA618" s="79">
        <f t="shared" si="557"/>
        <v>0</v>
      </c>
      <c r="DB618" s="84" t="str">
        <f t="shared" si="558"/>
        <v/>
      </c>
      <c r="DC618" s="41"/>
      <c r="DD618" s="79" t="s">
        <v>153</v>
      </c>
      <c r="DE618" s="71"/>
      <c r="DF618" s="133" t="s">
        <v>4307</v>
      </c>
      <c r="DG618" s="79">
        <v>607</v>
      </c>
      <c r="DH618" s="86" t="str">
        <f t="shared" si="537"/>
        <v>Completo</v>
      </c>
      <c r="DI618" s="79" t="s">
        <v>181</v>
      </c>
      <c r="DJ618" s="79" t="s">
        <v>182</v>
      </c>
      <c r="DK618" s="79"/>
      <c r="DL618" s="79">
        <v>0</v>
      </c>
      <c r="DM618" s="79">
        <v>0</v>
      </c>
      <c r="DN618" s="79" t="s">
        <v>182</v>
      </c>
      <c r="DO618" s="79"/>
      <c r="DP618" s="79"/>
      <c r="DQ618" s="79"/>
      <c r="DR618" s="75" t="str">
        <f t="shared" si="500"/>
        <v>No aplica</v>
      </c>
      <c r="DS618" s="79"/>
      <c r="DT618" s="79"/>
      <c r="DU618" s="75" t="str">
        <f t="shared" si="501"/>
        <v>No aplica</v>
      </c>
      <c r="DV618" s="79" t="s">
        <v>182</v>
      </c>
      <c r="DW618" s="79"/>
      <c r="DX618" s="79"/>
      <c r="DY618" s="79"/>
      <c r="DZ618" s="79"/>
      <c r="EA618" s="79"/>
      <c r="EB618" s="79"/>
      <c r="EC618" s="79"/>
      <c r="ED618" s="79" t="s">
        <v>1743</v>
      </c>
      <c r="EE618" s="79" t="str">
        <f t="shared" si="559"/>
        <v>Completo</v>
      </c>
      <c r="EF618" s="41"/>
      <c r="EG618" s="79" t="s">
        <v>153</v>
      </c>
      <c r="EH618" s="71"/>
      <c r="EI618" s="80"/>
      <c r="EJ618" s="71"/>
      <c r="EK618" s="79"/>
      <c r="EL618" s="87" t="str">
        <f t="shared" si="465"/>
        <v>No requiere</v>
      </c>
      <c r="EM618" s="87" t="str">
        <f t="shared" si="466"/>
        <v>No requiere</v>
      </c>
      <c r="EN618" s="87" t="str">
        <f t="shared" si="560"/>
        <v>No requiere</v>
      </c>
      <c r="EO618" s="71"/>
      <c r="EP618" s="84" t="str">
        <f t="shared" si="467"/>
        <v>No requiere</v>
      </c>
      <c r="EQ618" s="88" t="str">
        <f t="shared" si="468"/>
        <v>No requiere</v>
      </c>
      <c r="ER618" s="71"/>
      <c r="ES618" s="79"/>
      <c r="ET618" s="84" t="str">
        <f t="shared" si="469"/>
        <v>No requiere</v>
      </c>
      <c r="EU618" s="84" t="str">
        <f t="shared" si="561"/>
        <v>No requiere</v>
      </c>
      <c r="EV618" s="84" t="str">
        <f t="shared" si="470"/>
        <v>No requiere</v>
      </c>
      <c r="EW618" s="84" t="str">
        <f t="shared" si="502"/>
        <v>No requiere</v>
      </c>
      <c r="EX618" s="78"/>
      <c r="EY618" s="78"/>
    </row>
    <row r="619" spans="1:155" ht="46.5" customHeight="1">
      <c r="A619" s="79" t="str">
        <v/>
      </c>
      <c r="B619" s="80" t="s">
        <v>4308</v>
      </c>
      <c r="C619" s="81">
        <v>45468</v>
      </c>
      <c r="D619" s="82">
        <v>0.4375</v>
      </c>
      <c r="E619" s="79" t="s">
        <v>151</v>
      </c>
      <c r="F619" s="79" t="s">
        <v>152</v>
      </c>
      <c r="G619" s="79" t="s">
        <v>153</v>
      </c>
      <c r="H619" s="79" t="s">
        <v>152</v>
      </c>
      <c r="I619" s="79" t="s">
        <v>152</v>
      </c>
      <c r="J619" s="79" t="s">
        <v>3175</v>
      </c>
      <c r="K619" s="79" t="s">
        <v>155</v>
      </c>
      <c r="L619" s="80" t="s">
        <v>4309</v>
      </c>
      <c r="M619" s="80" t="s">
        <v>157</v>
      </c>
      <c r="N619" s="79" t="s">
        <v>801</v>
      </c>
      <c r="O619" s="80" t="str">
        <f t="shared" si="520"/>
        <v>Renata Rengifo Moyano</v>
      </c>
      <c r="P619" s="79" t="s">
        <v>1066</v>
      </c>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t="s">
        <v>169</v>
      </c>
      <c r="AP619" s="79" t="s">
        <v>170</v>
      </c>
      <c r="AQ619" s="80" t="s">
        <v>1139</v>
      </c>
      <c r="AR619" s="83" t="s">
        <v>4310</v>
      </c>
      <c r="AS619" s="80" t="s">
        <v>4311</v>
      </c>
      <c r="AT619" s="80" t="str">
        <f t="shared" si="545"/>
        <v>Distrital</v>
      </c>
      <c r="AU619" s="79" t="s">
        <v>172</v>
      </c>
      <c r="AV619" s="79"/>
      <c r="AW619" s="79"/>
      <c r="AX619" s="79"/>
      <c r="AY619" s="79"/>
      <c r="AZ619" s="79"/>
      <c r="BA619" s="80" t="str">
        <f t="shared" si="562"/>
        <v>Distrital</v>
      </c>
      <c r="BB619" s="79" t="s">
        <v>172</v>
      </c>
      <c r="BC619" s="79"/>
      <c r="BD619" s="79"/>
      <c r="BE619" s="79"/>
      <c r="BF619" s="79"/>
      <c r="BG619" s="79"/>
      <c r="BH619" s="80" t="str">
        <f t="shared" si="563"/>
        <v>Distrital</v>
      </c>
      <c r="BI619" s="79" t="s">
        <v>172</v>
      </c>
      <c r="BJ619" s="79"/>
      <c r="BK619" s="79"/>
      <c r="BL619" s="79"/>
      <c r="BM619" s="79"/>
      <c r="BN619" s="79"/>
      <c r="BO619" s="79"/>
      <c r="BP619" s="79"/>
      <c r="BQ619" s="79"/>
      <c r="BR619" s="79"/>
      <c r="BS619" s="80" t="s">
        <v>288</v>
      </c>
      <c r="BT619" s="80" t="s">
        <v>174</v>
      </c>
      <c r="BU619" s="80" t="s">
        <v>4312</v>
      </c>
      <c r="BV619" s="71"/>
      <c r="BW619" s="79" t="s">
        <v>152</v>
      </c>
      <c r="BX619" s="79" t="s">
        <v>179</v>
      </c>
      <c r="BY619" s="71"/>
      <c r="BZ619" s="79">
        <v>0</v>
      </c>
      <c r="CA619" s="79">
        <v>5</v>
      </c>
      <c r="CB619" s="79">
        <f>BZ619+CA619</f>
        <v>5</v>
      </c>
      <c r="CC619" s="79" t="str">
        <f>_xlfn.TEXTJOIN(", ",TRUE,$CD619:$CF619)</f>
        <v>Ninguna</v>
      </c>
      <c r="CD619" s="79" t="s">
        <v>174</v>
      </c>
      <c r="CE619" s="79"/>
      <c r="CF619" s="79"/>
      <c r="CG619" s="83" t="s">
        <v>4313</v>
      </c>
      <c r="CH619" s="41"/>
      <c r="CI619" s="79" t="s">
        <v>153</v>
      </c>
      <c r="CJ619" s="71"/>
      <c r="CK619" s="79">
        <f>COUNTIF(CL619:CQ619,"*")</f>
        <v>0</v>
      </c>
      <c r="CL619" s="79"/>
      <c r="CM619" s="79"/>
      <c r="CN619" s="79"/>
      <c r="CO619" s="79"/>
      <c r="CP619" s="79"/>
      <c r="CQ619" s="79"/>
      <c r="CR619" s="83" t="s">
        <v>179</v>
      </c>
      <c r="CS619" s="83" t="s">
        <v>179</v>
      </c>
      <c r="CT619" s="83" t="s">
        <v>179</v>
      </c>
      <c r="CU619" s="83" t="s">
        <v>179</v>
      </c>
      <c r="CV619" s="83" t="s">
        <v>179</v>
      </c>
      <c r="CW619" s="83" t="s">
        <v>179</v>
      </c>
      <c r="CX619" s="79" t="s">
        <v>153</v>
      </c>
      <c r="CY619" s="79">
        <f>SUM(COUNTIF(CR619:CW619,"Realizado y Devuelto a la Ciudadanía"),COUNTIF(CR619:CW619,"Realizado y Trasladado por competencia"), COUNTIF(CR619:CW619,"Realizado y Gestionado"))</f>
        <v>0</v>
      </c>
      <c r="CZ619" s="79">
        <v>0</v>
      </c>
      <c r="DA619" s="79">
        <f>COUNTIF(CR619:CW619,"Realizado y Devuelto a la Ciudadanía")</f>
        <v>0</v>
      </c>
      <c r="DB619" s="84" t="str">
        <f>IFERROR(CY619/CK619,"")</f>
        <v/>
      </c>
      <c r="DC619" s="41"/>
      <c r="DD619" s="79" t="s">
        <v>153</v>
      </c>
      <c r="DE619" s="71"/>
      <c r="DF619" s="127" t="s">
        <v>4314</v>
      </c>
      <c r="DG619" s="79">
        <v>608</v>
      </c>
      <c r="DH619" s="86" t="str">
        <f t="shared" si="537"/>
        <v>Completo</v>
      </c>
      <c r="DI619" s="79" t="s">
        <v>181</v>
      </c>
      <c r="DJ619" s="79" t="s">
        <v>182</v>
      </c>
      <c r="DK619" s="79"/>
      <c r="DL619" s="79">
        <v>0</v>
      </c>
      <c r="DM619" s="79">
        <v>0</v>
      </c>
      <c r="DN619" s="79" t="s">
        <v>182</v>
      </c>
      <c r="DO619" s="79"/>
      <c r="DP619" s="79"/>
      <c r="DQ619" s="79"/>
      <c r="DR619" s="75" t="str">
        <f t="shared" si="500"/>
        <v>No aplica</v>
      </c>
      <c r="DS619" s="79"/>
      <c r="DT619" s="79"/>
      <c r="DU619" s="75" t="str">
        <f t="shared" si="501"/>
        <v>No aplica</v>
      </c>
      <c r="DV619" s="79" t="s">
        <v>182</v>
      </c>
      <c r="DW619" s="79" t="s">
        <v>182</v>
      </c>
      <c r="DX619" s="79"/>
      <c r="DY619" s="79"/>
      <c r="DZ619" s="79"/>
      <c r="EA619" s="79"/>
      <c r="EB619" s="79"/>
      <c r="EC619" s="79"/>
      <c r="ED619" s="79" t="s">
        <v>4315</v>
      </c>
      <c r="EE619" s="79" t="str">
        <f>IF(DI619="Subsanado","Completo","Por Completar")</f>
        <v>Completo</v>
      </c>
      <c r="EF619" s="41"/>
      <c r="EG619" s="79" t="s">
        <v>153</v>
      </c>
      <c r="EH619" s="71"/>
      <c r="EI619" s="80"/>
      <c r="EJ619" s="71"/>
      <c r="EK619" s="79"/>
      <c r="EL619" s="87" t="str">
        <f t="shared" si="465"/>
        <v>No requiere</v>
      </c>
      <c r="EM619" s="87" t="str">
        <f t="shared" si="466"/>
        <v>No requiere</v>
      </c>
      <c r="EN619" s="87" t="str">
        <f>IF(F619="NO","No requiere",IF(H619="No","No requiere",IF(CC619="","",IF(CD619&lt;&gt;"No aplica",IF(CD619&lt;&gt;"Ninguna",IF(COUNTIF(CD619:CF619,"*")&gt;=1,"Sí","No"),"No"),"No aplica"))))</f>
        <v>No requiere</v>
      </c>
      <c r="EO619" s="71"/>
      <c r="EP619" s="84" t="str">
        <f t="shared" si="467"/>
        <v>No requiere</v>
      </c>
      <c r="EQ619" s="88" t="str">
        <f t="shared" si="468"/>
        <v>No requiere</v>
      </c>
      <c r="ER619" s="71"/>
      <c r="ES619" s="79"/>
      <c r="ET619" s="84" t="str">
        <f t="shared" si="469"/>
        <v>No requiere</v>
      </c>
      <c r="EU619" s="84" t="str">
        <f>IF(F619="NO","No requiere",IF(H619="No","No requiere",IF(B619="","",IF(CX619="SÍ",IF(CK619&gt;=1,CY619/CK619,"Sin compromisos"),"Por verificar"))))</f>
        <v>No requiere</v>
      </c>
      <c r="EV619" s="84" t="str">
        <f t="shared" si="470"/>
        <v>No requiere</v>
      </c>
      <c r="EW619" s="84" t="str">
        <f t="shared" si="502"/>
        <v>No requiere</v>
      </c>
      <c r="EX619" s="78"/>
      <c r="EY619" s="78"/>
    </row>
    <row r="620" spans="1:155" ht="46.5" customHeight="1">
      <c r="A620" s="79">
        <v>616</v>
      </c>
      <c r="B620" s="80" t="s">
        <v>4316</v>
      </c>
      <c r="C620" s="81">
        <v>45468</v>
      </c>
      <c r="D620" s="82">
        <v>0.4375</v>
      </c>
      <c r="E620" s="79" t="s">
        <v>151</v>
      </c>
      <c r="F620" s="79" t="s">
        <v>153</v>
      </c>
      <c r="G620" s="79" t="s">
        <v>152</v>
      </c>
      <c r="H620" s="79" t="s">
        <v>152</v>
      </c>
      <c r="I620" s="79" t="s">
        <v>152</v>
      </c>
      <c r="J620" s="79" t="s">
        <v>2615</v>
      </c>
      <c r="K620" s="79" t="s">
        <v>155</v>
      </c>
      <c r="L620" s="80" t="s">
        <v>4317</v>
      </c>
      <c r="M620" s="80" t="s">
        <v>624</v>
      </c>
      <c r="N620" s="79" t="s">
        <v>632</v>
      </c>
      <c r="O620" s="80" t="str">
        <f t="shared" si="520"/>
        <v>Freddy Martínez</v>
      </c>
      <c r="P620" s="79" t="s">
        <v>3049</v>
      </c>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t="s">
        <v>169</v>
      </c>
      <c r="AP620" s="79" t="s">
        <v>170</v>
      </c>
      <c r="AQ620" s="80" t="s">
        <v>4318</v>
      </c>
      <c r="AR620" s="83" t="s">
        <v>4319</v>
      </c>
      <c r="AS620" s="80" t="s">
        <v>4320</v>
      </c>
      <c r="AT620" s="80" t="str">
        <f t="shared" si="545"/>
        <v>Distrital</v>
      </c>
      <c r="AU620" s="79" t="s">
        <v>172</v>
      </c>
      <c r="AV620" s="79"/>
      <c r="AW620" s="79"/>
      <c r="AX620" s="79"/>
      <c r="AY620" s="79"/>
      <c r="AZ620" s="79"/>
      <c r="BA620" s="80" t="str">
        <f t="shared" si="562"/>
        <v>Distrital</v>
      </c>
      <c r="BB620" s="79" t="s">
        <v>172</v>
      </c>
      <c r="BC620" s="79"/>
      <c r="BD620" s="79"/>
      <c r="BE620" s="79"/>
      <c r="BF620" s="79"/>
      <c r="BG620" s="79"/>
      <c r="BH620" s="80" t="str">
        <f t="shared" si="563"/>
        <v>Distrital</v>
      </c>
      <c r="BI620" s="79" t="s">
        <v>172</v>
      </c>
      <c r="BJ620" s="79"/>
      <c r="BK620" s="79"/>
      <c r="BL620" s="79"/>
      <c r="BM620" s="79"/>
      <c r="BN620" s="79"/>
      <c r="BO620" s="79"/>
      <c r="BP620" s="79"/>
      <c r="BQ620" s="79"/>
      <c r="BR620" s="79"/>
      <c r="BS620" s="80" t="s">
        <v>288</v>
      </c>
      <c r="BT620" s="80" t="s">
        <v>4321</v>
      </c>
      <c r="BU620" s="80" t="s">
        <v>4322</v>
      </c>
      <c r="BV620" s="71"/>
      <c r="BW620" s="79" t="s">
        <v>152</v>
      </c>
      <c r="BX620" s="79" t="s">
        <v>179</v>
      </c>
      <c r="BY620" s="71"/>
      <c r="BZ620" s="79">
        <v>6</v>
      </c>
      <c r="CA620" s="79">
        <v>6</v>
      </c>
      <c r="CB620" s="79">
        <f t="shared" ref="CB620:CB623" si="564">BZ620+CA620</f>
        <v>12</v>
      </c>
      <c r="CC620" s="79" t="str">
        <f t="shared" si="382"/>
        <v>Contenidos adaptados</v>
      </c>
      <c r="CD620" s="79" t="s">
        <v>350</v>
      </c>
      <c r="CE620" s="79"/>
      <c r="CF620" s="79"/>
      <c r="CG620" s="83" t="s">
        <v>4323</v>
      </c>
      <c r="CH620" s="41"/>
      <c r="CI620" s="79" t="s">
        <v>153</v>
      </c>
      <c r="CJ620" s="71"/>
      <c r="CK620" s="79">
        <f t="shared" ref="CK620:CK623" si="565">COUNTIF(CL620:CQ620,"*")</f>
        <v>0</v>
      </c>
      <c r="CL620" s="79"/>
      <c r="CM620" s="79"/>
      <c r="CN620" s="79"/>
      <c r="CO620" s="79"/>
      <c r="CP620" s="79"/>
      <c r="CQ620" s="79"/>
      <c r="CR620" s="83" t="s">
        <v>179</v>
      </c>
      <c r="CS620" s="83" t="s">
        <v>179</v>
      </c>
      <c r="CT620" s="83" t="s">
        <v>179</v>
      </c>
      <c r="CU620" s="83" t="s">
        <v>179</v>
      </c>
      <c r="CV620" s="83" t="s">
        <v>179</v>
      </c>
      <c r="CW620" s="83" t="s">
        <v>179</v>
      </c>
      <c r="CX620" s="79" t="s">
        <v>153</v>
      </c>
      <c r="CY620" s="79">
        <f t="shared" ref="CY620:CY623" si="566">SUM(COUNTIF(CR620:CW620,"Realizado y Devuelto a la Ciudadanía"),COUNTIF(CR620:CW620,"Realizado y Trasladado por competencia"), COUNTIF(CR620:CW620,"Realizado y Gestionado"))</f>
        <v>0</v>
      </c>
      <c r="CZ620" s="79">
        <v>0</v>
      </c>
      <c r="DA620" s="79">
        <f t="shared" ref="DA620:DA623" si="567">COUNTIF(CR620:CW620,"Realizado y Devuelto a la Ciudadanía")</f>
        <v>0</v>
      </c>
      <c r="DB620" s="84" t="str">
        <f t="shared" ref="DB620:DB623" si="568">IFERROR(CY620/CK620,"")</f>
        <v/>
      </c>
      <c r="DC620" s="41"/>
      <c r="DD620" s="79" t="s">
        <v>153</v>
      </c>
      <c r="DE620" s="71"/>
      <c r="DF620" s="127" t="s">
        <v>4324</v>
      </c>
      <c r="DG620" s="79">
        <v>609</v>
      </c>
      <c r="DH620" s="86" t="str">
        <f t="shared" si="537"/>
        <v>Completo</v>
      </c>
      <c r="DI620" s="79" t="s">
        <v>181</v>
      </c>
      <c r="DJ620" s="79" t="s">
        <v>182</v>
      </c>
      <c r="DK620" s="79"/>
      <c r="DL620" s="79">
        <v>0</v>
      </c>
      <c r="DM620" s="79">
        <v>0</v>
      </c>
      <c r="DN620" s="79" t="s">
        <v>182</v>
      </c>
      <c r="DO620" s="79"/>
      <c r="DP620" s="79"/>
      <c r="DQ620" s="79"/>
      <c r="DR620" s="75" t="str">
        <f t="shared" si="500"/>
        <v>No aplica</v>
      </c>
      <c r="DS620" s="79"/>
      <c r="DT620" s="79"/>
      <c r="DU620" s="75" t="str">
        <f t="shared" si="501"/>
        <v>No aplica</v>
      </c>
      <c r="DV620" s="79" t="s">
        <v>182</v>
      </c>
      <c r="DW620" s="79"/>
      <c r="DX620" s="79"/>
      <c r="DY620" s="79"/>
      <c r="DZ620" s="79"/>
      <c r="EA620" s="79"/>
      <c r="EB620" s="79"/>
      <c r="EC620" s="79"/>
      <c r="ED620" s="79" t="s">
        <v>4325</v>
      </c>
      <c r="EE620" s="79" t="str">
        <f t="shared" ref="EE620:EE623" si="569">IF(DI620="Subsanado","Completo","Por Completar")</f>
        <v>Completo</v>
      </c>
      <c r="EF620" s="41"/>
      <c r="EG620" s="79" t="s">
        <v>153</v>
      </c>
      <c r="EH620" s="71"/>
      <c r="EI620" s="80"/>
      <c r="EJ620" s="71"/>
      <c r="EK620" s="79"/>
      <c r="EL620" s="87" t="str">
        <f t="shared" si="465"/>
        <v>No requiere</v>
      </c>
      <c r="EM620" s="87" t="str">
        <f t="shared" si="466"/>
        <v>No requiere</v>
      </c>
      <c r="EN620" s="87" t="str">
        <f t="shared" ref="EN620:EN623" si="570">IF(F620="NO","No requiere",IF(H620="No","No requiere",IF(CC620="","",IF(CD620&lt;&gt;"No aplica",IF(CD620&lt;&gt;"Ninguna",IF(COUNTIF(CD620:CF620,"*")&gt;=1,"Sí","No"),"No"),"No aplica"))))</f>
        <v>No requiere</v>
      </c>
      <c r="EO620" s="71"/>
      <c r="EP620" s="84" t="str">
        <f t="shared" si="467"/>
        <v>No requiere</v>
      </c>
      <c r="EQ620" s="88" t="str">
        <f t="shared" si="468"/>
        <v>No requiere</v>
      </c>
      <c r="ER620" s="71"/>
      <c r="ES620" s="79"/>
      <c r="ET620" s="84" t="str">
        <f t="shared" si="469"/>
        <v>No requiere</v>
      </c>
      <c r="EU620" s="84" t="str">
        <f t="shared" ref="EU620:EU623" si="571">IF(F620="NO","No requiere",IF(H620="No","No requiere",IF(B620="","",IF(CX620="SÍ",IF(CK620&gt;=1,CY620/CK620,"Sin compromisos"),"Por verificar"))))</f>
        <v>No requiere</v>
      </c>
      <c r="EV620" s="84" t="str">
        <f t="shared" si="470"/>
        <v>No requiere</v>
      </c>
      <c r="EW620" s="84" t="str">
        <f t="shared" si="502"/>
        <v>No requiere</v>
      </c>
      <c r="EX620" s="78"/>
      <c r="EY620" s="78"/>
    </row>
    <row r="621" spans="1:155" ht="46.5" customHeight="1">
      <c r="A621" s="79">
        <v>617</v>
      </c>
      <c r="B621" s="80" t="s">
        <v>4326</v>
      </c>
      <c r="C621" s="81">
        <v>45468</v>
      </c>
      <c r="D621" s="82">
        <v>0.4375</v>
      </c>
      <c r="E621" s="79" t="s">
        <v>151</v>
      </c>
      <c r="F621" s="79" t="s">
        <v>153</v>
      </c>
      <c r="G621" s="79" t="s">
        <v>153</v>
      </c>
      <c r="H621" s="79" t="s">
        <v>152</v>
      </c>
      <c r="I621" s="79" t="s">
        <v>152</v>
      </c>
      <c r="J621" s="79" t="s">
        <v>3999</v>
      </c>
      <c r="K621" s="79" t="s">
        <v>155</v>
      </c>
      <c r="L621" s="80" t="s">
        <v>4303</v>
      </c>
      <c r="M621" s="80" t="s">
        <v>241</v>
      </c>
      <c r="N621" s="79" t="s">
        <v>818</v>
      </c>
      <c r="O621" s="80" t="str">
        <f t="shared" si="520"/>
        <v/>
      </c>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t="s">
        <v>230</v>
      </c>
      <c r="AP621" s="79" t="s">
        <v>231</v>
      </c>
      <c r="AQ621" s="80" t="s">
        <v>171</v>
      </c>
      <c r="AR621" s="83" t="s">
        <v>171</v>
      </c>
      <c r="AS621" s="80" t="s">
        <v>171</v>
      </c>
      <c r="AT621" s="80" t="str">
        <f t="shared" si="545"/>
        <v>La Candelaria</v>
      </c>
      <c r="AU621" s="79" t="s">
        <v>753</v>
      </c>
      <c r="AV621" s="79"/>
      <c r="AW621" s="79"/>
      <c r="AX621" s="79"/>
      <c r="AY621" s="79"/>
      <c r="AZ621" s="79"/>
      <c r="BA621" s="80" t="str">
        <f t="shared" si="562"/>
        <v>Centro Ampliado</v>
      </c>
      <c r="BB621" s="79" t="s">
        <v>636</v>
      </c>
      <c r="BC621" s="79"/>
      <c r="BD621" s="79"/>
      <c r="BE621" s="79"/>
      <c r="BF621" s="79"/>
      <c r="BG621" s="79"/>
      <c r="BH621" s="80" t="str">
        <f t="shared" si="563"/>
        <v>Centro Histórico</v>
      </c>
      <c r="BI621" s="79" t="s">
        <v>754</v>
      </c>
      <c r="BJ621" s="79"/>
      <c r="BK621" s="79"/>
      <c r="BL621" s="79"/>
      <c r="BM621" s="79"/>
      <c r="BN621" s="79"/>
      <c r="BO621" s="79"/>
      <c r="BP621" s="79"/>
      <c r="BQ621" s="79"/>
      <c r="BR621" s="79"/>
      <c r="BS621" s="80" t="s">
        <v>4327</v>
      </c>
      <c r="BT621" s="80" t="s">
        <v>174</v>
      </c>
      <c r="BU621" s="80" t="s">
        <v>4328</v>
      </c>
      <c r="BV621" s="71"/>
      <c r="BW621" s="79" t="s">
        <v>152</v>
      </c>
      <c r="BX621" s="79" t="s">
        <v>179</v>
      </c>
      <c r="BY621" s="71"/>
      <c r="BZ621" s="79">
        <v>3</v>
      </c>
      <c r="CA621" s="79">
        <v>1</v>
      </c>
      <c r="CB621" s="79">
        <f t="shared" si="564"/>
        <v>4</v>
      </c>
      <c r="CC621" s="79" t="str">
        <f t="shared" si="382"/>
        <v>Horarios Acordes</v>
      </c>
      <c r="CD621" s="79" t="s">
        <v>351</v>
      </c>
      <c r="CE621" s="79"/>
      <c r="CF621" s="79"/>
      <c r="CG621" s="83" t="s">
        <v>4306</v>
      </c>
      <c r="CH621" s="41"/>
      <c r="CI621" s="79" t="s">
        <v>153</v>
      </c>
      <c r="CJ621" s="71"/>
      <c r="CK621" s="79">
        <f t="shared" si="565"/>
        <v>0</v>
      </c>
      <c r="CL621" s="79"/>
      <c r="CM621" s="79"/>
      <c r="CN621" s="79"/>
      <c r="CO621" s="79"/>
      <c r="CP621" s="79"/>
      <c r="CQ621" s="79"/>
      <c r="CR621" s="83" t="s">
        <v>179</v>
      </c>
      <c r="CS621" s="83" t="s">
        <v>179</v>
      </c>
      <c r="CT621" s="83" t="s">
        <v>179</v>
      </c>
      <c r="CU621" s="83" t="s">
        <v>179</v>
      </c>
      <c r="CV621" s="83" t="s">
        <v>179</v>
      </c>
      <c r="CW621" s="83" t="s">
        <v>179</v>
      </c>
      <c r="CX621" s="79" t="s">
        <v>153</v>
      </c>
      <c r="CY621" s="79">
        <f t="shared" si="566"/>
        <v>0</v>
      </c>
      <c r="CZ621" s="79">
        <v>0</v>
      </c>
      <c r="DA621" s="79">
        <f t="shared" si="567"/>
        <v>0</v>
      </c>
      <c r="DB621" s="84" t="str">
        <f t="shared" si="568"/>
        <v/>
      </c>
      <c r="DC621" s="41"/>
      <c r="DD621" s="79" t="s">
        <v>153</v>
      </c>
      <c r="DE621" s="71"/>
      <c r="DF621" s="127" t="s">
        <v>4329</v>
      </c>
      <c r="DG621" s="79">
        <v>610</v>
      </c>
      <c r="DH621" s="86" t="str">
        <f t="shared" si="537"/>
        <v>Completo</v>
      </c>
      <c r="DI621" s="79" t="s">
        <v>181</v>
      </c>
      <c r="DJ621" s="79" t="s">
        <v>182</v>
      </c>
      <c r="DK621" s="79"/>
      <c r="DL621" s="79">
        <v>0</v>
      </c>
      <c r="DM621" s="79">
        <v>0</v>
      </c>
      <c r="DN621" s="79" t="s">
        <v>182</v>
      </c>
      <c r="DO621" s="79"/>
      <c r="DP621" s="79"/>
      <c r="DQ621" s="79"/>
      <c r="DR621" s="75" t="str">
        <f t="shared" si="500"/>
        <v>No aplica</v>
      </c>
      <c r="DS621" s="79"/>
      <c r="DT621" s="79"/>
      <c r="DU621" s="75" t="str">
        <f t="shared" si="501"/>
        <v>No aplica</v>
      </c>
      <c r="DV621" s="79" t="s">
        <v>182</v>
      </c>
      <c r="DW621" s="79"/>
      <c r="DX621" s="79"/>
      <c r="DY621" s="79"/>
      <c r="DZ621" s="79"/>
      <c r="EA621" s="79"/>
      <c r="EB621" s="79"/>
      <c r="EC621" s="79"/>
      <c r="ED621" s="79" t="s">
        <v>1743</v>
      </c>
      <c r="EE621" s="79" t="str">
        <f t="shared" si="569"/>
        <v>Completo</v>
      </c>
      <c r="EF621" s="41"/>
      <c r="EG621" s="79" t="s">
        <v>153</v>
      </c>
      <c r="EH621" s="71"/>
      <c r="EI621" s="80"/>
      <c r="EJ621" s="71"/>
      <c r="EK621" s="79"/>
      <c r="EL621" s="87" t="str">
        <f t="shared" si="465"/>
        <v>No requiere</v>
      </c>
      <c r="EM621" s="87" t="str">
        <f t="shared" si="466"/>
        <v>No requiere</v>
      </c>
      <c r="EN621" s="87" t="str">
        <f t="shared" si="570"/>
        <v>No requiere</v>
      </c>
      <c r="EO621" s="71"/>
      <c r="EP621" s="84" t="str">
        <f t="shared" si="467"/>
        <v>No requiere</v>
      </c>
      <c r="EQ621" s="88" t="str">
        <f t="shared" si="468"/>
        <v>No requiere</v>
      </c>
      <c r="ER621" s="71"/>
      <c r="ES621" s="79"/>
      <c r="ET621" s="84" t="str">
        <f t="shared" si="469"/>
        <v>No requiere</v>
      </c>
      <c r="EU621" s="84" t="str">
        <f t="shared" si="571"/>
        <v>No requiere</v>
      </c>
      <c r="EV621" s="84" t="str">
        <f t="shared" si="470"/>
        <v>No requiere</v>
      </c>
      <c r="EW621" s="84" t="str">
        <f t="shared" si="502"/>
        <v>No requiere</v>
      </c>
      <c r="EX621" s="78"/>
      <c r="EY621" s="78"/>
    </row>
    <row r="622" spans="1:155" ht="46.5" customHeight="1">
      <c r="A622" s="79">
        <v>618</v>
      </c>
      <c r="B622" s="80" t="s">
        <v>4330</v>
      </c>
      <c r="C622" s="81">
        <v>45468</v>
      </c>
      <c r="D622" s="82">
        <v>0.45833333333333331</v>
      </c>
      <c r="E622" s="79" t="s">
        <v>200</v>
      </c>
      <c r="F622" s="79" t="s">
        <v>153</v>
      </c>
      <c r="G622" s="79" t="s">
        <v>152</v>
      </c>
      <c r="H622" s="79" t="s">
        <v>152</v>
      </c>
      <c r="I622" s="79" t="s">
        <v>152</v>
      </c>
      <c r="J622" s="79" t="s">
        <v>504</v>
      </c>
      <c r="K622" s="79" t="s">
        <v>155</v>
      </c>
      <c r="L622" s="80" t="s">
        <v>4331</v>
      </c>
      <c r="M622" s="80" t="s">
        <v>157</v>
      </c>
      <c r="N622" s="79" t="s">
        <v>749</v>
      </c>
      <c r="O622" s="80" t="str">
        <f t="shared" si="520"/>
        <v/>
      </c>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t="s">
        <v>169</v>
      </c>
      <c r="AP622" s="79" t="s">
        <v>2702</v>
      </c>
      <c r="AQ622" s="80" t="s">
        <v>4332</v>
      </c>
      <c r="AR622" s="83" t="s">
        <v>171</v>
      </c>
      <c r="AS622" s="80" t="s">
        <v>752</v>
      </c>
      <c r="AT622" s="80" t="str">
        <f t="shared" si="545"/>
        <v>Los Mártires</v>
      </c>
      <c r="AU622" s="79" t="s">
        <v>823</v>
      </c>
      <c r="AV622" s="79"/>
      <c r="AW622" s="79"/>
      <c r="AX622" s="79"/>
      <c r="AY622" s="79"/>
      <c r="AZ622" s="79"/>
      <c r="BA622" s="80" t="str">
        <f t="shared" si="562"/>
        <v>Centro Ampliado</v>
      </c>
      <c r="BB622" s="79" t="s">
        <v>636</v>
      </c>
      <c r="BC622" s="79"/>
      <c r="BD622" s="79"/>
      <c r="BE622" s="79"/>
      <c r="BF622" s="79"/>
      <c r="BG622" s="79"/>
      <c r="BH622" s="80" t="str">
        <f t="shared" si="563"/>
        <v>Centro Histórico</v>
      </c>
      <c r="BI622" s="79" t="s">
        <v>754</v>
      </c>
      <c r="BJ622" s="79"/>
      <c r="BK622" s="79"/>
      <c r="BL622" s="79"/>
      <c r="BM622" s="79"/>
      <c r="BN622" s="79"/>
      <c r="BO622" s="79"/>
      <c r="BP622" s="79"/>
      <c r="BQ622" s="79"/>
      <c r="BR622" s="79"/>
      <c r="BS622" s="80" t="s">
        <v>3492</v>
      </c>
      <c r="BT622" s="80" t="s">
        <v>174</v>
      </c>
      <c r="BU622" s="80" t="s">
        <v>4333</v>
      </c>
      <c r="BV622" s="71"/>
      <c r="BW622" s="79" t="s">
        <v>152</v>
      </c>
      <c r="BX622" s="79" t="s">
        <v>179</v>
      </c>
      <c r="BY622" s="71"/>
      <c r="BZ622" s="79">
        <v>13</v>
      </c>
      <c r="CA622" s="79">
        <v>1</v>
      </c>
      <c r="CB622" s="79">
        <f t="shared" si="564"/>
        <v>14</v>
      </c>
      <c r="CC622" s="79" t="str">
        <f t="shared" si="382"/>
        <v>Ninguna</v>
      </c>
      <c r="CD622" s="79" t="s">
        <v>174</v>
      </c>
      <c r="CE622" s="79"/>
      <c r="CF622" s="79"/>
      <c r="CG622" s="83" t="s">
        <v>4334</v>
      </c>
      <c r="CH622" s="41"/>
      <c r="CI622" s="79" t="s">
        <v>153</v>
      </c>
      <c r="CJ622" s="71"/>
      <c r="CK622" s="79">
        <f t="shared" si="565"/>
        <v>0</v>
      </c>
      <c r="CL622" s="79"/>
      <c r="CM622" s="79"/>
      <c r="CN622" s="79"/>
      <c r="CO622" s="79"/>
      <c r="CP622" s="79"/>
      <c r="CQ622" s="79"/>
      <c r="CR622" s="83" t="s">
        <v>179</v>
      </c>
      <c r="CS622" s="83" t="s">
        <v>179</v>
      </c>
      <c r="CT622" s="83" t="s">
        <v>179</v>
      </c>
      <c r="CU622" s="83" t="s">
        <v>179</v>
      </c>
      <c r="CV622" s="83" t="s">
        <v>179</v>
      </c>
      <c r="CW622" s="83" t="s">
        <v>179</v>
      </c>
      <c r="CX622" s="79" t="s">
        <v>153</v>
      </c>
      <c r="CY622" s="79">
        <f t="shared" si="566"/>
        <v>0</v>
      </c>
      <c r="CZ622" s="79">
        <v>0</v>
      </c>
      <c r="DA622" s="79">
        <f t="shared" si="567"/>
        <v>0</v>
      </c>
      <c r="DB622" s="84" t="str">
        <f t="shared" si="568"/>
        <v/>
      </c>
      <c r="DC622" s="41"/>
      <c r="DD622" s="79" t="s">
        <v>153</v>
      </c>
      <c r="DE622" s="71"/>
      <c r="DF622" s="127" t="s">
        <v>4335</v>
      </c>
      <c r="DG622" s="79">
        <v>611</v>
      </c>
      <c r="DH622" s="86" t="str">
        <f t="shared" si="537"/>
        <v>Completo</v>
      </c>
      <c r="DI622" s="79" t="s">
        <v>181</v>
      </c>
      <c r="DJ622" s="79" t="s">
        <v>182</v>
      </c>
      <c r="DK622" s="79"/>
      <c r="DL622" s="79">
        <v>0</v>
      </c>
      <c r="DM622" s="79">
        <v>0</v>
      </c>
      <c r="DN622" s="79" t="s">
        <v>182</v>
      </c>
      <c r="DO622" s="79"/>
      <c r="DP622" s="79"/>
      <c r="DQ622" s="79"/>
      <c r="DR622" s="75" t="str">
        <f t="shared" si="500"/>
        <v>No aplica</v>
      </c>
      <c r="DS622" s="79"/>
      <c r="DT622" s="79"/>
      <c r="DU622" s="75" t="str">
        <f t="shared" si="501"/>
        <v>No aplica</v>
      </c>
      <c r="DV622" s="79" t="s">
        <v>182</v>
      </c>
      <c r="DW622" s="79" t="s">
        <v>182</v>
      </c>
      <c r="DX622" s="79"/>
      <c r="DY622" s="79"/>
      <c r="DZ622" s="79"/>
      <c r="EA622" s="79"/>
      <c r="EB622" s="79" t="s">
        <v>182</v>
      </c>
      <c r="EC622" s="79" t="s">
        <v>4336</v>
      </c>
      <c r="ED622" s="79" t="s">
        <v>4337</v>
      </c>
      <c r="EE622" s="79" t="str">
        <f t="shared" si="569"/>
        <v>Completo</v>
      </c>
      <c r="EF622" s="41"/>
      <c r="EG622" s="79" t="s">
        <v>153</v>
      </c>
      <c r="EH622" s="71"/>
      <c r="EI622" s="80"/>
      <c r="EJ622" s="71"/>
      <c r="EK622" s="79"/>
      <c r="EL622" s="87" t="str">
        <f t="shared" si="465"/>
        <v>No requiere</v>
      </c>
      <c r="EM622" s="87" t="str">
        <f t="shared" si="466"/>
        <v>No requiere</v>
      </c>
      <c r="EN622" s="87" t="str">
        <f t="shared" si="570"/>
        <v>No requiere</v>
      </c>
      <c r="EO622" s="71"/>
      <c r="EP622" s="84" t="str">
        <f t="shared" si="467"/>
        <v>No requiere</v>
      </c>
      <c r="EQ622" s="88" t="str">
        <f t="shared" si="468"/>
        <v>No requiere</v>
      </c>
      <c r="ER622" s="71"/>
      <c r="ES622" s="79"/>
      <c r="ET622" s="84" t="str">
        <f t="shared" si="469"/>
        <v>No requiere</v>
      </c>
      <c r="EU622" s="84" t="str">
        <f t="shared" si="571"/>
        <v>No requiere</v>
      </c>
      <c r="EV622" s="84" t="str">
        <f t="shared" si="470"/>
        <v>No requiere</v>
      </c>
      <c r="EW622" s="84" t="str">
        <f t="shared" si="502"/>
        <v>No requiere</v>
      </c>
      <c r="EX622" s="78"/>
      <c r="EY622" s="78"/>
    </row>
    <row r="623" spans="1:155" ht="46.5" customHeight="1">
      <c r="A623" s="79">
        <v>619</v>
      </c>
      <c r="B623" s="80" t="s">
        <v>4338</v>
      </c>
      <c r="C623" s="81">
        <v>45468</v>
      </c>
      <c r="D623" s="82">
        <v>0.64583333333333337</v>
      </c>
      <c r="E623" s="79" t="s">
        <v>151</v>
      </c>
      <c r="F623" s="79" t="s">
        <v>153</v>
      </c>
      <c r="G623" s="79" t="s">
        <v>153</v>
      </c>
      <c r="H623" s="79" t="s">
        <v>152</v>
      </c>
      <c r="I623" s="79" t="s">
        <v>152</v>
      </c>
      <c r="J623" s="79" t="s">
        <v>3999</v>
      </c>
      <c r="K623" s="79" t="s">
        <v>155</v>
      </c>
      <c r="L623" s="80" t="s">
        <v>4339</v>
      </c>
      <c r="M623" s="80" t="s">
        <v>241</v>
      </c>
      <c r="N623" s="79" t="s">
        <v>820</v>
      </c>
      <c r="O623" s="80" t="str">
        <f t="shared" si="520"/>
        <v>Carlos Eduardo Escandón</v>
      </c>
      <c r="P623" s="79" t="s">
        <v>819</v>
      </c>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t="s">
        <v>230</v>
      </c>
      <c r="AP623" s="79" t="s">
        <v>231</v>
      </c>
      <c r="AQ623" s="80" t="s">
        <v>4340</v>
      </c>
      <c r="AR623" s="83" t="s">
        <v>4341</v>
      </c>
      <c r="AS623" s="80" t="s">
        <v>171</v>
      </c>
      <c r="AT623" s="80" t="str">
        <f t="shared" si="545"/>
        <v>Suba</v>
      </c>
      <c r="AU623" s="79" t="s">
        <v>602</v>
      </c>
      <c r="AV623" s="79"/>
      <c r="AW623" s="79"/>
      <c r="AX623" s="79"/>
      <c r="AY623" s="79"/>
      <c r="AZ623" s="79"/>
      <c r="BA623" s="80" t="str">
        <f t="shared" si="562"/>
        <v>Norte</v>
      </c>
      <c r="BB623" s="79" t="s">
        <v>662</v>
      </c>
      <c r="BC623" s="79"/>
      <c r="BD623" s="79"/>
      <c r="BE623" s="79"/>
      <c r="BF623" s="79"/>
      <c r="BG623" s="79"/>
      <c r="BH623" s="80" t="str">
        <f t="shared" si="563"/>
        <v>Suba, Suba Rincón, Tibabuyes, Niza, Britalia, Torca</v>
      </c>
      <c r="BI623" s="79" t="s">
        <v>602</v>
      </c>
      <c r="BJ623" s="79" t="s">
        <v>604</v>
      </c>
      <c r="BK623" s="79" t="s">
        <v>1378</v>
      </c>
      <c r="BL623" s="79" t="s">
        <v>865</v>
      </c>
      <c r="BM623" s="79" t="s">
        <v>1313</v>
      </c>
      <c r="BN623" s="79" t="s">
        <v>805</v>
      </c>
      <c r="BO623" s="79"/>
      <c r="BP623" s="79"/>
      <c r="BQ623" s="79"/>
      <c r="BR623" s="79"/>
      <c r="BS623" s="80" t="s">
        <v>288</v>
      </c>
      <c r="BT623" s="80" t="s">
        <v>174</v>
      </c>
      <c r="BU623" s="80" t="s">
        <v>4342</v>
      </c>
      <c r="BV623" s="71"/>
      <c r="BW623" s="79" t="s">
        <v>152</v>
      </c>
      <c r="BX623" s="79" t="s">
        <v>179</v>
      </c>
      <c r="BY623" s="71"/>
      <c r="BZ623" s="79">
        <v>1</v>
      </c>
      <c r="CA623" s="79">
        <v>2</v>
      </c>
      <c r="CB623" s="79">
        <f t="shared" si="564"/>
        <v>3</v>
      </c>
      <c r="CC623" s="79" t="str">
        <f t="shared" si="382"/>
        <v>Ninguna</v>
      </c>
      <c r="CD623" s="79" t="s">
        <v>174</v>
      </c>
      <c r="CE623" s="79"/>
      <c r="CF623" s="79"/>
      <c r="CG623" s="83" t="s">
        <v>4343</v>
      </c>
      <c r="CH623" s="41"/>
      <c r="CI623" s="79" t="s">
        <v>153</v>
      </c>
      <c r="CJ623" s="71"/>
      <c r="CK623" s="79">
        <f t="shared" si="565"/>
        <v>0</v>
      </c>
      <c r="CL623" s="79"/>
      <c r="CM623" s="79"/>
      <c r="CN623" s="79"/>
      <c r="CO623" s="79"/>
      <c r="CP623" s="79"/>
      <c r="CQ623" s="79"/>
      <c r="CR623" s="83" t="s">
        <v>179</v>
      </c>
      <c r="CS623" s="83" t="s">
        <v>179</v>
      </c>
      <c r="CT623" s="83" t="s">
        <v>179</v>
      </c>
      <c r="CU623" s="83" t="s">
        <v>179</v>
      </c>
      <c r="CV623" s="83" t="s">
        <v>179</v>
      </c>
      <c r="CW623" s="83" t="s">
        <v>179</v>
      </c>
      <c r="CX623" s="79" t="s">
        <v>153</v>
      </c>
      <c r="CY623" s="79">
        <f t="shared" si="566"/>
        <v>0</v>
      </c>
      <c r="CZ623" s="79">
        <v>0</v>
      </c>
      <c r="DA623" s="79">
        <f t="shared" si="567"/>
        <v>0</v>
      </c>
      <c r="DB623" s="84" t="str">
        <f t="shared" si="568"/>
        <v/>
      </c>
      <c r="DC623" s="41"/>
      <c r="DD623" s="79" t="s">
        <v>153</v>
      </c>
      <c r="DE623" s="71"/>
      <c r="DF623" s="127" t="s">
        <v>4344</v>
      </c>
      <c r="DG623" s="79">
        <v>612</v>
      </c>
      <c r="DH623" s="86" t="str">
        <f t="shared" si="537"/>
        <v>Completo</v>
      </c>
      <c r="DI623" s="79" t="s">
        <v>181</v>
      </c>
      <c r="DJ623" s="79" t="s">
        <v>182</v>
      </c>
      <c r="DK623" s="79"/>
      <c r="DL623" s="79">
        <v>0</v>
      </c>
      <c r="DM623" s="79">
        <v>0</v>
      </c>
      <c r="DN623" s="79" t="s">
        <v>182</v>
      </c>
      <c r="DO623" s="79"/>
      <c r="DP623" s="79"/>
      <c r="DQ623" s="79"/>
      <c r="DR623" s="75" t="str">
        <f t="shared" si="500"/>
        <v>No aplica</v>
      </c>
      <c r="DS623" s="79"/>
      <c r="DT623" s="79"/>
      <c r="DU623" s="75" t="str">
        <f t="shared" si="501"/>
        <v>No aplica</v>
      </c>
      <c r="DV623" s="79" t="s">
        <v>182</v>
      </c>
      <c r="DW623" s="79" t="s">
        <v>182</v>
      </c>
      <c r="DX623" s="79"/>
      <c r="DY623" s="79"/>
      <c r="DZ623" s="79"/>
      <c r="EA623" s="79"/>
      <c r="EB623" s="79"/>
      <c r="EC623" s="79"/>
      <c r="ED623" s="79" t="s">
        <v>4345</v>
      </c>
      <c r="EE623" s="79" t="str">
        <f t="shared" si="569"/>
        <v>Completo</v>
      </c>
      <c r="EF623" s="41"/>
      <c r="EG623" s="79" t="s">
        <v>153</v>
      </c>
      <c r="EH623" s="71"/>
      <c r="EI623" s="80"/>
      <c r="EJ623" s="71"/>
      <c r="EK623" s="79"/>
      <c r="EL623" s="87" t="str">
        <f t="shared" si="465"/>
        <v>No requiere</v>
      </c>
      <c r="EM623" s="87" t="str">
        <f t="shared" si="466"/>
        <v>No requiere</v>
      </c>
      <c r="EN623" s="87" t="str">
        <f t="shared" si="570"/>
        <v>No requiere</v>
      </c>
      <c r="EO623" s="71"/>
      <c r="EP623" s="84" t="str">
        <f t="shared" si="467"/>
        <v>No requiere</v>
      </c>
      <c r="EQ623" s="88" t="str">
        <f t="shared" si="468"/>
        <v>No requiere</v>
      </c>
      <c r="ER623" s="71"/>
      <c r="ES623" s="79"/>
      <c r="ET623" s="84" t="str">
        <f t="shared" si="469"/>
        <v>No requiere</v>
      </c>
      <c r="EU623" s="84" t="str">
        <f t="shared" si="571"/>
        <v>No requiere</v>
      </c>
      <c r="EV623" s="84" t="str">
        <f t="shared" si="470"/>
        <v>No requiere</v>
      </c>
      <c r="EW623" s="84" t="str">
        <f t="shared" si="502"/>
        <v>No requiere</v>
      </c>
      <c r="EX623" s="78"/>
      <c r="EY623" s="78"/>
    </row>
    <row r="624" spans="1:155" ht="46.5" customHeight="1">
      <c r="A624" s="79">
        <v>620</v>
      </c>
      <c r="B624" s="80" t="s">
        <v>4346</v>
      </c>
      <c r="C624" s="81">
        <v>45468</v>
      </c>
      <c r="D624" s="82">
        <v>0.6875</v>
      </c>
      <c r="E624" s="79" t="s">
        <v>151</v>
      </c>
      <c r="F624" s="79" t="s">
        <v>153</v>
      </c>
      <c r="G624" s="79" t="s">
        <v>153</v>
      </c>
      <c r="H624" s="79" t="s">
        <v>152</v>
      </c>
      <c r="I624" s="79" t="s">
        <v>152</v>
      </c>
      <c r="J624" s="79" t="s">
        <v>3999</v>
      </c>
      <c r="K624" s="79" t="s">
        <v>202</v>
      </c>
      <c r="L624" s="80" t="s">
        <v>4347</v>
      </c>
      <c r="M624" s="80" t="s">
        <v>241</v>
      </c>
      <c r="N624" s="79" t="s">
        <v>801</v>
      </c>
      <c r="O624" s="80" t="str">
        <f t="shared" si="520"/>
        <v xml:space="preserve">Nancy Stella Villa </v>
      </c>
      <c r="P624" s="79" t="s">
        <v>1611</v>
      </c>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t="s">
        <v>230</v>
      </c>
      <c r="AP624" s="79" t="s">
        <v>356</v>
      </c>
      <c r="AQ624" s="80" t="s">
        <v>4348</v>
      </c>
      <c r="AR624" s="83" t="s">
        <v>4349</v>
      </c>
      <c r="AS624" s="80" t="s">
        <v>4350</v>
      </c>
      <c r="AT624" s="80" t="str">
        <f t="shared" si="545"/>
        <v>Usaquén</v>
      </c>
      <c r="AU624" s="79" t="s">
        <v>661</v>
      </c>
      <c r="AV624" s="79"/>
      <c r="AW624" s="79"/>
      <c r="AX624" s="79"/>
      <c r="AY624" s="79"/>
      <c r="AZ624" s="79"/>
      <c r="BA624" s="80" t="str">
        <f t="shared" si="562"/>
        <v>Norte</v>
      </c>
      <c r="BB624" s="79" t="s">
        <v>662</v>
      </c>
      <c r="BC624" s="79"/>
      <c r="BD624" s="79"/>
      <c r="BE624" s="79"/>
      <c r="BF624" s="79"/>
      <c r="BG624" s="79"/>
      <c r="BH624" s="80" t="str">
        <f t="shared" si="563"/>
        <v>Usaquén, Toberín, Torca, Cerros Orientales</v>
      </c>
      <c r="BI624" s="79" t="s">
        <v>661</v>
      </c>
      <c r="BJ624" s="79" t="s">
        <v>804</v>
      </c>
      <c r="BK624" s="79" t="s">
        <v>805</v>
      </c>
      <c r="BL624" s="79" t="s">
        <v>361</v>
      </c>
      <c r="BM624" s="79"/>
      <c r="BN624" s="79"/>
      <c r="BO624" s="79"/>
      <c r="BP624" s="79"/>
      <c r="BQ624" s="79"/>
      <c r="BR624" s="79"/>
      <c r="BS624" s="80" t="s">
        <v>661</v>
      </c>
      <c r="BT624" s="80" t="s">
        <v>174</v>
      </c>
      <c r="BU624" s="128" t="s">
        <v>3931</v>
      </c>
      <c r="BV624" s="71"/>
      <c r="BW624" s="79" t="s">
        <v>152</v>
      </c>
      <c r="BX624" s="79" t="s">
        <v>179</v>
      </c>
      <c r="BY624" s="71"/>
      <c r="BZ624" s="79">
        <v>13</v>
      </c>
      <c r="CA624" s="79">
        <v>2</v>
      </c>
      <c r="CB624" s="79">
        <f t="shared" ref="CB624:CB630" si="572">BZ624+CA624</f>
        <v>15</v>
      </c>
      <c r="CC624" s="79" t="str">
        <f t="shared" si="382"/>
        <v>Ninguna</v>
      </c>
      <c r="CD624" s="79" t="s">
        <v>174</v>
      </c>
      <c r="CE624" s="79"/>
      <c r="CF624" s="79"/>
      <c r="CG624" s="83" t="s">
        <v>4351</v>
      </c>
      <c r="CH624" s="41"/>
      <c r="CI624" s="79" t="s">
        <v>153</v>
      </c>
      <c r="CJ624" s="71"/>
      <c r="CK624" s="79">
        <v>1</v>
      </c>
      <c r="CL624" s="79" t="s">
        <v>4352</v>
      </c>
      <c r="CM624" s="79"/>
      <c r="CN624" s="79"/>
      <c r="CO624" s="79"/>
      <c r="CP624" s="79"/>
      <c r="CQ624" s="79"/>
      <c r="CR624" s="83" t="s">
        <v>390</v>
      </c>
      <c r="CS624" s="83" t="s">
        <v>179</v>
      </c>
      <c r="CT624" s="83" t="s">
        <v>179</v>
      </c>
      <c r="CU624" s="83" t="s">
        <v>179</v>
      </c>
      <c r="CV624" s="83" t="s">
        <v>179</v>
      </c>
      <c r="CW624" s="83" t="s">
        <v>179</v>
      </c>
      <c r="CX624" s="79" t="s">
        <v>153</v>
      </c>
      <c r="CY624" s="79">
        <f t="shared" ref="CY624:CY630" si="573">SUM(COUNTIF(CR624:CW624,"Realizado y Devuelto a la Ciudadanía"),COUNTIF(CR624:CW624,"Realizado y Trasladado por competencia"), COUNTIF(CR624:CW624,"Realizado y Gestionado"))</f>
        <v>1</v>
      </c>
      <c r="CZ624" s="79">
        <v>1</v>
      </c>
      <c r="DA624" s="79">
        <f t="shared" ref="DA624:DA630" si="574">COUNTIF(CR624:CW624,"Realizado y Devuelto a la Ciudadanía")</f>
        <v>1</v>
      </c>
      <c r="DB624" s="84">
        <f t="shared" ref="DB624:DB630" si="575">IFERROR(CY624/CK624,"")</f>
        <v>1</v>
      </c>
      <c r="DC624" s="41"/>
      <c r="DD624" s="79" t="s">
        <v>153</v>
      </c>
      <c r="DE624" s="71"/>
      <c r="DF624" s="127" t="s">
        <v>4353</v>
      </c>
      <c r="DG624" s="79">
        <v>614</v>
      </c>
      <c r="DH624" s="86" t="str">
        <f t="shared" si="537"/>
        <v>Completo</v>
      </c>
      <c r="DI624" s="79" t="s">
        <v>181</v>
      </c>
      <c r="DJ624" s="79" t="s">
        <v>182</v>
      </c>
      <c r="DK624" s="79"/>
      <c r="DL624" s="79">
        <v>0</v>
      </c>
      <c r="DM624" s="79">
        <v>0</v>
      </c>
      <c r="DN624" s="79" t="s">
        <v>182</v>
      </c>
      <c r="DO624" s="79"/>
      <c r="DP624" s="79"/>
      <c r="DQ624" s="79"/>
      <c r="DR624" s="75" t="str">
        <f t="shared" ref="DR624:DR923" si="576">IF(H624="SÍ", (DQ624/(BZ624*0.3)), "No aplica")</f>
        <v>No aplica</v>
      </c>
      <c r="DS624" s="79"/>
      <c r="DT624" s="79"/>
      <c r="DU624" s="75" t="str">
        <f t="shared" ref="DU624:DU923" si="577">IF(H624="SÍ", (DT624/(BZ624*0.35)), "No aplica")</f>
        <v>No aplica</v>
      </c>
      <c r="DV624" s="79" t="s">
        <v>182</v>
      </c>
      <c r="DW624" s="79" t="s">
        <v>182</v>
      </c>
      <c r="DX624" s="79"/>
      <c r="DY624" s="79"/>
      <c r="DZ624" s="79"/>
      <c r="EA624" s="79"/>
      <c r="EB624" s="79" t="s">
        <v>182</v>
      </c>
      <c r="EC624" s="79" t="s">
        <v>4354</v>
      </c>
      <c r="ED624" s="79" t="s">
        <v>4009</v>
      </c>
      <c r="EE624" s="79" t="str">
        <f t="shared" ref="EE624:EE630" si="578">IF(DI624="Subsanado","Completo","Por Completar")</f>
        <v>Completo</v>
      </c>
      <c r="EF624" s="41"/>
      <c r="EG624" s="79" t="s">
        <v>153</v>
      </c>
      <c r="EH624" s="71"/>
      <c r="EI624" s="80"/>
      <c r="EJ624" s="71"/>
      <c r="EK624" s="79"/>
      <c r="EL624" s="87" t="str">
        <f t="shared" si="465"/>
        <v>No requiere</v>
      </c>
      <c r="EM624" s="87" t="str">
        <f t="shared" si="466"/>
        <v>No requiere</v>
      </c>
      <c r="EN624" s="87" t="str">
        <f t="shared" ref="EN624:EN630" si="579">IF(F624="NO","No requiere",IF(H624="No","No requiere",IF(CC624="","",IF(CD624&lt;&gt;"No aplica",IF(CD624&lt;&gt;"Ninguna",IF(COUNTIF(CD624:CF624,"*")&gt;=1,"Sí","No"),"No"),"No aplica"))))</f>
        <v>No requiere</v>
      </c>
      <c r="EO624" s="71"/>
      <c r="EP624" s="84" t="str">
        <f t="shared" si="467"/>
        <v>No requiere</v>
      </c>
      <c r="EQ624" s="88" t="str">
        <f t="shared" si="468"/>
        <v>No requiere</v>
      </c>
      <c r="ER624" s="71"/>
      <c r="ES624" s="79"/>
      <c r="ET624" s="84" t="str">
        <f t="shared" si="469"/>
        <v>No requiere</v>
      </c>
      <c r="EU624" s="84" t="str">
        <f t="shared" ref="EU624:EU630" si="580">IF(F624="NO","No requiere",IF(H624="No","No requiere",IF(B624="","",IF(CX624="SÍ",IF(CK624&gt;=1,CY624/CK624,"Sin compromisos"),"Por verificar"))))</f>
        <v>No requiere</v>
      </c>
      <c r="EV624" s="84" t="str">
        <f t="shared" si="470"/>
        <v>No requiere</v>
      </c>
      <c r="EW624" s="84" t="str">
        <f t="shared" ref="EW624:EW923" si="581">IF(F624="NO","No requiere",IF(H624="No","No requiere",IFERROR(IF(BZ624="","",IF(EA624&lt;&gt;"No aplica",IF(EA624&gt;=1,DO624/EA624,"0%"),"No aplica")),"")))</f>
        <v>No requiere</v>
      </c>
      <c r="EX624" s="78"/>
      <c r="EY624" s="78"/>
    </row>
    <row r="625" spans="1:155" ht="46.5" customHeight="1">
      <c r="A625" s="79">
        <v>621</v>
      </c>
      <c r="B625" s="80" t="s">
        <v>4355</v>
      </c>
      <c r="C625" s="81">
        <v>45468</v>
      </c>
      <c r="D625" s="82">
        <v>0.70833333333333337</v>
      </c>
      <c r="E625" s="79" t="s">
        <v>151</v>
      </c>
      <c r="F625" s="79" t="s">
        <v>153</v>
      </c>
      <c r="G625" s="79" t="s">
        <v>152</v>
      </c>
      <c r="H625" s="79" t="s">
        <v>152</v>
      </c>
      <c r="I625" s="79" t="s">
        <v>152</v>
      </c>
      <c r="J625" s="79" t="s">
        <v>211</v>
      </c>
      <c r="K625" s="79" t="s">
        <v>155</v>
      </c>
      <c r="L625" s="80" t="s">
        <v>4356</v>
      </c>
      <c r="M625" s="80" t="s">
        <v>624</v>
      </c>
      <c r="N625" s="79" t="s">
        <v>886</v>
      </c>
      <c r="O625" s="80" t="str">
        <f t="shared" si="520"/>
        <v>PENDIENTE</v>
      </c>
      <c r="P625" s="79" t="s">
        <v>196</v>
      </c>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t="s">
        <v>169</v>
      </c>
      <c r="AP625" s="79" t="s">
        <v>242</v>
      </c>
      <c r="AQ625" s="80" t="s">
        <v>625</v>
      </c>
      <c r="AR625" s="83" t="s">
        <v>3926</v>
      </c>
      <c r="AS625" s="80" t="s">
        <v>682</v>
      </c>
      <c r="AT625" s="80" t="str">
        <f t="shared" si="545"/>
        <v>Distrital</v>
      </c>
      <c r="AU625" s="79" t="s">
        <v>172</v>
      </c>
      <c r="AV625" s="79"/>
      <c r="AW625" s="79"/>
      <c r="AX625" s="79"/>
      <c r="AY625" s="79"/>
      <c r="AZ625" s="79"/>
      <c r="BA625" s="80" t="str">
        <f t="shared" si="562"/>
        <v>Distrital</v>
      </c>
      <c r="BB625" s="79" t="s">
        <v>172</v>
      </c>
      <c r="BC625" s="79"/>
      <c r="BD625" s="79"/>
      <c r="BE625" s="79"/>
      <c r="BF625" s="79"/>
      <c r="BG625" s="79"/>
      <c r="BH625" s="80" t="str">
        <f t="shared" si="563"/>
        <v>Distrital</v>
      </c>
      <c r="BI625" s="79" t="s">
        <v>172</v>
      </c>
      <c r="BJ625" s="79"/>
      <c r="BK625" s="79"/>
      <c r="BL625" s="79"/>
      <c r="BM625" s="79"/>
      <c r="BN625" s="79"/>
      <c r="BO625" s="79"/>
      <c r="BP625" s="79"/>
      <c r="BQ625" s="79"/>
      <c r="BR625" s="79"/>
      <c r="BS625" s="80" t="s">
        <v>288</v>
      </c>
      <c r="BT625" s="80" t="s">
        <v>174</v>
      </c>
      <c r="BU625" s="80" t="s">
        <v>4357</v>
      </c>
      <c r="BV625" s="71"/>
      <c r="BW625" s="79" t="s">
        <v>152</v>
      </c>
      <c r="BX625" s="79" t="s">
        <v>179</v>
      </c>
      <c r="BY625" s="71"/>
      <c r="BZ625" s="79">
        <v>6</v>
      </c>
      <c r="CA625" s="79">
        <v>3</v>
      </c>
      <c r="CB625" s="79">
        <f t="shared" si="572"/>
        <v>9</v>
      </c>
      <c r="CC625" s="79" t="str">
        <f t="shared" si="382"/>
        <v>Ninguna</v>
      </c>
      <c r="CD625" s="79" t="s">
        <v>174</v>
      </c>
      <c r="CE625" s="79"/>
      <c r="CF625" s="79"/>
      <c r="CG625" s="83" t="s">
        <v>4358</v>
      </c>
      <c r="CH625" s="41"/>
      <c r="CI625" s="79" t="s">
        <v>153</v>
      </c>
      <c r="CJ625" s="71"/>
      <c r="CK625" s="79">
        <f t="shared" ref="CK625:CK630" si="582">COUNTIF(CL625:CQ625,"*")</f>
        <v>0</v>
      </c>
      <c r="CL625" s="79"/>
      <c r="CM625" s="79"/>
      <c r="CN625" s="79"/>
      <c r="CO625" s="79"/>
      <c r="CP625" s="79"/>
      <c r="CQ625" s="79"/>
      <c r="CR625" s="83" t="s">
        <v>179</v>
      </c>
      <c r="CS625" s="83" t="s">
        <v>179</v>
      </c>
      <c r="CT625" s="83" t="s">
        <v>179</v>
      </c>
      <c r="CU625" s="83" t="s">
        <v>179</v>
      </c>
      <c r="CV625" s="83" t="s">
        <v>179</v>
      </c>
      <c r="CW625" s="83" t="s">
        <v>179</v>
      </c>
      <c r="CX625" s="79" t="s">
        <v>153</v>
      </c>
      <c r="CY625" s="79">
        <f t="shared" si="573"/>
        <v>0</v>
      </c>
      <c r="CZ625" s="79">
        <v>0</v>
      </c>
      <c r="DA625" s="79">
        <f t="shared" si="574"/>
        <v>0</v>
      </c>
      <c r="DB625" s="84" t="str">
        <f t="shared" si="575"/>
        <v/>
      </c>
      <c r="DC625" s="41"/>
      <c r="DD625" s="79" t="s">
        <v>153</v>
      </c>
      <c r="DE625" s="71"/>
      <c r="DF625" s="127" t="s">
        <v>4359</v>
      </c>
      <c r="DG625" s="79">
        <v>615</v>
      </c>
      <c r="DH625" s="86" t="str">
        <f t="shared" si="537"/>
        <v>Completo</v>
      </c>
      <c r="DI625" s="79" t="s">
        <v>181</v>
      </c>
      <c r="DJ625" s="79" t="s">
        <v>182</v>
      </c>
      <c r="DK625" s="79"/>
      <c r="DL625" s="79">
        <v>0</v>
      </c>
      <c r="DM625" s="79">
        <v>0</v>
      </c>
      <c r="DN625" s="79" t="s">
        <v>182</v>
      </c>
      <c r="DO625" s="79"/>
      <c r="DP625" s="79"/>
      <c r="DQ625" s="79"/>
      <c r="DR625" s="75" t="str">
        <f t="shared" si="576"/>
        <v>No aplica</v>
      </c>
      <c r="DS625" s="79"/>
      <c r="DT625" s="79"/>
      <c r="DU625" s="75" t="str">
        <f t="shared" si="577"/>
        <v>No aplica</v>
      </c>
      <c r="DV625" s="79" t="s">
        <v>182</v>
      </c>
      <c r="DW625" s="79" t="s">
        <v>182</v>
      </c>
      <c r="DX625" s="79"/>
      <c r="DY625" s="79"/>
      <c r="DZ625" s="79"/>
      <c r="EA625" s="79"/>
      <c r="EB625" s="79"/>
      <c r="EC625" s="79"/>
      <c r="ED625" s="79" t="s">
        <v>4360</v>
      </c>
      <c r="EE625" s="79" t="str">
        <f t="shared" si="578"/>
        <v>Completo</v>
      </c>
      <c r="EF625" s="41"/>
      <c r="EG625" s="79" t="s">
        <v>153</v>
      </c>
      <c r="EH625" s="71"/>
      <c r="EI625" s="80"/>
      <c r="EJ625" s="71"/>
      <c r="EK625" s="79"/>
      <c r="EL625" s="87" t="str">
        <f t="shared" si="465"/>
        <v>No requiere</v>
      </c>
      <c r="EM625" s="87" t="str">
        <f t="shared" si="466"/>
        <v>No requiere</v>
      </c>
      <c r="EN625" s="87" t="str">
        <f t="shared" si="579"/>
        <v>No requiere</v>
      </c>
      <c r="EO625" s="71"/>
      <c r="EP625" s="84" t="str">
        <f t="shared" si="467"/>
        <v>No requiere</v>
      </c>
      <c r="EQ625" s="88" t="str">
        <f t="shared" si="468"/>
        <v>No requiere</v>
      </c>
      <c r="ER625" s="71"/>
      <c r="ES625" s="79"/>
      <c r="ET625" s="84" t="str">
        <f t="shared" si="469"/>
        <v>No requiere</v>
      </c>
      <c r="EU625" s="84" t="str">
        <f t="shared" si="580"/>
        <v>No requiere</v>
      </c>
      <c r="EV625" s="84" t="str">
        <f t="shared" si="470"/>
        <v>No requiere</v>
      </c>
      <c r="EW625" s="84" t="str">
        <f t="shared" si="581"/>
        <v>No requiere</v>
      </c>
      <c r="EX625" s="78"/>
      <c r="EY625" s="78"/>
    </row>
    <row r="626" spans="1:155" ht="46.5" customHeight="1">
      <c r="A626" s="79">
        <v>622</v>
      </c>
      <c r="B626" s="80" t="s">
        <v>4361</v>
      </c>
      <c r="C626" s="81">
        <v>45468</v>
      </c>
      <c r="D626" s="82">
        <v>0.75</v>
      </c>
      <c r="E626" s="79" t="s">
        <v>151</v>
      </c>
      <c r="F626" s="79" t="s">
        <v>153</v>
      </c>
      <c r="G626" s="79" t="s">
        <v>153</v>
      </c>
      <c r="H626" s="79" t="s">
        <v>152</v>
      </c>
      <c r="I626" s="79" t="s">
        <v>152</v>
      </c>
      <c r="J626" s="79" t="s">
        <v>3999</v>
      </c>
      <c r="K626" s="79" t="s">
        <v>202</v>
      </c>
      <c r="L626" s="80" t="s">
        <v>4362</v>
      </c>
      <c r="M626" s="80" t="s">
        <v>241</v>
      </c>
      <c r="N626" s="79" t="s">
        <v>506</v>
      </c>
      <c r="O626" s="80" t="str">
        <f t="shared" si="520"/>
        <v/>
      </c>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t="s">
        <v>230</v>
      </c>
      <c r="AP626" s="79" t="s">
        <v>356</v>
      </c>
      <c r="AQ626" s="80" t="s">
        <v>4363</v>
      </c>
      <c r="AR626" s="83" t="s">
        <v>4364</v>
      </c>
      <c r="AS626" s="80" t="s">
        <v>171</v>
      </c>
      <c r="AT626" s="80" t="str">
        <f t="shared" si="545"/>
        <v>Sumapaz</v>
      </c>
      <c r="AU626" s="79" t="s">
        <v>510</v>
      </c>
      <c r="AV626" s="79"/>
      <c r="AW626" s="79"/>
      <c r="AX626" s="79"/>
      <c r="AY626" s="79"/>
      <c r="AZ626" s="79"/>
      <c r="BA626" s="80" t="str">
        <f t="shared" si="562"/>
        <v>Ruralidad</v>
      </c>
      <c r="BB626" s="79" t="s">
        <v>219</v>
      </c>
      <c r="BC626" s="79"/>
      <c r="BD626" s="79"/>
      <c r="BE626" s="79"/>
      <c r="BF626" s="79"/>
      <c r="BG626" s="79"/>
      <c r="BH626" s="80" t="str">
        <f t="shared" si="563"/>
        <v>Sumapaz</v>
      </c>
      <c r="BI626" s="79" t="s">
        <v>510</v>
      </c>
      <c r="BJ626" s="79"/>
      <c r="BK626" s="79"/>
      <c r="BL626" s="79"/>
      <c r="BM626" s="79"/>
      <c r="BN626" s="79"/>
      <c r="BO626" s="79"/>
      <c r="BP626" s="79"/>
      <c r="BQ626" s="79"/>
      <c r="BR626" s="79"/>
      <c r="BS626" s="80" t="s">
        <v>3652</v>
      </c>
      <c r="BT626" s="80" t="s">
        <v>174</v>
      </c>
      <c r="BU626" s="203" t="s">
        <v>196</v>
      </c>
      <c r="BV626" s="71"/>
      <c r="BW626" s="79" t="s">
        <v>152</v>
      </c>
      <c r="BX626" s="79" t="s">
        <v>179</v>
      </c>
      <c r="BY626" s="71"/>
      <c r="BZ626" s="79">
        <v>7</v>
      </c>
      <c r="CA626" s="79">
        <v>2</v>
      </c>
      <c r="CB626" s="79">
        <f t="shared" si="572"/>
        <v>9</v>
      </c>
      <c r="CC626" s="79" t="str">
        <f t="shared" si="382"/>
        <v>Horarios Acordes</v>
      </c>
      <c r="CD626" s="79" t="s">
        <v>351</v>
      </c>
      <c r="CE626" s="79"/>
      <c r="CF626" s="79"/>
      <c r="CG626" s="83" t="s">
        <v>4365</v>
      </c>
      <c r="CH626" s="41"/>
      <c r="CI626" s="79" t="s">
        <v>153</v>
      </c>
      <c r="CJ626" s="71"/>
      <c r="CK626" s="79">
        <f t="shared" si="582"/>
        <v>0</v>
      </c>
      <c r="CL626" s="79"/>
      <c r="CM626" s="79"/>
      <c r="CN626" s="79"/>
      <c r="CO626" s="79"/>
      <c r="CP626" s="79"/>
      <c r="CQ626" s="79"/>
      <c r="CR626" s="83" t="s">
        <v>179</v>
      </c>
      <c r="CS626" s="83" t="s">
        <v>179</v>
      </c>
      <c r="CT626" s="83" t="s">
        <v>179</v>
      </c>
      <c r="CU626" s="83" t="s">
        <v>179</v>
      </c>
      <c r="CV626" s="83" t="s">
        <v>179</v>
      </c>
      <c r="CW626" s="83" t="s">
        <v>179</v>
      </c>
      <c r="CX626" s="79" t="s">
        <v>153</v>
      </c>
      <c r="CY626" s="79">
        <f t="shared" si="573"/>
        <v>0</v>
      </c>
      <c r="CZ626" s="79">
        <v>0</v>
      </c>
      <c r="DA626" s="79">
        <f t="shared" si="574"/>
        <v>0</v>
      </c>
      <c r="DB626" s="84" t="str">
        <f t="shared" si="575"/>
        <v/>
      </c>
      <c r="DC626" s="41"/>
      <c r="DD626" s="79" t="s">
        <v>153</v>
      </c>
      <c r="DE626" s="71"/>
      <c r="DF626" s="127" t="s">
        <v>4366</v>
      </c>
      <c r="DG626" s="79">
        <v>616</v>
      </c>
      <c r="DH626" s="86" t="str">
        <f t="shared" si="537"/>
        <v>Completo</v>
      </c>
      <c r="DI626" s="79" t="s">
        <v>181</v>
      </c>
      <c r="DJ626" s="79" t="s">
        <v>182</v>
      </c>
      <c r="DK626" s="79"/>
      <c r="DL626" s="79">
        <v>0</v>
      </c>
      <c r="DM626" s="79">
        <v>0</v>
      </c>
      <c r="DN626" s="79" t="s">
        <v>182</v>
      </c>
      <c r="DO626" s="79"/>
      <c r="DP626" s="79"/>
      <c r="DQ626" s="79"/>
      <c r="DR626" s="75" t="str">
        <f t="shared" si="576"/>
        <v>No aplica</v>
      </c>
      <c r="DS626" s="79"/>
      <c r="DT626" s="79"/>
      <c r="DU626" s="75" t="str">
        <f t="shared" si="577"/>
        <v>No aplica</v>
      </c>
      <c r="DV626" s="79" t="s">
        <v>182</v>
      </c>
      <c r="DW626" s="79" t="s">
        <v>182</v>
      </c>
      <c r="DX626" s="79"/>
      <c r="DY626" s="79"/>
      <c r="DZ626" s="79"/>
      <c r="EA626" s="79"/>
      <c r="EB626" s="79" t="s">
        <v>182</v>
      </c>
      <c r="EC626" s="79" t="s">
        <v>4367</v>
      </c>
      <c r="ED626" s="79" t="s">
        <v>2915</v>
      </c>
      <c r="EE626" s="79" t="str">
        <f t="shared" si="578"/>
        <v>Completo</v>
      </c>
      <c r="EF626" s="41"/>
      <c r="EG626" s="79" t="s">
        <v>153</v>
      </c>
      <c r="EH626" s="71"/>
      <c r="EI626" s="80"/>
      <c r="EJ626" s="71"/>
      <c r="EK626" s="79"/>
      <c r="EL626" s="87" t="str">
        <f t="shared" si="465"/>
        <v>No requiere</v>
      </c>
      <c r="EM626" s="87" t="str">
        <f t="shared" si="466"/>
        <v>No requiere</v>
      </c>
      <c r="EN626" s="87" t="str">
        <f t="shared" si="579"/>
        <v>No requiere</v>
      </c>
      <c r="EO626" s="71"/>
      <c r="EP626" s="84" t="str">
        <f t="shared" si="467"/>
        <v>No requiere</v>
      </c>
      <c r="EQ626" s="88" t="str">
        <f t="shared" si="468"/>
        <v>No requiere</v>
      </c>
      <c r="ER626" s="71"/>
      <c r="ES626" s="79"/>
      <c r="ET626" s="84" t="str">
        <f t="shared" si="469"/>
        <v>No requiere</v>
      </c>
      <c r="EU626" s="84" t="str">
        <f t="shared" si="580"/>
        <v>No requiere</v>
      </c>
      <c r="EV626" s="84" t="str">
        <f t="shared" si="470"/>
        <v>No requiere</v>
      </c>
      <c r="EW626" s="84" t="str">
        <f t="shared" si="581"/>
        <v>No requiere</v>
      </c>
      <c r="EX626" s="78"/>
      <c r="EY626" s="78"/>
    </row>
    <row r="627" spans="1:155" ht="59.25" customHeight="1">
      <c r="A627" s="79">
        <v>623</v>
      </c>
      <c r="B627" s="80" t="s">
        <v>4368</v>
      </c>
      <c r="C627" s="81">
        <v>45468</v>
      </c>
      <c r="D627" s="82">
        <v>0.77083333333333337</v>
      </c>
      <c r="E627" s="79" t="s">
        <v>151</v>
      </c>
      <c r="F627" s="79" t="s">
        <v>153</v>
      </c>
      <c r="G627" s="79" t="s">
        <v>153</v>
      </c>
      <c r="H627" s="79" t="s">
        <v>152</v>
      </c>
      <c r="I627" s="79" t="s">
        <v>152</v>
      </c>
      <c r="J627" s="79" t="s">
        <v>3999</v>
      </c>
      <c r="K627" s="79" t="s">
        <v>155</v>
      </c>
      <c r="L627" s="80" t="s">
        <v>4369</v>
      </c>
      <c r="M627" s="80" t="s">
        <v>241</v>
      </c>
      <c r="N627" s="79" t="s">
        <v>2786</v>
      </c>
      <c r="O627" s="80" t="str">
        <f t="shared" si="520"/>
        <v>Erika Lizeth Rueda</v>
      </c>
      <c r="P627" s="79" t="s">
        <v>556</v>
      </c>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t="s">
        <v>304</v>
      </c>
      <c r="AP627" s="79"/>
      <c r="AQ627" s="80" t="s">
        <v>4370</v>
      </c>
      <c r="AR627" s="83" t="s">
        <v>4371</v>
      </c>
      <c r="AS627" s="80" t="s">
        <v>171</v>
      </c>
      <c r="AT627" s="80" t="str">
        <f t="shared" si="545"/>
        <v>Fontibón</v>
      </c>
      <c r="AU627" s="79" t="s">
        <v>646</v>
      </c>
      <c r="AV627" s="79"/>
      <c r="AW627" s="79"/>
      <c r="AX627" s="79"/>
      <c r="AY627" s="79"/>
      <c r="AZ627" s="79"/>
      <c r="BA627" s="80" t="str">
        <f t="shared" si="562"/>
        <v>Occidente</v>
      </c>
      <c r="BB627" s="79" t="s">
        <v>235</v>
      </c>
      <c r="BC627" s="79"/>
      <c r="BD627" s="79"/>
      <c r="BE627" s="79"/>
      <c r="BF627" s="79"/>
      <c r="BG627" s="79"/>
      <c r="BH627" s="80" t="str">
        <f t="shared" si="563"/>
        <v>Fontibón, Salitre</v>
      </c>
      <c r="BI627" s="79" t="s">
        <v>646</v>
      </c>
      <c r="BJ627" s="79"/>
      <c r="BK627" s="79" t="s">
        <v>415</v>
      </c>
      <c r="BL627" s="79"/>
      <c r="BM627" s="79"/>
      <c r="BN627" s="79"/>
      <c r="BO627" s="79"/>
      <c r="BP627" s="79"/>
      <c r="BQ627" s="79"/>
      <c r="BR627" s="79"/>
      <c r="BS627" s="80" t="s">
        <v>4372</v>
      </c>
      <c r="BT627" s="80" t="s">
        <v>174</v>
      </c>
      <c r="BU627" s="80" t="s">
        <v>4373</v>
      </c>
      <c r="BV627" s="71"/>
      <c r="BW627" s="79" t="s">
        <v>152</v>
      </c>
      <c r="BX627" s="79" t="s">
        <v>179</v>
      </c>
      <c r="BY627" s="71"/>
      <c r="BZ627" s="79">
        <v>11</v>
      </c>
      <c r="CA627" s="79">
        <v>2</v>
      </c>
      <c r="CB627" s="79">
        <f t="shared" si="572"/>
        <v>13</v>
      </c>
      <c r="CC627" s="79" t="str">
        <f t="shared" si="382"/>
        <v>Horarios Acordes</v>
      </c>
      <c r="CD627" s="79" t="s">
        <v>351</v>
      </c>
      <c r="CE627" s="79"/>
      <c r="CF627" s="79"/>
      <c r="CG627" s="83" t="s">
        <v>4374</v>
      </c>
      <c r="CH627" s="41"/>
      <c r="CI627" s="79" t="s">
        <v>153</v>
      </c>
      <c r="CJ627" s="71"/>
      <c r="CK627" s="79">
        <f t="shared" si="582"/>
        <v>0</v>
      </c>
      <c r="CL627" s="79"/>
      <c r="CM627" s="79"/>
      <c r="CN627" s="79"/>
      <c r="CO627" s="79"/>
      <c r="CP627" s="79"/>
      <c r="CQ627" s="79"/>
      <c r="CR627" s="83" t="s">
        <v>179</v>
      </c>
      <c r="CS627" s="83" t="s">
        <v>179</v>
      </c>
      <c r="CT627" s="83" t="s">
        <v>179</v>
      </c>
      <c r="CU627" s="83" t="s">
        <v>179</v>
      </c>
      <c r="CV627" s="83" t="s">
        <v>179</v>
      </c>
      <c r="CW627" s="83" t="s">
        <v>179</v>
      </c>
      <c r="CX627" s="79" t="s">
        <v>153</v>
      </c>
      <c r="CY627" s="79">
        <f t="shared" si="573"/>
        <v>0</v>
      </c>
      <c r="CZ627" s="79">
        <v>0</v>
      </c>
      <c r="DA627" s="79">
        <f t="shared" si="574"/>
        <v>0</v>
      </c>
      <c r="DB627" s="84" t="str">
        <f t="shared" si="575"/>
        <v/>
      </c>
      <c r="DC627" s="41"/>
      <c r="DD627" s="79" t="s">
        <v>153</v>
      </c>
      <c r="DE627" s="71"/>
      <c r="DF627" s="127" t="s">
        <v>4375</v>
      </c>
      <c r="DG627" s="79">
        <v>617</v>
      </c>
      <c r="DH627" s="86" t="str">
        <f t="shared" si="537"/>
        <v>Completo</v>
      </c>
      <c r="DI627" s="79" t="s">
        <v>181</v>
      </c>
      <c r="DJ627" s="79" t="s">
        <v>182</v>
      </c>
      <c r="DK627" s="79"/>
      <c r="DL627" s="79">
        <v>0</v>
      </c>
      <c r="DM627" s="79">
        <v>0</v>
      </c>
      <c r="DN627" s="79" t="s">
        <v>182</v>
      </c>
      <c r="DO627" s="79"/>
      <c r="DP627" s="79"/>
      <c r="DQ627" s="79"/>
      <c r="DR627" s="75" t="str">
        <f t="shared" si="576"/>
        <v>No aplica</v>
      </c>
      <c r="DS627" s="79"/>
      <c r="DT627" s="79"/>
      <c r="DU627" s="75" t="str">
        <f t="shared" si="577"/>
        <v>No aplica</v>
      </c>
      <c r="DV627" s="79" t="s">
        <v>182</v>
      </c>
      <c r="DW627" s="79" t="s">
        <v>191</v>
      </c>
      <c r="DX627" s="79"/>
      <c r="DY627" s="79"/>
      <c r="DZ627" s="79"/>
      <c r="EA627" s="79">
        <v>13</v>
      </c>
      <c r="EB627" s="79"/>
      <c r="EC627" s="79"/>
      <c r="ED627" s="79" t="s">
        <v>3728</v>
      </c>
      <c r="EE627" s="79" t="str">
        <f t="shared" si="578"/>
        <v>Completo</v>
      </c>
      <c r="EF627" s="41"/>
      <c r="EG627" s="79" t="s">
        <v>153</v>
      </c>
      <c r="EH627" s="71"/>
      <c r="EI627" s="80"/>
      <c r="EJ627" s="71"/>
      <c r="EK627" s="79"/>
      <c r="EL627" s="87" t="str">
        <f t="shared" si="465"/>
        <v>No requiere</v>
      </c>
      <c r="EM627" s="87" t="str">
        <f t="shared" si="466"/>
        <v>No requiere</v>
      </c>
      <c r="EN627" s="87" t="str">
        <f t="shared" si="579"/>
        <v>No requiere</v>
      </c>
      <c r="EO627" s="71"/>
      <c r="EP627" s="84" t="str">
        <f t="shared" si="467"/>
        <v>No requiere</v>
      </c>
      <c r="EQ627" s="88" t="str">
        <f t="shared" si="468"/>
        <v>No requiere</v>
      </c>
      <c r="ER627" s="71"/>
      <c r="ES627" s="79"/>
      <c r="ET627" s="84" t="str">
        <f t="shared" si="469"/>
        <v>No requiere</v>
      </c>
      <c r="EU627" s="84" t="str">
        <f t="shared" si="580"/>
        <v>No requiere</v>
      </c>
      <c r="EV627" s="84" t="str">
        <f t="shared" si="470"/>
        <v>No requiere</v>
      </c>
      <c r="EW627" s="84" t="str">
        <f t="shared" si="581"/>
        <v>No requiere</v>
      </c>
      <c r="EX627" s="78"/>
      <c r="EY627" s="78"/>
    </row>
    <row r="628" spans="1:155" ht="46.5" customHeight="1">
      <c r="A628" s="79">
        <v>624</v>
      </c>
      <c r="B628" s="80" t="s">
        <v>4376</v>
      </c>
      <c r="C628" s="81">
        <v>45469</v>
      </c>
      <c r="D628" s="82">
        <v>0.33333333333333331</v>
      </c>
      <c r="E628" s="79" t="s">
        <v>151</v>
      </c>
      <c r="F628" s="79" t="s">
        <v>153</v>
      </c>
      <c r="G628" s="79" t="s">
        <v>153</v>
      </c>
      <c r="H628" s="79" t="s">
        <v>152</v>
      </c>
      <c r="I628" s="79" t="s">
        <v>152</v>
      </c>
      <c r="J628" s="79" t="s">
        <v>3999</v>
      </c>
      <c r="K628" s="79" t="s">
        <v>155</v>
      </c>
      <c r="L628" s="80" t="s">
        <v>4377</v>
      </c>
      <c r="M628" s="80" t="s">
        <v>241</v>
      </c>
      <c r="N628" s="79" t="s">
        <v>749</v>
      </c>
      <c r="O628" s="80" t="str">
        <f t="shared" si="520"/>
        <v/>
      </c>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t="s">
        <v>230</v>
      </c>
      <c r="AP628" s="79" t="s">
        <v>231</v>
      </c>
      <c r="AQ628" s="80" t="s">
        <v>4378</v>
      </c>
      <c r="AR628" s="83" t="s">
        <v>4379</v>
      </c>
      <c r="AS628" s="80" t="s">
        <v>171</v>
      </c>
      <c r="AT628" s="80" t="str">
        <f t="shared" si="545"/>
        <v>Santa Fe</v>
      </c>
      <c r="AU628" s="79" t="s">
        <v>822</v>
      </c>
      <c r="AV628" s="79"/>
      <c r="AW628" s="79"/>
      <c r="AX628" s="79"/>
      <c r="AY628" s="79"/>
      <c r="AZ628" s="79"/>
      <c r="BA628" s="80" t="str">
        <f t="shared" si="562"/>
        <v>Centro Ampliado</v>
      </c>
      <c r="BB628" s="79" t="s">
        <v>636</v>
      </c>
      <c r="BC628" s="79"/>
      <c r="BD628" s="79"/>
      <c r="BE628" s="79"/>
      <c r="BF628" s="79"/>
      <c r="BG628" s="79"/>
      <c r="BH628" s="80" t="str">
        <f t="shared" si="563"/>
        <v>Centro Histórico, Cerros Orientales</v>
      </c>
      <c r="BI628" s="79" t="s">
        <v>754</v>
      </c>
      <c r="BJ628" s="79" t="s">
        <v>361</v>
      </c>
      <c r="BK628" s="79"/>
      <c r="BL628" s="79"/>
      <c r="BM628" s="79"/>
      <c r="BN628" s="79"/>
      <c r="BO628" s="79"/>
      <c r="BP628" s="79"/>
      <c r="BQ628" s="79"/>
      <c r="BR628" s="79"/>
      <c r="BS628" s="80" t="s">
        <v>4380</v>
      </c>
      <c r="BT628" s="80" t="s">
        <v>174</v>
      </c>
      <c r="BU628" s="80" t="s">
        <v>4381</v>
      </c>
      <c r="BV628" s="71"/>
      <c r="BW628" s="79" t="s">
        <v>152</v>
      </c>
      <c r="BX628" s="79" t="s">
        <v>179</v>
      </c>
      <c r="BY628" s="71"/>
      <c r="BZ628" s="79">
        <v>2</v>
      </c>
      <c r="CA628" s="79">
        <v>1</v>
      </c>
      <c r="CB628" s="79">
        <f t="shared" si="572"/>
        <v>3</v>
      </c>
      <c r="CC628" s="79" t="str">
        <f t="shared" si="382"/>
        <v>Ninguna</v>
      </c>
      <c r="CD628" s="79" t="s">
        <v>174</v>
      </c>
      <c r="CE628" s="79"/>
      <c r="CF628" s="79"/>
      <c r="CG628" s="83" t="s">
        <v>4382</v>
      </c>
      <c r="CH628" s="41"/>
      <c r="CI628" s="79" t="s">
        <v>153</v>
      </c>
      <c r="CJ628" s="71"/>
      <c r="CK628" s="79">
        <f t="shared" si="582"/>
        <v>0</v>
      </c>
      <c r="CL628" s="79"/>
      <c r="CM628" s="79"/>
      <c r="CN628" s="79"/>
      <c r="CO628" s="79"/>
      <c r="CP628" s="79"/>
      <c r="CQ628" s="79"/>
      <c r="CR628" s="83" t="s">
        <v>179</v>
      </c>
      <c r="CS628" s="83" t="s">
        <v>179</v>
      </c>
      <c r="CT628" s="83" t="s">
        <v>179</v>
      </c>
      <c r="CU628" s="83" t="s">
        <v>179</v>
      </c>
      <c r="CV628" s="83" t="s">
        <v>179</v>
      </c>
      <c r="CW628" s="83" t="s">
        <v>179</v>
      </c>
      <c r="CX628" s="79" t="s">
        <v>153</v>
      </c>
      <c r="CY628" s="79">
        <f t="shared" si="573"/>
        <v>0</v>
      </c>
      <c r="CZ628" s="79">
        <v>0</v>
      </c>
      <c r="DA628" s="79">
        <f t="shared" si="574"/>
        <v>0</v>
      </c>
      <c r="DB628" s="84" t="str">
        <f t="shared" si="575"/>
        <v/>
      </c>
      <c r="DC628" s="41"/>
      <c r="DD628" s="79" t="s">
        <v>153</v>
      </c>
      <c r="DE628" s="71"/>
      <c r="DF628" s="127" t="s">
        <v>4383</v>
      </c>
      <c r="DG628" s="79">
        <v>618</v>
      </c>
      <c r="DH628" s="86" t="str">
        <f t="shared" si="537"/>
        <v>Completo</v>
      </c>
      <c r="DI628" s="79" t="s">
        <v>181</v>
      </c>
      <c r="DJ628" s="79" t="s">
        <v>182</v>
      </c>
      <c r="DK628" s="79"/>
      <c r="DL628" s="79">
        <v>0</v>
      </c>
      <c r="DM628" s="79">
        <v>0</v>
      </c>
      <c r="DN628" s="79" t="s">
        <v>3407</v>
      </c>
      <c r="DO628" s="79"/>
      <c r="DP628" s="79"/>
      <c r="DQ628" s="79"/>
      <c r="DR628" s="75" t="str">
        <f t="shared" si="576"/>
        <v>No aplica</v>
      </c>
      <c r="DS628" s="79"/>
      <c r="DT628" s="79"/>
      <c r="DU628" s="75" t="str">
        <f t="shared" si="577"/>
        <v>No aplica</v>
      </c>
      <c r="DV628" s="79" t="s">
        <v>182</v>
      </c>
      <c r="DW628" s="79" t="s">
        <v>179</v>
      </c>
      <c r="DX628" s="79"/>
      <c r="DY628" s="79"/>
      <c r="DZ628" s="79"/>
      <c r="EA628" s="79">
        <v>2</v>
      </c>
      <c r="EB628" s="79" t="s">
        <v>182</v>
      </c>
      <c r="EC628" s="79" t="s">
        <v>4384</v>
      </c>
      <c r="ED628" s="79" t="s">
        <v>2915</v>
      </c>
      <c r="EE628" s="79" t="str">
        <f t="shared" si="578"/>
        <v>Completo</v>
      </c>
      <c r="EF628" s="41"/>
      <c r="EG628" s="79" t="s">
        <v>153</v>
      </c>
      <c r="EH628" s="71"/>
      <c r="EI628" s="80"/>
      <c r="EJ628" s="71"/>
      <c r="EK628" s="79"/>
      <c r="EL628" s="87" t="str">
        <f t="shared" si="465"/>
        <v>No requiere</v>
      </c>
      <c r="EM628" s="87" t="str">
        <f t="shared" si="466"/>
        <v>No requiere</v>
      </c>
      <c r="EN628" s="87" t="str">
        <f t="shared" si="579"/>
        <v>No requiere</v>
      </c>
      <c r="EO628" s="71"/>
      <c r="EP628" s="84" t="str">
        <f t="shared" si="467"/>
        <v>No requiere</v>
      </c>
      <c r="EQ628" s="88" t="str">
        <f t="shared" si="468"/>
        <v>No requiere</v>
      </c>
      <c r="ER628" s="71"/>
      <c r="ES628" s="79"/>
      <c r="ET628" s="84" t="str">
        <f t="shared" si="469"/>
        <v>No requiere</v>
      </c>
      <c r="EU628" s="84" t="str">
        <f t="shared" si="580"/>
        <v>No requiere</v>
      </c>
      <c r="EV628" s="84" t="str">
        <f t="shared" si="470"/>
        <v>No requiere</v>
      </c>
      <c r="EW628" s="84" t="str">
        <f t="shared" si="581"/>
        <v>No requiere</v>
      </c>
      <c r="EX628" s="78"/>
      <c r="EY628" s="78"/>
    </row>
    <row r="629" spans="1:155" ht="46.5" customHeight="1">
      <c r="A629" s="79">
        <v>625</v>
      </c>
      <c r="B629" s="80" t="s">
        <v>4385</v>
      </c>
      <c r="C629" s="81">
        <v>45469</v>
      </c>
      <c r="D629" s="82">
        <v>0.375</v>
      </c>
      <c r="E629" s="79" t="s">
        <v>151</v>
      </c>
      <c r="F629" s="79" t="s">
        <v>153</v>
      </c>
      <c r="G629" s="79" t="s">
        <v>152</v>
      </c>
      <c r="H629" s="79" t="s">
        <v>152</v>
      </c>
      <c r="I629" s="79" t="s">
        <v>152</v>
      </c>
      <c r="J629" s="79" t="s">
        <v>3999</v>
      </c>
      <c r="K629" s="79" t="s">
        <v>155</v>
      </c>
      <c r="L629" s="80" t="s">
        <v>4386</v>
      </c>
      <c r="M629" s="80" t="s">
        <v>241</v>
      </c>
      <c r="N629" s="79" t="s">
        <v>645</v>
      </c>
      <c r="O629" s="80" t="str">
        <f t="shared" si="520"/>
        <v/>
      </c>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t="s">
        <v>230</v>
      </c>
      <c r="AP629" s="79" t="s">
        <v>356</v>
      </c>
      <c r="AQ629" s="80" t="s">
        <v>4387</v>
      </c>
      <c r="AR629" s="83" t="s">
        <v>4388</v>
      </c>
      <c r="AS629" s="80" t="s">
        <v>171</v>
      </c>
      <c r="AT629" s="80" t="str">
        <f t="shared" si="545"/>
        <v>Usme</v>
      </c>
      <c r="AU629" s="79" t="s">
        <v>1009</v>
      </c>
      <c r="AV629" s="79"/>
      <c r="AW629" s="79"/>
      <c r="AX629" s="79"/>
      <c r="AY629" s="79"/>
      <c r="AZ629" s="79"/>
      <c r="BA629" s="80" t="str">
        <f t="shared" si="562"/>
        <v>Suroriente</v>
      </c>
      <c r="BB629" s="79" t="s">
        <v>218</v>
      </c>
      <c r="BC629" s="79"/>
      <c r="BD629" s="79"/>
      <c r="BE629" s="79"/>
      <c r="BF629" s="79"/>
      <c r="BG629" s="79"/>
      <c r="BH629" s="80" t="str">
        <f t="shared" si="563"/>
        <v>Usme Entrenubes, Rafael Uribe, Cuenca del Tunjuelo, Cerros Orientales</v>
      </c>
      <c r="BI629" s="79" t="s">
        <v>1010</v>
      </c>
      <c r="BJ629" s="79" t="s">
        <v>723</v>
      </c>
      <c r="BK629" s="79" t="s">
        <v>222</v>
      </c>
      <c r="BL629" s="79" t="s">
        <v>361</v>
      </c>
      <c r="BM629" s="79"/>
      <c r="BN629" s="79"/>
      <c r="BO629" s="79"/>
      <c r="BP629" s="79"/>
      <c r="BQ629" s="79"/>
      <c r="BR629" s="79"/>
      <c r="BS629" s="80" t="s">
        <v>4389</v>
      </c>
      <c r="BT629" s="80" t="s">
        <v>174</v>
      </c>
      <c r="BU629" s="80" t="s">
        <v>4390</v>
      </c>
      <c r="BV629" s="71"/>
      <c r="BW629" s="79" t="s">
        <v>152</v>
      </c>
      <c r="BX629" s="79" t="s">
        <v>179</v>
      </c>
      <c r="BY629" s="71"/>
      <c r="BZ629" s="79">
        <v>9</v>
      </c>
      <c r="CA629" s="79">
        <v>1</v>
      </c>
      <c r="CB629" s="79">
        <f t="shared" si="572"/>
        <v>10</v>
      </c>
      <c r="CC629" s="79" t="str">
        <f t="shared" si="382"/>
        <v>Ninguna</v>
      </c>
      <c r="CD629" s="79" t="s">
        <v>174</v>
      </c>
      <c r="CE629" s="79"/>
      <c r="CF629" s="79"/>
      <c r="CG629" s="83" t="s">
        <v>4391</v>
      </c>
      <c r="CH629" s="41"/>
      <c r="CI629" s="79" t="s">
        <v>153</v>
      </c>
      <c r="CJ629" s="71"/>
      <c r="CK629" s="79">
        <f t="shared" si="582"/>
        <v>0</v>
      </c>
      <c r="CL629" s="79"/>
      <c r="CM629" s="79"/>
      <c r="CN629" s="79"/>
      <c r="CO629" s="79"/>
      <c r="CP629" s="79"/>
      <c r="CQ629" s="79"/>
      <c r="CR629" s="83" t="s">
        <v>179</v>
      </c>
      <c r="CS629" s="83" t="s">
        <v>179</v>
      </c>
      <c r="CT629" s="83" t="s">
        <v>179</v>
      </c>
      <c r="CU629" s="83" t="s">
        <v>179</v>
      </c>
      <c r="CV629" s="83" t="s">
        <v>179</v>
      </c>
      <c r="CW629" s="83" t="s">
        <v>179</v>
      </c>
      <c r="CX629" s="79" t="s">
        <v>153</v>
      </c>
      <c r="CY629" s="79">
        <f t="shared" si="573"/>
        <v>0</v>
      </c>
      <c r="CZ629" s="79">
        <v>0</v>
      </c>
      <c r="DA629" s="79">
        <f t="shared" si="574"/>
        <v>0</v>
      </c>
      <c r="DB629" s="84" t="str">
        <f t="shared" si="575"/>
        <v/>
      </c>
      <c r="DC629" s="41"/>
      <c r="DD629" s="79" t="s">
        <v>153</v>
      </c>
      <c r="DE629" s="71"/>
      <c r="DF629" s="127" t="s">
        <v>4392</v>
      </c>
      <c r="DG629" s="79">
        <v>619</v>
      </c>
      <c r="DH629" s="86" t="str">
        <f t="shared" si="537"/>
        <v>Completo</v>
      </c>
      <c r="DI629" s="79" t="s">
        <v>181</v>
      </c>
      <c r="DJ629" s="79" t="s">
        <v>182</v>
      </c>
      <c r="DK629" s="79"/>
      <c r="DL629" s="79">
        <v>0</v>
      </c>
      <c r="DM629" s="79">
        <v>0</v>
      </c>
      <c r="DN629" s="79" t="s">
        <v>182</v>
      </c>
      <c r="DO629" s="79"/>
      <c r="DP629" s="79"/>
      <c r="DQ629" s="79"/>
      <c r="DR629" s="75" t="str">
        <f t="shared" si="576"/>
        <v>No aplica</v>
      </c>
      <c r="DS629" s="79"/>
      <c r="DT629" s="79"/>
      <c r="DU629" s="75" t="str">
        <f t="shared" si="577"/>
        <v>No aplica</v>
      </c>
      <c r="DV629" s="79" t="s">
        <v>182</v>
      </c>
      <c r="DW629" s="79" t="s">
        <v>182</v>
      </c>
      <c r="DX629" s="79"/>
      <c r="DY629" s="79"/>
      <c r="DZ629" s="79"/>
      <c r="EA629" s="79"/>
      <c r="EB629" s="79"/>
      <c r="EC629" s="79"/>
      <c r="ED629" s="79" t="s">
        <v>1743</v>
      </c>
      <c r="EE629" s="79" t="str">
        <f t="shared" si="578"/>
        <v>Completo</v>
      </c>
      <c r="EF629" s="41"/>
      <c r="EG629" s="79" t="s">
        <v>153</v>
      </c>
      <c r="EH629" s="71"/>
      <c r="EI629" s="80"/>
      <c r="EJ629" s="71"/>
      <c r="EK629" s="79"/>
      <c r="EL629" s="87" t="str">
        <f t="shared" si="465"/>
        <v>No requiere</v>
      </c>
      <c r="EM629" s="87" t="str">
        <f t="shared" si="466"/>
        <v>No requiere</v>
      </c>
      <c r="EN629" s="87" t="str">
        <f t="shared" si="579"/>
        <v>No requiere</v>
      </c>
      <c r="EO629" s="71"/>
      <c r="EP629" s="84" t="str">
        <f t="shared" si="467"/>
        <v>No requiere</v>
      </c>
      <c r="EQ629" s="88" t="str">
        <f t="shared" si="468"/>
        <v>No requiere</v>
      </c>
      <c r="ER629" s="71"/>
      <c r="ES629" s="79"/>
      <c r="ET629" s="84" t="str">
        <f t="shared" si="469"/>
        <v>No requiere</v>
      </c>
      <c r="EU629" s="84" t="str">
        <f t="shared" si="580"/>
        <v>No requiere</v>
      </c>
      <c r="EV629" s="84" t="str">
        <f t="shared" si="470"/>
        <v>No requiere</v>
      </c>
      <c r="EW629" s="84" t="str">
        <f t="shared" si="581"/>
        <v>No requiere</v>
      </c>
      <c r="EX629" s="78"/>
      <c r="EY629" s="78"/>
    </row>
    <row r="630" spans="1:155" ht="46.5" customHeight="1">
      <c r="A630" s="79">
        <v>626</v>
      </c>
      <c r="B630" s="80" t="s">
        <v>4393</v>
      </c>
      <c r="C630" s="81">
        <v>45469</v>
      </c>
      <c r="D630" s="82">
        <v>0.375</v>
      </c>
      <c r="E630" s="79" t="s">
        <v>200</v>
      </c>
      <c r="F630" s="79" t="s">
        <v>153</v>
      </c>
      <c r="G630" s="79" t="s">
        <v>152</v>
      </c>
      <c r="H630" s="79" t="s">
        <v>152</v>
      </c>
      <c r="I630" s="79" t="s">
        <v>152</v>
      </c>
      <c r="J630" s="79" t="s">
        <v>504</v>
      </c>
      <c r="K630" s="79" t="s">
        <v>202</v>
      </c>
      <c r="L630" s="80" t="s">
        <v>505</v>
      </c>
      <c r="M630" s="80" t="s">
        <v>157</v>
      </c>
      <c r="N630" s="79" t="s">
        <v>506</v>
      </c>
      <c r="O630" s="80" t="str">
        <f t="shared" si="520"/>
        <v/>
      </c>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t="s">
        <v>169</v>
      </c>
      <c r="AP630" s="79" t="s">
        <v>2702</v>
      </c>
      <c r="AQ630" s="80" t="s">
        <v>4394</v>
      </c>
      <c r="AR630" s="83" t="s">
        <v>4395</v>
      </c>
      <c r="AS630" s="80" t="s">
        <v>3692</v>
      </c>
      <c r="AT630" s="80" t="str">
        <f t="shared" si="545"/>
        <v>Sumapaz</v>
      </c>
      <c r="AU630" s="79" t="s">
        <v>510</v>
      </c>
      <c r="AV630" s="79"/>
      <c r="AW630" s="79"/>
      <c r="AX630" s="79"/>
      <c r="AY630" s="79"/>
      <c r="AZ630" s="79"/>
      <c r="BA630" s="80" t="str">
        <f t="shared" si="562"/>
        <v>Ruralidad</v>
      </c>
      <c r="BB630" s="79" t="s">
        <v>219</v>
      </c>
      <c r="BC630" s="79"/>
      <c r="BD630" s="79"/>
      <c r="BE630" s="79"/>
      <c r="BF630" s="79"/>
      <c r="BG630" s="79"/>
      <c r="BH630" s="80" t="str">
        <f t="shared" si="563"/>
        <v>Sumapaz</v>
      </c>
      <c r="BI630" s="79" t="s">
        <v>510</v>
      </c>
      <c r="BJ630" s="79"/>
      <c r="BK630" s="79"/>
      <c r="BL630" s="79"/>
      <c r="BM630" s="79"/>
      <c r="BN630" s="79"/>
      <c r="BO630" s="79"/>
      <c r="BP630" s="79"/>
      <c r="BQ630" s="79"/>
      <c r="BR630" s="79"/>
      <c r="BS630" s="80" t="s">
        <v>3652</v>
      </c>
      <c r="BT630" s="80" t="s">
        <v>174</v>
      </c>
      <c r="BU630" s="203" t="s">
        <v>196</v>
      </c>
      <c r="BV630" s="71"/>
      <c r="BW630" s="79" t="s">
        <v>152</v>
      </c>
      <c r="BX630" s="79" t="s">
        <v>179</v>
      </c>
      <c r="BY630" s="71"/>
      <c r="BZ630" s="79">
        <v>16</v>
      </c>
      <c r="CA630" s="79">
        <v>1</v>
      </c>
      <c r="CB630" s="79">
        <f t="shared" si="572"/>
        <v>17</v>
      </c>
      <c r="CC630" s="79" t="str">
        <f t="shared" si="382"/>
        <v>Horarios Acordes</v>
      </c>
      <c r="CD630" s="79" t="s">
        <v>351</v>
      </c>
      <c r="CE630" s="79"/>
      <c r="CF630" s="79"/>
      <c r="CG630" s="83" t="s">
        <v>4396</v>
      </c>
      <c r="CH630" s="41"/>
      <c r="CI630" s="79" t="s">
        <v>153</v>
      </c>
      <c r="CJ630" s="71"/>
      <c r="CK630" s="79">
        <f t="shared" si="582"/>
        <v>0</v>
      </c>
      <c r="CL630" s="79"/>
      <c r="CM630" s="79"/>
      <c r="CN630" s="79"/>
      <c r="CO630" s="79"/>
      <c r="CP630" s="79"/>
      <c r="CQ630" s="79"/>
      <c r="CR630" s="83" t="s">
        <v>179</v>
      </c>
      <c r="CS630" s="83" t="s">
        <v>179</v>
      </c>
      <c r="CT630" s="83" t="s">
        <v>179</v>
      </c>
      <c r="CU630" s="83" t="s">
        <v>179</v>
      </c>
      <c r="CV630" s="83" t="s">
        <v>179</v>
      </c>
      <c r="CW630" s="83" t="s">
        <v>179</v>
      </c>
      <c r="CX630" s="79" t="s">
        <v>153</v>
      </c>
      <c r="CY630" s="79">
        <f t="shared" si="573"/>
        <v>0</v>
      </c>
      <c r="CZ630" s="79">
        <v>0</v>
      </c>
      <c r="DA630" s="79">
        <f t="shared" si="574"/>
        <v>0</v>
      </c>
      <c r="DB630" s="84" t="str">
        <f t="shared" si="575"/>
        <v/>
      </c>
      <c r="DC630" s="41"/>
      <c r="DD630" s="79" t="s">
        <v>153</v>
      </c>
      <c r="DE630" s="71"/>
      <c r="DF630" s="127" t="s">
        <v>4397</v>
      </c>
      <c r="DG630" s="79">
        <v>620</v>
      </c>
      <c r="DH630" s="86" t="str">
        <f t="shared" si="537"/>
        <v>Completo</v>
      </c>
      <c r="DI630" s="79" t="s">
        <v>181</v>
      </c>
      <c r="DJ630" s="79" t="s">
        <v>182</v>
      </c>
      <c r="DK630" s="79"/>
      <c r="DL630" s="79">
        <v>0</v>
      </c>
      <c r="DM630" s="79">
        <v>0</v>
      </c>
      <c r="DN630" s="79" t="s">
        <v>182</v>
      </c>
      <c r="DO630" s="79"/>
      <c r="DP630" s="79"/>
      <c r="DQ630" s="79"/>
      <c r="DR630" s="75" t="str">
        <f t="shared" si="576"/>
        <v>No aplica</v>
      </c>
      <c r="DS630" s="79"/>
      <c r="DT630" s="79"/>
      <c r="DU630" s="75" t="str">
        <f t="shared" si="577"/>
        <v>No aplica</v>
      </c>
      <c r="DV630" s="79" t="s">
        <v>182</v>
      </c>
      <c r="DW630" s="79" t="s">
        <v>182</v>
      </c>
      <c r="DX630" s="79"/>
      <c r="DY630" s="79"/>
      <c r="DZ630" s="79"/>
      <c r="EA630" s="79"/>
      <c r="EB630" s="79"/>
      <c r="EC630" s="79"/>
      <c r="ED630" s="79" t="s">
        <v>3732</v>
      </c>
      <c r="EE630" s="79" t="str">
        <f t="shared" si="578"/>
        <v>Completo</v>
      </c>
      <c r="EF630" s="41"/>
      <c r="EG630" s="79" t="s">
        <v>153</v>
      </c>
      <c r="EH630" s="71"/>
      <c r="EI630" s="80"/>
      <c r="EJ630" s="71"/>
      <c r="EK630" s="79"/>
      <c r="EL630" s="87" t="str">
        <f t="shared" si="465"/>
        <v>No requiere</v>
      </c>
      <c r="EM630" s="87" t="str">
        <f t="shared" si="466"/>
        <v>No requiere</v>
      </c>
      <c r="EN630" s="87" t="str">
        <f t="shared" si="579"/>
        <v>No requiere</v>
      </c>
      <c r="EO630" s="71"/>
      <c r="EP630" s="84" t="str">
        <f t="shared" si="467"/>
        <v>No requiere</v>
      </c>
      <c r="EQ630" s="88" t="str">
        <f t="shared" si="468"/>
        <v>No requiere</v>
      </c>
      <c r="ER630" s="71"/>
      <c r="ES630" s="79"/>
      <c r="ET630" s="84" t="str">
        <f t="shared" si="469"/>
        <v>No requiere</v>
      </c>
      <c r="EU630" s="84" t="str">
        <f t="shared" si="580"/>
        <v>No requiere</v>
      </c>
      <c r="EV630" s="84" t="str">
        <f t="shared" si="470"/>
        <v>No requiere</v>
      </c>
      <c r="EW630" s="84" t="str">
        <f t="shared" si="581"/>
        <v>No requiere</v>
      </c>
      <c r="EX630" s="78"/>
      <c r="EY630" s="78"/>
    </row>
    <row r="631" spans="1:155" ht="46.5" customHeight="1">
      <c r="A631" s="79">
        <v>627</v>
      </c>
      <c r="B631" s="80" t="s">
        <v>4398</v>
      </c>
      <c r="C631" s="81">
        <v>45469</v>
      </c>
      <c r="D631" s="82">
        <v>0.41666666666666669</v>
      </c>
      <c r="E631" s="79" t="s">
        <v>200</v>
      </c>
      <c r="F631" s="79" t="s">
        <v>153</v>
      </c>
      <c r="G631" s="79" t="s">
        <v>152</v>
      </c>
      <c r="H631" s="79" t="s">
        <v>152</v>
      </c>
      <c r="I631" s="79" t="s">
        <v>152</v>
      </c>
      <c r="J631" s="79" t="s">
        <v>320</v>
      </c>
      <c r="K631" s="79" t="s">
        <v>155</v>
      </c>
      <c r="L631" s="80" t="s">
        <v>4399</v>
      </c>
      <c r="M631" s="80" t="s">
        <v>157</v>
      </c>
      <c r="N631" s="79" t="s">
        <v>422</v>
      </c>
      <c r="O631" s="80" t="str">
        <f t="shared" si="520"/>
        <v/>
      </c>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t="s">
        <v>169</v>
      </c>
      <c r="AP631" s="79" t="s">
        <v>170</v>
      </c>
      <c r="AQ631" s="80" t="s">
        <v>4400</v>
      </c>
      <c r="AR631" s="83">
        <v>2417900</v>
      </c>
      <c r="AS631" s="80" t="s">
        <v>4401</v>
      </c>
      <c r="AT631" s="80" t="str">
        <f t="shared" si="545"/>
        <v>Distrital</v>
      </c>
      <c r="AU631" s="79" t="s">
        <v>172</v>
      </c>
      <c r="AV631" s="79"/>
      <c r="AW631" s="79"/>
      <c r="AX631" s="79"/>
      <c r="AY631" s="79"/>
      <c r="AZ631" s="79"/>
      <c r="BA631" s="80" t="str">
        <f t="shared" si="562"/>
        <v>Distrital</v>
      </c>
      <c r="BB631" s="79" t="s">
        <v>172</v>
      </c>
      <c r="BC631" s="79"/>
      <c r="BD631" s="79"/>
      <c r="BE631" s="79"/>
      <c r="BF631" s="79"/>
      <c r="BG631" s="79"/>
      <c r="BH631" s="80" t="str">
        <f t="shared" si="563"/>
        <v>Distrital</v>
      </c>
      <c r="BI631" s="79" t="s">
        <v>172</v>
      </c>
      <c r="BJ631" s="79"/>
      <c r="BK631" s="79"/>
      <c r="BL631" s="79"/>
      <c r="BM631" s="79"/>
      <c r="BN631" s="79"/>
      <c r="BO631" s="79"/>
      <c r="BP631" s="79"/>
      <c r="BQ631" s="79"/>
      <c r="BR631" s="79"/>
      <c r="BS631" s="80" t="s">
        <v>288</v>
      </c>
      <c r="BT631" s="80" t="s">
        <v>174</v>
      </c>
      <c r="BU631" s="80" t="s">
        <v>4402</v>
      </c>
      <c r="BV631" s="71"/>
      <c r="BW631" s="79" t="s">
        <v>152</v>
      </c>
      <c r="BX631" s="79" t="s">
        <v>179</v>
      </c>
      <c r="BY631" s="71"/>
      <c r="BZ631" s="79">
        <v>27</v>
      </c>
      <c r="CA631" s="79">
        <v>1</v>
      </c>
      <c r="CB631" s="79">
        <f>BZ631+CA631</f>
        <v>28</v>
      </c>
      <c r="CC631" s="79" t="str">
        <f>_xlfn.TEXTJOIN(", ",TRUE,$CD631:$CF631)</f>
        <v>Ninguna</v>
      </c>
      <c r="CD631" s="79" t="s">
        <v>174</v>
      </c>
      <c r="CE631" s="79"/>
      <c r="CF631" s="79"/>
      <c r="CG631" s="83" t="s">
        <v>4403</v>
      </c>
      <c r="CH631" s="41"/>
      <c r="CI631" s="79" t="s">
        <v>153</v>
      </c>
      <c r="CJ631" s="71"/>
      <c r="CK631" s="79">
        <f>COUNTIF(CL631:CQ631,"*")</f>
        <v>0</v>
      </c>
      <c r="CL631" s="79"/>
      <c r="CM631" s="79"/>
      <c r="CN631" s="79"/>
      <c r="CO631" s="79"/>
      <c r="CP631" s="79"/>
      <c r="CQ631" s="79"/>
      <c r="CR631" s="83" t="s">
        <v>179</v>
      </c>
      <c r="CS631" s="83" t="s">
        <v>179</v>
      </c>
      <c r="CT631" s="83" t="s">
        <v>179</v>
      </c>
      <c r="CU631" s="83" t="s">
        <v>179</v>
      </c>
      <c r="CV631" s="83" t="s">
        <v>179</v>
      </c>
      <c r="CW631" s="83" t="s">
        <v>179</v>
      </c>
      <c r="CX631" s="79" t="s">
        <v>153</v>
      </c>
      <c r="CY631" s="79">
        <f>SUM(COUNTIF(CR631:CW631,"Realizado y Devuelto a la Ciudadanía"),COUNTIF(CR631:CW631,"Realizado y Trasladado por competencia"), COUNTIF(CR631:CW631,"Realizado y Gestionado"))</f>
        <v>0</v>
      </c>
      <c r="CZ631" s="79">
        <v>0</v>
      </c>
      <c r="DA631" s="79">
        <f>COUNTIF(CR631:CW631,"Realizado y Devuelto a la Ciudadanía")</f>
        <v>0</v>
      </c>
      <c r="DB631" s="84" t="str">
        <f>IFERROR(CY631/CK631,"")</f>
        <v/>
      </c>
      <c r="DC631" s="41"/>
      <c r="DD631" s="79" t="s">
        <v>153</v>
      </c>
      <c r="DE631" s="71"/>
      <c r="DF631" s="127" t="s">
        <v>4404</v>
      </c>
      <c r="DG631" s="79">
        <v>621</v>
      </c>
      <c r="DH631" s="86" t="str">
        <f t="shared" si="537"/>
        <v>Completo</v>
      </c>
      <c r="DI631" s="79" t="s">
        <v>181</v>
      </c>
      <c r="DJ631" s="79" t="s">
        <v>182</v>
      </c>
      <c r="DK631" s="79"/>
      <c r="DL631" s="79">
        <v>0</v>
      </c>
      <c r="DM631" s="79">
        <v>0</v>
      </c>
      <c r="DN631" s="79" t="s">
        <v>182</v>
      </c>
      <c r="DO631" s="79"/>
      <c r="DP631" s="79"/>
      <c r="DQ631" s="79"/>
      <c r="DR631" s="75" t="str">
        <f t="shared" si="576"/>
        <v>No aplica</v>
      </c>
      <c r="DS631" s="79"/>
      <c r="DT631" s="79"/>
      <c r="DU631" s="75" t="str">
        <f t="shared" si="577"/>
        <v>No aplica</v>
      </c>
      <c r="DV631" s="79" t="s">
        <v>182</v>
      </c>
      <c r="DW631" s="79" t="s">
        <v>182</v>
      </c>
      <c r="DX631" s="79"/>
      <c r="DY631" s="79"/>
      <c r="DZ631" s="79"/>
      <c r="EA631" s="79"/>
      <c r="EB631" s="79" t="s">
        <v>182</v>
      </c>
      <c r="EC631" s="79" t="s">
        <v>4405</v>
      </c>
      <c r="ED631" s="79" t="s">
        <v>4406</v>
      </c>
      <c r="EE631" s="79" t="str">
        <f>IF(DI631="Subsanado","Completo","Por Completar")</f>
        <v>Completo</v>
      </c>
      <c r="EF631" s="41"/>
      <c r="EG631" s="79" t="s">
        <v>153</v>
      </c>
      <c r="EH631" s="71"/>
      <c r="EI631" s="80"/>
      <c r="EJ631" s="71"/>
      <c r="EK631" s="79"/>
      <c r="EL631" s="76" t="str">
        <f t="shared" si="465"/>
        <v>No requiere</v>
      </c>
      <c r="EM631" s="76" t="str">
        <f t="shared" si="466"/>
        <v>No requiere</v>
      </c>
      <c r="EN631" s="76" t="str">
        <f>IF(F631="NO","No requiere",IF(H631="No","No requiere",IF(CC631="","",IF(CD631&lt;&gt;"No aplica",IF(CD631&lt;&gt;"Ninguna",IF(COUNTIF(CD631:CF631,"*")&gt;=1,"Sí","No"),"No"),"No aplica"))))</f>
        <v>No requiere</v>
      </c>
      <c r="EO631" s="71"/>
      <c r="EP631" s="73" t="str">
        <f t="shared" si="467"/>
        <v>No requiere</v>
      </c>
      <c r="EQ631" s="77" t="str">
        <f t="shared" si="468"/>
        <v>No requiere</v>
      </c>
      <c r="ER631" s="71"/>
      <c r="ES631" s="79"/>
      <c r="ET631" s="73" t="str">
        <f t="shared" si="469"/>
        <v>No requiere</v>
      </c>
      <c r="EU631" s="73" t="str">
        <f>IF(F631="NO","No requiere",IF(H631="No","No requiere",IF(B631="","",IF(CX631="SÍ",IF(CK631&gt;=1,CY631/CK631,"Sin compromisos"),"Por verificar"))))</f>
        <v>No requiere</v>
      </c>
      <c r="EV631" s="73" t="str">
        <f t="shared" si="470"/>
        <v>No requiere</v>
      </c>
      <c r="EW631" s="73" t="str">
        <f t="shared" si="581"/>
        <v>No requiere</v>
      </c>
      <c r="EX631" s="78"/>
      <c r="EY631" s="78"/>
    </row>
    <row r="632" spans="1:155" ht="46.5" customHeight="1">
      <c r="A632" s="79">
        <v>628</v>
      </c>
      <c r="B632" s="80" t="s">
        <v>4407</v>
      </c>
      <c r="C632" s="81">
        <v>45469</v>
      </c>
      <c r="D632" s="82">
        <v>0.4375</v>
      </c>
      <c r="E632" s="79" t="s">
        <v>151</v>
      </c>
      <c r="F632" s="79" t="s">
        <v>153</v>
      </c>
      <c r="G632" s="79" t="s">
        <v>153</v>
      </c>
      <c r="H632" s="79" t="s">
        <v>152</v>
      </c>
      <c r="I632" s="79" t="s">
        <v>152</v>
      </c>
      <c r="J632" s="79" t="s">
        <v>3999</v>
      </c>
      <c r="K632" s="79" t="s">
        <v>155</v>
      </c>
      <c r="L632" s="80" t="s">
        <v>4408</v>
      </c>
      <c r="M632" s="80" t="s">
        <v>241</v>
      </c>
      <c r="N632" s="79" t="s">
        <v>749</v>
      </c>
      <c r="O632" s="80" t="str">
        <f t="shared" si="520"/>
        <v>Erika Lizeth Rueda</v>
      </c>
      <c r="P632" s="79" t="s">
        <v>556</v>
      </c>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t="s">
        <v>230</v>
      </c>
      <c r="AP632" s="79" t="s">
        <v>356</v>
      </c>
      <c r="AQ632" s="80" t="s">
        <v>4409</v>
      </c>
      <c r="AR632" s="83" t="s">
        <v>4410</v>
      </c>
      <c r="AS632" s="80" t="s">
        <v>4411</v>
      </c>
      <c r="AT632" s="80" t="str">
        <f t="shared" si="545"/>
        <v>Puente Aranda</v>
      </c>
      <c r="AU632" s="79" t="s">
        <v>1235</v>
      </c>
      <c r="AV632" s="79"/>
      <c r="AW632" s="79"/>
      <c r="AX632" s="79"/>
      <c r="AY632" s="79"/>
      <c r="AZ632" s="79"/>
      <c r="BA632" s="80" t="str">
        <f t="shared" si="562"/>
        <v>Centro Ampliado</v>
      </c>
      <c r="BB632" s="79" t="s">
        <v>636</v>
      </c>
      <c r="BC632" s="79"/>
      <c r="BD632" s="79"/>
      <c r="BE632" s="79"/>
      <c r="BF632" s="79"/>
      <c r="BG632" s="79"/>
      <c r="BH632" s="80" t="str">
        <f t="shared" si="563"/>
        <v>Puente Aranda</v>
      </c>
      <c r="BI632" s="79" t="s">
        <v>1235</v>
      </c>
      <c r="BJ632" s="79"/>
      <c r="BK632" s="79"/>
      <c r="BL632" s="79"/>
      <c r="BM632" s="79"/>
      <c r="BN632" s="79"/>
      <c r="BO632" s="79"/>
      <c r="BP632" s="79"/>
      <c r="BQ632" s="79"/>
      <c r="BR632" s="79"/>
      <c r="BS632" s="80" t="s">
        <v>288</v>
      </c>
      <c r="BT632" s="80" t="s">
        <v>4412</v>
      </c>
      <c r="BU632" s="80" t="s">
        <v>4413</v>
      </c>
      <c r="BV632" s="71"/>
      <c r="BW632" s="79" t="s">
        <v>152</v>
      </c>
      <c r="BX632" s="79" t="s">
        <v>179</v>
      </c>
      <c r="BY632" s="71"/>
      <c r="BZ632" s="79">
        <v>2</v>
      </c>
      <c r="CA632" s="79">
        <v>2</v>
      </c>
      <c r="CB632" s="79">
        <f t="shared" ref="CB632" si="583">BZ632+CA632</f>
        <v>4</v>
      </c>
      <c r="CC632" s="79" t="str">
        <f t="shared" si="382"/>
        <v>Ninguna</v>
      </c>
      <c r="CD632" s="79" t="s">
        <v>174</v>
      </c>
      <c r="CE632" s="79"/>
      <c r="CF632" s="79"/>
      <c r="CG632" s="83" t="s">
        <v>4414</v>
      </c>
      <c r="CH632" s="41"/>
      <c r="CI632" s="79" t="s">
        <v>153</v>
      </c>
      <c r="CJ632" s="71"/>
      <c r="CK632" s="79">
        <f t="shared" ref="CK632:CK636" si="584">COUNTIF(CL632:CQ632,"*")</f>
        <v>0</v>
      </c>
      <c r="CL632" s="79"/>
      <c r="CM632" s="79"/>
      <c r="CN632" s="79"/>
      <c r="CO632" s="79"/>
      <c r="CP632" s="79"/>
      <c r="CQ632" s="79"/>
      <c r="CR632" s="83" t="s">
        <v>179</v>
      </c>
      <c r="CS632" s="83" t="s">
        <v>179</v>
      </c>
      <c r="CT632" s="83" t="s">
        <v>179</v>
      </c>
      <c r="CU632" s="83" t="s">
        <v>179</v>
      </c>
      <c r="CV632" s="83" t="s">
        <v>179</v>
      </c>
      <c r="CW632" s="83" t="s">
        <v>179</v>
      </c>
      <c r="CX632" s="79" t="s">
        <v>153</v>
      </c>
      <c r="CY632" s="79">
        <f t="shared" ref="CY632:CY636" si="585">SUM(COUNTIF(CR632:CW632,"Realizado y Devuelto a la Ciudadanía"),COUNTIF(CR632:CW632,"Realizado y Trasladado por competencia"), COUNTIF(CR632:CW632,"Realizado y Gestionado"))</f>
        <v>0</v>
      </c>
      <c r="CZ632" s="79">
        <v>0</v>
      </c>
      <c r="DA632" s="79">
        <f t="shared" ref="DA632:DA636" si="586">COUNTIF(CR632:CW632,"Realizado y Devuelto a la Ciudadanía")</f>
        <v>0</v>
      </c>
      <c r="DB632" s="84" t="str">
        <f t="shared" ref="DB632:DB636" si="587">IFERROR(CY632/CK632,"")</f>
        <v/>
      </c>
      <c r="DC632" s="41"/>
      <c r="DD632" s="79" t="s">
        <v>153</v>
      </c>
      <c r="DE632" s="71"/>
      <c r="DF632" s="127" t="s">
        <v>4415</v>
      </c>
      <c r="DG632" s="79">
        <v>622</v>
      </c>
      <c r="DH632" s="86" t="str">
        <f t="shared" si="537"/>
        <v>Completo</v>
      </c>
      <c r="DI632" s="79" t="s">
        <v>181</v>
      </c>
      <c r="DJ632" s="79" t="s">
        <v>182</v>
      </c>
      <c r="DK632" s="79"/>
      <c r="DL632" s="79">
        <v>0</v>
      </c>
      <c r="DM632" s="79">
        <v>0</v>
      </c>
      <c r="DN632" s="79" t="s">
        <v>182</v>
      </c>
      <c r="DO632" s="79"/>
      <c r="DP632" s="79"/>
      <c r="DQ632" s="79"/>
      <c r="DR632" s="75" t="str">
        <f t="shared" si="576"/>
        <v>No aplica</v>
      </c>
      <c r="DS632" s="79"/>
      <c r="DT632" s="79"/>
      <c r="DU632" s="75" t="str">
        <f t="shared" si="577"/>
        <v>No aplica</v>
      </c>
      <c r="DV632" s="79" t="s">
        <v>182</v>
      </c>
      <c r="DW632" s="79" t="s">
        <v>179</v>
      </c>
      <c r="DX632" s="79"/>
      <c r="DY632" s="79"/>
      <c r="DZ632" s="79"/>
      <c r="EA632" s="79">
        <v>2</v>
      </c>
      <c r="EB632" s="79" t="s">
        <v>182</v>
      </c>
      <c r="EC632" s="79" t="s">
        <v>4416</v>
      </c>
      <c r="ED632" s="79" t="s">
        <v>3383</v>
      </c>
      <c r="EE632" s="79" t="str">
        <f t="shared" ref="EE632:EE636" si="588">IF(DI632="Subsanado","Completo","Por Completar")</f>
        <v>Completo</v>
      </c>
      <c r="EF632" s="41"/>
      <c r="EG632" s="79" t="s">
        <v>153</v>
      </c>
      <c r="EH632" s="71"/>
      <c r="EI632" s="80"/>
      <c r="EJ632" s="71"/>
      <c r="EK632" s="79"/>
      <c r="EL632" s="87" t="str">
        <f t="shared" si="465"/>
        <v>No requiere</v>
      </c>
      <c r="EM632" s="87" t="str">
        <f t="shared" si="466"/>
        <v>No requiere</v>
      </c>
      <c r="EN632" s="87" t="str">
        <f t="shared" ref="EN632:EN636" si="589">IF(F632="NO","No requiere",IF(H632="No","No requiere",IF(CC632="","",IF(CD632&lt;&gt;"No aplica",IF(CD632&lt;&gt;"Ninguna",IF(COUNTIF(CD632:CF632,"*")&gt;=1,"Sí","No"),"No"),"No aplica"))))</f>
        <v>No requiere</v>
      </c>
      <c r="EO632" s="71"/>
      <c r="EP632" s="84" t="str">
        <f t="shared" si="467"/>
        <v>No requiere</v>
      </c>
      <c r="EQ632" s="88" t="str">
        <f t="shared" si="468"/>
        <v>No requiere</v>
      </c>
      <c r="ER632" s="71"/>
      <c r="ES632" s="79"/>
      <c r="ET632" s="84" t="str">
        <f t="shared" si="469"/>
        <v>No requiere</v>
      </c>
      <c r="EU632" s="84" t="str">
        <f t="shared" ref="EU632:EU636" si="590">IF(F632="NO","No requiere",IF(H632="No","No requiere",IF(B632="","",IF(CX632="SÍ",IF(CK632&gt;=1,CY632/CK632,"Sin compromisos"),"Por verificar"))))</f>
        <v>No requiere</v>
      </c>
      <c r="EV632" s="84" t="str">
        <f t="shared" si="470"/>
        <v>No requiere</v>
      </c>
      <c r="EW632" s="84" t="str">
        <f t="shared" si="581"/>
        <v>No requiere</v>
      </c>
      <c r="EX632" s="78"/>
      <c r="EY632" s="78"/>
    </row>
    <row r="633" spans="1:155" ht="46.5" customHeight="1">
      <c r="A633" s="79">
        <v>629</v>
      </c>
      <c r="B633" s="80" t="s">
        <v>4417</v>
      </c>
      <c r="C633" s="81">
        <v>45469</v>
      </c>
      <c r="D633" s="82">
        <v>0.5</v>
      </c>
      <c r="E633" s="79" t="s">
        <v>151</v>
      </c>
      <c r="F633" s="79" t="s">
        <v>153</v>
      </c>
      <c r="G633" s="79" t="s">
        <v>153</v>
      </c>
      <c r="H633" s="79" t="s">
        <v>152</v>
      </c>
      <c r="I633" s="79" t="s">
        <v>152</v>
      </c>
      <c r="J633" s="79" t="s">
        <v>3999</v>
      </c>
      <c r="K633" s="79" t="s">
        <v>155</v>
      </c>
      <c r="L633" s="80" t="s">
        <v>4362</v>
      </c>
      <c r="M633" s="80" t="s">
        <v>157</v>
      </c>
      <c r="N633" s="79" t="s">
        <v>819</v>
      </c>
      <c r="O633" s="80" t="str">
        <f t="shared" si="520"/>
        <v>Manuel Fernando Vergara</v>
      </c>
      <c r="P633" s="79" t="s">
        <v>820</v>
      </c>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t="s">
        <v>230</v>
      </c>
      <c r="AP633" s="79" t="s">
        <v>356</v>
      </c>
      <c r="AQ633" s="80" t="s">
        <v>4418</v>
      </c>
      <c r="AR633" s="83" t="s">
        <v>4419</v>
      </c>
      <c r="AS633" s="80" t="s">
        <v>171</v>
      </c>
      <c r="AT633" s="80" t="str">
        <f t="shared" si="545"/>
        <v>Suba</v>
      </c>
      <c r="AU633" s="79" t="s">
        <v>602</v>
      </c>
      <c r="AV633" s="79"/>
      <c r="AW633" s="79"/>
      <c r="AX633" s="79"/>
      <c r="AY633" s="79"/>
      <c r="AZ633" s="79"/>
      <c r="BA633" s="80" t="str">
        <f t="shared" si="562"/>
        <v>Noroccidente</v>
      </c>
      <c r="BB633" s="79" t="s">
        <v>603</v>
      </c>
      <c r="BC633" s="79"/>
      <c r="BD633" s="79"/>
      <c r="BE633" s="79"/>
      <c r="BF633" s="79"/>
      <c r="BG633" s="79"/>
      <c r="BH633" s="80" t="str">
        <f t="shared" si="563"/>
        <v>Suba, Suba Rincón, Tibabuyes, Niza, Britalia, Torca</v>
      </c>
      <c r="BI633" s="79" t="s">
        <v>602</v>
      </c>
      <c r="BJ633" s="79" t="s">
        <v>604</v>
      </c>
      <c r="BK633" s="79" t="s">
        <v>1378</v>
      </c>
      <c r="BL633" s="79" t="s">
        <v>865</v>
      </c>
      <c r="BM633" s="79" t="s">
        <v>1313</v>
      </c>
      <c r="BN633" s="79" t="s">
        <v>805</v>
      </c>
      <c r="BO633" s="79"/>
      <c r="BP633" s="79"/>
      <c r="BQ633" s="79"/>
      <c r="BR633" s="79"/>
      <c r="BS633" s="80" t="s">
        <v>288</v>
      </c>
      <c r="BT633" s="80" t="s">
        <v>174</v>
      </c>
      <c r="BU633" s="80" t="s">
        <v>4342</v>
      </c>
      <c r="BV633" s="71"/>
      <c r="BW633" s="79" t="s">
        <v>152</v>
      </c>
      <c r="BX633" s="79" t="s">
        <v>179</v>
      </c>
      <c r="BY633" s="71"/>
      <c r="BZ633" s="79">
        <v>2</v>
      </c>
      <c r="CA633" s="79">
        <v>1</v>
      </c>
      <c r="CB633" s="79">
        <f>BZ633+CA633</f>
        <v>3</v>
      </c>
      <c r="CC633" s="79" t="str">
        <f>_xlfn.TEXTJOIN(", ",TRUE,$CD633:$CF633)</f>
        <v>Horarios Acordes</v>
      </c>
      <c r="CD633" s="79" t="s">
        <v>351</v>
      </c>
      <c r="CE633" s="79"/>
      <c r="CF633" s="79"/>
      <c r="CG633" s="83" t="s">
        <v>4420</v>
      </c>
      <c r="CH633" s="41"/>
      <c r="CI633" s="79" t="s">
        <v>153</v>
      </c>
      <c r="CJ633" s="71"/>
      <c r="CK633" s="79">
        <f>COUNTIF(CL633:CQ633,"*")</f>
        <v>0</v>
      </c>
      <c r="CL633" s="79"/>
      <c r="CM633" s="79"/>
      <c r="CN633" s="79"/>
      <c r="CO633" s="79"/>
      <c r="CP633" s="79"/>
      <c r="CQ633" s="79"/>
      <c r="CR633" s="83" t="s">
        <v>179</v>
      </c>
      <c r="CS633" s="83" t="s">
        <v>179</v>
      </c>
      <c r="CT633" s="83" t="s">
        <v>179</v>
      </c>
      <c r="CU633" s="83" t="s">
        <v>179</v>
      </c>
      <c r="CV633" s="83" t="s">
        <v>179</v>
      </c>
      <c r="CW633" s="83" t="s">
        <v>179</v>
      </c>
      <c r="CX633" s="79" t="s">
        <v>153</v>
      </c>
      <c r="CY633" s="79">
        <f>SUM(COUNTIF(CR633:CW633,"Realizado y Devuelto a la Ciudadanía"),COUNTIF(CR633:CW633,"Realizado y Trasladado por competencia"), COUNTIF(CR633:CW633,"Realizado y Gestionado"))</f>
        <v>0</v>
      </c>
      <c r="CZ633" s="79">
        <v>0</v>
      </c>
      <c r="DA633" s="79">
        <f>COUNTIF(CR633:CW633,"Realizado y Devuelto a la Ciudadanía")</f>
        <v>0</v>
      </c>
      <c r="DB633" s="84" t="str">
        <f>IFERROR(CY633/CK633,"")</f>
        <v/>
      </c>
      <c r="DC633" s="41"/>
      <c r="DD633" s="79" t="s">
        <v>153</v>
      </c>
      <c r="DE633" s="71"/>
      <c r="DF633" s="127" t="s">
        <v>4421</v>
      </c>
      <c r="DG633" s="79">
        <v>623</v>
      </c>
      <c r="DH633" s="86" t="str">
        <f t="shared" si="537"/>
        <v>Completo</v>
      </c>
      <c r="DI633" s="79" t="s">
        <v>181</v>
      </c>
      <c r="DJ633" s="79" t="s">
        <v>182</v>
      </c>
      <c r="DK633" s="79"/>
      <c r="DL633" s="79">
        <v>0</v>
      </c>
      <c r="DM633" s="79">
        <v>0</v>
      </c>
      <c r="DN633" s="79" t="s">
        <v>182</v>
      </c>
      <c r="DO633" s="79"/>
      <c r="DP633" s="79"/>
      <c r="DQ633" s="79"/>
      <c r="DR633" s="75" t="str">
        <f t="shared" si="576"/>
        <v>No aplica</v>
      </c>
      <c r="DS633" s="79"/>
      <c r="DT633" s="79"/>
      <c r="DU633" s="75" t="str">
        <f t="shared" si="577"/>
        <v>No aplica</v>
      </c>
      <c r="DV633" s="79" t="s">
        <v>182</v>
      </c>
      <c r="DW633" s="79" t="s">
        <v>191</v>
      </c>
      <c r="DX633" s="79"/>
      <c r="DY633" s="79"/>
      <c r="DZ633" s="79"/>
      <c r="EA633" s="79"/>
      <c r="EB633" s="79"/>
      <c r="EC633" s="79"/>
      <c r="ED633" s="79"/>
      <c r="EE633" s="79" t="str">
        <f>IF(DI633="Subsanado","Completo","Por Completar")</f>
        <v>Completo</v>
      </c>
      <c r="EF633" s="41"/>
      <c r="EG633" s="79" t="s">
        <v>153</v>
      </c>
      <c r="EH633" s="71"/>
      <c r="EI633" s="80"/>
      <c r="EJ633" s="71"/>
      <c r="EK633" s="79"/>
      <c r="EL633" s="87" t="str">
        <f t="shared" si="465"/>
        <v>No requiere</v>
      </c>
      <c r="EM633" s="87" t="str">
        <f t="shared" si="466"/>
        <v>No requiere</v>
      </c>
      <c r="EN633" s="87" t="str">
        <f>IF(F633="NO","No requiere",IF(H633="No","No requiere",IF(CC633="","",IF(CD633&lt;&gt;"No aplica",IF(CD633&lt;&gt;"Ninguna",IF(COUNTIF(CD633:CF633,"*")&gt;=1,"Sí","No"),"No"),"No aplica"))))</f>
        <v>No requiere</v>
      </c>
      <c r="EO633" s="71"/>
      <c r="EP633" s="84" t="str">
        <f t="shared" si="467"/>
        <v>No requiere</v>
      </c>
      <c r="EQ633" s="88" t="str">
        <f t="shared" si="468"/>
        <v>No requiere</v>
      </c>
      <c r="ER633" s="71"/>
      <c r="ES633" s="79"/>
      <c r="ET633" s="84" t="str">
        <f t="shared" si="469"/>
        <v>No requiere</v>
      </c>
      <c r="EU633" s="84" t="str">
        <f>IF(F633="NO","No requiere",IF(H633="No","No requiere",IF(B633="","",IF(CX633="SÍ",IF(CK633&gt;=1,CY633/CK633,"Sin compromisos"),"Por verificar"))))</f>
        <v>No requiere</v>
      </c>
      <c r="EV633" s="84" t="str">
        <f t="shared" si="470"/>
        <v>No requiere</v>
      </c>
      <c r="EW633" s="84" t="str">
        <f t="shared" si="581"/>
        <v>No requiere</v>
      </c>
      <c r="EX633" s="78"/>
      <c r="EY633" s="78"/>
    </row>
    <row r="634" spans="1:155" ht="46.5" customHeight="1">
      <c r="A634" s="79">
        <v>630</v>
      </c>
      <c r="B634" s="80" t="s">
        <v>4422</v>
      </c>
      <c r="C634" s="81">
        <v>45469</v>
      </c>
      <c r="D634" s="82">
        <v>0.54166666666666663</v>
      </c>
      <c r="E634" s="79" t="s">
        <v>151</v>
      </c>
      <c r="F634" s="79" t="s">
        <v>153</v>
      </c>
      <c r="G634" s="79" t="s">
        <v>153</v>
      </c>
      <c r="H634" s="79" t="s">
        <v>152</v>
      </c>
      <c r="I634" s="79" t="s">
        <v>152</v>
      </c>
      <c r="J634" s="79" t="s">
        <v>3999</v>
      </c>
      <c r="K634" s="79" t="s">
        <v>202</v>
      </c>
      <c r="L634" s="80" t="s">
        <v>4423</v>
      </c>
      <c r="M634" s="80" t="s">
        <v>241</v>
      </c>
      <c r="N634" s="79" t="s">
        <v>506</v>
      </c>
      <c r="O634" s="80" t="str">
        <f>_xlfn.TEXTJOIN(", ",TRUE,P634:AN634)</f>
        <v/>
      </c>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t="s">
        <v>230</v>
      </c>
      <c r="AP634" s="79" t="s">
        <v>2065</v>
      </c>
      <c r="AQ634" s="80" t="s">
        <v>4424</v>
      </c>
      <c r="AR634" s="83" t="s">
        <v>4425</v>
      </c>
      <c r="AS634" s="80" t="s">
        <v>171</v>
      </c>
      <c r="AT634" s="80" t="str">
        <f>_xlfn.TEXTJOIN(", ",TRUE,$AU634:$AY634)</f>
        <v>Sumapaz</v>
      </c>
      <c r="AU634" s="79" t="s">
        <v>510</v>
      </c>
      <c r="AV634" s="79"/>
      <c r="AW634" s="79"/>
      <c r="AX634" s="79"/>
      <c r="AY634" s="79"/>
      <c r="AZ634" s="79"/>
      <c r="BA634" s="80" t="str">
        <f>_xlfn.TEXTJOIN(", ",TRUE,$BB634:$BG634)</f>
        <v>Ruralidad</v>
      </c>
      <c r="BB634" s="79" t="s">
        <v>219</v>
      </c>
      <c r="BC634" s="79"/>
      <c r="BD634" s="79"/>
      <c r="BE634" s="79"/>
      <c r="BF634" s="79"/>
      <c r="BG634" s="79"/>
      <c r="BH634" s="80" t="str">
        <f>_xlfn.TEXTJOIN(", ",TRUE,$BI634:$BR634)</f>
        <v>Sumapaz</v>
      </c>
      <c r="BI634" s="79" t="s">
        <v>510</v>
      </c>
      <c r="BJ634" s="79"/>
      <c r="BK634" s="79"/>
      <c r="BL634" s="79"/>
      <c r="BM634" s="79"/>
      <c r="BN634" s="79"/>
      <c r="BO634" s="79"/>
      <c r="BP634" s="79"/>
      <c r="BQ634" s="79"/>
      <c r="BR634" s="79"/>
      <c r="BS634" s="80" t="s">
        <v>4426</v>
      </c>
      <c r="BT634" s="80" t="s">
        <v>174</v>
      </c>
      <c r="BU634" s="203" t="s">
        <v>196</v>
      </c>
      <c r="BV634" s="71"/>
      <c r="BW634" s="79" t="s">
        <v>152</v>
      </c>
      <c r="BX634" s="79" t="s">
        <v>179</v>
      </c>
      <c r="BY634" s="71"/>
      <c r="BZ634" s="79">
        <v>35</v>
      </c>
      <c r="CA634" s="79">
        <v>1</v>
      </c>
      <c r="CB634" s="79">
        <f>BZ634+CA634</f>
        <v>36</v>
      </c>
      <c r="CC634" s="79" t="str">
        <f>_xlfn.TEXTJOIN(", ",TRUE,$CD634:$CF634)</f>
        <v>Ninguna</v>
      </c>
      <c r="CD634" s="79" t="s">
        <v>174</v>
      </c>
      <c r="CE634" s="79"/>
      <c r="CF634" s="79"/>
      <c r="CG634" s="83" t="s">
        <v>4427</v>
      </c>
      <c r="CH634" s="41"/>
      <c r="CI634" s="79" t="s">
        <v>153</v>
      </c>
      <c r="CJ634" s="71"/>
      <c r="CK634" s="79">
        <f>COUNTIF(CL634:CQ634,"*")</f>
        <v>0</v>
      </c>
      <c r="CL634" s="79"/>
      <c r="CM634" s="79"/>
      <c r="CN634" s="79"/>
      <c r="CO634" s="79"/>
      <c r="CP634" s="79"/>
      <c r="CQ634" s="79"/>
      <c r="CR634" s="83" t="s">
        <v>179</v>
      </c>
      <c r="CS634" s="83" t="s">
        <v>179</v>
      </c>
      <c r="CT634" s="83" t="s">
        <v>179</v>
      </c>
      <c r="CU634" s="83" t="s">
        <v>179</v>
      </c>
      <c r="CV634" s="83" t="s">
        <v>179</v>
      </c>
      <c r="CW634" s="83" t="s">
        <v>179</v>
      </c>
      <c r="CX634" s="79" t="s">
        <v>153</v>
      </c>
      <c r="CY634" s="79">
        <f>SUM(COUNTIF(CR634:CW634,"Realizado y Devuelto a la Ciudadanía"),COUNTIF(CR634:CW634,"Realizado y Trasladado por competencia"), COUNTIF(CR634:CW634,"Realizado y Gestionado"))</f>
        <v>0</v>
      </c>
      <c r="CZ634" s="79">
        <v>0</v>
      </c>
      <c r="DA634" s="79">
        <f>COUNTIF(CR634:CW634,"Realizado y Devuelto a la Ciudadanía")</f>
        <v>0</v>
      </c>
      <c r="DB634" s="84" t="str">
        <f>IFERROR(CY634/CK634,"")</f>
        <v/>
      </c>
      <c r="DC634" s="41"/>
      <c r="DD634" s="79" t="s">
        <v>153</v>
      </c>
      <c r="DF634" s="127" t="s">
        <v>4428</v>
      </c>
      <c r="DG634" s="79">
        <v>624</v>
      </c>
      <c r="DH634" s="86" t="str">
        <f>IF(EE634="Por completar",C634+3,"Completo")</f>
        <v>Completo</v>
      </c>
      <c r="DI634" s="79" t="s">
        <v>181</v>
      </c>
      <c r="DJ634" s="79" t="s">
        <v>182</v>
      </c>
      <c r="DK634" s="79"/>
      <c r="DL634" s="79">
        <v>0</v>
      </c>
      <c r="DM634" s="79">
        <v>0</v>
      </c>
      <c r="DN634" s="79" t="s">
        <v>191</v>
      </c>
      <c r="DO634" s="79"/>
      <c r="DP634" s="79"/>
      <c r="DQ634" s="79"/>
      <c r="DR634" s="75" t="str">
        <f>IF(H634="SÍ", (DQ634/(BZ634*0.3)), "No aplica")</f>
        <v>No aplica</v>
      </c>
      <c r="DS634" s="79"/>
      <c r="DT634" s="79"/>
      <c r="DU634" s="75" t="str">
        <f>IF(H634="SÍ", (DT634/(BZ634*0.35)), "No aplica")</f>
        <v>No aplica</v>
      </c>
      <c r="DV634" s="79" t="s">
        <v>182</v>
      </c>
      <c r="DW634" s="79" t="s">
        <v>191</v>
      </c>
      <c r="DX634" s="79"/>
      <c r="DY634" s="79"/>
      <c r="DZ634" s="79"/>
      <c r="EA634" s="79"/>
      <c r="EB634" s="79"/>
      <c r="EC634" s="79"/>
      <c r="ED634" s="79" t="s">
        <v>4429</v>
      </c>
      <c r="EE634" s="79" t="str">
        <f>IF(DI634="Subsanado","Completo","Por Completar")</f>
        <v>Completo</v>
      </c>
      <c r="EF634" s="41"/>
      <c r="EG634" s="79" t="s">
        <v>153</v>
      </c>
      <c r="EH634" s="71"/>
      <c r="EI634" s="80"/>
      <c r="EJ634" s="71"/>
      <c r="EK634" s="79"/>
      <c r="EL634" s="87" t="str">
        <f>IF(F634="NO","No requiere",IF(H634="No","No requiere",IF(DW634="","",IF(DW634&lt;&gt;"No aplica",IF(DX634&lt;&gt;"No aplica",IF(DX634&gt;=2,"Sí","No"),"No aplica"),"No aplica"))))</f>
        <v>No requiere</v>
      </c>
      <c r="EM634" s="87" t="str">
        <f>IF(F634="NO","No requiere",IF(H634="No","No requiere",IF(DW634="","",IF(DW634&lt;&gt;"No aplica",IF(DY634&lt;&gt;"No aplica",IF(DY634&gt;=1,"Sí","No"),"No aplica"),"No aplica"))))</f>
        <v>No requiere</v>
      </c>
      <c r="EN634" s="87" t="str">
        <f>IF(F634="NO","No requiere",IF(H634="No","No requiere",IF(CC634="","",IF(CD634&lt;&gt;"No aplica",IF(CD634&lt;&gt;"Ninguna",IF(COUNTIF(CD634:CF634,"*")&gt;=1,"Sí","No"),"No"),"No aplica"))))</f>
        <v>No requiere</v>
      </c>
      <c r="EO634" s="71"/>
      <c r="EP634" s="84" t="str">
        <f>IF(F634="NO","No requiere",IF(H634="No","No requiere",IF(DL634="","",IF(DL634&gt;=1,DM634/DL634,"No aplica"))))</f>
        <v>No requiere</v>
      </c>
      <c r="EQ634" s="88" t="str">
        <f>IFERROR(IF(F634="NO","No requiere",IF(H634="No","No requiere",DU634)),"")</f>
        <v>No requiere</v>
      </c>
      <c r="ER634" s="71"/>
      <c r="ES634" s="79"/>
      <c r="ET634" s="84" t="str">
        <f>IF(F634="NO","No requiere",IF(H634="No","No requiere",IFERROR(COUNTIF(DJ634:DW634,"Completo")/SUM(COUNTIF(DJ634:DW634,"Completo"),COUNTIF(DJ634:DW634,"Incompleto"),COUNTIF(DJ634:DW634,"No subido"),COUNTIF(DJ634:DW634,"No existente"),COUNTIF(DJ634:DW634,"Pendiente")),"")))</f>
        <v>No requiere</v>
      </c>
      <c r="EU634" s="84" t="str">
        <f>IF(F634="NO","No requiere",IF(H634="No","No requiere",IF(B634="","",IF(CX634="SÍ",IF(CK634&gt;=1,CY634/CK634,"Sin compromisos"),"Por verificar"))))</f>
        <v>No requiere</v>
      </c>
      <c r="EV634" s="84" t="str">
        <f>IF(EU634="Por verificar","Por verificar",IF(F634="NO","No requiere",IF(H634="No","No requiere",IFERROR(IF(EU634="","",IF(CK634&gt;=1,DA634/CZ634,"No aplica")),"No aplica"))))</f>
        <v>No requiere</v>
      </c>
      <c r="EW634" s="84" t="str">
        <f>IF(F634="NO","No requiere",IF(H634="No","No requiere",IFERROR(IF(BZ634="","",IF(EA634&lt;&gt;"No aplica",IF(EA634&gt;=1,DO634/EA634,"0%"),"No aplica")),"")))</f>
        <v>No requiere</v>
      </c>
      <c r="EX634" s="78"/>
      <c r="EY634" s="78"/>
    </row>
    <row r="635" spans="1:155" ht="46.5" customHeight="1">
      <c r="A635" s="79">
        <v>631</v>
      </c>
      <c r="B635" s="80" t="s">
        <v>4430</v>
      </c>
      <c r="C635" s="81">
        <v>45469</v>
      </c>
      <c r="D635" s="82">
        <v>0.54166666666666663</v>
      </c>
      <c r="E635" s="79" t="s">
        <v>151</v>
      </c>
      <c r="F635" s="79" t="s">
        <v>153</v>
      </c>
      <c r="G635" s="79" t="s">
        <v>153</v>
      </c>
      <c r="H635" s="79" t="s">
        <v>152</v>
      </c>
      <c r="I635" s="79" t="s">
        <v>152</v>
      </c>
      <c r="J635" s="79" t="s">
        <v>3999</v>
      </c>
      <c r="K635" s="79" t="s">
        <v>155</v>
      </c>
      <c r="L635" s="80" t="s">
        <v>4431</v>
      </c>
      <c r="M635" s="80" t="s">
        <v>241</v>
      </c>
      <c r="N635" s="79" t="s">
        <v>675</v>
      </c>
      <c r="O635" s="80" t="str">
        <f>_xlfn.TEXTJOIN(", ",TRUE,P635:AN635)</f>
        <v>Paola Andrea González, Nestor Jecfrid Sánchez, Renata Rengifo Moyano</v>
      </c>
      <c r="P635" s="79" t="s">
        <v>924</v>
      </c>
      <c r="Q635" s="79" t="s">
        <v>965</v>
      </c>
      <c r="R635" s="79" t="s">
        <v>1066</v>
      </c>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t="s">
        <v>304</v>
      </c>
      <c r="AP635" s="79"/>
      <c r="AQ635" s="80" t="s">
        <v>4432</v>
      </c>
      <c r="AR635" s="83" t="s">
        <v>4433</v>
      </c>
      <c r="AS635" s="80" t="s">
        <v>171</v>
      </c>
      <c r="AT635" s="80" t="str">
        <f>_xlfn.TEXTJOIN(", ",TRUE,$AU635:$AY635)</f>
        <v>Bosa</v>
      </c>
      <c r="AU635" s="79" t="s">
        <v>730</v>
      </c>
      <c r="AV635" s="79"/>
      <c r="AW635" s="79"/>
      <c r="AX635" s="79"/>
      <c r="AY635" s="79"/>
      <c r="AZ635" s="79"/>
      <c r="BA635" s="80" t="str">
        <f>_xlfn.TEXTJOIN(", ",TRUE,$BB635:$BG635)</f>
        <v>Suroccidente</v>
      </c>
      <c r="BB635" s="79" t="s">
        <v>732</v>
      </c>
      <c r="BC635" s="79"/>
      <c r="BD635" s="79"/>
      <c r="BE635" s="79"/>
      <c r="BF635" s="79"/>
      <c r="BG635" s="79"/>
      <c r="BH635" s="80" t="str">
        <f>_xlfn.TEXTJOIN(", ",TRUE,$BI635:$BR635)</f>
        <v>Edén, Patio Bonito, Bosa</v>
      </c>
      <c r="BI635" s="79" t="s">
        <v>1057</v>
      </c>
      <c r="BJ635" s="79" t="s">
        <v>967</v>
      </c>
      <c r="BK635" s="79" t="s">
        <v>730</v>
      </c>
      <c r="BL635" s="79"/>
      <c r="BM635" s="79"/>
      <c r="BN635" s="79"/>
      <c r="BO635" s="79"/>
      <c r="BP635" s="79"/>
      <c r="BQ635" s="79"/>
      <c r="BR635" s="79"/>
      <c r="BS635" s="80" t="s">
        <v>4434</v>
      </c>
      <c r="BT635" s="80" t="s">
        <v>174</v>
      </c>
      <c r="BU635" s="80" t="s">
        <v>4435</v>
      </c>
      <c r="BV635" s="71"/>
      <c r="BW635" s="79" t="s">
        <v>152</v>
      </c>
      <c r="BX635" s="79" t="s">
        <v>179</v>
      </c>
      <c r="BY635" s="71"/>
      <c r="BZ635" s="79">
        <v>7</v>
      </c>
      <c r="CA635" s="79">
        <v>3</v>
      </c>
      <c r="CB635" s="79">
        <f>BZ635+CA635</f>
        <v>10</v>
      </c>
      <c r="CC635" s="79" t="str">
        <f>_xlfn.TEXTJOIN(", ",TRUE,$CD635:$CF635)</f>
        <v>Contenidos adaptados</v>
      </c>
      <c r="CD635" s="79" t="s">
        <v>350</v>
      </c>
      <c r="CE635" s="79"/>
      <c r="CF635" s="79"/>
      <c r="CG635" s="83" t="s">
        <v>4436</v>
      </c>
      <c r="CH635" s="41"/>
      <c r="CI635" s="79" t="s">
        <v>153</v>
      </c>
      <c r="CJ635" s="71"/>
      <c r="CK635" s="79">
        <f>COUNTIF(CL635:CQ635,"*")</f>
        <v>0</v>
      </c>
      <c r="CL635" s="79"/>
      <c r="CM635" s="79"/>
      <c r="CN635" s="79"/>
      <c r="CO635" s="79"/>
      <c r="CP635" s="79"/>
      <c r="CQ635" s="79"/>
      <c r="CR635" s="83" t="s">
        <v>179</v>
      </c>
      <c r="CS635" s="83" t="s">
        <v>179</v>
      </c>
      <c r="CT635" s="83" t="s">
        <v>179</v>
      </c>
      <c r="CU635" s="83" t="s">
        <v>179</v>
      </c>
      <c r="CV635" s="83" t="s">
        <v>179</v>
      </c>
      <c r="CW635" s="83" t="s">
        <v>179</v>
      </c>
      <c r="CX635" s="79" t="s">
        <v>153</v>
      </c>
      <c r="CY635" s="79">
        <f>SUM(COUNTIF(CR635:CW635,"Realizado y Devuelto a la Ciudadanía"),COUNTIF(CR635:CW635,"Realizado y Trasladado por competencia"), COUNTIF(CR635:CW635,"Realizado y Gestionado"))</f>
        <v>0</v>
      </c>
      <c r="CZ635" s="79">
        <v>0</v>
      </c>
      <c r="DA635" s="79">
        <f>COUNTIF(CR635:CW635,"Realizado y Devuelto a la Ciudadanía")</f>
        <v>0</v>
      </c>
      <c r="DB635" s="84" t="str">
        <f>IFERROR(CY635/CK635,"")</f>
        <v/>
      </c>
      <c r="DC635" s="41"/>
      <c r="DD635" s="79" t="s">
        <v>153</v>
      </c>
      <c r="DE635" s="71"/>
      <c r="DF635" s="127" t="s">
        <v>4437</v>
      </c>
      <c r="DG635" s="79">
        <v>625</v>
      </c>
      <c r="DH635" s="86" t="str">
        <f>IF(EE635="Por completar",C635+3,"Completo")</f>
        <v>Completo</v>
      </c>
      <c r="DI635" s="79" t="s">
        <v>181</v>
      </c>
      <c r="DJ635" s="79" t="s">
        <v>182</v>
      </c>
      <c r="DK635" s="79"/>
      <c r="DL635" s="79">
        <v>0</v>
      </c>
      <c r="DM635" s="79">
        <v>0</v>
      </c>
      <c r="DN635" s="79" t="s">
        <v>182</v>
      </c>
      <c r="DO635" s="79"/>
      <c r="DP635" s="79"/>
      <c r="DQ635" s="79"/>
      <c r="DR635" s="75" t="str">
        <f>IF(H635="SÍ", (DQ635/(BZ635*0.3)), "No aplica")</f>
        <v>No aplica</v>
      </c>
      <c r="DS635" s="79"/>
      <c r="DT635" s="79"/>
      <c r="DU635" s="75" t="str">
        <f>IF(H635="SÍ", (DT635/(BZ635*0.35)), "No aplica")</f>
        <v>No aplica</v>
      </c>
      <c r="DV635" s="79" t="s">
        <v>182</v>
      </c>
      <c r="DW635" s="79" t="s">
        <v>191</v>
      </c>
      <c r="DX635" s="79"/>
      <c r="DY635" s="79"/>
      <c r="DZ635" s="79"/>
      <c r="EA635" s="79">
        <v>7</v>
      </c>
      <c r="EB635" s="79"/>
      <c r="EC635" s="79"/>
      <c r="ED635" s="79" t="s">
        <v>4438</v>
      </c>
      <c r="EE635" s="79" t="str">
        <f>IF(DI635="Subsanado","Completo","Por Completar")</f>
        <v>Completo</v>
      </c>
      <c r="EF635" s="41"/>
      <c r="EG635" s="79" t="s">
        <v>153</v>
      </c>
      <c r="EH635" s="71"/>
      <c r="EI635" s="80"/>
      <c r="EJ635" s="71"/>
      <c r="EK635" s="79"/>
      <c r="EL635" s="87" t="str">
        <f>IF(F635="NO","No requiere",IF(H635="No","No requiere",IF(DW635="","",IF(DW635&lt;&gt;"No aplica",IF(DX635&lt;&gt;"No aplica",IF(DX635&gt;=2,"Sí","No"),"No aplica"),"No aplica"))))</f>
        <v>No requiere</v>
      </c>
      <c r="EM635" s="87" t="str">
        <f>IF(F635="NO","No requiere",IF(H635="No","No requiere",IF(DW635="","",IF(DW635&lt;&gt;"No aplica",IF(DY635&lt;&gt;"No aplica",IF(DY635&gt;=1,"Sí","No"),"No aplica"),"No aplica"))))</f>
        <v>No requiere</v>
      </c>
      <c r="EN635" s="87" t="str">
        <f>IF(F635="NO","No requiere",IF(H635="No","No requiere",IF(CC635="","",IF(CD635&lt;&gt;"No aplica",IF(CD635&lt;&gt;"Ninguna",IF(COUNTIF(CD635:CF635,"*")&gt;=1,"Sí","No"),"No"),"No aplica"))))</f>
        <v>No requiere</v>
      </c>
      <c r="EO635" s="71"/>
      <c r="EP635" s="84" t="str">
        <f>IF(F635="NO","No requiere",IF(H635="No","No requiere",IF(DL635="","",IF(DL635&gt;=1,DM635/DL635,"No aplica"))))</f>
        <v>No requiere</v>
      </c>
      <c r="EQ635" s="88" t="str">
        <f>IFERROR(IF(F635="NO","No requiere",IF(H635="No","No requiere",DU635)),"")</f>
        <v>No requiere</v>
      </c>
      <c r="ER635" s="71"/>
      <c r="ES635" s="79"/>
      <c r="ET635" s="84" t="str">
        <f>IF(F635="NO","No requiere",IF(H635="No","No requiere",IFERROR(COUNTIF(DJ635:DW635,"Completo")/SUM(COUNTIF(DJ635:DW635,"Completo"),COUNTIF(DJ635:DW635,"Incompleto"),COUNTIF(DJ635:DW635,"No subido"),COUNTIF(DJ635:DW635,"No existente"),COUNTIF(DJ635:DW635,"Pendiente")),"")))</f>
        <v>No requiere</v>
      </c>
      <c r="EU635" s="84" t="str">
        <f>IF(F635="NO","No requiere",IF(H635="No","No requiere",IF(B635="","",IF(CX635="SÍ",IF(CK635&gt;=1,CY635/CK635,"Sin compromisos"),"Por verificar"))))</f>
        <v>No requiere</v>
      </c>
      <c r="EV635" s="84" t="str">
        <f>IF(EU635="Por verificar","Por verificar",IF(F635="NO","No requiere",IF(H635="No","No requiere",IFERROR(IF(EU635="","",IF(CK635&gt;=1,DA635/CZ635,"No aplica")),"No aplica"))))</f>
        <v>No requiere</v>
      </c>
      <c r="EW635" s="84" t="str">
        <f>IF(F635="NO","No requiere",IF(H635="No","No requiere",IFERROR(IF(BZ635="","",IF(EA635&lt;&gt;"No aplica",IF(EA635&gt;=1,DO635/EA635,"0%"),"No aplica")),"")))</f>
        <v>No requiere</v>
      </c>
      <c r="EX635" s="78"/>
      <c r="EY635" s="78"/>
    </row>
    <row r="636" spans="1:155" ht="46.5" customHeight="1">
      <c r="A636" s="79" t="str">
        <v/>
      </c>
      <c r="B636" s="80" t="s">
        <v>4439</v>
      </c>
      <c r="C636" s="81">
        <v>45469</v>
      </c>
      <c r="D636" s="82">
        <v>0.60416666666666663</v>
      </c>
      <c r="E636" s="79" t="s">
        <v>151</v>
      </c>
      <c r="F636" s="79" t="s">
        <v>152</v>
      </c>
      <c r="G636" s="79" t="s">
        <v>153</v>
      </c>
      <c r="H636" s="79" t="s">
        <v>152</v>
      </c>
      <c r="I636" s="79" t="s">
        <v>152</v>
      </c>
      <c r="J636" s="79" t="s">
        <v>1768</v>
      </c>
      <c r="K636" s="79" t="s">
        <v>202</v>
      </c>
      <c r="L636" s="80" t="s">
        <v>4440</v>
      </c>
      <c r="M636" s="80" t="s">
        <v>157</v>
      </c>
      <c r="N636" s="79" t="s">
        <v>818</v>
      </c>
      <c r="O636" s="80" t="str">
        <f t="shared" si="520"/>
        <v/>
      </c>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t="s">
        <v>169</v>
      </c>
      <c r="AP636" s="79" t="s">
        <v>170</v>
      </c>
      <c r="AQ636" s="80" t="s">
        <v>171</v>
      </c>
      <c r="AR636" s="80" t="s">
        <v>171</v>
      </c>
      <c r="AS636" s="80" t="s">
        <v>171</v>
      </c>
      <c r="AT636" s="80" t="str">
        <f t="shared" si="545"/>
        <v>Distrital</v>
      </c>
      <c r="AU636" s="79" t="s">
        <v>172</v>
      </c>
      <c r="AV636" s="79"/>
      <c r="AW636" s="79"/>
      <c r="AX636" s="79"/>
      <c r="AY636" s="79"/>
      <c r="AZ636" s="79"/>
      <c r="BA636" s="80" t="str">
        <f t="shared" si="562"/>
        <v>Centro Ampliado</v>
      </c>
      <c r="BB636" s="79" t="s">
        <v>636</v>
      </c>
      <c r="BC636" s="79"/>
      <c r="BD636" s="79"/>
      <c r="BE636" s="79"/>
      <c r="BF636" s="79"/>
      <c r="BG636" s="79"/>
      <c r="BH636" s="80" t="str">
        <f t="shared" si="563"/>
        <v>Distrital</v>
      </c>
      <c r="BI636" s="79" t="s">
        <v>172</v>
      </c>
      <c r="BJ636" s="79"/>
      <c r="BK636" s="79"/>
      <c r="BL636" s="79"/>
      <c r="BM636" s="79"/>
      <c r="BN636" s="79"/>
      <c r="BO636" s="79"/>
      <c r="BP636" s="79"/>
      <c r="BQ636" s="79"/>
      <c r="BR636" s="79"/>
      <c r="BS636" s="80" t="s">
        <v>288</v>
      </c>
      <c r="BT636" s="80" t="s">
        <v>4441</v>
      </c>
      <c r="BU636" s="128" t="s">
        <v>4442</v>
      </c>
      <c r="BV636" s="71"/>
      <c r="BW636" s="79" t="s">
        <v>152</v>
      </c>
      <c r="BX636" s="79" t="s">
        <v>179</v>
      </c>
      <c r="BY636" s="71"/>
      <c r="BZ636" s="79">
        <v>0</v>
      </c>
      <c r="CA636" s="79">
        <v>7</v>
      </c>
      <c r="CB636" s="79">
        <v>7</v>
      </c>
      <c r="CC636" s="79" t="str">
        <f t="shared" si="382"/>
        <v>Horarios Acordes</v>
      </c>
      <c r="CD636" s="79" t="s">
        <v>351</v>
      </c>
      <c r="CE636" s="79"/>
      <c r="CF636" s="79"/>
      <c r="CG636" s="83" t="s">
        <v>4443</v>
      </c>
      <c r="CH636" s="41"/>
      <c r="CI636" s="79" t="s">
        <v>153</v>
      </c>
      <c r="CJ636" s="71"/>
      <c r="CK636" s="79">
        <f t="shared" si="584"/>
        <v>0</v>
      </c>
      <c r="CL636" s="79"/>
      <c r="CM636" s="79"/>
      <c r="CN636" s="79"/>
      <c r="CO636" s="79"/>
      <c r="CP636" s="79"/>
      <c r="CQ636" s="79"/>
      <c r="CR636" s="83" t="s">
        <v>179</v>
      </c>
      <c r="CS636" s="83" t="s">
        <v>179</v>
      </c>
      <c r="CT636" s="83" t="s">
        <v>179</v>
      </c>
      <c r="CU636" s="83" t="s">
        <v>179</v>
      </c>
      <c r="CV636" s="83" t="s">
        <v>179</v>
      </c>
      <c r="CW636" s="83" t="s">
        <v>179</v>
      </c>
      <c r="CX636" s="79" t="s">
        <v>153</v>
      </c>
      <c r="CY636" s="79">
        <f t="shared" si="585"/>
        <v>0</v>
      </c>
      <c r="CZ636" s="79">
        <v>0</v>
      </c>
      <c r="DA636" s="79">
        <f t="shared" si="586"/>
        <v>0</v>
      </c>
      <c r="DB636" s="84" t="str">
        <f t="shared" si="587"/>
        <v/>
      </c>
      <c r="DC636" s="41"/>
      <c r="DD636" s="79" t="s">
        <v>153</v>
      </c>
      <c r="DE636" s="71"/>
      <c r="DF636" s="127" t="s">
        <v>4444</v>
      </c>
      <c r="DG636" s="79">
        <v>626</v>
      </c>
      <c r="DH636" s="86" t="str">
        <f t="shared" si="537"/>
        <v>Completo</v>
      </c>
      <c r="DI636" s="79" t="s">
        <v>181</v>
      </c>
      <c r="DJ636" s="79" t="s">
        <v>182</v>
      </c>
      <c r="DK636" s="79"/>
      <c r="DL636" s="79">
        <v>0</v>
      </c>
      <c r="DM636" s="79">
        <v>0</v>
      </c>
      <c r="DN636" s="79"/>
      <c r="DO636" s="79"/>
      <c r="DP636" s="79"/>
      <c r="DQ636" s="79"/>
      <c r="DR636" s="75" t="str">
        <f t="shared" si="576"/>
        <v>No aplica</v>
      </c>
      <c r="DS636" s="79"/>
      <c r="DT636" s="79"/>
      <c r="DU636" s="75" t="str">
        <f t="shared" si="577"/>
        <v>No aplica</v>
      </c>
      <c r="DV636" s="79"/>
      <c r="DW636" s="79"/>
      <c r="DX636" s="79"/>
      <c r="DY636" s="79"/>
      <c r="DZ636" s="79"/>
      <c r="EA636" s="79"/>
      <c r="EB636" s="79"/>
      <c r="EC636" s="79"/>
      <c r="ED636" s="79" t="s">
        <v>4445</v>
      </c>
      <c r="EE636" s="79" t="str">
        <f t="shared" si="588"/>
        <v>Completo</v>
      </c>
      <c r="EF636" s="41"/>
      <c r="EG636" s="79" t="s">
        <v>153</v>
      </c>
      <c r="EH636" s="71"/>
      <c r="EI636" s="80"/>
      <c r="EJ636" s="71"/>
      <c r="EK636" s="79"/>
      <c r="EL636" s="87" t="str">
        <f t="shared" si="465"/>
        <v>No requiere</v>
      </c>
      <c r="EM636" s="87" t="str">
        <f t="shared" si="466"/>
        <v>No requiere</v>
      </c>
      <c r="EN636" s="87" t="str">
        <f t="shared" si="589"/>
        <v>No requiere</v>
      </c>
      <c r="EO636" s="71"/>
      <c r="EP636" s="84" t="str">
        <f t="shared" si="467"/>
        <v>No requiere</v>
      </c>
      <c r="EQ636" s="88" t="str">
        <f t="shared" si="468"/>
        <v>No requiere</v>
      </c>
      <c r="ER636" s="71"/>
      <c r="ES636" s="79"/>
      <c r="ET636" s="84" t="str">
        <f t="shared" si="469"/>
        <v>No requiere</v>
      </c>
      <c r="EU636" s="84" t="str">
        <f t="shared" si="590"/>
        <v>No requiere</v>
      </c>
      <c r="EV636" s="84" t="str">
        <f t="shared" si="470"/>
        <v>No requiere</v>
      </c>
      <c r="EW636" s="84" t="str">
        <f t="shared" si="581"/>
        <v>No requiere</v>
      </c>
      <c r="EX636" s="78"/>
      <c r="EY636" s="78"/>
    </row>
    <row r="637" spans="1:155" ht="46.5" customHeight="1">
      <c r="A637" s="79">
        <v>633</v>
      </c>
      <c r="B637" s="80" t="s">
        <v>4446</v>
      </c>
      <c r="C637" s="81">
        <v>45469</v>
      </c>
      <c r="D637" s="82">
        <v>0.625</v>
      </c>
      <c r="E637" s="79" t="s">
        <v>151</v>
      </c>
      <c r="F637" s="79" t="s">
        <v>153</v>
      </c>
      <c r="G637" s="79" t="s">
        <v>153</v>
      </c>
      <c r="H637" s="79" t="s">
        <v>152</v>
      </c>
      <c r="I637" s="79" t="s">
        <v>152</v>
      </c>
      <c r="J637" s="79" t="s">
        <v>3999</v>
      </c>
      <c r="K637" s="79" t="s">
        <v>155</v>
      </c>
      <c r="L637" s="80" t="s">
        <v>4431</v>
      </c>
      <c r="M637" s="80" t="s">
        <v>241</v>
      </c>
      <c r="N637" s="79" t="s">
        <v>675</v>
      </c>
      <c r="O637" s="80" t="str">
        <f>_xlfn.TEXTJOIN(", ",TRUE,P637:AN637)</f>
        <v>Paola Andrea González, Nestor Jecfrid Sánchez, Renata Rengifo Moyano</v>
      </c>
      <c r="P637" s="79" t="s">
        <v>924</v>
      </c>
      <c r="Q637" s="79" t="s">
        <v>965</v>
      </c>
      <c r="R637" s="79" t="s">
        <v>1066</v>
      </c>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t="s">
        <v>304</v>
      </c>
      <c r="AP637" s="79"/>
      <c r="AQ637" s="80" t="s">
        <v>4447</v>
      </c>
      <c r="AR637" s="83" t="s">
        <v>4448</v>
      </c>
      <c r="AS637" s="80" t="s">
        <v>171</v>
      </c>
      <c r="AT637" s="80" t="str">
        <f>_xlfn.TEXTJOIN(", ",TRUE,$AU637:$AY637)</f>
        <v>Bosa</v>
      </c>
      <c r="AU637" s="79" t="s">
        <v>730</v>
      </c>
      <c r="AV637" s="79"/>
      <c r="AW637" s="79"/>
      <c r="AX637" s="79"/>
      <c r="AY637" s="79"/>
      <c r="AZ637" s="79"/>
      <c r="BA637" s="80" t="str">
        <f>_xlfn.TEXTJOIN(", ",TRUE,$BB637:$BG637)</f>
        <v>Suroccidente</v>
      </c>
      <c r="BB637" s="79" t="s">
        <v>732</v>
      </c>
      <c r="BC637" s="79"/>
      <c r="BD637" s="79"/>
      <c r="BE637" s="79"/>
      <c r="BF637" s="79"/>
      <c r="BG637" s="79"/>
      <c r="BH637" s="80" t="str">
        <f>_xlfn.TEXTJOIN(", ",TRUE,$BI637:$BR637)</f>
        <v>Edén, Patio Bonito, Bosa</v>
      </c>
      <c r="BI637" s="79" t="s">
        <v>1057</v>
      </c>
      <c r="BJ637" s="79" t="s">
        <v>967</v>
      </c>
      <c r="BK637" s="79" t="s">
        <v>730</v>
      </c>
      <c r="BL637" s="79"/>
      <c r="BM637" s="79"/>
      <c r="BN637" s="79"/>
      <c r="BO637" s="79"/>
      <c r="BP637" s="79"/>
      <c r="BQ637" s="79"/>
      <c r="BR637" s="79"/>
      <c r="BS637" s="80" t="s">
        <v>4449</v>
      </c>
      <c r="BT637" s="80" t="s">
        <v>174</v>
      </c>
      <c r="BU637" s="80" t="s">
        <v>4450</v>
      </c>
      <c r="BV637" s="71"/>
      <c r="BW637" s="79" t="s">
        <v>152</v>
      </c>
      <c r="BX637" s="79" t="s">
        <v>179</v>
      </c>
      <c r="BY637" s="71"/>
      <c r="BZ637" s="79">
        <v>2</v>
      </c>
      <c r="CA637" s="79">
        <v>3</v>
      </c>
      <c r="CB637" s="79">
        <f>BZ637+CA637</f>
        <v>5</v>
      </c>
      <c r="CC637" s="79" t="str">
        <f>_xlfn.TEXTJOIN(", ",TRUE,$CD637:$CF637)</f>
        <v>Contenidos adaptados</v>
      </c>
      <c r="CD637" s="79" t="s">
        <v>350</v>
      </c>
      <c r="CE637" s="79"/>
      <c r="CF637" s="79"/>
      <c r="CG637" s="83" t="s">
        <v>4451</v>
      </c>
      <c r="CH637" s="41"/>
      <c r="CI637" s="79" t="s">
        <v>153</v>
      </c>
      <c r="CJ637" s="71"/>
      <c r="CK637" s="79">
        <f>COUNTIF(CL637:CQ637,"*")</f>
        <v>0</v>
      </c>
      <c r="CL637" s="79"/>
      <c r="CM637" s="79"/>
      <c r="CN637" s="79"/>
      <c r="CO637" s="79"/>
      <c r="CP637" s="79"/>
      <c r="CQ637" s="79"/>
      <c r="CR637" s="83" t="s">
        <v>179</v>
      </c>
      <c r="CS637" s="83" t="s">
        <v>179</v>
      </c>
      <c r="CT637" s="83" t="s">
        <v>179</v>
      </c>
      <c r="CU637" s="83" t="s">
        <v>179</v>
      </c>
      <c r="CV637" s="83" t="s">
        <v>179</v>
      </c>
      <c r="CW637" s="83" t="s">
        <v>179</v>
      </c>
      <c r="CX637" s="79" t="s">
        <v>153</v>
      </c>
      <c r="CY637" s="79">
        <f>SUM(COUNTIF(CR637:CW637,"Realizado y Devuelto a la Ciudadanía"),COUNTIF(CR637:CW637,"Realizado y Trasladado por competencia"), COUNTIF(CR637:CW637,"Realizado y Gestionado"))</f>
        <v>0</v>
      </c>
      <c r="CZ637" s="79">
        <v>0</v>
      </c>
      <c r="DA637" s="79">
        <f>COUNTIF(CR637:CW637,"Realizado y Devuelto a la Ciudadanía")</f>
        <v>0</v>
      </c>
      <c r="DB637" s="84" t="str">
        <f>IFERROR(CY637/CK637,"")</f>
        <v/>
      </c>
      <c r="DC637" s="41"/>
      <c r="DD637" s="79" t="s">
        <v>153</v>
      </c>
      <c r="DE637" s="71"/>
      <c r="DF637" s="127" t="s">
        <v>4452</v>
      </c>
      <c r="DG637" s="79">
        <v>627</v>
      </c>
      <c r="DH637" s="86" t="str">
        <f>IF(EE637="Por completar",C637+3,"Completo")</f>
        <v>Completo</v>
      </c>
      <c r="DI637" s="79" t="s">
        <v>181</v>
      </c>
      <c r="DJ637" s="79" t="s">
        <v>182</v>
      </c>
      <c r="DK637" s="79"/>
      <c r="DL637" s="79">
        <v>0</v>
      </c>
      <c r="DM637" s="79">
        <v>0</v>
      </c>
      <c r="DN637" s="79" t="s">
        <v>182</v>
      </c>
      <c r="DO637" s="79"/>
      <c r="DP637" s="79"/>
      <c r="DQ637" s="79"/>
      <c r="DR637" s="75" t="str">
        <f>IF(H637="SÍ", (DQ637/(BZ637*0.3)), "No aplica")</f>
        <v>No aplica</v>
      </c>
      <c r="DS637" s="79"/>
      <c r="DT637" s="79"/>
      <c r="DU637" s="75" t="str">
        <f>IF(H637="SÍ", (DT637/(BZ637*0.35)), "No aplica")</f>
        <v>No aplica</v>
      </c>
      <c r="DV637" s="79" t="s">
        <v>182</v>
      </c>
      <c r="DW637" s="79" t="s">
        <v>191</v>
      </c>
      <c r="DX637" s="79"/>
      <c r="DY637" s="79"/>
      <c r="DZ637" s="79"/>
      <c r="EA637" s="79">
        <v>2</v>
      </c>
      <c r="EB637" s="79"/>
      <c r="EC637" s="79"/>
      <c r="ED637" s="79" t="s">
        <v>4438</v>
      </c>
      <c r="EE637" s="79" t="str">
        <f>IF(DI637="Subsanado","Completo","Por Completar")</f>
        <v>Completo</v>
      </c>
      <c r="EF637" s="41"/>
      <c r="EG637" s="79" t="s">
        <v>153</v>
      </c>
      <c r="EH637" s="71"/>
      <c r="EI637" s="80"/>
      <c r="EJ637" s="71"/>
      <c r="EK637" s="79"/>
      <c r="EL637" s="87" t="str">
        <f>IF(F637="NO","No requiere",IF(H637="No","No requiere",IF(DW637="","",IF(DW637&lt;&gt;"No aplica",IF(DX637&lt;&gt;"No aplica",IF(DX637&gt;=2,"Sí","No"),"No aplica"),"No aplica"))))</f>
        <v>No requiere</v>
      </c>
      <c r="EM637" s="87" t="str">
        <f>IF(F637="NO","No requiere",IF(H637="No","No requiere",IF(DW637="","",IF(DW637&lt;&gt;"No aplica",IF(DY637&lt;&gt;"No aplica",IF(DY637&gt;=1,"Sí","No"),"No aplica"),"No aplica"))))</f>
        <v>No requiere</v>
      </c>
      <c r="EN637" s="87" t="str">
        <f>IF(F637="NO","No requiere",IF(H637="No","No requiere",IF(CC637="","",IF(CD637&lt;&gt;"No aplica",IF(CD637&lt;&gt;"Ninguna",IF(COUNTIF(CD637:CF637,"*")&gt;=1,"Sí","No"),"No"),"No aplica"))))</f>
        <v>No requiere</v>
      </c>
      <c r="EO637" s="71"/>
      <c r="EP637" s="84" t="str">
        <f>IF(F637="NO","No requiere",IF(H637="No","No requiere",IF(DL637="","",IF(DL637&gt;=1,DM637/DL637,"No aplica"))))</f>
        <v>No requiere</v>
      </c>
      <c r="EQ637" s="88" t="str">
        <f>IFERROR(IF(F637="NO","No requiere",IF(H637="No","No requiere",DU637)),"")</f>
        <v>No requiere</v>
      </c>
      <c r="ER637" s="71"/>
      <c r="ES637" s="79"/>
      <c r="ET637" s="84" t="str">
        <f>IF(F637="NO","No requiere",IF(H637="No","No requiere",IFERROR(COUNTIF(DJ637:DW637,"Completo")/SUM(COUNTIF(DJ637:DW637,"Completo"),COUNTIF(DJ637:DW637,"Incompleto"),COUNTIF(DJ637:DW637,"No subido"),COUNTIF(DJ637:DW637,"No existente"),COUNTIF(DJ637:DW637,"Pendiente")),"")))</f>
        <v>No requiere</v>
      </c>
      <c r="EU637" s="84" t="str">
        <f>IF(F637="NO","No requiere",IF(H637="No","No requiere",IF(B637="","",IF(CX637="SÍ",IF(CK637&gt;=1,CY637/CK637,"Sin compromisos"),"Por verificar"))))</f>
        <v>No requiere</v>
      </c>
      <c r="EV637" s="84" t="str">
        <f>IF(EU637="Por verificar","Por verificar",IF(F637="NO","No requiere",IF(H637="No","No requiere",IFERROR(IF(EU637="","",IF(CK637&gt;=1,DA637/CZ637,"No aplica")),"No aplica"))))</f>
        <v>No requiere</v>
      </c>
      <c r="EW637" s="84" t="str">
        <f>IF(F637="NO","No requiere",IF(H637="No","No requiere",IFERROR(IF(BZ637="","",IF(EA637&lt;&gt;"No aplica",IF(EA637&gt;=1,DO637/EA637,"0%"),"No aplica")),"")))</f>
        <v>No requiere</v>
      </c>
      <c r="EX637" s="78"/>
      <c r="EY637" s="78"/>
    </row>
    <row r="638" spans="1:155" ht="46.5" customHeight="1">
      <c r="A638" s="79">
        <v>634</v>
      </c>
      <c r="B638" s="80" t="s">
        <v>4453</v>
      </c>
      <c r="C638" s="81">
        <v>45469</v>
      </c>
      <c r="D638" s="82">
        <v>0.77083333333333337</v>
      </c>
      <c r="E638" s="79" t="s">
        <v>200</v>
      </c>
      <c r="F638" s="79" t="s">
        <v>153</v>
      </c>
      <c r="G638" s="79" t="s">
        <v>152</v>
      </c>
      <c r="H638" s="79" t="s">
        <v>152</v>
      </c>
      <c r="I638" s="79" t="s">
        <v>152</v>
      </c>
      <c r="J638" s="79" t="s">
        <v>211</v>
      </c>
      <c r="K638" s="79" t="s">
        <v>202</v>
      </c>
      <c r="L638" s="80" t="s">
        <v>4454</v>
      </c>
      <c r="M638" s="80" t="s">
        <v>624</v>
      </c>
      <c r="N638" s="79" t="s">
        <v>888</v>
      </c>
      <c r="O638" s="80" t="str">
        <f t="shared" si="520"/>
        <v/>
      </c>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t="s">
        <v>230</v>
      </c>
      <c r="AP638" s="79" t="s">
        <v>242</v>
      </c>
      <c r="AQ638" s="80" t="s">
        <v>4455</v>
      </c>
      <c r="AR638" s="83" t="s">
        <v>4456</v>
      </c>
      <c r="AS638" s="80" t="s">
        <v>682</v>
      </c>
      <c r="AT638" s="80" t="str">
        <f t="shared" si="545"/>
        <v>Distrital</v>
      </c>
      <c r="AU638" s="79" t="s">
        <v>172</v>
      </c>
      <c r="AV638" s="79"/>
      <c r="AW638" s="79"/>
      <c r="AX638" s="79"/>
      <c r="AY638" s="79"/>
      <c r="AZ638" s="79"/>
      <c r="BA638" s="80" t="str">
        <f t="shared" si="562"/>
        <v>Distrital</v>
      </c>
      <c r="BB638" s="79" t="s">
        <v>172</v>
      </c>
      <c r="BC638" s="79"/>
      <c r="BD638" s="79"/>
      <c r="BE638" s="79"/>
      <c r="BF638" s="79"/>
      <c r="BG638" s="79"/>
      <c r="BH638" s="80" t="str">
        <f t="shared" si="563"/>
        <v>Distrital</v>
      </c>
      <c r="BI638" s="79" t="s">
        <v>172</v>
      </c>
      <c r="BJ638" s="79"/>
      <c r="BK638" s="79"/>
      <c r="BL638" s="79"/>
      <c r="BM638" s="79"/>
      <c r="BN638" s="79"/>
      <c r="BO638" s="79"/>
      <c r="BP638" s="79"/>
      <c r="BQ638" s="79"/>
      <c r="BR638" s="79"/>
      <c r="BS638" s="80" t="s">
        <v>288</v>
      </c>
      <c r="BT638" s="80" t="s">
        <v>174</v>
      </c>
      <c r="BU638" s="128" t="s">
        <v>3931</v>
      </c>
      <c r="BV638" s="71"/>
      <c r="BW638" s="79" t="s">
        <v>152</v>
      </c>
      <c r="BX638" s="79" t="s">
        <v>179</v>
      </c>
      <c r="BY638" s="71"/>
      <c r="BZ638" s="79">
        <v>6</v>
      </c>
      <c r="CA638" s="79">
        <v>1</v>
      </c>
      <c r="CB638" s="79">
        <f t="shared" ref="CB638:CB648" si="591">BZ638+CA638</f>
        <v>7</v>
      </c>
      <c r="CC638" s="79" t="str">
        <f t="shared" si="382"/>
        <v>Ninguna</v>
      </c>
      <c r="CD638" s="79" t="s">
        <v>174</v>
      </c>
      <c r="CE638" s="79"/>
      <c r="CF638" s="79"/>
      <c r="CG638" s="83" t="s">
        <v>4457</v>
      </c>
      <c r="CH638" s="41"/>
      <c r="CI638" s="79" t="s">
        <v>153</v>
      </c>
      <c r="CJ638" s="71"/>
      <c r="CK638" s="79">
        <f t="shared" ref="CK638:CK644" si="592">COUNTIF(CL638:CQ638,"*")</f>
        <v>0</v>
      </c>
      <c r="CL638" s="79"/>
      <c r="CM638" s="79"/>
      <c r="CN638" s="79"/>
      <c r="CO638" s="79"/>
      <c r="CP638" s="79"/>
      <c r="CQ638" s="79"/>
      <c r="CR638" s="83" t="s">
        <v>179</v>
      </c>
      <c r="CS638" s="83" t="s">
        <v>179</v>
      </c>
      <c r="CT638" s="83" t="s">
        <v>179</v>
      </c>
      <c r="CU638" s="83" t="s">
        <v>179</v>
      </c>
      <c r="CV638" s="83" t="s">
        <v>179</v>
      </c>
      <c r="CW638" s="83" t="s">
        <v>179</v>
      </c>
      <c r="CX638" s="79" t="s">
        <v>153</v>
      </c>
      <c r="CY638" s="79">
        <f t="shared" ref="CY638:CY647" si="593">SUM(COUNTIF(CR638:CW638,"Realizado y Devuelto a la Ciudadanía"),COUNTIF(CR638:CW638,"Realizado y Trasladado por competencia"), COUNTIF(CR638:CW638,"Realizado y Gestionado"))</f>
        <v>0</v>
      </c>
      <c r="CZ638" s="79">
        <v>0</v>
      </c>
      <c r="DA638" s="79">
        <f t="shared" ref="DA638:DA647" si="594">COUNTIF(CR638:CW638,"Realizado y Devuelto a la Ciudadanía")</f>
        <v>0</v>
      </c>
      <c r="DB638" s="84" t="str">
        <f t="shared" ref="DB638:DB648" si="595">IFERROR(CY638/CK638,"")</f>
        <v/>
      </c>
      <c r="DC638" s="41"/>
      <c r="DD638" s="79" t="s">
        <v>153</v>
      </c>
      <c r="DE638" s="71"/>
      <c r="DF638" s="127" t="s">
        <v>4458</v>
      </c>
      <c r="DG638" s="79">
        <v>628</v>
      </c>
      <c r="DH638" s="86" t="str">
        <f t="shared" si="537"/>
        <v>Completo</v>
      </c>
      <c r="DI638" s="79" t="s">
        <v>181</v>
      </c>
      <c r="DJ638" s="79" t="s">
        <v>182</v>
      </c>
      <c r="DK638" s="79"/>
      <c r="DL638" s="79">
        <v>0</v>
      </c>
      <c r="DM638" s="79">
        <v>0</v>
      </c>
      <c r="DN638" s="79" t="s">
        <v>182</v>
      </c>
      <c r="DO638" s="79"/>
      <c r="DP638" s="79"/>
      <c r="DQ638" s="79"/>
      <c r="DR638" s="75" t="str">
        <f t="shared" si="576"/>
        <v>No aplica</v>
      </c>
      <c r="DS638" s="79"/>
      <c r="DT638" s="79"/>
      <c r="DU638" s="75" t="str">
        <f t="shared" si="577"/>
        <v>No aplica</v>
      </c>
      <c r="DV638" s="79" t="s">
        <v>182</v>
      </c>
      <c r="DW638" s="79" t="s">
        <v>182</v>
      </c>
      <c r="DX638" s="79"/>
      <c r="DY638" s="79"/>
      <c r="DZ638" s="79"/>
      <c r="EA638" s="79"/>
      <c r="EB638" s="79" t="s">
        <v>182</v>
      </c>
      <c r="EC638" s="79" t="s">
        <v>4459</v>
      </c>
      <c r="ED638" s="79" t="s">
        <v>4460</v>
      </c>
      <c r="EE638" s="79" t="str">
        <f t="shared" ref="EE638:EE648" si="596">IF(DI638="Subsanado","Completo","Por Completar")</f>
        <v>Completo</v>
      </c>
      <c r="EF638" s="41"/>
      <c r="EG638" s="79" t="s">
        <v>153</v>
      </c>
      <c r="EH638" s="71"/>
      <c r="EI638" s="80"/>
      <c r="EJ638" s="71"/>
      <c r="EK638" s="79"/>
      <c r="EL638" s="87" t="str">
        <f t="shared" si="465"/>
        <v>No requiere</v>
      </c>
      <c r="EM638" s="87" t="str">
        <f t="shared" si="466"/>
        <v>No requiere</v>
      </c>
      <c r="EN638" s="87" t="str">
        <f t="shared" ref="EN638:EN648" si="597">IF(F638="NO","No requiere",IF(H638="No","No requiere",IF(CC638="","",IF(CD638&lt;&gt;"No aplica",IF(CD638&lt;&gt;"Ninguna",IF(COUNTIF(CD638:CF638,"*")&gt;=1,"Sí","No"),"No"),"No aplica"))))</f>
        <v>No requiere</v>
      </c>
      <c r="EO638" s="71"/>
      <c r="EP638" s="84" t="str">
        <f t="shared" si="467"/>
        <v>No requiere</v>
      </c>
      <c r="EQ638" s="88" t="str">
        <f t="shared" si="468"/>
        <v>No requiere</v>
      </c>
      <c r="ER638" s="71"/>
      <c r="ES638" s="79"/>
      <c r="ET638" s="84" t="str">
        <f t="shared" si="469"/>
        <v>No requiere</v>
      </c>
      <c r="EU638" s="84" t="str">
        <f t="shared" ref="EU638:EU648" si="598">IF(F638="NO","No requiere",IF(H638="No","No requiere",IF(B638="","",IF(CX638="SÍ",IF(CK638&gt;=1,CY638/CK638,"Sin compromisos"),"Por verificar"))))</f>
        <v>No requiere</v>
      </c>
      <c r="EV638" s="84" t="str">
        <f t="shared" si="470"/>
        <v>No requiere</v>
      </c>
      <c r="EW638" s="84" t="str">
        <f t="shared" si="581"/>
        <v>No requiere</v>
      </c>
      <c r="EX638" s="78"/>
      <c r="EY638" s="78"/>
    </row>
    <row r="639" spans="1:155" ht="46.5" customHeight="1">
      <c r="A639" s="79">
        <v>635</v>
      </c>
      <c r="B639" s="80" t="s">
        <v>4461</v>
      </c>
      <c r="C639" s="81">
        <v>45470</v>
      </c>
      <c r="D639" s="82">
        <v>0.375</v>
      </c>
      <c r="E639" s="79" t="s">
        <v>151</v>
      </c>
      <c r="F639" s="79" t="s">
        <v>153</v>
      </c>
      <c r="G639" s="79" t="s">
        <v>153</v>
      </c>
      <c r="H639" s="79" t="s">
        <v>152</v>
      </c>
      <c r="I639" s="79" t="s">
        <v>152</v>
      </c>
      <c r="J639" s="79" t="s">
        <v>3999</v>
      </c>
      <c r="K639" s="79" t="s">
        <v>155</v>
      </c>
      <c r="L639" s="80" t="s">
        <v>4462</v>
      </c>
      <c r="M639" s="80" t="s">
        <v>241</v>
      </c>
      <c r="N639" s="79" t="s">
        <v>862</v>
      </c>
      <c r="O639" s="80" t="str">
        <f>_xlfn.TEXTJOIN(", ",TRUE,P639:AN639)</f>
        <v>Nicolas Esteban Hernández</v>
      </c>
      <c r="P639" s="79" t="s">
        <v>645</v>
      </c>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t="s">
        <v>230</v>
      </c>
      <c r="AP639" s="79" t="s">
        <v>2065</v>
      </c>
      <c r="AQ639" s="80" t="s">
        <v>4463</v>
      </c>
      <c r="AR639" s="83" t="s">
        <v>4464</v>
      </c>
      <c r="AS639" s="80" t="s">
        <v>4465</v>
      </c>
      <c r="AT639" s="80" t="str">
        <f>_xlfn.TEXTJOIN(", ",TRUE,$AU639:$AY639)</f>
        <v>Tunjuelito</v>
      </c>
      <c r="AU639" s="79" t="s">
        <v>937</v>
      </c>
      <c r="AV639" s="79"/>
      <c r="AW639" s="79"/>
      <c r="AX639" s="79"/>
      <c r="AY639" s="79"/>
      <c r="AZ639" s="79"/>
      <c r="BA639" s="80" t="str">
        <f>_xlfn.TEXTJOIN(", ",TRUE,$BB639:$BG639)</f>
        <v>Suroriente</v>
      </c>
      <c r="BB639" s="79" t="s">
        <v>218</v>
      </c>
      <c r="BC639" s="79"/>
      <c r="BD639" s="79"/>
      <c r="BE639" s="79"/>
      <c r="BF639" s="79"/>
      <c r="BG639" s="79"/>
      <c r="BH639" s="80" t="str">
        <f>_xlfn.TEXTJOIN(", ",TRUE,$BI639:$BR639)</f>
        <v>Tunjuelito, Arborizadora</v>
      </c>
      <c r="BI639" s="79" t="s">
        <v>937</v>
      </c>
      <c r="BJ639" s="79" t="s">
        <v>220</v>
      </c>
      <c r="BK639" s="79"/>
      <c r="BL639" s="79"/>
      <c r="BM639" s="79"/>
      <c r="BN639" s="79"/>
      <c r="BO639" s="79"/>
      <c r="BP639" s="79"/>
      <c r="BQ639" s="79"/>
      <c r="BR639" s="79"/>
      <c r="BS639" s="80" t="s">
        <v>288</v>
      </c>
      <c r="BT639" s="80" t="s">
        <v>174</v>
      </c>
      <c r="BU639" s="80" t="s">
        <v>4466</v>
      </c>
      <c r="BV639" s="71"/>
      <c r="BW639" s="79" t="s">
        <v>152</v>
      </c>
      <c r="BX639" s="79" t="s">
        <v>179</v>
      </c>
      <c r="BY639" s="71"/>
      <c r="BZ639" s="79">
        <v>9</v>
      </c>
      <c r="CA639" s="79">
        <v>2</v>
      </c>
      <c r="CB639" s="79">
        <f>BZ639+CA639</f>
        <v>11</v>
      </c>
      <c r="CC639" s="79" t="str">
        <f>_xlfn.TEXTJOIN(", ",TRUE,$CD639:$CF639)</f>
        <v>Horarios Acordes</v>
      </c>
      <c r="CD639" s="79" t="s">
        <v>351</v>
      </c>
      <c r="CE639" s="79"/>
      <c r="CF639" s="79"/>
      <c r="CG639" s="83" t="s">
        <v>4467</v>
      </c>
      <c r="CH639" s="41"/>
      <c r="CI639" s="79"/>
      <c r="CJ639" s="71"/>
      <c r="CK639" s="79">
        <f>COUNTIF(CL639:CQ639,"*")</f>
        <v>0</v>
      </c>
      <c r="CL639" s="79"/>
      <c r="CM639" s="79"/>
      <c r="CN639" s="79"/>
      <c r="CO639" s="79"/>
      <c r="CP639" s="79"/>
      <c r="CQ639" s="79"/>
      <c r="CR639" s="83" t="s">
        <v>179</v>
      </c>
      <c r="CS639" s="83" t="s">
        <v>179</v>
      </c>
      <c r="CT639" s="83" t="s">
        <v>179</v>
      </c>
      <c r="CU639" s="83" t="s">
        <v>179</v>
      </c>
      <c r="CV639" s="83" t="s">
        <v>179</v>
      </c>
      <c r="CW639" s="83" t="s">
        <v>179</v>
      </c>
      <c r="CX639" s="79" t="s">
        <v>153</v>
      </c>
      <c r="CY639" s="79">
        <f>SUM(COUNTIF(CR639:CW639,"Realizado y Devuelto a la Ciudadanía"),COUNTIF(CR639:CW639,"Realizado y Trasladado por competencia"), COUNTIF(CR639:CW639,"Realizado y Gestionado"))</f>
        <v>0</v>
      </c>
      <c r="CZ639" s="79">
        <v>0</v>
      </c>
      <c r="DA639" s="79">
        <f>COUNTIF(CR639:CW639,"Realizado y Devuelto a la Ciudadanía")</f>
        <v>0</v>
      </c>
      <c r="DB639" s="84" t="str">
        <f>IFERROR(CY639/CK639,"")</f>
        <v/>
      </c>
      <c r="DC639" s="41"/>
      <c r="DD639" s="79" t="s">
        <v>153</v>
      </c>
      <c r="DE639" s="71"/>
      <c r="DF639" s="160" t="s">
        <v>4468</v>
      </c>
      <c r="DG639" s="79">
        <v>629</v>
      </c>
      <c r="DH639" s="86" t="str">
        <f>IF(EE639="Por completar",C639+3,"Completo")</f>
        <v>Completo</v>
      </c>
      <c r="DI639" s="79" t="s">
        <v>181</v>
      </c>
      <c r="DJ639" s="79" t="s">
        <v>182</v>
      </c>
      <c r="DK639" s="79"/>
      <c r="DL639" s="79">
        <v>0</v>
      </c>
      <c r="DM639" s="79">
        <v>0</v>
      </c>
      <c r="DN639" s="79" t="s">
        <v>182</v>
      </c>
      <c r="DO639" s="79"/>
      <c r="DP639" s="79"/>
      <c r="DQ639" s="79"/>
      <c r="DR639" s="75" t="str">
        <f>IF(H639="SÍ", (DQ639/(BZ639*0.3)), "No aplica")</f>
        <v>No aplica</v>
      </c>
      <c r="DS639" s="79"/>
      <c r="DT639" s="79"/>
      <c r="DU639" s="75" t="str">
        <f>IF(H639="SÍ", (DT639/(BZ639*0.35)), "No aplica")</f>
        <v>No aplica</v>
      </c>
      <c r="DV639" s="79" t="s">
        <v>182</v>
      </c>
      <c r="DW639" s="79"/>
      <c r="DX639" s="79"/>
      <c r="DY639" s="79"/>
      <c r="DZ639" s="79"/>
      <c r="EA639" s="79"/>
      <c r="EB639" s="79" t="s">
        <v>182</v>
      </c>
      <c r="EC639" s="79" t="s">
        <v>4469</v>
      </c>
      <c r="ED639" s="79" t="s">
        <v>3912</v>
      </c>
      <c r="EE639" s="79" t="str">
        <f>IF(DI639="Subsanado","Completo","Por Completar")</f>
        <v>Completo</v>
      </c>
      <c r="EF639" s="41"/>
      <c r="EG639" s="79" t="s">
        <v>153</v>
      </c>
      <c r="EH639" s="71"/>
      <c r="EI639" s="80"/>
      <c r="EJ639" s="71"/>
      <c r="EK639" s="79"/>
      <c r="EL639" s="87" t="str">
        <f>IF(F639="NO","No requiere",IF(H639="No","No requiere",IF(DW639="","",IF(DW639&lt;&gt;"No aplica",IF(DX639&lt;&gt;"No aplica",IF(DX639&gt;=2,"Sí","No"),"No aplica"),"No aplica"))))</f>
        <v>No requiere</v>
      </c>
      <c r="EM639" s="87" t="str">
        <f>IF(F639="NO","No requiere",IF(H639="No","No requiere",IF(DW639="","",IF(DW639&lt;&gt;"No aplica",IF(DY639&lt;&gt;"No aplica",IF(DY639&gt;=1,"Sí","No"),"No aplica"),"No aplica"))))</f>
        <v>No requiere</v>
      </c>
      <c r="EN639" s="87" t="str">
        <f>IF(F639="NO","No requiere",IF(H639="No","No requiere",IF(CC639="","",IF(CD639&lt;&gt;"No aplica",IF(CD639&lt;&gt;"Ninguna",IF(COUNTIF(CD639:CF639,"*")&gt;=1,"Sí","No"),"No"),"No aplica"))))</f>
        <v>No requiere</v>
      </c>
      <c r="EO639" s="71"/>
      <c r="EP639" s="84" t="str">
        <f>IF(F639="NO","No requiere",IF(H639="No","No requiere",IF(DL639="","",IF(DL639&gt;=1,DM639/DL639,"No aplica"))))</f>
        <v>No requiere</v>
      </c>
      <c r="EQ639" s="88" t="str">
        <f>IFERROR(IF(F639="NO","No requiere",IF(H639="No","No requiere",DU639)),"")</f>
        <v>No requiere</v>
      </c>
      <c r="ER639" s="71"/>
      <c r="ES639" s="79"/>
      <c r="ET639" s="84" t="str">
        <f>IF(F639="NO","No requiere",IF(H639="No","No requiere",IFERROR(COUNTIF(DJ639:DW639,"Completo")/SUM(COUNTIF(DJ639:DW639,"Completo"),COUNTIF(DJ639:DW639,"Incompleto"),COUNTIF(DJ639:DW639,"No subido"),COUNTIF(DJ639:DW639,"No existente"),COUNTIF(DJ639:DW639,"Pendiente")),"")))</f>
        <v>No requiere</v>
      </c>
      <c r="EU639" s="84" t="str">
        <f>IF(F639="NO","No requiere",IF(H639="No","No requiere",IF(B639="","",IF(CX639="SÍ",IF(CK639&gt;=1,CY639/CK639,"Sin compromisos"),"Por verificar"))))</f>
        <v>No requiere</v>
      </c>
      <c r="EV639" s="84" t="str">
        <f>IF(EU639="Por verificar","Por verificar",IF(F639="NO","No requiere",IF(H639="No","No requiere",IFERROR(IF(EU639="","",IF(CK639&gt;=1,DA639/CZ639,"No aplica")),"No aplica"))))</f>
        <v>No requiere</v>
      </c>
      <c r="EW639" s="84" t="str">
        <f>IF(F639="NO","No requiere",IF(H639="No","No requiere",IFERROR(IF(BZ639="","",IF(EA639&lt;&gt;"No aplica",IF(EA639&gt;=1,DO639/EA639,"0%"),"No aplica")),"")))</f>
        <v>No requiere</v>
      </c>
      <c r="EX639" s="78"/>
      <c r="EY639" s="78"/>
    </row>
    <row r="640" spans="1:155" ht="46.5" customHeight="1">
      <c r="A640" s="79">
        <v>636</v>
      </c>
      <c r="B640" s="80" t="s">
        <v>4470</v>
      </c>
      <c r="C640" s="81">
        <v>45470</v>
      </c>
      <c r="D640" s="82">
        <v>0.39583333333333331</v>
      </c>
      <c r="E640" s="79" t="s">
        <v>151</v>
      </c>
      <c r="F640" s="79" t="s">
        <v>153</v>
      </c>
      <c r="G640" s="79" t="s">
        <v>153</v>
      </c>
      <c r="H640" s="79" t="s">
        <v>152</v>
      </c>
      <c r="I640" s="79" t="s">
        <v>152</v>
      </c>
      <c r="J640" s="79" t="s">
        <v>3999</v>
      </c>
      <c r="K640" s="79" t="s">
        <v>155</v>
      </c>
      <c r="L640" s="80" t="s">
        <v>4471</v>
      </c>
      <c r="M640" s="80" t="s">
        <v>229</v>
      </c>
      <c r="N640" s="79" t="s">
        <v>1387</v>
      </c>
      <c r="O640" s="80" t="str">
        <f t="shared" si="520"/>
        <v>Juan Pablo Serna</v>
      </c>
      <c r="P640" s="79" t="s">
        <v>818</v>
      </c>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t="s">
        <v>169</v>
      </c>
      <c r="AP640" s="79" t="s">
        <v>170</v>
      </c>
      <c r="AQ640" s="80" t="s">
        <v>4472</v>
      </c>
      <c r="AR640" s="83" t="s">
        <v>4473</v>
      </c>
      <c r="AS640" s="80" t="s">
        <v>4474</v>
      </c>
      <c r="AT640" s="80" t="str">
        <f t="shared" si="545"/>
        <v>Barrios Unidos</v>
      </c>
      <c r="AU640" s="79" t="s">
        <v>1031</v>
      </c>
      <c r="AV640" s="79"/>
      <c r="AW640" s="79"/>
      <c r="AX640" s="79"/>
      <c r="AY640" s="79"/>
      <c r="AZ640" s="79"/>
      <c r="BA640" s="80" t="str">
        <f t="shared" si="562"/>
        <v>Centro Ampliado</v>
      </c>
      <c r="BB640" s="79" t="s">
        <v>636</v>
      </c>
      <c r="BC640" s="79"/>
      <c r="BD640" s="79"/>
      <c r="BE640" s="79"/>
      <c r="BF640" s="79"/>
      <c r="BG640" s="79"/>
      <c r="BH640" s="80" t="str">
        <f t="shared" si="563"/>
        <v>Barrios Unidos</v>
      </c>
      <c r="BI640" s="79" t="s">
        <v>1031</v>
      </c>
      <c r="BJ640" s="79"/>
      <c r="BK640" s="79"/>
      <c r="BL640" s="79"/>
      <c r="BM640" s="79"/>
      <c r="BN640" s="79"/>
      <c r="BO640" s="79"/>
      <c r="BP640" s="79"/>
      <c r="BQ640" s="79"/>
      <c r="BR640" s="79"/>
      <c r="BS640" s="80" t="s">
        <v>4475</v>
      </c>
      <c r="BT640" s="80" t="s">
        <v>174</v>
      </c>
      <c r="BU640" s="80" t="s">
        <v>4476</v>
      </c>
      <c r="BV640" s="71"/>
      <c r="BW640" s="79" t="s">
        <v>152</v>
      </c>
      <c r="BX640" s="79" t="s">
        <v>179</v>
      </c>
      <c r="BY640" s="71"/>
      <c r="BZ640" s="79">
        <v>27</v>
      </c>
      <c r="CA640" s="79">
        <v>1</v>
      </c>
      <c r="CB640" s="79">
        <f t="shared" si="591"/>
        <v>28</v>
      </c>
      <c r="CC640" s="79" t="str">
        <f t="shared" si="382"/>
        <v>Ninguna</v>
      </c>
      <c r="CD640" s="79" t="s">
        <v>174</v>
      </c>
      <c r="CE640" s="79"/>
      <c r="CF640" s="79"/>
      <c r="CG640" s="83" t="s">
        <v>4477</v>
      </c>
      <c r="CH640" s="41"/>
      <c r="CI640" s="79" t="s">
        <v>153</v>
      </c>
      <c r="CJ640" s="71"/>
      <c r="CK640" s="79">
        <f t="shared" si="592"/>
        <v>0</v>
      </c>
      <c r="CL640" s="79"/>
      <c r="CM640" s="79"/>
      <c r="CN640" s="79"/>
      <c r="CO640" s="79"/>
      <c r="CP640" s="79"/>
      <c r="CQ640" s="79"/>
      <c r="CR640" s="83" t="s">
        <v>179</v>
      </c>
      <c r="CS640" s="83" t="s">
        <v>179</v>
      </c>
      <c r="CT640" s="83" t="s">
        <v>179</v>
      </c>
      <c r="CU640" s="83" t="s">
        <v>179</v>
      </c>
      <c r="CV640" s="83" t="s">
        <v>179</v>
      </c>
      <c r="CW640" s="83" t="s">
        <v>179</v>
      </c>
      <c r="CX640" s="79" t="s">
        <v>153</v>
      </c>
      <c r="CY640" s="79">
        <f>SUM(COUNTIF(CR640:CW640,"Realizado y Devuelto a la Ciudadanía"),COUNTIF(CR640:CW640,"Realizado y Trasladado por competencia"), COUNTIF(CR640:CW640,"Realizado y Gestionado"))</f>
        <v>0</v>
      </c>
      <c r="CZ640" s="79">
        <v>0</v>
      </c>
      <c r="DA640" s="79">
        <f>COUNTIF(CR640:CW640,"Realizado y Devuelto a la Ciudadanía")</f>
        <v>0</v>
      </c>
      <c r="DB640" s="84" t="str">
        <f t="shared" si="595"/>
        <v/>
      </c>
      <c r="DC640" s="41"/>
      <c r="DD640" s="79" t="s">
        <v>153</v>
      </c>
      <c r="DE640" s="71"/>
      <c r="DF640" s="127" t="s">
        <v>4478</v>
      </c>
      <c r="DG640" s="79">
        <v>630</v>
      </c>
      <c r="DH640" s="86" t="str">
        <f t="shared" si="537"/>
        <v>Completo</v>
      </c>
      <c r="DI640" s="79" t="s">
        <v>181</v>
      </c>
      <c r="DJ640" s="79" t="s">
        <v>182</v>
      </c>
      <c r="DK640" s="79"/>
      <c r="DL640" s="79">
        <v>0</v>
      </c>
      <c r="DM640" s="79">
        <v>0</v>
      </c>
      <c r="DN640" s="79" t="s">
        <v>182</v>
      </c>
      <c r="DO640" s="79"/>
      <c r="DP640" s="79"/>
      <c r="DQ640" s="79"/>
      <c r="DR640" s="75" t="str">
        <f t="shared" si="576"/>
        <v>No aplica</v>
      </c>
      <c r="DS640" s="79"/>
      <c r="DT640" s="79"/>
      <c r="DU640" s="75" t="str">
        <f t="shared" si="577"/>
        <v>No aplica</v>
      </c>
      <c r="DV640" s="79" t="s">
        <v>182</v>
      </c>
      <c r="DW640" s="79" t="s">
        <v>182</v>
      </c>
      <c r="DX640" s="79"/>
      <c r="DY640" s="79"/>
      <c r="DZ640" s="79"/>
      <c r="EA640" s="79"/>
      <c r="EB640" s="79" t="s">
        <v>182</v>
      </c>
      <c r="EC640" s="79" t="s">
        <v>4479</v>
      </c>
      <c r="ED640" s="79" t="s">
        <v>4460</v>
      </c>
      <c r="EE640" s="79" t="str">
        <f t="shared" si="596"/>
        <v>Completo</v>
      </c>
      <c r="EF640" s="41"/>
      <c r="EG640" s="79" t="s">
        <v>153</v>
      </c>
      <c r="EH640" s="71"/>
      <c r="EI640" s="80"/>
      <c r="EJ640" s="71"/>
      <c r="EK640" s="79"/>
      <c r="EL640" s="87" t="str">
        <f t="shared" si="465"/>
        <v>No requiere</v>
      </c>
      <c r="EM640" s="87" t="str">
        <f t="shared" si="466"/>
        <v>No requiere</v>
      </c>
      <c r="EN640" s="87" t="str">
        <f t="shared" si="597"/>
        <v>No requiere</v>
      </c>
      <c r="EO640" s="71"/>
      <c r="EP640" s="84" t="str">
        <f t="shared" si="467"/>
        <v>No requiere</v>
      </c>
      <c r="EQ640" s="88" t="str">
        <f t="shared" si="468"/>
        <v>No requiere</v>
      </c>
      <c r="ER640" s="71"/>
      <c r="ES640" s="79"/>
      <c r="ET640" s="84" t="str">
        <f t="shared" si="469"/>
        <v>No requiere</v>
      </c>
      <c r="EU640" s="84" t="str">
        <f t="shared" si="598"/>
        <v>No requiere</v>
      </c>
      <c r="EV640" s="84" t="str">
        <f t="shared" si="470"/>
        <v>No requiere</v>
      </c>
      <c r="EW640" s="84" t="str">
        <f t="shared" si="581"/>
        <v>No requiere</v>
      </c>
      <c r="EX640" s="78"/>
      <c r="EY640" s="78"/>
    </row>
    <row r="641" spans="1:155" ht="46.5" customHeight="1">
      <c r="A641" s="79">
        <v>637</v>
      </c>
      <c r="B641" s="80" t="s">
        <v>4480</v>
      </c>
      <c r="C641" s="81">
        <v>45470</v>
      </c>
      <c r="D641" s="82">
        <v>0.5625</v>
      </c>
      <c r="E641" s="79" t="s">
        <v>151</v>
      </c>
      <c r="F641" s="79" t="s">
        <v>153</v>
      </c>
      <c r="G641" s="79" t="s">
        <v>153</v>
      </c>
      <c r="H641" s="79" t="s">
        <v>152</v>
      </c>
      <c r="I641" s="79" t="s">
        <v>152</v>
      </c>
      <c r="J641" s="79" t="s">
        <v>3999</v>
      </c>
      <c r="K641" s="79" t="s">
        <v>155</v>
      </c>
      <c r="L641" s="80" t="s">
        <v>4481</v>
      </c>
      <c r="M641" s="80" t="s">
        <v>241</v>
      </c>
      <c r="N641" s="79" t="s">
        <v>644</v>
      </c>
      <c r="O641" s="80" t="str">
        <f t="shared" si="520"/>
        <v/>
      </c>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t="s">
        <v>230</v>
      </c>
      <c r="AP641" s="79" t="s">
        <v>356</v>
      </c>
      <c r="AQ641" s="80" t="s">
        <v>4482</v>
      </c>
      <c r="AR641" s="83" t="s">
        <v>4483</v>
      </c>
      <c r="AS641" s="80" t="s">
        <v>171</v>
      </c>
      <c r="AT641" s="80" t="str">
        <f t="shared" si="545"/>
        <v>Engativá</v>
      </c>
      <c r="AU641" s="79" t="s">
        <v>234</v>
      </c>
      <c r="AV641" s="79"/>
      <c r="AW641" s="79"/>
      <c r="AX641" s="79"/>
      <c r="AY641" s="79"/>
      <c r="AZ641" s="79"/>
      <c r="BA641" s="80" t="str">
        <f t="shared" si="562"/>
        <v>Occidente</v>
      </c>
      <c r="BB641" s="79" t="s">
        <v>235</v>
      </c>
      <c r="BC641" s="79"/>
      <c r="BD641" s="79"/>
      <c r="BE641" s="79"/>
      <c r="BF641" s="79"/>
      <c r="BG641" s="79"/>
      <c r="BH641" s="80" t="str">
        <f t="shared" si="563"/>
        <v>Engativá, Tabora, Salitre</v>
      </c>
      <c r="BI641" s="79" t="s">
        <v>234</v>
      </c>
      <c r="BJ641" s="79" t="s">
        <v>414</v>
      </c>
      <c r="BK641" s="79" t="s">
        <v>415</v>
      </c>
      <c r="BL641" s="79"/>
      <c r="BM641" s="79"/>
      <c r="BN641" s="79"/>
      <c r="BO641" s="79"/>
      <c r="BP641" s="79"/>
      <c r="BQ641" s="79"/>
      <c r="BR641" s="79"/>
      <c r="BS641" s="80" t="s">
        <v>234</v>
      </c>
      <c r="BT641" s="80" t="s">
        <v>174</v>
      </c>
      <c r="BU641" s="80" t="s">
        <v>4484</v>
      </c>
      <c r="BV641" s="71"/>
      <c r="BW641" s="79" t="s">
        <v>152</v>
      </c>
      <c r="BX641" s="79" t="s">
        <v>179</v>
      </c>
      <c r="BY641" s="71"/>
      <c r="BZ641" s="79">
        <v>8</v>
      </c>
      <c r="CA641" s="79">
        <v>2</v>
      </c>
      <c r="CB641" s="79">
        <f t="shared" si="591"/>
        <v>10</v>
      </c>
      <c r="CC641" s="79" t="str">
        <f t="shared" si="382"/>
        <v>Accesibilidad Universal</v>
      </c>
      <c r="CD641" s="79" t="s">
        <v>397</v>
      </c>
      <c r="CE641" s="79"/>
      <c r="CF641" s="79"/>
      <c r="CG641" s="83" t="s">
        <v>4485</v>
      </c>
      <c r="CH641" s="41"/>
      <c r="CI641" s="79" t="s">
        <v>153</v>
      </c>
      <c r="CJ641" s="71"/>
      <c r="CK641" s="79">
        <f t="shared" si="592"/>
        <v>0</v>
      </c>
      <c r="CL641" s="79"/>
      <c r="CM641" s="79"/>
      <c r="CN641" s="79"/>
      <c r="CO641" s="79"/>
      <c r="CP641" s="79"/>
      <c r="CQ641" s="79"/>
      <c r="CR641" s="83" t="s">
        <v>179</v>
      </c>
      <c r="CS641" s="83" t="s">
        <v>179</v>
      </c>
      <c r="CT641" s="83" t="s">
        <v>179</v>
      </c>
      <c r="CU641" s="83" t="s">
        <v>179</v>
      </c>
      <c r="CV641" s="83" t="s">
        <v>179</v>
      </c>
      <c r="CW641" s="83" t="s">
        <v>179</v>
      </c>
      <c r="CX641" s="79" t="s">
        <v>153</v>
      </c>
      <c r="CY641" s="79">
        <f t="shared" si="593"/>
        <v>0</v>
      </c>
      <c r="CZ641" s="79">
        <v>0</v>
      </c>
      <c r="DA641" s="79">
        <f t="shared" si="594"/>
        <v>0</v>
      </c>
      <c r="DB641" s="84" t="str">
        <f t="shared" si="595"/>
        <v/>
      </c>
      <c r="DC641" s="41"/>
      <c r="DD641" s="79" t="s">
        <v>153</v>
      </c>
      <c r="DE641" s="71"/>
      <c r="DF641" s="127" t="s">
        <v>4486</v>
      </c>
      <c r="DG641" s="79">
        <v>631</v>
      </c>
      <c r="DH641" s="86" t="str">
        <f t="shared" si="537"/>
        <v>Completo</v>
      </c>
      <c r="DI641" s="79" t="s">
        <v>181</v>
      </c>
      <c r="DJ641" s="79" t="s">
        <v>182</v>
      </c>
      <c r="DK641" s="79"/>
      <c r="DL641" s="79">
        <v>0</v>
      </c>
      <c r="DM641" s="79">
        <v>0</v>
      </c>
      <c r="DN641" s="79" t="s">
        <v>182</v>
      </c>
      <c r="DO641" s="79"/>
      <c r="DP641" s="79"/>
      <c r="DQ641" s="79"/>
      <c r="DR641" s="75" t="str">
        <f t="shared" si="576"/>
        <v>No aplica</v>
      </c>
      <c r="DS641" s="79"/>
      <c r="DT641" s="79"/>
      <c r="DU641" s="75" t="str">
        <f t="shared" si="577"/>
        <v>No aplica</v>
      </c>
      <c r="DV641" s="79" t="s">
        <v>182</v>
      </c>
      <c r="DW641" s="79"/>
      <c r="DX641" s="79"/>
      <c r="DY641" s="79"/>
      <c r="DZ641" s="79"/>
      <c r="EA641" s="79"/>
      <c r="EB641" s="79"/>
      <c r="EC641" s="79"/>
      <c r="ED641" s="79" t="s">
        <v>1037</v>
      </c>
      <c r="EE641" s="79" t="str">
        <f t="shared" si="596"/>
        <v>Completo</v>
      </c>
      <c r="EF641" s="41"/>
      <c r="EG641" s="79" t="s">
        <v>153</v>
      </c>
      <c r="EH641" s="71"/>
      <c r="EI641" s="80"/>
      <c r="EJ641" s="71"/>
      <c r="EK641" s="79"/>
      <c r="EL641" s="87" t="str">
        <f t="shared" si="465"/>
        <v>No requiere</v>
      </c>
      <c r="EM641" s="87" t="str">
        <f t="shared" si="466"/>
        <v>No requiere</v>
      </c>
      <c r="EN641" s="87" t="str">
        <f t="shared" si="597"/>
        <v>No requiere</v>
      </c>
      <c r="EO641" s="71"/>
      <c r="EP641" s="84" t="str">
        <f t="shared" si="467"/>
        <v>No requiere</v>
      </c>
      <c r="EQ641" s="88" t="str">
        <f t="shared" si="468"/>
        <v>No requiere</v>
      </c>
      <c r="ER641" s="71"/>
      <c r="ES641" s="79"/>
      <c r="ET641" s="84" t="str">
        <f t="shared" si="469"/>
        <v>No requiere</v>
      </c>
      <c r="EU641" s="84" t="str">
        <f t="shared" si="598"/>
        <v>No requiere</v>
      </c>
      <c r="EV641" s="84" t="str">
        <f t="shared" si="470"/>
        <v>No requiere</v>
      </c>
      <c r="EW641" s="84" t="str">
        <f t="shared" si="581"/>
        <v>No requiere</v>
      </c>
      <c r="EX641" s="78"/>
      <c r="EY641" s="78"/>
    </row>
    <row r="642" spans="1:155" ht="46.5" customHeight="1">
      <c r="A642" s="79" t="str">
        <v/>
      </c>
      <c r="B642" s="80" t="s">
        <v>4487</v>
      </c>
      <c r="C642" s="81">
        <v>45470</v>
      </c>
      <c r="D642" s="82">
        <v>0.58333333333333337</v>
      </c>
      <c r="E642" s="79" t="s">
        <v>151</v>
      </c>
      <c r="F642" s="79" t="s">
        <v>152</v>
      </c>
      <c r="G642" s="79" t="s">
        <v>153</v>
      </c>
      <c r="H642" s="79" t="s">
        <v>152</v>
      </c>
      <c r="I642" s="79" t="s">
        <v>152</v>
      </c>
      <c r="J642" s="79" t="s">
        <v>2153</v>
      </c>
      <c r="K642" s="79" t="s">
        <v>202</v>
      </c>
      <c r="L642" s="80" t="s">
        <v>4488</v>
      </c>
      <c r="M642" s="80" t="s">
        <v>624</v>
      </c>
      <c r="N642" s="79" t="s">
        <v>346</v>
      </c>
      <c r="O642" s="80" t="str">
        <f t="shared" si="520"/>
        <v>Freddy Martínez, César Augusto Barrantes, Ana María Ulloa</v>
      </c>
      <c r="P642" s="79" t="s">
        <v>3049</v>
      </c>
      <c r="Q642" s="79" t="s">
        <v>729</v>
      </c>
      <c r="R642" s="79" t="s">
        <v>522</v>
      </c>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t="s">
        <v>304</v>
      </c>
      <c r="AP642" s="79"/>
      <c r="AQ642" s="80" t="s">
        <v>171</v>
      </c>
      <c r="AR642" s="80" t="s">
        <v>171</v>
      </c>
      <c r="AS642" s="80" t="s">
        <v>171</v>
      </c>
      <c r="AT642" s="80" t="str">
        <f t="shared" si="545"/>
        <v>Distrital</v>
      </c>
      <c r="AU642" s="79" t="s">
        <v>172</v>
      </c>
      <c r="AV642" s="79"/>
      <c r="AW642" s="79"/>
      <c r="AX642" s="79"/>
      <c r="AY642" s="79"/>
      <c r="AZ642" s="79"/>
      <c r="BA642" s="80" t="str">
        <f t="shared" si="562"/>
        <v>Distrital</v>
      </c>
      <c r="BB642" s="79" t="s">
        <v>172</v>
      </c>
      <c r="BC642" s="79"/>
      <c r="BD642" s="79"/>
      <c r="BE642" s="79"/>
      <c r="BF642" s="79"/>
      <c r="BG642" s="79"/>
      <c r="BH642" s="80" t="str">
        <f t="shared" si="563"/>
        <v>Distrital</v>
      </c>
      <c r="BI642" s="79" t="s">
        <v>172</v>
      </c>
      <c r="BJ642" s="79"/>
      <c r="BK642" s="79"/>
      <c r="BL642" s="79"/>
      <c r="BM642" s="79"/>
      <c r="BN642" s="79"/>
      <c r="BO642" s="79"/>
      <c r="BP642" s="79"/>
      <c r="BQ642" s="79"/>
      <c r="BR642" s="79"/>
      <c r="BS642" s="80" t="s">
        <v>288</v>
      </c>
      <c r="BT642" s="80" t="s">
        <v>174</v>
      </c>
      <c r="BU642" s="80" t="s">
        <v>4489</v>
      </c>
      <c r="BV642" s="71"/>
      <c r="BW642" s="79" t="s">
        <v>152</v>
      </c>
      <c r="BX642" s="79" t="s">
        <v>179</v>
      </c>
      <c r="BY642" s="71"/>
      <c r="BZ642" s="79">
        <v>2</v>
      </c>
      <c r="CA642" s="79">
        <v>5</v>
      </c>
      <c r="CB642" s="79">
        <f t="shared" si="591"/>
        <v>7</v>
      </c>
      <c r="CC642" s="79" t="str">
        <f t="shared" si="382"/>
        <v>Ninguna</v>
      </c>
      <c r="CD642" s="79" t="s">
        <v>174</v>
      </c>
      <c r="CE642" s="79"/>
      <c r="CF642" s="79"/>
      <c r="CG642" s="83" t="s">
        <v>4490</v>
      </c>
      <c r="CH642" s="41"/>
      <c r="CI642" s="79"/>
      <c r="CJ642" s="71"/>
      <c r="CK642" s="79">
        <f t="shared" si="592"/>
        <v>0</v>
      </c>
      <c r="CL642" s="79"/>
      <c r="CM642" s="79"/>
      <c r="CN642" s="79"/>
      <c r="CO642" s="79"/>
      <c r="CP642" s="79"/>
      <c r="CQ642" s="79"/>
      <c r="CR642" s="83" t="s">
        <v>179</v>
      </c>
      <c r="CS642" s="83" t="s">
        <v>179</v>
      </c>
      <c r="CT642" s="83" t="s">
        <v>179</v>
      </c>
      <c r="CU642" s="83" t="s">
        <v>179</v>
      </c>
      <c r="CV642" s="83" t="s">
        <v>179</v>
      </c>
      <c r="CW642" s="83" t="s">
        <v>179</v>
      </c>
      <c r="CX642" s="79" t="s">
        <v>153</v>
      </c>
      <c r="CY642" s="79">
        <f t="shared" si="593"/>
        <v>0</v>
      </c>
      <c r="CZ642" s="79">
        <v>0</v>
      </c>
      <c r="DA642" s="79">
        <f t="shared" si="594"/>
        <v>0</v>
      </c>
      <c r="DB642" s="84" t="str">
        <f t="shared" si="595"/>
        <v/>
      </c>
      <c r="DC642" s="41"/>
      <c r="DD642" s="79" t="s">
        <v>153</v>
      </c>
      <c r="DE642" s="71"/>
      <c r="DF642" s="127" t="s">
        <v>4491</v>
      </c>
      <c r="DG642" s="79">
        <v>632</v>
      </c>
      <c r="DH642" s="86" t="str">
        <f t="shared" si="537"/>
        <v>Completo</v>
      </c>
      <c r="DI642" s="79" t="s">
        <v>181</v>
      </c>
      <c r="DJ642" s="79" t="s">
        <v>182</v>
      </c>
      <c r="DK642" s="79"/>
      <c r="DL642" s="79">
        <v>0</v>
      </c>
      <c r="DM642" s="79">
        <v>0</v>
      </c>
      <c r="DN642" s="79"/>
      <c r="DO642" s="79"/>
      <c r="DP642" s="79"/>
      <c r="DQ642" s="79"/>
      <c r="DR642" s="75" t="str">
        <f t="shared" si="576"/>
        <v>No aplica</v>
      </c>
      <c r="DS642" s="79"/>
      <c r="DT642" s="79"/>
      <c r="DU642" s="75" t="str">
        <f t="shared" si="577"/>
        <v>No aplica</v>
      </c>
      <c r="DV642" s="79" t="s">
        <v>182</v>
      </c>
      <c r="DW642" s="79"/>
      <c r="DX642" s="79"/>
      <c r="DY642" s="79"/>
      <c r="DZ642" s="79"/>
      <c r="EA642" s="79"/>
      <c r="EB642" s="79"/>
      <c r="EC642" s="79"/>
      <c r="ED642" s="79" t="s">
        <v>4492</v>
      </c>
      <c r="EE642" s="79" t="str">
        <f t="shared" si="596"/>
        <v>Completo</v>
      </c>
      <c r="EF642" s="41"/>
      <c r="EG642" s="79" t="s">
        <v>153</v>
      </c>
      <c r="EH642" s="71"/>
      <c r="EI642" s="80"/>
      <c r="EJ642" s="71"/>
      <c r="EK642" s="79"/>
      <c r="EL642" s="87" t="str">
        <f t="shared" si="465"/>
        <v>No requiere</v>
      </c>
      <c r="EM642" s="87" t="str">
        <f t="shared" si="466"/>
        <v>No requiere</v>
      </c>
      <c r="EN642" s="87" t="str">
        <f t="shared" si="597"/>
        <v>No requiere</v>
      </c>
      <c r="EO642" s="71"/>
      <c r="EP642" s="84" t="str">
        <f t="shared" si="467"/>
        <v>No requiere</v>
      </c>
      <c r="EQ642" s="88" t="str">
        <f t="shared" si="468"/>
        <v>No requiere</v>
      </c>
      <c r="ER642" s="71"/>
      <c r="ES642" s="79"/>
      <c r="ET642" s="84" t="str">
        <f t="shared" si="469"/>
        <v>No requiere</v>
      </c>
      <c r="EU642" s="84" t="str">
        <f t="shared" si="598"/>
        <v>No requiere</v>
      </c>
      <c r="EV642" s="84" t="str">
        <f t="shared" si="470"/>
        <v>No requiere</v>
      </c>
      <c r="EW642" s="84" t="str">
        <f t="shared" si="581"/>
        <v>No requiere</v>
      </c>
      <c r="EX642" s="78"/>
      <c r="EY642" s="78"/>
    </row>
    <row r="643" spans="1:155" ht="46.5" customHeight="1">
      <c r="A643" s="79">
        <v>639</v>
      </c>
      <c r="B643" s="80" t="s">
        <v>4493</v>
      </c>
      <c r="C643" s="81">
        <v>45470</v>
      </c>
      <c r="D643" s="82">
        <v>0.60416666666666663</v>
      </c>
      <c r="E643" s="79" t="s">
        <v>151</v>
      </c>
      <c r="F643" s="79" t="s">
        <v>153</v>
      </c>
      <c r="G643" s="79" t="s">
        <v>153</v>
      </c>
      <c r="H643" s="79" t="s">
        <v>152</v>
      </c>
      <c r="I643" s="79" t="s">
        <v>152</v>
      </c>
      <c r="J643" s="79" t="s">
        <v>3999</v>
      </c>
      <c r="K643" s="79" t="s">
        <v>155</v>
      </c>
      <c r="L643" s="80" t="s">
        <v>4303</v>
      </c>
      <c r="M643" s="80" t="s">
        <v>241</v>
      </c>
      <c r="N643" s="79" t="s">
        <v>1611</v>
      </c>
      <c r="O643" s="80" t="str">
        <f t="shared" si="520"/>
        <v/>
      </c>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t="s">
        <v>230</v>
      </c>
      <c r="AP643" s="79" t="s">
        <v>231</v>
      </c>
      <c r="AQ643" s="80" t="s">
        <v>4494</v>
      </c>
      <c r="AR643" s="83" t="s">
        <v>4495</v>
      </c>
      <c r="AS643" s="80" t="s">
        <v>4496</v>
      </c>
      <c r="AT643" s="80" t="str">
        <f t="shared" si="545"/>
        <v>Usaquén</v>
      </c>
      <c r="AU643" s="79" t="s">
        <v>661</v>
      </c>
      <c r="AV643" s="79"/>
      <c r="AW643" s="79"/>
      <c r="AX643" s="79"/>
      <c r="AY643" s="79"/>
      <c r="AZ643" s="79"/>
      <c r="BA643" s="80" t="str">
        <f t="shared" si="562"/>
        <v>Norte</v>
      </c>
      <c r="BB643" s="79" t="s">
        <v>662</v>
      </c>
      <c r="BC643" s="79"/>
      <c r="BD643" s="79"/>
      <c r="BE643" s="79"/>
      <c r="BF643" s="79"/>
      <c r="BG643" s="79"/>
      <c r="BH643" s="80" t="str">
        <f t="shared" si="563"/>
        <v>Usaquén, Toberín, Torca, Cerros Orientales</v>
      </c>
      <c r="BI643" s="79" t="s">
        <v>661</v>
      </c>
      <c r="BJ643" s="79" t="s">
        <v>804</v>
      </c>
      <c r="BK643" s="79" t="s">
        <v>805</v>
      </c>
      <c r="BL643" s="79" t="s">
        <v>361</v>
      </c>
      <c r="BM643" s="79"/>
      <c r="BN643" s="79"/>
      <c r="BO643" s="79"/>
      <c r="BP643" s="79"/>
      <c r="BQ643" s="79"/>
      <c r="BR643" s="79"/>
      <c r="BS643" s="80" t="s">
        <v>4497</v>
      </c>
      <c r="BT643" s="80" t="s">
        <v>174</v>
      </c>
      <c r="BU643" s="80" t="s">
        <v>4498</v>
      </c>
      <c r="BV643" s="71"/>
      <c r="BW643" s="79" t="s">
        <v>152</v>
      </c>
      <c r="BX643" s="79" t="s">
        <v>179</v>
      </c>
      <c r="BY643" s="71"/>
      <c r="BZ643" s="79">
        <v>6</v>
      </c>
      <c r="CA643" s="79">
        <v>1</v>
      </c>
      <c r="CB643" s="79">
        <f t="shared" si="591"/>
        <v>7</v>
      </c>
      <c r="CC643" s="79" t="str">
        <f t="shared" si="382"/>
        <v>Horarios Acordes</v>
      </c>
      <c r="CD643" s="79" t="s">
        <v>351</v>
      </c>
      <c r="CE643" s="79"/>
      <c r="CF643" s="79"/>
      <c r="CG643" s="83" t="s">
        <v>4499</v>
      </c>
      <c r="CH643" s="41"/>
      <c r="CI643" s="79" t="s">
        <v>153</v>
      </c>
      <c r="CJ643" s="71"/>
      <c r="CK643" s="79">
        <f t="shared" si="592"/>
        <v>1</v>
      </c>
      <c r="CL643" s="79" t="s">
        <v>4276</v>
      </c>
      <c r="CM643" s="79"/>
      <c r="CN643" s="79"/>
      <c r="CO643" s="79"/>
      <c r="CP643" s="79"/>
      <c r="CQ643" s="79"/>
      <c r="CR643" s="83" t="s">
        <v>390</v>
      </c>
      <c r="CS643" s="83" t="s">
        <v>179</v>
      </c>
      <c r="CT643" s="83" t="s">
        <v>179</v>
      </c>
      <c r="CU643" s="83" t="s">
        <v>179</v>
      </c>
      <c r="CV643" s="83" t="s">
        <v>179</v>
      </c>
      <c r="CW643" s="83" t="s">
        <v>179</v>
      </c>
      <c r="CX643" s="79" t="s">
        <v>153</v>
      </c>
      <c r="CY643" s="79">
        <f t="shared" si="593"/>
        <v>1</v>
      </c>
      <c r="CZ643" s="79">
        <v>0</v>
      </c>
      <c r="DA643" s="79">
        <f t="shared" si="594"/>
        <v>1</v>
      </c>
      <c r="DB643" s="84">
        <f t="shared" si="595"/>
        <v>1</v>
      </c>
      <c r="DC643" s="41"/>
      <c r="DD643" s="79" t="s">
        <v>153</v>
      </c>
      <c r="DE643" s="71"/>
      <c r="DF643" s="127" t="s">
        <v>4500</v>
      </c>
      <c r="DG643" s="79">
        <v>633</v>
      </c>
      <c r="DH643" s="86" t="str">
        <f t="shared" si="537"/>
        <v>Completo</v>
      </c>
      <c r="DI643" s="79" t="s">
        <v>181</v>
      </c>
      <c r="DJ643" s="79" t="s">
        <v>182</v>
      </c>
      <c r="DK643" s="79"/>
      <c r="DL643" s="79">
        <v>0</v>
      </c>
      <c r="DM643" s="79">
        <v>0</v>
      </c>
      <c r="DN643" s="79" t="s">
        <v>182</v>
      </c>
      <c r="DO643" s="79"/>
      <c r="DP643" s="79"/>
      <c r="DQ643" s="79"/>
      <c r="DR643" s="75" t="str">
        <f t="shared" si="576"/>
        <v>No aplica</v>
      </c>
      <c r="DS643" s="79"/>
      <c r="DT643" s="79"/>
      <c r="DU643" s="75" t="str">
        <f t="shared" si="577"/>
        <v>No aplica</v>
      </c>
      <c r="DV643" s="79" t="s">
        <v>182</v>
      </c>
      <c r="DW643" s="79" t="s">
        <v>191</v>
      </c>
      <c r="DX643" s="79"/>
      <c r="DY643" s="79"/>
      <c r="DZ643" s="79"/>
      <c r="EA643" s="79">
        <v>6</v>
      </c>
      <c r="EB643" s="79"/>
      <c r="EC643" s="79"/>
      <c r="ED643" s="79" t="s">
        <v>2915</v>
      </c>
      <c r="EE643" s="79" t="str">
        <f t="shared" si="596"/>
        <v>Completo</v>
      </c>
      <c r="EF643" s="41"/>
      <c r="EG643" s="79" t="s">
        <v>153</v>
      </c>
      <c r="EH643" s="71"/>
      <c r="EI643" s="80"/>
      <c r="EJ643" s="71"/>
      <c r="EK643" s="79"/>
      <c r="EL643" s="87" t="str">
        <f t="shared" si="465"/>
        <v>No requiere</v>
      </c>
      <c r="EM643" s="87" t="str">
        <f t="shared" si="466"/>
        <v>No requiere</v>
      </c>
      <c r="EN643" s="87" t="str">
        <f t="shared" si="597"/>
        <v>No requiere</v>
      </c>
      <c r="EO643" s="71"/>
      <c r="EP643" s="84" t="str">
        <f t="shared" si="467"/>
        <v>No requiere</v>
      </c>
      <c r="EQ643" s="88" t="str">
        <f t="shared" si="468"/>
        <v>No requiere</v>
      </c>
      <c r="ER643" s="71"/>
      <c r="ES643" s="79"/>
      <c r="ET643" s="84" t="str">
        <f t="shared" si="469"/>
        <v>No requiere</v>
      </c>
      <c r="EU643" s="84" t="str">
        <f t="shared" si="598"/>
        <v>No requiere</v>
      </c>
      <c r="EV643" s="84" t="str">
        <f t="shared" si="470"/>
        <v>No requiere</v>
      </c>
      <c r="EW643" s="84" t="str">
        <f t="shared" si="581"/>
        <v>No requiere</v>
      </c>
      <c r="EX643" s="78"/>
      <c r="EY643" s="78"/>
    </row>
    <row r="644" spans="1:155" ht="54.75" customHeight="1">
      <c r="A644" s="79">
        <v>640</v>
      </c>
      <c r="B644" s="80" t="s">
        <v>4501</v>
      </c>
      <c r="C644" s="81">
        <v>45470</v>
      </c>
      <c r="D644" s="82">
        <v>0.60416666666666663</v>
      </c>
      <c r="E644" s="79" t="s">
        <v>151</v>
      </c>
      <c r="F644" s="79" t="s">
        <v>153</v>
      </c>
      <c r="G644" s="79" t="s">
        <v>153</v>
      </c>
      <c r="H644" s="79" t="s">
        <v>152</v>
      </c>
      <c r="I644" s="79" t="s">
        <v>152</v>
      </c>
      <c r="J644" s="79" t="s">
        <v>3999</v>
      </c>
      <c r="K644" s="79" t="s">
        <v>155</v>
      </c>
      <c r="L644" s="80" t="s">
        <v>4502</v>
      </c>
      <c r="M644" s="80" t="s">
        <v>241</v>
      </c>
      <c r="N644" s="79" t="s">
        <v>924</v>
      </c>
      <c r="O644" s="80" t="str">
        <f t="shared" si="520"/>
        <v>Renata Rengifo Moyano, Nestor Jecfrid Sánchez</v>
      </c>
      <c r="P644" s="79" t="s">
        <v>1066</v>
      </c>
      <c r="Q644" s="79" t="s">
        <v>965</v>
      </c>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t="s">
        <v>304</v>
      </c>
      <c r="AP644" s="79"/>
      <c r="AQ644" s="80" t="s">
        <v>171</v>
      </c>
      <c r="AR644" s="83" t="s">
        <v>171</v>
      </c>
      <c r="AS644" s="80" t="s">
        <v>171</v>
      </c>
      <c r="AT644" s="80" t="str">
        <f t="shared" si="545"/>
        <v>Kennedy</v>
      </c>
      <c r="AU644" s="79" t="s">
        <v>731</v>
      </c>
      <c r="AV644" s="79"/>
      <c r="AW644" s="79"/>
      <c r="AX644" s="79"/>
      <c r="AY644" s="79"/>
      <c r="AZ644" s="79"/>
      <c r="BA644" s="80" t="str">
        <f t="shared" si="562"/>
        <v>Suroccidente</v>
      </c>
      <c r="BB644" s="79" t="s">
        <v>732</v>
      </c>
      <c r="BC644" s="79"/>
      <c r="BD644" s="79"/>
      <c r="BE644" s="79"/>
      <c r="BF644" s="79"/>
      <c r="BG644" s="79"/>
      <c r="BH644" s="80" t="s">
        <v>4503</v>
      </c>
      <c r="BI644" s="79" t="s">
        <v>1057</v>
      </c>
      <c r="BJ644" s="79" t="s">
        <v>967</v>
      </c>
      <c r="BK644" s="79" t="s">
        <v>730</v>
      </c>
      <c r="BL644" s="79" t="s">
        <v>731</v>
      </c>
      <c r="BM644" s="79" t="s">
        <v>1697</v>
      </c>
      <c r="BN644" s="79" t="s">
        <v>1058</v>
      </c>
      <c r="BO644" s="79"/>
      <c r="BP644" s="79"/>
      <c r="BQ644" s="79"/>
      <c r="BR644" s="79"/>
      <c r="BS644" s="80" t="s">
        <v>731</v>
      </c>
      <c r="BT644" s="80" t="s">
        <v>174</v>
      </c>
      <c r="BU644" s="80" t="s">
        <v>4504</v>
      </c>
      <c r="BV644" s="71"/>
      <c r="BW644" s="79" t="s">
        <v>152</v>
      </c>
      <c r="BX644" s="79" t="s">
        <v>179</v>
      </c>
      <c r="BY644" s="71"/>
      <c r="BZ644" s="79">
        <v>4</v>
      </c>
      <c r="CA644" s="79">
        <v>3</v>
      </c>
      <c r="CB644" s="79">
        <f t="shared" si="591"/>
        <v>7</v>
      </c>
      <c r="CC644" s="79" t="str">
        <f t="shared" si="382"/>
        <v>Ninguna</v>
      </c>
      <c r="CD644" s="79" t="s">
        <v>174</v>
      </c>
      <c r="CE644" s="79"/>
      <c r="CF644" s="79"/>
      <c r="CG644" s="83" t="s">
        <v>4505</v>
      </c>
      <c r="CH644" s="41"/>
      <c r="CI644" s="79" t="s">
        <v>153</v>
      </c>
      <c r="CJ644" s="71"/>
      <c r="CK644" s="79">
        <f t="shared" si="592"/>
        <v>0</v>
      </c>
      <c r="CL644" s="79"/>
      <c r="CM644" s="79"/>
      <c r="CN644" s="79"/>
      <c r="CO644" s="79"/>
      <c r="CP644" s="79"/>
      <c r="CQ644" s="79"/>
      <c r="CR644" s="83" t="s">
        <v>179</v>
      </c>
      <c r="CS644" s="83" t="s">
        <v>179</v>
      </c>
      <c r="CT644" s="83" t="s">
        <v>179</v>
      </c>
      <c r="CU644" s="83" t="s">
        <v>179</v>
      </c>
      <c r="CV644" s="83" t="s">
        <v>179</v>
      </c>
      <c r="CW644" s="83" t="s">
        <v>179</v>
      </c>
      <c r="CX644" s="79" t="s">
        <v>153</v>
      </c>
      <c r="CY644" s="79">
        <f t="shared" si="593"/>
        <v>0</v>
      </c>
      <c r="CZ644" s="79">
        <v>0</v>
      </c>
      <c r="DA644" s="79">
        <f t="shared" si="594"/>
        <v>0</v>
      </c>
      <c r="DB644" s="84" t="str">
        <f t="shared" si="595"/>
        <v/>
      </c>
      <c r="DC644" s="41"/>
      <c r="DD644" s="79" t="s">
        <v>153</v>
      </c>
      <c r="DE644" s="71"/>
      <c r="DF644" s="127" t="s">
        <v>4506</v>
      </c>
      <c r="DG644" s="79">
        <v>634</v>
      </c>
      <c r="DH644" s="86" t="str">
        <f t="shared" si="537"/>
        <v>Completo</v>
      </c>
      <c r="DI644" s="79" t="s">
        <v>181</v>
      </c>
      <c r="DJ644" s="79" t="s">
        <v>182</v>
      </c>
      <c r="DK644" s="79"/>
      <c r="DL644" s="79">
        <v>0</v>
      </c>
      <c r="DM644" s="79">
        <v>0</v>
      </c>
      <c r="DN644" s="79" t="s">
        <v>182</v>
      </c>
      <c r="DO644" s="79"/>
      <c r="DP644" s="79"/>
      <c r="DQ644" s="79"/>
      <c r="DR644" s="75" t="str">
        <f t="shared" si="576"/>
        <v>No aplica</v>
      </c>
      <c r="DS644" s="79"/>
      <c r="DT644" s="79"/>
      <c r="DU644" s="75" t="str">
        <f t="shared" si="577"/>
        <v>No aplica</v>
      </c>
      <c r="DV644" s="79" t="s">
        <v>182</v>
      </c>
      <c r="DW644" s="79" t="s">
        <v>182</v>
      </c>
      <c r="DX644" s="79"/>
      <c r="DY644" s="79"/>
      <c r="DZ644" s="79"/>
      <c r="EA644" s="79">
        <v>5</v>
      </c>
      <c r="EB644" s="79"/>
      <c r="EC644" s="79"/>
      <c r="ED644" s="79" t="s">
        <v>3728</v>
      </c>
      <c r="EE644" s="79" t="str">
        <f t="shared" si="596"/>
        <v>Completo</v>
      </c>
      <c r="EF644" s="41"/>
      <c r="EG644" s="79" t="s">
        <v>153</v>
      </c>
      <c r="EH644" s="71"/>
      <c r="EI644" s="80"/>
      <c r="EJ644" s="71"/>
      <c r="EK644" s="79"/>
      <c r="EL644" s="87" t="str">
        <f t="shared" si="465"/>
        <v>No requiere</v>
      </c>
      <c r="EM644" s="87" t="str">
        <f t="shared" si="466"/>
        <v>No requiere</v>
      </c>
      <c r="EN644" s="87" t="str">
        <f t="shared" si="597"/>
        <v>No requiere</v>
      </c>
      <c r="EO644" s="71"/>
      <c r="EP644" s="84" t="str">
        <f t="shared" si="467"/>
        <v>No requiere</v>
      </c>
      <c r="EQ644" s="88" t="str">
        <f t="shared" si="468"/>
        <v>No requiere</v>
      </c>
      <c r="ER644" s="71"/>
      <c r="ES644" s="79"/>
      <c r="ET644" s="84" t="str">
        <f t="shared" si="469"/>
        <v>No requiere</v>
      </c>
      <c r="EU644" s="84" t="str">
        <f t="shared" si="598"/>
        <v>No requiere</v>
      </c>
      <c r="EV644" s="84" t="str">
        <f t="shared" si="470"/>
        <v>No requiere</v>
      </c>
      <c r="EW644" s="84" t="str">
        <f t="shared" si="581"/>
        <v>No requiere</v>
      </c>
      <c r="EX644" s="78"/>
      <c r="EY644" s="78"/>
    </row>
    <row r="645" spans="1:155" ht="46.5" customHeight="1">
      <c r="A645" s="79">
        <v>641</v>
      </c>
      <c r="B645" s="80" t="s">
        <v>4507</v>
      </c>
      <c r="C645" s="81">
        <v>45470</v>
      </c>
      <c r="D645" s="82">
        <v>0.66666666666666663</v>
      </c>
      <c r="E645" s="79" t="s">
        <v>151</v>
      </c>
      <c r="F645" s="79" t="s">
        <v>153</v>
      </c>
      <c r="G645" s="79" t="s">
        <v>153</v>
      </c>
      <c r="H645" s="79" t="s">
        <v>152</v>
      </c>
      <c r="I645" s="79" t="s">
        <v>152</v>
      </c>
      <c r="J645" s="79" t="s">
        <v>3999</v>
      </c>
      <c r="K645" s="79" t="s">
        <v>155</v>
      </c>
      <c r="L645" s="80" t="s">
        <v>4339</v>
      </c>
      <c r="M645" s="80" t="s">
        <v>241</v>
      </c>
      <c r="N645" s="79" t="s">
        <v>965</v>
      </c>
      <c r="O645" s="80" t="str">
        <f t="shared" si="520"/>
        <v>Paola Andrea González, Renata Rengifo Moyano, Reinaldo Terrios Andrade</v>
      </c>
      <c r="P645" s="79" t="s">
        <v>924</v>
      </c>
      <c r="Q645" s="79" t="s">
        <v>1066</v>
      </c>
      <c r="R645" s="79" t="s">
        <v>675</v>
      </c>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t="s">
        <v>230</v>
      </c>
      <c r="AP645" s="79" t="s">
        <v>231</v>
      </c>
      <c r="AQ645" s="80" t="s">
        <v>171</v>
      </c>
      <c r="AR645" s="83" t="s">
        <v>171</v>
      </c>
      <c r="AS645" s="80" t="s">
        <v>171</v>
      </c>
      <c r="AT645" s="80" t="str">
        <f t="shared" si="545"/>
        <v>Kennedy</v>
      </c>
      <c r="AU645" s="79" t="s">
        <v>731</v>
      </c>
      <c r="AV645" s="79"/>
      <c r="AW645" s="79"/>
      <c r="AX645" s="79"/>
      <c r="AY645" s="79"/>
      <c r="AZ645" s="79"/>
      <c r="BA645" s="80" t="str">
        <f t="shared" si="562"/>
        <v>Suroccidente</v>
      </c>
      <c r="BB645" s="79" t="s">
        <v>732</v>
      </c>
      <c r="BC645" s="79"/>
      <c r="BD645" s="79"/>
      <c r="BE645" s="79"/>
      <c r="BF645" s="79"/>
      <c r="BG645" s="79"/>
      <c r="BH645" s="80" t="s">
        <v>4503</v>
      </c>
      <c r="BI645" s="79" t="s">
        <v>1057</v>
      </c>
      <c r="BJ645" s="79" t="s">
        <v>967</v>
      </c>
      <c r="BK645" s="79" t="s">
        <v>730</v>
      </c>
      <c r="BL645" s="79" t="s">
        <v>731</v>
      </c>
      <c r="BM645" s="79" t="s">
        <v>1697</v>
      </c>
      <c r="BN645" s="79" t="s">
        <v>1058</v>
      </c>
      <c r="BO645" s="79"/>
      <c r="BP645" s="79"/>
      <c r="BQ645" s="79"/>
      <c r="BR645" s="79"/>
      <c r="BS645" s="80" t="s">
        <v>4508</v>
      </c>
      <c r="BT645" s="80" t="s">
        <v>174</v>
      </c>
      <c r="BU645" s="80" t="s">
        <v>4509</v>
      </c>
      <c r="BV645" s="71"/>
      <c r="BW645" s="79" t="s">
        <v>152</v>
      </c>
      <c r="BX645" s="79" t="s">
        <v>179</v>
      </c>
      <c r="BY645" s="71"/>
      <c r="BZ645" s="79">
        <v>5</v>
      </c>
      <c r="CA645" s="79">
        <v>2</v>
      </c>
      <c r="CB645" s="79">
        <f t="shared" si="591"/>
        <v>7</v>
      </c>
      <c r="CC645" s="79" t="str">
        <f t="shared" si="382"/>
        <v>Horarios Acordes</v>
      </c>
      <c r="CD645" s="79" t="s">
        <v>351</v>
      </c>
      <c r="CE645" s="79"/>
      <c r="CF645" s="79"/>
      <c r="CG645" s="83" t="s">
        <v>4510</v>
      </c>
      <c r="CH645" s="41"/>
      <c r="CI645" s="79" t="s">
        <v>153</v>
      </c>
      <c r="CJ645" s="71"/>
      <c r="CK645" s="79">
        <v>1</v>
      </c>
      <c r="CL645" s="79"/>
      <c r="CM645" s="79"/>
      <c r="CN645" s="79"/>
      <c r="CO645" s="79"/>
      <c r="CP645" s="79"/>
      <c r="CQ645" s="79"/>
      <c r="CR645" s="83" t="s">
        <v>179</v>
      </c>
      <c r="CS645" s="83" t="s">
        <v>179</v>
      </c>
      <c r="CT645" s="83" t="s">
        <v>179</v>
      </c>
      <c r="CU645" s="83" t="s">
        <v>179</v>
      </c>
      <c r="CV645" s="83" t="s">
        <v>179</v>
      </c>
      <c r="CW645" s="83" t="s">
        <v>179</v>
      </c>
      <c r="CX645" s="79" t="s">
        <v>153</v>
      </c>
      <c r="CY645" s="79">
        <v>1</v>
      </c>
      <c r="CZ645" s="79">
        <v>1</v>
      </c>
      <c r="DA645" s="79">
        <v>1</v>
      </c>
      <c r="DB645" s="84">
        <f t="shared" si="595"/>
        <v>1</v>
      </c>
      <c r="DC645" s="41"/>
      <c r="DD645" s="79" t="s">
        <v>153</v>
      </c>
      <c r="DE645" s="71"/>
      <c r="DF645" s="160" t="s">
        <v>4511</v>
      </c>
      <c r="DG645" s="79">
        <v>635</v>
      </c>
      <c r="DH645" s="86" t="str">
        <f t="shared" si="537"/>
        <v>Completo</v>
      </c>
      <c r="DI645" s="79" t="s">
        <v>181</v>
      </c>
      <c r="DJ645" s="79" t="s">
        <v>182</v>
      </c>
      <c r="DK645" s="79"/>
      <c r="DL645" s="79">
        <v>0</v>
      </c>
      <c r="DM645" s="79">
        <v>0</v>
      </c>
      <c r="DN645" s="79" t="s">
        <v>182</v>
      </c>
      <c r="DO645" s="79">
        <v>1</v>
      </c>
      <c r="DP645" s="79"/>
      <c r="DQ645" s="79"/>
      <c r="DR645" s="75" t="str">
        <f t="shared" si="576"/>
        <v>No aplica</v>
      </c>
      <c r="DS645" s="79"/>
      <c r="DT645" s="79"/>
      <c r="DU645" s="75" t="str">
        <f t="shared" si="577"/>
        <v>No aplica</v>
      </c>
      <c r="DV645" s="79" t="s">
        <v>182</v>
      </c>
      <c r="DW645" s="79"/>
      <c r="DX645" s="79"/>
      <c r="DY645" s="79"/>
      <c r="DZ645" s="79"/>
      <c r="EA645" s="79"/>
      <c r="EB645" s="79"/>
      <c r="EC645" s="79"/>
      <c r="ED645" s="79" t="s">
        <v>3732</v>
      </c>
      <c r="EE645" s="79" t="str">
        <f t="shared" si="596"/>
        <v>Completo</v>
      </c>
      <c r="EF645" s="41"/>
      <c r="EG645" s="79" t="s">
        <v>153</v>
      </c>
      <c r="EH645" s="71"/>
      <c r="EI645" s="80"/>
      <c r="EJ645" s="71"/>
      <c r="EK645" s="79"/>
      <c r="EL645" s="87" t="str">
        <f t="shared" si="465"/>
        <v>No requiere</v>
      </c>
      <c r="EM645" s="87" t="str">
        <f t="shared" si="466"/>
        <v>No requiere</v>
      </c>
      <c r="EN645" s="87" t="str">
        <f t="shared" si="597"/>
        <v>No requiere</v>
      </c>
      <c r="EO645" s="71"/>
      <c r="EP645" s="84" t="str">
        <f t="shared" si="467"/>
        <v>No requiere</v>
      </c>
      <c r="EQ645" s="88" t="str">
        <f t="shared" si="468"/>
        <v>No requiere</v>
      </c>
      <c r="ER645" s="71"/>
      <c r="ES645" s="79"/>
      <c r="ET645" s="84" t="str">
        <f t="shared" si="469"/>
        <v>No requiere</v>
      </c>
      <c r="EU645" s="84" t="str">
        <f t="shared" si="598"/>
        <v>No requiere</v>
      </c>
      <c r="EV645" s="84" t="str">
        <f t="shared" si="470"/>
        <v>No requiere</v>
      </c>
      <c r="EW645" s="84" t="str">
        <f t="shared" si="581"/>
        <v>No requiere</v>
      </c>
      <c r="EX645" s="78"/>
      <c r="EY645" s="78"/>
    </row>
    <row r="646" spans="1:155" ht="46.5" customHeight="1">
      <c r="A646" s="79">
        <v>642</v>
      </c>
      <c r="B646" s="80" t="s">
        <v>4512</v>
      </c>
      <c r="C646" s="81">
        <v>45470</v>
      </c>
      <c r="D646" s="82">
        <v>0.66666666666666663</v>
      </c>
      <c r="E646" s="79" t="s">
        <v>151</v>
      </c>
      <c r="F646" s="79" t="s">
        <v>153</v>
      </c>
      <c r="G646" s="79" t="s">
        <v>153</v>
      </c>
      <c r="H646" s="79" t="s">
        <v>152</v>
      </c>
      <c r="I646" s="79" t="s">
        <v>152</v>
      </c>
      <c r="J646" s="79" t="s">
        <v>3999</v>
      </c>
      <c r="K646" s="79" t="s">
        <v>155</v>
      </c>
      <c r="L646" s="80" t="s">
        <v>4513</v>
      </c>
      <c r="M646" s="80" t="s">
        <v>157</v>
      </c>
      <c r="N646" s="79" t="s">
        <v>632</v>
      </c>
      <c r="O646" s="80" t="str">
        <f>_xlfn.TEXTJOIN(", ",TRUE,P646:AN646)</f>
        <v/>
      </c>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t="s">
        <v>230</v>
      </c>
      <c r="AP646" s="79" t="s">
        <v>356</v>
      </c>
      <c r="AQ646" s="80" t="s">
        <v>4514</v>
      </c>
      <c r="AR646" s="83" t="s">
        <v>4515</v>
      </c>
      <c r="AS646" s="80" t="s">
        <v>4516</v>
      </c>
      <c r="AT646" s="80" t="str">
        <f>_xlfn.TEXTJOIN(", ",TRUE,$AU646:$AY646)</f>
        <v>Chapinero</v>
      </c>
      <c r="AU646" s="79" t="s">
        <v>360</v>
      </c>
      <c r="AV646" s="79"/>
      <c r="AW646" s="79"/>
      <c r="AX646" s="79"/>
      <c r="AY646" s="79"/>
      <c r="AZ646" s="79"/>
      <c r="BA646" s="80" t="str">
        <f>_xlfn.TEXTJOIN(", ",TRUE,$BB646:$BG646)</f>
        <v>Centro Ampliado</v>
      </c>
      <c r="BB646" s="79" t="s">
        <v>636</v>
      </c>
      <c r="BC646" s="79"/>
      <c r="BD646" s="79"/>
      <c r="BE646" s="79"/>
      <c r="BF646" s="79"/>
      <c r="BG646" s="79"/>
      <c r="BH646" s="80" t="str">
        <f>_xlfn.TEXTJOIN(", ",TRUE,$BI646:$BR646)</f>
        <v>Chapinero, Cerros Orientales, Centro Histórico</v>
      </c>
      <c r="BI646" s="79" t="s">
        <v>360</v>
      </c>
      <c r="BJ646" s="79" t="s">
        <v>361</v>
      </c>
      <c r="BK646" s="79" t="s">
        <v>754</v>
      </c>
      <c r="BL646" s="79"/>
      <c r="BM646" s="79"/>
      <c r="BN646" s="79"/>
      <c r="BO646" s="79"/>
      <c r="BP646" s="79"/>
      <c r="BQ646" s="79"/>
      <c r="BR646" s="79"/>
      <c r="BS646" s="80" t="s">
        <v>288</v>
      </c>
      <c r="BT646" s="80" t="s">
        <v>174</v>
      </c>
      <c r="BU646" s="80" t="s">
        <v>4517</v>
      </c>
      <c r="BV646" s="71"/>
      <c r="BW646" s="79" t="s">
        <v>152</v>
      </c>
      <c r="BX646" s="79" t="s">
        <v>179</v>
      </c>
      <c r="BY646" s="71"/>
      <c r="BZ646" s="79">
        <v>3</v>
      </c>
      <c r="CA646" s="79">
        <v>2</v>
      </c>
      <c r="CB646" s="79">
        <f>BZ646+CA646</f>
        <v>5</v>
      </c>
      <c r="CC646" s="79" t="str">
        <f>_xlfn.TEXTJOIN(", ",TRUE,$CD646:$CF646)</f>
        <v>Horarios Acordes</v>
      </c>
      <c r="CD646" s="79" t="s">
        <v>351</v>
      </c>
      <c r="CE646" s="79"/>
      <c r="CF646" s="79"/>
      <c r="CG646" s="83" t="s">
        <v>4518</v>
      </c>
      <c r="CH646" s="41"/>
      <c r="CI646" s="79" t="s">
        <v>153</v>
      </c>
      <c r="CJ646" s="71"/>
      <c r="CK646" s="79">
        <v>2</v>
      </c>
      <c r="CL646" s="79" t="s">
        <v>4099</v>
      </c>
      <c r="CM646" s="79" t="s">
        <v>4519</v>
      </c>
      <c r="CN646" s="79"/>
      <c r="CO646" s="79"/>
      <c r="CP646" s="79"/>
      <c r="CQ646" s="79"/>
      <c r="CR646" s="83" t="s">
        <v>390</v>
      </c>
      <c r="CS646" s="83" t="s">
        <v>920</v>
      </c>
      <c r="CT646" s="83" t="s">
        <v>179</v>
      </c>
      <c r="CU646" s="83" t="s">
        <v>179</v>
      </c>
      <c r="CV646" s="83" t="s">
        <v>179</v>
      </c>
      <c r="CW646" s="83" t="s">
        <v>179</v>
      </c>
      <c r="CX646" s="79" t="s">
        <v>153</v>
      </c>
      <c r="CY646" s="79">
        <f>SUM(COUNTIF(CR646:CW646,"Realizado y Devuelto a la Ciudadanía"),COUNTIF(CR646:CW646,"Realizado y Trasladado por competencia"), COUNTIF(CR646:CW646,"Realizado y Gestionado"))</f>
        <v>2</v>
      </c>
      <c r="CZ646" s="79">
        <v>1</v>
      </c>
      <c r="DA646" s="79">
        <f>COUNTIF(CR646:CW646,"Realizado y Devuelto a la Ciudadanía")</f>
        <v>1</v>
      </c>
      <c r="DB646" s="84">
        <f>IFERROR(CY646/CK646,"")</f>
        <v>1</v>
      </c>
      <c r="DC646" s="41"/>
      <c r="DD646" s="79" t="s">
        <v>153</v>
      </c>
      <c r="DE646" s="71"/>
      <c r="DF646" s="127" t="s">
        <v>4520</v>
      </c>
      <c r="DG646" s="79">
        <v>636</v>
      </c>
      <c r="DH646" s="86" t="str">
        <f>IF(EE646="Por completar",C646+3,"Completo")</f>
        <v>Completo</v>
      </c>
      <c r="DI646" s="79" t="s">
        <v>181</v>
      </c>
      <c r="DJ646" s="79" t="s">
        <v>182</v>
      </c>
      <c r="DK646" s="79"/>
      <c r="DL646" s="79">
        <v>0</v>
      </c>
      <c r="DM646" s="79">
        <v>0</v>
      </c>
      <c r="DN646" s="79" t="s">
        <v>182</v>
      </c>
      <c r="DO646" s="79"/>
      <c r="DP646" s="79"/>
      <c r="DQ646" s="79"/>
      <c r="DR646" s="75" t="str">
        <f>IF(H646="SÍ", (DQ646/(BZ646*0.3)), "No aplica")</f>
        <v>No aplica</v>
      </c>
      <c r="DS646" s="79"/>
      <c r="DT646" s="79"/>
      <c r="DU646" s="75" t="str">
        <f>IF(H646="SÍ", (DT646/(BZ646*0.35)), "No aplica")</f>
        <v>No aplica</v>
      </c>
      <c r="DV646" s="79" t="s">
        <v>182</v>
      </c>
      <c r="DW646" s="79"/>
      <c r="DX646" s="79"/>
      <c r="DY646" s="79"/>
      <c r="DZ646" s="79"/>
      <c r="EA646" s="79"/>
      <c r="EB646" s="79"/>
      <c r="EC646" s="79"/>
      <c r="ED646" s="79" t="s">
        <v>4337</v>
      </c>
      <c r="EE646" s="79" t="str">
        <f>IF(DI646="Subsanado","Completo","Por Completar")</f>
        <v>Completo</v>
      </c>
      <c r="EF646" s="41"/>
      <c r="EG646" s="79" t="s">
        <v>153</v>
      </c>
      <c r="EH646" s="71"/>
      <c r="EI646" s="80"/>
      <c r="EJ646" s="71"/>
      <c r="EK646" s="79"/>
      <c r="EL646" s="87" t="str">
        <f>IF(F646="NO","No requiere",IF(H646="No","No requiere",IF(DW646="","",IF(DW646&lt;&gt;"No aplica",IF(DX646&lt;&gt;"No aplica",IF(DX646&gt;=2,"Sí","No"),"No aplica"),"No aplica"))))</f>
        <v>No requiere</v>
      </c>
      <c r="EM646" s="87" t="str">
        <f>IF(F646="NO","No requiere",IF(H646="No","No requiere",IF(DW646="","",IF(DW646&lt;&gt;"No aplica",IF(DY646&lt;&gt;"No aplica",IF(DY646&gt;=1,"Sí","No"),"No aplica"),"No aplica"))))</f>
        <v>No requiere</v>
      </c>
      <c r="EN646" s="87" t="str">
        <f>IF(F646="NO","No requiere",IF(H646="No","No requiere",IF(CC646="","",IF(CD646&lt;&gt;"No aplica",IF(CD646&lt;&gt;"Ninguna",IF(COUNTIF(CD646:CF646,"*")&gt;=1,"Sí","No"),"No"),"No aplica"))))</f>
        <v>No requiere</v>
      </c>
      <c r="EO646" s="71"/>
      <c r="EP646" s="84" t="str">
        <f>IF(F646="NO","No requiere",IF(H646="No","No requiere",IF(DL646="","",IF(DL646&gt;=1,DM646/DL646,"No aplica"))))</f>
        <v>No requiere</v>
      </c>
      <c r="EQ646" s="88" t="str">
        <f>IFERROR(IF(F646="NO","No requiere",IF(H646="No","No requiere",DU646)),"")</f>
        <v>No requiere</v>
      </c>
      <c r="ER646" s="71"/>
      <c r="ES646" s="79"/>
      <c r="ET646" s="84" t="str">
        <f>IF(F646="NO","No requiere",IF(H646="No","No requiere",IFERROR(COUNTIF(DJ646:DW646,"Completo")/SUM(COUNTIF(DJ646:DW646,"Completo"),COUNTIF(DJ646:DW646,"Incompleto"),COUNTIF(DJ646:DW646,"No subido"),COUNTIF(DJ646:DW646,"No existente"),COUNTIF(DJ646:DW646,"Pendiente")),"")))</f>
        <v>No requiere</v>
      </c>
      <c r="EU646" s="84" t="str">
        <f>IF(F646="NO","No requiere",IF(H646="No","No requiere",IF(B646="","",IF(CX646="SÍ",IF(CK646&gt;=1,CY646/CK646,"Sin compromisos"),"Por verificar"))))</f>
        <v>No requiere</v>
      </c>
      <c r="EV646" s="84" t="str">
        <f>IF(EU646="Por verificar","Por verificar",IF(F646="NO","No requiere",IF(H646="No","No requiere",IFERROR(IF(EU646="","",IF(CK646&gt;=1,DA646/CZ646,"No aplica")),"No aplica"))))</f>
        <v>No requiere</v>
      </c>
      <c r="EW646" s="84" t="str">
        <f>IF(F646="NO","No requiere",IF(H646="No","No requiere",IFERROR(IF(BZ646="","",IF(EA646&lt;&gt;"No aplica",IF(EA646&gt;=1,DO646/EA646,"0%"),"No aplica")),"")))</f>
        <v>No requiere</v>
      </c>
      <c r="EX646" s="78"/>
      <c r="EY646" s="78"/>
    </row>
    <row r="647" spans="1:155" ht="46.5" customHeight="1">
      <c r="A647" s="79">
        <v>643</v>
      </c>
      <c r="B647" s="80" t="s">
        <v>4521</v>
      </c>
      <c r="C647" s="81">
        <v>45470</v>
      </c>
      <c r="D647" s="82">
        <v>0</v>
      </c>
      <c r="E647" s="79" t="s">
        <v>151</v>
      </c>
      <c r="F647" s="79" t="s">
        <v>153</v>
      </c>
      <c r="G647" s="79" t="s">
        <v>153</v>
      </c>
      <c r="H647" s="79" t="s">
        <v>152</v>
      </c>
      <c r="I647" s="79" t="s">
        <v>152</v>
      </c>
      <c r="J647" s="79" t="s">
        <v>3999</v>
      </c>
      <c r="K647" s="79" t="s">
        <v>155</v>
      </c>
      <c r="L647" s="80" t="s">
        <v>4522</v>
      </c>
      <c r="M647" s="80" t="s">
        <v>241</v>
      </c>
      <c r="N647" s="79" t="s">
        <v>1066</v>
      </c>
      <c r="O647" s="80" t="str">
        <f t="shared" ref="O647:O648" si="599">_xlfn.TEXTJOIN(", ",TRUE,P647:AN647)</f>
        <v>Paola Andrea González, Nestor Jecfrid Sánchez, Reinaldo Terrios Andrade</v>
      </c>
      <c r="P647" s="79" t="s">
        <v>924</v>
      </c>
      <c r="Q647" s="79" t="s">
        <v>965</v>
      </c>
      <c r="R647" s="79" t="s">
        <v>675</v>
      </c>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t="s">
        <v>230</v>
      </c>
      <c r="AP647" s="79" t="s">
        <v>231</v>
      </c>
      <c r="AQ647" s="80" t="s">
        <v>171</v>
      </c>
      <c r="AR647" s="83" t="s">
        <v>171</v>
      </c>
      <c r="AS647" s="80" t="s">
        <v>171</v>
      </c>
      <c r="AT647" s="80" t="str">
        <f t="shared" si="545"/>
        <v>Kennedy</v>
      </c>
      <c r="AU647" s="79" t="s">
        <v>731</v>
      </c>
      <c r="AV647" s="79"/>
      <c r="AW647" s="79"/>
      <c r="AX647" s="79"/>
      <c r="AY647" s="79"/>
      <c r="AZ647" s="79"/>
      <c r="BA647" s="80" t="str">
        <f t="shared" si="562"/>
        <v>Suroccidente</v>
      </c>
      <c r="BB647" s="79" t="s">
        <v>732</v>
      </c>
      <c r="BC647" s="79"/>
      <c r="BD647" s="79"/>
      <c r="BE647" s="79"/>
      <c r="BF647" s="79"/>
      <c r="BG647" s="79"/>
      <c r="BH647" s="80" t="s">
        <v>4503</v>
      </c>
      <c r="BI647" s="79" t="s">
        <v>1057</v>
      </c>
      <c r="BJ647" s="79" t="s">
        <v>967</v>
      </c>
      <c r="BK647" s="79" t="s">
        <v>730</v>
      </c>
      <c r="BL647" s="79" t="s">
        <v>731</v>
      </c>
      <c r="BM647" s="79" t="s">
        <v>1697</v>
      </c>
      <c r="BN647" s="79" t="s">
        <v>1058</v>
      </c>
      <c r="BO647" s="79"/>
      <c r="BP647" s="79"/>
      <c r="BQ647" s="79"/>
      <c r="BR647" s="79"/>
      <c r="BS647" s="80" t="s">
        <v>4523</v>
      </c>
      <c r="BT647" s="80" t="s">
        <v>174</v>
      </c>
      <c r="BU647" s="80" t="s">
        <v>4524</v>
      </c>
      <c r="BV647" s="71"/>
      <c r="BW647" s="79" t="s">
        <v>152</v>
      </c>
      <c r="BX647" s="79" t="s">
        <v>179</v>
      </c>
      <c r="BY647" s="71"/>
      <c r="BZ647" s="79">
        <v>2</v>
      </c>
      <c r="CA647" s="79">
        <v>2</v>
      </c>
      <c r="CB647" s="79">
        <f t="shared" si="591"/>
        <v>4</v>
      </c>
      <c r="CC647" s="79" t="str">
        <f t="shared" si="382"/>
        <v>Horarios Acordes</v>
      </c>
      <c r="CD647" s="79" t="s">
        <v>351</v>
      </c>
      <c r="CE647" s="79"/>
      <c r="CF647" s="79"/>
      <c r="CG647" s="83" t="s">
        <v>4525</v>
      </c>
      <c r="CH647" s="41"/>
      <c r="CI647" s="79" t="s">
        <v>153</v>
      </c>
      <c r="CJ647" s="71"/>
      <c r="CK647" s="79">
        <v>1</v>
      </c>
      <c r="CL647" s="79" t="s">
        <v>4526</v>
      </c>
      <c r="CM647" s="79"/>
      <c r="CN647" s="79"/>
      <c r="CO647" s="79"/>
      <c r="CP647" s="79"/>
      <c r="CQ647" s="79"/>
      <c r="CR647" s="83" t="s">
        <v>390</v>
      </c>
      <c r="CS647" s="83" t="s">
        <v>179</v>
      </c>
      <c r="CT647" s="83" t="s">
        <v>179</v>
      </c>
      <c r="CU647" s="83" t="s">
        <v>179</v>
      </c>
      <c r="CV647" s="83" t="s">
        <v>179</v>
      </c>
      <c r="CW647" s="83" t="s">
        <v>179</v>
      </c>
      <c r="CX647" s="79" t="s">
        <v>153</v>
      </c>
      <c r="CY647" s="79">
        <f t="shared" si="593"/>
        <v>1</v>
      </c>
      <c r="CZ647" s="79">
        <v>1</v>
      </c>
      <c r="DA647" s="79">
        <f t="shared" si="594"/>
        <v>1</v>
      </c>
      <c r="DB647" s="84">
        <f t="shared" si="595"/>
        <v>1</v>
      </c>
      <c r="DC647" s="41"/>
      <c r="DD647" s="79" t="s">
        <v>153</v>
      </c>
      <c r="DE647" s="71"/>
      <c r="DF647" s="127" t="s">
        <v>4527</v>
      </c>
      <c r="DG647" s="79">
        <v>637</v>
      </c>
      <c r="DH647" s="86" t="str">
        <f t="shared" si="537"/>
        <v>Completo</v>
      </c>
      <c r="DI647" s="79" t="s">
        <v>181</v>
      </c>
      <c r="DJ647" s="79" t="s">
        <v>182</v>
      </c>
      <c r="DK647" s="79"/>
      <c r="DL647" s="79">
        <v>0</v>
      </c>
      <c r="DM647" s="79">
        <v>0</v>
      </c>
      <c r="DN647" s="79" t="s">
        <v>182</v>
      </c>
      <c r="DO647" s="79"/>
      <c r="DP647" s="79"/>
      <c r="DQ647" s="79"/>
      <c r="DR647" s="75" t="str">
        <f t="shared" si="576"/>
        <v>No aplica</v>
      </c>
      <c r="DS647" s="79"/>
      <c r="DT647" s="79"/>
      <c r="DU647" s="75" t="str">
        <f t="shared" si="577"/>
        <v>No aplica</v>
      </c>
      <c r="DV647" s="79" t="s">
        <v>182</v>
      </c>
      <c r="DW647" s="79" t="s">
        <v>191</v>
      </c>
      <c r="DX647" s="79"/>
      <c r="DY647" s="79"/>
      <c r="DZ647" s="79"/>
      <c r="EA647" s="79">
        <v>5</v>
      </c>
      <c r="EB647" s="79"/>
      <c r="EC647" s="79"/>
      <c r="ED647" s="79" t="s">
        <v>1743</v>
      </c>
      <c r="EE647" s="79" t="str">
        <f t="shared" si="596"/>
        <v>Completo</v>
      </c>
      <c r="EF647" s="41"/>
      <c r="EG647" s="79" t="s">
        <v>153</v>
      </c>
      <c r="EH647" s="71"/>
      <c r="EI647" s="80"/>
      <c r="EJ647" s="71"/>
      <c r="EK647" s="79"/>
      <c r="EL647" s="87" t="str">
        <f t="shared" si="465"/>
        <v>No requiere</v>
      </c>
      <c r="EM647" s="87" t="str">
        <f t="shared" si="466"/>
        <v>No requiere</v>
      </c>
      <c r="EN647" s="87" t="str">
        <f t="shared" si="597"/>
        <v>No requiere</v>
      </c>
      <c r="EO647" s="71"/>
      <c r="EP647" s="84" t="str">
        <f t="shared" si="467"/>
        <v>No requiere</v>
      </c>
      <c r="EQ647" s="88" t="str">
        <f t="shared" si="468"/>
        <v>No requiere</v>
      </c>
      <c r="ER647" s="71"/>
      <c r="ES647" s="79"/>
      <c r="ET647" s="84" t="str">
        <f t="shared" si="469"/>
        <v>No requiere</v>
      </c>
      <c r="EU647" s="84" t="str">
        <f t="shared" si="598"/>
        <v>No requiere</v>
      </c>
      <c r="EV647" s="84" t="str">
        <f t="shared" si="470"/>
        <v>No requiere</v>
      </c>
      <c r="EW647" s="84" t="str">
        <f t="shared" si="581"/>
        <v>No requiere</v>
      </c>
      <c r="EX647" s="78"/>
      <c r="EY647" s="78"/>
    </row>
    <row r="648" spans="1:155" ht="46.5" customHeight="1">
      <c r="A648" s="79">
        <v>644</v>
      </c>
      <c r="B648" s="80" t="s">
        <v>4528</v>
      </c>
      <c r="C648" s="81">
        <v>45471</v>
      </c>
      <c r="D648" s="82">
        <v>0.33333333333333331</v>
      </c>
      <c r="E648" s="79" t="s">
        <v>151</v>
      </c>
      <c r="F648" s="79" t="s">
        <v>153</v>
      </c>
      <c r="G648" s="79" t="s">
        <v>153</v>
      </c>
      <c r="H648" s="79" t="s">
        <v>153</v>
      </c>
      <c r="I648" s="79" t="s">
        <v>153</v>
      </c>
      <c r="J648" s="79" t="s">
        <v>3324</v>
      </c>
      <c r="K648" s="79" t="s">
        <v>155</v>
      </c>
      <c r="L648" s="80" t="s">
        <v>4529</v>
      </c>
      <c r="M648" s="80" t="s">
        <v>303</v>
      </c>
      <c r="N648" s="79" t="s">
        <v>1387</v>
      </c>
      <c r="O648" s="80" t="str">
        <f t="shared" si="599"/>
        <v>Juan Pablo Serna, Camilo Andrés Vásquez</v>
      </c>
      <c r="P648" s="79" t="s">
        <v>818</v>
      </c>
      <c r="Q648" s="79" t="s">
        <v>373</v>
      </c>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t="s">
        <v>304</v>
      </c>
      <c r="AP648" s="79"/>
      <c r="AQ648" s="80" t="s">
        <v>4530</v>
      </c>
      <c r="AR648" s="83" t="s">
        <v>4531</v>
      </c>
      <c r="AS648" s="80" t="s">
        <v>4532</v>
      </c>
      <c r="AT648" s="80" t="str">
        <f t="shared" si="545"/>
        <v>Barrios Unidos</v>
      </c>
      <c r="AU648" s="79" t="s">
        <v>1031</v>
      </c>
      <c r="AV648" s="79"/>
      <c r="AW648" s="79"/>
      <c r="AX648" s="79"/>
      <c r="AY648" s="79"/>
      <c r="AZ648" s="79"/>
      <c r="BA648" s="80" t="str">
        <f t="shared" si="562"/>
        <v>Centro Ampliado</v>
      </c>
      <c r="BB648" s="79" t="s">
        <v>636</v>
      </c>
      <c r="BC648" s="79"/>
      <c r="BD648" s="79"/>
      <c r="BE648" s="79"/>
      <c r="BF648" s="79"/>
      <c r="BG648" s="79"/>
      <c r="BH648" s="80" t="str">
        <f t="shared" ref="BH648" si="600">_xlfn.TEXTJOIN(", ",TRUE,$BI648:$BR648)</f>
        <v>Barrios Unidos</v>
      </c>
      <c r="BI648" s="79" t="s">
        <v>1031</v>
      </c>
      <c r="BJ648" s="79"/>
      <c r="BK648" s="79"/>
      <c r="BL648" s="79"/>
      <c r="BM648" s="79"/>
      <c r="BN648" s="79"/>
      <c r="BO648" s="79"/>
      <c r="BP648" s="79"/>
      <c r="BQ648" s="79"/>
      <c r="BR648" s="79"/>
      <c r="BS648" s="80" t="s">
        <v>4533</v>
      </c>
      <c r="BT648" s="80" t="s">
        <v>2362</v>
      </c>
      <c r="BU648" s="80" t="s">
        <v>4534</v>
      </c>
      <c r="BV648" s="71"/>
      <c r="BW648" s="79" t="s">
        <v>152</v>
      </c>
      <c r="BX648" s="79" t="s">
        <v>179</v>
      </c>
      <c r="BY648" s="71"/>
      <c r="BZ648" s="79">
        <v>3</v>
      </c>
      <c r="CA648" s="79">
        <v>4</v>
      </c>
      <c r="CB648" s="79">
        <f t="shared" si="591"/>
        <v>7</v>
      </c>
      <c r="CC648" s="79" t="str">
        <f t="shared" si="382"/>
        <v>Ninguna</v>
      </c>
      <c r="CD648" s="79" t="s">
        <v>174</v>
      </c>
      <c r="CE648" s="79"/>
      <c r="CF648" s="79"/>
      <c r="CG648" s="83" t="s">
        <v>4535</v>
      </c>
      <c r="CH648" s="41"/>
      <c r="CI648" s="79" t="s">
        <v>153</v>
      </c>
      <c r="CJ648" s="71"/>
      <c r="CK648" s="79">
        <f>COUNTIF(CL648:CQ648,"*")</f>
        <v>1</v>
      </c>
      <c r="CL648" s="79" t="s">
        <v>3756</v>
      </c>
      <c r="CM648" s="79"/>
      <c r="CN648" s="79"/>
      <c r="CO648" s="79"/>
      <c r="CP648" s="79"/>
      <c r="CQ648" s="79"/>
      <c r="CR648" s="83" t="s">
        <v>390</v>
      </c>
      <c r="CS648" s="83" t="s">
        <v>179</v>
      </c>
      <c r="CT648" s="83" t="s">
        <v>179</v>
      </c>
      <c r="CU648" s="83" t="s">
        <v>179</v>
      </c>
      <c r="CV648" s="83" t="s">
        <v>179</v>
      </c>
      <c r="CW648" s="83" t="s">
        <v>179</v>
      </c>
      <c r="CX648" s="79" t="s">
        <v>153</v>
      </c>
      <c r="CY648" s="79">
        <f>SUM(COUNTIF(CR648:CW648,"Realizado y Devuelto a la Ciudadanía"),COUNTIF(CR648:CW648,"Realizado y Trasladado por competencia"), COUNTIF(CR648:CW648,"Realizado y Gestionado"))</f>
        <v>1</v>
      </c>
      <c r="CZ648" s="79">
        <v>1</v>
      </c>
      <c r="DA648" s="79">
        <f>COUNTIF(CR648:CW648,"Realizado y Devuelto a la Ciudadanía")</f>
        <v>1</v>
      </c>
      <c r="DB648" s="84">
        <f t="shared" si="595"/>
        <v>1</v>
      </c>
      <c r="DC648" s="41"/>
      <c r="DD648" s="79" t="s">
        <v>153</v>
      </c>
      <c r="DE648" s="71"/>
      <c r="DF648" s="160" t="s">
        <v>4536</v>
      </c>
      <c r="DG648" s="79">
        <v>638</v>
      </c>
      <c r="DH648" s="86" t="str">
        <f>IF(EE648="Por completar",C648+3,"Completo")</f>
        <v>Completo</v>
      </c>
      <c r="DI648" s="79" t="s">
        <v>181</v>
      </c>
      <c r="DJ648" s="79" t="s">
        <v>182</v>
      </c>
      <c r="DK648" s="79" t="s">
        <v>153</v>
      </c>
      <c r="DL648" s="79">
        <v>0</v>
      </c>
      <c r="DM648" s="79">
        <v>0</v>
      </c>
      <c r="DN648" s="79" t="s">
        <v>182</v>
      </c>
      <c r="DO648" s="79">
        <v>0</v>
      </c>
      <c r="DP648" s="79" t="s">
        <v>191</v>
      </c>
      <c r="DQ648" s="79"/>
      <c r="DR648" s="75">
        <f t="shared" si="576"/>
        <v>0</v>
      </c>
      <c r="DS648" s="79" t="s">
        <v>191</v>
      </c>
      <c r="DT648" s="79"/>
      <c r="DU648" s="75">
        <f t="shared" si="577"/>
        <v>0</v>
      </c>
      <c r="DV648" s="79" t="s">
        <v>182</v>
      </c>
      <c r="DW648" s="79" t="s">
        <v>182</v>
      </c>
      <c r="DX648" s="79">
        <v>1</v>
      </c>
      <c r="DY648" s="79"/>
      <c r="DZ648" s="79"/>
      <c r="EA648" s="79" t="s">
        <v>179</v>
      </c>
      <c r="EB648" s="79" t="s">
        <v>182</v>
      </c>
      <c r="EC648" s="79" t="s">
        <v>4537</v>
      </c>
      <c r="ED648" s="79" t="s">
        <v>1743</v>
      </c>
      <c r="EE648" s="79" t="str">
        <f t="shared" si="596"/>
        <v>Completo</v>
      </c>
      <c r="EF648" s="41"/>
      <c r="EG648" s="79" t="s">
        <v>153</v>
      </c>
      <c r="EH648" s="71"/>
      <c r="EI648" s="199" t="s">
        <v>4538</v>
      </c>
      <c r="EJ648" s="71"/>
      <c r="EK648" s="79" t="s">
        <v>191</v>
      </c>
      <c r="EL648" s="87" t="str">
        <f t="shared" si="465"/>
        <v>No</v>
      </c>
      <c r="EM648" s="87" t="str">
        <f t="shared" si="466"/>
        <v>No</v>
      </c>
      <c r="EN648" s="87" t="str">
        <f t="shared" si="597"/>
        <v>No</v>
      </c>
      <c r="EO648" s="71"/>
      <c r="EP648" s="84" t="str">
        <f t="shared" si="467"/>
        <v>No aplica</v>
      </c>
      <c r="EQ648" s="88">
        <f t="shared" si="468"/>
        <v>0</v>
      </c>
      <c r="ER648" s="71"/>
      <c r="ES648" s="79" t="s">
        <v>191</v>
      </c>
      <c r="ET648" s="84">
        <f t="shared" si="469"/>
        <v>0.66666666666666663</v>
      </c>
      <c r="EU648" s="84">
        <f t="shared" si="598"/>
        <v>1</v>
      </c>
      <c r="EV648" s="84">
        <f t="shared" si="470"/>
        <v>1</v>
      </c>
      <c r="EW648" s="84" t="str">
        <f t="shared" si="581"/>
        <v>No aplica</v>
      </c>
      <c r="EX648" s="78"/>
      <c r="EY648" s="78"/>
    </row>
    <row r="649" spans="1:155" ht="60" customHeight="1">
      <c r="A649" s="79">
        <v>645</v>
      </c>
      <c r="B649" s="80" t="s">
        <v>4539</v>
      </c>
      <c r="C649" s="81">
        <v>45471</v>
      </c>
      <c r="D649" s="82">
        <v>0.41666666666666669</v>
      </c>
      <c r="E649" s="79" t="s">
        <v>151</v>
      </c>
      <c r="F649" s="79" t="s">
        <v>153</v>
      </c>
      <c r="G649" s="79" t="s">
        <v>153</v>
      </c>
      <c r="H649" s="79" t="s">
        <v>152</v>
      </c>
      <c r="I649" s="79" t="s">
        <v>152</v>
      </c>
      <c r="J649" s="79" t="s">
        <v>3999</v>
      </c>
      <c r="K649" s="79" t="s">
        <v>155</v>
      </c>
      <c r="L649" s="80" t="s">
        <v>4540</v>
      </c>
      <c r="M649" s="80" t="s">
        <v>157</v>
      </c>
      <c r="N649" s="79" t="s">
        <v>862</v>
      </c>
      <c r="O649" s="80" t="str">
        <f t="shared" si="520"/>
        <v xml:space="preserve">Luis Fernando Barreto </v>
      </c>
      <c r="P649" s="79" t="s">
        <v>720</v>
      </c>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t="s">
        <v>230</v>
      </c>
      <c r="AP649" s="79" t="s">
        <v>356</v>
      </c>
      <c r="AQ649" s="80" t="s">
        <v>4541</v>
      </c>
      <c r="AR649" s="83" t="s">
        <v>4542</v>
      </c>
      <c r="AS649" s="80" t="s">
        <v>4543</v>
      </c>
      <c r="AT649" s="80" t="str">
        <f t="shared" si="545"/>
        <v>Tunjuelito</v>
      </c>
      <c r="AU649" s="79" t="s">
        <v>937</v>
      </c>
      <c r="AV649" s="79"/>
      <c r="AW649" s="79"/>
      <c r="AX649" s="79"/>
      <c r="AY649" s="79"/>
      <c r="AZ649" s="79"/>
      <c r="BA649" s="80" t="str">
        <f t="shared" si="562"/>
        <v>Suroriente</v>
      </c>
      <c r="BB649" s="79" t="s">
        <v>218</v>
      </c>
      <c r="BC649" s="79"/>
      <c r="BD649" s="79"/>
      <c r="BE649" s="79"/>
      <c r="BF649" s="79"/>
      <c r="BG649" s="79"/>
      <c r="BH649" s="80" t="str">
        <f t="shared" si="563"/>
        <v>Tunjuelito, Arborizadora</v>
      </c>
      <c r="BI649" s="79" t="s">
        <v>937</v>
      </c>
      <c r="BJ649" s="79" t="s">
        <v>220</v>
      </c>
      <c r="BK649" s="79"/>
      <c r="BL649" s="79"/>
      <c r="BM649" s="79"/>
      <c r="BN649" s="79"/>
      <c r="BO649" s="79"/>
      <c r="BP649" s="79"/>
      <c r="BQ649" s="79"/>
      <c r="BR649" s="79"/>
      <c r="BS649" s="80" t="s">
        <v>288</v>
      </c>
      <c r="BT649" s="80" t="s">
        <v>174</v>
      </c>
      <c r="BU649" s="203" t="s">
        <v>196</v>
      </c>
      <c r="BV649" s="71"/>
      <c r="BW649" s="79" t="s">
        <v>152</v>
      </c>
      <c r="BX649" s="79" t="s">
        <v>179</v>
      </c>
      <c r="BY649" s="71"/>
      <c r="BZ649" s="79">
        <v>11</v>
      </c>
      <c r="CA649" s="79">
        <v>1</v>
      </c>
      <c r="CB649" s="79">
        <f t="shared" ref="CB649:CB650" si="601">BZ649+CA649</f>
        <v>12</v>
      </c>
      <c r="CC649" s="79" t="str">
        <f t="shared" si="382"/>
        <v>Horarios Acordes</v>
      </c>
      <c r="CD649" s="79" t="s">
        <v>351</v>
      </c>
      <c r="CE649" s="79"/>
      <c r="CF649" s="79"/>
      <c r="CG649" s="83" t="s">
        <v>4544</v>
      </c>
      <c r="CH649" s="41"/>
      <c r="CI649" s="79" t="s">
        <v>153</v>
      </c>
      <c r="CJ649" s="71"/>
      <c r="CK649" s="79">
        <f t="shared" ref="CK649:CK650" si="602">COUNTIF(CL649:CQ649,"*")</f>
        <v>0</v>
      </c>
      <c r="CL649" s="79"/>
      <c r="CM649" s="79"/>
      <c r="CN649" s="79"/>
      <c r="CO649" s="79"/>
      <c r="CP649" s="79"/>
      <c r="CQ649" s="79"/>
      <c r="CR649" s="83" t="s">
        <v>179</v>
      </c>
      <c r="CS649" s="83" t="s">
        <v>179</v>
      </c>
      <c r="CT649" s="83" t="s">
        <v>179</v>
      </c>
      <c r="CU649" s="83" t="s">
        <v>179</v>
      </c>
      <c r="CV649" s="83" t="s">
        <v>179</v>
      </c>
      <c r="CW649" s="83" t="s">
        <v>179</v>
      </c>
      <c r="CX649" s="79" t="s">
        <v>153</v>
      </c>
      <c r="CY649" s="79">
        <f t="shared" ref="CY649:CY650" si="603">SUM(COUNTIF(CR649:CW649,"Realizado y Devuelto a la Ciudadanía"),COUNTIF(CR649:CW649,"Realizado y Trasladado por competencia"), COUNTIF(CR649:CW649,"Realizado y Gestionado"))</f>
        <v>0</v>
      </c>
      <c r="CZ649" s="79">
        <v>0</v>
      </c>
      <c r="DA649" s="79">
        <f t="shared" ref="DA649:DA650" si="604">COUNTIF(CR649:CW649,"Realizado y Devuelto a la Ciudadanía")</f>
        <v>0</v>
      </c>
      <c r="DB649" s="84" t="str">
        <f t="shared" ref="DB649:DB650" si="605">IFERROR(CY649/CK649,"")</f>
        <v/>
      </c>
      <c r="DC649" s="41"/>
      <c r="DD649" s="79" t="s">
        <v>153</v>
      </c>
      <c r="DE649" s="71"/>
      <c r="DF649" s="127" t="s">
        <v>4545</v>
      </c>
      <c r="DG649" s="79">
        <v>639</v>
      </c>
      <c r="DH649" s="86" t="str">
        <f>IF(EE649="Por completar",C649+3,"Completo")</f>
        <v>Completo</v>
      </c>
      <c r="DI649" s="79" t="s">
        <v>181</v>
      </c>
      <c r="DJ649" s="79" t="s">
        <v>182</v>
      </c>
      <c r="DK649" s="79"/>
      <c r="DL649" s="79">
        <v>0</v>
      </c>
      <c r="DM649" s="79">
        <v>0</v>
      </c>
      <c r="DN649" s="79" t="s">
        <v>191</v>
      </c>
      <c r="DO649" s="79"/>
      <c r="DP649" s="79"/>
      <c r="DQ649" s="79"/>
      <c r="DR649" s="75" t="str">
        <f t="shared" si="576"/>
        <v>No aplica</v>
      </c>
      <c r="DS649" s="79"/>
      <c r="DT649" s="79"/>
      <c r="DU649" s="75" t="str">
        <f t="shared" si="577"/>
        <v>No aplica</v>
      </c>
      <c r="DV649" s="79" t="s">
        <v>182</v>
      </c>
      <c r="DW649" s="79"/>
      <c r="DX649" s="79"/>
      <c r="DY649" s="79"/>
      <c r="DZ649" s="79"/>
      <c r="EA649" s="79"/>
      <c r="EB649" s="79" t="s">
        <v>182</v>
      </c>
      <c r="EC649" s="79" t="s">
        <v>4469</v>
      </c>
      <c r="ED649" s="79" t="s">
        <v>4546</v>
      </c>
      <c r="EE649" s="79" t="str">
        <f t="shared" ref="EE649:EE650" si="606">IF(DI649="Subsanado","Completo","Por Completar")</f>
        <v>Completo</v>
      </c>
      <c r="EF649" s="41"/>
      <c r="EG649" s="79" t="s">
        <v>153</v>
      </c>
      <c r="EH649" s="71"/>
      <c r="EI649" s="80"/>
      <c r="EJ649" s="71"/>
      <c r="EK649" s="79"/>
      <c r="EL649" s="87" t="str">
        <f t="shared" si="465"/>
        <v>No requiere</v>
      </c>
      <c r="EM649" s="87" t="str">
        <f t="shared" si="466"/>
        <v>No requiere</v>
      </c>
      <c r="EN649" s="87" t="str">
        <f t="shared" ref="EN649:EN650" si="607">IF(F649="NO","No requiere",IF(H649="No","No requiere",IF(CC649="","",IF(CD649&lt;&gt;"No aplica",IF(CD649&lt;&gt;"Ninguna",IF(COUNTIF(CD649:CF649,"*")&gt;=1,"Sí","No"),"No"),"No aplica"))))</f>
        <v>No requiere</v>
      </c>
      <c r="EO649" s="71"/>
      <c r="EP649" s="84" t="str">
        <f t="shared" si="467"/>
        <v>No requiere</v>
      </c>
      <c r="EQ649" s="88" t="str">
        <f t="shared" si="468"/>
        <v>No requiere</v>
      </c>
      <c r="ER649" s="71"/>
      <c r="ES649" s="79"/>
      <c r="ET649" s="84" t="str">
        <f t="shared" si="469"/>
        <v>No requiere</v>
      </c>
      <c r="EU649" s="84" t="str">
        <f t="shared" ref="EU649:EU650" si="608">IF(F649="NO","No requiere",IF(H649="No","No requiere",IF(B649="","",IF(CX649="SÍ",IF(CK649&gt;=1,CY649/CK649,"Sin compromisos"),"Por verificar"))))</f>
        <v>No requiere</v>
      </c>
      <c r="EV649" s="84" t="str">
        <f t="shared" si="470"/>
        <v>No requiere</v>
      </c>
      <c r="EW649" s="84" t="str">
        <f t="shared" si="581"/>
        <v>No requiere</v>
      </c>
      <c r="EX649" s="78"/>
      <c r="EY649" s="78"/>
    </row>
    <row r="650" spans="1:155" ht="60" customHeight="1">
      <c r="A650" s="79" t="str">
        <v/>
      </c>
      <c r="B650" s="80" t="s">
        <v>4547</v>
      </c>
      <c r="C650" s="81">
        <v>45471</v>
      </c>
      <c r="D650" s="82">
        <v>0.41666666666666669</v>
      </c>
      <c r="E650" s="79" t="s">
        <v>151</v>
      </c>
      <c r="F650" s="79" t="s">
        <v>152</v>
      </c>
      <c r="G650" s="79" t="s">
        <v>153</v>
      </c>
      <c r="H650" s="79" t="s">
        <v>152</v>
      </c>
      <c r="I650" s="79" t="s">
        <v>152</v>
      </c>
      <c r="J650" s="79" t="s">
        <v>251</v>
      </c>
      <c r="K650" s="79" t="s">
        <v>202</v>
      </c>
      <c r="L650" s="80" t="s">
        <v>4548</v>
      </c>
      <c r="M650" s="80" t="s">
        <v>624</v>
      </c>
      <c r="N650" s="79" t="s">
        <v>346</v>
      </c>
      <c r="O650" s="80" t="str">
        <f t="shared" si="520"/>
        <v>Freddy Martínez, Ana María Ulloa, César Augusto Barrantes</v>
      </c>
      <c r="P650" s="79" t="s">
        <v>3049</v>
      </c>
      <c r="Q650" s="79" t="s">
        <v>522</v>
      </c>
      <c r="R650" s="79" t="s">
        <v>729</v>
      </c>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t="s">
        <v>304</v>
      </c>
      <c r="AP650" s="79"/>
      <c r="AQ650" s="80" t="s">
        <v>171</v>
      </c>
      <c r="AR650" s="83" t="s">
        <v>171</v>
      </c>
      <c r="AS650" s="80" t="s">
        <v>171</v>
      </c>
      <c r="AT650" s="80" t="str">
        <f t="shared" si="545"/>
        <v>Distrital</v>
      </c>
      <c r="AU650" s="79" t="s">
        <v>172</v>
      </c>
      <c r="AV650" s="79"/>
      <c r="AW650" s="79"/>
      <c r="AX650" s="79"/>
      <c r="AY650" s="79"/>
      <c r="AZ650" s="79"/>
      <c r="BA650" s="80" t="str">
        <f t="shared" si="562"/>
        <v>Distrital</v>
      </c>
      <c r="BB650" s="79" t="s">
        <v>172</v>
      </c>
      <c r="BC650" s="79"/>
      <c r="BD650" s="79"/>
      <c r="BE650" s="79"/>
      <c r="BF650" s="79"/>
      <c r="BG650" s="79"/>
      <c r="BH650" s="80" t="str">
        <f t="shared" si="563"/>
        <v>Distrital</v>
      </c>
      <c r="BI650" s="79" t="s">
        <v>172</v>
      </c>
      <c r="BJ650" s="79"/>
      <c r="BK650" s="79"/>
      <c r="BL650" s="79"/>
      <c r="BM650" s="79"/>
      <c r="BN650" s="79"/>
      <c r="BO650" s="79"/>
      <c r="BP650" s="79"/>
      <c r="BQ650" s="79"/>
      <c r="BR650" s="79"/>
      <c r="BS650" s="80" t="s">
        <v>288</v>
      </c>
      <c r="BT650" s="80" t="s">
        <v>174</v>
      </c>
      <c r="BU650" s="80" t="s">
        <v>4549</v>
      </c>
      <c r="BV650" s="71"/>
      <c r="BW650" s="79" t="s">
        <v>152</v>
      </c>
      <c r="BX650" s="79" t="s">
        <v>179</v>
      </c>
      <c r="BY650" s="71"/>
      <c r="BZ650" s="79">
        <v>1</v>
      </c>
      <c r="CA650" s="79">
        <v>4</v>
      </c>
      <c r="CB650" s="79">
        <f t="shared" si="601"/>
        <v>5</v>
      </c>
      <c r="CC650" s="79" t="str">
        <f t="shared" si="382"/>
        <v>Ninguna</v>
      </c>
      <c r="CD650" s="79" t="s">
        <v>174</v>
      </c>
      <c r="CE650" s="79"/>
      <c r="CF650" s="79"/>
      <c r="CG650" s="83" t="s">
        <v>4550</v>
      </c>
      <c r="CH650" s="41"/>
      <c r="CI650" s="79" t="s">
        <v>153</v>
      </c>
      <c r="CJ650" s="71"/>
      <c r="CK650" s="79">
        <f t="shared" si="602"/>
        <v>0</v>
      </c>
      <c r="CL650" s="79"/>
      <c r="CM650" s="79"/>
      <c r="CN650" s="79"/>
      <c r="CO650" s="79"/>
      <c r="CP650" s="79"/>
      <c r="CQ650" s="79"/>
      <c r="CR650" s="83" t="s">
        <v>179</v>
      </c>
      <c r="CS650" s="83" t="s">
        <v>179</v>
      </c>
      <c r="CT650" s="83" t="s">
        <v>179</v>
      </c>
      <c r="CU650" s="83" t="s">
        <v>179</v>
      </c>
      <c r="CV650" s="83" t="s">
        <v>179</v>
      </c>
      <c r="CW650" s="83" t="s">
        <v>179</v>
      </c>
      <c r="CX650" s="79" t="s">
        <v>153</v>
      </c>
      <c r="CY650" s="79">
        <f t="shared" si="603"/>
        <v>0</v>
      </c>
      <c r="CZ650" s="79">
        <v>0</v>
      </c>
      <c r="DA650" s="79">
        <f t="shared" si="604"/>
        <v>0</v>
      </c>
      <c r="DB650" s="84" t="str">
        <f t="shared" si="605"/>
        <v/>
      </c>
      <c r="DC650" s="41"/>
      <c r="DD650" s="79" t="s">
        <v>153</v>
      </c>
      <c r="DE650" s="71"/>
      <c r="DF650" s="127" t="s">
        <v>4551</v>
      </c>
      <c r="DG650" s="79">
        <v>640</v>
      </c>
      <c r="DH650" s="86" t="str">
        <f t="shared" si="537"/>
        <v>Completo</v>
      </c>
      <c r="DI650" s="79" t="s">
        <v>181</v>
      </c>
      <c r="DJ650" s="79" t="s">
        <v>182</v>
      </c>
      <c r="DK650" s="79"/>
      <c r="DL650" s="79">
        <v>0</v>
      </c>
      <c r="DM650" s="79">
        <v>0</v>
      </c>
      <c r="DN650" s="79"/>
      <c r="DO650" s="79"/>
      <c r="DP650" s="79"/>
      <c r="DQ650" s="79"/>
      <c r="DR650" s="75" t="str">
        <f t="shared" si="576"/>
        <v>No aplica</v>
      </c>
      <c r="DS650" s="79"/>
      <c r="DT650" s="79"/>
      <c r="DU650" s="75" t="str">
        <f t="shared" si="577"/>
        <v>No aplica</v>
      </c>
      <c r="DV650" s="79"/>
      <c r="DW650" s="79"/>
      <c r="DX650" s="79"/>
      <c r="DY650" s="79"/>
      <c r="DZ650" s="79"/>
      <c r="EA650" s="79"/>
      <c r="EB650" s="79"/>
      <c r="EC650" s="79"/>
      <c r="ED650" s="79" t="s">
        <v>4552</v>
      </c>
      <c r="EE650" s="79" t="str">
        <f t="shared" si="606"/>
        <v>Completo</v>
      </c>
      <c r="EF650" s="41"/>
      <c r="EG650" s="79" t="s">
        <v>153</v>
      </c>
      <c r="EH650" s="71"/>
      <c r="EI650" s="80"/>
      <c r="EJ650" s="71"/>
      <c r="EK650" s="79"/>
      <c r="EL650" s="87" t="str">
        <f t="shared" si="465"/>
        <v>No requiere</v>
      </c>
      <c r="EM650" s="87" t="str">
        <f t="shared" si="466"/>
        <v>No requiere</v>
      </c>
      <c r="EN650" s="87" t="str">
        <f t="shared" si="607"/>
        <v>No requiere</v>
      </c>
      <c r="EO650" s="71"/>
      <c r="EP650" s="84" t="str">
        <f t="shared" si="467"/>
        <v>No requiere</v>
      </c>
      <c r="EQ650" s="88" t="str">
        <f t="shared" si="468"/>
        <v>No requiere</v>
      </c>
      <c r="ER650" s="71"/>
      <c r="ES650" s="79"/>
      <c r="ET650" s="84" t="str">
        <f t="shared" si="469"/>
        <v>No requiere</v>
      </c>
      <c r="EU650" s="84" t="str">
        <f t="shared" si="608"/>
        <v>No requiere</v>
      </c>
      <c r="EV650" s="84" t="str">
        <f t="shared" si="470"/>
        <v>No requiere</v>
      </c>
      <c r="EW650" s="84" t="str">
        <f t="shared" si="581"/>
        <v>No requiere</v>
      </c>
      <c r="EX650" s="78"/>
      <c r="EY650" s="78"/>
    </row>
    <row r="651" spans="1:155" ht="46.5" customHeight="1">
      <c r="A651" s="79">
        <v>647</v>
      </c>
      <c r="B651" s="80" t="s">
        <v>4553</v>
      </c>
      <c r="C651" s="81">
        <v>45471</v>
      </c>
      <c r="D651" s="82">
        <v>0.54166666666666663</v>
      </c>
      <c r="E651" s="79" t="s">
        <v>853</v>
      </c>
      <c r="F651" s="79" t="s">
        <v>153</v>
      </c>
      <c r="G651" s="79" t="s">
        <v>152</v>
      </c>
      <c r="H651" s="79" t="s">
        <v>152</v>
      </c>
      <c r="I651" s="79" t="s">
        <v>152</v>
      </c>
      <c r="J651" s="79" t="s">
        <v>2201</v>
      </c>
      <c r="K651" s="79" t="s">
        <v>155</v>
      </c>
      <c r="L651" s="80" t="s">
        <v>4554</v>
      </c>
      <c r="M651" s="80" t="s">
        <v>157</v>
      </c>
      <c r="N651" s="79" t="s">
        <v>1066</v>
      </c>
      <c r="O651" s="80" t="str">
        <f t="shared" si="520"/>
        <v>Joan Sebastian García, Germán Ramón Jacome</v>
      </c>
      <c r="P651" s="79" t="s">
        <v>728</v>
      </c>
      <c r="Q651" s="79" t="s">
        <v>525</v>
      </c>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t="s">
        <v>304</v>
      </c>
      <c r="AP651" s="79"/>
      <c r="AQ651" s="80" t="s">
        <v>4555</v>
      </c>
      <c r="AR651" s="83">
        <v>3106502869</v>
      </c>
      <c r="AS651" s="80" t="s">
        <v>2204</v>
      </c>
      <c r="AT651" s="80" t="str">
        <f t="shared" si="545"/>
        <v>Distrital</v>
      </c>
      <c r="AU651" s="79" t="s">
        <v>172</v>
      </c>
      <c r="AV651" s="79"/>
      <c r="AW651" s="79"/>
      <c r="AX651" s="79"/>
      <c r="AY651" s="79"/>
      <c r="AZ651" s="79"/>
      <c r="BA651" s="80" t="str">
        <f t="shared" si="562"/>
        <v>Distrital</v>
      </c>
      <c r="BB651" s="79" t="s">
        <v>172</v>
      </c>
      <c r="BC651" s="79"/>
      <c r="BD651" s="79"/>
      <c r="BE651" s="79"/>
      <c r="BF651" s="79"/>
      <c r="BG651" s="79"/>
      <c r="BH651" s="80" t="str">
        <f t="shared" si="563"/>
        <v>Distrital</v>
      </c>
      <c r="BI651" s="79" t="s">
        <v>172</v>
      </c>
      <c r="BJ651" s="79"/>
      <c r="BK651" s="79"/>
      <c r="BL651" s="79"/>
      <c r="BM651" s="79"/>
      <c r="BN651" s="79"/>
      <c r="BO651" s="79"/>
      <c r="BP651" s="79"/>
      <c r="BQ651" s="79"/>
      <c r="BR651" s="79"/>
      <c r="BS651" s="80" t="s">
        <v>1004</v>
      </c>
      <c r="BT651" s="80" t="s">
        <v>174</v>
      </c>
      <c r="BU651" s="80" t="s">
        <v>4556</v>
      </c>
      <c r="BV651" s="71"/>
      <c r="BW651" s="79" t="s">
        <v>152</v>
      </c>
      <c r="BX651" s="79" t="s">
        <v>179</v>
      </c>
      <c r="BY651" s="71"/>
      <c r="BZ651" s="79">
        <v>3</v>
      </c>
      <c r="CA651" s="79">
        <v>3</v>
      </c>
      <c r="CB651" s="79">
        <f t="shared" si="281"/>
        <v>6</v>
      </c>
      <c r="CC651" s="79" t="str">
        <f t="shared" si="382"/>
        <v>Horarios Acordes</v>
      </c>
      <c r="CD651" s="79" t="s">
        <v>351</v>
      </c>
      <c r="CE651" s="79"/>
      <c r="CF651" s="79"/>
      <c r="CG651" s="83" t="s">
        <v>4557</v>
      </c>
      <c r="CH651" s="41"/>
      <c r="CI651" s="79" t="s">
        <v>153</v>
      </c>
      <c r="CJ651" s="71"/>
      <c r="CK651" s="79">
        <f t="shared" si="377"/>
        <v>0</v>
      </c>
      <c r="CL651" s="79"/>
      <c r="CM651" s="79"/>
      <c r="CN651" s="79"/>
      <c r="CO651" s="79"/>
      <c r="CP651" s="79"/>
      <c r="CQ651" s="79"/>
      <c r="CR651" s="83" t="s">
        <v>179</v>
      </c>
      <c r="CS651" s="83" t="s">
        <v>179</v>
      </c>
      <c r="CT651" s="83" t="s">
        <v>179</v>
      </c>
      <c r="CU651" s="83" t="s">
        <v>179</v>
      </c>
      <c r="CV651" s="83" t="s">
        <v>179</v>
      </c>
      <c r="CW651" s="83" t="s">
        <v>179</v>
      </c>
      <c r="CX651" s="79" t="s">
        <v>153</v>
      </c>
      <c r="CY651" s="79">
        <f t="shared" si="358"/>
        <v>0</v>
      </c>
      <c r="CZ651" s="79">
        <v>0</v>
      </c>
      <c r="DA651" s="79">
        <f t="shared" si="359"/>
        <v>0</v>
      </c>
      <c r="DB651" s="84" t="str">
        <f t="shared" si="364"/>
        <v/>
      </c>
      <c r="DC651" s="41"/>
      <c r="DD651" s="79" t="s">
        <v>153</v>
      </c>
      <c r="DE651" s="71"/>
      <c r="DF651" s="127" t="s">
        <v>4558</v>
      </c>
      <c r="DG651" s="79">
        <v>641</v>
      </c>
      <c r="DH651" s="86" t="str">
        <f t="shared" si="537"/>
        <v>Completo</v>
      </c>
      <c r="DI651" s="79" t="s">
        <v>181</v>
      </c>
      <c r="DJ651" s="79" t="s">
        <v>182</v>
      </c>
      <c r="DK651" s="79"/>
      <c r="DL651" s="79">
        <v>0</v>
      </c>
      <c r="DM651" s="79">
        <v>0</v>
      </c>
      <c r="DN651" s="79" t="s">
        <v>182</v>
      </c>
      <c r="DO651" s="79"/>
      <c r="DP651" s="79"/>
      <c r="DQ651" s="79"/>
      <c r="DR651" s="75" t="str">
        <f t="shared" si="576"/>
        <v>No aplica</v>
      </c>
      <c r="DS651" s="79"/>
      <c r="DT651" s="79"/>
      <c r="DU651" s="75" t="str">
        <f t="shared" si="577"/>
        <v>No aplica</v>
      </c>
      <c r="DV651" s="79" t="s">
        <v>182</v>
      </c>
      <c r="DW651" s="79" t="s">
        <v>182</v>
      </c>
      <c r="DX651" s="79"/>
      <c r="DY651" s="79"/>
      <c r="DZ651" s="79"/>
      <c r="EA651" s="79"/>
      <c r="EB651" s="79"/>
      <c r="EC651" s="79"/>
      <c r="ED651" s="79"/>
      <c r="EE651" s="79" t="str">
        <f t="shared" si="384"/>
        <v>Completo</v>
      </c>
      <c r="EF651" s="41"/>
      <c r="EG651" s="79" t="s">
        <v>153</v>
      </c>
      <c r="EH651" s="71"/>
      <c r="EI651" s="80"/>
      <c r="EJ651" s="71"/>
      <c r="EK651" s="79"/>
      <c r="EL651" s="76" t="str">
        <f t="shared" si="465"/>
        <v>No requiere</v>
      </c>
      <c r="EM651" s="76" t="str">
        <f t="shared" si="466"/>
        <v>No requiere</v>
      </c>
      <c r="EN651" s="76" t="str">
        <f>IF(F651="NO","No requiere",IF(H651="No","No requiere",IF(CC651="","",IF(CD651&lt;&gt;"No aplica",IF(CD651&lt;&gt;"Ninguna",IF(COUNTIF(CD651:CF651,"*")&gt;=1,"Sí","No"),"No"),"No aplica"))))</f>
        <v>No requiere</v>
      </c>
      <c r="EO651" s="71"/>
      <c r="EP651" s="73" t="str">
        <f t="shared" si="467"/>
        <v>No requiere</v>
      </c>
      <c r="EQ651" s="77" t="str">
        <f t="shared" si="468"/>
        <v>No requiere</v>
      </c>
      <c r="ER651" s="71"/>
      <c r="ES651" s="79"/>
      <c r="ET651" s="73" t="str">
        <f t="shared" si="469"/>
        <v>No requiere</v>
      </c>
      <c r="EU651" s="73" t="str">
        <f>IF(F651="NO","No requiere",IF(H651="No","No requiere",IF(B651="","",IF(CX651="SÍ",IF(CK651&gt;=1,CY651/CK651,"Sin compromisos"),"Por verificar"))))</f>
        <v>No requiere</v>
      </c>
      <c r="EV651" s="73" t="str">
        <f t="shared" si="470"/>
        <v>No requiere</v>
      </c>
      <c r="EW651" s="73" t="str">
        <f t="shared" si="581"/>
        <v>No requiere</v>
      </c>
      <c r="EX651" s="78"/>
      <c r="EY651" s="78"/>
    </row>
    <row r="652" spans="1:155" ht="46.5" customHeight="1">
      <c r="A652" s="79">
        <v>648</v>
      </c>
      <c r="B652" s="80" t="s">
        <v>4559</v>
      </c>
      <c r="C652" s="81">
        <v>45471</v>
      </c>
      <c r="D652" s="82">
        <v>0.58333333333333337</v>
      </c>
      <c r="E652" s="79" t="s">
        <v>151</v>
      </c>
      <c r="F652" s="79" t="s">
        <v>153</v>
      </c>
      <c r="G652" s="79" t="s">
        <v>153</v>
      </c>
      <c r="H652" s="79" t="s">
        <v>152</v>
      </c>
      <c r="I652" s="79" t="s">
        <v>152</v>
      </c>
      <c r="J652" s="79" t="s">
        <v>3999</v>
      </c>
      <c r="K652" s="79" t="s">
        <v>155</v>
      </c>
      <c r="L652" s="80" t="s">
        <v>4560</v>
      </c>
      <c r="M652" s="80" t="s">
        <v>241</v>
      </c>
      <c r="N652" s="79" t="s">
        <v>720</v>
      </c>
      <c r="O652" s="80" t="str">
        <f t="shared" si="520"/>
        <v/>
      </c>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t="s">
        <v>169</v>
      </c>
      <c r="AP652" s="79" t="s">
        <v>170</v>
      </c>
      <c r="AQ652" s="80" t="s">
        <v>4561</v>
      </c>
      <c r="AR652" s="83">
        <v>3014581223</v>
      </c>
      <c r="AS652" s="80" t="s">
        <v>4562</v>
      </c>
      <c r="AT652" s="80" t="str">
        <f t="shared" si="545"/>
        <v>Rafael Uribe Uribe</v>
      </c>
      <c r="AU652" s="79" t="s">
        <v>635</v>
      </c>
      <c r="AV652" s="79"/>
      <c r="AW652" s="79"/>
      <c r="AX652" s="79"/>
      <c r="AY652" s="79"/>
      <c r="AZ652" s="79"/>
      <c r="BA652" s="80" t="str">
        <f t="shared" si="562"/>
        <v>Suroriente</v>
      </c>
      <c r="BB652" s="79" t="s">
        <v>218</v>
      </c>
      <c r="BC652" s="79"/>
      <c r="BD652" s="79"/>
      <c r="BE652" s="79"/>
      <c r="BF652" s="79"/>
      <c r="BG652" s="79"/>
      <c r="BH652" s="80" t="str">
        <f t="shared" si="563"/>
        <v>Restrepo, Rafael Uribe, San Cristobal</v>
      </c>
      <c r="BI652" s="79" t="s">
        <v>637</v>
      </c>
      <c r="BJ652" s="79" t="s">
        <v>723</v>
      </c>
      <c r="BK652" s="79" t="s">
        <v>571</v>
      </c>
      <c r="BL652" s="79"/>
      <c r="BM652" s="79"/>
      <c r="BN652" s="79"/>
      <c r="BO652" s="79"/>
      <c r="BP652" s="79"/>
      <c r="BQ652" s="79"/>
      <c r="BR652" s="79"/>
      <c r="BS652" s="80" t="s">
        <v>2059</v>
      </c>
      <c r="BT652" s="80" t="s">
        <v>174</v>
      </c>
      <c r="BU652" s="80" t="s">
        <v>4563</v>
      </c>
      <c r="BV652" s="71"/>
      <c r="BW652" s="79" t="s">
        <v>152</v>
      </c>
      <c r="BX652" s="79" t="s">
        <v>179</v>
      </c>
      <c r="BY652" s="71"/>
      <c r="BZ652" s="79">
        <v>10</v>
      </c>
      <c r="CA652" s="79">
        <v>1</v>
      </c>
      <c r="CB652" s="79">
        <f t="shared" ref="CB652" si="609">BZ652+CA652</f>
        <v>11</v>
      </c>
      <c r="CC652" s="79" t="str">
        <f t="shared" si="382"/>
        <v>Ninguna</v>
      </c>
      <c r="CD652" s="79" t="s">
        <v>174</v>
      </c>
      <c r="CE652" s="79"/>
      <c r="CF652" s="79"/>
      <c r="CG652" s="83" t="s">
        <v>4564</v>
      </c>
      <c r="CH652" s="41"/>
      <c r="CI652" s="79" t="s">
        <v>153</v>
      </c>
      <c r="CJ652" s="71"/>
      <c r="CK652" s="79">
        <f t="shared" ref="CK652" si="610">COUNTIF(CL652:CQ652,"*")</f>
        <v>0</v>
      </c>
      <c r="CL652" s="79"/>
      <c r="CM652" s="79"/>
      <c r="CN652" s="79"/>
      <c r="CO652" s="79"/>
      <c r="CP652" s="79"/>
      <c r="CQ652" s="79"/>
      <c r="CR652" s="83" t="s">
        <v>179</v>
      </c>
      <c r="CS652" s="83" t="s">
        <v>179</v>
      </c>
      <c r="CT652" s="83" t="s">
        <v>179</v>
      </c>
      <c r="CU652" s="83" t="s">
        <v>179</v>
      </c>
      <c r="CV652" s="83" t="s">
        <v>179</v>
      </c>
      <c r="CW652" s="83" t="s">
        <v>179</v>
      </c>
      <c r="CX652" s="79" t="s">
        <v>153</v>
      </c>
      <c r="CY652" s="79">
        <f t="shared" ref="CY652" si="611">SUM(COUNTIF(CR652:CW652,"Realizado y Devuelto a la Ciudadanía"),COUNTIF(CR652:CW652,"Realizado y Trasladado por competencia"), COUNTIF(CR652:CW652,"Realizado y Gestionado"))</f>
        <v>0</v>
      </c>
      <c r="CZ652" s="79">
        <v>0</v>
      </c>
      <c r="DA652" s="79">
        <f t="shared" ref="DA652" si="612">COUNTIF(CR652:CW652,"Realizado y Devuelto a la Ciudadanía")</f>
        <v>0</v>
      </c>
      <c r="DB652" s="84" t="str">
        <f t="shared" ref="DB652" si="613">IFERROR(CY652/CK652,"")</f>
        <v/>
      </c>
      <c r="DC652" s="41"/>
      <c r="DD652" s="79" t="s">
        <v>153</v>
      </c>
      <c r="DE652" s="71"/>
      <c r="DF652" s="127" t="s">
        <v>4565</v>
      </c>
      <c r="DG652" s="79">
        <v>642</v>
      </c>
      <c r="DH652" s="86" t="str">
        <f t="shared" si="537"/>
        <v>Completo</v>
      </c>
      <c r="DI652" s="79" t="s">
        <v>181</v>
      </c>
      <c r="DJ652" s="79" t="s">
        <v>182</v>
      </c>
      <c r="DK652" s="79"/>
      <c r="DL652" s="79">
        <v>0</v>
      </c>
      <c r="DM652" s="79">
        <v>0</v>
      </c>
      <c r="DN652" s="79" t="s">
        <v>182</v>
      </c>
      <c r="DO652" s="79"/>
      <c r="DP652" s="79"/>
      <c r="DQ652" s="79"/>
      <c r="DR652" s="75" t="str">
        <f t="shared" si="576"/>
        <v>No aplica</v>
      </c>
      <c r="DS652" s="79"/>
      <c r="DT652" s="79"/>
      <c r="DU652" s="75" t="str">
        <f t="shared" si="577"/>
        <v>No aplica</v>
      </c>
      <c r="DV652" s="79" t="s">
        <v>182</v>
      </c>
      <c r="DW652" s="79"/>
      <c r="DX652" s="79"/>
      <c r="DY652" s="79"/>
      <c r="DZ652" s="79"/>
      <c r="EA652" s="79"/>
      <c r="EB652" s="79"/>
      <c r="EC652" s="79"/>
      <c r="ED652" s="79" t="s">
        <v>3787</v>
      </c>
      <c r="EE652" s="79" t="str">
        <f t="shared" ref="EE652" si="614">IF(DI652="Subsanado","Completo","Por Completar")</f>
        <v>Completo</v>
      </c>
      <c r="EF652" s="41"/>
      <c r="EG652" s="79" t="s">
        <v>153</v>
      </c>
      <c r="EH652" s="71"/>
      <c r="EI652" s="80"/>
      <c r="EJ652" s="71"/>
      <c r="EK652" s="79"/>
      <c r="EL652" s="87" t="str">
        <f t="shared" si="465"/>
        <v>No requiere</v>
      </c>
      <c r="EM652" s="87" t="str">
        <f t="shared" si="466"/>
        <v>No requiere</v>
      </c>
      <c r="EN652" s="87" t="str">
        <f t="shared" ref="EN652" si="615">IF(F652="NO","No requiere",IF(H652="No","No requiere",IF(CC652="","",IF(CD652&lt;&gt;"No aplica",IF(CD652&lt;&gt;"Ninguna",IF(COUNTIF(CD652:CF652,"*")&gt;=1,"Sí","No"),"No"),"No aplica"))))</f>
        <v>No requiere</v>
      </c>
      <c r="EO652" s="71"/>
      <c r="EP652" s="84" t="str">
        <f t="shared" si="467"/>
        <v>No requiere</v>
      </c>
      <c r="EQ652" s="88" t="str">
        <f t="shared" si="468"/>
        <v>No requiere</v>
      </c>
      <c r="ER652" s="71"/>
      <c r="ES652" s="79"/>
      <c r="ET652" s="84" t="str">
        <f t="shared" si="469"/>
        <v>No requiere</v>
      </c>
      <c r="EU652" s="84" t="str">
        <f t="shared" ref="EU652" si="616">IF(F652="NO","No requiere",IF(H652="No","No requiere",IF(B652="","",IF(CX652="SÍ",IF(CK652&gt;=1,CY652/CK652,"Sin compromisos"),"Por verificar"))))</f>
        <v>No requiere</v>
      </c>
      <c r="EV652" s="84" t="str">
        <f t="shared" si="470"/>
        <v>No requiere</v>
      </c>
      <c r="EW652" s="84" t="str">
        <f t="shared" si="581"/>
        <v>No requiere</v>
      </c>
      <c r="EX652" s="78"/>
      <c r="EY652" s="78"/>
    </row>
    <row r="653" spans="1:155" ht="46.5" customHeight="1">
      <c r="A653" s="79">
        <v>649</v>
      </c>
      <c r="B653" s="80" t="s">
        <v>4566</v>
      </c>
      <c r="C653" s="81">
        <v>45472</v>
      </c>
      <c r="D653" s="82">
        <v>0.45833333333333331</v>
      </c>
      <c r="E653" s="79" t="s">
        <v>151</v>
      </c>
      <c r="F653" s="79" t="s">
        <v>153</v>
      </c>
      <c r="G653" s="79" t="s">
        <v>153</v>
      </c>
      <c r="H653" s="79" t="s">
        <v>152</v>
      </c>
      <c r="I653" s="79" t="s">
        <v>152</v>
      </c>
      <c r="J653" s="79" t="s">
        <v>3999</v>
      </c>
      <c r="K653" s="79" t="s">
        <v>155</v>
      </c>
      <c r="L653" s="80" t="s">
        <v>4567</v>
      </c>
      <c r="M653" s="80" t="s">
        <v>241</v>
      </c>
      <c r="N653" s="79" t="s">
        <v>720</v>
      </c>
      <c r="O653" s="80" t="str">
        <f t="shared" ref="O653:O655" si="617">_xlfn.TEXTJOIN(", ",TRUE,P653:AN653)</f>
        <v/>
      </c>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t="s">
        <v>230</v>
      </c>
      <c r="AP653" s="79" t="s">
        <v>925</v>
      </c>
      <c r="AQ653" s="80" t="s">
        <v>4561</v>
      </c>
      <c r="AR653" s="83" t="s">
        <v>4568</v>
      </c>
      <c r="AS653" s="80" t="s">
        <v>4562</v>
      </c>
      <c r="AT653" s="80" t="str">
        <f t="shared" si="545"/>
        <v>Rafael Uribe Uribe</v>
      </c>
      <c r="AU653" s="79" t="s">
        <v>635</v>
      </c>
      <c r="AV653" s="79"/>
      <c r="AW653" s="79"/>
      <c r="AX653" s="79"/>
      <c r="AY653" s="79"/>
      <c r="AZ653" s="79"/>
      <c r="BA653" s="80" t="str">
        <f t="shared" si="562"/>
        <v>Suroriente</v>
      </c>
      <c r="BB653" s="79" t="s">
        <v>218</v>
      </c>
      <c r="BC653" s="79"/>
      <c r="BD653" s="79"/>
      <c r="BE653" s="79"/>
      <c r="BF653" s="79"/>
      <c r="BG653" s="79"/>
      <c r="BH653" s="80" t="str">
        <f t="shared" si="563"/>
        <v>Restrepo, Rafael Uribe, San Cristobal</v>
      </c>
      <c r="BI653" s="79" t="s">
        <v>637</v>
      </c>
      <c r="BJ653" s="79" t="s">
        <v>723</v>
      </c>
      <c r="BK653" s="79" t="s">
        <v>571</v>
      </c>
      <c r="BL653" s="79"/>
      <c r="BM653" s="79"/>
      <c r="BN653" s="79"/>
      <c r="BO653" s="79"/>
      <c r="BP653" s="79"/>
      <c r="BQ653" s="79"/>
      <c r="BR653" s="79"/>
      <c r="BS653" s="80" t="s">
        <v>4569</v>
      </c>
      <c r="BT653" s="80" t="s">
        <v>174</v>
      </c>
      <c r="BU653" s="80" t="s">
        <v>4570</v>
      </c>
      <c r="BV653" s="71"/>
      <c r="BW653" s="79" t="s">
        <v>152</v>
      </c>
      <c r="BX653" s="79" t="s">
        <v>179</v>
      </c>
      <c r="BY653" s="71"/>
      <c r="BZ653" s="79">
        <v>7</v>
      </c>
      <c r="CA653" s="79">
        <v>1</v>
      </c>
      <c r="CB653" s="79">
        <f t="shared" ref="CB653:CB654" si="618">BZ653+CA653</f>
        <v>8</v>
      </c>
      <c r="CC653" s="79" t="str">
        <f t="shared" si="382"/>
        <v>Ninguna</v>
      </c>
      <c r="CD653" s="79" t="s">
        <v>174</v>
      </c>
      <c r="CE653" s="79"/>
      <c r="CF653" s="79"/>
      <c r="CG653" s="204" t="s">
        <v>4571</v>
      </c>
      <c r="CH653" s="41"/>
      <c r="CI653" s="79" t="s">
        <v>153</v>
      </c>
      <c r="CJ653" s="71"/>
      <c r="CK653" s="79">
        <f t="shared" ref="CK653:CK655" si="619">COUNTIF(CL653:CQ653,"*")</f>
        <v>0</v>
      </c>
      <c r="CL653" s="79"/>
      <c r="CM653" s="79"/>
      <c r="CN653" s="79"/>
      <c r="CO653" s="79"/>
      <c r="CP653" s="79"/>
      <c r="CQ653" s="79"/>
      <c r="CR653" s="83" t="s">
        <v>179</v>
      </c>
      <c r="CS653" s="83" t="s">
        <v>179</v>
      </c>
      <c r="CT653" s="83" t="s">
        <v>179</v>
      </c>
      <c r="CU653" s="83" t="s">
        <v>179</v>
      </c>
      <c r="CV653" s="83" t="s">
        <v>179</v>
      </c>
      <c r="CW653" s="83" t="s">
        <v>179</v>
      </c>
      <c r="CX653" s="79" t="s">
        <v>153</v>
      </c>
      <c r="CY653" s="79">
        <f t="shared" ref="CY653:CY655" si="620">SUM(COUNTIF(CR653:CW653,"Realizado y Devuelto a la Ciudadanía"),COUNTIF(CR653:CW653,"Realizado y Trasladado por competencia"), COUNTIF(CR653:CW653,"Realizado y Gestionado"))</f>
        <v>0</v>
      </c>
      <c r="CZ653" s="79">
        <v>0</v>
      </c>
      <c r="DA653" s="79">
        <f t="shared" ref="DA653:DA655" si="621">COUNTIF(CR653:CW653,"Realizado y Devuelto a la Ciudadanía")</f>
        <v>0</v>
      </c>
      <c r="DB653" s="84" t="str">
        <f t="shared" ref="DB653:DB655" si="622">IFERROR(CY653/CK653,"")</f>
        <v/>
      </c>
      <c r="DC653" s="41"/>
      <c r="DD653" s="79" t="s">
        <v>153</v>
      </c>
      <c r="DE653" s="71"/>
      <c r="DF653" s="127" t="s">
        <v>4572</v>
      </c>
      <c r="DG653" s="79">
        <v>643</v>
      </c>
      <c r="DH653" s="86" t="str">
        <f t="shared" ref="DH653:DH655" si="623">IF(EE653="Por completar",C653+3,"Completo")</f>
        <v>Completo</v>
      </c>
      <c r="DI653" s="79" t="s">
        <v>181</v>
      </c>
      <c r="DJ653" s="79" t="s">
        <v>182</v>
      </c>
      <c r="DK653" s="79"/>
      <c r="DL653" s="79">
        <v>0</v>
      </c>
      <c r="DM653" s="79">
        <v>0</v>
      </c>
      <c r="DN653" s="79" t="s">
        <v>182</v>
      </c>
      <c r="DO653" s="79"/>
      <c r="DP653" s="79"/>
      <c r="DQ653" s="79"/>
      <c r="DR653" s="75" t="str">
        <f t="shared" ref="DR653:DR655" si="624">IF(H653="SÍ", (DQ653/(BZ653*0.3)), "No aplica")</f>
        <v>No aplica</v>
      </c>
      <c r="DS653" s="79"/>
      <c r="DT653" s="79"/>
      <c r="DU653" s="75" t="str">
        <f t="shared" ref="DU653:DU655" si="625">IF(H653="SÍ", (DT653/(BZ653*0.35)), "No aplica")</f>
        <v>No aplica</v>
      </c>
      <c r="DV653" s="79" t="s">
        <v>182</v>
      </c>
      <c r="DW653" s="79"/>
      <c r="DX653" s="79"/>
      <c r="DY653" s="79"/>
      <c r="DZ653" s="79"/>
      <c r="EA653" s="79"/>
      <c r="EB653" s="79"/>
      <c r="EC653" s="79"/>
      <c r="ED653" s="79" t="s">
        <v>3787</v>
      </c>
      <c r="EE653" s="79" t="str">
        <f t="shared" ref="EE653:EE655" si="626">IF(DI653="Subsanado","Completo","Por Completar")</f>
        <v>Completo</v>
      </c>
      <c r="EF653" s="41"/>
      <c r="EG653" s="79" t="s">
        <v>153</v>
      </c>
      <c r="EH653" s="71"/>
      <c r="EI653" s="80"/>
      <c r="EJ653" s="71"/>
      <c r="EK653" s="79"/>
      <c r="EL653" s="87" t="str">
        <f t="shared" ref="EL653:EL655" si="627">IF(F653="NO","No requiere",IF(H653="No","No requiere",IF(DW653="","",IF(DW653&lt;&gt;"No aplica",IF(DX653&lt;&gt;"No aplica",IF(DX653&gt;=2,"Sí","No"),"No aplica"),"No aplica"))))</f>
        <v>No requiere</v>
      </c>
      <c r="EM653" s="87" t="str">
        <f t="shared" ref="EM653:EM655" si="628">IF(F653="NO","No requiere",IF(H653="No","No requiere",IF(DW653="","",IF(DW653&lt;&gt;"No aplica",IF(DY653&lt;&gt;"No aplica",IF(DY653&gt;=1,"Sí","No"),"No aplica"),"No aplica"))))</f>
        <v>No requiere</v>
      </c>
      <c r="EN653" s="87" t="str">
        <f t="shared" ref="EN653:EN655" si="629">IF(F653="NO","No requiere",IF(H653="No","No requiere",IF(CC653="","",IF(CD653&lt;&gt;"No aplica",IF(CD653&lt;&gt;"Ninguna",IF(COUNTIF(CD653:CF653,"*")&gt;=1,"Sí","No"),"No"),"No aplica"))))</f>
        <v>No requiere</v>
      </c>
      <c r="EO653" s="71"/>
      <c r="EP653" s="84" t="str">
        <f t="shared" ref="EP653:EP655" si="630">IF(F653="NO","No requiere",IF(H653="No","No requiere",IF(DL653="","",IF(DL653&gt;=1,DM653/DL653,"No aplica"))))</f>
        <v>No requiere</v>
      </c>
      <c r="EQ653" s="88" t="str">
        <f t="shared" ref="EQ653:EQ655" si="631">IFERROR(IF(F653="NO","No requiere",IF(H653="No","No requiere",DU653)),"")</f>
        <v>No requiere</v>
      </c>
      <c r="ER653" s="71"/>
      <c r="ES653" s="79"/>
      <c r="ET653" s="84" t="str">
        <f t="shared" ref="ET653:ET655" si="632">IF(F653="NO","No requiere",IF(H653="No","No requiere",IFERROR(COUNTIF(DJ653:DW653,"Completo")/SUM(COUNTIF(DJ653:DW653,"Completo"),COUNTIF(DJ653:DW653,"Incompleto"),COUNTIF(DJ653:DW653,"No subido"),COUNTIF(DJ653:DW653,"No existente"),COUNTIF(DJ653:DW653,"Pendiente")),"")))</f>
        <v>No requiere</v>
      </c>
      <c r="EU653" s="84" t="str">
        <f t="shared" ref="EU653:EU655" si="633">IF(F653="NO","No requiere",IF(H653="No","No requiere",IF(B653="","",IF(CX653="SÍ",IF(CK653&gt;=1,CY653/CK653,"Sin compromisos"),"Por verificar"))))</f>
        <v>No requiere</v>
      </c>
      <c r="EV653" s="84" t="str">
        <f t="shared" ref="EV653:EV655" si="634">IF(EU653="Por verificar","Por verificar",IF(F653="NO","No requiere",IF(H653="No","No requiere",IFERROR(IF(EU653="","",IF(CK653&gt;=1,DA653/CZ653,"No aplica")),"No aplica"))))</f>
        <v>No requiere</v>
      </c>
      <c r="EW653" s="84" t="str">
        <f t="shared" ref="EW653:EW655" si="635">IF(F653="NO","No requiere",IF(H653="No","No requiere",IFERROR(IF(BZ653="","",IF(EA653&lt;&gt;"No aplica",IF(EA653&gt;=1,DO653/EA653,"0%"),"No aplica")),"")))</f>
        <v>No requiere</v>
      </c>
      <c r="EX653" s="78"/>
      <c r="EY653" s="78"/>
    </row>
    <row r="654" spans="1:155" ht="46.5" customHeight="1">
      <c r="A654" s="79">
        <v>650</v>
      </c>
      <c r="B654" s="80" t="s">
        <v>4573</v>
      </c>
      <c r="C654" s="81">
        <v>45472</v>
      </c>
      <c r="D654" s="82">
        <v>0.5</v>
      </c>
      <c r="E654" s="79" t="s">
        <v>151</v>
      </c>
      <c r="F654" s="79" t="s">
        <v>153</v>
      </c>
      <c r="G654" s="79" t="s">
        <v>153</v>
      </c>
      <c r="H654" s="79" t="s">
        <v>152</v>
      </c>
      <c r="I654" s="79" t="s">
        <v>152</v>
      </c>
      <c r="J654" s="79" t="s">
        <v>3999</v>
      </c>
      <c r="K654" s="79" t="s">
        <v>155</v>
      </c>
      <c r="L654" s="80" t="s">
        <v>4574</v>
      </c>
      <c r="M654" s="80" t="s">
        <v>241</v>
      </c>
      <c r="N654" s="79" t="s">
        <v>720</v>
      </c>
      <c r="O654" s="80" t="str">
        <f t="shared" si="617"/>
        <v/>
      </c>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t="s">
        <v>230</v>
      </c>
      <c r="AP654" s="79" t="s">
        <v>231</v>
      </c>
      <c r="AQ654" s="80" t="s">
        <v>4575</v>
      </c>
      <c r="AR654" s="83" t="s">
        <v>4576</v>
      </c>
      <c r="AS654" s="80" t="s">
        <v>4577</v>
      </c>
      <c r="AT654" s="80" t="str">
        <f t="shared" si="545"/>
        <v>Rafael Uribe Uribe</v>
      </c>
      <c r="AU654" s="79" t="s">
        <v>635</v>
      </c>
      <c r="AV654" s="79"/>
      <c r="AW654" s="79"/>
      <c r="AX654" s="79"/>
      <c r="AY654" s="79"/>
      <c r="AZ654" s="79"/>
      <c r="BA654" s="80" t="str">
        <f t="shared" si="562"/>
        <v>Suroriente</v>
      </c>
      <c r="BB654" s="79" t="s">
        <v>218</v>
      </c>
      <c r="BC654" s="79"/>
      <c r="BD654" s="79"/>
      <c r="BE654" s="79"/>
      <c r="BF654" s="79"/>
      <c r="BG654" s="79"/>
      <c r="BH654" s="80" t="str">
        <f t="shared" si="563"/>
        <v>Restrepo, Rafael Uribe, San Cristobal</v>
      </c>
      <c r="BI654" s="79" t="s">
        <v>637</v>
      </c>
      <c r="BJ654" s="79" t="s">
        <v>723</v>
      </c>
      <c r="BK654" s="79" t="s">
        <v>571</v>
      </c>
      <c r="BL654" s="79"/>
      <c r="BM654" s="79"/>
      <c r="BN654" s="79"/>
      <c r="BO654" s="79"/>
      <c r="BP654" s="79"/>
      <c r="BQ654" s="79"/>
      <c r="BR654" s="79"/>
      <c r="BS654" s="80" t="s">
        <v>4578</v>
      </c>
      <c r="BT654" s="80" t="s">
        <v>174</v>
      </c>
      <c r="BU654" s="80" t="s">
        <v>4579</v>
      </c>
      <c r="BV654" s="71"/>
      <c r="BW654" s="79" t="s">
        <v>152</v>
      </c>
      <c r="BX654" s="79" t="s">
        <v>179</v>
      </c>
      <c r="BY654" s="71"/>
      <c r="BZ654" s="79">
        <v>2</v>
      </c>
      <c r="CA654" s="79">
        <v>1</v>
      </c>
      <c r="CB654" s="79">
        <f t="shared" si="618"/>
        <v>3</v>
      </c>
      <c r="CC654" s="79" t="str">
        <f t="shared" si="382"/>
        <v>Ninguna</v>
      </c>
      <c r="CD654" s="79" t="s">
        <v>174</v>
      </c>
      <c r="CE654" s="79"/>
      <c r="CF654" s="79"/>
      <c r="CG654" s="204" t="s">
        <v>4571</v>
      </c>
      <c r="CH654" s="41"/>
      <c r="CI654" s="79" t="s">
        <v>153</v>
      </c>
      <c r="CJ654" s="71"/>
      <c r="CK654" s="79">
        <f t="shared" si="619"/>
        <v>0</v>
      </c>
      <c r="CL654" s="79"/>
      <c r="CM654" s="79"/>
      <c r="CN654" s="79"/>
      <c r="CO654" s="79"/>
      <c r="CP654" s="79"/>
      <c r="CQ654" s="79"/>
      <c r="CR654" s="83" t="s">
        <v>179</v>
      </c>
      <c r="CS654" s="83" t="s">
        <v>179</v>
      </c>
      <c r="CT654" s="83" t="s">
        <v>179</v>
      </c>
      <c r="CU654" s="83" t="s">
        <v>179</v>
      </c>
      <c r="CV654" s="83" t="s">
        <v>179</v>
      </c>
      <c r="CW654" s="83" t="s">
        <v>179</v>
      </c>
      <c r="CX654" s="79" t="s">
        <v>153</v>
      </c>
      <c r="CY654" s="79">
        <f t="shared" si="620"/>
        <v>0</v>
      </c>
      <c r="CZ654" s="79">
        <v>0</v>
      </c>
      <c r="DA654" s="79">
        <f t="shared" si="621"/>
        <v>0</v>
      </c>
      <c r="DB654" s="84" t="str">
        <f t="shared" si="622"/>
        <v/>
      </c>
      <c r="DC654" s="41"/>
      <c r="DD654" s="79" t="s">
        <v>153</v>
      </c>
      <c r="DE654" s="71"/>
      <c r="DF654" s="127" t="s">
        <v>4580</v>
      </c>
      <c r="DG654" s="79">
        <v>644</v>
      </c>
      <c r="DH654" s="86" t="str">
        <f t="shared" si="623"/>
        <v>Completo</v>
      </c>
      <c r="DI654" s="79" t="s">
        <v>181</v>
      </c>
      <c r="DJ654" s="79" t="s">
        <v>182</v>
      </c>
      <c r="DK654" s="79"/>
      <c r="DL654" s="79">
        <v>0</v>
      </c>
      <c r="DM654" s="79">
        <v>0</v>
      </c>
      <c r="DN654" s="79" t="s">
        <v>182</v>
      </c>
      <c r="DO654" s="79">
        <v>2</v>
      </c>
      <c r="DP654" s="79"/>
      <c r="DQ654" s="79"/>
      <c r="DR654" s="75" t="str">
        <f t="shared" si="624"/>
        <v>No aplica</v>
      </c>
      <c r="DS654" s="79"/>
      <c r="DT654" s="79"/>
      <c r="DU654" s="75" t="str">
        <f t="shared" si="625"/>
        <v>No aplica</v>
      </c>
      <c r="DV654" s="79" t="s">
        <v>182</v>
      </c>
      <c r="DW654" s="79"/>
      <c r="DX654" s="79"/>
      <c r="DY654" s="79"/>
      <c r="DZ654" s="79"/>
      <c r="EA654" s="79"/>
      <c r="EB654" s="79"/>
      <c r="EC654" s="79"/>
      <c r="ED654" s="79" t="s">
        <v>3787</v>
      </c>
      <c r="EE654" s="79" t="str">
        <f t="shared" si="626"/>
        <v>Completo</v>
      </c>
      <c r="EF654" s="41"/>
      <c r="EG654" s="79" t="s">
        <v>153</v>
      </c>
      <c r="EH654" s="71"/>
      <c r="EI654" s="80"/>
      <c r="EJ654" s="71"/>
      <c r="EK654" s="79"/>
      <c r="EL654" s="87" t="str">
        <f t="shared" si="627"/>
        <v>No requiere</v>
      </c>
      <c r="EM654" s="87" t="str">
        <f t="shared" si="628"/>
        <v>No requiere</v>
      </c>
      <c r="EN654" s="87" t="str">
        <f t="shared" si="629"/>
        <v>No requiere</v>
      </c>
      <c r="EO654" s="71"/>
      <c r="EP654" s="84" t="str">
        <f t="shared" si="630"/>
        <v>No requiere</v>
      </c>
      <c r="EQ654" s="88" t="str">
        <f t="shared" si="631"/>
        <v>No requiere</v>
      </c>
      <c r="ER654" s="71"/>
      <c r="ES654" s="79"/>
      <c r="ET654" s="84" t="str">
        <f t="shared" si="632"/>
        <v>No requiere</v>
      </c>
      <c r="EU654" s="84" t="str">
        <f t="shared" si="633"/>
        <v>No requiere</v>
      </c>
      <c r="EV654" s="84" t="str">
        <f t="shared" si="634"/>
        <v>No requiere</v>
      </c>
      <c r="EW654" s="84" t="str">
        <f t="shared" si="635"/>
        <v>No requiere</v>
      </c>
      <c r="EX654" s="78"/>
      <c r="EY654" s="78"/>
    </row>
    <row r="655" spans="1:155" ht="46.5" customHeight="1">
      <c r="A655" s="79">
        <v>651</v>
      </c>
      <c r="B655" s="80" t="s">
        <v>4581</v>
      </c>
      <c r="C655" s="81">
        <v>45472</v>
      </c>
      <c r="D655" s="82">
        <v>0.54166666666666663</v>
      </c>
      <c r="E655" s="79" t="s">
        <v>151</v>
      </c>
      <c r="F655" s="79" t="s">
        <v>153</v>
      </c>
      <c r="G655" s="79" t="s">
        <v>153</v>
      </c>
      <c r="H655" s="79" t="s">
        <v>152</v>
      </c>
      <c r="I655" s="79" t="s">
        <v>152</v>
      </c>
      <c r="J655" s="79" t="s">
        <v>3999</v>
      </c>
      <c r="K655" s="79" t="s">
        <v>155</v>
      </c>
      <c r="L655" s="80" t="s">
        <v>4582</v>
      </c>
      <c r="M655" s="80" t="s">
        <v>241</v>
      </c>
      <c r="N655" s="79" t="s">
        <v>720</v>
      </c>
      <c r="O655" s="80" t="str">
        <f t="shared" si="617"/>
        <v/>
      </c>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t="s">
        <v>230</v>
      </c>
      <c r="AP655" s="79" t="s">
        <v>231</v>
      </c>
      <c r="AQ655" s="80" t="s">
        <v>4583</v>
      </c>
      <c r="AR655" s="83" t="s">
        <v>4584</v>
      </c>
      <c r="AS655" s="80" t="s">
        <v>4585</v>
      </c>
      <c r="AT655" s="80" t="str">
        <f t="shared" si="545"/>
        <v>Rafael Uribe Uribe</v>
      </c>
      <c r="AU655" s="79" t="s">
        <v>635</v>
      </c>
      <c r="AV655" s="79"/>
      <c r="AW655" s="79"/>
      <c r="AX655" s="79"/>
      <c r="AY655" s="79"/>
      <c r="AZ655" s="79"/>
      <c r="BA655" s="80" t="str">
        <f t="shared" si="562"/>
        <v>Suroriente</v>
      </c>
      <c r="BB655" s="79" t="s">
        <v>218</v>
      </c>
      <c r="BC655" s="79"/>
      <c r="BD655" s="79"/>
      <c r="BE655" s="79"/>
      <c r="BF655" s="79"/>
      <c r="BG655" s="79"/>
      <c r="BH655" s="80" t="str">
        <f t="shared" si="563"/>
        <v>Restrepo, Rafael Uribe, San Cristobal</v>
      </c>
      <c r="BI655" s="79" t="s">
        <v>637</v>
      </c>
      <c r="BJ655" s="79" t="s">
        <v>723</v>
      </c>
      <c r="BK655" s="79" t="s">
        <v>571</v>
      </c>
      <c r="BL655" s="79"/>
      <c r="BM655" s="79"/>
      <c r="BN655" s="79"/>
      <c r="BO655" s="79"/>
      <c r="BP655" s="79"/>
      <c r="BQ655" s="79"/>
      <c r="BR655" s="79"/>
      <c r="BS655" s="80" t="s">
        <v>4586</v>
      </c>
      <c r="BT655" s="80" t="s">
        <v>174</v>
      </c>
      <c r="BU655" s="80" t="s">
        <v>4587</v>
      </c>
      <c r="BV655" s="71"/>
      <c r="BW655" s="79" t="s">
        <v>152</v>
      </c>
      <c r="BX655" s="79" t="s">
        <v>179</v>
      </c>
      <c r="BY655" s="71"/>
      <c r="BZ655" s="79">
        <v>1</v>
      </c>
      <c r="CA655" s="79">
        <v>1</v>
      </c>
      <c r="CB655" s="79">
        <v>2</v>
      </c>
      <c r="CC655" s="79" t="str">
        <f t="shared" si="382"/>
        <v>Ninguna</v>
      </c>
      <c r="CD655" s="79" t="s">
        <v>174</v>
      </c>
      <c r="CE655" s="79"/>
      <c r="CF655" s="79"/>
      <c r="CG655" s="204" t="s">
        <v>4571</v>
      </c>
      <c r="CH655" s="41"/>
      <c r="CI655" s="79" t="s">
        <v>153</v>
      </c>
      <c r="CJ655" s="71"/>
      <c r="CK655" s="79">
        <f t="shared" si="619"/>
        <v>0</v>
      </c>
      <c r="CL655" s="79"/>
      <c r="CM655" s="79"/>
      <c r="CN655" s="79"/>
      <c r="CO655" s="79"/>
      <c r="CP655" s="79"/>
      <c r="CQ655" s="79"/>
      <c r="CR655" s="83" t="s">
        <v>179</v>
      </c>
      <c r="CS655" s="83" t="s">
        <v>179</v>
      </c>
      <c r="CT655" s="83" t="s">
        <v>179</v>
      </c>
      <c r="CU655" s="83" t="s">
        <v>179</v>
      </c>
      <c r="CV655" s="83" t="s">
        <v>179</v>
      </c>
      <c r="CW655" s="83" t="s">
        <v>179</v>
      </c>
      <c r="CX655" s="79" t="s">
        <v>153</v>
      </c>
      <c r="CY655" s="79">
        <f t="shared" si="620"/>
        <v>0</v>
      </c>
      <c r="CZ655" s="79">
        <v>0</v>
      </c>
      <c r="DA655" s="79">
        <f t="shared" si="621"/>
        <v>0</v>
      </c>
      <c r="DB655" s="84" t="str">
        <f t="shared" si="622"/>
        <v/>
      </c>
      <c r="DC655" s="41"/>
      <c r="DD655" s="79" t="s">
        <v>153</v>
      </c>
      <c r="DE655" s="71"/>
      <c r="DF655" s="127" t="s">
        <v>4588</v>
      </c>
      <c r="DG655" s="79">
        <v>645</v>
      </c>
      <c r="DH655" s="86" t="str">
        <f t="shared" si="623"/>
        <v>Completo</v>
      </c>
      <c r="DI655" s="79" t="s">
        <v>181</v>
      </c>
      <c r="DJ655" s="79" t="s">
        <v>182</v>
      </c>
      <c r="DK655" s="79"/>
      <c r="DL655" s="79">
        <v>0</v>
      </c>
      <c r="DM655" s="79">
        <v>0</v>
      </c>
      <c r="DN655" s="79" t="s">
        <v>182</v>
      </c>
      <c r="DO655" s="79">
        <v>1</v>
      </c>
      <c r="DP655" s="79"/>
      <c r="DQ655" s="79"/>
      <c r="DR655" s="75" t="str">
        <f t="shared" si="624"/>
        <v>No aplica</v>
      </c>
      <c r="DS655" s="79"/>
      <c r="DT655" s="79"/>
      <c r="DU655" s="75" t="str">
        <f t="shared" si="625"/>
        <v>No aplica</v>
      </c>
      <c r="DV655" s="79" t="s">
        <v>182</v>
      </c>
      <c r="DW655" s="79"/>
      <c r="DX655" s="79"/>
      <c r="DY655" s="79"/>
      <c r="DZ655" s="79"/>
      <c r="EA655" s="79"/>
      <c r="EB655" s="79"/>
      <c r="EC655" s="79"/>
      <c r="ED655" s="79" t="s">
        <v>3787</v>
      </c>
      <c r="EE655" s="79" t="str">
        <f t="shared" si="626"/>
        <v>Completo</v>
      </c>
      <c r="EF655" s="41"/>
      <c r="EG655" s="79" t="s">
        <v>153</v>
      </c>
      <c r="EH655" s="71"/>
      <c r="EI655" s="80"/>
      <c r="EJ655" s="71"/>
      <c r="EK655" s="79"/>
      <c r="EL655" s="87" t="str">
        <f t="shared" si="627"/>
        <v>No requiere</v>
      </c>
      <c r="EM655" s="87" t="str">
        <f t="shared" si="628"/>
        <v>No requiere</v>
      </c>
      <c r="EN655" s="87" t="str">
        <f t="shared" si="629"/>
        <v>No requiere</v>
      </c>
      <c r="EO655" s="71"/>
      <c r="EP655" s="84" t="str">
        <f t="shared" si="630"/>
        <v>No requiere</v>
      </c>
      <c r="EQ655" s="88" t="str">
        <f t="shared" si="631"/>
        <v>No requiere</v>
      </c>
      <c r="ER655" s="71"/>
      <c r="ES655" s="79"/>
      <c r="ET655" s="84" t="str">
        <f t="shared" si="632"/>
        <v>No requiere</v>
      </c>
      <c r="EU655" s="84" t="str">
        <f t="shared" si="633"/>
        <v>No requiere</v>
      </c>
      <c r="EV655" s="84" t="str">
        <f t="shared" si="634"/>
        <v>No requiere</v>
      </c>
      <c r="EW655" s="84" t="str">
        <f t="shared" si="635"/>
        <v>No requiere</v>
      </c>
      <c r="EX655" s="78"/>
      <c r="EY655" s="78"/>
    </row>
    <row r="656" spans="1:155" ht="46.5" customHeight="1">
      <c r="A656" s="79">
        <v>652</v>
      </c>
      <c r="B656" s="80" t="s">
        <v>4589</v>
      </c>
      <c r="C656" s="81">
        <v>45472</v>
      </c>
      <c r="D656" s="82">
        <v>0.72916666666666663</v>
      </c>
      <c r="E656" s="79" t="s">
        <v>853</v>
      </c>
      <c r="F656" s="79" t="s">
        <v>153</v>
      </c>
      <c r="G656" s="79" t="s">
        <v>152</v>
      </c>
      <c r="H656" s="79" t="s">
        <v>152</v>
      </c>
      <c r="I656" s="79" t="s">
        <v>152</v>
      </c>
      <c r="J656" s="79" t="s">
        <v>2201</v>
      </c>
      <c r="K656" s="79" t="s">
        <v>155</v>
      </c>
      <c r="L656" s="80" t="s">
        <v>4590</v>
      </c>
      <c r="M656" s="80" t="s">
        <v>157</v>
      </c>
      <c r="N656" s="79" t="s">
        <v>1066</v>
      </c>
      <c r="O656" s="80" t="str">
        <f t="shared" ref="O656:O935" si="636">_xlfn.TEXTJOIN(", ",TRUE,P656:AN656)</f>
        <v>César Augusto Barrantes, Germán Ramón Jacome, Nicolás Enrique Moncaleano</v>
      </c>
      <c r="P656" s="79" t="s">
        <v>729</v>
      </c>
      <c r="Q656" s="79" t="s">
        <v>525</v>
      </c>
      <c r="R656" s="79" t="s">
        <v>966</v>
      </c>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t="s">
        <v>304</v>
      </c>
      <c r="AP656" s="79"/>
      <c r="AQ656" s="80" t="s">
        <v>4555</v>
      </c>
      <c r="AR656" s="83">
        <v>3106502869</v>
      </c>
      <c r="AS656" s="80" t="s">
        <v>2204</v>
      </c>
      <c r="AT656" s="80" t="str">
        <f t="shared" si="545"/>
        <v>Distrital</v>
      </c>
      <c r="AU656" s="79" t="s">
        <v>172</v>
      </c>
      <c r="AV656" s="79"/>
      <c r="AW656" s="79"/>
      <c r="AX656" s="79"/>
      <c r="AY656" s="79"/>
      <c r="AZ656" s="79"/>
      <c r="BA656" s="80" t="str">
        <f t="shared" si="562"/>
        <v>Distrital</v>
      </c>
      <c r="BB656" s="79" t="s">
        <v>172</v>
      </c>
      <c r="BC656" s="79"/>
      <c r="BD656" s="79"/>
      <c r="BE656" s="79"/>
      <c r="BF656" s="79"/>
      <c r="BG656" s="79"/>
      <c r="BH656" s="80" t="str">
        <f t="shared" si="563"/>
        <v>Distrital</v>
      </c>
      <c r="BI656" s="79" t="s">
        <v>172</v>
      </c>
      <c r="BJ656" s="79"/>
      <c r="BK656" s="79"/>
      <c r="BL656" s="79"/>
      <c r="BM656" s="79"/>
      <c r="BN656" s="79"/>
      <c r="BO656" s="79"/>
      <c r="BP656" s="79"/>
      <c r="BQ656" s="79"/>
      <c r="BR656" s="79"/>
      <c r="BS656" s="80" t="s">
        <v>360</v>
      </c>
      <c r="BT656" s="80" t="s">
        <v>174</v>
      </c>
      <c r="BU656" s="80" t="s">
        <v>4591</v>
      </c>
      <c r="BV656" s="71"/>
      <c r="BW656" s="79" t="s">
        <v>152</v>
      </c>
      <c r="BX656" s="79" t="s">
        <v>179</v>
      </c>
      <c r="BY656" s="71"/>
      <c r="BZ656" s="79">
        <v>100</v>
      </c>
      <c r="CA656" s="79">
        <v>5</v>
      </c>
      <c r="CB656" s="79">
        <f t="shared" si="281"/>
        <v>105</v>
      </c>
      <c r="CC656" s="79" t="str">
        <f t="shared" si="382"/>
        <v>Horarios Acordes</v>
      </c>
      <c r="CD656" s="79" t="s">
        <v>351</v>
      </c>
      <c r="CE656" s="79"/>
      <c r="CF656" s="79"/>
      <c r="CG656" s="83" t="s">
        <v>4592</v>
      </c>
      <c r="CH656" s="41"/>
      <c r="CI656" s="79" t="s">
        <v>153</v>
      </c>
      <c r="CJ656" s="71"/>
      <c r="CK656" s="79">
        <f t="shared" si="377"/>
        <v>0</v>
      </c>
      <c r="CL656" s="79"/>
      <c r="CM656" s="79"/>
      <c r="CN656" s="79"/>
      <c r="CO656" s="79"/>
      <c r="CP656" s="79"/>
      <c r="CQ656" s="79"/>
      <c r="CR656" s="83" t="s">
        <v>179</v>
      </c>
      <c r="CS656" s="83" t="s">
        <v>179</v>
      </c>
      <c r="CT656" s="83" t="s">
        <v>179</v>
      </c>
      <c r="CU656" s="83" t="s">
        <v>179</v>
      </c>
      <c r="CV656" s="83" t="s">
        <v>179</v>
      </c>
      <c r="CW656" s="83" t="s">
        <v>179</v>
      </c>
      <c r="CX656" s="79" t="s">
        <v>153</v>
      </c>
      <c r="CY656" s="79">
        <f t="shared" si="358"/>
        <v>0</v>
      </c>
      <c r="CZ656" s="79">
        <v>0</v>
      </c>
      <c r="DA656" s="79">
        <f t="shared" si="359"/>
        <v>0</v>
      </c>
      <c r="DB656" s="84" t="str">
        <f t="shared" si="364"/>
        <v/>
      </c>
      <c r="DC656" s="41"/>
      <c r="DD656" s="79" t="s">
        <v>153</v>
      </c>
      <c r="DE656" s="71"/>
      <c r="DF656" s="85" t="s">
        <v>4593</v>
      </c>
      <c r="DG656" s="79">
        <v>646</v>
      </c>
      <c r="DH656" s="86" t="str">
        <f t="shared" si="537"/>
        <v>Completo</v>
      </c>
      <c r="DI656" s="79" t="s">
        <v>181</v>
      </c>
      <c r="DJ656" s="79" t="s">
        <v>182</v>
      </c>
      <c r="DK656" s="79"/>
      <c r="DL656" s="79">
        <v>0</v>
      </c>
      <c r="DM656" s="79">
        <v>0</v>
      </c>
      <c r="DN656" s="79" t="s">
        <v>182</v>
      </c>
      <c r="DO656" s="79"/>
      <c r="DP656" s="79"/>
      <c r="DQ656" s="79"/>
      <c r="DR656" s="75" t="str">
        <f t="shared" si="576"/>
        <v>No aplica</v>
      </c>
      <c r="DS656" s="79"/>
      <c r="DT656" s="79"/>
      <c r="DU656" s="75" t="str">
        <f t="shared" si="577"/>
        <v>No aplica</v>
      </c>
      <c r="DV656" s="79" t="s">
        <v>182</v>
      </c>
      <c r="DW656" s="79" t="s">
        <v>182</v>
      </c>
      <c r="DX656" s="79"/>
      <c r="DY656" s="79"/>
      <c r="DZ656" s="79"/>
      <c r="EA656" s="79"/>
      <c r="EB656" s="79"/>
      <c r="EC656" s="79"/>
      <c r="ED656" s="79" t="s">
        <v>4594</v>
      </c>
      <c r="EE656" s="79" t="str">
        <f t="shared" si="384"/>
        <v>Completo</v>
      </c>
      <c r="EF656" s="41"/>
      <c r="EG656" s="79" t="s">
        <v>153</v>
      </c>
      <c r="EH656" s="71"/>
      <c r="EI656" s="80"/>
      <c r="EJ656" s="71"/>
      <c r="EK656" s="79"/>
      <c r="EL656" s="76" t="str">
        <f t="shared" si="465"/>
        <v>No requiere</v>
      </c>
      <c r="EM656" s="76" t="str">
        <f t="shared" si="466"/>
        <v>No requiere</v>
      </c>
      <c r="EN656" s="76" t="str">
        <f>IF(F656="NO","No requiere",IF(H656="No","No requiere",IF(CC656="","",IF(CD656&lt;&gt;"No aplica",IF(CD656&lt;&gt;"Ninguna",IF(COUNTIF(CD656:CF656,"*")&gt;=1,"Sí","No"),"No"),"No aplica"))))</f>
        <v>No requiere</v>
      </c>
      <c r="EO656" s="71"/>
      <c r="EP656" s="73" t="str">
        <f t="shared" si="467"/>
        <v>No requiere</v>
      </c>
      <c r="EQ656" s="77" t="str">
        <f t="shared" si="468"/>
        <v>No requiere</v>
      </c>
      <c r="ER656" s="71"/>
      <c r="ES656" s="79"/>
      <c r="ET656" s="73" t="str">
        <f t="shared" si="469"/>
        <v>No requiere</v>
      </c>
      <c r="EU656" s="73" t="str">
        <f>IF(F656="NO","No requiere",IF(H656="No","No requiere",IF(B656="","",IF(CX656="SÍ",IF(CK656&gt;=1,CY656/CK656,"Sin compromisos"),"Por verificar"))))</f>
        <v>No requiere</v>
      </c>
      <c r="EV656" s="73" t="str">
        <f t="shared" si="470"/>
        <v>No requiere</v>
      </c>
      <c r="EW656" s="73" t="str">
        <f t="shared" si="581"/>
        <v>No requiere</v>
      </c>
      <c r="EX656" s="78"/>
      <c r="EY656" s="78"/>
    </row>
    <row r="657" spans="1:155" ht="46.5" customHeight="1">
      <c r="A657" s="79">
        <v>653</v>
      </c>
      <c r="B657" s="80" t="s">
        <v>4595</v>
      </c>
      <c r="C657" s="81">
        <v>45473</v>
      </c>
      <c r="D657" s="82">
        <v>0.41666666666666669</v>
      </c>
      <c r="E657" s="79" t="s">
        <v>853</v>
      </c>
      <c r="F657" s="79" t="s">
        <v>153</v>
      </c>
      <c r="G657" s="79" t="s">
        <v>152</v>
      </c>
      <c r="H657" s="79" t="s">
        <v>152</v>
      </c>
      <c r="I657" s="79" t="s">
        <v>152</v>
      </c>
      <c r="J657" s="79" t="s">
        <v>2201</v>
      </c>
      <c r="K657" s="79" t="s">
        <v>155</v>
      </c>
      <c r="L657" s="80" t="s">
        <v>4596</v>
      </c>
      <c r="M657" s="80" t="s">
        <v>157</v>
      </c>
      <c r="N657" s="79" t="s">
        <v>966</v>
      </c>
      <c r="O657" s="80" t="str">
        <f t="shared" ref="O657:O658" si="637">_xlfn.TEXTJOIN(", ",TRUE,P657:AN657)</f>
        <v>César Augusto Barrantes, Joan Sebastian García</v>
      </c>
      <c r="P657" s="79" t="s">
        <v>729</v>
      </c>
      <c r="Q657" s="79" t="s">
        <v>728</v>
      </c>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t="s">
        <v>304</v>
      </c>
      <c r="AP657" s="79"/>
      <c r="AQ657" s="80" t="s">
        <v>4597</v>
      </c>
      <c r="AR657" s="83" t="s">
        <v>4598</v>
      </c>
      <c r="AS657" s="80" t="s">
        <v>4599</v>
      </c>
      <c r="AT657" s="80" t="str">
        <f t="shared" si="545"/>
        <v>Distrital</v>
      </c>
      <c r="AU657" s="79" t="s">
        <v>172</v>
      </c>
      <c r="AV657" s="79"/>
      <c r="AW657" s="79"/>
      <c r="AX657" s="79"/>
      <c r="AY657" s="79"/>
      <c r="AZ657" s="79"/>
      <c r="BA657" s="80" t="str">
        <f t="shared" si="562"/>
        <v>Centro Ampliado</v>
      </c>
      <c r="BB657" s="79" t="s">
        <v>636</v>
      </c>
      <c r="BC657" s="79"/>
      <c r="BD657" s="79"/>
      <c r="BE657" s="79"/>
      <c r="BF657" s="79"/>
      <c r="BG657" s="79"/>
      <c r="BH657" s="80" t="str">
        <f t="shared" si="563"/>
        <v>Centro Histórico, Cerros Orientales</v>
      </c>
      <c r="BI657" s="79" t="s">
        <v>754</v>
      </c>
      <c r="BJ657" s="79" t="s">
        <v>361</v>
      </c>
      <c r="BK657" s="79"/>
      <c r="BL657" s="79"/>
      <c r="BM657" s="79"/>
      <c r="BN657" s="79"/>
      <c r="BO657" s="79"/>
      <c r="BP657" s="79"/>
      <c r="BQ657" s="79"/>
      <c r="BR657" s="79"/>
      <c r="BS657" s="80" t="s">
        <v>4600</v>
      </c>
      <c r="BT657" s="80" t="s">
        <v>174</v>
      </c>
      <c r="BU657" s="80" t="s">
        <v>4601</v>
      </c>
      <c r="BV657" s="71"/>
      <c r="BW657" s="79" t="s">
        <v>152</v>
      </c>
      <c r="BX657" s="79" t="s">
        <v>179</v>
      </c>
      <c r="BY657" s="71"/>
      <c r="BZ657" s="79">
        <v>1000</v>
      </c>
      <c r="CA657" s="79">
        <v>9</v>
      </c>
      <c r="CB657" s="79">
        <f t="shared" ref="CB657:CB658" si="638">BZ657+CA657</f>
        <v>1009</v>
      </c>
      <c r="CC657" s="79" t="str">
        <f t="shared" si="382"/>
        <v>Ninguna</v>
      </c>
      <c r="CD657" s="79" t="s">
        <v>174</v>
      </c>
      <c r="CE657" s="79"/>
      <c r="CF657" s="79"/>
      <c r="CG657" s="83" t="s">
        <v>4602</v>
      </c>
      <c r="CH657" s="41"/>
      <c r="CI657" s="79" t="s">
        <v>153</v>
      </c>
      <c r="CJ657" s="71"/>
      <c r="CK657" s="79">
        <f t="shared" ref="CK657:CK658" si="639">COUNTIF(CL657:CQ657,"*")</f>
        <v>0</v>
      </c>
      <c r="CL657" s="79"/>
      <c r="CM657" s="79"/>
      <c r="CN657" s="79"/>
      <c r="CO657" s="79"/>
      <c r="CP657" s="79"/>
      <c r="CQ657" s="79"/>
      <c r="CR657" s="83" t="s">
        <v>179</v>
      </c>
      <c r="CS657" s="83" t="s">
        <v>179</v>
      </c>
      <c r="CT657" s="83" t="s">
        <v>179</v>
      </c>
      <c r="CU657" s="83" t="s">
        <v>179</v>
      </c>
      <c r="CV657" s="83" t="s">
        <v>179</v>
      </c>
      <c r="CW657" s="83" t="s">
        <v>179</v>
      </c>
      <c r="CX657" s="79" t="s">
        <v>153</v>
      </c>
      <c r="CY657" s="79">
        <f t="shared" ref="CY657:CY658" si="640">SUM(COUNTIF(CR657:CW657,"Realizado y Devuelto a la Ciudadanía"),COUNTIF(CR657:CW657,"Realizado y Trasladado por competencia"), COUNTIF(CR657:CW657,"Realizado y Gestionado"))</f>
        <v>0</v>
      </c>
      <c r="CZ657" s="79">
        <v>0</v>
      </c>
      <c r="DA657" s="79">
        <f t="shared" ref="DA657:DA658" si="641">COUNTIF(CR657:CW657,"Realizado y Devuelto a la Ciudadanía")</f>
        <v>0</v>
      </c>
      <c r="DB657" s="84" t="str">
        <f t="shared" ref="DB657:DB658" si="642">IFERROR(CY657/CK657,"")</f>
        <v/>
      </c>
      <c r="DC657" s="41"/>
      <c r="DD657" s="79" t="s">
        <v>153</v>
      </c>
      <c r="DE657" s="71"/>
      <c r="DF657" s="127" t="s">
        <v>4603</v>
      </c>
      <c r="DG657" s="79">
        <v>647</v>
      </c>
      <c r="DH657" s="86" t="str">
        <f t="shared" si="537"/>
        <v>Completo</v>
      </c>
      <c r="DI657" s="79" t="s">
        <v>181</v>
      </c>
      <c r="DJ657" s="79" t="s">
        <v>182</v>
      </c>
      <c r="DK657" s="79"/>
      <c r="DL657" s="79">
        <v>0</v>
      </c>
      <c r="DM657" s="79">
        <v>0</v>
      </c>
      <c r="DN657" s="79" t="s">
        <v>182</v>
      </c>
      <c r="DO657" s="79"/>
      <c r="DP657" s="79"/>
      <c r="DQ657" s="79"/>
      <c r="DR657" s="75" t="str">
        <f t="shared" si="576"/>
        <v>No aplica</v>
      </c>
      <c r="DS657" s="79"/>
      <c r="DT657" s="79"/>
      <c r="DU657" s="75" t="str">
        <f t="shared" si="577"/>
        <v>No aplica</v>
      </c>
      <c r="DV657" s="79" t="s">
        <v>182</v>
      </c>
      <c r="DW657" s="79" t="s">
        <v>182</v>
      </c>
      <c r="DX657" s="79"/>
      <c r="DY657" s="79"/>
      <c r="DZ657" s="79"/>
      <c r="EA657" s="79"/>
      <c r="EB657" s="79"/>
      <c r="EC657" s="79"/>
      <c r="ED657" s="79" t="s">
        <v>4594</v>
      </c>
      <c r="EE657" s="79" t="str">
        <f t="shared" ref="EE657:EE658" si="643">IF(DI657="Subsanado","Completo","Por Completar")</f>
        <v>Completo</v>
      </c>
      <c r="EF657" s="41"/>
      <c r="EG657" s="79" t="s">
        <v>153</v>
      </c>
      <c r="EH657" s="71"/>
      <c r="EI657" s="80"/>
      <c r="EJ657" s="71"/>
      <c r="EK657" s="79"/>
      <c r="EL657" s="87" t="str">
        <f t="shared" si="465"/>
        <v>No requiere</v>
      </c>
      <c r="EM657" s="87" t="str">
        <f t="shared" si="466"/>
        <v>No requiere</v>
      </c>
      <c r="EN657" s="87" t="str">
        <f t="shared" ref="EN657:EN658" si="644">IF(F657="NO","No requiere",IF(H657="No","No requiere",IF(CC657="","",IF(CD657&lt;&gt;"No aplica",IF(CD657&lt;&gt;"Ninguna",IF(COUNTIF(CD657:CF657,"*")&gt;=1,"Sí","No"),"No"),"No aplica"))))</f>
        <v>No requiere</v>
      </c>
      <c r="EO657" s="71"/>
      <c r="EP657" s="84" t="str">
        <f t="shared" si="467"/>
        <v>No requiere</v>
      </c>
      <c r="EQ657" s="88" t="str">
        <f t="shared" si="468"/>
        <v>No requiere</v>
      </c>
      <c r="ER657" s="71"/>
      <c r="ES657" s="79"/>
      <c r="ET657" s="84" t="str">
        <f t="shared" si="469"/>
        <v>No requiere</v>
      </c>
      <c r="EU657" s="84" t="str">
        <f t="shared" ref="EU657:EU658" si="645">IF(F657="NO","No requiere",IF(H657="No","No requiere",IF(B657="","",IF(CX657="SÍ",IF(CK657&gt;=1,CY657/CK657,"Sin compromisos"),"Por verificar"))))</f>
        <v>No requiere</v>
      </c>
      <c r="EV657" s="84" t="str">
        <f t="shared" si="470"/>
        <v>No requiere</v>
      </c>
      <c r="EW657" s="84" t="str">
        <f t="shared" si="581"/>
        <v>No requiere</v>
      </c>
      <c r="EX657" s="78"/>
      <c r="EY657" s="78"/>
    </row>
    <row r="658" spans="1:155" ht="46.5" customHeight="1">
      <c r="A658" s="79" t="str">
        <v/>
      </c>
      <c r="B658" s="80" t="s">
        <v>4604</v>
      </c>
      <c r="C658" s="81">
        <v>45475</v>
      </c>
      <c r="D658" s="82">
        <v>0.41666666666666669</v>
      </c>
      <c r="E658" s="79" t="s">
        <v>151</v>
      </c>
      <c r="F658" s="79" t="s">
        <v>152</v>
      </c>
      <c r="G658" s="79" t="s">
        <v>153</v>
      </c>
      <c r="H658" s="79" t="s">
        <v>152</v>
      </c>
      <c r="I658" s="79" t="s">
        <v>152</v>
      </c>
      <c r="J658" s="79" t="s">
        <v>2153</v>
      </c>
      <c r="K658" s="79" t="s">
        <v>202</v>
      </c>
      <c r="L658" s="80" t="s">
        <v>4605</v>
      </c>
      <c r="M658" s="80" t="s">
        <v>157</v>
      </c>
      <c r="N658" s="79" t="s">
        <v>346</v>
      </c>
      <c r="O658" s="80" t="str">
        <f t="shared" si="637"/>
        <v>Ana María Gualy, César Augusto Barrantes</v>
      </c>
      <c r="P658" s="79" t="s">
        <v>821</v>
      </c>
      <c r="Q658" s="79" t="s">
        <v>729</v>
      </c>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t="s">
        <v>304</v>
      </c>
      <c r="AP658" s="79"/>
      <c r="AQ658" s="80" t="s">
        <v>171</v>
      </c>
      <c r="AR658" s="83" t="s">
        <v>171</v>
      </c>
      <c r="AS658" s="80" t="s">
        <v>171</v>
      </c>
      <c r="AT658" s="80" t="str">
        <f t="shared" si="545"/>
        <v>Distrital</v>
      </c>
      <c r="AU658" s="79" t="s">
        <v>172</v>
      </c>
      <c r="AV658" s="79"/>
      <c r="AW658" s="79"/>
      <c r="AX658" s="79"/>
      <c r="AY658" s="79"/>
      <c r="AZ658" s="79"/>
      <c r="BA658" s="80" t="str">
        <f t="shared" si="562"/>
        <v>Distrital</v>
      </c>
      <c r="BB658" s="79" t="s">
        <v>172</v>
      </c>
      <c r="BC658" s="79"/>
      <c r="BD658" s="79"/>
      <c r="BE658" s="79"/>
      <c r="BF658" s="79"/>
      <c r="BG658" s="79"/>
      <c r="BH658" s="80" t="str">
        <f t="shared" si="563"/>
        <v>Distrital</v>
      </c>
      <c r="BI658" s="79" t="s">
        <v>172</v>
      </c>
      <c r="BJ658" s="79"/>
      <c r="BK658" s="79"/>
      <c r="BL658" s="79"/>
      <c r="BM658" s="79"/>
      <c r="BN658" s="79"/>
      <c r="BO658" s="79"/>
      <c r="BP658" s="79"/>
      <c r="BQ658" s="79"/>
      <c r="BR658" s="79"/>
      <c r="BS658" s="80" t="s">
        <v>288</v>
      </c>
      <c r="BT658" s="80" t="s">
        <v>174</v>
      </c>
      <c r="BU658" s="80" t="s">
        <v>4606</v>
      </c>
      <c r="BV658" s="71"/>
      <c r="BW658" s="79" t="s">
        <v>152</v>
      </c>
      <c r="BX658" s="79" t="s">
        <v>179</v>
      </c>
      <c r="BY658" s="71"/>
      <c r="BZ658" s="79">
        <v>1</v>
      </c>
      <c r="CA658" s="79">
        <v>4</v>
      </c>
      <c r="CB658" s="79">
        <f t="shared" si="638"/>
        <v>5</v>
      </c>
      <c r="CC658" s="79" t="str">
        <f t="shared" si="382"/>
        <v>Ninguna</v>
      </c>
      <c r="CD658" s="79" t="s">
        <v>174</v>
      </c>
      <c r="CE658" s="79"/>
      <c r="CF658" s="79"/>
      <c r="CG658" s="83" t="s">
        <v>4607</v>
      </c>
      <c r="CH658" s="41"/>
      <c r="CI658" s="79" t="s">
        <v>153</v>
      </c>
      <c r="CJ658" s="71"/>
      <c r="CK658" s="79">
        <f t="shared" si="639"/>
        <v>0</v>
      </c>
      <c r="CL658" s="79"/>
      <c r="CM658" s="79"/>
      <c r="CN658" s="79"/>
      <c r="CO658" s="79"/>
      <c r="CP658" s="79"/>
      <c r="CQ658" s="79"/>
      <c r="CR658" s="83" t="s">
        <v>179</v>
      </c>
      <c r="CS658" s="83" t="s">
        <v>179</v>
      </c>
      <c r="CT658" s="83" t="s">
        <v>179</v>
      </c>
      <c r="CU658" s="83" t="s">
        <v>179</v>
      </c>
      <c r="CV658" s="83" t="s">
        <v>179</v>
      </c>
      <c r="CW658" s="83" t="s">
        <v>179</v>
      </c>
      <c r="CX658" s="79" t="s">
        <v>153</v>
      </c>
      <c r="CY658" s="79">
        <f t="shared" si="640"/>
        <v>0</v>
      </c>
      <c r="CZ658" s="79">
        <v>0</v>
      </c>
      <c r="DA658" s="79">
        <f t="shared" si="641"/>
        <v>0</v>
      </c>
      <c r="DB658" s="84" t="str">
        <f t="shared" si="642"/>
        <v/>
      </c>
      <c r="DC658" s="41"/>
      <c r="DD658" s="79" t="s">
        <v>153</v>
      </c>
      <c r="DE658" s="71"/>
      <c r="DF658" s="127" t="s">
        <v>4608</v>
      </c>
      <c r="DG658" s="79">
        <v>648</v>
      </c>
      <c r="DH658" s="86" t="str">
        <f t="shared" si="537"/>
        <v>Completo</v>
      </c>
      <c r="DI658" s="79" t="s">
        <v>181</v>
      </c>
      <c r="DJ658" s="79" t="s">
        <v>182</v>
      </c>
      <c r="DK658" s="79"/>
      <c r="DL658" s="79">
        <v>0</v>
      </c>
      <c r="DM658" s="79">
        <v>0</v>
      </c>
      <c r="DN658" s="79"/>
      <c r="DO658" s="79"/>
      <c r="DP658" s="79"/>
      <c r="DQ658" s="79"/>
      <c r="DR658" s="75" t="str">
        <f t="shared" si="576"/>
        <v>No aplica</v>
      </c>
      <c r="DS658" s="79"/>
      <c r="DT658" s="79"/>
      <c r="DU658" s="75" t="str">
        <f t="shared" si="577"/>
        <v>No aplica</v>
      </c>
      <c r="DV658" s="79"/>
      <c r="DW658" s="79"/>
      <c r="DX658" s="79"/>
      <c r="DY658" s="79"/>
      <c r="DZ658" s="79"/>
      <c r="EA658" s="79"/>
      <c r="EB658" s="79"/>
      <c r="EC658" s="79"/>
      <c r="ED658" s="79" t="s">
        <v>4609</v>
      </c>
      <c r="EE658" s="79" t="str">
        <f t="shared" si="643"/>
        <v>Completo</v>
      </c>
      <c r="EF658" s="41"/>
      <c r="EG658" s="79" t="s">
        <v>153</v>
      </c>
      <c r="EH658" s="71"/>
      <c r="EI658" s="80"/>
      <c r="EJ658" s="71"/>
      <c r="EK658" s="79"/>
      <c r="EL658" s="87" t="str">
        <f t="shared" si="465"/>
        <v>No requiere</v>
      </c>
      <c r="EM658" s="87" t="str">
        <f t="shared" si="466"/>
        <v>No requiere</v>
      </c>
      <c r="EN658" s="87" t="str">
        <f t="shared" si="644"/>
        <v>No requiere</v>
      </c>
      <c r="EO658" s="71"/>
      <c r="EP658" s="84" t="str">
        <f t="shared" si="467"/>
        <v>No requiere</v>
      </c>
      <c r="EQ658" s="88" t="str">
        <f t="shared" si="468"/>
        <v>No requiere</v>
      </c>
      <c r="ER658" s="71"/>
      <c r="ES658" s="79"/>
      <c r="ET658" s="84" t="str">
        <f t="shared" si="469"/>
        <v>No requiere</v>
      </c>
      <c r="EU658" s="84" t="str">
        <f t="shared" si="645"/>
        <v>No requiere</v>
      </c>
      <c r="EV658" s="84" t="str">
        <f t="shared" si="470"/>
        <v>No requiere</v>
      </c>
      <c r="EW658" s="84" t="str">
        <f t="shared" si="581"/>
        <v>No requiere</v>
      </c>
      <c r="EX658" s="78"/>
      <c r="EY658" s="78"/>
    </row>
    <row r="659" spans="1:155" ht="46.5" customHeight="1">
      <c r="A659" s="79">
        <v>655</v>
      </c>
      <c r="B659" s="80" t="s">
        <v>3656</v>
      </c>
      <c r="C659" s="81">
        <v>45475</v>
      </c>
      <c r="D659" s="82">
        <v>0.4375</v>
      </c>
      <c r="E659" s="79" t="s">
        <v>200</v>
      </c>
      <c r="F659" s="79" t="s">
        <v>153</v>
      </c>
      <c r="G659" s="79" t="s">
        <v>152</v>
      </c>
      <c r="H659" s="79" t="s">
        <v>152</v>
      </c>
      <c r="I659" s="79" t="s">
        <v>152</v>
      </c>
      <c r="J659" s="79" t="s">
        <v>504</v>
      </c>
      <c r="K659" s="79" t="s">
        <v>155</v>
      </c>
      <c r="L659" s="80" t="s">
        <v>3657</v>
      </c>
      <c r="M659" s="80" t="s">
        <v>157</v>
      </c>
      <c r="N659" s="79" t="s">
        <v>632</v>
      </c>
      <c r="O659" s="80" t="str">
        <f t="shared" si="636"/>
        <v/>
      </c>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t="s">
        <v>169</v>
      </c>
      <c r="AP659" s="79" t="s">
        <v>2702</v>
      </c>
      <c r="AQ659" s="80" t="s">
        <v>1633</v>
      </c>
      <c r="AR659" s="83" t="s">
        <v>4610</v>
      </c>
      <c r="AS659" s="80" t="s">
        <v>4611</v>
      </c>
      <c r="AT659" s="80" t="str">
        <f t="shared" si="545"/>
        <v>Santa Fe</v>
      </c>
      <c r="AU659" s="79" t="s">
        <v>822</v>
      </c>
      <c r="AV659" s="79"/>
      <c r="AW659" s="79"/>
      <c r="AX659" s="79"/>
      <c r="AY659" s="79"/>
      <c r="AZ659" s="79"/>
      <c r="BA659" s="80" t="str">
        <f t="shared" si="562"/>
        <v>Centro Ampliado, Ruralidad</v>
      </c>
      <c r="BB659" s="79" t="s">
        <v>636</v>
      </c>
      <c r="BC659" s="79" t="s">
        <v>219</v>
      </c>
      <c r="BD659" s="79"/>
      <c r="BE659" s="79"/>
      <c r="BF659" s="79"/>
      <c r="BG659" s="79"/>
      <c r="BH659" s="80" t="str">
        <f t="shared" si="563"/>
        <v>Centro Histórico, Cerros Orientales</v>
      </c>
      <c r="BI659" s="79" t="s">
        <v>754</v>
      </c>
      <c r="BJ659" s="79" t="s">
        <v>361</v>
      </c>
      <c r="BK659" s="79"/>
      <c r="BL659" s="79"/>
      <c r="BM659" s="79"/>
      <c r="BN659" s="79"/>
      <c r="BO659" s="79"/>
      <c r="BP659" s="79"/>
      <c r="BQ659" s="79"/>
      <c r="BR659" s="79"/>
      <c r="BS659" s="80" t="s">
        <v>288</v>
      </c>
      <c r="BT659" s="80" t="s">
        <v>174</v>
      </c>
      <c r="BU659" s="80" t="s">
        <v>4612</v>
      </c>
      <c r="BV659" s="71"/>
      <c r="BW659" s="79" t="s">
        <v>152</v>
      </c>
      <c r="BX659" s="79" t="s">
        <v>179</v>
      </c>
      <c r="BY659" s="71"/>
      <c r="BZ659" s="79">
        <v>20</v>
      </c>
      <c r="CA659" s="79">
        <v>1</v>
      </c>
      <c r="CB659" s="79">
        <f t="shared" ref="CB659" si="646">BZ659+CA659</f>
        <v>21</v>
      </c>
      <c r="CC659" s="79" t="str">
        <f t="shared" si="382"/>
        <v>Ninguna</v>
      </c>
      <c r="CD659" s="79" t="s">
        <v>174</v>
      </c>
      <c r="CE659" s="79"/>
      <c r="CF659" s="79"/>
      <c r="CG659" s="83" t="s">
        <v>4613</v>
      </c>
      <c r="CH659" s="41"/>
      <c r="CI659" s="79" t="s">
        <v>153</v>
      </c>
      <c r="CJ659" s="71"/>
      <c r="CK659" s="79">
        <f t="shared" ref="CK659" si="647">COUNTIF(CL659:CQ659,"*")</f>
        <v>0</v>
      </c>
      <c r="CL659" s="79"/>
      <c r="CM659" s="79"/>
      <c r="CN659" s="79"/>
      <c r="CO659" s="79"/>
      <c r="CP659" s="79"/>
      <c r="CQ659" s="79"/>
      <c r="CR659" s="83" t="s">
        <v>179</v>
      </c>
      <c r="CS659" s="83" t="s">
        <v>179</v>
      </c>
      <c r="CT659" s="83" t="s">
        <v>179</v>
      </c>
      <c r="CU659" s="83" t="s">
        <v>179</v>
      </c>
      <c r="CV659" s="83" t="s">
        <v>179</v>
      </c>
      <c r="CW659" s="83" t="s">
        <v>179</v>
      </c>
      <c r="CX659" s="79" t="s">
        <v>153</v>
      </c>
      <c r="CY659" s="79">
        <f t="shared" ref="CY659" si="648">SUM(COUNTIF(CR659:CW659,"Realizado y Devuelto a la Ciudadanía"),COUNTIF(CR659:CW659,"Realizado y Trasladado por competencia"), COUNTIF(CR659:CW659,"Realizado y Gestionado"))</f>
        <v>0</v>
      </c>
      <c r="CZ659" s="79">
        <v>0</v>
      </c>
      <c r="DA659" s="79">
        <f t="shared" ref="DA659" si="649">COUNTIF(CR659:CW659,"Realizado y Devuelto a la Ciudadanía")</f>
        <v>0</v>
      </c>
      <c r="DB659" s="84" t="str">
        <f t="shared" ref="DB659" si="650">IFERROR(CY659/CK659,"")</f>
        <v/>
      </c>
      <c r="DC659" s="41"/>
      <c r="DD659" s="79" t="s">
        <v>153</v>
      </c>
      <c r="DE659" s="71"/>
      <c r="DF659" s="127" t="s">
        <v>4614</v>
      </c>
      <c r="DG659" s="79">
        <v>649</v>
      </c>
      <c r="DH659" s="86" t="str">
        <f t="shared" si="537"/>
        <v>Completo</v>
      </c>
      <c r="DI659" s="79" t="s">
        <v>181</v>
      </c>
      <c r="DJ659" s="79" t="s">
        <v>182</v>
      </c>
      <c r="DK659" s="79"/>
      <c r="DL659" s="79">
        <v>0</v>
      </c>
      <c r="DM659" s="79">
        <v>0</v>
      </c>
      <c r="DN659" s="79" t="s">
        <v>182</v>
      </c>
      <c r="DO659" s="79"/>
      <c r="DP659" s="79"/>
      <c r="DQ659" s="79"/>
      <c r="DR659" s="75" t="str">
        <f t="shared" si="576"/>
        <v>No aplica</v>
      </c>
      <c r="DS659" s="79"/>
      <c r="DT659" s="79"/>
      <c r="DU659" s="75" t="str">
        <f t="shared" si="577"/>
        <v>No aplica</v>
      </c>
      <c r="DV659" s="79" t="s">
        <v>182</v>
      </c>
      <c r="DW659" s="79" t="s">
        <v>182</v>
      </c>
      <c r="DX659" s="79"/>
      <c r="DY659" s="79"/>
      <c r="DZ659" s="79"/>
      <c r="EA659" s="79"/>
      <c r="EB659" s="79" t="s">
        <v>182</v>
      </c>
      <c r="EC659" s="79" t="s">
        <v>4615</v>
      </c>
      <c r="ED659" s="79" t="s">
        <v>3990</v>
      </c>
      <c r="EE659" s="79" t="str">
        <f>IF(DI659="Subsanado","Completo","Por Completar")</f>
        <v>Completo</v>
      </c>
      <c r="EF659" s="41"/>
      <c r="EG659" s="79" t="s">
        <v>153</v>
      </c>
      <c r="EH659" s="71"/>
      <c r="EI659" s="80"/>
      <c r="EJ659" s="71"/>
      <c r="EK659" s="79"/>
      <c r="EL659" s="87" t="str">
        <f t="shared" si="465"/>
        <v>No requiere</v>
      </c>
      <c r="EM659" s="87" t="str">
        <f t="shared" si="466"/>
        <v>No requiere</v>
      </c>
      <c r="EN659" s="87" t="str">
        <f t="shared" ref="EN659" si="651">IF(F659="NO","No requiere",IF(H659="No","No requiere",IF(CC659="","",IF(CD659&lt;&gt;"No aplica",IF(CD659&lt;&gt;"Ninguna",IF(COUNTIF(CD659:CF659,"*")&gt;=1,"Sí","No"),"No"),"No aplica"))))</f>
        <v>No requiere</v>
      </c>
      <c r="EO659" s="71"/>
      <c r="EP659" s="84" t="str">
        <f t="shared" si="467"/>
        <v>No requiere</v>
      </c>
      <c r="EQ659" s="88" t="str">
        <f t="shared" si="468"/>
        <v>No requiere</v>
      </c>
      <c r="ER659" s="71"/>
      <c r="ES659" s="79"/>
      <c r="ET659" s="84" t="str">
        <f t="shared" si="469"/>
        <v>No requiere</v>
      </c>
      <c r="EU659" s="84" t="str">
        <f t="shared" ref="EU659" si="652">IF(F659="NO","No requiere",IF(H659="No","No requiere",IF(B659="","",IF(CX659="SÍ",IF(CK659&gt;=1,CY659/CK659,"Sin compromisos"),"Por verificar"))))</f>
        <v>No requiere</v>
      </c>
      <c r="EV659" s="84" t="str">
        <f t="shared" si="470"/>
        <v>No requiere</v>
      </c>
      <c r="EW659" s="84" t="str">
        <f t="shared" si="581"/>
        <v>No requiere</v>
      </c>
      <c r="EX659" s="78"/>
      <c r="EY659" s="78"/>
    </row>
    <row r="660" spans="1:155" ht="46.5" customHeight="1">
      <c r="A660" s="79">
        <v>656</v>
      </c>
      <c r="B660" s="80" t="s">
        <v>4616</v>
      </c>
      <c r="C660" s="81">
        <v>45475</v>
      </c>
      <c r="D660" s="82">
        <v>0.58333333333333337</v>
      </c>
      <c r="E660" s="79" t="s">
        <v>151</v>
      </c>
      <c r="F660" s="79" t="s">
        <v>153</v>
      </c>
      <c r="G660" s="79" t="s">
        <v>153</v>
      </c>
      <c r="H660" s="79" t="s">
        <v>152</v>
      </c>
      <c r="I660" s="79" t="s">
        <v>152</v>
      </c>
      <c r="J660" s="79" t="s">
        <v>3999</v>
      </c>
      <c r="K660" s="79" t="s">
        <v>155</v>
      </c>
      <c r="L660" s="80" t="s">
        <v>4043</v>
      </c>
      <c r="M660" s="80" t="s">
        <v>241</v>
      </c>
      <c r="N660" s="79" t="s">
        <v>506</v>
      </c>
      <c r="O660" s="80" t="str">
        <f t="shared" si="636"/>
        <v/>
      </c>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t="s">
        <v>230</v>
      </c>
      <c r="AP660" s="79" t="s">
        <v>2065</v>
      </c>
      <c r="AQ660" s="80" t="s">
        <v>4617</v>
      </c>
      <c r="AR660" s="83" t="s">
        <v>4618</v>
      </c>
      <c r="AS660" s="80" t="s">
        <v>4619</v>
      </c>
      <c r="AT660" s="80" t="str">
        <f t="shared" si="545"/>
        <v>Usme</v>
      </c>
      <c r="AU660" s="79" t="s">
        <v>1009</v>
      </c>
      <c r="AV660" s="79"/>
      <c r="AW660" s="79"/>
      <c r="AX660" s="79"/>
      <c r="AY660" s="79"/>
      <c r="AZ660" s="79"/>
      <c r="BA660" s="80" t="str">
        <f t="shared" si="562"/>
        <v>Ruralidad</v>
      </c>
      <c r="BB660" s="79" t="s">
        <v>219</v>
      </c>
      <c r="BC660" s="79"/>
      <c r="BD660" s="79"/>
      <c r="BE660" s="79"/>
      <c r="BF660" s="79"/>
      <c r="BG660" s="79"/>
      <c r="BH660" s="80" t="str">
        <f t="shared" si="563"/>
        <v>Usme Entrenubes, Rafael Uribe, Cerros Orientales, Cuenca del Tunjuelo</v>
      </c>
      <c r="BI660" s="79" t="s">
        <v>1010</v>
      </c>
      <c r="BJ660" s="79" t="s">
        <v>723</v>
      </c>
      <c r="BK660" s="79" t="s">
        <v>361</v>
      </c>
      <c r="BL660" s="79" t="s">
        <v>222</v>
      </c>
      <c r="BM660" s="79"/>
      <c r="BN660" s="79"/>
      <c r="BO660" s="79"/>
      <c r="BP660" s="79"/>
      <c r="BQ660" s="79"/>
      <c r="BR660" s="79"/>
      <c r="BS660" s="80" t="s">
        <v>4620</v>
      </c>
      <c r="BT660" s="80" t="s">
        <v>1798</v>
      </c>
      <c r="BU660" s="80" t="s">
        <v>4621</v>
      </c>
      <c r="BV660" s="71"/>
      <c r="BW660" s="79" t="s">
        <v>152</v>
      </c>
      <c r="BX660" s="79" t="s">
        <v>179</v>
      </c>
      <c r="BY660" s="71"/>
      <c r="BZ660" s="79">
        <v>9</v>
      </c>
      <c r="CA660" s="79">
        <v>2</v>
      </c>
      <c r="CB660" s="79">
        <f>BZ660+CA660</f>
        <v>11</v>
      </c>
      <c r="CC660" s="79" t="str">
        <f>_xlfn.TEXTJOIN(", ",TRUE,$CD660:$CF660)</f>
        <v>Contenidos adaptados</v>
      </c>
      <c r="CD660" s="79" t="s">
        <v>350</v>
      </c>
      <c r="CE660" s="79"/>
      <c r="CF660" s="79"/>
      <c r="CG660" s="83" t="s">
        <v>4622</v>
      </c>
      <c r="CH660" s="41"/>
      <c r="CI660" s="79" t="s">
        <v>153</v>
      </c>
      <c r="CJ660" s="71"/>
      <c r="CK660" s="79">
        <v>2</v>
      </c>
      <c r="CL660" s="79" t="s">
        <v>4623</v>
      </c>
      <c r="CM660" s="179" t="s">
        <v>4624</v>
      </c>
      <c r="CN660" s="79"/>
      <c r="CO660" s="79"/>
      <c r="CP660" s="79"/>
      <c r="CQ660" s="79"/>
      <c r="CR660" s="83" t="s">
        <v>390</v>
      </c>
      <c r="CS660" s="83" t="s">
        <v>3773</v>
      </c>
      <c r="CT660" s="83" t="s">
        <v>179</v>
      </c>
      <c r="CU660" s="83" t="s">
        <v>179</v>
      </c>
      <c r="CV660" s="83" t="s">
        <v>179</v>
      </c>
      <c r="CW660" s="83" t="s">
        <v>179</v>
      </c>
      <c r="CX660" s="79" t="s">
        <v>153</v>
      </c>
      <c r="CY660" s="79">
        <f>SUM(COUNTIF(CR660:CW660,"Realizado y Devuelto a la Ciudadanía"),COUNTIF(CR660:CW660,"Realizado y Trasladado por competencia"), COUNTIF(CR660:CW660,"Realizado y Gestionado"))</f>
        <v>1</v>
      </c>
      <c r="CZ660" s="79">
        <v>0</v>
      </c>
      <c r="DA660" s="79">
        <f>COUNTIF(CR660:CW660,"Realizado y Devuelto a la Ciudadanía")</f>
        <v>1</v>
      </c>
      <c r="DB660" s="84">
        <f>IFERROR(CY660/CK660,"")</f>
        <v>0.5</v>
      </c>
      <c r="DC660" s="41"/>
      <c r="DD660" s="79" t="s">
        <v>153</v>
      </c>
      <c r="DE660" s="71"/>
      <c r="DF660" s="127" t="s">
        <v>4625</v>
      </c>
      <c r="DG660" s="79">
        <v>650</v>
      </c>
      <c r="DH660" s="86" t="str">
        <f t="shared" si="537"/>
        <v>Completo</v>
      </c>
      <c r="DI660" s="79" t="s">
        <v>181</v>
      </c>
      <c r="DJ660" s="79" t="s">
        <v>182</v>
      </c>
      <c r="DK660" s="79"/>
      <c r="DL660" s="79">
        <v>0</v>
      </c>
      <c r="DM660" s="79">
        <v>0</v>
      </c>
      <c r="DN660" s="79" t="s">
        <v>182</v>
      </c>
      <c r="DO660" s="79"/>
      <c r="DP660" s="79"/>
      <c r="DQ660" s="79"/>
      <c r="DR660" s="75" t="str">
        <f t="shared" si="576"/>
        <v>No aplica</v>
      </c>
      <c r="DS660" s="79"/>
      <c r="DT660" s="79"/>
      <c r="DU660" s="75" t="str">
        <f t="shared" si="577"/>
        <v>No aplica</v>
      </c>
      <c r="DV660" s="79" t="s">
        <v>182</v>
      </c>
      <c r="DW660" s="79"/>
      <c r="DX660" s="79"/>
      <c r="DY660" s="79"/>
      <c r="DZ660" s="79"/>
      <c r="EA660" s="79"/>
      <c r="EB660" s="79" t="s">
        <v>182</v>
      </c>
      <c r="EC660" s="79" t="s">
        <v>4626</v>
      </c>
      <c r="ED660" s="79" t="s">
        <v>3732</v>
      </c>
      <c r="EE660" s="79" t="str">
        <f>IF(DI660="Subsanado","Completo","Por Completar")</f>
        <v>Completo</v>
      </c>
      <c r="EF660" s="41"/>
      <c r="EG660" s="79" t="s">
        <v>152</v>
      </c>
      <c r="EH660" s="71"/>
      <c r="EI660" s="80"/>
      <c r="EJ660" s="71"/>
      <c r="EK660" s="79"/>
      <c r="EL660" s="87" t="str">
        <f t="shared" si="465"/>
        <v>No requiere</v>
      </c>
      <c r="EM660" s="87" t="str">
        <f t="shared" si="466"/>
        <v>No requiere</v>
      </c>
      <c r="EN660" s="87" t="str">
        <f>IF(F660="NO","No requiere",IF(H660="No","No requiere",IF(CC660="","",IF(CD660&lt;&gt;"No aplica",IF(CD660&lt;&gt;"Ninguna",IF(COUNTIF(CD660:CF660,"*")&gt;=1,"Sí","No"),"No"),"No aplica"))))</f>
        <v>No requiere</v>
      </c>
      <c r="EO660" s="71"/>
      <c r="EP660" s="84" t="str">
        <f t="shared" si="467"/>
        <v>No requiere</v>
      </c>
      <c r="EQ660" s="88" t="str">
        <f t="shared" si="468"/>
        <v>No requiere</v>
      </c>
      <c r="ER660" s="71"/>
      <c r="ES660" s="79"/>
      <c r="ET660" s="84" t="str">
        <f t="shared" si="469"/>
        <v>No requiere</v>
      </c>
      <c r="EU660" s="84" t="str">
        <f>IF(F660="NO","No requiere",IF(H660="No","No requiere",IF(B660="","",IF(CX660="SÍ",IF(CK660&gt;=1,CY660/CK660,"Sin compromisos"),"Por verificar"))))</f>
        <v>No requiere</v>
      </c>
      <c r="EV660" s="84" t="str">
        <f t="shared" si="470"/>
        <v>No requiere</v>
      </c>
      <c r="EW660" s="84" t="str">
        <f t="shared" si="581"/>
        <v>No requiere</v>
      </c>
      <c r="EX660" s="78"/>
      <c r="EY660" s="78"/>
    </row>
    <row r="661" spans="1:155" ht="46.5" customHeight="1">
      <c r="A661" s="79">
        <v>657</v>
      </c>
      <c r="B661" s="80" t="s">
        <v>4627</v>
      </c>
      <c r="C661" s="81">
        <v>45475</v>
      </c>
      <c r="D661" s="82">
        <v>0.58333333333333337</v>
      </c>
      <c r="E661" s="79" t="s">
        <v>200</v>
      </c>
      <c r="F661" s="79" t="s">
        <v>153</v>
      </c>
      <c r="G661" s="79" t="s">
        <v>152</v>
      </c>
      <c r="H661" s="79" t="s">
        <v>152</v>
      </c>
      <c r="I661" s="79" t="s">
        <v>152</v>
      </c>
      <c r="J661" s="79" t="s">
        <v>504</v>
      </c>
      <c r="K661" s="79" t="s">
        <v>155</v>
      </c>
      <c r="L661" s="80" t="s">
        <v>2931</v>
      </c>
      <c r="M661" s="80" t="s">
        <v>157</v>
      </c>
      <c r="N661" s="79" t="s">
        <v>2786</v>
      </c>
      <c r="O661" s="80" t="str">
        <f t="shared" si="636"/>
        <v/>
      </c>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t="s">
        <v>304</v>
      </c>
      <c r="AP661" s="79"/>
      <c r="AQ661" s="80" t="s">
        <v>4370</v>
      </c>
      <c r="AR661" s="83" t="s">
        <v>4371</v>
      </c>
      <c r="AS661" s="80" t="s">
        <v>171</v>
      </c>
      <c r="AT661" s="80" t="str">
        <f t="shared" si="545"/>
        <v>Fontibón</v>
      </c>
      <c r="AU661" s="79" t="s">
        <v>646</v>
      </c>
      <c r="AV661" s="79"/>
      <c r="AW661" s="79"/>
      <c r="AX661" s="79"/>
      <c r="AY661" s="79"/>
      <c r="AZ661" s="79"/>
      <c r="BA661" s="80" t="str">
        <f t="shared" si="562"/>
        <v>Occidente</v>
      </c>
      <c r="BB661" s="79" t="s">
        <v>235</v>
      </c>
      <c r="BC661" s="79"/>
      <c r="BD661" s="79"/>
      <c r="BE661" s="79"/>
      <c r="BF661" s="79"/>
      <c r="BG661" s="79"/>
      <c r="BH661" s="80" t="str">
        <f t="shared" si="563"/>
        <v>Fontibón, Salitre</v>
      </c>
      <c r="BI661" s="79" t="s">
        <v>646</v>
      </c>
      <c r="BJ661" s="79" t="s">
        <v>415</v>
      </c>
      <c r="BK661" s="79"/>
      <c r="BL661" s="79"/>
      <c r="BM661" s="79"/>
      <c r="BN661" s="79"/>
      <c r="BO661" s="79"/>
      <c r="BP661" s="79"/>
      <c r="BQ661" s="79"/>
      <c r="BR661" s="79"/>
      <c r="BS661" s="80" t="s">
        <v>4372</v>
      </c>
      <c r="BT661" s="80" t="s">
        <v>174</v>
      </c>
      <c r="BU661" s="80" t="s">
        <v>4373</v>
      </c>
      <c r="BV661" s="71"/>
      <c r="BW661" s="79" t="s">
        <v>152</v>
      </c>
      <c r="BX661" s="79" t="s">
        <v>179</v>
      </c>
      <c r="BY661" s="71"/>
      <c r="BZ661" s="79">
        <v>18</v>
      </c>
      <c r="CA661" s="79">
        <v>1</v>
      </c>
      <c r="CB661" s="79">
        <f t="shared" ref="CB661:CB672" si="653">BZ661+CA661</f>
        <v>19</v>
      </c>
      <c r="CC661" s="79" t="str">
        <f t="shared" si="382"/>
        <v>Ninguna</v>
      </c>
      <c r="CD661" s="79" t="s">
        <v>174</v>
      </c>
      <c r="CE661" s="79"/>
      <c r="CF661" s="79"/>
      <c r="CG661" s="83" t="s">
        <v>4628</v>
      </c>
      <c r="CH661" s="41"/>
      <c r="CI661" s="79" t="s">
        <v>153</v>
      </c>
      <c r="CJ661" s="71"/>
      <c r="CK661" s="79">
        <f t="shared" ref="CK661:CK672" si="654">COUNTIF(CL661:CQ661,"*")</f>
        <v>0</v>
      </c>
      <c r="CL661" s="79"/>
      <c r="CM661" s="79"/>
      <c r="CN661" s="79"/>
      <c r="CO661" s="79"/>
      <c r="CP661" s="79"/>
      <c r="CQ661" s="79"/>
      <c r="CR661" s="83" t="s">
        <v>179</v>
      </c>
      <c r="CS661" s="83" t="s">
        <v>179</v>
      </c>
      <c r="CT661" s="83" t="s">
        <v>179</v>
      </c>
      <c r="CU661" s="83" t="s">
        <v>179</v>
      </c>
      <c r="CV661" s="83" t="s">
        <v>179</v>
      </c>
      <c r="CW661" s="83" t="s">
        <v>179</v>
      </c>
      <c r="CX661" s="79" t="s">
        <v>153</v>
      </c>
      <c r="CY661" s="79">
        <f t="shared" ref="CY661:CY672" si="655">SUM(COUNTIF(CR661:CW661,"Realizado y Devuelto a la Ciudadanía"),COUNTIF(CR661:CW661,"Realizado y Trasladado por competencia"), COUNTIF(CR661:CW661,"Realizado y Gestionado"))</f>
        <v>0</v>
      </c>
      <c r="CZ661" s="79">
        <v>0</v>
      </c>
      <c r="DA661" s="79">
        <f t="shared" ref="DA661:DA672" si="656">COUNTIF(CR661:CW661,"Realizado y Devuelto a la Ciudadanía")</f>
        <v>0</v>
      </c>
      <c r="DB661" s="84" t="str">
        <f t="shared" ref="DB661:DB672" si="657">IFERROR(CY661/CK661,"")</f>
        <v/>
      </c>
      <c r="DC661" s="41"/>
      <c r="DD661" s="79" t="s">
        <v>153</v>
      </c>
      <c r="DE661" s="71"/>
      <c r="DF661" s="133" t="s">
        <v>4614</v>
      </c>
      <c r="DG661" s="79">
        <v>651</v>
      </c>
      <c r="DH661" s="86" t="str">
        <f t="shared" si="537"/>
        <v>Completo</v>
      </c>
      <c r="DI661" s="79" t="s">
        <v>181</v>
      </c>
      <c r="DJ661" s="79" t="s">
        <v>182</v>
      </c>
      <c r="DK661" s="79"/>
      <c r="DL661" s="79">
        <v>0</v>
      </c>
      <c r="DM661" s="79">
        <v>0</v>
      </c>
      <c r="DN661" s="79" t="s">
        <v>182</v>
      </c>
      <c r="DO661" s="79"/>
      <c r="DP661" s="79"/>
      <c r="DQ661" s="79"/>
      <c r="DR661" s="75" t="str">
        <f t="shared" si="576"/>
        <v>No aplica</v>
      </c>
      <c r="DS661" s="79"/>
      <c r="DT661" s="79"/>
      <c r="DU661" s="75" t="str">
        <f t="shared" si="577"/>
        <v>No aplica</v>
      </c>
      <c r="DV661" s="79" t="s">
        <v>182</v>
      </c>
      <c r="DW661" s="79" t="s">
        <v>182</v>
      </c>
      <c r="DX661" s="79"/>
      <c r="DY661" s="79"/>
      <c r="DZ661" s="79"/>
      <c r="EA661" s="79"/>
      <c r="EB661" s="79"/>
      <c r="EC661" s="79"/>
      <c r="ED661" s="79" t="s">
        <v>4629</v>
      </c>
      <c r="EE661" s="79" t="str">
        <f t="shared" ref="EE661:EE672" si="658">IF(DI661="Subsanado","Completo","Por Completar")</f>
        <v>Completo</v>
      </c>
      <c r="EF661" s="41"/>
      <c r="EG661" s="79" t="s">
        <v>153</v>
      </c>
      <c r="EH661" s="71"/>
      <c r="EI661" s="80"/>
      <c r="EJ661" s="71"/>
      <c r="EK661" s="79"/>
      <c r="EL661" s="87" t="str">
        <f t="shared" si="465"/>
        <v>No requiere</v>
      </c>
      <c r="EM661" s="87" t="str">
        <f t="shared" si="466"/>
        <v>No requiere</v>
      </c>
      <c r="EN661" s="87" t="str">
        <f t="shared" ref="EN661:EN672" si="659">IF(F661="NO","No requiere",IF(H661="No","No requiere",IF(CC661="","",IF(CD661&lt;&gt;"No aplica",IF(CD661&lt;&gt;"Ninguna",IF(COUNTIF(CD661:CF661,"*")&gt;=1,"Sí","No"),"No"),"No aplica"))))</f>
        <v>No requiere</v>
      </c>
      <c r="EO661" s="71"/>
      <c r="EP661" s="84" t="str">
        <f t="shared" si="467"/>
        <v>No requiere</v>
      </c>
      <c r="EQ661" s="88" t="str">
        <f t="shared" si="468"/>
        <v>No requiere</v>
      </c>
      <c r="ER661" s="71"/>
      <c r="ES661" s="79"/>
      <c r="ET661" s="84" t="str">
        <f t="shared" si="469"/>
        <v>No requiere</v>
      </c>
      <c r="EU661" s="84" t="str">
        <f t="shared" ref="EU661:EU672" si="660">IF(F661="NO","No requiere",IF(H661="No","No requiere",IF(B661="","",IF(CX661="SÍ",IF(CK661&gt;=1,CY661/CK661,"Sin compromisos"),"Por verificar"))))</f>
        <v>No requiere</v>
      </c>
      <c r="EV661" s="84" t="str">
        <f t="shared" si="470"/>
        <v>No requiere</v>
      </c>
      <c r="EW661" s="84" t="str">
        <f t="shared" si="581"/>
        <v>No requiere</v>
      </c>
      <c r="EX661" s="78"/>
      <c r="EY661" s="78"/>
    </row>
    <row r="662" spans="1:155" ht="46.5" customHeight="1">
      <c r="A662" s="79">
        <v>658</v>
      </c>
      <c r="B662" s="80" t="s">
        <v>2102</v>
      </c>
      <c r="C662" s="81">
        <v>45475</v>
      </c>
      <c r="D662" s="82">
        <v>0.70833333333333337</v>
      </c>
      <c r="E662" s="79" t="s">
        <v>200</v>
      </c>
      <c r="F662" s="79" t="s">
        <v>153</v>
      </c>
      <c r="G662" s="79" t="s">
        <v>152</v>
      </c>
      <c r="H662" s="79" t="s">
        <v>152</v>
      </c>
      <c r="I662" s="79" t="s">
        <v>152</v>
      </c>
      <c r="J662" s="79" t="s">
        <v>211</v>
      </c>
      <c r="K662" s="79" t="s">
        <v>202</v>
      </c>
      <c r="L662" s="80" t="s">
        <v>4630</v>
      </c>
      <c r="M662" s="80" t="s">
        <v>624</v>
      </c>
      <c r="N662" s="79" t="s">
        <v>522</v>
      </c>
      <c r="O662" s="80" t="str">
        <f t="shared" ref="O662:O671" si="661">_xlfn.TEXTJOIN(", ",TRUE,P662:AN662)</f>
        <v>Diana Carolina Aristizábal</v>
      </c>
      <c r="P662" s="79" t="s">
        <v>165</v>
      </c>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t="s">
        <v>230</v>
      </c>
      <c r="AP662" s="79" t="s">
        <v>242</v>
      </c>
      <c r="AQ662" s="80" t="s">
        <v>4631</v>
      </c>
      <c r="AR662" s="83" t="s">
        <v>4456</v>
      </c>
      <c r="AS662" s="80" t="s">
        <v>682</v>
      </c>
      <c r="AT662" s="80" t="str">
        <f>_xlfn.TEXTJOIN(", ",TRUE,$AU662:$AY662)</f>
        <v>Distrital</v>
      </c>
      <c r="AU662" s="79" t="s">
        <v>172</v>
      </c>
      <c r="AV662" s="79"/>
      <c r="AW662" s="79"/>
      <c r="AX662" s="79"/>
      <c r="AY662" s="79"/>
      <c r="AZ662" s="79"/>
      <c r="BA662" s="80" t="str">
        <f>_xlfn.TEXTJOIN(", ",TRUE,$BB662:$BG662)</f>
        <v>Distrital</v>
      </c>
      <c r="BB662" s="79" t="s">
        <v>172</v>
      </c>
      <c r="BC662" s="79"/>
      <c r="BD662" s="79"/>
      <c r="BE662" s="79"/>
      <c r="BF662" s="79"/>
      <c r="BG662" s="79"/>
      <c r="BH662" s="80" t="str">
        <f>_xlfn.TEXTJOIN(", ",TRUE,$BI662:$BR662)</f>
        <v>Distrital</v>
      </c>
      <c r="BI662" s="79" t="s">
        <v>172</v>
      </c>
      <c r="BJ662" s="79"/>
      <c r="BK662" s="79"/>
      <c r="BL662" s="79"/>
      <c r="BM662" s="79"/>
      <c r="BN662" s="79"/>
      <c r="BO662" s="79"/>
      <c r="BP662" s="79"/>
      <c r="BQ662" s="79"/>
      <c r="BR662" s="79"/>
      <c r="BS662" s="80" t="s">
        <v>288</v>
      </c>
      <c r="BT662" s="80" t="s">
        <v>174</v>
      </c>
      <c r="BU662" s="128" t="s">
        <v>3931</v>
      </c>
      <c r="BV662" s="71"/>
      <c r="BW662" s="79" t="s">
        <v>152</v>
      </c>
      <c r="BX662" s="79" t="s">
        <v>179</v>
      </c>
      <c r="BY662" s="71"/>
      <c r="BZ662" s="79">
        <v>29</v>
      </c>
      <c r="CA662" s="79">
        <v>1</v>
      </c>
      <c r="CB662" s="79">
        <f t="shared" ref="CB662:CB671" si="662">BZ662+CA662</f>
        <v>30</v>
      </c>
      <c r="CC662" s="79" t="str">
        <f>_xlfn.TEXTJOIN(", ",TRUE,$CD662:$CF662)</f>
        <v>Ninguna</v>
      </c>
      <c r="CD662" s="79" t="s">
        <v>174</v>
      </c>
      <c r="CE662" s="79"/>
      <c r="CF662" s="79"/>
      <c r="CG662" s="83" t="s">
        <v>4632</v>
      </c>
      <c r="CH662" s="41"/>
      <c r="CI662" s="79" t="s">
        <v>153</v>
      </c>
      <c r="CJ662" s="71"/>
      <c r="CK662" s="79">
        <f t="shared" ref="CK662:CK671" si="663">COUNTIF(CL662:CQ662,"*")</f>
        <v>0</v>
      </c>
      <c r="CL662" s="79"/>
      <c r="CM662" s="79"/>
      <c r="CN662" s="79"/>
      <c r="CO662" s="79"/>
      <c r="CP662" s="79"/>
      <c r="CQ662" s="79"/>
      <c r="CR662" s="83" t="s">
        <v>179</v>
      </c>
      <c r="CS662" s="83" t="s">
        <v>179</v>
      </c>
      <c r="CT662" s="83" t="s">
        <v>179</v>
      </c>
      <c r="CU662" s="83" t="s">
        <v>179</v>
      </c>
      <c r="CV662" s="83" t="s">
        <v>179</v>
      </c>
      <c r="CW662" s="83" t="s">
        <v>179</v>
      </c>
      <c r="CX662" s="79" t="s">
        <v>153</v>
      </c>
      <c r="CY662" s="79">
        <f t="shared" ref="CY662:CY671" si="664">SUM(COUNTIF(CR662:CW662,"Realizado y Devuelto a la Ciudadanía"),COUNTIF(CR662:CW662,"Realizado y Trasladado por competencia"), COUNTIF(CR662:CW662,"Realizado y Gestionado"))</f>
        <v>0</v>
      </c>
      <c r="CZ662" s="79">
        <v>0</v>
      </c>
      <c r="DA662" s="79">
        <f t="shared" ref="DA662:DA671" si="665">COUNTIF(CR662:CW662,"Realizado y Devuelto a la Ciudadanía")</f>
        <v>0</v>
      </c>
      <c r="DB662" s="84" t="str">
        <f t="shared" ref="DB662:DB671" si="666">IFERROR(CY662/CK662,"")</f>
        <v/>
      </c>
      <c r="DC662" s="41"/>
      <c r="DD662" s="79" t="s">
        <v>153</v>
      </c>
      <c r="DE662" s="71"/>
      <c r="DF662" s="127" t="s">
        <v>4633</v>
      </c>
      <c r="DG662" s="79">
        <v>652</v>
      </c>
      <c r="DH662" s="86" t="str">
        <f t="shared" ref="DH662:DH671" si="667">IF(EE662="Por completar",C662+3,"Completo")</f>
        <v>Completo</v>
      </c>
      <c r="DI662" s="79" t="s">
        <v>181</v>
      </c>
      <c r="DJ662" s="79" t="s">
        <v>182</v>
      </c>
      <c r="DK662" s="79"/>
      <c r="DL662" s="79">
        <v>0</v>
      </c>
      <c r="DM662" s="79">
        <v>0</v>
      </c>
      <c r="DN662" s="79" t="s">
        <v>182</v>
      </c>
      <c r="DO662" s="79">
        <v>38</v>
      </c>
      <c r="DP662" s="79"/>
      <c r="DQ662" s="79"/>
      <c r="DR662" s="75" t="str">
        <f t="shared" ref="DR662:DR671" si="668">IF(H662="SÍ", (DQ662/(BZ662*0.3)), "No aplica")</f>
        <v>No aplica</v>
      </c>
      <c r="DS662" s="79"/>
      <c r="DT662" s="79"/>
      <c r="DU662" s="75" t="str">
        <f t="shared" ref="DU662:DU671" si="669">IF(H662="SÍ", (DT662/(BZ662*0.35)), "No aplica")</f>
        <v>No aplica</v>
      </c>
      <c r="DV662" s="79" t="s">
        <v>182</v>
      </c>
      <c r="DW662" s="79" t="s">
        <v>182</v>
      </c>
      <c r="DX662" s="79"/>
      <c r="DY662" s="79"/>
      <c r="DZ662" s="79"/>
      <c r="EA662" s="79"/>
      <c r="EB662" s="79"/>
      <c r="EC662" s="79"/>
      <c r="ED662" s="79" t="s">
        <v>3866</v>
      </c>
      <c r="EE662" s="79" t="str">
        <f t="shared" ref="EE662:EE671" si="670">IF(DI662="Subsanado","Completo","Por Completar")</f>
        <v>Completo</v>
      </c>
      <c r="EF662" s="41"/>
      <c r="EG662" s="79" t="s">
        <v>153</v>
      </c>
      <c r="EH662" s="71"/>
      <c r="EI662" s="80"/>
      <c r="EJ662" s="71"/>
      <c r="EK662" s="79"/>
      <c r="EL662" s="87" t="str">
        <f t="shared" ref="EL662:EL671" si="671">IF(F662="NO","No requiere",IF(H662="No","No requiere",IF(DW662="","",IF(DW662&lt;&gt;"No aplica",IF(DX662&lt;&gt;"No aplica",IF(DX662&gt;=2,"Sí","No"),"No aplica"),"No aplica"))))</f>
        <v>No requiere</v>
      </c>
      <c r="EM662" s="87" t="str">
        <f t="shared" ref="EM662:EM671" si="672">IF(F662="NO","No requiere",IF(H662="No","No requiere",IF(DW662="","",IF(DW662&lt;&gt;"No aplica",IF(DY662&lt;&gt;"No aplica",IF(DY662&gt;=1,"Sí","No"),"No aplica"),"No aplica"))))</f>
        <v>No requiere</v>
      </c>
      <c r="EN662" s="87" t="str">
        <f t="shared" ref="EN662:EN671" si="673">IF(F662="NO","No requiere",IF(H662="No","No requiere",IF(CC662="","",IF(CD662&lt;&gt;"No aplica",IF(CD662&lt;&gt;"Ninguna",IF(COUNTIF(CD662:CF662,"*")&gt;=1,"Sí","No"),"No"),"No aplica"))))</f>
        <v>No requiere</v>
      </c>
      <c r="EO662" s="71"/>
      <c r="EP662" s="84" t="str">
        <f t="shared" ref="EP662:EP671" si="674">IF(F662="NO","No requiere",IF(H662="No","No requiere",IF(DL662="","",IF(DL662&gt;=1,DM662/DL662,"No aplica"))))</f>
        <v>No requiere</v>
      </c>
      <c r="EQ662" s="88" t="str">
        <f t="shared" ref="EQ662:EQ671" si="675">IFERROR(IF(F662="NO","No requiere",IF(H662="No","No requiere",DU662)),"")</f>
        <v>No requiere</v>
      </c>
      <c r="ER662" s="71"/>
      <c r="ES662" s="79"/>
      <c r="ET662" s="84" t="str">
        <f t="shared" ref="ET662:ET671" si="676">IF(F662="NO","No requiere",IF(H662="No","No requiere",IFERROR(COUNTIF(DJ662:DW662,"Completo")/SUM(COUNTIF(DJ662:DW662,"Completo"),COUNTIF(DJ662:DW662,"Incompleto"),COUNTIF(DJ662:DW662,"No subido"),COUNTIF(DJ662:DW662,"No existente"),COUNTIF(DJ662:DW662,"Pendiente")),"")))</f>
        <v>No requiere</v>
      </c>
      <c r="EU662" s="84" t="str">
        <f t="shared" ref="EU662:EU671" si="677">IF(F662="NO","No requiere",IF(H662="No","No requiere",IF(B662="","",IF(CX662="SÍ",IF(CK662&gt;=1,CY662/CK662,"Sin compromisos"),"Por verificar"))))</f>
        <v>No requiere</v>
      </c>
      <c r="EV662" s="84" t="str">
        <f t="shared" ref="EV662:EV671" si="678">IF(EU662="Por verificar","Por verificar",IF(F662="NO","No requiere",IF(H662="No","No requiere",IFERROR(IF(EU662="","",IF(CK662&gt;=1,DA662/CZ662,"No aplica")),"No aplica"))))</f>
        <v>No requiere</v>
      </c>
      <c r="EW662" s="84" t="str">
        <f t="shared" ref="EW662:EW671" si="679">IF(F662="NO","No requiere",IF(H662="No","No requiere",IFERROR(IF(BZ662="","",IF(EA662&lt;&gt;"No aplica",IF(EA662&gt;=1,DO662/EA662,"0%"),"No aplica")),"")))</f>
        <v>No requiere</v>
      </c>
      <c r="EX662" s="78"/>
      <c r="EY662" s="78"/>
    </row>
    <row r="663" spans="1:155" ht="46.5" customHeight="1">
      <c r="A663" s="79">
        <v>659</v>
      </c>
      <c r="B663" s="80" t="s">
        <v>4634</v>
      </c>
      <c r="C663" s="81">
        <v>45475</v>
      </c>
      <c r="D663" s="82">
        <v>0.66666666666666663</v>
      </c>
      <c r="E663" s="79" t="s">
        <v>151</v>
      </c>
      <c r="F663" s="79" t="s">
        <v>153</v>
      </c>
      <c r="G663" s="79" t="s">
        <v>153</v>
      </c>
      <c r="H663" s="79" t="s">
        <v>152</v>
      </c>
      <c r="I663" s="79" t="s">
        <v>152</v>
      </c>
      <c r="J663" s="79" t="s">
        <v>3999</v>
      </c>
      <c r="K663" s="79" t="s">
        <v>155</v>
      </c>
      <c r="L663" s="80" t="s">
        <v>4362</v>
      </c>
      <c r="M663" s="80" t="s">
        <v>241</v>
      </c>
      <c r="N663" s="79" t="s">
        <v>645</v>
      </c>
      <c r="O663" s="80" t="str">
        <f t="shared" si="661"/>
        <v/>
      </c>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t="s">
        <v>230</v>
      </c>
      <c r="AP663" s="79" t="s">
        <v>356</v>
      </c>
      <c r="AQ663" s="80" t="s">
        <v>4635</v>
      </c>
      <c r="AR663" s="83" t="s">
        <v>4636</v>
      </c>
      <c r="AS663" s="80" t="s">
        <v>171</v>
      </c>
      <c r="AT663" s="80" t="str">
        <f t="shared" ref="AT663:AT671" si="680">_xlfn.TEXTJOIN(", ",TRUE,$AU663:$AY663)</f>
        <v>San Cristóbal</v>
      </c>
      <c r="AU663" s="79" t="s">
        <v>570</v>
      </c>
      <c r="AV663" s="79"/>
      <c r="AW663" s="79"/>
      <c r="AX663" s="79"/>
      <c r="AY663" s="79"/>
      <c r="AZ663" s="79"/>
      <c r="BA663" s="80" t="str">
        <f t="shared" ref="BA663:BA671" si="681">_xlfn.TEXTJOIN(", ",TRUE,$BB663:$BG663)</f>
        <v>Suroriente</v>
      </c>
      <c r="BB663" s="79" t="s">
        <v>218</v>
      </c>
      <c r="BC663" s="79"/>
      <c r="BD663" s="79"/>
      <c r="BE663" s="79"/>
      <c r="BF663" s="79"/>
      <c r="BG663" s="79"/>
      <c r="BH663" s="80" t="str">
        <f t="shared" si="563"/>
        <v>San Cristobal, Cerros Orientales</v>
      </c>
      <c r="BI663" s="79" t="s">
        <v>571</v>
      </c>
      <c r="BJ663" s="79" t="s">
        <v>361</v>
      </c>
      <c r="BK663" s="79"/>
      <c r="BL663" s="79"/>
      <c r="BM663" s="79"/>
      <c r="BN663" s="79"/>
      <c r="BO663" s="79"/>
      <c r="BP663" s="79"/>
      <c r="BQ663" s="79"/>
      <c r="BR663" s="79"/>
      <c r="BS663" s="80" t="s">
        <v>288</v>
      </c>
      <c r="BT663" s="80" t="s">
        <v>174</v>
      </c>
      <c r="BU663" s="80" t="s">
        <v>4637</v>
      </c>
      <c r="BV663" s="71"/>
      <c r="BW663" s="79" t="s">
        <v>152</v>
      </c>
      <c r="BX663" s="79" t="s">
        <v>179</v>
      </c>
      <c r="BY663" s="71"/>
      <c r="BZ663" s="79">
        <v>10</v>
      </c>
      <c r="CA663" s="79">
        <v>1</v>
      </c>
      <c r="CB663" s="79">
        <f t="shared" si="662"/>
        <v>11</v>
      </c>
      <c r="CC663" s="79" t="str">
        <f t="shared" si="382"/>
        <v>Ninguna</v>
      </c>
      <c r="CD663" s="79" t="s">
        <v>174</v>
      </c>
      <c r="CE663" s="79"/>
      <c r="CF663" s="79"/>
      <c r="CG663" s="83" t="s">
        <v>4638</v>
      </c>
      <c r="CH663" s="41"/>
      <c r="CI663" s="79" t="s">
        <v>153</v>
      </c>
      <c r="CJ663" s="71"/>
      <c r="CK663" s="79">
        <f t="shared" si="663"/>
        <v>0</v>
      </c>
      <c r="CL663" s="79"/>
      <c r="CM663" s="79"/>
      <c r="CN663" s="79"/>
      <c r="CO663" s="79"/>
      <c r="CP663" s="79"/>
      <c r="CQ663" s="79"/>
      <c r="CR663" s="83" t="s">
        <v>179</v>
      </c>
      <c r="CS663" s="83" t="s">
        <v>179</v>
      </c>
      <c r="CT663" s="83" t="s">
        <v>179</v>
      </c>
      <c r="CU663" s="83" t="s">
        <v>179</v>
      </c>
      <c r="CV663" s="83" t="s">
        <v>179</v>
      </c>
      <c r="CW663" s="83" t="s">
        <v>179</v>
      </c>
      <c r="CX663" s="79" t="s">
        <v>153</v>
      </c>
      <c r="CY663" s="79">
        <f t="shared" si="664"/>
        <v>0</v>
      </c>
      <c r="CZ663" s="79">
        <v>0</v>
      </c>
      <c r="DA663" s="79">
        <f t="shared" si="665"/>
        <v>0</v>
      </c>
      <c r="DB663" s="84" t="str">
        <f t="shared" si="666"/>
        <v/>
      </c>
      <c r="DC663" s="41"/>
      <c r="DD663" s="79" t="s">
        <v>153</v>
      </c>
      <c r="DE663" s="71"/>
      <c r="DF663" s="127" t="s">
        <v>4639</v>
      </c>
      <c r="DG663" s="79">
        <v>653</v>
      </c>
      <c r="DH663" s="86" t="str">
        <f t="shared" si="667"/>
        <v>Completo</v>
      </c>
      <c r="DI663" s="79" t="s">
        <v>181</v>
      </c>
      <c r="DJ663" s="79" t="s">
        <v>182</v>
      </c>
      <c r="DK663" s="79"/>
      <c r="DL663" s="79">
        <v>0</v>
      </c>
      <c r="DM663" s="79">
        <v>0</v>
      </c>
      <c r="DN663" s="79" t="s">
        <v>182</v>
      </c>
      <c r="DO663" s="79"/>
      <c r="DP663" s="79"/>
      <c r="DQ663" s="79"/>
      <c r="DR663" s="75" t="str">
        <f t="shared" si="668"/>
        <v>No aplica</v>
      </c>
      <c r="DS663" s="79"/>
      <c r="DT663" s="79"/>
      <c r="DU663" s="75" t="str">
        <f t="shared" si="669"/>
        <v>No aplica</v>
      </c>
      <c r="DV663" s="79"/>
      <c r="DW663" s="79" t="s">
        <v>182</v>
      </c>
      <c r="DX663" s="79">
        <v>1</v>
      </c>
      <c r="DY663" s="79"/>
      <c r="DZ663" s="79"/>
      <c r="EA663" s="79"/>
      <c r="EB663" s="79" t="s">
        <v>182</v>
      </c>
      <c r="EC663" s="79" t="s">
        <v>4640</v>
      </c>
      <c r="ED663" s="79" t="s">
        <v>4641</v>
      </c>
      <c r="EE663" s="79" t="str">
        <f t="shared" si="670"/>
        <v>Completo</v>
      </c>
      <c r="EF663" s="41"/>
      <c r="EG663" s="79" t="s">
        <v>153</v>
      </c>
      <c r="EH663" s="71"/>
      <c r="EI663" s="80"/>
      <c r="EJ663" s="71"/>
      <c r="EK663" s="79"/>
      <c r="EL663" s="87" t="str">
        <f t="shared" si="671"/>
        <v>No requiere</v>
      </c>
      <c r="EM663" s="87" t="str">
        <f t="shared" si="672"/>
        <v>No requiere</v>
      </c>
      <c r="EN663" s="87" t="str">
        <f t="shared" si="673"/>
        <v>No requiere</v>
      </c>
      <c r="EO663" s="71"/>
      <c r="EP663" s="84" t="str">
        <f t="shared" si="674"/>
        <v>No requiere</v>
      </c>
      <c r="EQ663" s="88" t="str">
        <f t="shared" si="675"/>
        <v>No requiere</v>
      </c>
      <c r="ER663" s="71"/>
      <c r="ES663" s="79"/>
      <c r="ET663" s="84" t="str">
        <f t="shared" si="676"/>
        <v>No requiere</v>
      </c>
      <c r="EU663" s="84" t="str">
        <f t="shared" si="677"/>
        <v>No requiere</v>
      </c>
      <c r="EV663" s="84" t="str">
        <f t="shared" si="678"/>
        <v>No requiere</v>
      </c>
      <c r="EW663" s="84" t="str">
        <f t="shared" si="679"/>
        <v>No requiere</v>
      </c>
      <c r="EX663" s="78"/>
      <c r="EY663" s="78"/>
    </row>
    <row r="664" spans="1:155" ht="46.5" customHeight="1">
      <c r="A664" s="79" t="str">
        <v/>
      </c>
      <c r="B664" s="80" t="s">
        <v>4642</v>
      </c>
      <c r="C664" s="81">
        <v>45476</v>
      </c>
      <c r="D664" s="82">
        <v>0.29166666666666669</v>
      </c>
      <c r="E664" s="79" t="s">
        <v>151</v>
      </c>
      <c r="F664" s="79" t="s">
        <v>152</v>
      </c>
      <c r="G664" s="79" t="s">
        <v>153</v>
      </c>
      <c r="H664" s="79" t="s">
        <v>152</v>
      </c>
      <c r="I664" s="79" t="s">
        <v>152</v>
      </c>
      <c r="J664" s="79" t="s">
        <v>251</v>
      </c>
      <c r="K664" s="79" t="s">
        <v>202</v>
      </c>
      <c r="L664" s="80" t="s">
        <v>4643</v>
      </c>
      <c r="M664" s="80" t="s">
        <v>157</v>
      </c>
      <c r="N664" s="79" t="s">
        <v>506</v>
      </c>
      <c r="O664" s="80" t="str">
        <f t="shared" si="661"/>
        <v/>
      </c>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t="s">
        <v>169</v>
      </c>
      <c r="AP664" s="79" t="s">
        <v>170</v>
      </c>
      <c r="AQ664" s="80" t="s">
        <v>4496</v>
      </c>
      <c r="AR664" s="80" t="s">
        <v>4496</v>
      </c>
      <c r="AS664" s="80" t="s">
        <v>4496</v>
      </c>
      <c r="AT664" s="80" t="str">
        <f t="shared" si="680"/>
        <v>Sumapaz</v>
      </c>
      <c r="AU664" s="79" t="s">
        <v>510</v>
      </c>
      <c r="AV664" s="79"/>
      <c r="AW664" s="79"/>
      <c r="AX664" s="79"/>
      <c r="AY664" s="79"/>
      <c r="AZ664" s="79"/>
      <c r="BA664" s="80" t="str">
        <f t="shared" si="681"/>
        <v>Ruralidad</v>
      </c>
      <c r="BB664" s="79" t="s">
        <v>219</v>
      </c>
      <c r="BC664" s="79"/>
      <c r="BD664" s="79"/>
      <c r="BE664" s="79"/>
      <c r="BF664" s="79"/>
      <c r="BG664" s="79"/>
      <c r="BH664" s="80" t="str">
        <f t="shared" si="563"/>
        <v>Sumapaz</v>
      </c>
      <c r="BI664" s="79" t="s">
        <v>510</v>
      </c>
      <c r="BJ664" s="79"/>
      <c r="BK664" s="79"/>
      <c r="BL664" s="79"/>
      <c r="BM664" s="79"/>
      <c r="BN664" s="79"/>
      <c r="BO664" s="79"/>
      <c r="BP664" s="79"/>
      <c r="BQ664" s="79"/>
      <c r="BR664" s="79"/>
      <c r="BS664" s="80" t="s">
        <v>288</v>
      </c>
      <c r="BT664" s="80" t="s">
        <v>1798</v>
      </c>
      <c r="BU664" s="128" t="s">
        <v>3931</v>
      </c>
      <c r="BV664" s="71"/>
      <c r="BW664" s="79" t="s">
        <v>152</v>
      </c>
      <c r="BX664" s="79" t="s">
        <v>179</v>
      </c>
      <c r="BY664" s="71"/>
      <c r="BZ664" s="79">
        <v>0</v>
      </c>
      <c r="CA664" s="79">
        <v>19</v>
      </c>
      <c r="CB664" s="79">
        <f t="shared" si="662"/>
        <v>19</v>
      </c>
      <c r="CC664" s="79" t="str">
        <f t="shared" si="382"/>
        <v>Horarios Acordes</v>
      </c>
      <c r="CD664" s="79" t="s">
        <v>351</v>
      </c>
      <c r="CE664" s="79"/>
      <c r="CF664" s="79"/>
      <c r="CG664" s="83" t="s">
        <v>4644</v>
      </c>
      <c r="CH664" s="41"/>
      <c r="CI664" s="79" t="s">
        <v>153</v>
      </c>
      <c r="CJ664" s="71"/>
      <c r="CK664" s="79">
        <f t="shared" si="663"/>
        <v>0</v>
      </c>
      <c r="CL664" s="79"/>
      <c r="CM664" s="79"/>
      <c r="CN664" s="79"/>
      <c r="CO664" s="79"/>
      <c r="CP664" s="79"/>
      <c r="CQ664" s="79"/>
      <c r="CR664" s="83" t="s">
        <v>179</v>
      </c>
      <c r="CS664" s="83" t="s">
        <v>179</v>
      </c>
      <c r="CT664" s="83" t="s">
        <v>179</v>
      </c>
      <c r="CU664" s="83" t="s">
        <v>179</v>
      </c>
      <c r="CV664" s="83" t="s">
        <v>179</v>
      </c>
      <c r="CW664" s="83" t="s">
        <v>179</v>
      </c>
      <c r="CX664" s="79" t="s">
        <v>153</v>
      </c>
      <c r="CY664" s="79">
        <f t="shared" si="664"/>
        <v>0</v>
      </c>
      <c r="CZ664" s="79">
        <v>0</v>
      </c>
      <c r="DA664" s="79">
        <f t="shared" si="665"/>
        <v>0</v>
      </c>
      <c r="DB664" s="84" t="str">
        <f t="shared" si="666"/>
        <v/>
      </c>
      <c r="DC664" s="41"/>
      <c r="DD664" s="79" t="s">
        <v>153</v>
      </c>
      <c r="DE664" s="71"/>
      <c r="DF664" s="127" t="s">
        <v>4645</v>
      </c>
      <c r="DG664" s="79">
        <v>654</v>
      </c>
      <c r="DH664" s="86" t="str">
        <f>IF(EE664="Por completar",C664+3,"Completo")</f>
        <v>Completo</v>
      </c>
      <c r="DI664" s="79" t="s">
        <v>181</v>
      </c>
      <c r="DJ664" s="79" t="s">
        <v>182</v>
      </c>
      <c r="DK664" s="79"/>
      <c r="DL664" s="79">
        <v>0</v>
      </c>
      <c r="DM664" s="79">
        <v>0</v>
      </c>
      <c r="DN664" s="79"/>
      <c r="DO664" s="79"/>
      <c r="DP664" s="79"/>
      <c r="DQ664" s="79"/>
      <c r="DR664" s="75" t="str">
        <f t="shared" si="668"/>
        <v>No aplica</v>
      </c>
      <c r="DS664" s="79"/>
      <c r="DT664" s="79"/>
      <c r="DU664" s="75" t="str">
        <f t="shared" si="669"/>
        <v>No aplica</v>
      </c>
      <c r="DV664" s="79" t="s">
        <v>182</v>
      </c>
      <c r="DW664" s="79"/>
      <c r="DX664" s="79"/>
      <c r="DY664" s="79"/>
      <c r="DZ664" s="79"/>
      <c r="EA664" s="79"/>
      <c r="EB664" s="79"/>
      <c r="EC664" s="79"/>
      <c r="ED664" s="79" t="s">
        <v>4646</v>
      </c>
      <c r="EE664" s="79" t="str">
        <f t="shared" si="670"/>
        <v>Completo</v>
      </c>
      <c r="EF664" s="41"/>
      <c r="EG664" s="79" t="s">
        <v>153</v>
      </c>
      <c r="EH664" s="71"/>
      <c r="EI664" s="80"/>
      <c r="EJ664" s="71"/>
      <c r="EK664" s="79"/>
      <c r="EL664" s="87" t="str">
        <f t="shared" si="671"/>
        <v>No requiere</v>
      </c>
      <c r="EM664" s="87" t="str">
        <f t="shared" si="672"/>
        <v>No requiere</v>
      </c>
      <c r="EN664" s="87" t="str">
        <f t="shared" si="673"/>
        <v>No requiere</v>
      </c>
      <c r="EO664" s="71"/>
      <c r="EP664" s="84" t="str">
        <f t="shared" si="674"/>
        <v>No requiere</v>
      </c>
      <c r="EQ664" s="88" t="str">
        <f t="shared" si="675"/>
        <v>No requiere</v>
      </c>
      <c r="ER664" s="71"/>
      <c r="ES664" s="79"/>
      <c r="ET664" s="84" t="str">
        <f t="shared" si="676"/>
        <v>No requiere</v>
      </c>
      <c r="EU664" s="84" t="str">
        <f t="shared" si="677"/>
        <v>No requiere</v>
      </c>
      <c r="EV664" s="84" t="str">
        <f t="shared" si="678"/>
        <v>No requiere</v>
      </c>
      <c r="EW664" s="84" t="str">
        <f t="shared" si="679"/>
        <v>No requiere</v>
      </c>
      <c r="EX664" s="78"/>
      <c r="EY664" s="78"/>
    </row>
    <row r="665" spans="1:155" ht="46.5" customHeight="1">
      <c r="A665" s="79" t="str">
        <v/>
      </c>
      <c r="B665" s="80" t="s">
        <v>1113</v>
      </c>
      <c r="C665" s="81">
        <v>45476</v>
      </c>
      <c r="D665" s="82" t="s">
        <v>4647</v>
      </c>
      <c r="E665" s="79" t="s">
        <v>151</v>
      </c>
      <c r="F665" s="79" t="s">
        <v>152</v>
      </c>
      <c r="G665" s="79" t="s">
        <v>152</v>
      </c>
      <c r="H665" s="79" t="s">
        <v>152</v>
      </c>
      <c r="I665" s="79" t="s">
        <v>152</v>
      </c>
      <c r="J665" s="79" t="s">
        <v>1113</v>
      </c>
      <c r="K665" s="79" t="s">
        <v>155</v>
      </c>
      <c r="L665" s="80" t="s">
        <v>4648</v>
      </c>
      <c r="M665" s="80" t="s">
        <v>303</v>
      </c>
      <c r="N665" s="79" t="s">
        <v>195</v>
      </c>
      <c r="O665" s="80" t="str">
        <f t="shared" si="661"/>
        <v/>
      </c>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t="s">
        <v>169</v>
      </c>
      <c r="AP665" s="79" t="s">
        <v>170</v>
      </c>
      <c r="AQ665" s="80" t="s">
        <v>4496</v>
      </c>
      <c r="AR665" s="80" t="s">
        <v>4496</v>
      </c>
      <c r="AS665" s="80" t="s">
        <v>4496</v>
      </c>
      <c r="AT665" s="80" t="str">
        <f t="shared" si="680"/>
        <v>Distrital</v>
      </c>
      <c r="AU665" s="79" t="s">
        <v>172</v>
      </c>
      <c r="AV665" s="79"/>
      <c r="AW665" s="79"/>
      <c r="AX665" s="79"/>
      <c r="AY665" s="79"/>
      <c r="AZ665" s="79"/>
      <c r="BA665" s="80" t="str">
        <f t="shared" si="681"/>
        <v>Distrital</v>
      </c>
      <c r="BB665" s="79" t="s">
        <v>172</v>
      </c>
      <c r="BC665" s="79"/>
      <c r="BD665" s="79"/>
      <c r="BE665" s="79"/>
      <c r="BF665" s="79"/>
      <c r="BG665" s="79"/>
      <c r="BH665" s="80" t="str">
        <f t="shared" si="563"/>
        <v>Distrital</v>
      </c>
      <c r="BI665" s="79" t="s">
        <v>172</v>
      </c>
      <c r="BJ665" s="79"/>
      <c r="BK665" s="79"/>
      <c r="BL665" s="79"/>
      <c r="BM665" s="79"/>
      <c r="BN665" s="79"/>
      <c r="BO665" s="79"/>
      <c r="BP665" s="79"/>
      <c r="BQ665" s="79"/>
      <c r="BR665" s="79"/>
      <c r="BS665" s="80" t="s">
        <v>753</v>
      </c>
      <c r="BT665" s="80" t="s">
        <v>174</v>
      </c>
      <c r="BU665" s="80" t="s">
        <v>322</v>
      </c>
      <c r="BV665" s="71"/>
      <c r="BW665" s="79" t="s">
        <v>152</v>
      </c>
      <c r="BX665" s="79" t="s">
        <v>179</v>
      </c>
      <c r="BY665" s="71"/>
      <c r="BZ665" s="79">
        <v>0</v>
      </c>
      <c r="CA665" s="79">
        <v>2</v>
      </c>
      <c r="CB665" s="79">
        <f t="shared" si="662"/>
        <v>2</v>
      </c>
      <c r="CC665" s="79" t="str">
        <f t="shared" si="382"/>
        <v>Ninguna</v>
      </c>
      <c r="CD665" s="79" t="s">
        <v>174</v>
      </c>
      <c r="CE665" s="79"/>
      <c r="CF665" s="79"/>
      <c r="CG665" s="83" t="s">
        <v>4649</v>
      </c>
      <c r="CH665" s="41"/>
      <c r="CI665" s="79" t="s">
        <v>153</v>
      </c>
      <c r="CJ665" s="71"/>
      <c r="CK665" s="79">
        <f t="shared" si="663"/>
        <v>0</v>
      </c>
      <c r="CL665" s="79"/>
      <c r="CM665" s="79"/>
      <c r="CN665" s="79"/>
      <c r="CO665" s="79"/>
      <c r="CP665" s="79"/>
      <c r="CQ665" s="79"/>
      <c r="CR665" s="83" t="s">
        <v>179</v>
      </c>
      <c r="CS665" s="83" t="s">
        <v>179</v>
      </c>
      <c r="CT665" s="83" t="s">
        <v>179</v>
      </c>
      <c r="CU665" s="83" t="s">
        <v>179</v>
      </c>
      <c r="CV665" s="83" t="s">
        <v>179</v>
      </c>
      <c r="CW665" s="83" t="s">
        <v>179</v>
      </c>
      <c r="CX665" s="79" t="s">
        <v>153</v>
      </c>
      <c r="CY665" s="79">
        <f t="shared" si="664"/>
        <v>0</v>
      </c>
      <c r="CZ665" s="79">
        <v>0</v>
      </c>
      <c r="DA665" s="79">
        <f t="shared" si="665"/>
        <v>0</v>
      </c>
      <c r="DB665" s="84" t="str">
        <f t="shared" si="666"/>
        <v/>
      </c>
      <c r="DC665" s="41"/>
      <c r="DD665" s="79" t="s">
        <v>153</v>
      </c>
      <c r="DE665" s="71"/>
      <c r="DF665" s="127" t="s">
        <v>4650</v>
      </c>
      <c r="DG665" s="79" t="s">
        <v>4651</v>
      </c>
      <c r="DH665" s="86" t="str">
        <f t="shared" ref="DH665" si="682">IF(EE665="Por completar",C665+3,"Completo")</f>
        <v>Completo</v>
      </c>
      <c r="DI665" s="79" t="s">
        <v>181</v>
      </c>
      <c r="DJ665" s="79" t="s">
        <v>182</v>
      </c>
      <c r="DK665" s="79"/>
      <c r="DL665" s="79">
        <v>0</v>
      </c>
      <c r="DM665" s="79">
        <v>0</v>
      </c>
      <c r="DN665" s="79" t="s">
        <v>191</v>
      </c>
      <c r="DO665" s="79"/>
      <c r="DP665" s="79"/>
      <c r="DQ665" s="79"/>
      <c r="DR665" s="75" t="str">
        <f t="shared" si="668"/>
        <v>No aplica</v>
      </c>
      <c r="DS665" s="79"/>
      <c r="DT665" s="79"/>
      <c r="DU665" s="75" t="str">
        <f t="shared" si="669"/>
        <v>No aplica</v>
      </c>
      <c r="DV665" s="79" t="s">
        <v>182</v>
      </c>
      <c r="DW665" s="79" t="s">
        <v>182</v>
      </c>
      <c r="DX665" s="79"/>
      <c r="DY665" s="79"/>
      <c r="DZ665" s="79"/>
      <c r="EA665" s="79"/>
      <c r="EB665" s="79"/>
      <c r="EC665" s="79"/>
      <c r="ED665" s="79" t="s">
        <v>4652</v>
      </c>
      <c r="EE665" s="79" t="str">
        <f t="shared" si="670"/>
        <v>Completo</v>
      </c>
      <c r="EF665" s="41"/>
      <c r="EG665" s="79" t="s">
        <v>153</v>
      </c>
      <c r="EH665" s="71"/>
      <c r="EI665" s="80"/>
      <c r="EJ665" s="71"/>
      <c r="EK665" s="79"/>
      <c r="EL665" s="87" t="str">
        <f t="shared" si="671"/>
        <v>No requiere</v>
      </c>
      <c r="EM665" s="87" t="str">
        <f t="shared" si="672"/>
        <v>No requiere</v>
      </c>
      <c r="EN665" s="87" t="str">
        <f t="shared" si="673"/>
        <v>No requiere</v>
      </c>
      <c r="EO665" s="71"/>
      <c r="EP665" s="84" t="str">
        <f t="shared" si="674"/>
        <v>No requiere</v>
      </c>
      <c r="EQ665" s="88" t="str">
        <f t="shared" si="675"/>
        <v>No requiere</v>
      </c>
      <c r="ER665" s="71"/>
      <c r="ES665" s="79"/>
      <c r="ET665" s="84" t="str">
        <f t="shared" si="676"/>
        <v>No requiere</v>
      </c>
      <c r="EU665" s="84" t="str">
        <f t="shared" si="677"/>
        <v>No requiere</v>
      </c>
      <c r="EV665" s="84" t="str">
        <f t="shared" si="678"/>
        <v>No requiere</v>
      </c>
      <c r="EW665" s="84" t="str">
        <f t="shared" si="679"/>
        <v>No requiere</v>
      </c>
      <c r="EX665" s="78"/>
      <c r="EY665" s="78"/>
    </row>
    <row r="666" spans="1:155" ht="46.5" customHeight="1">
      <c r="A666" s="79">
        <v>662</v>
      </c>
      <c r="B666" s="80" t="s">
        <v>503</v>
      </c>
      <c r="C666" s="81">
        <v>45476</v>
      </c>
      <c r="D666" s="82">
        <v>0.375</v>
      </c>
      <c r="E666" s="79" t="s">
        <v>200</v>
      </c>
      <c r="F666" s="79" t="s">
        <v>153</v>
      </c>
      <c r="G666" s="79" t="s">
        <v>152</v>
      </c>
      <c r="H666" s="79" t="s">
        <v>152</v>
      </c>
      <c r="I666" s="79" t="s">
        <v>152</v>
      </c>
      <c r="J666" s="79" t="s">
        <v>504</v>
      </c>
      <c r="K666" s="79" t="s">
        <v>202</v>
      </c>
      <c r="L666" s="80" t="s">
        <v>4653</v>
      </c>
      <c r="M666" s="80" t="s">
        <v>624</v>
      </c>
      <c r="N666" s="79" t="s">
        <v>506</v>
      </c>
      <c r="O666" s="80" t="str">
        <f t="shared" si="661"/>
        <v/>
      </c>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t="s">
        <v>169</v>
      </c>
      <c r="AP666" s="79" t="s">
        <v>2702</v>
      </c>
      <c r="AQ666" s="80" t="s">
        <v>4654</v>
      </c>
      <c r="AR666" s="83" t="s">
        <v>4655</v>
      </c>
      <c r="AS666" s="80" t="s">
        <v>1989</v>
      </c>
      <c r="AT666" s="80" t="str">
        <f t="shared" si="680"/>
        <v>Sumapaz</v>
      </c>
      <c r="AU666" s="79" t="s">
        <v>510</v>
      </c>
      <c r="AV666" s="79"/>
      <c r="AW666" s="79"/>
      <c r="AX666" s="79"/>
      <c r="AY666" s="79"/>
      <c r="AZ666" s="79"/>
      <c r="BA666" s="80" t="str">
        <f t="shared" si="681"/>
        <v>Ruralidad</v>
      </c>
      <c r="BB666" s="79" t="s">
        <v>219</v>
      </c>
      <c r="BC666" s="79"/>
      <c r="BD666" s="79"/>
      <c r="BE666" s="79"/>
      <c r="BF666" s="79"/>
      <c r="BG666" s="79"/>
      <c r="BH666" s="80" t="str">
        <f t="shared" si="563"/>
        <v>Sumapaz</v>
      </c>
      <c r="BI666" s="79" t="s">
        <v>510</v>
      </c>
      <c r="BJ666" s="79"/>
      <c r="BK666" s="79"/>
      <c r="BL666" s="79"/>
      <c r="BM666" s="79"/>
      <c r="BN666" s="79"/>
      <c r="BO666" s="79"/>
      <c r="BP666" s="79"/>
      <c r="BQ666" s="79"/>
      <c r="BR666" s="79"/>
      <c r="BS666" s="80" t="s">
        <v>288</v>
      </c>
      <c r="BT666" s="80" t="s">
        <v>174</v>
      </c>
      <c r="BU666" s="128" t="s">
        <v>3931</v>
      </c>
      <c r="BV666" s="71"/>
      <c r="BW666" s="79" t="s">
        <v>152</v>
      </c>
      <c r="BX666" s="79" t="s">
        <v>179</v>
      </c>
      <c r="BY666" s="71"/>
      <c r="BZ666" s="79">
        <v>27</v>
      </c>
      <c r="CA666" s="79">
        <v>1</v>
      </c>
      <c r="CB666" s="79">
        <f t="shared" si="662"/>
        <v>28</v>
      </c>
      <c r="CC666" s="79" t="str">
        <f t="shared" si="382"/>
        <v>Ninguna</v>
      </c>
      <c r="CD666" s="79" t="s">
        <v>174</v>
      </c>
      <c r="CE666" s="79"/>
      <c r="CF666" s="79"/>
      <c r="CG666" s="83" t="s">
        <v>4656</v>
      </c>
      <c r="CH666" s="41"/>
      <c r="CI666" s="79" t="s">
        <v>153</v>
      </c>
      <c r="CJ666" s="71"/>
      <c r="CK666" s="79">
        <f t="shared" si="663"/>
        <v>0</v>
      </c>
      <c r="CL666" s="79"/>
      <c r="CM666" s="79"/>
      <c r="CN666" s="79"/>
      <c r="CO666" s="79"/>
      <c r="CP666" s="79"/>
      <c r="CQ666" s="79"/>
      <c r="CR666" s="83" t="s">
        <v>179</v>
      </c>
      <c r="CS666" s="83" t="s">
        <v>179</v>
      </c>
      <c r="CT666" s="83" t="s">
        <v>179</v>
      </c>
      <c r="CU666" s="83" t="s">
        <v>179</v>
      </c>
      <c r="CV666" s="83" t="s">
        <v>179</v>
      </c>
      <c r="CW666" s="83" t="s">
        <v>179</v>
      </c>
      <c r="CX666" s="79" t="s">
        <v>153</v>
      </c>
      <c r="CY666" s="79">
        <f t="shared" si="664"/>
        <v>0</v>
      </c>
      <c r="CZ666" s="79">
        <v>0</v>
      </c>
      <c r="DA666" s="79">
        <f t="shared" si="665"/>
        <v>0</v>
      </c>
      <c r="DB666" s="84" t="str">
        <f t="shared" si="666"/>
        <v/>
      </c>
      <c r="DC666" s="41"/>
      <c r="DD666" s="79" t="s">
        <v>153</v>
      </c>
      <c r="DE666" s="71"/>
      <c r="DF666" s="127" t="s">
        <v>4657</v>
      </c>
      <c r="DG666" s="79">
        <v>655</v>
      </c>
      <c r="DH666" s="86" t="str">
        <f t="shared" si="667"/>
        <v>Completo</v>
      </c>
      <c r="DI666" s="79" t="s">
        <v>181</v>
      </c>
      <c r="DJ666" s="79" t="s">
        <v>182</v>
      </c>
      <c r="DK666" s="79"/>
      <c r="DL666" s="79">
        <v>0</v>
      </c>
      <c r="DM666" s="79">
        <v>0</v>
      </c>
      <c r="DN666" s="79" t="s">
        <v>182</v>
      </c>
      <c r="DO666" s="79"/>
      <c r="DP666" s="79"/>
      <c r="DQ666" s="79"/>
      <c r="DR666" s="75" t="str">
        <f t="shared" si="668"/>
        <v>No aplica</v>
      </c>
      <c r="DS666" s="79"/>
      <c r="DT666" s="79"/>
      <c r="DU666" s="75" t="str">
        <f t="shared" si="669"/>
        <v>No aplica</v>
      </c>
      <c r="DV666" s="79" t="s">
        <v>182</v>
      </c>
      <c r="DW666" s="79" t="s">
        <v>182</v>
      </c>
      <c r="DX666" s="79"/>
      <c r="DY666" s="79"/>
      <c r="DZ666" s="79"/>
      <c r="EA666" s="79"/>
      <c r="EB666" s="79"/>
      <c r="EC666" s="79"/>
      <c r="ED666" s="79" t="s">
        <v>3732</v>
      </c>
      <c r="EE666" s="79" t="str">
        <f t="shared" si="670"/>
        <v>Completo</v>
      </c>
      <c r="EF666" s="41"/>
      <c r="EG666" s="79" t="s">
        <v>153</v>
      </c>
      <c r="EH666" s="71"/>
      <c r="EI666" s="80"/>
      <c r="EJ666" s="71"/>
      <c r="EK666" s="79"/>
      <c r="EL666" s="87" t="str">
        <f t="shared" si="671"/>
        <v>No requiere</v>
      </c>
      <c r="EM666" s="87" t="str">
        <f t="shared" si="672"/>
        <v>No requiere</v>
      </c>
      <c r="EN666" s="87" t="str">
        <f t="shared" si="673"/>
        <v>No requiere</v>
      </c>
      <c r="EO666" s="71"/>
      <c r="EP666" s="84" t="str">
        <f t="shared" si="674"/>
        <v>No requiere</v>
      </c>
      <c r="EQ666" s="88" t="str">
        <f t="shared" si="675"/>
        <v>No requiere</v>
      </c>
      <c r="ER666" s="71"/>
      <c r="ES666" s="79"/>
      <c r="ET666" s="84" t="str">
        <f t="shared" si="676"/>
        <v>No requiere</v>
      </c>
      <c r="EU666" s="84" t="str">
        <f t="shared" si="677"/>
        <v>No requiere</v>
      </c>
      <c r="EV666" s="84" t="str">
        <f t="shared" si="678"/>
        <v>No requiere</v>
      </c>
      <c r="EW666" s="84" t="str">
        <f t="shared" si="679"/>
        <v>No requiere</v>
      </c>
      <c r="EX666" s="78"/>
      <c r="EY666" s="78"/>
    </row>
    <row r="667" spans="1:155" ht="46.5" customHeight="1">
      <c r="A667" s="79" t="str">
        <v/>
      </c>
      <c r="B667" s="80" t="s">
        <v>4658</v>
      </c>
      <c r="C667" s="81">
        <v>45476</v>
      </c>
      <c r="D667" s="82">
        <v>0.41666666666666669</v>
      </c>
      <c r="E667" s="79" t="s">
        <v>151</v>
      </c>
      <c r="F667" s="79" t="s">
        <v>152</v>
      </c>
      <c r="G667" s="79" t="s">
        <v>152</v>
      </c>
      <c r="H667" s="79" t="s">
        <v>152</v>
      </c>
      <c r="I667" s="79" t="s">
        <v>152</v>
      </c>
      <c r="J667" s="79" t="s">
        <v>251</v>
      </c>
      <c r="K667" s="79" t="s">
        <v>155</v>
      </c>
      <c r="L667" s="80" t="s">
        <v>4659</v>
      </c>
      <c r="M667" s="80" t="s">
        <v>157</v>
      </c>
      <c r="N667" s="79" t="s">
        <v>373</v>
      </c>
      <c r="O667" s="80" t="str">
        <f>_xlfn.TEXTJOIN(", ",TRUE,P667:AN667)</f>
        <v>Diego Alejandro Camacho, Mónica Lyzeth Cantor, Yeiker Guerra Sarmiento, Laura Camila Bechara</v>
      </c>
      <c r="P667" s="79" t="s">
        <v>422</v>
      </c>
      <c r="Q667" s="79" t="s">
        <v>346</v>
      </c>
      <c r="R667" s="79" t="s">
        <v>163</v>
      </c>
      <c r="S667" s="79" t="s">
        <v>887</v>
      </c>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t="s">
        <v>169</v>
      </c>
      <c r="AP667" s="79" t="s">
        <v>170</v>
      </c>
      <c r="AQ667" s="80" t="s">
        <v>4496</v>
      </c>
      <c r="AR667" s="83" t="s">
        <v>4496</v>
      </c>
      <c r="AS667" s="80" t="s">
        <v>4496</v>
      </c>
      <c r="AT667" s="80" t="str">
        <f>_xlfn.TEXTJOIN(", ",TRUE,$AU667:$AY667)</f>
        <v>Distrital</v>
      </c>
      <c r="AU667" s="79" t="s">
        <v>172</v>
      </c>
      <c r="AV667" s="79"/>
      <c r="AW667" s="79"/>
      <c r="AX667" s="79"/>
      <c r="AY667" s="79"/>
      <c r="AZ667" s="79"/>
      <c r="BA667" s="80" t="str">
        <f>_xlfn.TEXTJOIN(", ",TRUE,$BB667:$BG667)</f>
        <v>Distrital</v>
      </c>
      <c r="BB667" s="79" t="s">
        <v>172</v>
      </c>
      <c r="BC667" s="79"/>
      <c r="BD667" s="79"/>
      <c r="BE667" s="79"/>
      <c r="BF667" s="79"/>
      <c r="BG667" s="79"/>
      <c r="BH667" s="80" t="str">
        <f>_xlfn.TEXTJOIN(", ",TRUE,$BI667:$BR667)</f>
        <v>Distrital</v>
      </c>
      <c r="BI667" s="79" t="s">
        <v>172</v>
      </c>
      <c r="BJ667" s="79"/>
      <c r="BK667" s="79"/>
      <c r="BL667" s="79"/>
      <c r="BM667" s="79"/>
      <c r="BN667" s="79"/>
      <c r="BO667" s="79"/>
      <c r="BP667" s="79"/>
      <c r="BQ667" s="79"/>
      <c r="BR667" s="79"/>
      <c r="BS667" s="80" t="s">
        <v>288</v>
      </c>
      <c r="BT667" s="80" t="s">
        <v>174</v>
      </c>
      <c r="BU667" s="80" t="s">
        <v>4660</v>
      </c>
      <c r="BV667" s="71"/>
      <c r="BW667" s="79" t="s">
        <v>152</v>
      </c>
      <c r="BX667" s="79" t="s">
        <v>179</v>
      </c>
      <c r="BY667" s="71"/>
      <c r="BZ667" s="79">
        <v>0</v>
      </c>
      <c r="CA667" s="79">
        <v>20</v>
      </c>
      <c r="CB667" s="79">
        <f>BZ667+CA667</f>
        <v>20</v>
      </c>
      <c r="CC667" s="79" t="str">
        <f>_xlfn.TEXTJOIN(", ",TRUE,$CD667:$CF667)</f>
        <v>Ninguna</v>
      </c>
      <c r="CD667" s="79" t="s">
        <v>174</v>
      </c>
      <c r="CE667" s="79"/>
      <c r="CF667" s="79"/>
      <c r="CG667" s="83" t="s">
        <v>4661</v>
      </c>
      <c r="CH667" s="41"/>
      <c r="CI667" s="79" t="s">
        <v>153</v>
      </c>
      <c r="CJ667" s="71"/>
      <c r="CK667" s="79">
        <f>COUNTIF(CL667:CQ667,"*")</f>
        <v>0</v>
      </c>
      <c r="CL667" s="79"/>
      <c r="CM667" s="79"/>
      <c r="CN667" s="79"/>
      <c r="CO667" s="79"/>
      <c r="CP667" s="79"/>
      <c r="CQ667" s="79"/>
      <c r="CR667" s="83" t="s">
        <v>179</v>
      </c>
      <c r="CS667" s="83" t="s">
        <v>179</v>
      </c>
      <c r="CT667" s="83" t="s">
        <v>179</v>
      </c>
      <c r="CU667" s="83" t="s">
        <v>179</v>
      </c>
      <c r="CV667" s="83" t="s">
        <v>179</v>
      </c>
      <c r="CW667" s="83" t="s">
        <v>179</v>
      </c>
      <c r="CX667" s="79" t="s">
        <v>153</v>
      </c>
      <c r="CY667" s="79">
        <f>SUM(COUNTIF(CR667:CW667,"Realizado y Devuelto a la Ciudadanía"),COUNTIF(CR667:CW667,"Realizado y Trasladado por competencia"), COUNTIF(CR667:CW667,"Realizado y Gestionado"))</f>
        <v>0</v>
      </c>
      <c r="CZ667" s="79">
        <v>0</v>
      </c>
      <c r="DA667" s="79">
        <f>COUNTIF(CR667:CW667,"Realizado y Devuelto a la Ciudadanía")</f>
        <v>0</v>
      </c>
      <c r="DB667" s="84" t="str">
        <f>IFERROR(CY667/CK667,"")</f>
        <v/>
      </c>
      <c r="DC667" s="41"/>
      <c r="DD667" s="79" t="s">
        <v>153</v>
      </c>
      <c r="DE667" s="71"/>
      <c r="DF667" s="127" t="s">
        <v>4662</v>
      </c>
      <c r="DG667" s="79">
        <v>656</v>
      </c>
      <c r="DH667" s="86" t="str">
        <f>IF(EE667="Por completar",C667+3,"Completo")</f>
        <v>Completo</v>
      </c>
      <c r="DI667" s="79" t="s">
        <v>181</v>
      </c>
      <c r="DJ667" s="79" t="s">
        <v>182</v>
      </c>
      <c r="DK667" s="79"/>
      <c r="DL667" s="79">
        <v>0</v>
      </c>
      <c r="DM667" s="79">
        <v>0</v>
      </c>
      <c r="DN667" s="79" t="s">
        <v>182</v>
      </c>
      <c r="DO667" s="79"/>
      <c r="DP667" s="79"/>
      <c r="DQ667" s="79"/>
      <c r="DR667" s="75" t="str">
        <f>IF(H667="SÍ", (DQ667/(BZ667*0.3)), "No aplica")</f>
        <v>No aplica</v>
      </c>
      <c r="DS667" s="79"/>
      <c r="DT667" s="79"/>
      <c r="DU667" s="75" t="str">
        <f>IF(H667="SÍ", (DT667/(BZ667*0.35)), "No aplica")</f>
        <v>No aplica</v>
      </c>
      <c r="DV667" s="79" t="s">
        <v>182</v>
      </c>
      <c r="DW667" s="79"/>
      <c r="DX667" s="79"/>
      <c r="DY667" s="79"/>
      <c r="DZ667" s="79"/>
      <c r="EA667" s="79"/>
      <c r="EB667" s="79"/>
      <c r="EC667" s="79"/>
      <c r="ED667" s="79" t="s">
        <v>4663</v>
      </c>
      <c r="EE667" s="79" t="str">
        <f>IF(DI667="Subsanado","Completo","Por Completar")</f>
        <v>Completo</v>
      </c>
      <c r="EF667" s="41"/>
      <c r="EG667" s="79" t="s">
        <v>153</v>
      </c>
      <c r="EH667" s="71"/>
      <c r="EI667" s="80"/>
      <c r="EJ667" s="71"/>
      <c r="EK667" s="79"/>
      <c r="EL667" s="87" t="str">
        <f>IF(F667="NO","No requiere",IF(H667="No","No requiere",IF(DW667="","",IF(DW667&lt;&gt;"No aplica",IF(DX667&lt;&gt;"No aplica",IF(DX667&gt;=2,"Sí","No"),"No aplica"),"No aplica"))))</f>
        <v>No requiere</v>
      </c>
      <c r="EM667" s="87" t="str">
        <f>IF(F667="NO","No requiere",IF(H667="No","No requiere",IF(DW667="","",IF(DW667&lt;&gt;"No aplica",IF(DY667&lt;&gt;"No aplica",IF(DY667&gt;=1,"Sí","No"),"No aplica"),"No aplica"))))</f>
        <v>No requiere</v>
      </c>
      <c r="EN667" s="87" t="str">
        <f>IF(F667="NO","No requiere",IF(H667="No","No requiere",IF(CC667="","",IF(CD667&lt;&gt;"No aplica",IF(CD667&lt;&gt;"Ninguna",IF(COUNTIF(CD667:CF667,"*")&gt;=1,"Sí","No"),"No"),"No aplica"))))</f>
        <v>No requiere</v>
      </c>
      <c r="EO667" s="71"/>
      <c r="EP667" s="84" t="str">
        <f>IF(F667="NO","No requiere",IF(H667="No","No requiere",IF(DL667="","",IF(DL667&gt;=1,DM667/DL667,"No aplica"))))</f>
        <v>No requiere</v>
      </c>
      <c r="EQ667" s="88" t="str">
        <f>IFERROR(IF(F667="NO","No requiere",IF(H667="No","No requiere",DU667)),"")</f>
        <v>No requiere</v>
      </c>
      <c r="ER667" s="71"/>
      <c r="ES667" s="79"/>
      <c r="ET667" s="84" t="str">
        <f>IF(F667="NO","No requiere",IF(H667="No","No requiere",IFERROR(COUNTIF(DJ667:DW667,"Completo")/SUM(COUNTIF(DJ667:DW667,"Completo"),COUNTIF(DJ667:DW667,"Incompleto"),COUNTIF(DJ667:DW667,"No subido"),COUNTIF(DJ667:DW667,"No existente"),COUNTIF(DJ667:DW667,"Pendiente")),"")))</f>
        <v>No requiere</v>
      </c>
      <c r="EU667" s="84" t="str">
        <f>IF(F667="NO","No requiere",IF(H667="No","No requiere",IF(B667="","",IF(CX667="SÍ",IF(CK667&gt;=1,CY667/CK667,"Sin compromisos"),"Por verificar"))))</f>
        <v>No requiere</v>
      </c>
      <c r="EV667" s="84" t="str">
        <f>IF(EU667="Por verificar","Por verificar",IF(F667="NO","No requiere",IF(H667="No","No requiere",IFERROR(IF(EU667="","",IF(CK667&gt;=1,DA667/CZ667,"No aplica")),"No aplica"))))</f>
        <v>No requiere</v>
      </c>
      <c r="EW667" s="84" t="str">
        <f>IF(F667="NO","No requiere",IF(H667="No","No requiere",IFERROR(IF(BZ667="","",IF(EA667&lt;&gt;"No aplica",IF(EA667&gt;=1,DO667/EA667,"0%"),"No aplica")),"")))</f>
        <v>No requiere</v>
      </c>
      <c r="EX667" s="78"/>
      <c r="EY667" s="78"/>
    </row>
    <row r="668" spans="1:155" ht="46.5" customHeight="1">
      <c r="A668" s="79">
        <v>664</v>
      </c>
      <c r="B668" s="80" t="s">
        <v>718</v>
      </c>
      <c r="C668" s="81">
        <v>45476</v>
      </c>
      <c r="D668" s="82">
        <v>0.58333333333333337</v>
      </c>
      <c r="E668" s="79" t="s">
        <v>200</v>
      </c>
      <c r="F668" s="79" t="s">
        <v>153</v>
      </c>
      <c r="G668" s="79" t="s">
        <v>152</v>
      </c>
      <c r="H668" s="79" t="s">
        <v>152</v>
      </c>
      <c r="I668" s="79" t="s">
        <v>152</v>
      </c>
      <c r="J668" s="79" t="s">
        <v>504</v>
      </c>
      <c r="K668" s="79" t="s">
        <v>155</v>
      </c>
      <c r="L668" s="80" t="s">
        <v>4664</v>
      </c>
      <c r="M668" s="80" t="s">
        <v>624</v>
      </c>
      <c r="N668" s="79" t="s">
        <v>720</v>
      </c>
      <c r="O668" s="80" t="str">
        <f t="shared" si="661"/>
        <v/>
      </c>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t="s">
        <v>169</v>
      </c>
      <c r="AP668" s="79" t="s">
        <v>2702</v>
      </c>
      <c r="AQ668" s="80" t="s">
        <v>4665</v>
      </c>
      <c r="AR668" s="83" t="s">
        <v>996</v>
      </c>
      <c r="AS668" s="80" t="s">
        <v>2963</v>
      </c>
      <c r="AT668" s="80" t="str">
        <f t="shared" si="680"/>
        <v>Rafael Uribe Uribe</v>
      </c>
      <c r="AU668" s="79" t="s">
        <v>635</v>
      </c>
      <c r="AV668" s="79"/>
      <c r="AW668" s="79"/>
      <c r="AX668" s="79"/>
      <c r="AY668" s="79"/>
      <c r="AZ668" s="79"/>
      <c r="BA668" s="80" t="str">
        <f t="shared" si="681"/>
        <v>Suroriente, Centro Ampliado</v>
      </c>
      <c r="BB668" s="79" t="s">
        <v>218</v>
      </c>
      <c r="BC668" s="79" t="s">
        <v>636</v>
      </c>
      <c r="BD668" s="79"/>
      <c r="BE668" s="79"/>
      <c r="BF668" s="79"/>
      <c r="BG668" s="79"/>
      <c r="BH668" s="80" t="str">
        <f t="shared" si="563"/>
        <v>Restrepo, Rafael Uribe, San Cristobal</v>
      </c>
      <c r="BI668" s="79" t="s">
        <v>637</v>
      </c>
      <c r="BJ668" s="79" t="s">
        <v>723</v>
      </c>
      <c r="BK668" s="79" t="s">
        <v>571</v>
      </c>
      <c r="BL668" s="79"/>
      <c r="BM668" s="79"/>
      <c r="BN668" s="79"/>
      <c r="BO668" s="79"/>
      <c r="BP668" s="79"/>
      <c r="BQ668" s="79"/>
      <c r="BR668" s="79"/>
      <c r="BS668" s="80" t="s">
        <v>2059</v>
      </c>
      <c r="BT668" s="80" t="s">
        <v>174</v>
      </c>
      <c r="BU668" s="80" t="s">
        <v>4666</v>
      </c>
      <c r="BV668" s="71"/>
      <c r="BW668" s="79" t="s">
        <v>152</v>
      </c>
      <c r="BX668" s="79" t="s">
        <v>179</v>
      </c>
      <c r="BY668" s="71"/>
      <c r="BZ668" s="79">
        <v>19</v>
      </c>
      <c r="CA668" s="79">
        <v>1</v>
      </c>
      <c r="CB668" s="79">
        <f t="shared" si="662"/>
        <v>20</v>
      </c>
      <c r="CC668" s="79" t="str">
        <f t="shared" si="382"/>
        <v>Ninguna</v>
      </c>
      <c r="CD668" s="79" t="s">
        <v>174</v>
      </c>
      <c r="CE668" s="79"/>
      <c r="CF668" s="79"/>
      <c r="CG668" s="83" t="s">
        <v>4667</v>
      </c>
      <c r="CH668" s="41"/>
      <c r="CI668" s="79" t="s">
        <v>153</v>
      </c>
      <c r="CJ668" s="71"/>
      <c r="CK668" s="79">
        <f t="shared" si="663"/>
        <v>0</v>
      </c>
      <c r="CL668" s="79"/>
      <c r="CM668" s="79"/>
      <c r="CN668" s="79"/>
      <c r="CO668" s="79"/>
      <c r="CP668" s="79"/>
      <c r="CQ668" s="79"/>
      <c r="CR668" s="83" t="s">
        <v>179</v>
      </c>
      <c r="CS668" s="83" t="s">
        <v>179</v>
      </c>
      <c r="CT668" s="83" t="s">
        <v>179</v>
      </c>
      <c r="CU668" s="83" t="s">
        <v>179</v>
      </c>
      <c r="CV668" s="83" t="s">
        <v>179</v>
      </c>
      <c r="CW668" s="83" t="s">
        <v>179</v>
      </c>
      <c r="CX668" s="79" t="s">
        <v>153</v>
      </c>
      <c r="CY668" s="79">
        <f t="shared" si="664"/>
        <v>0</v>
      </c>
      <c r="CZ668" s="79">
        <v>0</v>
      </c>
      <c r="DA668" s="79">
        <f t="shared" si="665"/>
        <v>0</v>
      </c>
      <c r="DB668" s="84" t="str">
        <f t="shared" si="666"/>
        <v/>
      </c>
      <c r="DC668" s="41"/>
      <c r="DD668" s="79" t="s">
        <v>153</v>
      </c>
      <c r="DE668" s="71"/>
      <c r="DF668" s="127" t="s">
        <v>4657</v>
      </c>
      <c r="DG668" s="79">
        <v>657</v>
      </c>
      <c r="DH668" s="86" t="str">
        <f t="shared" si="667"/>
        <v>Completo</v>
      </c>
      <c r="DI668" s="79" t="s">
        <v>181</v>
      </c>
      <c r="DJ668" s="79" t="s">
        <v>182</v>
      </c>
      <c r="DK668" s="79"/>
      <c r="DL668" s="79">
        <v>0</v>
      </c>
      <c r="DM668" s="79">
        <v>0</v>
      </c>
      <c r="DN668" s="79" t="s">
        <v>182</v>
      </c>
      <c r="DO668" s="79"/>
      <c r="DP668" s="79"/>
      <c r="DQ668" s="79"/>
      <c r="DR668" s="75" t="str">
        <f t="shared" si="668"/>
        <v>No aplica</v>
      </c>
      <c r="DS668" s="79"/>
      <c r="DT668" s="79"/>
      <c r="DU668" s="75" t="str">
        <f t="shared" si="669"/>
        <v>No aplica</v>
      </c>
      <c r="DV668" s="79" t="s">
        <v>182</v>
      </c>
      <c r="DW668" s="79" t="s">
        <v>182</v>
      </c>
      <c r="DX668" s="79"/>
      <c r="DY668" s="79"/>
      <c r="DZ668" s="79"/>
      <c r="EA668" s="79"/>
      <c r="EB668" s="79"/>
      <c r="EC668" s="79"/>
      <c r="ED668" s="79" t="s">
        <v>4668</v>
      </c>
      <c r="EE668" s="79" t="str">
        <f t="shared" si="670"/>
        <v>Completo</v>
      </c>
      <c r="EF668" s="41"/>
      <c r="EG668" s="79" t="s">
        <v>153</v>
      </c>
      <c r="EH668" s="71"/>
      <c r="EI668" s="80"/>
      <c r="EJ668" s="71"/>
      <c r="EK668" s="79"/>
      <c r="EL668" s="87" t="str">
        <f t="shared" si="671"/>
        <v>No requiere</v>
      </c>
      <c r="EM668" s="87" t="str">
        <f t="shared" si="672"/>
        <v>No requiere</v>
      </c>
      <c r="EN668" s="87" t="str">
        <f t="shared" si="673"/>
        <v>No requiere</v>
      </c>
      <c r="EO668" s="71"/>
      <c r="EP668" s="84" t="str">
        <f t="shared" si="674"/>
        <v>No requiere</v>
      </c>
      <c r="EQ668" s="88" t="str">
        <f t="shared" si="675"/>
        <v>No requiere</v>
      </c>
      <c r="ER668" s="71"/>
      <c r="ES668" s="79"/>
      <c r="ET668" s="84" t="str">
        <f t="shared" si="676"/>
        <v>No requiere</v>
      </c>
      <c r="EU668" s="84" t="str">
        <f t="shared" si="677"/>
        <v>No requiere</v>
      </c>
      <c r="EV668" s="84" t="str">
        <f t="shared" si="678"/>
        <v>No requiere</v>
      </c>
      <c r="EW668" s="84" t="str">
        <f t="shared" si="679"/>
        <v>No requiere</v>
      </c>
      <c r="EX668" s="78"/>
      <c r="EY668" s="78"/>
    </row>
    <row r="669" spans="1:155" ht="46.5" customHeight="1">
      <c r="A669" s="79">
        <v>665</v>
      </c>
      <c r="B669" s="80" t="s">
        <v>4669</v>
      </c>
      <c r="C669" s="81">
        <v>45476</v>
      </c>
      <c r="D669" s="82">
        <v>0.625</v>
      </c>
      <c r="E669" s="79" t="s">
        <v>151</v>
      </c>
      <c r="F669" s="79" t="s">
        <v>153</v>
      </c>
      <c r="G669" s="79" t="s">
        <v>153</v>
      </c>
      <c r="H669" s="79" t="s">
        <v>152</v>
      </c>
      <c r="I669" s="79" t="s">
        <v>152</v>
      </c>
      <c r="J669" s="79" t="s">
        <v>3999</v>
      </c>
      <c r="K669" s="79" t="s">
        <v>155</v>
      </c>
      <c r="L669" s="80" t="s">
        <v>4670</v>
      </c>
      <c r="M669" s="80" t="s">
        <v>241</v>
      </c>
      <c r="N669" s="79" t="s">
        <v>1611</v>
      </c>
      <c r="O669" s="80" t="str">
        <f t="shared" si="661"/>
        <v/>
      </c>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t="s">
        <v>230</v>
      </c>
      <c r="AP669" s="79" t="s">
        <v>231</v>
      </c>
      <c r="AQ669" s="80" t="s">
        <v>4671</v>
      </c>
      <c r="AR669" s="83" t="s">
        <v>4672</v>
      </c>
      <c r="AS669" s="80" t="s">
        <v>1989</v>
      </c>
      <c r="AT669" s="80" t="str">
        <f t="shared" si="680"/>
        <v>Usaquén</v>
      </c>
      <c r="AU669" s="79" t="s">
        <v>661</v>
      </c>
      <c r="AV669" s="79"/>
      <c r="AW669" s="79"/>
      <c r="AX669" s="79"/>
      <c r="AY669" s="79"/>
      <c r="AZ669" s="79"/>
      <c r="BA669" s="80" t="str">
        <f t="shared" si="681"/>
        <v>Norte</v>
      </c>
      <c r="BB669" s="79" t="s">
        <v>662</v>
      </c>
      <c r="BC669" s="79"/>
      <c r="BD669" s="79"/>
      <c r="BE669" s="79"/>
      <c r="BF669" s="79"/>
      <c r="BG669" s="79"/>
      <c r="BH669" s="80" t="str">
        <f t="shared" si="563"/>
        <v>Usaquén, Toberín, Torca, Cerros Orientales</v>
      </c>
      <c r="BI669" s="79" t="s">
        <v>661</v>
      </c>
      <c r="BJ669" s="79" t="s">
        <v>804</v>
      </c>
      <c r="BK669" s="79" t="s">
        <v>805</v>
      </c>
      <c r="BL669" s="79" t="s">
        <v>361</v>
      </c>
      <c r="BM669" s="79"/>
      <c r="BN669" s="79"/>
      <c r="BO669" s="79"/>
      <c r="BP669" s="79"/>
      <c r="BQ669" s="79"/>
      <c r="BR669" s="79"/>
      <c r="BS669" s="80" t="s">
        <v>288</v>
      </c>
      <c r="BT669" s="80" t="s">
        <v>174</v>
      </c>
      <c r="BU669" s="80" t="s">
        <v>4673</v>
      </c>
      <c r="BV669" s="71"/>
      <c r="BW669" s="79" t="s">
        <v>152</v>
      </c>
      <c r="BX669" s="79" t="s">
        <v>179</v>
      </c>
      <c r="BY669" s="71"/>
      <c r="BZ669" s="79">
        <v>8</v>
      </c>
      <c r="CA669" s="79">
        <v>1</v>
      </c>
      <c r="CB669" s="79">
        <f t="shared" si="662"/>
        <v>9</v>
      </c>
      <c r="CC669" s="79" t="str">
        <f t="shared" si="382"/>
        <v>Horarios Acordes</v>
      </c>
      <c r="CD669" s="79" t="s">
        <v>351</v>
      </c>
      <c r="CE669" s="79"/>
      <c r="CF669" s="79"/>
      <c r="CG669" s="83" t="s">
        <v>4674</v>
      </c>
      <c r="CH669" s="41"/>
      <c r="CI669" s="79" t="s">
        <v>153</v>
      </c>
      <c r="CJ669" s="71"/>
      <c r="CK669" s="79">
        <f t="shared" si="663"/>
        <v>0</v>
      </c>
      <c r="CL669" s="79"/>
      <c r="CM669" s="79"/>
      <c r="CN669" s="79"/>
      <c r="CO669" s="79"/>
      <c r="CP669" s="79"/>
      <c r="CQ669" s="79"/>
      <c r="CR669" s="83" t="s">
        <v>179</v>
      </c>
      <c r="CS669" s="83" t="s">
        <v>179</v>
      </c>
      <c r="CT669" s="83" t="s">
        <v>179</v>
      </c>
      <c r="CU669" s="83" t="s">
        <v>179</v>
      </c>
      <c r="CV669" s="83" t="s">
        <v>179</v>
      </c>
      <c r="CW669" s="83" t="s">
        <v>179</v>
      </c>
      <c r="CX669" s="79" t="s">
        <v>153</v>
      </c>
      <c r="CY669" s="79">
        <f t="shared" si="664"/>
        <v>0</v>
      </c>
      <c r="CZ669" s="79">
        <v>0</v>
      </c>
      <c r="DA669" s="79">
        <f t="shared" si="665"/>
        <v>0</v>
      </c>
      <c r="DB669" s="84" t="str">
        <f t="shared" si="666"/>
        <v/>
      </c>
      <c r="DC669" s="41"/>
      <c r="DD669" s="79" t="s">
        <v>153</v>
      </c>
      <c r="DE669" s="71"/>
      <c r="DF669" s="127" t="s">
        <v>4675</v>
      </c>
      <c r="DG669" s="79">
        <v>658</v>
      </c>
      <c r="DH669" s="86" t="str">
        <f t="shared" si="667"/>
        <v>Completo</v>
      </c>
      <c r="DI669" s="79" t="s">
        <v>181</v>
      </c>
      <c r="DJ669" s="79" t="s">
        <v>182</v>
      </c>
      <c r="DK669" s="79"/>
      <c r="DL669" s="79">
        <v>0</v>
      </c>
      <c r="DM669" s="79">
        <v>0</v>
      </c>
      <c r="DN669" s="79" t="s">
        <v>182</v>
      </c>
      <c r="DO669" s="79">
        <v>8</v>
      </c>
      <c r="DP669" s="79"/>
      <c r="DQ669" s="79"/>
      <c r="DR669" s="75" t="str">
        <f t="shared" si="668"/>
        <v>No aplica</v>
      </c>
      <c r="DS669" s="79"/>
      <c r="DT669" s="79"/>
      <c r="DU669" s="75" t="str">
        <f t="shared" si="669"/>
        <v>No aplica</v>
      </c>
      <c r="DV669" s="79" t="s">
        <v>182</v>
      </c>
      <c r="DW669" s="79"/>
      <c r="DX669" s="79"/>
      <c r="DY669" s="79"/>
      <c r="DZ669" s="79"/>
      <c r="EA669" s="79"/>
      <c r="EB669" s="79"/>
      <c r="EC669" s="79"/>
      <c r="ED669" s="79" t="s">
        <v>3912</v>
      </c>
      <c r="EE669" s="79" t="str">
        <f t="shared" si="670"/>
        <v>Completo</v>
      </c>
      <c r="EF669" s="41"/>
      <c r="EG669" s="79" t="s">
        <v>153</v>
      </c>
      <c r="EH669" s="71"/>
      <c r="EI669" s="80"/>
      <c r="EJ669" s="71"/>
      <c r="EK669" s="79"/>
      <c r="EL669" s="87" t="str">
        <f t="shared" si="671"/>
        <v>No requiere</v>
      </c>
      <c r="EM669" s="87" t="str">
        <f t="shared" si="672"/>
        <v>No requiere</v>
      </c>
      <c r="EN669" s="87" t="str">
        <f t="shared" si="673"/>
        <v>No requiere</v>
      </c>
      <c r="EO669" s="71"/>
      <c r="EP669" s="84" t="str">
        <f t="shared" si="674"/>
        <v>No requiere</v>
      </c>
      <c r="EQ669" s="88" t="str">
        <f t="shared" si="675"/>
        <v>No requiere</v>
      </c>
      <c r="ER669" s="71"/>
      <c r="ES669" s="79"/>
      <c r="ET669" s="84" t="str">
        <f t="shared" si="676"/>
        <v>No requiere</v>
      </c>
      <c r="EU669" s="84" t="str">
        <f t="shared" si="677"/>
        <v>No requiere</v>
      </c>
      <c r="EV669" s="84" t="str">
        <f t="shared" si="678"/>
        <v>No requiere</v>
      </c>
      <c r="EW669" s="84" t="str">
        <f t="shared" si="679"/>
        <v>No requiere</v>
      </c>
      <c r="EX669" s="78"/>
      <c r="EY669" s="78"/>
    </row>
    <row r="670" spans="1:155" ht="46.5" customHeight="1">
      <c r="A670" s="79">
        <v>666</v>
      </c>
      <c r="B670" s="80" t="s">
        <v>4676</v>
      </c>
      <c r="C670" s="81">
        <v>45476</v>
      </c>
      <c r="D670" s="82">
        <v>0.75</v>
      </c>
      <c r="E670" s="79" t="s">
        <v>151</v>
      </c>
      <c r="F670" s="79" t="s">
        <v>153</v>
      </c>
      <c r="G670" s="79" t="s">
        <v>152</v>
      </c>
      <c r="H670" s="79" t="s">
        <v>152</v>
      </c>
      <c r="I670" s="79" t="s">
        <v>153</v>
      </c>
      <c r="J670" s="79" t="s">
        <v>227</v>
      </c>
      <c r="K670" s="79" t="s">
        <v>202</v>
      </c>
      <c r="L670" s="80" t="s">
        <v>4677</v>
      </c>
      <c r="M670" s="80" t="s">
        <v>303</v>
      </c>
      <c r="N670" s="79" t="s">
        <v>1387</v>
      </c>
      <c r="O670" s="80" t="str">
        <f t="shared" si="661"/>
        <v/>
      </c>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t="s">
        <v>304</v>
      </c>
      <c r="AP670" s="79"/>
      <c r="AQ670" s="80" t="s">
        <v>4678</v>
      </c>
      <c r="AR670" s="83" t="s">
        <v>4050</v>
      </c>
      <c r="AS670" s="80" t="s">
        <v>3219</v>
      </c>
      <c r="AT670" s="80" t="str">
        <f t="shared" si="680"/>
        <v>Barrios Unidos</v>
      </c>
      <c r="AU670" s="79" t="s">
        <v>1031</v>
      </c>
      <c r="AV670" s="79"/>
      <c r="AW670" s="79"/>
      <c r="AX670" s="79"/>
      <c r="AY670" s="79"/>
      <c r="AZ670" s="79"/>
      <c r="BA670" s="80" t="str">
        <f t="shared" si="681"/>
        <v>Centro Ampliado</v>
      </c>
      <c r="BB670" s="79" t="s">
        <v>636</v>
      </c>
      <c r="BC670" s="79"/>
      <c r="BD670" s="79"/>
      <c r="BE670" s="79"/>
      <c r="BF670" s="79"/>
      <c r="BG670" s="79"/>
      <c r="BH670" s="80" t="str">
        <f t="shared" si="563"/>
        <v>Barrios Unidos</v>
      </c>
      <c r="BI670" s="79" t="s">
        <v>1031</v>
      </c>
      <c r="BJ670" s="79"/>
      <c r="BK670" s="79"/>
      <c r="BL670" s="79"/>
      <c r="BM670" s="79"/>
      <c r="BN670" s="79"/>
      <c r="BO670" s="79"/>
      <c r="BP670" s="79"/>
      <c r="BQ670" s="79"/>
      <c r="BR670" s="79"/>
      <c r="BS670" s="80" t="s">
        <v>288</v>
      </c>
      <c r="BT670" s="80" t="s">
        <v>174</v>
      </c>
      <c r="BU670" s="80" t="s">
        <v>4679</v>
      </c>
      <c r="BV670" s="71"/>
      <c r="BW670" s="79" t="s">
        <v>152</v>
      </c>
      <c r="BX670" s="79" t="s">
        <v>179</v>
      </c>
      <c r="BY670" s="71"/>
      <c r="BZ670" s="79">
        <v>40</v>
      </c>
      <c r="CA670" s="79">
        <v>1</v>
      </c>
      <c r="CB670" s="79">
        <f t="shared" si="662"/>
        <v>41</v>
      </c>
      <c r="CC670" s="79" t="str">
        <f t="shared" si="382"/>
        <v>Ninguna</v>
      </c>
      <c r="CD670" s="79" t="s">
        <v>174</v>
      </c>
      <c r="CE670" s="79"/>
      <c r="CF670" s="79"/>
      <c r="CG670" s="83" t="s">
        <v>4680</v>
      </c>
      <c r="CH670" s="41"/>
      <c r="CI670" s="79"/>
      <c r="CJ670" s="71"/>
      <c r="CK670" s="79">
        <v>0</v>
      </c>
      <c r="CL670" s="79"/>
      <c r="CM670" s="79"/>
      <c r="CN670" s="79"/>
      <c r="CO670" s="79"/>
      <c r="CP670" s="79"/>
      <c r="CQ670" s="79"/>
      <c r="CR670" s="83" t="s">
        <v>179</v>
      </c>
      <c r="CS670" s="83" t="s">
        <v>179</v>
      </c>
      <c r="CT670" s="83" t="s">
        <v>179</v>
      </c>
      <c r="CU670" s="83" t="s">
        <v>179</v>
      </c>
      <c r="CV670" s="83" t="s">
        <v>179</v>
      </c>
      <c r="CW670" s="83" t="s">
        <v>179</v>
      </c>
      <c r="CX670" s="79" t="s">
        <v>153</v>
      </c>
      <c r="CY670" s="79">
        <f t="shared" si="664"/>
        <v>0</v>
      </c>
      <c r="CZ670" s="79">
        <v>0</v>
      </c>
      <c r="DA670" s="79">
        <f t="shared" si="665"/>
        <v>0</v>
      </c>
      <c r="DB670" s="84" t="str">
        <f t="shared" si="666"/>
        <v/>
      </c>
      <c r="DC670" s="41"/>
      <c r="DD670" s="79" t="s">
        <v>153</v>
      </c>
      <c r="DE670" s="71"/>
      <c r="DF670" s="127" t="s">
        <v>4681</v>
      </c>
      <c r="DG670" s="86" t="s">
        <v>4682</v>
      </c>
      <c r="DH670" s="86">
        <v>45479</v>
      </c>
      <c r="DI670" s="79" t="s">
        <v>181</v>
      </c>
      <c r="DJ670" s="79" t="s">
        <v>182</v>
      </c>
      <c r="DK670" s="79"/>
      <c r="DL670" s="79">
        <v>0</v>
      </c>
      <c r="DM670" s="79">
        <v>0</v>
      </c>
      <c r="DN670" s="79" t="s">
        <v>182</v>
      </c>
      <c r="DO670" s="79"/>
      <c r="DP670" s="79"/>
      <c r="DQ670" s="79"/>
      <c r="DR670" s="75" t="str">
        <f t="shared" si="668"/>
        <v>No aplica</v>
      </c>
      <c r="DS670" s="79"/>
      <c r="DT670" s="79"/>
      <c r="DU670" s="75" t="str">
        <f t="shared" si="669"/>
        <v>No aplica</v>
      </c>
      <c r="DV670" s="79" t="s">
        <v>182</v>
      </c>
      <c r="DW670" s="79" t="s">
        <v>182</v>
      </c>
      <c r="DX670" s="79"/>
      <c r="DY670" s="79"/>
      <c r="DZ670" s="79"/>
      <c r="EA670" s="79"/>
      <c r="EB670" s="79"/>
      <c r="EC670" s="79"/>
      <c r="ED670" s="79" t="s">
        <v>3866</v>
      </c>
      <c r="EE670" s="79" t="str">
        <f t="shared" si="670"/>
        <v>Completo</v>
      </c>
      <c r="EF670" s="41"/>
      <c r="EG670" s="79" t="s">
        <v>153</v>
      </c>
      <c r="EH670" s="71"/>
      <c r="EI670" s="80"/>
      <c r="EJ670" s="71"/>
      <c r="EK670" s="79"/>
      <c r="EL670" s="87" t="str">
        <f t="shared" si="671"/>
        <v>No requiere</v>
      </c>
      <c r="EM670" s="87" t="str">
        <f t="shared" si="672"/>
        <v>No requiere</v>
      </c>
      <c r="EN670" s="87" t="str">
        <f t="shared" si="673"/>
        <v>No requiere</v>
      </c>
      <c r="EO670" s="71"/>
      <c r="EP670" s="84" t="str">
        <f t="shared" si="674"/>
        <v>No requiere</v>
      </c>
      <c r="EQ670" s="88" t="str">
        <f t="shared" si="675"/>
        <v>No requiere</v>
      </c>
      <c r="ER670" s="71"/>
      <c r="ES670" s="79"/>
      <c r="ET670" s="84" t="str">
        <f t="shared" si="676"/>
        <v>No requiere</v>
      </c>
      <c r="EU670" s="84" t="str">
        <f t="shared" si="677"/>
        <v>No requiere</v>
      </c>
      <c r="EV670" s="84" t="str">
        <f t="shared" si="678"/>
        <v>No requiere</v>
      </c>
      <c r="EW670" s="84" t="str">
        <f t="shared" si="679"/>
        <v>No requiere</v>
      </c>
      <c r="EX670" s="78"/>
      <c r="EY670" s="78"/>
    </row>
    <row r="671" spans="1:155" ht="46.5" customHeight="1">
      <c r="A671" s="79">
        <v>667</v>
      </c>
      <c r="B671" s="80" t="s">
        <v>4683</v>
      </c>
      <c r="C671" s="81">
        <v>45477</v>
      </c>
      <c r="D671" s="82">
        <v>0.33333333333333331</v>
      </c>
      <c r="E671" s="79" t="s">
        <v>151</v>
      </c>
      <c r="F671" s="79" t="s">
        <v>153</v>
      </c>
      <c r="G671" s="79" t="s">
        <v>152</v>
      </c>
      <c r="H671" s="79" t="s">
        <v>152</v>
      </c>
      <c r="I671" s="79" t="s">
        <v>152</v>
      </c>
      <c r="J671" s="79" t="s">
        <v>272</v>
      </c>
      <c r="K671" s="79" t="s">
        <v>155</v>
      </c>
      <c r="L671" s="80" t="s">
        <v>4684</v>
      </c>
      <c r="M671" s="80" t="s">
        <v>303</v>
      </c>
      <c r="N671" s="79" t="s">
        <v>3049</v>
      </c>
      <c r="O671" s="80" t="str">
        <f t="shared" si="661"/>
        <v>Manuel Fernando Vergara</v>
      </c>
      <c r="P671" s="79" t="s">
        <v>820</v>
      </c>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t="s">
        <v>578</v>
      </c>
      <c r="AP671" s="79" t="s">
        <v>3481</v>
      </c>
      <c r="AQ671" s="80" t="s">
        <v>4685</v>
      </c>
      <c r="AR671" s="83">
        <v>3115769622</v>
      </c>
      <c r="AS671" s="80" t="s">
        <v>1989</v>
      </c>
      <c r="AT671" s="80" t="str">
        <f t="shared" si="680"/>
        <v>Suba</v>
      </c>
      <c r="AU671" s="79" t="s">
        <v>602</v>
      </c>
      <c r="AV671" s="79"/>
      <c r="AW671" s="79"/>
      <c r="AX671" s="79"/>
      <c r="AY671" s="79"/>
      <c r="AZ671" s="79"/>
      <c r="BA671" s="80" t="str">
        <f t="shared" si="681"/>
        <v>Norte, Noroccidente</v>
      </c>
      <c r="BB671" s="79" t="s">
        <v>662</v>
      </c>
      <c r="BC671" s="79" t="s">
        <v>603</v>
      </c>
      <c r="BD671" s="79"/>
      <c r="BE671" s="79"/>
      <c r="BF671" s="79"/>
      <c r="BG671" s="79"/>
      <c r="BH671" s="80" t="str">
        <f t="shared" si="563"/>
        <v>Suba, Suba Rincón, Tibabuyes, Niza, Britalia, Torca</v>
      </c>
      <c r="BI671" s="79" t="s">
        <v>602</v>
      </c>
      <c r="BJ671" s="79" t="s">
        <v>604</v>
      </c>
      <c r="BK671" s="79" t="s">
        <v>1378</v>
      </c>
      <c r="BL671" s="79" t="s">
        <v>865</v>
      </c>
      <c r="BM671" s="79" t="s">
        <v>1313</v>
      </c>
      <c r="BN671" s="79" t="s">
        <v>805</v>
      </c>
      <c r="BO671" s="79"/>
      <c r="BP671" s="79"/>
      <c r="BQ671" s="79"/>
      <c r="BR671" s="79"/>
      <c r="BS671" s="80" t="s">
        <v>4686</v>
      </c>
      <c r="BT671" s="80" t="s">
        <v>174</v>
      </c>
      <c r="BU671" s="80" t="s">
        <v>4687</v>
      </c>
      <c r="BV671" s="71"/>
      <c r="BW671" s="79" t="s">
        <v>152</v>
      </c>
      <c r="BX671" s="79" t="s">
        <v>179</v>
      </c>
      <c r="BY671" s="71"/>
      <c r="BZ671" s="79">
        <v>8</v>
      </c>
      <c r="CA671" s="79">
        <v>2</v>
      </c>
      <c r="CB671" s="79">
        <f t="shared" si="662"/>
        <v>10</v>
      </c>
      <c r="CC671" s="79" t="str">
        <f t="shared" si="382"/>
        <v>Ninguna</v>
      </c>
      <c r="CD671" s="79" t="s">
        <v>174</v>
      </c>
      <c r="CE671" s="79"/>
      <c r="CF671" s="79"/>
      <c r="CG671" s="83" t="s">
        <v>4688</v>
      </c>
      <c r="CH671" s="41"/>
      <c r="CI671" s="79" t="s">
        <v>153</v>
      </c>
      <c r="CJ671" s="71"/>
      <c r="CK671" s="79">
        <f t="shared" si="663"/>
        <v>0</v>
      </c>
      <c r="CL671" s="79"/>
      <c r="CM671" s="79"/>
      <c r="CN671" s="79"/>
      <c r="CO671" s="79"/>
      <c r="CP671" s="79"/>
      <c r="CQ671" s="79"/>
      <c r="CR671" s="83" t="s">
        <v>179</v>
      </c>
      <c r="CS671" s="83" t="s">
        <v>179</v>
      </c>
      <c r="CT671" s="83" t="s">
        <v>179</v>
      </c>
      <c r="CU671" s="83" t="s">
        <v>179</v>
      </c>
      <c r="CV671" s="83" t="s">
        <v>179</v>
      </c>
      <c r="CW671" s="83" t="s">
        <v>179</v>
      </c>
      <c r="CX671" s="79" t="s">
        <v>153</v>
      </c>
      <c r="CY671" s="79">
        <f t="shared" si="664"/>
        <v>0</v>
      </c>
      <c r="CZ671" s="79">
        <v>0</v>
      </c>
      <c r="DA671" s="79">
        <f t="shared" si="665"/>
        <v>0</v>
      </c>
      <c r="DB671" s="84" t="str">
        <f t="shared" si="666"/>
        <v/>
      </c>
      <c r="DC671" s="41"/>
      <c r="DD671" s="79" t="s">
        <v>153</v>
      </c>
      <c r="DE671" s="71"/>
      <c r="DF671" s="127" t="s">
        <v>4689</v>
      </c>
      <c r="DG671" s="79">
        <v>659</v>
      </c>
      <c r="DH671" s="86" t="str">
        <f t="shared" si="667"/>
        <v>Completo</v>
      </c>
      <c r="DI671" s="79" t="s">
        <v>181</v>
      </c>
      <c r="DJ671" s="79" t="s">
        <v>182</v>
      </c>
      <c r="DK671" s="79"/>
      <c r="DL671" s="79">
        <v>0</v>
      </c>
      <c r="DM671" s="79">
        <v>0</v>
      </c>
      <c r="DN671" s="79" t="s">
        <v>182</v>
      </c>
      <c r="DO671" s="79"/>
      <c r="DP671" s="79"/>
      <c r="DQ671" s="79"/>
      <c r="DR671" s="75" t="str">
        <f t="shared" si="668"/>
        <v>No aplica</v>
      </c>
      <c r="DS671" s="79"/>
      <c r="DT671" s="79"/>
      <c r="DU671" s="75" t="str">
        <f t="shared" si="669"/>
        <v>No aplica</v>
      </c>
      <c r="DV671" s="79" t="s">
        <v>191</v>
      </c>
      <c r="DW671" s="79" t="s">
        <v>182</v>
      </c>
      <c r="DX671" s="79"/>
      <c r="DY671" s="79"/>
      <c r="DZ671" s="79"/>
      <c r="EA671" s="79"/>
      <c r="EB671" s="79"/>
      <c r="EC671" s="79"/>
      <c r="ED671" s="79" t="s">
        <v>4690</v>
      </c>
      <c r="EE671" s="79" t="str">
        <f t="shared" si="670"/>
        <v>Completo</v>
      </c>
      <c r="EF671" s="41"/>
      <c r="EG671" s="79" t="s">
        <v>153</v>
      </c>
      <c r="EH671" s="71"/>
      <c r="EI671" s="80"/>
      <c r="EJ671" s="71"/>
      <c r="EK671" s="79"/>
      <c r="EL671" s="87" t="str">
        <f t="shared" si="671"/>
        <v>No requiere</v>
      </c>
      <c r="EM671" s="87" t="str">
        <f t="shared" si="672"/>
        <v>No requiere</v>
      </c>
      <c r="EN671" s="87" t="str">
        <f t="shared" si="673"/>
        <v>No requiere</v>
      </c>
      <c r="EO671" s="71"/>
      <c r="EP671" s="84" t="str">
        <f t="shared" si="674"/>
        <v>No requiere</v>
      </c>
      <c r="EQ671" s="88" t="str">
        <f t="shared" si="675"/>
        <v>No requiere</v>
      </c>
      <c r="ER671" s="71"/>
      <c r="ES671" s="79"/>
      <c r="ET671" s="84" t="str">
        <f t="shared" si="676"/>
        <v>No requiere</v>
      </c>
      <c r="EU671" s="84" t="str">
        <f t="shared" si="677"/>
        <v>No requiere</v>
      </c>
      <c r="EV671" s="84" t="str">
        <f t="shared" si="678"/>
        <v>No requiere</v>
      </c>
      <c r="EW671" s="84" t="str">
        <f t="shared" si="679"/>
        <v>No requiere</v>
      </c>
      <c r="EX671" s="78"/>
      <c r="EY671" s="78"/>
    </row>
    <row r="672" spans="1:155" ht="46.5" customHeight="1">
      <c r="A672" s="79">
        <v>668</v>
      </c>
      <c r="B672" s="80" t="s">
        <v>799</v>
      </c>
      <c r="C672" s="81">
        <v>45477</v>
      </c>
      <c r="D672" s="82">
        <v>0.375</v>
      </c>
      <c r="E672" s="79" t="s">
        <v>151</v>
      </c>
      <c r="F672" s="79" t="s">
        <v>153</v>
      </c>
      <c r="G672" s="79" t="s">
        <v>152</v>
      </c>
      <c r="H672" s="79" t="s">
        <v>152</v>
      </c>
      <c r="I672" s="79" t="s">
        <v>152</v>
      </c>
      <c r="J672" s="79" t="s">
        <v>504</v>
      </c>
      <c r="K672" s="79" t="s">
        <v>155</v>
      </c>
      <c r="L672" s="80" t="s">
        <v>2850</v>
      </c>
      <c r="M672" s="80" t="s">
        <v>624</v>
      </c>
      <c r="N672" s="79" t="s">
        <v>801</v>
      </c>
      <c r="O672" s="80" t="str">
        <f t="shared" ref="O672" si="683">_xlfn.TEXTJOIN(", ",TRUE,P672:AN672)</f>
        <v/>
      </c>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t="s">
        <v>169</v>
      </c>
      <c r="AP672" s="79" t="s">
        <v>2702</v>
      </c>
      <c r="AQ672" s="80" t="s">
        <v>802</v>
      </c>
      <c r="AR672" s="83" t="s">
        <v>4691</v>
      </c>
      <c r="AS672" s="80" t="s">
        <v>803</v>
      </c>
      <c r="AT672" s="80" t="str">
        <f t="shared" si="545"/>
        <v>Usaquén</v>
      </c>
      <c r="AU672" s="79" t="s">
        <v>661</v>
      </c>
      <c r="AV672" s="79"/>
      <c r="AW672" s="79"/>
      <c r="AX672" s="79"/>
      <c r="AY672" s="79"/>
      <c r="AZ672" s="79"/>
      <c r="BA672" s="80" t="str">
        <f t="shared" si="562"/>
        <v>Norte, Ruralidad</v>
      </c>
      <c r="BB672" s="79" t="s">
        <v>662</v>
      </c>
      <c r="BC672" s="79" t="s">
        <v>219</v>
      </c>
      <c r="BD672" s="79"/>
      <c r="BE672" s="79"/>
      <c r="BF672" s="79"/>
      <c r="BG672" s="79"/>
      <c r="BH672" s="80" t="str">
        <f t="shared" si="563"/>
        <v>Usaquén, Toberín, Torca, Cerros Orientales</v>
      </c>
      <c r="BI672" s="79" t="s">
        <v>661</v>
      </c>
      <c r="BJ672" s="79" t="s">
        <v>804</v>
      </c>
      <c r="BK672" s="79" t="s">
        <v>805</v>
      </c>
      <c r="BL672" s="79" t="s">
        <v>361</v>
      </c>
      <c r="BM672" s="79"/>
      <c r="BN672" s="79"/>
      <c r="BO672" s="79"/>
      <c r="BP672" s="79"/>
      <c r="BQ672" s="79"/>
      <c r="BR672" s="79"/>
      <c r="BS672" s="80" t="s">
        <v>288</v>
      </c>
      <c r="BT672" s="80" t="s">
        <v>174</v>
      </c>
      <c r="BU672" s="80" t="s">
        <v>4692</v>
      </c>
      <c r="BV672" s="71"/>
      <c r="BW672" s="79" t="s">
        <v>152</v>
      </c>
      <c r="BX672" s="79" t="s">
        <v>179</v>
      </c>
      <c r="BY672" s="71"/>
      <c r="BZ672" s="79">
        <v>14</v>
      </c>
      <c r="CA672" s="79">
        <v>1</v>
      </c>
      <c r="CB672" s="79">
        <f t="shared" si="653"/>
        <v>15</v>
      </c>
      <c r="CC672" s="79" t="str">
        <f t="shared" si="382"/>
        <v>Ninguna</v>
      </c>
      <c r="CD672" s="79" t="s">
        <v>174</v>
      </c>
      <c r="CE672" s="79"/>
      <c r="CF672" s="79"/>
      <c r="CG672" s="83" t="s">
        <v>4693</v>
      </c>
      <c r="CH672" s="41"/>
      <c r="CI672" s="79" t="s">
        <v>153</v>
      </c>
      <c r="CJ672" s="71"/>
      <c r="CK672" s="79">
        <f t="shared" si="654"/>
        <v>0</v>
      </c>
      <c r="CL672" s="79"/>
      <c r="CM672" s="79"/>
      <c r="CN672" s="79"/>
      <c r="CO672" s="79"/>
      <c r="CP672" s="79"/>
      <c r="CQ672" s="79"/>
      <c r="CR672" s="83" t="s">
        <v>179</v>
      </c>
      <c r="CS672" s="83" t="s">
        <v>179</v>
      </c>
      <c r="CT672" s="83" t="s">
        <v>179</v>
      </c>
      <c r="CU672" s="83" t="s">
        <v>179</v>
      </c>
      <c r="CV672" s="83" t="s">
        <v>179</v>
      </c>
      <c r="CW672" s="83" t="s">
        <v>179</v>
      </c>
      <c r="CX672" s="79" t="s">
        <v>153</v>
      </c>
      <c r="CY672" s="79">
        <f t="shared" si="655"/>
        <v>0</v>
      </c>
      <c r="CZ672" s="79">
        <v>0</v>
      </c>
      <c r="DA672" s="79">
        <f t="shared" si="656"/>
        <v>0</v>
      </c>
      <c r="DB672" s="84" t="str">
        <f t="shared" si="657"/>
        <v/>
      </c>
      <c r="DC672" s="41"/>
      <c r="DD672" s="79" t="s">
        <v>153</v>
      </c>
      <c r="DE672" s="71"/>
      <c r="DF672" s="127" t="s">
        <v>4694</v>
      </c>
      <c r="DG672" s="79">
        <v>660</v>
      </c>
      <c r="DH672" s="86" t="str">
        <f t="shared" si="537"/>
        <v>Completo</v>
      </c>
      <c r="DI672" s="79" t="s">
        <v>181</v>
      </c>
      <c r="DJ672" s="79" t="s">
        <v>182</v>
      </c>
      <c r="DK672" s="79"/>
      <c r="DL672" s="79">
        <v>0</v>
      </c>
      <c r="DM672" s="79">
        <v>0</v>
      </c>
      <c r="DN672" s="79" t="s">
        <v>182</v>
      </c>
      <c r="DO672" s="79"/>
      <c r="DP672" s="79"/>
      <c r="DQ672" s="79"/>
      <c r="DR672" s="75" t="str">
        <f t="shared" si="576"/>
        <v>No aplica</v>
      </c>
      <c r="DS672" s="79"/>
      <c r="DT672" s="79"/>
      <c r="DU672" s="75" t="str">
        <f t="shared" si="577"/>
        <v>No aplica</v>
      </c>
      <c r="DV672" s="79" t="s">
        <v>182</v>
      </c>
      <c r="DW672" s="79" t="s">
        <v>182</v>
      </c>
      <c r="DX672" s="79"/>
      <c r="DY672" s="79"/>
      <c r="DZ672" s="79"/>
      <c r="EA672" s="79"/>
      <c r="EB672" s="79"/>
      <c r="EC672" s="79"/>
      <c r="ED672" s="79" t="s">
        <v>4009</v>
      </c>
      <c r="EE672" s="79" t="str">
        <f t="shared" si="658"/>
        <v>Completo</v>
      </c>
      <c r="EF672" s="41"/>
      <c r="EG672" s="79" t="s">
        <v>153</v>
      </c>
      <c r="EH672" s="71"/>
      <c r="EI672" s="80"/>
      <c r="EJ672" s="71"/>
      <c r="EK672" s="79"/>
      <c r="EL672" s="87" t="str">
        <f t="shared" si="465"/>
        <v>No requiere</v>
      </c>
      <c r="EM672" s="87" t="str">
        <f t="shared" si="466"/>
        <v>No requiere</v>
      </c>
      <c r="EN672" s="87" t="str">
        <f t="shared" si="659"/>
        <v>No requiere</v>
      </c>
      <c r="EO672" s="71"/>
      <c r="EP672" s="84" t="str">
        <f t="shared" si="467"/>
        <v>No requiere</v>
      </c>
      <c r="EQ672" s="88" t="str">
        <f t="shared" si="468"/>
        <v>No requiere</v>
      </c>
      <c r="ER672" s="71"/>
      <c r="ES672" s="79"/>
      <c r="ET672" s="84" t="str">
        <f t="shared" si="469"/>
        <v>No requiere</v>
      </c>
      <c r="EU672" s="84" t="str">
        <f t="shared" si="660"/>
        <v>No requiere</v>
      </c>
      <c r="EV672" s="84" t="str">
        <f t="shared" si="470"/>
        <v>No requiere</v>
      </c>
      <c r="EW672" s="84" t="str">
        <f t="shared" si="581"/>
        <v>No requiere</v>
      </c>
      <c r="EX672" s="78"/>
      <c r="EY672" s="78"/>
    </row>
    <row r="673" spans="1:157" ht="46.5" customHeight="1">
      <c r="A673" s="79">
        <v>669</v>
      </c>
      <c r="B673" s="80" t="s">
        <v>4695</v>
      </c>
      <c r="C673" s="81">
        <v>45477</v>
      </c>
      <c r="D673" s="82">
        <v>0.41666666666666669</v>
      </c>
      <c r="E673" s="79" t="s">
        <v>200</v>
      </c>
      <c r="F673" s="79" t="s">
        <v>153</v>
      </c>
      <c r="G673" s="79" t="s">
        <v>152</v>
      </c>
      <c r="H673" s="79" t="s">
        <v>152</v>
      </c>
      <c r="I673" s="79" t="s">
        <v>152</v>
      </c>
      <c r="J673" s="79" t="s">
        <v>504</v>
      </c>
      <c r="K673" s="79" t="s">
        <v>155</v>
      </c>
      <c r="L673" s="80" t="s">
        <v>4696</v>
      </c>
      <c r="M673" s="80" t="s">
        <v>157</v>
      </c>
      <c r="N673" s="79" t="s">
        <v>818</v>
      </c>
      <c r="O673" s="80" t="str">
        <f>_xlfn.TEXTJOIN(", ",TRUE,P673:AN673)</f>
        <v/>
      </c>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t="s">
        <v>169</v>
      </c>
      <c r="AP673" s="79" t="s">
        <v>2702</v>
      </c>
      <c r="AQ673" s="80" t="s">
        <v>4697</v>
      </c>
      <c r="AR673" s="83" t="s">
        <v>4698</v>
      </c>
      <c r="AS673" s="80" t="s">
        <v>752</v>
      </c>
      <c r="AT673" s="80" t="str">
        <f>_xlfn.TEXTJOIN(", ",TRUE,$AU673:$AY673)</f>
        <v>La Candelaria</v>
      </c>
      <c r="AU673" s="79" t="s">
        <v>753</v>
      </c>
      <c r="AV673" s="79"/>
      <c r="AW673" s="79"/>
      <c r="AX673" s="79"/>
      <c r="AY673" s="79"/>
      <c r="AZ673" s="79"/>
      <c r="BA673" s="80" t="str">
        <f>_xlfn.TEXTJOIN(", ",TRUE,$BB673:$BG673)</f>
        <v>Centro Ampliado</v>
      </c>
      <c r="BB673" s="79" t="s">
        <v>636</v>
      </c>
      <c r="BC673" s="79"/>
      <c r="BD673" s="79"/>
      <c r="BE673" s="79"/>
      <c r="BF673" s="79"/>
      <c r="BG673" s="79"/>
      <c r="BH673" s="80" t="str">
        <f>_xlfn.TEXTJOIN(", ",TRUE,$BI673:$BR673)</f>
        <v>Centro Histórico</v>
      </c>
      <c r="BI673" s="79" t="s">
        <v>754</v>
      </c>
      <c r="BJ673" s="79"/>
      <c r="BK673" s="79"/>
      <c r="BL673" s="79"/>
      <c r="BM673" s="79"/>
      <c r="BN673" s="79"/>
      <c r="BO673" s="79"/>
      <c r="BP673" s="79"/>
      <c r="BQ673" s="79"/>
      <c r="BR673" s="79"/>
      <c r="BS673" s="80" t="s">
        <v>4001</v>
      </c>
      <c r="BT673" s="80" t="s">
        <v>174</v>
      </c>
      <c r="BU673" s="80" t="s">
        <v>4699</v>
      </c>
      <c r="BV673" s="71"/>
      <c r="BW673" s="79" t="s">
        <v>152</v>
      </c>
      <c r="BX673" s="79" t="s">
        <v>179</v>
      </c>
      <c r="BY673" s="71"/>
      <c r="BZ673" s="79">
        <v>24</v>
      </c>
      <c r="CA673" s="79">
        <v>1</v>
      </c>
      <c r="CB673" s="79">
        <f>BZ673+CA673</f>
        <v>25</v>
      </c>
      <c r="CC673" s="79" t="str">
        <f>_xlfn.TEXTJOIN(", ",TRUE,$CD673:$CF673)</f>
        <v>Ninguna</v>
      </c>
      <c r="CD673" s="79" t="s">
        <v>174</v>
      </c>
      <c r="CE673" s="79"/>
      <c r="CF673" s="79"/>
      <c r="CG673" s="83" t="s">
        <v>4700</v>
      </c>
      <c r="CH673" s="41"/>
      <c r="CI673" s="79" t="s">
        <v>153</v>
      </c>
      <c r="CJ673" s="71"/>
      <c r="CK673" s="79">
        <f>COUNTIF(CL673:CQ673,"*")</f>
        <v>0</v>
      </c>
      <c r="CL673" s="79"/>
      <c r="CM673" s="79"/>
      <c r="CN673" s="79"/>
      <c r="CO673" s="79"/>
      <c r="CP673" s="79"/>
      <c r="CQ673" s="79"/>
      <c r="CR673" s="83" t="s">
        <v>179</v>
      </c>
      <c r="CS673" s="83" t="s">
        <v>179</v>
      </c>
      <c r="CT673" s="83" t="s">
        <v>179</v>
      </c>
      <c r="CU673" s="83" t="s">
        <v>179</v>
      </c>
      <c r="CV673" s="83" t="s">
        <v>179</v>
      </c>
      <c r="CW673" s="83" t="s">
        <v>179</v>
      </c>
      <c r="CX673" s="79" t="s">
        <v>153</v>
      </c>
      <c r="CY673" s="79">
        <f>SUM(COUNTIF(CR673:CW673,"Realizado y Devuelto a la Ciudadanía"),COUNTIF(CR673:CW673,"Realizado y Trasladado por competencia"), COUNTIF(CR673:CW673,"Realizado y Gestionado"))</f>
        <v>0</v>
      </c>
      <c r="CZ673" s="79">
        <v>0</v>
      </c>
      <c r="DA673" s="79">
        <f>COUNTIF(CR673:CW673,"Realizado y Devuelto a la Ciudadanía")</f>
        <v>0</v>
      </c>
      <c r="DB673" s="84" t="str">
        <f>IFERROR(CY673/CK673,"")</f>
        <v/>
      </c>
      <c r="DC673" s="41"/>
      <c r="DD673" s="79" t="s">
        <v>153</v>
      </c>
      <c r="DE673" s="71"/>
      <c r="DF673" s="127" t="s">
        <v>4694</v>
      </c>
      <c r="DG673" s="79">
        <v>661</v>
      </c>
      <c r="DH673" s="86" t="str">
        <f>IF(EE673="Por completar",C673+3,"Completo")</f>
        <v>Completo</v>
      </c>
      <c r="DI673" s="79" t="s">
        <v>181</v>
      </c>
      <c r="DJ673" s="79" t="s">
        <v>182</v>
      </c>
      <c r="DK673" s="79"/>
      <c r="DL673" s="79">
        <v>0</v>
      </c>
      <c r="DM673" s="79">
        <v>0</v>
      </c>
      <c r="DN673" s="79" t="s">
        <v>182</v>
      </c>
      <c r="DO673" s="79"/>
      <c r="DP673" s="79"/>
      <c r="DQ673" s="79"/>
      <c r="DR673" s="75" t="str">
        <f>IF(H673="SÍ", (DQ673/(BZ673*0.3)), "No aplica")</f>
        <v>No aplica</v>
      </c>
      <c r="DS673" s="79"/>
      <c r="DT673" s="79"/>
      <c r="DU673" s="75" t="str">
        <f>IF(H673="SÍ", (DT673/(BZ673*0.35)), "No aplica")</f>
        <v>No aplica</v>
      </c>
      <c r="DV673" s="79" t="s">
        <v>182</v>
      </c>
      <c r="DW673" s="79" t="s">
        <v>182</v>
      </c>
      <c r="DX673" s="79"/>
      <c r="DY673" s="79"/>
      <c r="DZ673" s="79"/>
      <c r="EA673" s="79"/>
      <c r="EB673" s="79" t="s">
        <v>182</v>
      </c>
      <c r="EC673" s="79" t="s">
        <v>4701</v>
      </c>
      <c r="ED673" s="79" t="s">
        <v>3866</v>
      </c>
      <c r="EE673" s="79" t="str">
        <f>IF(DI673="Subsanado","Completo","Por Completar")</f>
        <v>Completo</v>
      </c>
      <c r="EF673" s="41"/>
      <c r="EG673" s="79" t="s">
        <v>153</v>
      </c>
      <c r="EH673" s="71"/>
      <c r="EI673" s="80"/>
      <c r="EJ673" s="71"/>
      <c r="EK673" s="79"/>
      <c r="EL673" s="87" t="str">
        <f>IF(F673="NO","No requiere",IF(H673="No","No requiere",IF(DW673="","",IF(DW673&lt;&gt;"No aplica",IF(DX673&lt;&gt;"No aplica",IF(DX673&gt;=2,"Sí","No"),"No aplica"),"No aplica"))))</f>
        <v>No requiere</v>
      </c>
      <c r="EM673" s="87" t="str">
        <f>IF(F673="NO","No requiere",IF(H673="No","No requiere",IF(DW673="","",IF(DW673&lt;&gt;"No aplica",IF(DY673&lt;&gt;"No aplica",IF(DY673&gt;=1,"Sí","No"),"No aplica"),"No aplica"))))</f>
        <v>No requiere</v>
      </c>
      <c r="EN673" s="87" t="str">
        <f>IF(F673="NO","No requiere",IF(H673="No","No requiere",IF(CC673="","",IF(CD673&lt;&gt;"No aplica",IF(CD673&lt;&gt;"Ninguna",IF(COUNTIF(CD673:CF673,"*")&gt;=1,"Sí","No"),"No"),"No aplica"))))</f>
        <v>No requiere</v>
      </c>
      <c r="EO673" s="71"/>
      <c r="EP673" s="84" t="str">
        <f>IF(F673="NO","No requiere",IF(H673="No","No requiere",IF(DL673="","",IF(DL673&gt;=1,DM673/DL673,"No aplica"))))</f>
        <v>No requiere</v>
      </c>
      <c r="EQ673" s="88" t="str">
        <f>IFERROR(IF(F673="NO","No requiere",IF(H673="No","No requiere",DU673)),"")</f>
        <v>No requiere</v>
      </c>
      <c r="ER673" s="71"/>
      <c r="ES673" s="79"/>
      <c r="ET673" s="84" t="str">
        <f>IF(F673="NO","No requiere",IF(H673="No","No requiere",IFERROR(COUNTIF(DJ673:DW673,"Completo")/SUM(COUNTIF(DJ673:DW673,"Completo"),COUNTIF(DJ673:DW673,"Incompleto"),COUNTIF(DJ673:DW673,"No subido"),COUNTIF(DJ673:DW673,"No existente"),COUNTIF(DJ673:DW673,"Pendiente")),"")))</f>
        <v>No requiere</v>
      </c>
      <c r="EU673" s="84" t="str">
        <f>IF(F673="NO","No requiere",IF(H673="No","No requiere",IF(B673="","",IF(CX673="SÍ",IF(CK673&gt;=1,CY673/CK673,"Sin compromisos"),"Por verificar"))))</f>
        <v>No requiere</v>
      </c>
      <c r="EV673" s="84" t="str">
        <f>IF(EU673="Por verificar","Por verificar",IF(F673="NO","No requiere",IF(H673="No","No requiere",IFERROR(IF(EU673="","",IF(CK673&gt;=1,DA673/CZ673,"No aplica")),"No aplica"))))</f>
        <v>No requiere</v>
      </c>
      <c r="EW673" s="84" t="str">
        <f>IF(F673="NO","No requiere",IF(H673="No","No requiere",IFERROR(IF(BZ673="","",IF(EA673&lt;&gt;"No aplica",IF(EA673&gt;=1,DO673/EA673,"0%"),"No aplica")),"")))</f>
        <v>No requiere</v>
      </c>
      <c r="EX673" s="78"/>
      <c r="EY673" s="78"/>
    </row>
    <row r="674" spans="1:157" ht="46.5" customHeight="1">
      <c r="A674" s="79">
        <v>670</v>
      </c>
      <c r="B674" s="80" t="s">
        <v>4702</v>
      </c>
      <c r="C674" s="81">
        <v>45477</v>
      </c>
      <c r="D674" s="82">
        <v>0.66666666666666663</v>
      </c>
      <c r="E674" s="79" t="s">
        <v>151</v>
      </c>
      <c r="F674" s="79" t="s">
        <v>153</v>
      </c>
      <c r="G674" s="79" t="s">
        <v>153</v>
      </c>
      <c r="H674" s="79" t="s">
        <v>152</v>
      </c>
      <c r="I674" s="79" t="s">
        <v>152</v>
      </c>
      <c r="J674" s="79" t="s">
        <v>3999</v>
      </c>
      <c r="K674" s="79" t="s">
        <v>155</v>
      </c>
      <c r="L674" s="80" t="s">
        <v>4703</v>
      </c>
      <c r="M674" s="80" t="s">
        <v>241</v>
      </c>
      <c r="N674" s="79" t="s">
        <v>675</v>
      </c>
      <c r="O674" s="80" t="str">
        <f t="shared" ref="O674:O675" si="684">_xlfn.TEXTJOIN(", ",TRUE,P674:AN674)</f>
        <v>Renata Rengifo Moyano, Nestor Jecfrid Sánchez, Paola Andrea González</v>
      </c>
      <c r="P674" s="79" t="s">
        <v>1066</v>
      </c>
      <c r="Q674" s="79" t="s">
        <v>965</v>
      </c>
      <c r="R674" s="79" t="s">
        <v>924</v>
      </c>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t="s">
        <v>304</v>
      </c>
      <c r="AP674" s="79"/>
      <c r="AQ674" s="80" t="s">
        <v>4704</v>
      </c>
      <c r="AR674" s="83" t="s">
        <v>4705</v>
      </c>
      <c r="AS674" s="80" t="s">
        <v>4496</v>
      </c>
      <c r="AT674" s="80" t="str">
        <f t="shared" ref="AT674:AT675" si="685">_xlfn.TEXTJOIN(", ",TRUE,$AU674:$AY674)</f>
        <v>Bosa</v>
      </c>
      <c r="AU674" s="79" t="s">
        <v>730</v>
      </c>
      <c r="AV674" s="79"/>
      <c r="AW674" s="79"/>
      <c r="AX674" s="79"/>
      <c r="AY674" s="79"/>
      <c r="AZ674" s="79"/>
      <c r="BA674" s="80" t="str">
        <f t="shared" ref="BA674:BA675" si="686">_xlfn.TEXTJOIN(", ",TRUE,$BB674:$BG674)</f>
        <v>Suroccidente</v>
      </c>
      <c r="BB674" s="79" t="s">
        <v>732</v>
      </c>
      <c r="BC674" s="79"/>
      <c r="BD674" s="79"/>
      <c r="BE674" s="79"/>
      <c r="BF674" s="79"/>
      <c r="BG674" s="79"/>
      <c r="BH674" s="80" t="str">
        <f t="shared" ref="BH674:BH675" si="687">_xlfn.TEXTJOIN(", ",TRUE,$BI674:$BR674)</f>
        <v>Porvenir</v>
      </c>
      <c r="BI674" s="79" t="s">
        <v>1058</v>
      </c>
      <c r="BJ674" s="79"/>
      <c r="BK674" s="79"/>
      <c r="BL674" s="79"/>
      <c r="BM674" s="79"/>
      <c r="BN674" s="79"/>
      <c r="BO674" s="79"/>
      <c r="BP674" s="79"/>
      <c r="BQ674" s="79"/>
      <c r="BR674" s="79"/>
      <c r="BS674" s="80" t="s">
        <v>4706</v>
      </c>
      <c r="BT674" s="80" t="s">
        <v>174</v>
      </c>
      <c r="BU674" s="80" t="s">
        <v>4707</v>
      </c>
      <c r="BV674" s="71"/>
      <c r="BW674" s="79" t="s">
        <v>152</v>
      </c>
      <c r="BX674" s="79" t="s">
        <v>179</v>
      </c>
      <c r="BY674" s="71"/>
      <c r="BZ674" s="79">
        <v>4</v>
      </c>
      <c r="CA674" s="79">
        <v>3</v>
      </c>
      <c r="CB674" s="79">
        <f t="shared" ref="CB674:CB675" si="688">BZ674+CA674</f>
        <v>7</v>
      </c>
      <c r="CC674" s="79" t="str">
        <f t="shared" si="382"/>
        <v>Ninguna</v>
      </c>
      <c r="CD674" s="79" t="s">
        <v>174</v>
      </c>
      <c r="CE674" s="79"/>
      <c r="CF674" s="79"/>
      <c r="CG674" s="83" t="s">
        <v>4708</v>
      </c>
      <c r="CH674" s="41"/>
      <c r="CI674" s="79" t="s">
        <v>153</v>
      </c>
      <c r="CJ674" s="71"/>
      <c r="CK674" s="79">
        <f t="shared" ref="CK674:CK675" si="689">COUNTIF(CL674:CQ674,"*")</f>
        <v>0</v>
      </c>
      <c r="CL674" s="79"/>
      <c r="CM674" s="79"/>
      <c r="CN674" s="79"/>
      <c r="CO674" s="79"/>
      <c r="CP674" s="79"/>
      <c r="CQ674" s="79"/>
      <c r="CR674" s="83" t="s">
        <v>179</v>
      </c>
      <c r="CS674" s="83" t="s">
        <v>179</v>
      </c>
      <c r="CT674" s="83" t="s">
        <v>179</v>
      </c>
      <c r="CU674" s="83" t="s">
        <v>179</v>
      </c>
      <c r="CV674" s="83" t="s">
        <v>179</v>
      </c>
      <c r="CW674" s="83" t="s">
        <v>179</v>
      </c>
      <c r="CX674" s="79" t="s">
        <v>153</v>
      </c>
      <c r="CY674" s="79">
        <f t="shared" ref="CY674:CY675" si="690">SUM(COUNTIF(CR674:CW674,"Realizado y Devuelto a la Ciudadanía"),COUNTIF(CR674:CW674,"Realizado y Trasladado por competencia"), COUNTIF(CR674:CW674,"Realizado y Gestionado"))</f>
        <v>0</v>
      </c>
      <c r="CZ674" s="79">
        <v>0</v>
      </c>
      <c r="DA674" s="79">
        <f t="shared" ref="DA674:DA675" si="691">COUNTIF(CR674:CW674,"Realizado y Devuelto a la Ciudadanía")</f>
        <v>0</v>
      </c>
      <c r="DB674" s="84" t="str">
        <f t="shared" ref="DB674:DB675" si="692">IFERROR(CY674/CK674,"")</f>
        <v/>
      </c>
      <c r="DC674" s="41"/>
      <c r="DD674" s="79" t="s">
        <v>153</v>
      </c>
      <c r="DE674" s="71"/>
      <c r="DF674" s="127" t="s">
        <v>4709</v>
      </c>
      <c r="DG674" s="79">
        <v>662</v>
      </c>
      <c r="DH674" s="86" t="str">
        <f t="shared" ref="DH674:DH675" si="693">IF(EE674="Por completar",C674+3,"Completo")</f>
        <v>Completo</v>
      </c>
      <c r="DI674" s="79" t="s">
        <v>181</v>
      </c>
      <c r="DJ674" s="79" t="s">
        <v>182</v>
      </c>
      <c r="DK674" s="79"/>
      <c r="DL674" s="79">
        <v>0</v>
      </c>
      <c r="DM674" s="79">
        <v>0</v>
      </c>
      <c r="DN674" s="79" t="s">
        <v>182</v>
      </c>
      <c r="DO674" s="79"/>
      <c r="DP674" s="79"/>
      <c r="DQ674" s="79"/>
      <c r="DR674" s="75" t="str">
        <f t="shared" ref="DR674:DR675" si="694">IF(H674="SÍ", (DQ674/(BZ674*0.3)), "No aplica")</f>
        <v>No aplica</v>
      </c>
      <c r="DS674" s="79"/>
      <c r="DT674" s="79"/>
      <c r="DU674" s="75" t="str">
        <f t="shared" ref="DU674:DU675" si="695">IF(H674="SÍ", (DT674/(BZ674*0.35)), "No aplica")</f>
        <v>No aplica</v>
      </c>
      <c r="DV674" s="79" t="s">
        <v>182</v>
      </c>
      <c r="DW674" s="79"/>
      <c r="DX674" s="79"/>
      <c r="DY674" s="79"/>
      <c r="DZ674" s="79"/>
      <c r="EA674" s="79"/>
      <c r="EB674" s="79"/>
      <c r="EC674" s="79"/>
      <c r="ED674" s="79"/>
      <c r="EE674" s="79" t="str">
        <f t="shared" ref="EE674:EE675" si="696">IF(DI674="Subsanado","Completo","Por Completar")</f>
        <v>Completo</v>
      </c>
      <c r="EF674" s="41"/>
      <c r="EG674" s="79" t="s">
        <v>153</v>
      </c>
      <c r="EH674" s="71"/>
      <c r="EI674" s="80"/>
      <c r="EJ674" s="71"/>
      <c r="EK674" s="79"/>
      <c r="EL674" s="87" t="str">
        <f t="shared" ref="EL674:EL675" si="697">IF(F674="NO","No requiere",IF(H674="No","No requiere",IF(DW674="","",IF(DW674&lt;&gt;"No aplica",IF(DX674&lt;&gt;"No aplica",IF(DX674&gt;=2,"Sí","No"),"No aplica"),"No aplica"))))</f>
        <v>No requiere</v>
      </c>
      <c r="EM674" s="87" t="str">
        <f t="shared" ref="EM674:EM675" si="698">IF(F674="NO","No requiere",IF(H674="No","No requiere",IF(DW674="","",IF(DW674&lt;&gt;"No aplica",IF(DY674&lt;&gt;"No aplica",IF(DY674&gt;=1,"Sí","No"),"No aplica"),"No aplica"))))</f>
        <v>No requiere</v>
      </c>
      <c r="EN674" s="87" t="str">
        <f t="shared" ref="EN674:EN675" si="699">IF(F674="NO","No requiere",IF(H674="No","No requiere",IF(CC674="","",IF(CD674&lt;&gt;"No aplica",IF(CD674&lt;&gt;"Ninguna",IF(COUNTIF(CD674:CF674,"*")&gt;=1,"Sí","No"),"No"),"No aplica"))))</f>
        <v>No requiere</v>
      </c>
      <c r="EO674" s="71"/>
      <c r="EP674" s="84" t="str">
        <f t="shared" ref="EP674:EP675" si="700">IF(F674="NO","No requiere",IF(H674="No","No requiere",IF(DL674="","",IF(DL674&gt;=1,DM674/DL674,"No aplica"))))</f>
        <v>No requiere</v>
      </c>
      <c r="EQ674" s="88" t="str">
        <f t="shared" ref="EQ674:EQ675" si="701">IFERROR(IF(F674="NO","No requiere",IF(H674="No","No requiere",DU674)),"")</f>
        <v>No requiere</v>
      </c>
      <c r="ER674" s="71"/>
      <c r="ES674" s="79"/>
      <c r="ET674" s="84" t="str">
        <f t="shared" ref="ET674:ET675" si="702">IF(F674="NO","No requiere",IF(H674="No","No requiere",IFERROR(COUNTIF(DJ674:DW674,"Completo")/SUM(COUNTIF(DJ674:DW674,"Completo"),COUNTIF(DJ674:DW674,"Incompleto"),COUNTIF(DJ674:DW674,"No subido"),COUNTIF(DJ674:DW674,"No existente"),COUNTIF(DJ674:DW674,"Pendiente")),"")))</f>
        <v>No requiere</v>
      </c>
      <c r="EU674" s="84" t="str">
        <f t="shared" ref="EU674:EU675" si="703">IF(F674="NO","No requiere",IF(H674="No","No requiere",IF(B674="","",IF(CX674="SÍ",IF(CK674&gt;=1,CY674/CK674,"Sin compromisos"),"Por verificar"))))</f>
        <v>No requiere</v>
      </c>
      <c r="EV674" s="84" t="str">
        <f t="shared" ref="EV674:EV675" si="704">IF(EU674="Por verificar","Por verificar",IF(F674="NO","No requiere",IF(H674="No","No requiere",IFERROR(IF(EU674="","",IF(CK674&gt;=1,DA674/CZ674,"No aplica")),"No aplica"))))</f>
        <v>No requiere</v>
      </c>
      <c r="EW674" s="84" t="str">
        <f t="shared" ref="EW674:EW675" si="705">IF(F674="NO","No requiere",IF(H674="No","No requiere",IFERROR(IF(BZ674="","",IF(EA674&lt;&gt;"No aplica",IF(EA674&gt;=1,DO674/EA674,"0%"),"No aplica")),"")))</f>
        <v>No requiere</v>
      </c>
      <c r="EX674" s="78"/>
      <c r="EY674" s="78"/>
    </row>
    <row r="675" spans="1:157" ht="46.5" customHeight="1">
      <c r="A675" s="79">
        <v>671</v>
      </c>
      <c r="B675" s="80" t="s">
        <v>4710</v>
      </c>
      <c r="C675" s="81">
        <v>45477</v>
      </c>
      <c r="D675" s="82">
        <v>0.70833333333333337</v>
      </c>
      <c r="E675" s="79" t="s">
        <v>151</v>
      </c>
      <c r="F675" s="79" t="s">
        <v>153</v>
      </c>
      <c r="G675" s="79" t="s">
        <v>152</v>
      </c>
      <c r="H675" s="79" t="s">
        <v>152</v>
      </c>
      <c r="I675" s="79" t="s">
        <v>152</v>
      </c>
      <c r="J675" s="79" t="s">
        <v>211</v>
      </c>
      <c r="K675" s="79" t="s">
        <v>202</v>
      </c>
      <c r="L675" s="80" t="s">
        <v>4711</v>
      </c>
      <c r="M675" s="80" t="s">
        <v>624</v>
      </c>
      <c r="N675" s="79" t="s">
        <v>888</v>
      </c>
      <c r="O675" s="80" t="str">
        <f t="shared" si="684"/>
        <v>PENDIENTE</v>
      </c>
      <c r="P675" s="79" t="s">
        <v>196</v>
      </c>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t="s">
        <v>230</v>
      </c>
      <c r="AP675" s="79" t="s">
        <v>242</v>
      </c>
      <c r="AQ675" s="80" t="s">
        <v>4631</v>
      </c>
      <c r="AR675" s="83" t="s">
        <v>4456</v>
      </c>
      <c r="AS675" s="80" t="s">
        <v>682</v>
      </c>
      <c r="AT675" s="80" t="str">
        <f t="shared" si="685"/>
        <v>Distrital</v>
      </c>
      <c r="AU675" s="79" t="s">
        <v>172</v>
      </c>
      <c r="AV675" s="79"/>
      <c r="AW675" s="79"/>
      <c r="AX675" s="79"/>
      <c r="AY675" s="79"/>
      <c r="AZ675" s="79"/>
      <c r="BA675" s="80" t="str">
        <f t="shared" si="686"/>
        <v>Distrital</v>
      </c>
      <c r="BB675" s="79" t="s">
        <v>172</v>
      </c>
      <c r="BC675" s="79"/>
      <c r="BD675" s="79"/>
      <c r="BE675" s="79"/>
      <c r="BF675" s="79"/>
      <c r="BG675" s="79"/>
      <c r="BH675" s="80" t="str">
        <f t="shared" si="687"/>
        <v>Distrital</v>
      </c>
      <c r="BI675" s="79" t="s">
        <v>172</v>
      </c>
      <c r="BJ675" s="79"/>
      <c r="BK675" s="79"/>
      <c r="BL675" s="79"/>
      <c r="BM675" s="79"/>
      <c r="BN675" s="79"/>
      <c r="BO675" s="79"/>
      <c r="BP675" s="79"/>
      <c r="BQ675" s="79"/>
      <c r="BR675" s="79"/>
      <c r="BS675" s="80" t="s">
        <v>288</v>
      </c>
      <c r="BT675" s="80" t="s">
        <v>174</v>
      </c>
      <c r="BU675" s="228" t="s">
        <v>3931</v>
      </c>
      <c r="BV675" s="71"/>
      <c r="BW675" s="79" t="s">
        <v>152</v>
      </c>
      <c r="BX675" s="79" t="s">
        <v>179</v>
      </c>
      <c r="BY675" s="71"/>
      <c r="BZ675" s="79">
        <v>26</v>
      </c>
      <c r="CA675" s="79">
        <v>2</v>
      </c>
      <c r="CB675" s="79">
        <f t="shared" si="688"/>
        <v>28</v>
      </c>
      <c r="CC675" s="79" t="str">
        <f t="shared" si="382"/>
        <v>Ninguna</v>
      </c>
      <c r="CD675" s="79" t="s">
        <v>174</v>
      </c>
      <c r="CE675" s="79"/>
      <c r="CF675" s="79"/>
      <c r="CG675" s="83" t="s">
        <v>4712</v>
      </c>
      <c r="CH675" s="41"/>
      <c r="CI675" s="79" t="s">
        <v>153</v>
      </c>
      <c r="CJ675" s="71"/>
      <c r="CK675" s="79">
        <f t="shared" si="689"/>
        <v>0</v>
      </c>
      <c r="CL675" s="79"/>
      <c r="CM675" s="79"/>
      <c r="CN675" s="79"/>
      <c r="CO675" s="79"/>
      <c r="CP675" s="79"/>
      <c r="CQ675" s="79"/>
      <c r="CR675" s="83" t="s">
        <v>179</v>
      </c>
      <c r="CS675" s="83" t="s">
        <v>179</v>
      </c>
      <c r="CT675" s="83" t="s">
        <v>179</v>
      </c>
      <c r="CU675" s="83" t="s">
        <v>179</v>
      </c>
      <c r="CV675" s="83" t="s">
        <v>179</v>
      </c>
      <c r="CW675" s="83" t="s">
        <v>179</v>
      </c>
      <c r="CX675" s="79" t="s">
        <v>153</v>
      </c>
      <c r="CY675" s="79">
        <f t="shared" si="690"/>
        <v>0</v>
      </c>
      <c r="CZ675" s="79">
        <v>0</v>
      </c>
      <c r="DA675" s="79">
        <f t="shared" si="691"/>
        <v>0</v>
      </c>
      <c r="DB675" s="84" t="str">
        <f t="shared" si="692"/>
        <v/>
      </c>
      <c r="DC675" s="41"/>
      <c r="DD675" s="79" t="s">
        <v>153</v>
      </c>
      <c r="DE675" s="71"/>
      <c r="DF675" s="127" t="s">
        <v>4713</v>
      </c>
      <c r="DG675" s="79">
        <v>663</v>
      </c>
      <c r="DH675" s="86" t="str">
        <f t="shared" si="693"/>
        <v>Completo</v>
      </c>
      <c r="DI675" s="79" t="s">
        <v>181</v>
      </c>
      <c r="DJ675" s="79" t="s">
        <v>182</v>
      </c>
      <c r="DK675" s="79"/>
      <c r="DL675" s="79">
        <v>0</v>
      </c>
      <c r="DM675" s="79">
        <v>0</v>
      </c>
      <c r="DN675" s="79" t="s">
        <v>182</v>
      </c>
      <c r="DO675" s="79"/>
      <c r="DP675" s="79"/>
      <c r="DQ675" s="79"/>
      <c r="DR675" s="75" t="str">
        <f t="shared" si="694"/>
        <v>No aplica</v>
      </c>
      <c r="DS675" s="79"/>
      <c r="DT675" s="79"/>
      <c r="DU675" s="75" t="str">
        <f t="shared" si="695"/>
        <v>No aplica</v>
      </c>
      <c r="DV675" s="79" t="s">
        <v>182</v>
      </c>
      <c r="DW675" s="79" t="s">
        <v>182</v>
      </c>
      <c r="DX675" s="79"/>
      <c r="DY675" s="79"/>
      <c r="DZ675" s="79"/>
      <c r="EA675" s="79"/>
      <c r="EB675" s="79" t="s">
        <v>182</v>
      </c>
      <c r="EC675" s="79" t="s">
        <v>4714</v>
      </c>
      <c r="ED675" s="79" t="s">
        <v>4460</v>
      </c>
      <c r="EE675" s="79" t="str">
        <f t="shared" si="696"/>
        <v>Completo</v>
      </c>
      <c r="EF675" s="41"/>
      <c r="EG675" s="79" t="s">
        <v>153</v>
      </c>
      <c r="EH675" s="71"/>
      <c r="EI675" s="80"/>
      <c r="EJ675" s="71"/>
      <c r="EK675" s="79"/>
      <c r="EL675" s="87" t="str">
        <f t="shared" si="697"/>
        <v>No requiere</v>
      </c>
      <c r="EM675" s="87" t="str">
        <f t="shared" si="698"/>
        <v>No requiere</v>
      </c>
      <c r="EN675" s="87" t="str">
        <f t="shared" si="699"/>
        <v>No requiere</v>
      </c>
      <c r="EO675" s="71"/>
      <c r="EP675" s="84" t="str">
        <f t="shared" si="700"/>
        <v>No requiere</v>
      </c>
      <c r="EQ675" s="88" t="str">
        <f t="shared" si="701"/>
        <v>No requiere</v>
      </c>
      <c r="ER675" s="71"/>
      <c r="ES675" s="79"/>
      <c r="ET675" s="84" t="str">
        <f t="shared" si="702"/>
        <v>No requiere</v>
      </c>
      <c r="EU675" s="84" t="str">
        <f t="shared" si="703"/>
        <v>No requiere</v>
      </c>
      <c r="EV675" s="84" t="str">
        <f t="shared" si="704"/>
        <v>No requiere</v>
      </c>
      <c r="EW675" s="84" t="str">
        <f t="shared" si="705"/>
        <v>No requiere</v>
      </c>
      <c r="EX675" s="78"/>
      <c r="EY675" s="78"/>
    </row>
    <row r="676" spans="1:157" ht="61.5" customHeight="1">
      <c r="A676" s="79">
        <v>672</v>
      </c>
      <c r="B676" s="80" t="s">
        <v>4715</v>
      </c>
      <c r="C676" s="81">
        <v>45477</v>
      </c>
      <c r="D676" s="82">
        <v>0.75</v>
      </c>
      <c r="E676" s="79" t="s">
        <v>151</v>
      </c>
      <c r="F676" s="79" t="s">
        <v>153</v>
      </c>
      <c r="G676" s="79" t="s">
        <v>153</v>
      </c>
      <c r="H676" s="79" t="s">
        <v>152</v>
      </c>
      <c r="I676" s="79" t="s">
        <v>152</v>
      </c>
      <c r="J676" s="79" t="s">
        <v>3999</v>
      </c>
      <c r="K676" s="79" t="s">
        <v>155</v>
      </c>
      <c r="L676" s="80" t="s">
        <v>4716</v>
      </c>
      <c r="M676" s="80" t="s">
        <v>241</v>
      </c>
      <c r="N676" s="79" t="s">
        <v>1066</v>
      </c>
      <c r="O676" s="80" t="str">
        <f>_xlfn.TEXTJOIN(", ",TRUE,P676:AN676)</f>
        <v>Paola Andrea González, Nestor Jecfrid Sánchez, Reinaldo Terrios Andrade</v>
      </c>
      <c r="P676" s="79" t="s">
        <v>924</v>
      </c>
      <c r="Q676" s="79" t="s">
        <v>965</v>
      </c>
      <c r="R676" s="79" t="s">
        <v>675</v>
      </c>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t="s">
        <v>230</v>
      </c>
      <c r="AP676" s="79" t="s">
        <v>231</v>
      </c>
      <c r="AQ676" s="80" t="s">
        <v>4717</v>
      </c>
      <c r="AR676" s="83" t="s">
        <v>4718</v>
      </c>
      <c r="AS676" s="80" t="s">
        <v>4719</v>
      </c>
      <c r="AT676" s="80" t="str">
        <f>_xlfn.TEXTJOIN(", ",TRUE,$AU676:$AY676)</f>
        <v>Kennedy</v>
      </c>
      <c r="AU676" s="79" t="s">
        <v>731</v>
      </c>
      <c r="AV676" s="79"/>
      <c r="AW676" s="79"/>
      <c r="AX676" s="79"/>
      <c r="AY676" s="79"/>
      <c r="AZ676" s="79"/>
      <c r="BA676" s="80" t="str">
        <f>_xlfn.TEXTJOIN(", ",TRUE,$BB676:$BG676)</f>
        <v>Suroccidente</v>
      </c>
      <c r="BB676" s="79" t="s">
        <v>732</v>
      </c>
      <c r="BC676" s="79"/>
      <c r="BD676" s="79"/>
      <c r="BE676" s="79"/>
      <c r="BF676" s="79"/>
      <c r="BG676" s="79"/>
      <c r="BH676" s="80" t="str">
        <f>_xlfn.TEXTJOIN(", ",TRUE,$BI676:$BR676)</f>
        <v>Edén, Patio Bonito, Bosa, Kennedy, Tintal, Porvenir</v>
      </c>
      <c r="BI676" s="79" t="s">
        <v>1057</v>
      </c>
      <c r="BJ676" s="79" t="s">
        <v>967</v>
      </c>
      <c r="BK676" s="79" t="s">
        <v>730</v>
      </c>
      <c r="BL676" s="79" t="s">
        <v>731</v>
      </c>
      <c r="BM676" s="79" t="s">
        <v>1697</v>
      </c>
      <c r="BN676" s="79" t="s">
        <v>1058</v>
      </c>
      <c r="BO676" s="79"/>
      <c r="BP676" s="79"/>
      <c r="BQ676" s="79"/>
      <c r="BR676" s="79"/>
      <c r="BS676" s="80" t="s">
        <v>1697</v>
      </c>
      <c r="BT676" s="80" t="s">
        <v>174</v>
      </c>
      <c r="BU676" s="80" t="s">
        <v>4720</v>
      </c>
      <c r="BV676" s="71"/>
      <c r="BW676" s="79" t="s">
        <v>152</v>
      </c>
      <c r="BX676" s="79" t="s">
        <v>179</v>
      </c>
      <c r="BY676" s="71"/>
      <c r="BZ676" s="79">
        <v>8</v>
      </c>
      <c r="CA676" s="79">
        <v>3</v>
      </c>
      <c r="CB676" s="79">
        <f>BZ676+CA676</f>
        <v>11</v>
      </c>
      <c r="CC676" s="79" t="str">
        <f>_xlfn.TEXTJOIN(", ",TRUE,$CD676:$CF676)</f>
        <v>Horarios Acordes</v>
      </c>
      <c r="CD676" s="79" t="s">
        <v>351</v>
      </c>
      <c r="CE676" s="79"/>
      <c r="CF676" s="79"/>
      <c r="CG676" s="83" t="s">
        <v>4721</v>
      </c>
      <c r="CH676" s="41"/>
      <c r="CI676" s="79" t="s">
        <v>153</v>
      </c>
      <c r="CJ676" s="71"/>
      <c r="CK676" s="79">
        <f>COUNTIF(CL676:CQ676,"*")</f>
        <v>0</v>
      </c>
      <c r="CL676" s="79"/>
      <c r="CM676" s="79"/>
      <c r="CN676" s="79"/>
      <c r="CO676" s="79"/>
      <c r="CP676" s="79"/>
      <c r="CQ676" s="79"/>
      <c r="CR676" s="83" t="s">
        <v>179</v>
      </c>
      <c r="CS676" s="83" t="s">
        <v>179</v>
      </c>
      <c r="CT676" s="83" t="s">
        <v>179</v>
      </c>
      <c r="CU676" s="83" t="s">
        <v>179</v>
      </c>
      <c r="CV676" s="83" t="s">
        <v>179</v>
      </c>
      <c r="CW676" s="83" t="s">
        <v>179</v>
      </c>
      <c r="CX676" s="79" t="s">
        <v>153</v>
      </c>
      <c r="CY676" s="79">
        <f>SUM(COUNTIF(CR676:CW676,"Realizado y Devuelto a la Ciudadanía"),COUNTIF(CR676:CW676,"Realizado y Trasladado por competencia"), COUNTIF(CR676:CW676,"Realizado y Gestionado"))</f>
        <v>0</v>
      </c>
      <c r="CZ676" s="79">
        <v>0</v>
      </c>
      <c r="DA676" s="79">
        <f>COUNTIF(CR676:CW676,"Realizado y Devuelto a la Ciudadanía")</f>
        <v>0</v>
      </c>
      <c r="DB676" s="84" t="str">
        <f>IFERROR(CY676/CK676,"")</f>
        <v/>
      </c>
      <c r="DC676" s="41"/>
      <c r="DD676" s="79" t="s">
        <v>153</v>
      </c>
      <c r="DE676" s="71"/>
      <c r="DF676" s="127" t="s">
        <v>4722</v>
      </c>
      <c r="DG676" s="79">
        <v>664</v>
      </c>
      <c r="DH676" s="86" t="str">
        <f>IF(EE676="Por completar",C676+3,"Completo")</f>
        <v>Completo</v>
      </c>
      <c r="DI676" s="79" t="s">
        <v>181</v>
      </c>
      <c r="DJ676" s="79" t="s">
        <v>182</v>
      </c>
      <c r="DK676" s="79"/>
      <c r="DL676" s="79">
        <v>0</v>
      </c>
      <c r="DM676" s="79">
        <v>0</v>
      </c>
      <c r="DN676" s="79" t="s">
        <v>182</v>
      </c>
      <c r="DO676" s="79">
        <v>5</v>
      </c>
      <c r="DP676" s="79"/>
      <c r="DQ676" s="79"/>
      <c r="DR676" s="75" t="str">
        <f>IF(H676="SÍ", (DQ676/(BZ676*0.3)), "No aplica")</f>
        <v>No aplica</v>
      </c>
      <c r="DS676" s="79"/>
      <c r="DT676" s="79"/>
      <c r="DU676" s="75" t="str">
        <f>IF(H676="SÍ", (DT676/(BZ676*0.35)), "No aplica")</f>
        <v>No aplica</v>
      </c>
      <c r="DV676" s="79" t="s">
        <v>182</v>
      </c>
      <c r="DW676" s="79"/>
      <c r="DX676" s="79"/>
      <c r="DY676" s="79"/>
      <c r="DZ676" s="79"/>
      <c r="EA676" s="79"/>
      <c r="EB676" s="79"/>
      <c r="EC676" s="79"/>
      <c r="ED676" s="79" t="s">
        <v>3912</v>
      </c>
      <c r="EE676" s="79" t="str">
        <f>IF(DI676="Subsanado","Completo","Por Completar")</f>
        <v>Completo</v>
      </c>
      <c r="EF676" s="41"/>
      <c r="EG676" s="79" t="s">
        <v>153</v>
      </c>
      <c r="EH676" s="71"/>
      <c r="EI676" s="80"/>
      <c r="EJ676" s="71"/>
      <c r="EK676" s="79"/>
      <c r="EL676" s="87" t="str">
        <f>IF(F676="NO","No requiere",IF(H676="No","No requiere",IF(DW676="","",IF(DW676&lt;&gt;"No aplica",IF(DX676&lt;&gt;"No aplica",IF(DX676&gt;=2,"Sí","No"),"No aplica"),"No aplica"))))</f>
        <v>No requiere</v>
      </c>
      <c r="EM676" s="87" t="str">
        <f>IF(F676="NO","No requiere",IF(H676="No","No requiere",IF(DW676="","",IF(DW676&lt;&gt;"No aplica",IF(DY676&lt;&gt;"No aplica",IF(DY676&gt;=1,"Sí","No"),"No aplica"),"No aplica"))))</f>
        <v>No requiere</v>
      </c>
      <c r="EN676" s="87" t="str">
        <f>IF(F676="NO","No requiere",IF(H676="No","No requiere",IF(CC676="","",IF(CD676&lt;&gt;"No aplica",IF(CD676&lt;&gt;"Ninguna",IF(COUNTIF(CD676:CF676,"*")&gt;=1,"Sí","No"),"No"),"No aplica"))))</f>
        <v>No requiere</v>
      </c>
      <c r="EO676" s="71"/>
      <c r="EP676" s="84" t="str">
        <f>IF(F676="NO","No requiere",IF(H676="No","No requiere",IF(DL676="","",IF(DL676&gt;=1,DM676/DL676,"No aplica"))))</f>
        <v>No requiere</v>
      </c>
      <c r="EQ676" s="88" t="str">
        <f>IFERROR(IF(F676="NO","No requiere",IF(H676="No","No requiere",DU676)),"")</f>
        <v>No requiere</v>
      </c>
      <c r="ER676" s="71"/>
      <c r="ES676" s="79"/>
      <c r="ET676" s="84" t="str">
        <f>IF(F676="NO","No requiere",IF(H676="No","No requiere",IFERROR(COUNTIF(DJ676:DW676,"Completo")/SUM(COUNTIF(DJ676:DW676,"Completo"),COUNTIF(DJ676:DW676,"Incompleto"),COUNTIF(DJ676:DW676,"No subido"),COUNTIF(DJ676:DW676,"No existente"),COUNTIF(DJ676:DW676,"Pendiente")),"")))</f>
        <v>No requiere</v>
      </c>
      <c r="EU676" s="84" t="str">
        <f>IF(F676="NO","No requiere",IF(H676="No","No requiere",IF(B676="","",IF(CX676="SÍ",IF(CK676&gt;=1,CY676/CK676,"Sin compromisos"),"Por verificar"))))</f>
        <v>No requiere</v>
      </c>
      <c r="EV676" s="84" t="str">
        <f>IF(EU676="Por verificar","Por verificar",IF(F676="NO","No requiere",IF(H676="No","No requiere",IFERROR(IF(EU676="","",IF(CK676&gt;=1,DA676/CZ676,"No aplica")),"No aplica"))))</f>
        <v>No requiere</v>
      </c>
      <c r="EW676" s="84" t="str">
        <f>IF(F676="NO","No requiere",IF(H676="No","No requiere",IFERROR(IF(BZ676="","",IF(EA676&lt;&gt;"No aplica",IF(EA676&gt;=1,DO676/EA676,"0%"),"No aplica")),"")))</f>
        <v>No requiere</v>
      </c>
      <c r="EX676" s="78"/>
      <c r="EY676" s="78"/>
    </row>
    <row r="677" spans="1:157" ht="46.5" customHeight="1">
      <c r="A677" s="79">
        <v>673</v>
      </c>
      <c r="B677" s="80" t="s">
        <v>4723</v>
      </c>
      <c r="C677" s="81">
        <v>45478</v>
      </c>
      <c r="D677" s="82">
        <v>0.66666666666666663</v>
      </c>
      <c r="E677" s="79" t="s">
        <v>151</v>
      </c>
      <c r="F677" s="79" t="s">
        <v>153</v>
      </c>
      <c r="G677" s="79" t="s">
        <v>153</v>
      </c>
      <c r="H677" s="79" t="s">
        <v>153</v>
      </c>
      <c r="I677" s="79" t="s">
        <v>153</v>
      </c>
      <c r="J677" s="79" t="s">
        <v>3324</v>
      </c>
      <c r="K677" s="79" t="s">
        <v>155</v>
      </c>
      <c r="L677" s="80" t="s">
        <v>4724</v>
      </c>
      <c r="M677" s="80" t="s">
        <v>229</v>
      </c>
      <c r="N677" s="79" t="s">
        <v>644</v>
      </c>
      <c r="O677" s="80" t="str">
        <f t="shared" si="636"/>
        <v>Nathalia Guzmán Martínez, Armando Alberto Montañez, William Arturo González, Nicolás Enrique Moncaleano</v>
      </c>
      <c r="P677" s="79" t="s">
        <v>166</v>
      </c>
      <c r="Q677" s="129" t="s">
        <v>1387</v>
      </c>
      <c r="R677" s="79" t="s">
        <v>2786</v>
      </c>
      <c r="S677" s="79" t="s">
        <v>966</v>
      </c>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t="s">
        <v>304</v>
      </c>
      <c r="AP677" s="79"/>
      <c r="AQ677" s="80" t="s">
        <v>4725</v>
      </c>
      <c r="AR677" s="83" t="s">
        <v>4726</v>
      </c>
      <c r="AS677" s="80" t="s">
        <v>4727</v>
      </c>
      <c r="AT677" s="80" t="str">
        <f t="shared" si="545"/>
        <v>Puente Aranda</v>
      </c>
      <c r="AU677" s="79" t="s">
        <v>1235</v>
      </c>
      <c r="AV677" s="79"/>
      <c r="AW677" s="79"/>
      <c r="AX677" s="79"/>
      <c r="AY677" s="79"/>
      <c r="AZ677" s="79"/>
      <c r="BA677" s="80" t="str">
        <f t="shared" si="562"/>
        <v>Centro Ampliado</v>
      </c>
      <c r="BB677" s="79" t="s">
        <v>636</v>
      </c>
      <c r="BC677" s="79"/>
      <c r="BD677" s="79"/>
      <c r="BE677" s="79"/>
      <c r="BF677" s="79"/>
      <c r="BG677" s="79"/>
      <c r="BH677" s="80" t="str">
        <f t="shared" si="563"/>
        <v>Puente Aranda</v>
      </c>
      <c r="BI677" s="79" t="s">
        <v>1235</v>
      </c>
      <c r="BJ677" s="79"/>
      <c r="BK677" s="79"/>
      <c r="BL677" s="79"/>
      <c r="BM677" s="79"/>
      <c r="BN677" s="79"/>
      <c r="BO677" s="79"/>
      <c r="BP677" s="79"/>
      <c r="BQ677" s="79"/>
      <c r="BR677" s="79"/>
      <c r="BS677" s="80" t="s">
        <v>1235</v>
      </c>
      <c r="BT677" s="80" t="s">
        <v>236</v>
      </c>
      <c r="BU677" s="80" t="s">
        <v>4728</v>
      </c>
      <c r="BV677" s="71"/>
      <c r="BW677" s="79" t="s">
        <v>152</v>
      </c>
      <c r="BX677" s="79" t="s">
        <v>179</v>
      </c>
      <c r="BY677" s="71"/>
      <c r="BZ677" s="79">
        <v>13</v>
      </c>
      <c r="CA677" s="79">
        <v>10</v>
      </c>
      <c r="CB677" s="79">
        <f t="shared" ref="CB677:CB681" si="706">BZ677+CA677</f>
        <v>23</v>
      </c>
      <c r="CC677" s="79" t="str">
        <f t="shared" si="382"/>
        <v>Accesibilidad Universal</v>
      </c>
      <c r="CD677" s="79" t="s">
        <v>397</v>
      </c>
      <c r="CE677" s="79"/>
      <c r="CF677" s="79"/>
      <c r="CG677" s="83" t="s">
        <v>4729</v>
      </c>
      <c r="CH677" s="41"/>
      <c r="CI677" s="79" t="s">
        <v>153</v>
      </c>
      <c r="CJ677" s="71"/>
      <c r="CK677" s="79">
        <f>COUNTIF(CL677:CQ677,"*")</f>
        <v>1</v>
      </c>
      <c r="CL677" s="79" t="s">
        <v>4730</v>
      </c>
      <c r="CM677" s="79"/>
      <c r="CN677" s="79"/>
      <c r="CO677" s="79"/>
      <c r="CP677" s="79"/>
      <c r="CQ677" s="79"/>
      <c r="CR677" s="83" t="s">
        <v>390</v>
      </c>
      <c r="CS677" s="83" t="s">
        <v>179</v>
      </c>
      <c r="CT677" s="83" t="s">
        <v>179</v>
      </c>
      <c r="CU677" s="83" t="s">
        <v>179</v>
      </c>
      <c r="CV677" s="83" t="s">
        <v>179</v>
      </c>
      <c r="CW677" s="83" t="s">
        <v>179</v>
      </c>
      <c r="CX677" s="79" t="s">
        <v>153</v>
      </c>
      <c r="CY677" s="79">
        <f t="shared" ref="CY677:CY681" si="707">SUM(COUNTIF(CR677:CW677,"Realizado y Devuelto a la Ciudadanía"),COUNTIF(CR677:CW677,"Realizado y Trasladado por competencia"), COUNTIF(CR677:CW677,"Realizado y Gestionado"))</f>
        <v>1</v>
      </c>
      <c r="CZ677" s="79">
        <v>0</v>
      </c>
      <c r="DA677" s="79">
        <f t="shared" ref="DA677:DA681" si="708">COUNTIF(CR677:CW677,"Realizado y Devuelto a la Ciudadanía")</f>
        <v>1</v>
      </c>
      <c r="DB677" s="84">
        <f t="shared" ref="DB677:DB681" si="709">IFERROR(CY677/CK677,"")</f>
        <v>1</v>
      </c>
      <c r="DC677" s="41"/>
      <c r="DD677" s="79" t="s">
        <v>153</v>
      </c>
      <c r="DE677" s="71"/>
      <c r="DF677" s="160" t="s">
        <v>4731</v>
      </c>
      <c r="DG677" s="79">
        <v>665</v>
      </c>
      <c r="DH677" s="86" t="str">
        <f t="shared" si="537"/>
        <v>Completo</v>
      </c>
      <c r="DI677" s="79" t="s">
        <v>181</v>
      </c>
      <c r="DJ677" s="79" t="s">
        <v>182</v>
      </c>
      <c r="DK677" s="79" t="s">
        <v>153</v>
      </c>
      <c r="DL677" s="79">
        <v>7</v>
      </c>
      <c r="DM677" s="79">
        <v>7</v>
      </c>
      <c r="DN677" s="79" t="s">
        <v>182</v>
      </c>
      <c r="DO677" s="79">
        <v>180</v>
      </c>
      <c r="DP677" s="79" t="s">
        <v>182</v>
      </c>
      <c r="DQ677" s="79">
        <v>6</v>
      </c>
      <c r="DR677" s="75">
        <f t="shared" si="576"/>
        <v>1.5384615384615385</v>
      </c>
      <c r="DS677" s="79" t="s">
        <v>182</v>
      </c>
      <c r="DT677" s="79"/>
      <c r="DU677" s="75">
        <f t="shared" si="577"/>
        <v>0</v>
      </c>
      <c r="DV677" s="79" t="s">
        <v>182</v>
      </c>
      <c r="DW677" s="79" t="s">
        <v>182</v>
      </c>
      <c r="DX677" s="79">
        <v>2</v>
      </c>
      <c r="DY677" s="79"/>
      <c r="DZ677" s="79"/>
      <c r="EA677" s="79">
        <v>180</v>
      </c>
      <c r="EB677" s="79" t="s">
        <v>182</v>
      </c>
      <c r="EC677" s="79" t="s">
        <v>4732</v>
      </c>
      <c r="ED677" s="79" t="s">
        <v>4733</v>
      </c>
      <c r="EE677" s="79" t="str">
        <f t="shared" ref="EE677:EE681" si="710">IF(DI677="Subsanado","Completo","Por Completar")</f>
        <v>Completo</v>
      </c>
      <c r="EF677" s="41"/>
      <c r="EG677" s="79" t="s">
        <v>153</v>
      </c>
      <c r="EH677" s="71"/>
      <c r="EI677" s="199" t="s">
        <v>4734</v>
      </c>
      <c r="EJ677" s="71"/>
      <c r="EK677" s="79" t="s">
        <v>393</v>
      </c>
      <c r="EL677" s="87" t="str">
        <f t="shared" si="465"/>
        <v>Sí</v>
      </c>
      <c r="EM677" s="87" t="str">
        <f t="shared" si="466"/>
        <v>No</v>
      </c>
      <c r="EN677" s="87" t="str">
        <f t="shared" ref="EN677:EN681" si="711">IF(F677="NO","No requiere",IF(H677="No","No requiere",IF(CC677="","",IF(CD677&lt;&gt;"No aplica",IF(CD677&lt;&gt;"Ninguna",IF(COUNTIF(CD677:CF677,"*")&gt;=1,"Sí","No"),"No"),"No aplica"))))</f>
        <v>Sí</v>
      </c>
      <c r="EO677" s="71"/>
      <c r="EP677" s="84">
        <f t="shared" si="467"/>
        <v>1</v>
      </c>
      <c r="EQ677" s="88">
        <f t="shared" si="468"/>
        <v>0</v>
      </c>
      <c r="ER677" s="71"/>
      <c r="ES677" s="79" t="s">
        <v>393</v>
      </c>
      <c r="ET677" s="84">
        <f t="shared" si="469"/>
        <v>1</v>
      </c>
      <c r="EU677" s="84">
        <f t="shared" ref="EU677:EU681" si="712">IF(F677="NO","No requiere",IF(H677="No","No requiere",IF(B677="","",IF(CX677="SÍ",IF(CK677&gt;=1,CY677/CK677,"Sin compromisos"),"Por verificar"))))</f>
        <v>1</v>
      </c>
      <c r="EV677" s="84" t="str">
        <f t="shared" si="470"/>
        <v>No aplica</v>
      </c>
      <c r="EW677" s="84">
        <f t="shared" si="581"/>
        <v>1</v>
      </c>
      <c r="EX677" s="78"/>
      <c r="EY677" s="78"/>
    </row>
    <row r="678" spans="1:157" ht="46.5" customHeight="1">
      <c r="A678" s="79">
        <v>674</v>
      </c>
      <c r="B678" s="80" t="s">
        <v>4735</v>
      </c>
      <c r="C678" s="81">
        <v>45478</v>
      </c>
      <c r="D678" s="82">
        <v>0.70833333333333337</v>
      </c>
      <c r="E678" s="79" t="s">
        <v>200</v>
      </c>
      <c r="F678" s="79" t="s">
        <v>153</v>
      </c>
      <c r="G678" s="79" t="s">
        <v>152</v>
      </c>
      <c r="H678" s="79" t="s">
        <v>152</v>
      </c>
      <c r="I678" s="79" t="s">
        <v>152</v>
      </c>
      <c r="J678" s="79" t="s">
        <v>211</v>
      </c>
      <c r="K678" s="79" t="s">
        <v>202</v>
      </c>
      <c r="L678" s="80" t="s">
        <v>4736</v>
      </c>
      <c r="M678" s="80" t="s">
        <v>624</v>
      </c>
      <c r="N678" s="79" t="s">
        <v>524</v>
      </c>
      <c r="O678" s="80" t="s">
        <v>316</v>
      </c>
      <c r="P678" s="79"/>
      <c r="Q678" s="12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t="s">
        <v>230</v>
      </c>
      <c r="AP678" s="79" t="s">
        <v>242</v>
      </c>
      <c r="AQ678" s="80" t="s">
        <v>4737</v>
      </c>
      <c r="AR678" s="83" t="s">
        <v>4297</v>
      </c>
      <c r="AS678" s="80" t="s">
        <v>4298</v>
      </c>
      <c r="AT678" s="80" t="str">
        <f>_xlfn.TEXTJOIN(", ",TRUE,$AU678:$AY678)</f>
        <v>Distrital</v>
      </c>
      <c r="AU678" s="79" t="s">
        <v>172</v>
      </c>
      <c r="AV678" s="79"/>
      <c r="AW678" s="79"/>
      <c r="AX678" s="79"/>
      <c r="AY678" s="79"/>
      <c r="AZ678" s="79"/>
      <c r="BA678" s="80" t="str">
        <f>_xlfn.TEXTJOIN(", ",TRUE,$BB678:$BG678)</f>
        <v>Distrital</v>
      </c>
      <c r="BB678" s="79" t="s">
        <v>172</v>
      </c>
      <c r="BC678" s="79"/>
      <c r="BD678" s="79"/>
      <c r="BE678" s="79"/>
      <c r="BF678" s="79"/>
      <c r="BG678" s="79"/>
      <c r="BH678" s="80" t="str">
        <f>_xlfn.TEXTJOIN(", ",TRUE,$BI678:$BR678)</f>
        <v>Distrital</v>
      </c>
      <c r="BI678" s="79" t="s">
        <v>172</v>
      </c>
      <c r="BJ678" s="79"/>
      <c r="BK678" s="79"/>
      <c r="BL678" s="79"/>
      <c r="BM678" s="79"/>
      <c r="BN678" s="79"/>
      <c r="BO678" s="79"/>
      <c r="BP678" s="79"/>
      <c r="BQ678" s="79"/>
      <c r="BR678" s="79"/>
      <c r="BS678" s="80" t="s">
        <v>288</v>
      </c>
      <c r="BT678" s="80" t="s">
        <v>174</v>
      </c>
      <c r="BU678" s="128" t="s">
        <v>3931</v>
      </c>
      <c r="BV678" s="71"/>
      <c r="BW678" s="79" t="s">
        <v>152</v>
      </c>
      <c r="BX678" s="79" t="s">
        <v>179</v>
      </c>
      <c r="BY678" s="71"/>
      <c r="BZ678" s="79">
        <v>11</v>
      </c>
      <c r="CA678" s="79">
        <v>2</v>
      </c>
      <c r="CB678" s="79">
        <v>0</v>
      </c>
      <c r="CC678" s="79" t="str">
        <f>_xlfn.TEXTJOIN(", ",TRUE,$CD678:$CF678)</f>
        <v>Ninguna</v>
      </c>
      <c r="CD678" s="79" t="s">
        <v>174</v>
      </c>
      <c r="CE678" s="79"/>
      <c r="CF678" s="79"/>
      <c r="CG678" s="83" t="s">
        <v>4738</v>
      </c>
      <c r="CH678" s="41"/>
      <c r="CI678" s="79" t="s">
        <v>153</v>
      </c>
      <c r="CJ678" s="71"/>
      <c r="CK678" s="79">
        <v>0</v>
      </c>
      <c r="CL678" s="79"/>
      <c r="CM678" s="79"/>
      <c r="CN678" s="79"/>
      <c r="CO678" s="79"/>
      <c r="CP678" s="79"/>
      <c r="CQ678" s="79"/>
      <c r="CR678" s="83" t="s">
        <v>179</v>
      </c>
      <c r="CS678" s="83" t="s">
        <v>179</v>
      </c>
      <c r="CT678" s="83" t="s">
        <v>179</v>
      </c>
      <c r="CU678" s="83" t="s">
        <v>179</v>
      </c>
      <c r="CV678" s="83" t="s">
        <v>179</v>
      </c>
      <c r="CW678" s="83" t="s">
        <v>179</v>
      </c>
      <c r="CX678" s="79" t="s">
        <v>153</v>
      </c>
      <c r="CY678" s="79">
        <v>0</v>
      </c>
      <c r="CZ678" s="79">
        <v>0</v>
      </c>
      <c r="DA678" s="79">
        <v>0</v>
      </c>
      <c r="DB678" s="84" t="s">
        <v>316</v>
      </c>
      <c r="DC678" s="41"/>
      <c r="DD678" s="79" t="s">
        <v>153</v>
      </c>
      <c r="DE678" s="71"/>
      <c r="DF678" s="160" t="s">
        <v>4739</v>
      </c>
      <c r="DG678" s="79">
        <v>666</v>
      </c>
      <c r="DH678" s="86" t="str">
        <f>IF(EE678="Por completar",C678+3,"Completo")</f>
        <v>Completo</v>
      </c>
      <c r="DI678" s="79" t="s">
        <v>181</v>
      </c>
      <c r="DJ678" s="79" t="s">
        <v>182</v>
      </c>
      <c r="DK678" s="79"/>
      <c r="DL678" s="79">
        <v>0</v>
      </c>
      <c r="DM678" s="79">
        <v>0</v>
      </c>
      <c r="DN678" s="79" t="s">
        <v>182</v>
      </c>
      <c r="DO678" s="79"/>
      <c r="DP678" s="79"/>
      <c r="DQ678" s="79"/>
      <c r="DR678" s="75" t="s">
        <v>179</v>
      </c>
      <c r="DS678" s="79"/>
      <c r="DT678" s="79"/>
      <c r="DU678" s="75" t="s">
        <v>179</v>
      </c>
      <c r="DV678" s="79" t="s">
        <v>182</v>
      </c>
      <c r="DW678" s="79" t="s">
        <v>182</v>
      </c>
      <c r="DX678" s="79"/>
      <c r="DY678" s="79"/>
      <c r="DZ678" s="79"/>
      <c r="EA678" s="79"/>
      <c r="EB678" s="79"/>
      <c r="EC678" s="79"/>
      <c r="ED678" s="79" t="s">
        <v>4740</v>
      </c>
      <c r="EE678" s="79" t="str">
        <f t="shared" si="710"/>
        <v>Completo</v>
      </c>
      <c r="EF678" s="41"/>
      <c r="EG678" s="79" t="s">
        <v>153</v>
      </c>
      <c r="EH678" s="71"/>
      <c r="EI678" s="80"/>
      <c r="EJ678" s="71"/>
      <c r="EK678" s="79"/>
      <c r="EL678" s="87" t="s">
        <v>316</v>
      </c>
      <c r="EM678" s="87" t="s">
        <v>316</v>
      </c>
      <c r="EN678" s="87" t="s">
        <v>316</v>
      </c>
      <c r="EO678" s="71"/>
      <c r="EP678" s="84" t="s">
        <v>179</v>
      </c>
      <c r="EQ678" s="88" t="s">
        <v>179</v>
      </c>
      <c r="ER678" s="71"/>
      <c r="ES678" s="79"/>
      <c r="ET678" s="84" t="s">
        <v>316</v>
      </c>
      <c r="EU678" s="84" t="s">
        <v>316</v>
      </c>
      <c r="EV678" s="84" t="s">
        <v>316</v>
      </c>
      <c r="EW678" s="84" t="s">
        <v>316</v>
      </c>
      <c r="EX678" s="78"/>
      <c r="EY678" s="78"/>
    </row>
    <row r="679" spans="1:157" ht="46.5" customHeight="1">
      <c r="A679" s="79">
        <v>675</v>
      </c>
      <c r="B679" s="80" t="s">
        <v>4741</v>
      </c>
      <c r="C679" s="81">
        <v>45478</v>
      </c>
      <c r="D679" s="82">
        <v>0.70833333333333337</v>
      </c>
      <c r="E679" s="79" t="s">
        <v>151</v>
      </c>
      <c r="F679" s="79" t="s">
        <v>153</v>
      </c>
      <c r="G679" s="79" t="s">
        <v>152</v>
      </c>
      <c r="H679" s="79" t="s">
        <v>152</v>
      </c>
      <c r="I679" s="79" t="s">
        <v>152</v>
      </c>
      <c r="J679" s="79" t="s">
        <v>3175</v>
      </c>
      <c r="K679" s="79" t="s">
        <v>155</v>
      </c>
      <c r="L679" s="80" t="s">
        <v>4742</v>
      </c>
      <c r="M679" s="80" t="s">
        <v>229</v>
      </c>
      <c r="N679" s="79" t="s">
        <v>675</v>
      </c>
      <c r="O679" s="80" t="str">
        <f t="shared" ref="O679:O681" si="713">_xlfn.TEXTJOIN(", ",TRUE,P679:AN679)</f>
        <v>William Jair Gil</v>
      </c>
      <c r="P679" s="79" t="s">
        <v>862</v>
      </c>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t="s">
        <v>304</v>
      </c>
      <c r="AP679" s="79"/>
      <c r="AQ679" s="80" t="s">
        <v>4743</v>
      </c>
      <c r="AR679" s="83" t="s">
        <v>171</v>
      </c>
      <c r="AS679" s="80" t="s">
        <v>4744</v>
      </c>
      <c r="AT679" s="80" t="str">
        <f t="shared" si="545"/>
        <v>Bosa</v>
      </c>
      <c r="AU679" s="79" t="s">
        <v>730</v>
      </c>
      <c r="AV679" s="79"/>
      <c r="AW679" s="79"/>
      <c r="AX679" s="79"/>
      <c r="AY679" s="79"/>
      <c r="AZ679" s="79"/>
      <c r="BA679" s="80" t="str">
        <f t="shared" si="562"/>
        <v>Suroccidente</v>
      </c>
      <c r="BB679" s="79" t="s">
        <v>732</v>
      </c>
      <c r="BC679" s="79"/>
      <c r="BD679" s="79"/>
      <c r="BE679" s="79"/>
      <c r="BF679" s="79"/>
      <c r="BG679" s="79"/>
      <c r="BH679" s="80" t="str">
        <f t="shared" si="563"/>
        <v>Edén, Patio Bonito, Bosa</v>
      </c>
      <c r="BI679" s="79" t="s">
        <v>1057</v>
      </c>
      <c r="BJ679" s="79" t="s">
        <v>967</v>
      </c>
      <c r="BK679" s="79" t="s">
        <v>730</v>
      </c>
      <c r="BL679" s="79"/>
      <c r="BM679" s="79"/>
      <c r="BN679" s="79"/>
      <c r="BO679" s="79"/>
      <c r="BP679" s="79"/>
      <c r="BQ679" s="79"/>
      <c r="BR679" s="79"/>
      <c r="BS679" s="80" t="s">
        <v>730</v>
      </c>
      <c r="BT679" s="80" t="s">
        <v>174</v>
      </c>
      <c r="BU679" s="80" t="s">
        <v>4745</v>
      </c>
      <c r="BV679" s="71"/>
      <c r="BW679" s="79" t="s">
        <v>152</v>
      </c>
      <c r="BX679" s="79" t="s">
        <v>179</v>
      </c>
      <c r="BY679" s="71"/>
      <c r="BZ679" s="79">
        <v>11</v>
      </c>
      <c r="CA679" s="79">
        <v>2</v>
      </c>
      <c r="CB679" s="79">
        <f t="shared" si="706"/>
        <v>13</v>
      </c>
      <c r="CC679" s="79" t="str">
        <f t="shared" si="382"/>
        <v>Ninguna</v>
      </c>
      <c r="CD679" s="79" t="s">
        <v>174</v>
      </c>
      <c r="CE679" s="79"/>
      <c r="CF679" s="79"/>
      <c r="CG679" s="83" t="s">
        <v>4746</v>
      </c>
      <c r="CH679" s="41"/>
      <c r="CI679" s="79" t="s">
        <v>153</v>
      </c>
      <c r="CJ679" s="71"/>
      <c r="CK679" s="79">
        <f t="shared" ref="CK679:CK680" si="714">COUNTIF(CL679:CQ679,"*")</f>
        <v>0</v>
      </c>
      <c r="CL679" s="79"/>
      <c r="CM679" s="79"/>
      <c r="CN679" s="79"/>
      <c r="CO679" s="79"/>
      <c r="CP679" s="79"/>
      <c r="CQ679" s="79"/>
      <c r="CR679" s="83" t="s">
        <v>179</v>
      </c>
      <c r="CS679" s="83" t="s">
        <v>179</v>
      </c>
      <c r="CT679" s="83" t="s">
        <v>179</v>
      </c>
      <c r="CU679" s="83" t="s">
        <v>179</v>
      </c>
      <c r="CV679" s="83" t="s">
        <v>179</v>
      </c>
      <c r="CW679" s="83" t="s">
        <v>179</v>
      </c>
      <c r="CX679" s="79" t="s">
        <v>153</v>
      </c>
      <c r="CY679" s="79">
        <f t="shared" si="707"/>
        <v>0</v>
      </c>
      <c r="CZ679" s="79">
        <v>0</v>
      </c>
      <c r="DA679" s="79">
        <f t="shared" si="708"/>
        <v>0</v>
      </c>
      <c r="DB679" s="84" t="str">
        <f t="shared" si="709"/>
        <v/>
      </c>
      <c r="DC679" s="41"/>
      <c r="DD679" s="79" t="s">
        <v>153</v>
      </c>
      <c r="DE679" s="71"/>
      <c r="DF679" s="127" t="s">
        <v>4747</v>
      </c>
      <c r="DG679" s="79">
        <v>667</v>
      </c>
      <c r="DH679" s="86" t="str">
        <f t="shared" si="537"/>
        <v>Completo</v>
      </c>
      <c r="DI679" s="79" t="s">
        <v>181</v>
      </c>
      <c r="DJ679" s="79" t="s">
        <v>182</v>
      </c>
      <c r="DK679" s="79"/>
      <c r="DL679" s="79">
        <v>0</v>
      </c>
      <c r="DM679" s="79">
        <v>0</v>
      </c>
      <c r="DN679" s="79" t="s">
        <v>182</v>
      </c>
      <c r="DO679" s="79"/>
      <c r="DP679" s="79"/>
      <c r="DQ679" s="79"/>
      <c r="DR679" s="75" t="str">
        <f t="shared" si="576"/>
        <v>No aplica</v>
      </c>
      <c r="DS679" s="79"/>
      <c r="DT679" s="79"/>
      <c r="DU679" s="75" t="str">
        <f t="shared" si="577"/>
        <v>No aplica</v>
      </c>
      <c r="DV679" s="79" t="s">
        <v>182</v>
      </c>
      <c r="DW679" s="79" t="s">
        <v>182</v>
      </c>
      <c r="DX679" s="79"/>
      <c r="DY679" s="79"/>
      <c r="DZ679" s="79"/>
      <c r="EA679" s="79"/>
      <c r="EB679" s="79"/>
      <c r="EC679" s="79"/>
      <c r="ED679" s="79" t="s">
        <v>3732</v>
      </c>
      <c r="EE679" s="79" t="str">
        <f t="shared" si="710"/>
        <v>Completo</v>
      </c>
      <c r="EF679" s="41"/>
      <c r="EG679" s="79" t="s">
        <v>153</v>
      </c>
      <c r="EH679" s="71"/>
      <c r="EI679" s="80"/>
      <c r="EJ679" s="71"/>
      <c r="EK679" s="79"/>
      <c r="EL679" s="87" t="str">
        <f t="shared" si="465"/>
        <v>No requiere</v>
      </c>
      <c r="EM679" s="87" t="str">
        <f t="shared" si="466"/>
        <v>No requiere</v>
      </c>
      <c r="EN679" s="87" t="str">
        <f t="shared" si="711"/>
        <v>No requiere</v>
      </c>
      <c r="EO679" s="71"/>
      <c r="EP679" s="84" t="str">
        <f t="shared" si="467"/>
        <v>No requiere</v>
      </c>
      <c r="EQ679" s="88" t="str">
        <f t="shared" si="468"/>
        <v>No requiere</v>
      </c>
      <c r="ER679" s="71"/>
      <c r="ES679" s="79"/>
      <c r="ET679" s="84" t="str">
        <f t="shared" si="469"/>
        <v>No requiere</v>
      </c>
      <c r="EU679" s="84" t="str">
        <f t="shared" si="712"/>
        <v>No requiere</v>
      </c>
      <c r="EV679" s="84" t="str">
        <f t="shared" si="470"/>
        <v>No requiere</v>
      </c>
      <c r="EW679" s="84" t="str">
        <f t="shared" si="581"/>
        <v>No requiere</v>
      </c>
      <c r="EX679" s="78"/>
      <c r="EY679" s="78"/>
    </row>
    <row r="680" spans="1:157" ht="46.5" customHeight="1">
      <c r="A680" s="79">
        <v>676</v>
      </c>
      <c r="B680" s="80" t="s">
        <v>4748</v>
      </c>
      <c r="C680" s="81">
        <v>45479</v>
      </c>
      <c r="D680" s="82">
        <v>0.375</v>
      </c>
      <c r="E680" s="79" t="s">
        <v>151</v>
      </c>
      <c r="F680" s="79" t="s">
        <v>153</v>
      </c>
      <c r="G680" s="79" t="s">
        <v>152</v>
      </c>
      <c r="H680" s="79" t="s">
        <v>152</v>
      </c>
      <c r="I680" s="79" t="s">
        <v>152</v>
      </c>
      <c r="J680" s="79" t="s">
        <v>272</v>
      </c>
      <c r="K680" s="79" t="s">
        <v>155</v>
      </c>
      <c r="L680" s="80" t="s">
        <v>4749</v>
      </c>
      <c r="M680" s="80" t="s">
        <v>303</v>
      </c>
      <c r="N680" s="79" t="s">
        <v>720</v>
      </c>
      <c r="O680" s="80" t="str">
        <f t="shared" si="713"/>
        <v/>
      </c>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t="s">
        <v>230</v>
      </c>
      <c r="AP680" s="79" t="s">
        <v>231</v>
      </c>
      <c r="AQ680" s="80" t="s">
        <v>2754</v>
      </c>
      <c r="AR680" s="83" t="s">
        <v>4750</v>
      </c>
      <c r="AS680" s="80" t="s">
        <v>4496</v>
      </c>
      <c r="AT680" s="80" t="str">
        <f t="shared" si="545"/>
        <v>Ciudad Bolívar</v>
      </c>
      <c r="AU680" s="79" t="s">
        <v>217</v>
      </c>
      <c r="AV680" s="79"/>
      <c r="AW680" s="79"/>
      <c r="AX680" s="79"/>
      <c r="AY680" s="79"/>
      <c r="AZ680" s="79"/>
      <c r="BA680" s="80" t="str">
        <f t="shared" si="562"/>
        <v>Suroriente, Ruralidad</v>
      </c>
      <c r="BB680" s="79" t="s">
        <v>218</v>
      </c>
      <c r="BC680" s="79" t="s">
        <v>219</v>
      </c>
      <c r="BD680" s="79"/>
      <c r="BE680" s="79"/>
      <c r="BF680" s="79"/>
      <c r="BG680" s="79"/>
      <c r="BH680" s="80" t="str">
        <f t="shared" si="563"/>
        <v>Arborizadora, Cuenca del Tunjuelo, Cuenca del Tunjuelo</v>
      </c>
      <c r="BI680" s="79" t="s">
        <v>220</v>
      </c>
      <c r="BJ680" s="79" t="s">
        <v>222</v>
      </c>
      <c r="BK680" s="79" t="s">
        <v>222</v>
      </c>
      <c r="BL680" s="79"/>
      <c r="BM680" s="79"/>
      <c r="BN680" s="79"/>
      <c r="BO680" s="79"/>
      <c r="BP680" s="79"/>
      <c r="BQ680" s="79"/>
      <c r="BR680" s="79"/>
      <c r="BS680" s="80" t="s">
        <v>4751</v>
      </c>
      <c r="BT680" s="80" t="s">
        <v>174</v>
      </c>
      <c r="BU680" s="80" t="s">
        <v>4752</v>
      </c>
      <c r="BV680" s="71"/>
      <c r="BW680" s="79" t="s">
        <v>152</v>
      </c>
      <c r="BX680" s="79" t="s">
        <v>179</v>
      </c>
      <c r="BY680" s="71"/>
      <c r="BZ680" s="79">
        <v>28</v>
      </c>
      <c r="CA680" s="79">
        <v>2</v>
      </c>
      <c r="CB680" s="79">
        <f t="shared" si="706"/>
        <v>30</v>
      </c>
      <c r="CC680" s="79" t="str">
        <f t="shared" si="382"/>
        <v>Ninguna</v>
      </c>
      <c r="CD680" s="79" t="s">
        <v>174</v>
      </c>
      <c r="CE680" s="79"/>
      <c r="CF680" s="79"/>
      <c r="CG680" s="83" t="s">
        <v>4753</v>
      </c>
      <c r="CH680" s="41"/>
      <c r="CI680" s="79" t="s">
        <v>153</v>
      </c>
      <c r="CJ680" s="71"/>
      <c r="CK680" s="79">
        <f t="shared" si="714"/>
        <v>0</v>
      </c>
      <c r="CL680" s="79"/>
      <c r="CM680" s="79"/>
      <c r="CN680" s="79"/>
      <c r="CO680" s="79"/>
      <c r="CP680" s="79"/>
      <c r="CQ680" s="79"/>
      <c r="CR680" s="83" t="s">
        <v>179</v>
      </c>
      <c r="CS680" s="83" t="s">
        <v>179</v>
      </c>
      <c r="CT680" s="83" t="s">
        <v>179</v>
      </c>
      <c r="CU680" s="83" t="s">
        <v>179</v>
      </c>
      <c r="CV680" s="83" t="s">
        <v>179</v>
      </c>
      <c r="CW680" s="83" t="s">
        <v>179</v>
      </c>
      <c r="CX680" s="79" t="s">
        <v>153</v>
      </c>
      <c r="CY680" s="79">
        <f t="shared" si="707"/>
        <v>0</v>
      </c>
      <c r="CZ680" s="79">
        <v>0</v>
      </c>
      <c r="DA680" s="79">
        <f t="shared" si="708"/>
        <v>0</v>
      </c>
      <c r="DB680" s="84" t="str">
        <f t="shared" si="709"/>
        <v/>
      </c>
      <c r="DC680" s="41"/>
      <c r="DD680" s="79" t="s">
        <v>153</v>
      </c>
      <c r="DE680" s="71"/>
      <c r="DF680" s="127" t="s">
        <v>4754</v>
      </c>
      <c r="DG680" s="79">
        <v>668</v>
      </c>
      <c r="DH680" s="86" t="str">
        <f t="shared" si="537"/>
        <v>Completo</v>
      </c>
      <c r="DI680" s="79" t="s">
        <v>181</v>
      </c>
      <c r="DJ680" s="79" t="s">
        <v>182</v>
      </c>
      <c r="DK680" s="79"/>
      <c r="DL680" s="79">
        <v>0</v>
      </c>
      <c r="DM680" s="79">
        <v>0</v>
      </c>
      <c r="DN680" s="79" t="s">
        <v>182</v>
      </c>
      <c r="DO680" s="79"/>
      <c r="DP680" s="79"/>
      <c r="DQ680" s="79"/>
      <c r="DR680" s="75" t="str">
        <f t="shared" si="576"/>
        <v>No aplica</v>
      </c>
      <c r="DS680" s="79"/>
      <c r="DT680" s="79"/>
      <c r="DU680" s="75" t="str">
        <f t="shared" si="577"/>
        <v>No aplica</v>
      </c>
      <c r="DV680" s="79" t="s">
        <v>182</v>
      </c>
      <c r="DW680" s="79"/>
      <c r="DX680" s="79"/>
      <c r="DY680" s="79"/>
      <c r="DZ680" s="79"/>
      <c r="EA680" s="79"/>
      <c r="EB680" s="79"/>
      <c r="EC680" s="79"/>
      <c r="ED680" s="79" t="s">
        <v>4755</v>
      </c>
      <c r="EE680" s="79" t="str">
        <f t="shared" si="710"/>
        <v>Completo</v>
      </c>
      <c r="EF680" s="41"/>
      <c r="EG680" s="79" t="s">
        <v>153</v>
      </c>
      <c r="EH680" s="71"/>
      <c r="EI680" s="80"/>
      <c r="EJ680" s="71"/>
      <c r="EK680" s="79"/>
      <c r="EL680" s="87" t="str">
        <f t="shared" si="465"/>
        <v>No requiere</v>
      </c>
      <c r="EM680" s="87" t="str">
        <f t="shared" si="466"/>
        <v>No requiere</v>
      </c>
      <c r="EN680" s="87" t="str">
        <f t="shared" si="711"/>
        <v>No requiere</v>
      </c>
      <c r="EO680" s="71"/>
      <c r="EP680" s="84" t="str">
        <f t="shared" si="467"/>
        <v>No requiere</v>
      </c>
      <c r="EQ680" s="88" t="str">
        <f t="shared" si="468"/>
        <v>No requiere</v>
      </c>
      <c r="ER680" s="71"/>
      <c r="ES680" s="79"/>
      <c r="ET680" s="84" t="str">
        <f t="shared" si="469"/>
        <v>No requiere</v>
      </c>
      <c r="EU680" s="84" t="str">
        <f t="shared" si="712"/>
        <v>No requiere</v>
      </c>
      <c r="EV680" s="84" t="str">
        <f t="shared" si="470"/>
        <v>No requiere</v>
      </c>
      <c r="EW680" s="84" t="str">
        <f t="shared" si="581"/>
        <v>No requiere</v>
      </c>
      <c r="EX680" s="78"/>
      <c r="EY680" s="78"/>
    </row>
    <row r="681" spans="1:157" ht="46.5" customHeight="1">
      <c r="A681" s="79">
        <v>677</v>
      </c>
      <c r="B681" s="80" t="s">
        <v>4756</v>
      </c>
      <c r="C681" s="81">
        <v>45479</v>
      </c>
      <c r="D681" s="82">
        <v>0.375</v>
      </c>
      <c r="E681" s="79" t="s">
        <v>151</v>
      </c>
      <c r="F681" s="79" t="s">
        <v>153</v>
      </c>
      <c r="G681" s="79" t="s">
        <v>153</v>
      </c>
      <c r="H681" s="79" t="s">
        <v>152</v>
      </c>
      <c r="I681" s="79" t="s">
        <v>153</v>
      </c>
      <c r="J681" s="79" t="s">
        <v>3324</v>
      </c>
      <c r="K681" s="79" t="s">
        <v>155</v>
      </c>
      <c r="L681" s="80" t="s">
        <v>4757</v>
      </c>
      <c r="M681" s="80" t="s">
        <v>229</v>
      </c>
      <c r="N681" s="79" t="s">
        <v>1387</v>
      </c>
      <c r="O681" s="80" t="str">
        <f t="shared" si="713"/>
        <v/>
      </c>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t="s">
        <v>304</v>
      </c>
      <c r="AP681" s="79"/>
      <c r="AQ681" s="80" t="s">
        <v>4049</v>
      </c>
      <c r="AR681" s="83" t="s">
        <v>4050</v>
      </c>
      <c r="AS681" s="80" t="s">
        <v>3219</v>
      </c>
      <c r="AT681" s="80" t="str">
        <f t="shared" si="545"/>
        <v>Barrios Unidos</v>
      </c>
      <c r="AU681" s="79" t="s">
        <v>1031</v>
      </c>
      <c r="AV681" s="79"/>
      <c r="AW681" s="79"/>
      <c r="AX681" s="79"/>
      <c r="AY681" s="79"/>
      <c r="AZ681" s="79"/>
      <c r="BA681" s="80" t="str">
        <f t="shared" si="562"/>
        <v>Centro Ampliado</v>
      </c>
      <c r="BB681" s="79" t="s">
        <v>636</v>
      </c>
      <c r="BC681" s="79"/>
      <c r="BD681" s="79"/>
      <c r="BE681" s="79"/>
      <c r="BF681" s="79"/>
      <c r="BG681" s="79"/>
      <c r="BH681" s="80" t="str">
        <f t="shared" si="563"/>
        <v>Barrios Unidos</v>
      </c>
      <c r="BI681" s="79" t="s">
        <v>1031</v>
      </c>
      <c r="BJ681" s="79"/>
      <c r="BK681" s="79"/>
      <c r="BL681" s="79"/>
      <c r="BM681" s="79"/>
      <c r="BN681" s="79"/>
      <c r="BO681" s="79"/>
      <c r="BP681" s="79"/>
      <c r="BQ681" s="79"/>
      <c r="BR681" s="79"/>
      <c r="BS681" s="80" t="s">
        <v>4758</v>
      </c>
      <c r="BT681" s="80" t="s">
        <v>174</v>
      </c>
      <c r="BU681" s="80" t="s">
        <v>4759</v>
      </c>
      <c r="BV681" s="71"/>
      <c r="BW681" s="79" t="s">
        <v>152</v>
      </c>
      <c r="BX681" s="79" t="s">
        <v>179</v>
      </c>
      <c r="BY681" s="71"/>
      <c r="BZ681" s="79">
        <v>24</v>
      </c>
      <c r="CA681" s="79">
        <v>2</v>
      </c>
      <c r="CB681" s="79">
        <f t="shared" si="706"/>
        <v>26</v>
      </c>
      <c r="CC681" s="79" t="str">
        <f t="shared" si="382"/>
        <v>Ninguna</v>
      </c>
      <c r="CD681" s="79" t="s">
        <v>174</v>
      </c>
      <c r="CE681" s="79"/>
      <c r="CF681" s="79"/>
      <c r="CG681" s="83" t="s">
        <v>4760</v>
      </c>
      <c r="CH681" s="41"/>
      <c r="CI681" s="79" t="s">
        <v>153</v>
      </c>
      <c r="CJ681" s="71"/>
      <c r="CK681" s="79">
        <f>COUNTIF(CL681:CQ681,"*")</f>
        <v>0</v>
      </c>
      <c r="CL681" s="79"/>
      <c r="CM681" s="79"/>
      <c r="CN681" s="79"/>
      <c r="CO681" s="79"/>
      <c r="CP681" s="79"/>
      <c r="CQ681" s="79"/>
      <c r="CR681" s="83" t="s">
        <v>179</v>
      </c>
      <c r="CS681" s="83" t="s">
        <v>179</v>
      </c>
      <c r="CT681" s="83" t="s">
        <v>179</v>
      </c>
      <c r="CU681" s="83" t="s">
        <v>179</v>
      </c>
      <c r="CV681" s="83" t="s">
        <v>179</v>
      </c>
      <c r="CW681" s="83" t="s">
        <v>179</v>
      </c>
      <c r="CX681" s="79" t="s">
        <v>153</v>
      </c>
      <c r="CY681" s="79">
        <f t="shared" si="707"/>
        <v>0</v>
      </c>
      <c r="CZ681" s="79">
        <v>0</v>
      </c>
      <c r="DA681" s="79">
        <f t="shared" si="708"/>
        <v>0</v>
      </c>
      <c r="DB681" s="84" t="str">
        <f t="shared" si="709"/>
        <v/>
      </c>
      <c r="DC681" s="41"/>
      <c r="DD681" s="79" t="s">
        <v>153</v>
      </c>
      <c r="DE681" s="71"/>
      <c r="DF681" s="127" t="s">
        <v>4761</v>
      </c>
      <c r="DG681" s="79">
        <v>669</v>
      </c>
      <c r="DH681" s="86" t="str">
        <f t="shared" si="537"/>
        <v>Completo</v>
      </c>
      <c r="DI681" s="79" t="s">
        <v>181</v>
      </c>
      <c r="DJ681" s="79" t="s">
        <v>182</v>
      </c>
      <c r="DK681" s="79"/>
      <c r="DL681" s="79">
        <v>0</v>
      </c>
      <c r="DM681" s="79">
        <v>0</v>
      </c>
      <c r="DN681" s="79" t="s">
        <v>182</v>
      </c>
      <c r="DO681" s="79"/>
      <c r="DP681" s="79"/>
      <c r="DQ681" s="79"/>
      <c r="DR681" s="75" t="str">
        <f t="shared" si="576"/>
        <v>No aplica</v>
      </c>
      <c r="DS681" s="79"/>
      <c r="DT681" s="79"/>
      <c r="DU681" s="75" t="str">
        <f t="shared" si="577"/>
        <v>No aplica</v>
      </c>
      <c r="DV681" s="79" t="s">
        <v>182</v>
      </c>
      <c r="DW681" s="79" t="s">
        <v>182</v>
      </c>
      <c r="DX681" s="79"/>
      <c r="DY681" s="79"/>
      <c r="DZ681" s="79"/>
      <c r="EA681" s="79"/>
      <c r="EB681" s="79"/>
      <c r="EC681" s="79"/>
      <c r="ED681" s="79" t="s">
        <v>4762</v>
      </c>
      <c r="EE681" s="79" t="str">
        <f t="shared" si="710"/>
        <v>Completo</v>
      </c>
      <c r="EF681" s="41"/>
      <c r="EG681" s="79" t="s">
        <v>153</v>
      </c>
      <c r="EH681" s="71"/>
      <c r="EI681" s="80"/>
      <c r="EJ681" s="71"/>
      <c r="EK681" s="79"/>
      <c r="EL681" s="87" t="str">
        <f t="shared" si="465"/>
        <v>No requiere</v>
      </c>
      <c r="EM681" s="87" t="str">
        <f t="shared" si="466"/>
        <v>No requiere</v>
      </c>
      <c r="EN681" s="87" t="str">
        <f t="shared" si="711"/>
        <v>No requiere</v>
      </c>
      <c r="EO681" s="71"/>
      <c r="EP681" s="84" t="str">
        <f t="shared" si="467"/>
        <v>No requiere</v>
      </c>
      <c r="EQ681" s="88" t="str">
        <f t="shared" si="468"/>
        <v>No requiere</v>
      </c>
      <c r="ER681" s="71"/>
      <c r="ES681" s="79"/>
      <c r="ET681" s="84" t="str">
        <f t="shared" si="469"/>
        <v>No requiere</v>
      </c>
      <c r="EU681" s="84" t="str">
        <f t="shared" si="712"/>
        <v>No requiere</v>
      </c>
      <c r="EV681" s="84" t="str">
        <f t="shared" si="470"/>
        <v>No requiere</v>
      </c>
      <c r="EW681" s="84" t="str">
        <f t="shared" si="581"/>
        <v>No requiere</v>
      </c>
      <c r="EX681" s="78"/>
      <c r="EY681" s="78"/>
    </row>
    <row r="682" spans="1:157" ht="56.25" customHeight="1">
      <c r="A682" s="79">
        <v>678</v>
      </c>
      <c r="B682" s="80" t="s">
        <v>4763</v>
      </c>
      <c r="C682" s="81">
        <v>45479</v>
      </c>
      <c r="D682" s="82">
        <v>0.41666666666666669</v>
      </c>
      <c r="E682" s="79" t="s">
        <v>151</v>
      </c>
      <c r="F682" s="79" t="s">
        <v>153</v>
      </c>
      <c r="G682" s="79" t="s">
        <v>153</v>
      </c>
      <c r="H682" s="79" t="s">
        <v>153</v>
      </c>
      <c r="I682" s="79" t="s">
        <v>152</v>
      </c>
      <c r="J682" s="79" t="s">
        <v>154</v>
      </c>
      <c r="K682" s="79" t="s">
        <v>155</v>
      </c>
      <c r="L682" s="80" t="s">
        <v>4764</v>
      </c>
      <c r="M682" s="80" t="s">
        <v>241</v>
      </c>
      <c r="N682" s="79" t="s">
        <v>506</v>
      </c>
      <c r="O682" s="80" t="str">
        <f t="shared" si="636"/>
        <v>Dayanna Alexandra Cortes, Joan Sebastian García, César Augusto Barrantes, Aida Vanessa Rocha, Nestor Jecfrid Sánchez, Reinaldo Terrios Andrade</v>
      </c>
      <c r="P682" s="79" t="s">
        <v>4765</v>
      </c>
      <c r="Q682" s="79" t="s">
        <v>728</v>
      </c>
      <c r="R682" s="79" t="s">
        <v>729</v>
      </c>
      <c r="S682" s="79" t="s">
        <v>801</v>
      </c>
      <c r="T682" s="79" t="s">
        <v>965</v>
      </c>
      <c r="U682" s="79" t="s">
        <v>675</v>
      </c>
      <c r="V682" s="79"/>
      <c r="W682" s="79"/>
      <c r="X682" s="79"/>
      <c r="Y682" s="79"/>
      <c r="Z682" s="79"/>
      <c r="AA682" s="79"/>
      <c r="AB682" s="79"/>
      <c r="AC682" s="79"/>
      <c r="AD682" s="79"/>
      <c r="AE682" s="79"/>
      <c r="AF682" s="79"/>
      <c r="AG682" s="79"/>
      <c r="AH682" s="79"/>
      <c r="AI682" s="79"/>
      <c r="AJ682" s="79"/>
      <c r="AK682" s="79"/>
      <c r="AL682" s="79"/>
      <c r="AM682" s="79"/>
      <c r="AN682" s="79"/>
      <c r="AO682" s="79" t="s">
        <v>1226</v>
      </c>
      <c r="AP682" s="79"/>
      <c r="AQ682" s="80" t="s">
        <v>4766</v>
      </c>
      <c r="AR682" s="83" t="s">
        <v>4767</v>
      </c>
      <c r="AS682" s="80" t="s">
        <v>171</v>
      </c>
      <c r="AT682" s="80" t="str">
        <f t="shared" si="545"/>
        <v>Sumapaz</v>
      </c>
      <c r="AU682" s="79" t="s">
        <v>510</v>
      </c>
      <c r="AV682" s="79"/>
      <c r="AW682" s="79"/>
      <c r="AX682" s="79"/>
      <c r="AY682" s="79"/>
      <c r="AZ682" s="79"/>
      <c r="BA682" s="80" t="str">
        <f t="shared" si="562"/>
        <v>Ruralidad</v>
      </c>
      <c r="BB682" s="79" t="s">
        <v>219</v>
      </c>
      <c r="BC682" s="79"/>
      <c r="BD682" s="79"/>
      <c r="BE682" s="79"/>
      <c r="BF682" s="79"/>
      <c r="BG682" s="79"/>
      <c r="BH682" s="80" t="str">
        <f t="shared" si="563"/>
        <v>Sumapaz</v>
      </c>
      <c r="BI682" s="79" t="s">
        <v>510</v>
      </c>
      <c r="BJ682" s="79"/>
      <c r="BK682" s="79"/>
      <c r="BL682" s="79"/>
      <c r="BM682" s="79"/>
      <c r="BN682" s="79"/>
      <c r="BO682" s="79"/>
      <c r="BP682" s="79"/>
      <c r="BQ682" s="79"/>
      <c r="BR682" s="79"/>
      <c r="BS682" s="80" t="s">
        <v>4426</v>
      </c>
      <c r="BT682" s="80" t="s">
        <v>174</v>
      </c>
      <c r="BU682" s="80" t="s">
        <v>4768</v>
      </c>
      <c r="BV682" s="71"/>
      <c r="BW682" s="79" t="s">
        <v>153</v>
      </c>
      <c r="BX682" s="79" t="s">
        <v>4242</v>
      </c>
      <c r="BY682" s="71"/>
      <c r="BZ682" s="79">
        <v>18</v>
      </c>
      <c r="CA682" s="79">
        <v>9</v>
      </c>
      <c r="CB682" s="79">
        <f>BZ682+CA682</f>
        <v>27</v>
      </c>
      <c r="CC682" s="79" t="str">
        <f t="shared" si="382"/>
        <v>Horarios Acordes, Contenidos adaptados</v>
      </c>
      <c r="CD682" s="79" t="s">
        <v>351</v>
      </c>
      <c r="CE682" s="79" t="s">
        <v>350</v>
      </c>
      <c r="CF682" s="79"/>
      <c r="CG682" s="83" t="s">
        <v>4769</v>
      </c>
      <c r="CH682" s="41"/>
      <c r="CI682" s="79" t="s">
        <v>153</v>
      </c>
      <c r="CJ682" s="71"/>
      <c r="CK682" s="79">
        <v>3</v>
      </c>
      <c r="CL682" s="79" t="s">
        <v>4770</v>
      </c>
      <c r="CM682" s="79" t="s">
        <v>4771</v>
      </c>
      <c r="CN682" s="79" t="s">
        <v>4772</v>
      </c>
      <c r="CO682" s="79"/>
      <c r="CP682" s="79"/>
      <c r="CQ682" s="79"/>
      <c r="CR682" s="83" t="s">
        <v>390</v>
      </c>
      <c r="CS682" s="83" t="s">
        <v>390</v>
      </c>
      <c r="CT682" s="83" t="s">
        <v>390</v>
      </c>
      <c r="CU682" s="83"/>
      <c r="CV682" s="83"/>
      <c r="CW682" s="83"/>
      <c r="CX682" s="79" t="s">
        <v>153</v>
      </c>
      <c r="CY682" s="79">
        <f>SUM(COUNTIF(CR682:CW682,"Realizado y Devuelto a la Ciudadanía"),COUNTIF(CR682:CW682,"Realizado y Trasladado por competencia"), COUNTIF(CR682:CW682,"Realizado y Gestionado"))</f>
        <v>3</v>
      </c>
      <c r="CZ682" s="79">
        <v>3</v>
      </c>
      <c r="DA682" s="79">
        <f>COUNTIF(CR682:CW682,"Realizado y Devuelto a la Ciudadanía")</f>
        <v>3</v>
      </c>
      <c r="DB682" s="84">
        <f>IFERROR(CY682/CK682,"")</f>
        <v>1</v>
      </c>
      <c r="DC682" s="41"/>
      <c r="DD682" s="79" t="s">
        <v>153</v>
      </c>
      <c r="DE682" s="71"/>
      <c r="DF682" s="224" t="s">
        <v>4773</v>
      </c>
      <c r="DG682" s="79">
        <v>670</v>
      </c>
      <c r="DH682" s="86" t="str">
        <f>IF(EE682="Por completar",C682+3,"Completo")</f>
        <v>Completo</v>
      </c>
      <c r="DI682" s="79" t="s">
        <v>181</v>
      </c>
      <c r="DJ682" s="79" t="s">
        <v>182</v>
      </c>
      <c r="DK682" s="79" t="s">
        <v>153</v>
      </c>
      <c r="DL682" s="79">
        <v>0</v>
      </c>
      <c r="DM682" s="79">
        <v>0</v>
      </c>
      <c r="DN682" s="79" t="s">
        <v>182</v>
      </c>
      <c r="DO682" s="79">
        <v>182</v>
      </c>
      <c r="DP682" s="79" t="s">
        <v>182</v>
      </c>
      <c r="DQ682" s="79">
        <v>9</v>
      </c>
      <c r="DR682" s="75">
        <f t="shared" si="576"/>
        <v>1.6666666666666667</v>
      </c>
      <c r="DS682" s="79"/>
      <c r="DT682" s="79"/>
      <c r="DU682" s="75">
        <f t="shared" si="577"/>
        <v>0</v>
      </c>
      <c r="DV682" s="79" t="s">
        <v>182</v>
      </c>
      <c r="DW682" s="79" t="s">
        <v>182</v>
      </c>
      <c r="DX682" s="79">
        <v>5</v>
      </c>
      <c r="DY682" s="79"/>
      <c r="DZ682" s="79"/>
      <c r="EA682" s="79">
        <v>572</v>
      </c>
      <c r="EB682" s="79" t="s">
        <v>182</v>
      </c>
      <c r="EC682" s="79" t="s">
        <v>4774</v>
      </c>
      <c r="ED682" s="79" t="s">
        <v>3732</v>
      </c>
      <c r="EE682" s="79" t="str">
        <f>IF(DI682="Subsanado","Completo","Por Completar")</f>
        <v>Completo</v>
      </c>
      <c r="EF682" s="41"/>
      <c r="EG682" s="79" t="s">
        <v>153</v>
      </c>
      <c r="EH682" s="71"/>
      <c r="EI682" s="199" t="s">
        <v>4775</v>
      </c>
      <c r="EJ682" s="71"/>
      <c r="EK682" s="79" t="s">
        <v>409</v>
      </c>
      <c r="EL682" s="87" t="str">
        <f t="shared" si="465"/>
        <v>Sí</v>
      </c>
      <c r="EM682" s="87" t="str">
        <f t="shared" si="466"/>
        <v>No</v>
      </c>
      <c r="EN682" s="87" t="str">
        <f>IF(F682="NO","No requiere",IF(H682="No","No requiere",IF(CC682="","",IF(CD682&lt;&gt;"No aplica",IF(CD682&lt;&gt;"Ninguna",IF(COUNTIF(CD682:CF682,"*")&gt;=1,"Sí","No"),"No"),"No aplica"))))</f>
        <v>Sí</v>
      </c>
      <c r="EO682" s="71"/>
      <c r="EP682" s="84" t="str">
        <f t="shared" si="467"/>
        <v>No aplica</v>
      </c>
      <c r="EQ682" s="88">
        <f t="shared" si="468"/>
        <v>0</v>
      </c>
      <c r="ER682" s="71"/>
      <c r="ES682" s="79" t="s">
        <v>409</v>
      </c>
      <c r="ET682" s="84">
        <f t="shared" si="469"/>
        <v>1</v>
      </c>
      <c r="EU682" s="84">
        <f>IF(F682="NO","No requiere",IF(H682="No","No requiere",IF(B682="","",IF(CX682="SÍ",IF(CK682&gt;=1,CY682/CK682,"Sin compromisos"),"Por verificar"))))</f>
        <v>1</v>
      </c>
      <c r="EV682" s="84">
        <f t="shared" si="470"/>
        <v>1</v>
      </c>
      <c r="EW682" s="84">
        <f t="shared" si="581"/>
        <v>0.31818181818181818</v>
      </c>
      <c r="EX682" s="78"/>
      <c r="EY682" s="78"/>
    </row>
    <row r="683" spans="1:157" ht="46.5" customHeight="1">
      <c r="A683" s="79">
        <v>679</v>
      </c>
      <c r="B683" s="80" t="s">
        <v>4776</v>
      </c>
      <c r="C683" s="81">
        <v>45479</v>
      </c>
      <c r="D683" s="82">
        <v>0.58333333333333337</v>
      </c>
      <c r="E683" s="79" t="s">
        <v>151</v>
      </c>
      <c r="F683" s="79" t="s">
        <v>153</v>
      </c>
      <c r="G683" s="79" t="s">
        <v>153</v>
      </c>
      <c r="H683" s="79" t="s">
        <v>153</v>
      </c>
      <c r="I683" s="79" t="s">
        <v>152</v>
      </c>
      <c r="J683" s="79" t="s">
        <v>154</v>
      </c>
      <c r="K683" s="79" t="s">
        <v>155</v>
      </c>
      <c r="L683" s="80" t="s">
        <v>4764</v>
      </c>
      <c r="M683" s="80" t="s">
        <v>241</v>
      </c>
      <c r="N683" s="79" t="s">
        <v>645</v>
      </c>
      <c r="O683" s="80" t="str">
        <f t="shared" si="636"/>
        <v>Erika Lizeth Rueda, Nancy Stella Villa , Nixon Sandoval Mateus, Manuel Fernando Vergara, Andres Castro Latorre, Carlos Eduardo Escandón, Humberto Díaz Acosta</v>
      </c>
      <c r="P683" s="79" t="s">
        <v>556</v>
      </c>
      <c r="Q683" s="79" t="s">
        <v>1611</v>
      </c>
      <c r="R683" s="79" t="s">
        <v>644</v>
      </c>
      <c r="S683" s="79" t="s">
        <v>820</v>
      </c>
      <c r="T683" s="79" t="s">
        <v>749</v>
      </c>
      <c r="U683" s="79" t="s">
        <v>819</v>
      </c>
      <c r="V683" s="79" t="s">
        <v>253</v>
      </c>
      <c r="W683" s="79"/>
      <c r="X683" s="79"/>
      <c r="Y683" s="79"/>
      <c r="Z683" s="79"/>
      <c r="AA683" s="79"/>
      <c r="AB683" s="79"/>
      <c r="AC683" s="79"/>
      <c r="AD683" s="79"/>
      <c r="AE683" s="79"/>
      <c r="AF683" s="79"/>
      <c r="AG683" s="79"/>
      <c r="AH683" s="79"/>
      <c r="AI683" s="79"/>
      <c r="AJ683" s="79"/>
      <c r="AK683" s="79"/>
      <c r="AL683" s="79"/>
      <c r="AM683" s="79"/>
      <c r="AN683" s="79"/>
      <c r="AO683" s="79" t="s">
        <v>1226</v>
      </c>
      <c r="AP683" s="79"/>
      <c r="AQ683" s="80" t="s">
        <v>4777</v>
      </c>
      <c r="AR683" s="83">
        <v>3106491537</v>
      </c>
      <c r="AS683" s="80" t="s">
        <v>171</v>
      </c>
      <c r="AT683" s="80" t="str">
        <f t="shared" si="545"/>
        <v>Sumapaz</v>
      </c>
      <c r="AU683" s="79" t="s">
        <v>510</v>
      </c>
      <c r="AV683" s="79"/>
      <c r="AW683" s="79"/>
      <c r="AX683" s="79"/>
      <c r="AY683" s="79"/>
      <c r="AZ683" s="79"/>
      <c r="BA683" s="80" t="str">
        <f t="shared" si="562"/>
        <v>Ruralidad</v>
      </c>
      <c r="BB683" s="79" t="s">
        <v>219</v>
      </c>
      <c r="BC683" s="79"/>
      <c r="BD683" s="79"/>
      <c r="BE683" s="79"/>
      <c r="BF683" s="79"/>
      <c r="BG683" s="79"/>
      <c r="BH683" s="80" t="str">
        <f t="shared" si="563"/>
        <v>Sumapaz</v>
      </c>
      <c r="BI683" s="79" t="s">
        <v>510</v>
      </c>
      <c r="BJ683" s="79"/>
      <c r="BK683" s="79"/>
      <c r="BL683" s="79"/>
      <c r="BM683" s="79"/>
      <c r="BN683" s="79"/>
      <c r="BO683" s="79"/>
      <c r="BP683" s="79"/>
      <c r="BQ683" s="79"/>
      <c r="BR683" s="79"/>
      <c r="BS683" s="80" t="s">
        <v>4426</v>
      </c>
      <c r="BT683" s="80" t="s">
        <v>174</v>
      </c>
      <c r="BU683" s="80" t="s">
        <v>4778</v>
      </c>
      <c r="BV683" s="71"/>
      <c r="BW683" s="79" t="s">
        <v>153</v>
      </c>
      <c r="BX683" s="79" t="s">
        <v>4242</v>
      </c>
      <c r="BY683" s="71"/>
      <c r="BZ683" s="79">
        <v>19</v>
      </c>
      <c r="CA683" s="79">
        <v>10</v>
      </c>
      <c r="CB683" s="79">
        <f t="shared" si="281"/>
        <v>29</v>
      </c>
      <c r="CC683" s="79" t="str">
        <f t="shared" si="382"/>
        <v>Horarios Acordes, Contenidos adaptados</v>
      </c>
      <c r="CD683" s="79" t="s">
        <v>351</v>
      </c>
      <c r="CE683" s="79" t="s">
        <v>350</v>
      </c>
      <c r="CF683" s="79"/>
      <c r="CG683" s="83" t="s">
        <v>4779</v>
      </c>
      <c r="CH683" s="41"/>
      <c r="CI683" s="79" t="s">
        <v>153</v>
      </c>
      <c r="CJ683" s="71"/>
      <c r="CK683" s="79">
        <v>1</v>
      </c>
      <c r="CL683" s="79" t="s">
        <v>4780</v>
      </c>
      <c r="CM683" s="79"/>
      <c r="CN683" s="79"/>
      <c r="CO683" s="79"/>
      <c r="CP683" s="79"/>
      <c r="CQ683" s="79"/>
      <c r="CR683" s="83" t="s">
        <v>390</v>
      </c>
      <c r="CS683" s="83" t="s">
        <v>179</v>
      </c>
      <c r="CT683" s="83"/>
      <c r="CU683" s="83"/>
      <c r="CV683" s="83"/>
      <c r="CW683" s="83"/>
      <c r="CX683" s="79" t="s">
        <v>153</v>
      </c>
      <c r="CY683" s="79">
        <f t="shared" si="358"/>
        <v>1</v>
      </c>
      <c r="CZ683" s="79">
        <v>1</v>
      </c>
      <c r="DA683" s="79">
        <f t="shared" si="359"/>
        <v>1</v>
      </c>
      <c r="DB683" s="84">
        <f t="shared" si="364"/>
        <v>1</v>
      </c>
      <c r="DC683" s="41"/>
      <c r="DD683" s="79" t="s">
        <v>153</v>
      </c>
      <c r="DE683" s="71"/>
      <c r="DF683" s="224" t="s">
        <v>4781</v>
      </c>
      <c r="DG683" s="79">
        <v>671</v>
      </c>
      <c r="DH683" s="86" t="str">
        <f t="shared" si="537"/>
        <v>Completo</v>
      </c>
      <c r="DI683" s="79" t="s">
        <v>181</v>
      </c>
      <c r="DJ683" s="79" t="s">
        <v>182</v>
      </c>
      <c r="DK683" s="79" t="s">
        <v>153</v>
      </c>
      <c r="DL683" s="79">
        <v>0</v>
      </c>
      <c r="DM683" s="79">
        <v>0</v>
      </c>
      <c r="DN683" s="79" t="s">
        <v>182</v>
      </c>
      <c r="DO683" s="79">
        <v>70</v>
      </c>
      <c r="DP683" s="79" t="s">
        <v>182</v>
      </c>
      <c r="DQ683" s="79">
        <v>7</v>
      </c>
      <c r="DR683" s="75">
        <f t="shared" si="576"/>
        <v>1.2280701754385965</v>
      </c>
      <c r="DS683" s="79" t="s">
        <v>182</v>
      </c>
      <c r="DT683" s="79">
        <v>7</v>
      </c>
      <c r="DU683" s="75">
        <f t="shared" si="577"/>
        <v>1.0526315789473686</v>
      </c>
      <c r="DV683" s="79"/>
      <c r="DW683" s="79" t="s">
        <v>182</v>
      </c>
      <c r="DX683" s="79">
        <v>4</v>
      </c>
      <c r="DY683" s="79"/>
      <c r="DZ683" s="79"/>
      <c r="EA683" s="79">
        <v>572</v>
      </c>
      <c r="EB683" s="79" t="s">
        <v>182</v>
      </c>
      <c r="EC683" s="79" t="s">
        <v>4782</v>
      </c>
      <c r="ED683" s="79" t="s">
        <v>4641</v>
      </c>
      <c r="EE683" s="79" t="str">
        <f t="shared" si="384"/>
        <v>Completo</v>
      </c>
      <c r="EF683" s="41"/>
      <c r="EG683" s="79" t="s">
        <v>153</v>
      </c>
      <c r="EH683" s="71"/>
      <c r="EI683" s="311" t="s">
        <v>4783</v>
      </c>
      <c r="EJ683" s="71"/>
      <c r="EK683" s="79" t="s">
        <v>393</v>
      </c>
      <c r="EL683" s="87" t="str">
        <f t="shared" si="465"/>
        <v>Sí</v>
      </c>
      <c r="EM683" s="87" t="str">
        <f t="shared" si="466"/>
        <v>No</v>
      </c>
      <c r="EN683" s="87" t="str">
        <f t="shared" ref="EN683:EN935" si="715">IF(F683="NO","No requiere",IF(H683="No","No requiere",IF(CC683="","",IF(CD683&lt;&gt;"No aplica",IF(CD683&lt;&gt;"Ninguna",IF(COUNTIF(CD683:CF683,"*")&gt;=1,"Sí","No"),"No"),"No aplica"))))</f>
        <v>Sí</v>
      </c>
      <c r="EO683" s="71"/>
      <c r="EP683" s="84" t="str">
        <f t="shared" si="467"/>
        <v>No aplica</v>
      </c>
      <c r="EQ683" s="88">
        <f t="shared" si="468"/>
        <v>1.0526315789473686</v>
      </c>
      <c r="ER683" s="71"/>
      <c r="ES683" s="79" t="s">
        <v>393</v>
      </c>
      <c r="ET683" s="84">
        <f t="shared" si="469"/>
        <v>1</v>
      </c>
      <c r="EU683" s="84">
        <f t="shared" ref="EU683" si="716">IF(F683="NO","No requiere",IF(H683="No","No requiere",IF(B683="","",IF(CX683="SÍ",IF(CK683&gt;=1,CY683/CK683,"Sin compromisos"),"Por verificar"))))</f>
        <v>1</v>
      </c>
      <c r="EV683" s="84">
        <f t="shared" si="470"/>
        <v>1</v>
      </c>
      <c r="EW683" s="84">
        <f t="shared" si="581"/>
        <v>0.12237762237762238</v>
      </c>
      <c r="EX683" s="78"/>
      <c r="EY683" s="78"/>
    </row>
    <row r="684" spans="1:157" s="190" customFormat="1" ht="46.5" customHeight="1">
      <c r="A684" s="79">
        <v>680</v>
      </c>
      <c r="B684" s="80" t="s">
        <v>4784</v>
      </c>
      <c r="C684" s="81">
        <v>45481</v>
      </c>
      <c r="D684" s="82">
        <v>0.375</v>
      </c>
      <c r="E684" s="79" t="s">
        <v>200</v>
      </c>
      <c r="F684" s="79" t="s">
        <v>153</v>
      </c>
      <c r="G684" s="79" t="s">
        <v>152</v>
      </c>
      <c r="H684" s="79" t="s">
        <v>152</v>
      </c>
      <c r="I684" s="79" t="s">
        <v>152</v>
      </c>
      <c r="J684" s="79" t="s">
        <v>504</v>
      </c>
      <c r="K684" s="79" t="s">
        <v>155</v>
      </c>
      <c r="L684" s="80" t="s">
        <v>4785</v>
      </c>
      <c r="M684" s="80" t="s">
        <v>157</v>
      </c>
      <c r="N684" s="79" t="s">
        <v>924</v>
      </c>
      <c r="O684" s="80" t="str">
        <f t="shared" si="636"/>
        <v/>
      </c>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t="s">
        <v>169</v>
      </c>
      <c r="AP684" s="79" t="s">
        <v>2702</v>
      </c>
      <c r="AQ684" s="80" t="s">
        <v>4103</v>
      </c>
      <c r="AR684" s="83" t="s">
        <v>4104</v>
      </c>
      <c r="AS684" s="80" t="s">
        <v>3692</v>
      </c>
      <c r="AT684" s="80" t="str">
        <f t="shared" si="545"/>
        <v>Kennedy</v>
      </c>
      <c r="AU684" s="79" t="s">
        <v>731</v>
      </c>
      <c r="AV684" s="79"/>
      <c r="AW684" s="79"/>
      <c r="AX684" s="79"/>
      <c r="AY684" s="79"/>
      <c r="AZ684" s="79"/>
      <c r="BA684" s="80" t="str">
        <f t="shared" si="562"/>
        <v>Suroccidente</v>
      </c>
      <c r="BB684" s="79" t="s">
        <v>732</v>
      </c>
      <c r="BC684" s="79"/>
      <c r="BD684" s="79"/>
      <c r="BE684" s="79"/>
      <c r="BF684" s="79"/>
      <c r="BG684" s="79"/>
      <c r="BH684" s="80" t="str">
        <f t="shared" si="563"/>
        <v>Kennedy, Tintal, Patio Bonito, Edén, Porvenir, Bosa</v>
      </c>
      <c r="BI684" s="79" t="s">
        <v>731</v>
      </c>
      <c r="BJ684" s="79" t="s">
        <v>1697</v>
      </c>
      <c r="BK684" s="79" t="s">
        <v>967</v>
      </c>
      <c r="BL684" s="79" t="s">
        <v>1057</v>
      </c>
      <c r="BM684" s="79" t="s">
        <v>1058</v>
      </c>
      <c r="BN684" s="79" t="s">
        <v>730</v>
      </c>
      <c r="BO684" s="79"/>
      <c r="BP684" s="79"/>
      <c r="BQ684" s="79"/>
      <c r="BR684" s="79"/>
      <c r="BS684" s="80" t="s">
        <v>731</v>
      </c>
      <c r="BT684" s="80" t="s">
        <v>174</v>
      </c>
      <c r="BU684" s="80" t="s">
        <v>4105</v>
      </c>
      <c r="BV684" s="71"/>
      <c r="BW684" s="79" t="s">
        <v>152</v>
      </c>
      <c r="BX684" s="79" t="s">
        <v>179</v>
      </c>
      <c r="BY684" s="71"/>
      <c r="BZ684" s="79">
        <v>13</v>
      </c>
      <c r="CA684" s="79">
        <v>1</v>
      </c>
      <c r="CB684" s="79">
        <f t="shared" ref="CB684:CB729" si="717">BZ684+CA684</f>
        <v>14</v>
      </c>
      <c r="CC684" s="79" t="str">
        <f t="shared" si="382"/>
        <v>Ninguna</v>
      </c>
      <c r="CD684" s="79" t="s">
        <v>174</v>
      </c>
      <c r="CE684" s="79"/>
      <c r="CF684" s="79"/>
      <c r="CG684" s="83" t="s">
        <v>4786</v>
      </c>
      <c r="CH684" s="41"/>
      <c r="CI684" s="79" t="s">
        <v>153</v>
      </c>
      <c r="CJ684" s="71"/>
      <c r="CK684" s="79">
        <f t="shared" ref="CK684:CK729" si="718">COUNTIF(CL684:CQ684,"*")</f>
        <v>0</v>
      </c>
      <c r="CL684" s="79"/>
      <c r="CM684" s="79"/>
      <c r="CN684" s="79"/>
      <c r="CO684" s="79"/>
      <c r="CP684" s="79"/>
      <c r="CQ684" s="79"/>
      <c r="CR684" s="83" t="s">
        <v>179</v>
      </c>
      <c r="CS684" s="83" t="s">
        <v>179</v>
      </c>
      <c r="CT684" s="83" t="s">
        <v>179</v>
      </c>
      <c r="CU684" s="83" t="s">
        <v>179</v>
      </c>
      <c r="CV684" s="83" t="s">
        <v>179</v>
      </c>
      <c r="CW684" s="83" t="s">
        <v>179</v>
      </c>
      <c r="CX684" s="79" t="s">
        <v>153</v>
      </c>
      <c r="CY684" s="79">
        <f t="shared" ref="CY684:CY728" si="719">SUM(COUNTIF(CR684:CW684,"Realizado y Devuelto a la Ciudadanía"),COUNTIF(CR684:CW684,"Realizado y Trasladado por competencia"), COUNTIF(CR684:CW684,"Realizado y Gestionado"))</f>
        <v>0</v>
      </c>
      <c r="CZ684" s="79">
        <v>0</v>
      </c>
      <c r="DA684" s="79">
        <f t="shared" ref="DA684:DA728" si="720">COUNTIF(CR684:CW684,"Realizado y Devuelto a la Ciudadanía")</f>
        <v>0</v>
      </c>
      <c r="DB684" s="84" t="str">
        <f t="shared" ref="DB684:DB729" si="721">IFERROR(CY684/CK684,"")</f>
        <v/>
      </c>
      <c r="DC684" s="41"/>
      <c r="DD684" s="79" t="s">
        <v>153</v>
      </c>
      <c r="DE684" s="71"/>
      <c r="DF684" s="127" t="s">
        <v>4787</v>
      </c>
      <c r="DG684" s="79">
        <v>672</v>
      </c>
      <c r="DH684" s="86" t="str">
        <f t="shared" ref="DH684:DH931" si="722">IF(EE684="Por completar",C684+3,"Completo")</f>
        <v>Completo</v>
      </c>
      <c r="DI684" s="79" t="s">
        <v>181</v>
      </c>
      <c r="DJ684" s="79" t="s">
        <v>182</v>
      </c>
      <c r="DK684" s="79"/>
      <c r="DL684" s="79">
        <v>0</v>
      </c>
      <c r="DM684" s="79">
        <v>0</v>
      </c>
      <c r="DN684" s="79" t="s">
        <v>182</v>
      </c>
      <c r="DO684" s="79"/>
      <c r="DP684" s="79"/>
      <c r="DQ684" s="79"/>
      <c r="DR684" s="75" t="str">
        <f t="shared" si="576"/>
        <v>No aplica</v>
      </c>
      <c r="DS684" s="79"/>
      <c r="DT684" s="79"/>
      <c r="DU684" s="75" t="str">
        <f t="shared" si="577"/>
        <v>No aplica</v>
      </c>
      <c r="DV684" s="79" t="s">
        <v>182</v>
      </c>
      <c r="DW684" s="79" t="s">
        <v>182</v>
      </c>
      <c r="DX684" s="79"/>
      <c r="DY684" s="79"/>
      <c r="DZ684" s="79"/>
      <c r="EA684" s="79"/>
      <c r="EB684" s="79"/>
      <c r="EC684" s="79"/>
      <c r="ED684" s="79" t="s">
        <v>3912</v>
      </c>
      <c r="EE684" s="79" t="str">
        <f t="shared" ref="EE684:EE729" si="723">IF(DI684="Subsanado","Completo","Por Completar")</f>
        <v>Completo</v>
      </c>
      <c r="EF684" s="41"/>
      <c r="EG684" s="79" t="s">
        <v>153</v>
      </c>
      <c r="EH684" s="71"/>
      <c r="EI684" s="80"/>
      <c r="EJ684" s="71"/>
      <c r="EK684" s="79"/>
      <c r="EL684" s="87" t="str">
        <f t="shared" si="465"/>
        <v>No requiere</v>
      </c>
      <c r="EM684" s="87" t="str">
        <f t="shared" si="466"/>
        <v>No requiere</v>
      </c>
      <c r="EN684" s="87" t="str">
        <f t="shared" ref="EN684:EN729" si="724">IF(F684="NO","No requiere",IF(H684="No","No requiere",IF(CC684="","",IF(CD684&lt;&gt;"No aplica",IF(CD684&lt;&gt;"Ninguna",IF(COUNTIF(CD684:CF684,"*")&gt;=1,"Sí","No"),"No"),"No aplica"))))</f>
        <v>No requiere</v>
      </c>
      <c r="EO684" s="71"/>
      <c r="EP684" s="84" t="str">
        <f t="shared" si="467"/>
        <v>No requiere</v>
      </c>
      <c r="EQ684" s="88" t="str">
        <f t="shared" si="468"/>
        <v>No requiere</v>
      </c>
      <c r="ER684" s="71"/>
      <c r="ES684" s="79"/>
      <c r="ET684" s="84" t="str">
        <f t="shared" si="469"/>
        <v>No requiere</v>
      </c>
      <c r="EU684" s="84" t="str">
        <f t="shared" ref="EU684:EU729" si="725">IF(F684="NO","No requiere",IF(H684="No","No requiere",IF(B684="","",IF(CX684="SÍ",IF(CK684&gt;=1,CY684/CK684,"Sin compromisos"),"Por verificar"))))</f>
        <v>No requiere</v>
      </c>
      <c r="EV684" s="84" t="str">
        <f t="shared" si="470"/>
        <v>No requiere</v>
      </c>
      <c r="EW684" s="84" t="str">
        <f t="shared" si="581"/>
        <v>No requiere</v>
      </c>
      <c r="EX684" s="78"/>
      <c r="EY684" s="78"/>
      <c r="EZ684" s="179"/>
    </row>
    <row r="685" spans="1:157" s="190" customFormat="1" ht="46.5" customHeight="1">
      <c r="A685" s="79">
        <v>681</v>
      </c>
      <c r="B685" s="80" t="s">
        <v>4788</v>
      </c>
      <c r="C685" s="81">
        <v>45481</v>
      </c>
      <c r="D685" s="82">
        <v>0.39583333333333331</v>
      </c>
      <c r="E685" s="79" t="s">
        <v>151</v>
      </c>
      <c r="F685" s="79" t="s">
        <v>153</v>
      </c>
      <c r="G685" s="79" t="s">
        <v>153</v>
      </c>
      <c r="H685" s="79" t="s">
        <v>152</v>
      </c>
      <c r="I685" s="79" t="s">
        <v>152</v>
      </c>
      <c r="J685" s="79" t="s">
        <v>3999</v>
      </c>
      <c r="K685" s="79" t="s">
        <v>155</v>
      </c>
      <c r="L685" s="80" t="s">
        <v>4789</v>
      </c>
      <c r="M685" s="80" t="s">
        <v>241</v>
      </c>
      <c r="N685" s="79" t="s">
        <v>862</v>
      </c>
      <c r="O685" s="80" t="str">
        <f t="shared" ref="O685:O686" si="726">_xlfn.TEXTJOIN(", ",TRUE,P685:AN685)</f>
        <v/>
      </c>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t="s">
        <v>169</v>
      </c>
      <c r="AP685" s="79" t="s">
        <v>214</v>
      </c>
      <c r="AQ685" s="80" t="s">
        <v>4790</v>
      </c>
      <c r="AR685" s="83" t="s">
        <v>4791</v>
      </c>
      <c r="AS685" s="80" t="s">
        <v>3812</v>
      </c>
      <c r="AT685" s="80" t="str">
        <f t="shared" si="545"/>
        <v>Tunjuelito</v>
      </c>
      <c r="AU685" s="79" t="s">
        <v>937</v>
      </c>
      <c r="AV685" s="79"/>
      <c r="AW685" s="79"/>
      <c r="AX685" s="79"/>
      <c r="AY685" s="79"/>
      <c r="AZ685" s="79"/>
      <c r="BA685" s="80" t="str">
        <f t="shared" si="562"/>
        <v>Suroriente</v>
      </c>
      <c r="BB685" s="79" t="s">
        <v>218</v>
      </c>
      <c r="BC685" s="79"/>
      <c r="BD685" s="79"/>
      <c r="BE685" s="79"/>
      <c r="BF685" s="79"/>
      <c r="BG685" s="79"/>
      <c r="BH685" s="80" t="str">
        <f t="shared" si="563"/>
        <v>Tunjuelito, Arborizadora</v>
      </c>
      <c r="BI685" s="79" t="s">
        <v>937</v>
      </c>
      <c r="BJ685" s="79" t="s">
        <v>220</v>
      </c>
      <c r="BK685" s="79"/>
      <c r="BL685" s="79"/>
      <c r="BM685" s="79"/>
      <c r="BN685" s="79"/>
      <c r="BO685" s="79"/>
      <c r="BP685" s="79"/>
      <c r="BQ685" s="79"/>
      <c r="BR685" s="79"/>
      <c r="BS685" s="80" t="s">
        <v>4792</v>
      </c>
      <c r="BT685" s="80" t="s">
        <v>4793</v>
      </c>
      <c r="BU685" s="80" t="s">
        <v>4794</v>
      </c>
      <c r="BV685" s="71"/>
      <c r="BW685" s="79" t="s">
        <v>152</v>
      </c>
      <c r="BX685" s="79" t="s">
        <v>179</v>
      </c>
      <c r="BY685" s="71"/>
      <c r="BZ685" s="79">
        <v>13</v>
      </c>
      <c r="CA685" s="79">
        <v>2</v>
      </c>
      <c r="CB685" s="79">
        <f t="shared" si="717"/>
        <v>15</v>
      </c>
      <c r="CC685" s="79" t="str">
        <f t="shared" si="382"/>
        <v>Horarios Acordes</v>
      </c>
      <c r="CD685" s="79" t="s">
        <v>351</v>
      </c>
      <c r="CE685" s="79"/>
      <c r="CF685" s="79"/>
      <c r="CG685" s="83" t="s">
        <v>4795</v>
      </c>
      <c r="CH685" s="41"/>
      <c r="CI685" s="79" t="s">
        <v>153</v>
      </c>
      <c r="CJ685" s="71"/>
      <c r="CK685" s="79">
        <f t="shared" si="718"/>
        <v>0</v>
      </c>
      <c r="CL685" s="79"/>
      <c r="CM685" s="79"/>
      <c r="CN685" s="79"/>
      <c r="CO685" s="79"/>
      <c r="CP685" s="79"/>
      <c r="CQ685" s="79"/>
      <c r="CR685" s="83" t="s">
        <v>179</v>
      </c>
      <c r="CS685" s="83" t="s">
        <v>179</v>
      </c>
      <c r="CT685" s="83" t="s">
        <v>179</v>
      </c>
      <c r="CU685" s="83" t="s">
        <v>179</v>
      </c>
      <c r="CV685" s="83" t="s">
        <v>179</v>
      </c>
      <c r="CW685" s="83" t="s">
        <v>179</v>
      </c>
      <c r="CX685" s="79" t="s">
        <v>153</v>
      </c>
      <c r="CY685" s="79">
        <f t="shared" si="719"/>
        <v>0</v>
      </c>
      <c r="CZ685" s="79">
        <v>0</v>
      </c>
      <c r="DA685" s="79">
        <f t="shared" si="720"/>
        <v>0</v>
      </c>
      <c r="DB685" s="84" t="str">
        <f t="shared" si="721"/>
        <v/>
      </c>
      <c r="DC685" s="41"/>
      <c r="DD685" s="79" t="s">
        <v>153</v>
      </c>
      <c r="DE685" s="71"/>
      <c r="DF685" s="127" t="s">
        <v>4796</v>
      </c>
      <c r="DG685" s="79">
        <v>673</v>
      </c>
      <c r="DH685" s="86" t="str">
        <f t="shared" ref="DH685:DH686" si="727">IF(EE685="Por completar",C685+3,"Completo")</f>
        <v>Completo</v>
      </c>
      <c r="DI685" s="79" t="s">
        <v>181</v>
      </c>
      <c r="DJ685" s="79" t="s">
        <v>182</v>
      </c>
      <c r="DK685" s="79"/>
      <c r="DL685" s="79">
        <v>0</v>
      </c>
      <c r="DM685" s="79">
        <v>0</v>
      </c>
      <c r="DN685" s="79" t="s">
        <v>182</v>
      </c>
      <c r="DO685" s="79"/>
      <c r="DP685" s="79"/>
      <c r="DQ685" s="79"/>
      <c r="DR685" s="75" t="str">
        <f t="shared" si="576"/>
        <v>No aplica</v>
      </c>
      <c r="DS685" s="79"/>
      <c r="DT685" s="79"/>
      <c r="DU685" s="75" t="str">
        <f t="shared" si="577"/>
        <v>No aplica</v>
      </c>
      <c r="DV685" s="79" t="s">
        <v>182</v>
      </c>
      <c r="DW685" s="79"/>
      <c r="DX685" s="79"/>
      <c r="DY685" s="79"/>
      <c r="DZ685" s="79"/>
      <c r="EA685" s="79"/>
      <c r="EB685" s="79" t="s">
        <v>182</v>
      </c>
      <c r="EC685" s="79" t="s">
        <v>4797</v>
      </c>
      <c r="ED685" s="190" t="s">
        <v>3380</v>
      </c>
      <c r="EE685" s="79" t="str">
        <f t="shared" si="723"/>
        <v>Completo</v>
      </c>
      <c r="EF685" s="41"/>
      <c r="EG685" s="79" t="s">
        <v>153</v>
      </c>
      <c r="EH685" s="71"/>
      <c r="EI685" s="80"/>
      <c r="EJ685" s="71"/>
      <c r="EK685" s="79"/>
      <c r="EL685" s="87" t="str">
        <f t="shared" si="465"/>
        <v>No requiere</v>
      </c>
      <c r="EM685" s="87" t="str">
        <f t="shared" si="466"/>
        <v>No requiere</v>
      </c>
      <c r="EN685" s="87" t="str">
        <f t="shared" si="724"/>
        <v>No requiere</v>
      </c>
      <c r="EO685" s="71"/>
      <c r="EP685" s="84" t="str">
        <f t="shared" si="467"/>
        <v>No requiere</v>
      </c>
      <c r="EQ685" s="88" t="str">
        <f t="shared" si="468"/>
        <v>No requiere</v>
      </c>
      <c r="ER685" s="71"/>
      <c r="ES685" s="79"/>
      <c r="ET685" s="84" t="str">
        <f t="shared" si="469"/>
        <v>No requiere</v>
      </c>
      <c r="EU685" s="84" t="str">
        <f t="shared" si="725"/>
        <v>No requiere</v>
      </c>
      <c r="EV685" s="84" t="str">
        <f t="shared" si="470"/>
        <v>No requiere</v>
      </c>
      <c r="EW685" s="84" t="str">
        <f t="shared" si="581"/>
        <v>No requiere</v>
      </c>
      <c r="EX685" s="78"/>
      <c r="EY685" s="78"/>
      <c r="EZ685" s="179"/>
      <c r="FA685" s="179"/>
    </row>
    <row r="686" spans="1:157" s="190" customFormat="1" ht="46.5" customHeight="1">
      <c r="A686" s="79">
        <v>682</v>
      </c>
      <c r="B686" s="80" t="s">
        <v>4798</v>
      </c>
      <c r="C686" s="81">
        <v>45481</v>
      </c>
      <c r="D686" s="82">
        <v>0.39583333333333331</v>
      </c>
      <c r="E686" s="79" t="s">
        <v>151</v>
      </c>
      <c r="F686" s="79" t="s">
        <v>153</v>
      </c>
      <c r="G686" s="79" t="s">
        <v>153</v>
      </c>
      <c r="H686" s="79" t="s">
        <v>152</v>
      </c>
      <c r="I686" s="79" t="s">
        <v>153</v>
      </c>
      <c r="J686" s="79" t="s">
        <v>1768</v>
      </c>
      <c r="K686" s="79" t="s">
        <v>155</v>
      </c>
      <c r="L686" s="80" t="s">
        <v>4799</v>
      </c>
      <c r="M686" s="80" t="s">
        <v>229</v>
      </c>
      <c r="N686" s="79" t="s">
        <v>862</v>
      </c>
      <c r="O686" s="80" t="str">
        <f t="shared" si="726"/>
        <v/>
      </c>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t="s">
        <v>304</v>
      </c>
      <c r="AP686" s="79"/>
      <c r="AQ686" s="80" t="s">
        <v>4790</v>
      </c>
      <c r="AR686" s="83" t="s">
        <v>4800</v>
      </c>
      <c r="AS686" s="80" t="s">
        <v>4801</v>
      </c>
      <c r="AT686" s="80" t="str">
        <f t="shared" si="545"/>
        <v>Tunjuelito</v>
      </c>
      <c r="AU686" s="79" t="s">
        <v>937</v>
      </c>
      <c r="AV686" s="79"/>
      <c r="AW686" s="79"/>
      <c r="AX686" s="79"/>
      <c r="AY686" s="79"/>
      <c r="AZ686" s="79"/>
      <c r="BA686" s="80" t="str">
        <f t="shared" si="562"/>
        <v>Suroriente</v>
      </c>
      <c r="BB686" s="79" t="s">
        <v>218</v>
      </c>
      <c r="BC686" s="79"/>
      <c r="BD686" s="79"/>
      <c r="BE686" s="79"/>
      <c r="BF686" s="79"/>
      <c r="BG686" s="79"/>
      <c r="BH686" s="80" t="str">
        <f t="shared" si="563"/>
        <v>Tunjuelito</v>
      </c>
      <c r="BI686" s="79" t="s">
        <v>937</v>
      </c>
      <c r="BJ686" s="79"/>
      <c r="BK686" s="79"/>
      <c r="BL686" s="79"/>
      <c r="BM686" s="79"/>
      <c r="BN686" s="79"/>
      <c r="BO686" s="79"/>
      <c r="BP686" s="79"/>
      <c r="BQ686" s="79"/>
      <c r="BR686" s="79"/>
      <c r="BS686" s="80" t="s">
        <v>4802</v>
      </c>
      <c r="BT686" s="80" t="s">
        <v>4793</v>
      </c>
      <c r="BU686" s="80" t="s">
        <v>4803</v>
      </c>
      <c r="BV686" s="71"/>
      <c r="BW686" s="79" t="s">
        <v>152</v>
      </c>
      <c r="BX686" s="79" t="s">
        <v>179</v>
      </c>
      <c r="BY686" s="71"/>
      <c r="BZ686" s="79">
        <v>12</v>
      </c>
      <c r="CA686" s="79">
        <v>3</v>
      </c>
      <c r="CB686" s="79">
        <f t="shared" si="717"/>
        <v>15</v>
      </c>
      <c r="CC686" s="79" t="str">
        <f t="shared" si="382"/>
        <v>Horarios Acordes</v>
      </c>
      <c r="CD686" s="79" t="s">
        <v>351</v>
      </c>
      <c r="CE686" s="79"/>
      <c r="CF686" s="79"/>
      <c r="CG686" s="83" t="s">
        <v>4804</v>
      </c>
      <c r="CH686" s="41"/>
      <c r="CI686" s="79" t="s">
        <v>153</v>
      </c>
      <c r="CJ686" s="71"/>
      <c r="CK686" s="79">
        <f t="shared" si="718"/>
        <v>0</v>
      </c>
      <c r="CL686" s="79"/>
      <c r="CM686" s="79"/>
      <c r="CN686" s="79"/>
      <c r="CO686" s="79"/>
      <c r="CP686" s="79"/>
      <c r="CQ686" s="79"/>
      <c r="CR686" s="83" t="s">
        <v>179</v>
      </c>
      <c r="CS686" s="83" t="s">
        <v>179</v>
      </c>
      <c r="CT686" s="83" t="s">
        <v>179</v>
      </c>
      <c r="CU686" s="83" t="s">
        <v>179</v>
      </c>
      <c r="CV686" s="83" t="s">
        <v>179</v>
      </c>
      <c r="CW686" s="83" t="s">
        <v>179</v>
      </c>
      <c r="CX686" s="79" t="s">
        <v>153</v>
      </c>
      <c r="CY686" s="79">
        <f t="shared" si="719"/>
        <v>0</v>
      </c>
      <c r="CZ686" s="79">
        <v>0</v>
      </c>
      <c r="DA686" s="79">
        <f t="shared" si="720"/>
        <v>0</v>
      </c>
      <c r="DB686" s="84" t="str">
        <f t="shared" si="721"/>
        <v/>
      </c>
      <c r="DC686" s="41"/>
      <c r="DD686" s="79" t="s">
        <v>153</v>
      </c>
      <c r="DE686" s="71"/>
      <c r="DF686" s="127" t="s">
        <v>4805</v>
      </c>
      <c r="DG686" s="79" t="s">
        <v>4806</v>
      </c>
      <c r="DH686" s="86" t="str">
        <f t="shared" si="727"/>
        <v>Completo</v>
      </c>
      <c r="DI686" s="79" t="s">
        <v>181</v>
      </c>
      <c r="DJ686" s="79" t="s">
        <v>182</v>
      </c>
      <c r="DK686" s="79"/>
      <c r="DL686" s="79">
        <v>0</v>
      </c>
      <c r="DM686" s="79">
        <v>0</v>
      </c>
      <c r="DN686" s="79" t="s">
        <v>182</v>
      </c>
      <c r="DO686" s="79"/>
      <c r="DP686" s="79"/>
      <c r="DQ686" s="79"/>
      <c r="DR686" s="75" t="str">
        <f t="shared" si="576"/>
        <v>No aplica</v>
      </c>
      <c r="DS686" s="79"/>
      <c r="DT686" s="79"/>
      <c r="DU686" s="75" t="str">
        <f t="shared" si="577"/>
        <v>No aplica</v>
      </c>
      <c r="DV686" s="79" t="s">
        <v>182</v>
      </c>
      <c r="DW686" s="79"/>
      <c r="DX686" s="79"/>
      <c r="DY686" s="79"/>
      <c r="DZ686" s="79"/>
      <c r="EA686" s="79"/>
      <c r="EB686" s="79" t="s">
        <v>182</v>
      </c>
      <c r="EC686" s="79" t="s">
        <v>4797</v>
      </c>
      <c r="ED686" s="79" t="s">
        <v>4360</v>
      </c>
      <c r="EE686" s="79" t="str">
        <f t="shared" si="723"/>
        <v>Completo</v>
      </c>
      <c r="EF686" s="41"/>
      <c r="EG686" s="79" t="s">
        <v>153</v>
      </c>
      <c r="EH686" s="71"/>
      <c r="EI686" s="80"/>
      <c r="EJ686" s="71"/>
      <c r="EK686" s="79"/>
      <c r="EL686" s="87" t="str">
        <f t="shared" si="465"/>
        <v>No requiere</v>
      </c>
      <c r="EM686" s="87" t="str">
        <f t="shared" si="466"/>
        <v>No requiere</v>
      </c>
      <c r="EN686" s="87" t="str">
        <f t="shared" si="724"/>
        <v>No requiere</v>
      </c>
      <c r="EO686" s="71"/>
      <c r="EP686" s="84" t="str">
        <f t="shared" si="467"/>
        <v>No requiere</v>
      </c>
      <c r="EQ686" s="88" t="str">
        <f t="shared" si="468"/>
        <v>No requiere</v>
      </c>
      <c r="ER686" s="71"/>
      <c r="ES686" s="79"/>
      <c r="ET686" s="84" t="str">
        <f t="shared" si="469"/>
        <v>No requiere</v>
      </c>
      <c r="EU686" s="84" t="str">
        <f t="shared" si="725"/>
        <v>No requiere</v>
      </c>
      <c r="EV686" s="84" t="str">
        <f t="shared" si="470"/>
        <v>No requiere</v>
      </c>
      <c r="EW686" s="84" t="str">
        <f t="shared" si="581"/>
        <v>No requiere</v>
      </c>
      <c r="EX686" s="78"/>
      <c r="EY686" s="78"/>
      <c r="EZ686" s="179"/>
      <c r="FA686" s="179"/>
    </row>
    <row r="687" spans="1:157" s="190" customFormat="1" ht="46.5" customHeight="1">
      <c r="A687" s="79">
        <v>683</v>
      </c>
      <c r="B687" s="80" t="s">
        <v>4807</v>
      </c>
      <c r="C687" s="81">
        <v>45481</v>
      </c>
      <c r="D687" s="82">
        <v>0.58333333333333337</v>
      </c>
      <c r="E687" s="79" t="s">
        <v>151</v>
      </c>
      <c r="F687" s="79" t="s">
        <v>153</v>
      </c>
      <c r="G687" s="79" t="s">
        <v>153</v>
      </c>
      <c r="H687" s="79" t="s">
        <v>152</v>
      </c>
      <c r="I687" s="79" t="s">
        <v>152</v>
      </c>
      <c r="J687" s="79" t="s">
        <v>3999</v>
      </c>
      <c r="K687" s="79" t="s">
        <v>155</v>
      </c>
      <c r="L687" s="80" t="s">
        <v>4808</v>
      </c>
      <c r="M687" s="80" t="s">
        <v>241</v>
      </c>
      <c r="N687" s="79" t="s">
        <v>645</v>
      </c>
      <c r="O687" s="80" t="str">
        <f t="shared" ref="O687" si="728">_xlfn.TEXTJOIN(", ",TRUE,P687:AN687)</f>
        <v xml:space="preserve">Luis Fernando Barreto </v>
      </c>
      <c r="P687" s="79" t="s">
        <v>720</v>
      </c>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t="s">
        <v>230</v>
      </c>
      <c r="AP687" s="79" t="s">
        <v>925</v>
      </c>
      <c r="AQ687" s="80" t="s">
        <v>4809</v>
      </c>
      <c r="AR687" s="83" t="s">
        <v>4810</v>
      </c>
      <c r="AS687" s="80" t="s">
        <v>4811</v>
      </c>
      <c r="AT687" s="80" t="str">
        <f t="shared" si="545"/>
        <v>San Cristóbal</v>
      </c>
      <c r="AU687" s="79" t="s">
        <v>570</v>
      </c>
      <c r="AV687" s="79"/>
      <c r="AW687" s="79"/>
      <c r="AX687" s="79"/>
      <c r="AY687" s="79"/>
      <c r="AZ687" s="79"/>
      <c r="BA687" s="80" t="str">
        <f t="shared" si="562"/>
        <v>Suroriente</v>
      </c>
      <c r="BB687" s="79" t="s">
        <v>218</v>
      </c>
      <c r="BC687" s="79"/>
      <c r="BD687" s="79"/>
      <c r="BE687" s="79"/>
      <c r="BF687" s="79"/>
      <c r="BG687" s="79"/>
      <c r="BH687" s="80" t="str">
        <f t="shared" si="563"/>
        <v>San Cristobal</v>
      </c>
      <c r="BI687" s="79" t="s">
        <v>571</v>
      </c>
      <c r="BJ687" s="79"/>
      <c r="BK687" s="79"/>
      <c r="BL687" s="79"/>
      <c r="BM687" s="79"/>
      <c r="BN687" s="79"/>
      <c r="BO687" s="79"/>
      <c r="BP687" s="79"/>
      <c r="BQ687" s="79"/>
      <c r="BR687" s="79"/>
      <c r="BS687" s="80" t="s">
        <v>288</v>
      </c>
      <c r="BT687" s="80" t="s">
        <v>174</v>
      </c>
      <c r="BU687" s="80" t="s">
        <v>4812</v>
      </c>
      <c r="BV687" s="71"/>
      <c r="BW687" s="79" t="s">
        <v>152</v>
      </c>
      <c r="BX687" s="79" t="s">
        <v>179</v>
      </c>
      <c r="BY687" s="71"/>
      <c r="BZ687" s="79">
        <v>9</v>
      </c>
      <c r="CA687" s="79">
        <v>1</v>
      </c>
      <c r="CB687" s="79">
        <f t="shared" si="717"/>
        <v>10</v>
      </c>
      <c r="CC687" s="79" t="str">
        <f t="shared" si="382"/>
        <v>Ninguna</v>
      </c>
      <c r="CD687" s="79" t="s">
        <v>174</v>
      </c>
      <c r="CE687" s="79"/>
      <c r="CF687" s="79"/>
      <c r="CG687" s="83" t="s">
        <v>4638</v>
      </c>
      <c r="CH687" s="41"/>
      <c r="CI687" s="79" t="s">
        <v>153</v>
      </c>
      <c r="CJ687" s="71"/>
      <c r="CK687" s="79">
        <f t="shared" si="718"/>
        <v>0</v>
      </c>
      <c r="CL687" s="79"/>
      <c r="CM687" s="79"/>
      <c r="CN687" s="79"/>
      <c r="CO687" s="79"/>
      <c r="CP687" s="79"/>
      <c r="CQ687" s="79"/>
      <c r="CR687" s="83" t="s">
        <v>179</v>
      </c>
      <c r="CS687" s="83" t="s">
        <v>179</v>
      </c>
      <c r="CT687" s="83" t="s">
        <v>179</v>
      </c>
      <c r="CU687" s="83" t="s">
        <v>179</v>
      </c>
      <c r="CV687" s="83" t="s">
        <v>179</v>
      </c>
      <c r="CW687" s="83" t="s">
        <v>179</v>
      </c>
      <c r="CX687" s="79" t="s">
        <v>153</v>
      </c>
      <c r="CY687" s="79">
        <f t="shared" si="719"/>
        <v>0</v>
      </c>
      <c r="CZ687" s="79">
        <v>0</v>
      </c>
      <c r="DA687" s="79">
        <f t="shared" si="720"/>
        <v>0</v>
      </c>
      <c r="DB687" s="84" t="str">
        <f t="shared" si="721"/>
        <v/>
      </c>
      <c r="DC687" s="41"/>
      <c r="DD687" s="79" t="s">
        <v>153</v>
      </c>
      <c r="DE687" s="71"/>
      <c r="DF687" s="127" t="s">
        <v>4813</v>
      </c>
      <c r="DG687" s="79">
        <v>674</v>
      </c>
      <c r="DH687" s="86" t="str">
        <f t="shared" ref="DH687" si="729">IF(EE687="Por completar",C687+3,"Completo")</f>
        <v>Completo</v>
      </c>
      <c r="DI687" s="79" t="s">
        <v>181</v>
      </c>
      <c r="DJ687" s="79" t="s">
        <v>182</v>
      </c>
      <c r="DK687" s="79"/>
      <c r="DL687" s="79">
        <v>0</v>
      </c>
      <c r="DM687" s="79">
        <v>0</v>
      </c>
      <c r="DN687" s="79" t="s">
        <v>182</v>
      </c>
      <c r="DO687" s="79"/>
      <c r="DP687" s="79"/>
      <c r="DQ687" s="79"/>
      <c r="DR687" s="75" t="str">
        <f t="shared" si="576"/>
        <v>No aplica</v>
      </c>
      <c r="DS687" s="79"/>
      <c r="DT687" s="79"/>
      <c r="DU687" s="75" t="str">
        <f t="shared" si="577"/>
        <v>No aplica</v>
      </c>
      <c r="DV687" s="79" t="s">
        <v>182</v>
      </c>
      <c r="DW687" s="79" t="s">
        <v>182</v>
      </c>
      <c r="DX687" s="79"/>
      <c r="DY687" s="79"/>
      <c r="DZ687" s="79"/>
      <c r="EA687" s="79"/>
      <c r="EB687" s="79"/>
      <c r="EC687" s="79"/>
      <c r="ED687" s="79" t="s">
        <v>3732</v>
      </c>
      <c r="EE687" s="79" t="str">
        <f t="shared" si="723"/>
        <v>Completo</v>
      </c>
      <c r="EF687" s="41"/>
      <c r="EG687" s="79" t="s">
        <v>153</v>
      </c>
      <c r="EH687" s="71"/>
      <c r="EI687" s="80"/>
      <c r="EJ687" s="71"/>
      <c r="EK687" s="79"/>
      <c r="EL687" s="87" t="str">
        <f t="shared" si="465"/>
        <v>No requiere</v>
      </c>
      <c r="EM687" s="87" t="str">
        <f t="shared" si="466"/>
        <v>No requiere</v>
      </c>
      <c r="EN687" s="87" t="str">
        <f t="shared" si="724"/>
        <v>No requiere</v>
      </c>
      <c r="EO687" s="71"/>
      <c r="EP687" s="84" t="str">
        <f t="shared" si="467"/>
        <v>No requiere</v>
      </c>
      <c r="EQ687" s="88" t="str">
        <f t="shared" si="468"/>
        <v>No requiere</v>
      </c>
      <c r="ER687" s="71"/>
      <c r="ES687" s="79"/>
      <c r="ET687" s="84" t="str">
        <f t="shared" si="469"/>
        <v>No requiere</v>
      </c>
      <c r="EU687" s="84" t="str">
        <f t="shared" si="725"/>
        <v>No requiere</v>
      </c>
      <c r="EV687" s="84" t="str">
        <f t="shared" si="470"/>
        <v>No requiere</v>
      </c>
      <c r="EW687" s="84" t="str">
        <f t="shared" si="581"/>
        <v>No requiere</v>
      </c>
      <c r="EX687" s="78"/>
      <c r="EY687" s="78"/>
      <c r="EZ687" s="179"/>
      <c r="FA687" s="179"/>
    </row>
    <row r="688" spans="1:157" s="190" customFormat="1" ht="46.5" customHeight="1">
      <c r="A688" s="79">
        <v>684</v>
      </c>
      <c r="B688" s="80" t="s">
        <v>4814</v>
      </c>
      <c r="C688" s="81">
        <v>45481</v>
      </c>
      <c r="D688" s="82">
        <v>0.58333333333333337</v>
      </c>
      <c r="E688" s="79" t="s">
        <v>151</v>
      </c>
      <c r="F688" s="79" t="s">
        <v>153</v>
      </c>
      <c r="G688" s="79" t="s">
        <v>152</v>
      </c>
      <c r="H688" s="79" t="s">
        <v>152</v>
      </c>
      <c r="I688" s="79" t="s">
        <v>152</v>
      </c>
      <c r="J688" s="79" t="s">
        <v>3175</v>
      </c>
      <c r="K688" s="79" t="s">
        <v>155</v>
      </c>
      <c r="L688" s="80" t="s">
        <v>4815</v>
      </c>
      <c r="M688" s="80" t="s">
        <v>229</v>
      </c>
      <c r="N688" s="79" t="s">
        <v>862</v>
      </c>
      <c r="O688" s="80" t="str">
        <f t="shared" si="636"/>
        <v>Diego Alejandro Camacho</v>
      </c>
      <c r="P688" s="79" t="s">
        <v>422</v>
      </c>
      <c r="Q688" s="79"/>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t="s">
        <v>304</v>
      </c>
      <c r="AP688" s="79"/>
      <c r="AQ688" s="80" t="s">
        <v>4816</v>
      </c>
      <c r="AR688" s="83" t="s">
        <v>4817</v>
      </c>
      <c r="AS688" s="80" t="s">
        <v>4744</v>
      </c>
      <c r="AT688" s="80" t="str">
        <f t="shared" si="545"/>
        <v>Tunjuelito</v>
      </c>
      <c r="AU688" s="79" t="s">
        <v>937</v>
      </c>
      <c r="AV688" s="79"/>
      <c r="AW688" s="79"/>
      <c r="AX688" s="79"/>
      <c r="AY688" s="79"/>
      <c r="AZ688" s="79"/>
      <c r="BA688" s="80" t="str">
        <f t="shared" si="562"/>
        <v>Suroriente</v>
      </c>
      <c r="BB688" s="79" t="s">
        <v>218</v>
      </c>
      <c r="BC688" s="79"/>
      <c r="BD688" s="79"/>
      <c r="BE688" s="79"/>
      <c r="BF688" s="79"/>
      <c r="BG688" s="79"/>
      <c r="BH688" s="80" t="str">
        <f t="shared" si="563"/>
        <v>Tunjuelito</v>
      </c>
      <c r="BI688" s="79" t="s">
        <v>937</v>
      </c>
      <c r="BJ688" s="79"/>
      <c r="BK688" s="79"/>
      <c r="BL688" s="79"/>
      <c r="BM688" s="79"/>
      <c r="BN688" s="79"/>
      <c r="BO688" s="79"/>
      <c r="BP688" s="79"/>
      <c r="BQ688" s="79"/>
      <c r="BR688" s="79"/>
      <c r="BS688" s="80" t="s">
        <v>937</v>
      </c>
      <c r="BT688" s="80" t="s">
        <v>174</v>
      </c>
      <c r="BU688" s="80" t="s">
        <v>4818</v>
      </c>
      <c r="BV688" s="71"/>
      <c r="BW688" s="79" t="s">
        <v>152</v>
      </c>
      <c r="BX688" s="79" t="s">
        <v>179</v>
      </c>
      <c r="BY688" s="71"/>
      <c r="BZ688" s="79">
        <v>8</v>
      </c>
      <c r="CA688" s="79">
        <v>2</v>
      </c>
      <c r="CB688" s="79">
        <f t="shared" si="717"/>
        <v>10</v>
      </c>
      <c r="CC688" s="79" t="str">
        <f t="shared" si="382"/>
        <v>Horarios Acordes</v>
      </c>
      <c r="CD688" s="79" t="s">
        <v>351</v>
      </c>
      <c r="CE688" s="79"/>
      <c r="CF688" s="79"/>
      <c r="CG688" s="83" t="s">
        <v>4819</v>
      </c>
      <c r="CH688" s="41"/>
      <c r="CI688" s="79" t="s">
        <v>153</v>
      </c>
      <c r="CJ688" s="71"/>
      <c r="CK688" s="79">
        <f t="shared" si="718"/>
        <v>0</v>
      </c>
      <c r="CL688" s="79"/>
      <c r="CM688" s="79"/>
      <c r="CN688" s="79"/>
      <c r="CO688" s="79"/>
      <c r="CP688" s="79"/>
      <c r="CQ688" s="79"/>
      <c r="CR688" s="83" t="s">
        <v>179</v>
      </c>
      <c r="CS688" s="83" t="s">
        <v>179</v>
      </c>
      <c r="CT688" s="83" t="s">
        <v>179</v>
      </c>
      <c r="CU688" s="83" t="s">
        <v>179</v>
      </c>
      <c r="CV688" s="83" t="s">
        <v>179</v>
      </c>
      <c r="CW688" s="83" t="s">
        <v>179</v>
      </c>
      <c r="CX688" s="79" t="s">
        <v>153</v>
      </c>
      <c r="CY688" s="79">
        <f t="shared" si="719"/>
        <v>0</v>
      </c>
      <c r="CZ688" s="79">
        <v>0</v>
      </c>
      <c r="DA688" s="79">
        <f t="shared" si="720"/>
        <v>0</v>
      </c>
      <c r="DB688" s="84" t="str">
        <f t="shared" si="721"/>
        <v/>
      </c>
      <c r="DC688" s="41"/>
      <c r="DD688" s="79" t="s">
        <v>153</v>
      </c>
      <c r="DE688" s="71"/>
      <c r="DF688" s="229" t="s">
        <v>4820</v>
      </c>
      <c r="DG688" s="79">
        <v>675</v>
      </c>
      <c r="DH688" s="86" t="str">
        <f t="shared" si="722"/>
        <v>Completo</v>
      </c>
      <c r="DI688" s="79" t="s">
        <v>181</v>
      </c>
      <c r="DJ688" s="79" t="s">
        <v>182</v>
      </c>
      <c r="DK688" s="79"/>
      <c r="DL688" s="79">
        <v>0</v>
      </c>
      <c r="DM688" s="79">
        <v>0</v>
      </c>
      <c r="DN688" s="79" t="s">
        <v>182</v>
      </c>
      <c r="DO688" s="79"/>
      <c r="DP688" s="79"/>
      <c r="DQ688" s="79"/>
      <c r="DR688" s="75" t="str">
        <f t="shared" si="576"/>
        <v>No aplica</v>
      </c>
      <c r="DS688" s="79"/>
      <c r="DT688" s="79"/>
      <c r="DU688" s="75" t="str">
        <f t="shared" si="577"/>
        <v>No aplica</v>
      </c>
      <c r="DV688" s="79" t="s">
        <v>182</v>
      </c>
      <c r="DW688" s="79"/>
      <c r="DX688" s="79"/>
      <c r="DY688" s="79"/>
      <c r="DZ688" s="79"/>
      <c r="EA688" s="79"/>
      <c r="EB688" s="79" t="s">
        <v>182</v>
      </c>
      <c r="EC688" s="79" t="s">
        <v>4821</v>
      </c>
      <c r="ED688" s="79" t="s">
        <v>3380</v>
      </c>
      <c r="EE688" s="79" t="str">
        <f t="shared" si="723"/>
        <v>Completo</v>
      </c>
      <c r="EF688" s="41"/>
      <c r="EG688" s="79" t="s">
        <v>153</v>
      </c>
      <c r="EH688" s="71"/>
      <c r="EI688" s="80"/>
      <c r="EJ688" s="71"/>
      <c r="EK688" s="79"/>
      <c r="EL688" s="87" t="str">
        <f t="shared" si="465"/>
        <v>No requiere</v>
      </c>
      <c r="EM688" s="87" t="str">
        <f t="shared" si="466"/>
        <v>No requiere</v>
      </c>
      <c r="EN688" s="87" t="str">
        <f t="shared" si="724"/>
        <v>No requiere</v>
      </c>
      <c r="EO688" s="71"/>
      <c r="EP688" s="84" t="str">
        <f t="shared" si="467"/>
        <v>No requiere</v>
      </c>
      <c r="EQ688" s="88" t="str">
        <f t="shared" si="468"/>
        <v>No requiere</v>
      </c>
      <c r="ER688" s="71"/>
      <c r="ES688" s="79"/>
      <c r="ET688" s="84" t="str">
        <f t="shared" si="469"/>
        <v>No requiere</v>
      </c>
      <c r="EU688" s="84" t="str">
        <f t="shared" si="725"/>
        <v>No requiere</v>
      </c>
      <c r="EV688" s="84" t="str">
        <f t="shared" si="470"/>
        <v>No requiere</v>
      </c>
      <c r="EW688" s="84" t="str">
        <f t="shared" si="581"/>
        <v>No requiere</v>
      </c>
      <c r="EX688" s="78"/>
      <c r="EY688" s="78"/>
      <c r="EZ688" s="179"/>
    </row>
    <row r="689" spans="1:157" s="190" customFormat="1" ht="46.5" customHeight="1">
      <c r="A689" s="79">
        <v>685</v>
      </c>
      <c r="B689" s="80" t="s">
        <v>4822</v>
      </c>
      <c r="C689" s="81">
        <v>45481</v>
      </c>
      <c r="D689" s="82">
        <v>0.625</v>
      </c>
      <c r="E689" s="79" t="s">
        <v>151</v>
      </c>
      <c r="F689" s="79" t="s">
        <v>153</v>
      </c>
      <c r="G689" s="79" t="s">
        <v>153</v>
      </c>
      <c r="H689" s="79" t="s">
        <v>152</v>
      </c>
      <c r="I689" s="79" t="s">
        <v>152</v>
      </c>
      <c r="J689" s="79" t="s">
        <v>3999</v>
      </c>
      <c r="K689" s="79" t="s">
        <v>155</v>
      </c>
      <c r="L689" s="80" t="s">
        <v>4823</v>
      </c>
      <c r="M689" s="80" t="s">
        <v>241</v>
      </c>
      <c r="N689" s="79" t="s">
        <v>862</v>
      </c>
      <c r="O689" s="80" t="str">
        <f>_xlfn.TEXTJOIN(", ",TRUE,P689:AN689)</f>
        <v/>
      </c>
      <c r="P689" s="79"/>
      <c r="Q689" s="79"/>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t="s">
        <v>304</v>
      </c>
      <c r="AP689" s="79"/>
      <c r="AQ689" s="80" t="s">
        <v>4824</v>
      </c>
      <c r="AR689" s="83" t="s">
        <v>4825</v>
      </c>
      <c r="AS689" s="80" t="s">
        <v>4826</v>
      </c>
      <c r="AT689" s="80" t="str">
        <f>_xlfn.TEXTJOIN(", ",TRUE,$AU689:$AY689)</f>
        <v>Tunjuelito</v>
      </c>
      <c r="AU689" s="79" t="s">
        <v>937</v>
      </c>
      <c r="AV689" s="79"/>
      <c r="AW689" s="79"/>
      <c r="AX689" s="79"/>
      <c r="AY689" s="79"/>
      <c r="AZ689" s="79"/>
      <c r="BA689" s="80" t="str">
        <f t="shared" si="562"/>
        <v>Suroriente</v>
      </c>
      <c r="BB689" s="79" t="s">
        <v>218</v>
      </c>
      <c r="BC689" s="79"/>
      <c r="BD689" s="79"/>
      <c r="BE689" s="79"/>
      <c r="BF689" s="79"/>
      <c r="BG689" s="79"/>
      <c r="BH689" s="80" t="str">
        <f>_xlfn.TEXTJOIN(", ",TRUE,$BI689:$BR689)</f>
        <v>Tunjuelito</v>
      </c>
      <c r="BI689" s="79" t="s">
        <v>937</v>
      </c>
      <c r="BJ689" s="79"/>
      <c r="BK689" s="79"/>
      <c r="BL689" s="79"/>
      <c r="BM689" s="79"/>
      <c r="BN689" s="79"/>
      <c r="BO689" s="79"/>
      <c r="BP689" s="79"/>
      <c r="BQ689" s="79"/>
      <c r="BR689" s="79"/>
      <c r="BS689" s="80" t="s">
        <v>4792</v>
      </c>
      <c r="BT689" s="80" t="s">
        <v>4793</v>
      </c>
      <c r="BU689" s="80" t="s">
        <v>4794</v>
      </c>
      <c r="BV689" s="71"/>
      <c r="BW689" s="79" t="s">
        <v>152</v>
      </c>
      <c r="BX689" s="79" t="s">
        <v>179</v>
      </c>
      <c r="BY689" s="71"/>
      <c r="BZ689" s="79">
        <v>3</v>
      </c>
      <c r="CA689" s="79">
        <v>3</v>
      </c>
      <c r="CB689" s="79">
        <f>BZ689+CA689</f>
        <v>6</v>
      </c>
      <c r="CC689" s="79" t="str">
        <f>_xlfn.TEXTJOIN(", ",TRUE,$CD689:$CF689)</f>
        <v>Horarios Acordes</v>
      </c>
      <c r="CD689" s="79" t="s">
        <v>351</v>
      </c>
      <c r="CE689" s="79"/>
      <c r="CF689" s="79"/>
      <c r="CG689" s="83" t="s">
        <v>4827</v>
      </c>
      <c r="CH689" s="41"/>
      <c r="CI689" s="79" t="s">
        <v>153</v>
      </c>
      <c r="CJ689" s="71"/>
      <c r="CK689" s="79">
        <f>COUNTIF(CL689:CQ689,"*")</f>
        <v>0</v>
      </c>
      <c r="CL689" s="79"/>
      <c r="CM689" s="79"/>
      <c r="CN689" s="79"/>
      <c r="CO689" s="79"/>
      <c r="CP689" s="79"/>
      <c r="CQ689" s="79"/>
      <c r="CR689" s="83" t="s">
        <v>179</v>
      </c>
      <c r="CS689" s="83" t="s">
        <v>179</v>
      </c>
      <c r="CT689" s="83" t="s">
        <v>179</v>
      </c>
      <c r="CU689" s="83" t="s">
        <v>179</v>
      </c>
      <c r="CV689" s="83" t="s">
        <v>179</v>
      </c>
      <c r="CW689" s="83" t="s">
        <v>179</v>
      </c>
      <c r="CX689" s="79" t="s">
        <v>153</v>
      </c>
      <c r="CY689" s="79">
        <f>SUM(COUNTIF(CR689:CW689,"Realizado y Devuelto a la Ciudadanía"),COUNTIF(CR689:CW689,"Realizado y Trasladado por competencia"), COUNTIF(CR689:CW689,"Realizado y Gestionado"))</f>
        <v>0</v>
      </c>
      <c r="CZ689" s="79">
        <v>0</v>
      </c>
      <c r="DA689" s="79">
        <f>COUNTIF(CR689:CW689,"Realizado y Devuelto a la Ciudadanía")</f>
        <v>0</v>
      </c>
      <c r="DB689" s="84" t="str">
        <f>IFERROR(CY689/CK689,"")</f>
        <v/>
      </c>
      <c r="DC689" s="41"/>
      <c r="DD689" s="79" t="s">
        <v>153</v>
      </c>
      <c r="DE689" s="71"/>
      <c r="DF689" s="229" t="s">
        <v>4828</v>
      </c>
      <c r="DG689" s="79">
        <v>676</v>
      </c>
      <c r="DH689" s="86" t="str">
        <f>IF(EE689="Por completar",C689+3,"Completo")</f>
        <v>Completo</v>
      </c>
      <c r="DI689" s="79" t="s">
        <v>181</v>
      </c>
      <c r="DJ689" s="79" t="s">
        <v>182</v>
      </c>
      <c r="DK689" s="79"/>
      <c r="DL689" s="79">
        <v>0</v>
      </c>
      <c r="DM689" s="79">
        <v>0</v>
      </c>
      <c r="DN689" s="79" t="s">
        <v>182</v>
      </c>
      <c r="DO689" s="79"/>
      <c r="DP689" s="79"/>
      <c r="DQ689" s="79"/>
      <c r="DR689" s="75" t="str">
        <f>IF(H689="SÍ", (DQ689/(BZ689*0.3)), "No aplica")</f>
        <v>No aplica</v>
      </c>
      <c r="DS689" s="79"/>
      <c r="DT689" s="79"/>
      <c r="DU689" s="75" t="str">
        <f>IF(H689="SÍ", (DT689/(BZ689*0.35)), "No aplica")</f>
        <v>No aplica</v>
      </c>
      <c r="DV689" s="79" t="s">
        <v>182</v>
      </c>
      <c r="DW689" s="79"/>
      <c r="DX689" s="79"/>
      <c r="DY689" s="79"/>
      <c r="DZ689" s="79"/>
      <c r="EA689" s="79"/>
      <c r="EB689" s="79" t="s">
        <v>182</v>
      </c>
      <c r="EC689" s="79" t="s">
        <v>4829</v>
      </c>
      <c r="ED689" s="79" t="s">
        <v>3732</v>
      </c>
      <c r="EE689" s="79" t="str">
        <f>IF(DI689="Subsanado","Completo","Por Completar")</f>
        <v>Completo</v>
      </c>
      <c r="EF689" s="41"/>
      <c r="EG689" s="79" t="s">
        <v>153</v>
      </c>
      <c r="EH689" s="71"/>
      <c r="EI689" s="80"/>
      <c r="EJ689" s="71"/>
      <c r="EK689" s="79"/>
      <c r="EL689" s="87" t="str">
        <f>IF(F689="NO","No requiere",IF(H689="No","No requiere",IF(DW689="","",IF(DW689&lt;&gt;"No aplica",IF(DX689&lt;&gt;"No aplica",IF(DX689&gt;=2,"Sí","No"),"No aplica"),"No aplica"))))</f>
        <v>No requiere</v>
      </c>
      <c r="EM689" s="87" t="str">
        <f>IF(F689="NO","No requiere",IF(H689="No","No requiere",IF(DW689="","",IF(DW689&lt;&gt;"No aplica",IF(DY689&lt;&gt;"No aplica",IF(DY689&gt;=1,"Sí","No"),"No aplica"),"No aplica"))))</f>
        <v>No requiere</v>
      </c>
      <c r="EN689" s="87" t="str">
        <f>IF(F689="NO","No requiere",IF(H689="No","No requiere",IF(CC689="","",IF(CD689&lt;&gt;"No aplica",IF(CD689&lt;&gt;"Ninguna",IF(COUNTIF(CD689:CF689,"*")&gt;=1,"Sí","No"),"No"),"No aplica"))))</f>
        <v>No requiere</v>
      </c>
      <c r="EO689" s="71"/>
      <c r="EP689" s="84" t="str">
        <f>IF(F689="NO","No requiere",IF(H689="No","No requiere",IF(DL689="","",IF(DL689&gt;=1,DM689/DL689,"No aplica"))))</f>
        <v>No requiere</v>
      </c>
      <c r="EQ689" s="88" t="str">
        <f>IFERROR(IF(F689="NO","No requiere",IF(H689="No","No requiere",DU689)),"")</f>
        <v>No requiere</v>
      </c>
      <c r="ER689" s="71"/>
      <c r="ES689" s="79"/>
      <c r="ET689" s="84" t="str">
        <f>IF(F689="NO","No requiere",IF(H689="No","No requiere",IFERROR(COUNTIF(DJ689:DW689,"Completo")/SUM(COUNTIF(DJ689:DW689,"Completo"),COUNTIF(DJ689:DW689,"Incompleto"),COUNTIF(DJ689:DW689,"No subido"),COUNTIF(DJ689:DW689,"No existente"),COUNTIF(DJ689:DW689,"Pendiente")),"")))</f>
        <v>No requiere</v>
      </c>
      <c r="EU689" s="84" t="str">
        <f>IF(F689="NO","No requiere",IF(H689="No","No requiere",IF(B689="","",IF(CX689="SÍ",IF(CK689&gt;=1,CY689/CK689,"Sin compromisos"),"Por verificar"))))</f>
        <v>No requiere</v>
      </c>
      <c r="EV689" s="84" t="str">
        <f>IF(EU689="Por verificar","Por verificar",IF(F689="NO","No requiere",IF(H689="No","No requiere",IFERROR(IF(EU689="","",IF(CK689&gt;=1,DA689/CZ689,"No aplica")),"No aplica"))))</f>
        <v>No requiere</v>
      </c>
      <c r="EW689" s="84" t="str">
        <f>IF(F689="NO","No requiere",IF(H689="No","No requiere",IFERROR(IF(BZ689="","",IF(EA689&lt;&gt;"No aplica",IF(EA689&gt;=1,DO689/EA689,"0%"),"No aplica")),"")))</f>
        <v>No requiere</v>
      </c>
      <c r="EX689" s="78"/>
      <c r="EY689" s="78"/>
      <c r="EZ689" s="179"/>
      <c r="FA689" s="179"/>
    </row>
    <row r="690" spans="1:157" s="190" customFormat="1" ht="46.5" customHeight="1">
      <c r="A690" s="79">
        <v>686</v>
      </c>
      <c r="B690" s="80" t="s">
        <v>4830</v>
      </c>
      <c r="C690" s="81">
        <v>45481</v>
      </c>
      <c r="D690" s="82">
        <v>0.625</v>
      </c>
      <c r="E690" s="79" t="s">
        <v>151</v>
      </c>
      <c r="F690" s="79" t="s">
        <v>153</v>
      </c>
      <c r="G690" s="79" t="s">
        <v>153</v>
      </c>
      <c r="H690" s="79" t="s">
        <v>152</v>
      </c>
      <c r="I690" s="79" t="s">
        <v>153</v>
      </c>
      <c r="J690" s="79" t="s">
        <v>1768</v>
      </c>
      <c r="K690" s="79" t="s">
        <v>155</v>
      </c>
      <c r="L690" s="80" t="s">
        <v>4831</v>
      </c>
      <c r="M690" s="80" t="s">
        <v>229</v>
      </c>
      <c r="N690" s="79" t="s">
        <v>862</v>
      </c>
      <c r="O690" s="80" t="str">
        <f t="shared" ref="O690" si="730">_xlfn.TEXTJOIN(", ",TRUE,P690:AN690)</f>
        <v/>
      </c>
      <c r="P690" s="79"/>
      <c r="Q690" s="79"/>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t="s">
        <v>169</v>
      </c>
      <c r="AP690" s="79" t="s">
        <v>170</v>
      </c>
      <c r="AQ690" s="80" t="s">
        <v>4832</v>
      </c>
      <c r="AR690" s="83" t="s">
        <v>4833</v>
      </c>
      <c r="AS690" s="80" t="s">
        <v>4834</v>
      </c>
      <c r="AT690" s="80" t="str">
        <f t="shared" ref="AT690" si="731">_xlfn.TEXTJOIN(", ",TRUE,$AU690:$AY690)</f>
        <v>Tunjuelito</v>
      </c>
      <c r="AU690" s="79" t="s">
        <v>937</v>
      </c>
      <c r="AV690" s="79"/>
      <c r="AW690" s="79"/>
      <c r="AX690" s="79"/>
      <c r="AY690" s="79"/>
      <c r="AZ690" s="79"/>
      <c r="BA690" s="80" t="str">
        <f t="shared" si="562"/>
        <v>Suroriente</v>
      </c>
      <c r="BB690" s="79" t="s">
        <v>218</v>
      </c>
      <c r="BC690" s="79"/>
      <c r="BD690" s="79"/>
      <c r="BE690" s="79"/>
      <c r="BF690" s="79"/>
      <c r="BG690" s="79"/>
      <c r="BH690" s="80" t="str">
        <f t="shared" ref="BH690" si="732">_xlfn.TEXTJOIN(", ",TRUE,$BI690:$BR690)</f>
        <v>Tunjuelito</v>
      </c>
      <c r="BI690" s="79" t="s">
        <v>937</v>
      </c>
      <c r="BJ690" s="79"/>
      <c r="BK690" s="79"/>
      <c r="BL690" s="79"/>
      <c r="BM690" s="79"/>
      <c r="BN690" s="79"/>
      <c r="BO690" s="79"/>
      <c r="BP690" s="79"/>
      <c r="BQ690" s="79"/>
      <c r="BR690" s="79"/>
      <c r="BS690" s="80" t="s">
        <v>4802</v>
      </c>
      <c r="BT690" s="80" t="s">
        <v>4793</v>
      </c>
      <c r="BU690" s="80" t="s">
        <v>4803</v>
      </c>
      <c r="BV690" s="71"/>
      <c r="BW690" s="79" t="s">
        <v>152</v>
      </c>
      <c r="BX690" s="79" t="s">
        <v>179</v>
      </c>
      <c r="BY690" s="71"/>
      <c r="BZ690" s="79">
        <v>3</v>
      </c>
      <c r="CA690" s="79">
        <v>3</v>
      </c>
      <c r="CB690" s="79">
        <f t="shared" ref="CB690" si="733">BZ690+CA690</f>
        <v>6</v>
      </c>
      <c r="CC690" s="79" t="str">
        <f t="shared" si="382"/>
        <v>Horarios Acordes</v>
      </c>
      <c r="CD690" s="79" t="s">
        <v>351</v>
      </c>
      <c r="CE690" s="79"/>
      <c r="CF690" s="79"/>
      <c r="CG690" s="83" t="s">
        <v>4835</v>
      </c>
      <c r="CH690" s="41"/>
      <c r="CI690" s="79" t="s">
        <v>153</v>
      </c>
      <c r="CJ690" s="71"/>
      <c r="CK690" s="79">
        <f t="shared" ref="CK690" si="734">COUNTIF(CL690:CQ690,"*")</f>
        <v>0</v>
      </c>
      <c r="CL690" s="79"/>
      <c r="CM690" s="79"/>
      <c r="CN690" s="79"/>
      <c r="CO690" s="79"/>
      <c r="CP690" s="79"/>
      <c r="CQ690" s="79"/>
      <c r="CR690" s="83" t="s">
        <v>179</v>
      </c>
      <c r="CS690" s="83" t="s">
        <v>179</v>
      </c>
      <c r="CT690" s="83" t="s">
        <v>179</v>
      </c>
      <c r="CU690" s="83" t="s">
        <v>179</v>
      </c>
      <c r="CV690" s="83" t="s">
        <v>179</v>
      </c>
      <c r="CW690" s="83" t="s">
        <v>179</v>
      </c>
      <c r="CX690" s="79" t="s">
        <v>153</v>
      </c>
      <c r="CY690" s="79">
        <f t="shared" ref="CY690" si="735">SUM(COUNTIF(CR690:CW690,"Realizado y Devuelto a la Ciudadanía"),COUNTIF(CR690:CW690,"Realizado y Trasladado por competencia"), COUNTIF(CR690:CW690,"Realizado y Gestionado"))</f>
        <v>0</v>
      </c>
      <c r="CZ690" s="79">
        <v>0</v>
      </c>
      <c r="DA690" s="79">
        <f t="shared" ref="DA690" si="736">COUNTIF(CR690:CW690,"Realizado y Devuelto a la Ciudadanía")</f>
        <v>0</v>
      </c>
      <c r="DB690" s="84" t="str">
        <f t="shared" ref="DB690" si="737">IFERROR(CY690/CK690,"")</f>
        <v/>
      </c>
      <c r="DC690" s="41"/>
      <c r="DD690" s="79" t="s">
        <v>153</v>
      </c>
      <c r="DE690" s="71"/>
      <c r="DF690" s="127" t="s">
        <v>4836</v>
      </c>
      <c r="DG690" s="79" t="s">
        <v>4837</v>
      </c>
      <c r="DH690" s="86" t="str">
        <f t="shared" ref="DH690" si="738">IF(EE690="Por completar",C690+3,"Completo")</f>
        <v>Completo</v>
      </c>
      <c r="DI690" s="79" t="s">
        <v>181</v>
      </c>
      <c r="DJ690" s="79" t="s">
        <v>182</v>
      </c>
      <c r="DK690" s="79"/>
      <c r="DL690" s="79">
        <v>0</v>
      </c>
      <c r="DM690" s="79">
        <v>0</v>
      </c>
      <c r="DN690" s="79" t="s">
        <v>182</v>
      </c>
      <c r="DO690" s="79"/>
      <c r="DP690" s="79"/>
      <c r="DQ690" s="79"/>
      <c r="DR690" s="75" t="str">
        <f t="shared" ref="DR690" si="739">IF(H690="SÍ", (DQ690/(BZ690*0.3)), "No aplica")</f>
        <v>No aplica</v>
      </c>
      <c r="DS690" s="79"/>
      <c r="DT690" s="79"/>
      <c r="DU690" s="75" t="str">
        <f t="shared" ref="DU690" si="740">IF(H690="SÍ", (DT690/(BZ690*0.35)), "No aplica")</f>
        <v>No aplica</v>
      </c>
      <c r="DV690" s="79" t="s">
        <v>182</v>
      </c>
      <c r="DW690" s="79"/>
      <c r="DX690" s="79"/>
      <c r="DY690" s="79"/>
      <c r="DZ690" s="79"/>
      <c r="EA690" s="79"/>
      <c r="EB690" s="79" t="s">
        <v>182</v>
      </c>
      <c r="EC690" s="79" t="s">
        <v>4829</v>
      </c>
      <c r="ED690" s="79" t="s">
        <v>3732</v>
      </c>
      <c r="EE690" s="79" t="str">
        <f t="shared" ref="EE690" si="741">IF(DI690="Subsanado","Completo","Por Completar")</f>
        <v>Completo</v>
      </c>
      <c r="EF690" s="41"/>
      <c r="EG690" s="79" t="s">
        <v>153</v>
      </c>
      <c r="EH690" s="71"/>
      <c r="EI690" s="80"/>
      <c r="EJ690" s="71"/>
      <c r="EK690" s="79"/>
      <c r="EL690" s="87" t="str">
        <f t="shared" ref="EL690" si="742">IF(F690="NO","No requiere",IF(H690="No","No requiere",IF(DW690="","",IF(DW690&lt;&gt;"No aplica",IF(DX690&lt;&gt;"No aplica",IF(DX690&gt;=2,"Sí","No"),"No aplica"),"No aplica"))))</f>
        <v>No requiere</v>
      </c>
      <c r="EM690" s="87" t="str">
        <f t="shared" ref="EM690" si="743">IF(F690="NO","No requiere",IF(H690="No","No requiere",IF(DW690="","",IF(DW690&lt;&gt;"No aplica",IF(DY690&lt;&gt;"No aplica",IF(DY690&gt;=1,"Sí","No"),"No aplica"),"No aplica"))))</f>
        <v>No requiere</v>
      </c>
      <c r="EN690" s="87" t="str">
        <f t="shared" ref="EN690" si="744">IF(F690="NO","No requiere",IF(H690="No","No requiere",IF(CC690="","",IF(CD690&lt;&gt;"No aplica",IF(CD690&lt;&gt;"Ninguna",IF(COUNTIF(CD690:CF690,"*")&gt;=1,"Sí","No"),"No"),"No aplica"))))</f>
        <v>No requiere</v>
      </c>
      <c r="EO690" s="71"/>
      <c r="EP690" s="84" t="str">
        <f t="shared" ref="EP690" si="745">IF(F690="NO","No requiere",IF(H690="No","No requiere",IF(DL690="","",IF(DL690&gt;=1,DM690/DL690,"No aplica"))))</f>
        <v>No requiere</v>
      </c>
      <c r="EQ690" s="88" t="str">
        <f t="shared" ref="EQ690" si="746">IFERROR(IF(F690="NO","No requiere",IF(H690="No","No requiere",DU690)),"")</f>
        <v>No requiere</v>
      </c>
      <c r="ER690" s="71"/>
      <c r="ES690" s="79"/>
      <c r="ET690" s="84" t="str">
        <f t="shared" ref="ET690" si="747">IF(F690="NO","No requiere",IF(H690="No","No requiere",IFERROR(COUNTIF(DJ690:DW690,"Completo")/SUM(COUNTIF(DJ690:DW690,"Completo"),COUNTIF(DJ690:DW690,"Incompleto"),COUNTIF(DJ690:DW690,"No subido"),COUNTIF(DJ690:DW690,"No existente"),COUNTIF(DJ690:DW690,"Pendiente")),"")))</f>
        <v>No requiere</v>
      </c>
      <c r="EU690" s="84" t="str">
        <f t="shared" ref="EU690" si="748">IF(F690="NO","No requiere",IF(H690="No","No requiere",IF(B690="","",IF(CX690="SÍ",IF(CK690&gt;=1,CY690/CK690,"Sin compromisos"),"Por verificar"))))</f>
        <v>No requiere</v>
      </c>
      <c r="EV690" s="84" t="str">
        <f t="shared" ref="EV690" si="749">IF(EU690="Por verificar","Por verificar",IF(F690="NO","No requiere",IF(H690="No","No requiere",IFERROR(IF(EU690="","",IF(CK690&gt;=1,DA690/CZ690,"No aplica")),"No aplica"))))</f>
        <v>No requiere</v>
      </c>
      <c r="EW690" s="84" t="str">
        <f t="shared" ref="EW690" si="750">IF(F690="NO","No requiere",IF(H690="No","No requiere",IFERROR(IF(BZ690="","",IF(EA690&lt;&gt;"No aplica",IF(EA690&gt;=1,DO690/EA690,"0%"),"No aplica")),"")))</f>
        <v>No requiere</v>
      </c>
      <c r="EX690" s="78"/>
      <c r="EY690" s="78"/>
      <c r="EZ690" s="179"/>
      <c r="FA690" s="179"/>
    </row>
    <row r="691" spans="1:157" ht="46.5" customHeight="1">
      <c r="A691" s="79">
        <v>687</v>
      </c>
      <c r="B691" s="80" t="s">
        <v>4838</v>
      </c>
      <c r="C691" s="81">
        <v>45481</v>
      </c>
      <c r="D691" s="82">
        <v>0.70833333333333337</v>
      </c>
      <c r="E691" s="79" t="s">
        <v>151</v>
      </c>
      <c r="F691" s="79" t="s">
        <v>153</v>
      </c>
      <c r="G691" s="79" t="s">
        <v>153</v>
      </c>
      <c r="H691" s="79" t="s">
        <v>152</v>
      </c>
      <c r="I691" s="79" t="s">
        <v>152</v>
      </c>
      <c r="J691" s="79" t="s">
        <v>3999</v>
      </c>
      <c r="K691" s="79" t="s">
        <v>155</v>
      </c>
      <c r="L691" s="80" t="s">
        <v>4839</v>
      </c>
      <c r="M691" s="80" t="s">
        <v>241</v>
      </c>
      <c r="N691" s="79" t="s">
        <v>525</v>
      </c>
      <c r="O691" s="80" t="str">
        <f>_xlfn.TEXTJOIN(", ",TRUE,P691:AN691)</f>
        <v/>
      </c>
      <c r="P691" s="79"/>
      <c r="Q691" s="79"/>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t="s">
        <v>230</v>
      </c>
      <c r="AP691" s="79" t="s">
        <v>231</v>
      </c>
      <c r="AQ691" s="80" t="s">
        <v>4840</v>
      </c>
      <c r="AR691" s="83" t="s">
        <v>4841</v>
      </c>
      <c r="AS691" s="80" t="s">
        <v>4496</v>
      </c>
      <c r="AT691" s="80" t="str">
        <f>_xlfn.TEXTJOIN(", ",TRUE,$AU691:$AY691)</f>
        <v>Suba</v>
      </c>
      <c r="AU691" s="79" t="s">
        <v>602</v>
      </c>
      <c r="AV691" s="79"/>
      <c r="AW691" s="79"/>
      <c r="AX691" s="79"/>
      <c r="AY691" s="79"/>
      <c r="AZ691" s="79"/>
      <c r="BA691" s="80" t="str">
        <f>_xlfn.TEXTJOIN(", ",TRUE,$BB691:$BG691)</f>
        <v>Norte</v>
      </c>
      <c r="BB691" s="79" t="s">
        <v>662</v>
      </c>
      <c r="BC691" s="79"/>
      <c r="BD691" s="79"/>
      <c r="BE691" s="79"/>
      <c r="BF691" s="79"/>
      <c r="BG691" s="79"/>
      <c r="BH691" s="80" t="str">
        <f>_xlfn.TEXTJOIN(", ",TRUE,$BI691:$BR691)</f>
        <v>Suba, Suba Rincón, Tibabuyes, Niza, Britalia, Torca</v>
      </c>
      <c r="BI691" s="79" t="s">
        <v>602</v>
      </c>
      <c r="BJ691" s="79" t="s">
        <v>604</v>
      </c>
      <c r="BK691" s="79" t="s">
        <v>1378</v>
      </c>
      <c r="BL691" s="79" t="s">
        <v>865</v>
      </c>
      <c r="BM691" s="79" t="s">
        <v>1313</v>
      </c>
      <c r="BN691" s="79" t="s">
        <v>805</v>
      </c>
      <c r="BO691" s="79"/>
      <c r="BP691" s="79"/>
      <c r="BQ691" s="79"/>
      <c r="BR691" s="79"/>
      <c r="BS691" s="80" t="s">
        <v>4842</v>
      </c>
      <c r="BT691" s="80" t="s">
        <v>174</v>
      </c>
      <c r="BU691" s="80" t="s">
        <v>4843</v>
      </c>
      <c r="BV691" s="71"/>
      <c r="BW691" s="79" t="s">
        <v>152</v>
      </c>
      <c r="BX691" s="79" t="s">
        <v>179</v>
      </c>
      <c r="BY691" s="71"/>
      <c r="BZ691" s="79">
        <v>10</v>
      </c>
      <c r="CA691" s="79">
        <v>1</v>
      </c>
      <c r="CB691" s="79">
        <f>BZ691+CA691</f>
        <v>11</v>
      </c>
      <c r="CC691" s="79" t="str">
        <f>_xlfn.TEXTJOIN(", ",TRUE,$CD691:$CF691)</f>
        <v>Horarios Acordes</v>
      </c>
      <c r="CD691" s="79" t="s">
        <v>351</v>
      </c>
      <c r="CE691" s="79"/>
      <c r="CF691" s="79"/>
      <c r="CG691" s="83" t="s">
        <v>4844</v>
      </c>
      <c r="CH691" s="41"/>
      <c r="CI691" s="79" t="s">
        <v>153</v>
      </c>
      <c r="CJ691" s="71"/>
      <c r="CK691" s="79">
        <f>COUNTIF(CL691:CQ691,"*")</f>
        <v>0</v>
      </c>
      <c r="CL691" s="79"/>
      <c r="CM691" s="79"/>
      <c r="CN691" s="79"/>
      <c r="CO691" s="79"/>
      <c r="CP691" s="79"/>
      <c r="CQ691" s="79"/>
      <c r="CR691" s="83" t="s">
        <v>179</v>
      </c>
      <c r="CS691" s="83" t="s">
        <v>179</v>
      </c>
      <c r="CT691" s="83" t="s">
        <v>179</v>
      </c>
      <c r="CU691" s="83" t="s">
        <v>179</v>
      </c>
      <c r="CV691" s="83" t="s">
        <v>179</v>
      </c>
      <c r="CW691" s="83" t="s">
        <v>179</v>
      </c>
      <c r="CX691" s="79" t="s">
        <v>153</v>
      </c>
      <c r="CY691" s="79">
        <f>SUM(COUNTIF(CR691:CW691,"Realizado y Devuelto a la Ciudadanía"),COUNTIF(CR691:CW691,"Realizado y Trasladado por competencia"), COUNTIF(CR691:CW691,"Realizado y Gestionado"))</f>
        <v>0</v>
      </c>
      <c r="CZ691" s="79">
        <v>0</v>
      </c>
      <c r="DA691" s="79">
        <f>COUNTIF(CR691:CW691,"Realizado y Devuelto a la Ciudadanía")</f>
        <v>0</v>
      </c>
      <c r="DB691" s="84" t="str">
        <f>IFERROR(CY691/CK691,"")</f>
        <v/>
      </c>
      <c r="DC691" s="41"/>
      <c r="DD691" s="79" t="s">
        <v>153</v>
      </c>
      <c r="DE691" s="71"/>
      <c r="DF691" s="127" t="s">
        <v>4845</v>
      </c>
      <c r="DG691" s="79">
        <v>677</v>
      </c>
      <c r="DH691" s="86" t="str">
        <f>IF(EE691="Por completar",C691+3,"Completo")</f>
        <v>Completo</v>
      </c>
      <c r="DI691" s="79" t="s">
        <v>181</v>
      </c>
      <c r="DJ691" s="79" t="s">
        <v>182</v>
      </c>
      <c r="DK691" s="79"/>
      <c r="DL691" s="79">
        <v>0</v>
      </c>
      <c r="DM691" s="79">
        <v>0</v>
      </c>
      <c r="DN691" s="79" t="s">
        <v>182</v>
      </c>
      <c r="DO691" s="79"/>
      <c r="DP691" s="79"/>
      <c r="DQ691" s="79"/>
      <c r="DR691" s="75" t="str">
        <f>IF(H691="SÍ", (DQ691/(BZ691*0.3)), "No aplica")</f>
        <v>No aplica</v>
      </c>
      <c r="DS691" s="79"/>
      <c r="DT691" s="79"/>
      <c r="DU691" s="75" t="str">
        <f>IF(H691="SÍ", (DT691/(BZ691*0.35)), "No aplica")</f>
        <v>No aplica</v>
      </c>
      <c r="DV691" s="79" t="s">
        <v>182</v>
      </c>
      <c r="DW691" s="79"/>
      <c r="DX691" s="79"/>
      <c r="DY691" s="79"/>
      <c r="DZ691" s="79"/>
      <c r="EA691" s="79"/>
      <c r="EB691" s="79" t="s">
        <v>182</v>
      </c>
      <c r="EC691" s="79" t="s">
        <v>4846</v>
      </c>
      <c r="ED691" s="79" t="s">
        <v>3854</v>
      </c>
      <c r="EE691" s="79" t="str">
        <f>IF(DI691="Subsanado","Completo","Por Completar")</f>
        <v>Completo</v>
      </c>
      <c r="EF691" s="41"/>
      <c r="EG691" s="79" t="s">
        <v>153</v>
      </c>
      <c r="EH691" s="71"/>
      <c r="EI691" s="80"/>
      <c r="EJ691" s="71"/>
      <c r="EK691" s="79"/>
      <c r="EL691" s="87" t="str">
        <f>IF(F691="NO","No requiere",IF(H691="No","No requiere",IF(DW691="","",IF(DW691&lt;&gt;"No aplica",IF(DX691&lt;&gt;"No aplica",IF(DX691&gt;=2,"Sí","No"),"No aplica"),"No aplica"))))</f>
        <v>No requiere</v>
      </c>
      <c r="EM691" s="87" t="str">
        <f>IF(F691="NO","No requiere",IF(H691="No","No requiere",IF(DW691="","",IF(DW691&lt;&gt;"No aplica",IF(DY691&lt;&gt;"No aplica",IF(DY691&gt;=1,"Sí","No"),"No aplica"),"No aplica"))))</f>
        <v>No requiere</v>
      </c>
      <c r="EN691" s="87" t="str">
        <f>IF(F691="NO","No requiere",IF(H691="No","No requiere",IF(CC691="","",IF(CD691&lt;&gt;"No aplica",IF(CD691&lt;&gt;"Ninguna",IF(COUNTIF(CD691:CF691,"*")&gt;=1,"Sí","No"),"No"),"No aplica"))))</f>
        <v>No requiere</v>
      </c>
      <c r="EO691" s="71"/>
      <c r="EP691" s="84" t="str">
        <f>IF(F691="NO","No requiere",IF(H691="No","No requiere",IF(DL691="","",IF(DL691&gt;=1,DM691/DL691,"No aplica"))))</f>
        <v>No requiere</v>
      </c>
      <c r="EQ691" s="88" t="str">
        <f>IFERROR(IF(F691="NO","No requiere",IF(H691="No","No requiere",DU691)),"")</f>
        <v>No requiere</v>
      </c>
      <c r="ER691" s="71"/>
      <c r="ES691" s="79"/>
      <c r="ET691" s="84" t="str">
        <f>IF(F691="NO","No requiere",IF(H691="No","No requiere",IFERROR(COUNTIF(DJ691:DW691,"Completo")/SUM(COUNTIF(DJ691:DW691,"Completo"),COUNTIF(DJ691:DW691,"Incompleto"),COUNTIF(DJ691:DW691,"No subido"),COUNTIF(DJ691:DW691,"No existente"),COUNTIF(DJ691:DW691,"Pendiente")),"")))</f>
        <v>No requiere</v>
      </c>
      <c r="EU691" s="84" t="str">
        <f>IF(F691="NO","No requiere",IF(H691="No","No requiere",IF(B691="","",IF(CX691="SÍ",IF(CK691&gt;=1,CY691/CK691,"Sin compromisos"),"Por verificar"))))</f>
        <v>No requiere</v>
      </c>
      <c r="EV691" s="84" t="str">
        <f>IF(EU691="Por verificar","Por verificar",IF(F691="NO","No requiere",IF(H691="No","No requiere",IFERROR(IF(EU691="","",IF(CK691&gt;=1,DA691/CZ691,"No aplica")),"No aplica"))))</f>
        <v>No requiere</v>
      </c>
      <c r="EW691" s="84" t="str">
        <f>IF(F691="NO","No requiere",IF(H691="No","No requiere",IFERROR(IF(BZ691="","",IF(EA691&lt;&gt;"No aplica",IF(EA691&gt;=1,DO691/EA691,"0%"),"No aplica")),"")))</f>
        <v>No requiere</v>
      </c>
      <c r="EX691" s="78"/>
      <c r="EY691" s="78"/>
    </row>
    <row r="692" spans="1:157" ht="46.5" customHeight="1">
      <c r="A692" s="129">
        <v>688</v>
      </c>
      <c r="B692" s="80" t="s">
        <v>4847</v>
      </c>
      <c r="C692" s="81">
        <v>45481</v>
      </c>
      <c r="D692" s="82">
        <v>0.72916666666666663</v>
      </c>
      <c r="E692" s="79" t="s">
        <v>151</v>
      </c>
      <c r="F692" s="79" t="s">
        <v>153</v>
      </c>
      <c r="G692" s="79" t="s">
        <v>153</v>
      </c>
      <c r="H692" s="79" t="s">
        <v>152</v>
      </c>
      <c r="I692" s="79" t="s">
        <v>152</v>
      </c>
      <c r="J692" s="79" t="s">
        <v>3999</v>
      </c>
      <c r="K692" s="79" t="s">
        <v>155</v>
      </c>
      <c r="L692" s="80" t="s">
        <v>4848</v>
      </c>
      <c r="M692" s="80" t="s">
        <v>241</v>
      </c>
      <c r="N692" s="79" t="s">
        <v>820</v>
      </c>
      <c r="O692" s="80" t="str">
        <f>_xlfn.TEXTJOIN(", ",TRUE,P692:AN692)</f>
        <v>Carlos Eduardo Escandón</v>
      </c>
      <c r="P692" s="79" t="s">
        <v>819</v>
      </c>
      <c r="Q692" s="79"/>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t="s">
        <v>230</v>
      </c>
      <c r="AP692" s="79" t="s">
        <v>231</v>
      </c>
      <c r="AQ692" s="80" t="s">
        <v>4849</v>
      </c>
      <c r="AR692" s="83" t="s">
        <v>4850</v>
      </c>
      <c r="AS692" s="80" t="s">
        <v>171</v>
      </c>
      <c r="AT692" s="80" t="str">
        <f>_xlfn.TEXTJOIN(", ",TRUE,$AU692:$AY692)</f>
        <v>Suba</v>
      </c>
      <c r="AU692" s="79" t="s">
        <v>602</v>
      </c>
      <c r="AV692" s="79"/>
      <c r="AW692" s="79"/>
      <c r="AX692" s="79"/>
      <c r="AY692" s="79"/>
      <c r="AZ692" s="79"/>
      <c r="BA692" s="80" t="str">
        <f>_xlfn.TEXTJOIN(", ",TRUE,$BB692:$BG692)</f>
        <v>Noroccidente</v>
      </c>
      <c r="BB692" s="79" t="s">
        <v>603</v>
      </c>
      <c r="BC692" s="79"/>
      <c r="BD692" s="79"/>
      <c r="BE692" s="79"/>
      <c r="BF692" s="79"/>
      <c r="BG692" s="79"/>
      <c r="BH692" s="80" t="str">
        <f>_xlfn.TEXTJOIN(", ",TRUE,$BI692:$BR692)</f>
        <v>Suba, Suba Rincón, Tibabuyes, Niza, Britalia, Torca</v>
      </c>
      <c r="BI692" s="79" t="s">
        <v>602</v>
      </c>
      <c r="BJ692" s="79" t="s">
        <v>604</v>
      </c>
      <c r="BK692" s="79" t="s">
        <v>1378</v>
      </c>
      <c r="BL692" s="79" t="s">
        <v>865</v>
      </c>
      <c r="BM692" s="79" t="s">
        <v>1313</v>
      </c>
      <c r="BN692" s="79" t="s">
        <v>805</v>
      </c>
      <c r="BO692" s="79"/>
      <c r="BP692" s="79"/>
      <c r="BQ692" s="79"/>
      <c r="BR692" s="79"/>
      <c r="BS692" s="80" t="s">
        <v>288</v>
      </c>
      <c r="BT692" s="80" t="s">
        <v>174</v>
      </c>
      <c r="BU692" s="80" t="s">
        <v>4851</v>
      </c>
      <c r="BV692" s="71"/>
      <c r="BW692" s="79" t="s">
        <v>152</v>
      </c>
      <c r="BX692" s="79" t="s">
        <v>179</v>
      </c>
      <c r="BY692" s="71"/>
      <c r="BZ692" s="79">
        <v>18</v>
      </c>
      <c r="CA692" s="79">
        <v>4</v>
      </c>
      <c r="CB692" s="79">
        <f>BZ692+CA692</f>
        <v>22</v>
      </c>
      <c r="CC692" s="79" t="str">
        <f>_xlfn.TEXTJOIN(", ",TRUE,$CD692:$CF692)</f>
        <v>Ninguna</v>
      </c>
      <c r="CD692" s="79" t="s">
        <v>174</v>
      </c>
      <c r="CE692" s="79"/>
      <c r="CF692" s="79"/>
      <c r="CG692" s="83" t="s">
        <v>4852</v>
      </c>
      <c r="CH692" s="41"/>
      <c r="CI692" s="79" t="s">
        <v>153</v>
      </c>
      <c r="CJ692" s="71"/>
      <c r="CK692" s="79">
        <f>COUNTIF(CL692:CQ692,"*")</f>
        <v>0</v>
      </c>
      <c r="CL692" s="79"/>
      <c r="CM692" s="79"/>
      <c r="CN692" s="79"/>
      <c r="CO692" s="79"/>
      <c r="CP692" s="79"/>
      <c r="CQ692" s="79"/>
      <c r="CR692" s="83" t="s">
        <v>179</v>
      </c>
      <c r="CS692" s="83" t="s">
        <v>179</v>
      </c>
      <c r="CT692" s="83" t="s">
        <v>179</v>
      </c>
      <c r="CU692" s="83" t="s">
        <v>179</v>
      </c>
      <c r="CV692" s="83" t="s">
        <v>179</v>
      </c>
      <c r="CW692" s="83" t="s">
        <v>179</v>
      </c>
      <c r="CX692" s="79" t="s">
        <v>153</v>
      </c>
      <c r="CY692" s="79">
        <f>SUM(COUNTIF(CR692:CW692,"Realizado y Devuelto a la Ciudadanía"),COUNTIF(CR692:CW692,"Realizado y Trasladado por competencia"), COUNTIF(CR692:CW692,"Realizado y Gestionado"))</f>
        <v>0</v>
      </c>
      <c r="CZ692" s="79">
        <v>0</v>
      </c>
      <c r="DA692" s="79">
        <f>COUNTIF(CR692:CW692,"Realizado y Devuelto a la Ciudadanía")</f>
        <v>0</v>
      </c>
      <c r="DB692" s="84" t="str">
        <f>IFERROR(CY692/CK692,"")</f>
        <v/>
      </c>
      <c r="DC692" s="41"/>
      <c r="DD692" s="79" t="s">
        <v>153</v>
      </c>
      <c r="DE692" s="71"/>
      <c r="DF692" s="127" t="s">
        <v>4853</v>
      </c>
      <c r="DG692" s="79">
        <v>678</v>
      </c>
      <c r="DH692" s="86" t="str">
        <f>IF(EE692="Por completar",C692+3,"Completo")</f>
        <v>Completo</v>
      </c>
      <c r="DI692" s="79" t="s">
        <v>181</v>
      </c>
      <c r="DJ692" s="79" t="s">
        <v>182</v>
      </c>
      <c r="DK692" s="79"/>
      <c r="DL692" s="79">
        <v>0</v>
      </c>
      <c r="DM692" s="79">
        <v>0</v>
      </c>
      <c r="DN692" s="79" t="s">
        <v>182</v>
      </c>
      <c r="DO692" s="79"/>
      <c r="DP692" s="79"/>
      <c r="DQ692" s="79"/>
      <c r="DR692" s="75" t="str">
        <f>IF(H692="SÍ", (DQ692/(BZ692*0.3)), "No aplica")</f>
        <v>No aplica</v>
      </c>
      <c r="DS692" s="79"/>
      <c r="DT692" s="79"/>
      <c r="DU692" s="75" t="str">
        <f>IF(H692="SÍ", (DT692/(BZ692*0.35)), "No aplica")</f>
        <v>No aplica</v>
      </c>
      <c r="DV692" s="79" t="s">
        <v>182</v>
      </c>
      <c r="DW692" s="79" t="s">
        <v>182</v>
      </c>
      <c r="DX692" s="79"/>
      <c r="DY692" s="79"/>
      <c r="DZ692" s="79"/>
      <c r="EA692" s="79"/>
      <c r="EB692" s="79" t="s">
        <v>182</v>
      </c>
      <c r="EC692" s="79" t="s">
        <v>4821</v>
      </c>
      <c r="ED692" s="79"/>
      <c r="EE692" s="79" t="str">
        <f>IF(DI692="Subsanado","Completo","Por Completar")</f>
        <v>Completo</v>
      </c>
      <c r="EF692" s="41"/>
      <c r="EG692" s="79"/>
      <c r="EH692" s="71"/>
      <c r="EI692" s="80"/>
      <c r="EJ692" s="71"/>
      <c r="EK692" s="79"/>
      <c r="EL692" s="87" t="str">
        <f>IF(F692="NO","No requiere",IF(H692="No","No requiere",IF(DW692="","",IF(DW692&lt;&gt;"No aplica",IF(DX692&lt;&gt;"No aplica",IF(DX692&gt;=2,"Sí","No"),"No aplica"),"No aplica"))))</f>
        <v>No requiere</v>
      </c>
      <c r="EM692" s="87" t="str">
        <f>IF(F692="NO","No requiere",IF(H692="No","No requiere",IF(DW692="","",IF(DW692&lt;&gt;"No aplica",IF(DY692&lt;&gt;"No aplica",IF(DY692&gt;=1,"Sí","No"),"No aplica"),"No aplica"))))</f>
        <v>No requiere</v>
      </c>
      <c r="EN692" s="87" t="str">
        <f>IF(F692="NO","No requiere",IF(H692="No","No requiere",IF(CC692="","",IF(CD692&lt;&gt;"No aplica",IF(CD692&lt;&gt;"Ninguna",IF(COUNTIF(CD692:CF692,"*")&gt;=1,"Sí","No"),"No"),"No aplica"))))</f>
        <v>No requiere</v>
      </c>
      <c r="EO692" s="71"/>
      <c r="EP692" s="84" t="str">
        <f>IF(F692="NO","No requiere",IF(H692="No","No requiere",IF(DL692="","",IF(DL692&gt;=1,DM692/DL692,"No aplica"))))</f>
        <v>No requiere</v>
      </c>
      <c r="EQ692" s="88" t="str">
        <f>IFERROR(IF(F692="NO","No requiere",IF(H692="No","No requiere",DU692)),"")</f>
        <v>No requiere</v>
      </c>
      <c r="ER692" s="71"/>
      <c r="ES692" s="79"/>
      <c r="ET692" s="84" t="str">
        <f>IF(F692="NO","No requiere",IF(H692="No","No requiere",IFERROR(COUNTIF(DJ692:DW692,"Completo")/SUM(COUNTIF(DJ692:DW692,"Completo"),COUNTIF(DJ692:DW692,"Incompleto"),COUNTIF(DJ692:DW692,"No subido"),COUNTIF(DJ692:DW692,"No existente"),COUNTIF(DJ692:DW692,"Pendiente")),"")))</f>
        <v>No requiere</v>
      </c>
      <c r="EU692" s="84" t="str">
        <f>IF(F692="NO","No requiere",IF(H692="No","No requiere",IF(B692="","",IF(CX692="SÍ",IF(CK692&gt;=1,CY692/CK692,"Sin compromisos"),"Por verificar"))))</f>
        <v>No requiere</v>
      </c>
      <c r="EV692" s="84" t="str">
        <f>IF(EU692="Por verificar","Por verificar",IF(F692="NO","No requiere",IF(H692="No","No requiere",IFERROR(IF(EU692="","",IF(CK692&gt;=1,DA692/CZ692,"No aplica")),"No aplica"))))</f>
        <v>No requiere</v>
      </c>
      <c r="EW692" s="84" t="str">
        <f>IF(F692="NO","No requiere",IF(H692="No","No requiere",IFERROR(IF(BZ692="","",IF(EA692&lt;&gt;"No aplica",IF(EA692&gt;=1,DO692/EA692,"0%"),"No aplica")),"")))</f>
        <v>No requiere</v>
      </c>
      <c r="EX692" s="78"/>
      <c r="EY692" s="78"/>
    </row>
    <row r="693" spans="1:157" ht="46.5" customHeight="1">
      <c r="A693" s="79">
        <v>689</v>
      </c>
      <c r="B693" s="80" t="s">
        <v>4854</v>
      </c>
      <c r="C693" s="81">
        <v>45481</v>
      </c>
      <c r="D693" s="82">
        <v>0.75</v>
      </c>
      <c r="E693" s="79" t="s">
        <v>151</v>
      </c>
      <c r="F693" s="79" t="s">
        <v>153</v>
      </c>
      <c r="G693" s="79" t="s">
        <v>153</v>
      </c>
      <c r="H693" s="79" t="s">
        <v>152</v>
      </c>
      <c r="I693" s="79" t="s">
        <v>152</v>
      </c>
      <c r="J693" s="79" t="s">
        <v>3175</v>
      </c>
      <c r="K693" s="79" t="s">
        <v>155</v>
      </c>
      <c r="L693" s="80" t="s">
        <v>4855</v>
      </c>
      <c r="M693" s="80" t="s">
        <v>229</v>
      </c>
      <c r="N693" s="79" t="s">
        <v>525</v>
      </c>
      <c r="O693" s="80" t="str">
        <f t="shared" ref="O693:O695" si="751">_xlfn.TEXTJOIN(", ",TRUE,P693:AN693)</f>
        <v/>
      </c>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t="s">
        <v>230</v>
      </c>
      <c r="AP693" s="79" t="s">
        <v>231</v>
      </c>
      <c r="AQ693" s="80" t="s">
        <v>4856</v>
      </c>
      <c r="AR693" s="83" t="s">
        <v>4841</v>
      </c>
      <c r="AS693" s="80" t="s">
        <v>171</v>
      </c>
      <c r="AT693" s="80" t="str">
        <f t="shared" ref="AT693:AT695" si="752">_xlfn.TEXTJOIN(", ",TRUE,$AU693:$AY693)</f>
        <v>Suba</v>
      </c>
      <c r="AU693" s="79" t="s">
        <v>602</v>
      </c>
      <c r="AV693" s="79"/>
      <c r="AW693" s="79"/>
      <c r="AX693" s="79"/>
      <c r="AY693" s="79"/>
      <c r="AZ693" s="79"/>
      <c r="BA693" s="80" t="str">
        <f>_xlfn.TEXTJOIN(", ",TRUE,$BB693:$BG693)</f>
        <v>Norte</v>
      </c>
      <c r="BB693" s="79" t="s">
        <v>662</v>
      </c>
      <c r="BC693" s="79"/>
      <c r="BD693" s="79"/>
      <c r="BE693" s="79"/>
      <c r="BF693" s="79"/>
      <c r="BG693" s="79"/>
      <c r="BH693" s="80" t="str">
        <f>_xlfn.TEXTJOIN(", ",TRUE,$BI693:$BR693)</f>
        <v>Suba, Suba Rincón, Tibabuyes, Niza, Britalia, Torca</v>
      </c>
      <c r="BI693" s="79" t="s">
        <v>602</v>
      </c>
      <c r="BJ693" s="79" t="s">
        <v>604</v>
      </c>
      <c r="BK693" s="79" t="s">
        <v>1378</v>
      </c>
      <c r="BL693" s="79" t="s">
        <v>865</v>
      </c>
      <c r="BM693" s="79" t="s">
        <v>1313</v>
      </c>
      <c r="BN693" s="79" t="s">
        <v>805</v>
      </c>
      <c r="BO693" s="79"/>
      <c r="BP693" s="79"/>
      <c r="BQ693" s="79"/>
      <c r="BR693" s="79"/>
      <c r="BS693" s="80" t="s">
        <v>288</v>
      </c>
      <c r="BT693" s="80" t="s">
        <v>174</v>
      </c>
      <c r="BU693" s="80" t="s">
        <v>4857</v>
      </c>
      <c r="BV693" s="71"/>
      <c r="BW693" s="79" t="s">
        <v>152</v>
      </c>
      <c r="BX693" s="79" t="s">
        <v>179</v>
      </c>
      <c r="BY693" s="71"/>
      <c r="BZ693" s="79">
        <v>10</v>
      </c>
      <c r="CA693" s="79">
        <v>1</v>
      </c>
      <c r="CB693" s="79">
        <f t="shared" ref="CB693:CB695" si="753">BZ693+CA693</f>
        <v>11</v>
      </c>
      <c r="CC693" s="79" t="str">
        <f t="shared" si="382"/>
        <v>Horarios Acordes</v>
      </c>
      <c r="CD693" s="79" t="s">
        <v>351</v>
      </c>
      <c r="CE693" s="79"/>
      <c r="CF693" s="79"/>
      <c r="CG693" s="83" t="s">
        <v>4858</v>
      </c>
      <c r="CH693" s="41"/>
      <c r="CI693" s="79" t="s">
        <v>153</v>
      </c>
      <c r="CJ693" s="71"/>
      <c r="CK693" s="79">
        <v>1</v>
      </c>
      <c r="CL693" s="79" t="s">
        <v>4859</v>
      </c>
      <c r="CM693" s="79"/>
      <c r="CN693" s="79"/>
      <c r="CO693" s="79"/>
      <c r="CP693" s="79"/>
      <c r="CQ693" s="79"/>
      <c r="CR693" s="83" t="s">
        <v>390</v>
      </c>
      <c r="CS693" s="83" t="s">
        <v>179</v>
      </c>
      <c r="CT693" s="83" t="s">
        <v>179</v>
      </c>
      <c r="CU693" s="83" t="s">
        <v>179</v>
      </c>
      <c r="CV693" s="83" t="s">
        <v>179</v>
      </c>
      <c r="CW693" s="83" t="s">
        <v>179</v>
      </c>
      <c r="CX693" s="79" t="s">
        <v>153</v>
      </c>
      <c r="CY693" s="79">
        <f t="shared" ref="CY693:CY695" si="754">SUM(COUNTIF(CR693:CW693,"Realizado y Devuelto a la Ciudadanía"),COUNTIF(CR693:CW693,"Realizado y Trasladado por competencia"), COUNTIF(CR693:CW693,"Realizado y Gestionado"))</f>
        <v>1</v>
      </c>
      <c r="CZ693" s="79">
        <v>0</v>
      </c>
      <c r="DA693" s="79">
        <f t="shared" ref="DA693:DA695" si="755">COUNTIF(CR693:CW693,"Realizado y Devuelto a la Ciudadanía")</f>
        <v>1</v>
      </c>
      <c r="DB693" s="84">
        <f t="shared" ref="DB693:DB695" si="756">IFERROR(CY693/CK693,"")</f>
        <v>1</v>
      </c>
      <c r="DC693" s="41"/>
      <c r="DD693" s="79" t="s">
        <v>153</v>
      </c>
      <c r="DE693" s="71"/>
      <c r="DF693" s="127" t="s">
        <v>4860</v>
      </c>
      <c r="DG693" s="79">
        <v>679</v>
      </c>
      <c r="DH693" s="86" t="str">
        <f t="shared" ref="DH693:DH695" si="757">IF(EE693="Por completar",C693+3,"Completo")</f>
        <v>Completo</v>
      </c>
      <c r="DI693" s="79" t="s">
        <v>181</v>
      </c>
      <c r="DJ693" s="79" t="s">
        <v>182</v>
      </c>
      <c r="DK693" s="79"/>
      <c r="DL693" s="79">
        <v>0</v>
      </c>
      <c r="DM693" s="79">
        <v>0</v>
      </c>
      <c r="DN693" s="79" t="s">
        <v>182</v>
      </c>
      <c r="DO693" s="79"/>
      <c r="DP693" s="79"/>
      <c r="DQ693" s="79"/>
      <c r="DR693" s="75" t="str">
        <f t="shared" ref="DR693:DR695" si="758">IF(H693="SÍ", (DQ693/(BZ693*0.3)), "No aplica")</f>
        <v>No aplica</v>
      </c>
      <c r="DS693" s="79"/>
      <c r="DT693" s="79"/>
      <c r="DU693" s="75" t="str">
        <f t="shared" ref="DU693:DU695" si="759">IF(H693="SÍ", (DT693/(BZ693*0.35)), "No aplica")</f>
        <v>No aplica</v>
      </c>
      <c r="DV693" s="79" t="s">
        <v>182</v>
      </c>
      <c r="DW693" s="79" t="s">
        <v>182</v>
      </c>
      <c r="DX693" s="79"/>
      <c r="DY693" s="79"/>
      <c r="DZ693" s="79"/>
      <c r="EA693" s="79"/>
      <c r="EB693" s="79" t="s">
        <v>182</v>
      </c>
      <c r="EC693" s="79" t="s">
        <v>4861</v>
      </c>
      <c r="ED693" s="79" t="s">
        <v>3854</v>
      </c>
      <c r="EE693" s="79" t="str">
        <f t="shared" ref="EE693:EE695" si="760">IF(DI693="Subsanado","Completo","Por Completar")</f>
        <v>Completo</v>
      </c>
      <c r="EF693" s="41"/>
      <c r="EG693" s="79" t="s">
        <v>153</v>
      </c>
      <c r="EH693" s="71"/>
      <c r="EI693" s="80"/>
      <c r="EJ693" s="71"/>
      <c r="EK693" s="79"/>
      <c r="EL693" s="87" t="str">
        <f t="shared" ref="EL693:EL695" si="761">IF(F693="NO","No requiere",IF(H693="No","No requiere",IF(DW693="","",IF(DW693&lt;&gt;"No aplica",IF(DX693&lt;&gt;"No aplica",IF(DX693&gt;=2,"Sí","No"),"No aplica"),"No aplica"))))</f>
        <v>No requiere</v>
      </c>
      <c r="EM693" s="87" t="str">
        <f t="shared" ref="EM693:EM695" si="762">IF(F693="NO","No requiere",IF(H693="No","No requiere",IF(DW693="","",IF(DW693&lt;&gt;"No aplica",IF(DY693&lt;&gt;"No aplica",IF(DY693&gt;=1,"Sí","No"),"No aplica"),"No aplica"))))</f>
        <v>No requiere</v>
      </c>
      <c r="EN693" s="87" t="str">
        <f t="shared" ref="EN693:EN695" si="763">IF(F693="NO","No requiere",IF(H693="No","No requiere",IF(CC693="","",IF(CD693&lt;&gt;"No aplica",IF(CD693&lt;&gt;"Ninguna",IF(COUNTIF(CD693:CF693,"*")&gt;=1,"Sí","No"),"No"),"No aplica"))))</f>
        <v>No requiere</v>
      </c>
      <c r="EO693" s="71"/>
      <c r="EP693" s="84" t="str">
        <f t="shared" ref="EP693:EP695" si="764">IF(F693="NO","No requiere",IF(H693="No","No requiere",IF(DL693="","",IF(DL693&gt;=1,DM693/DL693,"No aplica"))))</f>
        <v>No requiere</v>
      </c>
      <c r="EQ693" s="88" t="str">
        <f t="shared" ref="EQ693:EQ695" si="765">IFERROR(IF(F693="NO","No requiere",IF(H693="No","No requiere",DU693)),"")</f>
        <v>No requiere</v>
      </c>
      <c r="ER693" s="71"/>
      <c r="ES693" s="79"/>
      <c r="ET693" s="84" t="str">
        <f t="shared" ref="ET693:ET695" si="766">IF(F693="NO","No requiere",IF(H693="No","No requiere",IFERROR(COUNTIF(DJ693:DW693,"Completo")/SUM(COUNTIF(DJ693:DW693,"Completo"),COUNTIF(DJ693:DW693,"Incompleto"),COUNTIF(DJ693:DW693,"No subido"),COUNTIF(DJ693:DW693,"No existente"),COUNTIF(DJ693:DW693,"Pendiente")),"")))</f>
        <v>No requiere</v>
      </c>
      <c r="EU693" s="84" t="str">
        <f t="shared" ref="EU693:EU695" si="767">IF(F693="NO","No requiere",IF(H693="No","No requiere",IF(B693="","",IF(CX693="SÍ",IF(CK693&gt;=1,CY693/CK693,"Sin compromisos"),"Por verificar"))))</f>
        <v>No requiere</v>
      </c>
      <c r="EV693" s="84" t="str">
        <f t="shared" ref="EV693:EV695" si="768">IF(EU693="Por verificar","Por verificar",IF(F693="NO","No requiere",IF(H693="No","No requiere",IFERROR(IF(EU693="","",IF(CK693&gt;=1,DA693/CZ693,"No aplica")),"No aplica"))))</f>
        <v>No requiere</v>
      </c>
      <c r="EW693" s="84" t="str">
        <f t="shared" ref="EW693:EW695" si="769">IF(F693="NO","No requiere",IF(H693="No","No requiere",IFERROR(IF(BZ693="","",IF(EA693&lt;&gt;"No aplica",IF(EA693&gt;=1,DO693/EA693,"0%"),"No aplica")),"")))</f>
        <v>No requiere</v>
      </c>
      <c r="EX693" s="78"/>
      <c r="EY693" s="78"/>
    </row>
    <row r="694" spans="1:157" ht="55.5" customHeight="1">
      <c r="A694" s="79">
        <v>690</v>
      </c>
      <c r="B694" s="80" t="s">
        <v>4862</v>
      </c>
      <c r="C694" s="81">
        <v>45481</v>
      </c>
      <c r="D694" s="82">
        <v>0.75</v>
      </c>
      <c r="E694" s="79" t="s">
        <v>151</v>
      </c>
      <c r="F694" s="79" t="s">
        <v>153</v>
      </c>
      <c r="G694" s="79" t="s">
        <v>153</v>
      </c>
      <c r="H694" s="79" t="s">
        <v>152</v>
      </c>
      <c r="I694" s="79" t="s">
        <v>153</v>
      </c>
      <c r="J694" s="79" t="s">
        <v>1768</v>
      </c>
      <c r="K694" s="79" t="s">
        <v>155</v>
      </c>
      <c r="L694" s="80" t="s">
        <v>4863</v>
      </c>
      <c r="M694" s="80" t="s">
        <v>229</v>
      </c>
      <c r="N694" s="79" t="s">
        <v>1611</v>
      </c>
      <c r="O694" s="80" t="str">
        <f t="shared" si="751"/>
        <v/>
      </c>
      <c r="P694" s="79"/>
      <c r="Q694" s="79"/>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t="s">
        <v>230</v>
      </c>
      <c r="AP694" s="79" t="s">
        <v>356</v>
      </c>
      <c r="AQ694" s="80" t="s">
        <v>4849</v>
      </c>
      <c r="AR694" s="83" t="s">
        <v>4864</v>
      </c>
      <c r="AS694" s="80" t="s">
        <v>171</v>
      </c>
      <c r="AT694" s="80" t="str">
        <f t="shared" si="752"/>
        <v>Suba</v>
      </c>
      <c r="AU694" s="79" t="s">
        <v>602</v>
      </c>
      <c r="AV694" s="79"/>
      <c r="AW694" s="79"/>
      <c r="AX694" s="79"/>
      <c r="AY694" s="79"/>
      <c r="AZ694" s="79"/>
      <c r="BA694" s="80" t="str">
        <f>_xlfn.TEXTJOIN(", ",TRUE,$BB694:$BG694)</f>
        <v>Norte</v>
      </c>
      <c r="BB694" s="79" t="s">
        <v>662</v>
      </c>
      <c r="BC694" s="79"/>
      <c r="BD694" s="79"/>
      <c r="BE694" s="79"/>
      <c r="BF694" s="79"/>
      <c r="BG694" s="79"/>
      <c r="BH694" s="80" t="str">
        <f>_xlfn.TEXTJOIN(", ",TRUE,$BI694:$BR694)</f>
        <v>Niza, Britalia, Torca</v>
      </c>
      <c r="BI694" s="79" t="s">
        <v>865</v>
      </c>
      <c r="BJ694" s="79" t="s">
        <v>1313</v>
      </c>
      <c r="BK694" s="79" t="s">
        <v>805</v>
      </c>
      <c r="BL694" s="79"/>
      <c r="BM694" s="79"/>
      <c r="BN694" s="79"/>
      <c r="BO694" s="79"/>
      <c r="BP694" s="79"/>
      <c r="BQ694" s="79"/>
      <c r="BR694" s="79"/>
      <c r="BS694" s="80" t="s">
        <v>288</v>
      </c>
      <c r="BT694" s="80" t="s">
        <v>174</v>
      </c>
      <c r="BU694" s="80" t="s">
        <v>4865</v>
      </c>
      <c r="BV694" s="71"/>
      <c r="BW694" s="79" t="s">
        <v>152</v>
      </c>
      <c r="BX694" s="79" t="s">
        <v>179</v>
      </c>
      <c r="BY694" s="71"/>
      <c r="BZ694" s="79">
        <v>18</v>
      </c>
      <c r="CA694" s="79">
        <v>4</v>
      </c>
      <c r="CB694" s="79">
        <f t="shared" si="753"/>
        <v>22</v>
      </c>
      <c r="CC694" s="79" t="str">
        <f t="shared" si="382"/>
        <v>Horarios Acordes</v>
      </c>
      <c r="CD694" s="79" t="s">
        <v>351</v>
      </c>
      <c r="CE694" s="79"/>
      <c r="CF694" s="79"/>
      <c r="CG694" s="83" t="s">
        <v>4866</v>
      </c>
      <c r="CH694" s="41"/>
      <c r="CI694" s="79" t="s">
        <v>153</v>
      </c>
      <c r="CJ694" s="71"/>
      <c r="CK694" s="79">
        <f t="shared" ref="CK694:CK695" si="770">COUNTIF(CL694:CQ694,"*")</f>
        <v>0</v>
      </c>
      <c r="CL694" s="79"/>
      <c r="CM694" s="79"/>
      <c r="CN694" s="79"/>
      <c r="CO694" s="79"/>
      <c r="CP694" s="79"/>
      <c r="CQ694" s="79"/>
      <c r="CR694" s="83" t="s">
        <v>179</v>
      </c>
      <c r="CS694" s="83" t="s">
        <v>179</v>
      </c>
      <c r="CT694" s="83" t="s">
        <v>179</v>
      </c>
      <c r="CU694" s="83" t="s">
        <v>179</v>
      </c>
      <c r="CV694" s="83" t="s">
        <v>179</v>
      </c>
      <c r="CW694" s="83" t="s">
        <v>179</v>
      </c>
      <c r="CX694" s="79" t="s">
        <v>153</v>
      </c>
      <c r="CY694" s="79">
        <f t="shared" si="754"/>
        <v>0</v>
      </c>
      <c r="CZ694" s="79">
        <v>0</v>
      </c>
      <c r="DA694" s="79">
        <f t="shared" si="755"/>
        <v>0</v>
      </c>
      <c r="DB694" s="84" t="str">
        <f t="shared" si="756"/>
        <v/>
      </c>
      <c r="DC694" s="41"/>
      <c r="DD694" s="79" t="s">
        <v>153</v>
      </c>
      <c r="DE694" s="71"/>
      <c r="DF694" s="127" t="s">
        <v>4867</v>
      </c>
      <c r="DG694" s="79">
        <v>680</v>
      </c>
      <c r="DH694" s="86" t="str">
        <f t="shared" si="757"/>
        <v>Completo</v>
      </c>
      <c r="DI694" s="79" t="s">
        <v>181</v>
      </c>
      <c r="DJ694" s="79" t="s">
        <v>182</v>
      </c>
      <c r="DK694" s="79"/>
      <c r="DL694" s="79">
        <v>0</v>
      </c>
      <c r="DM694" s="79">
        <v>0</v>
      </c>
      <c r="DN694" s="79" t="s">
        <v>182</v>
      </c>
      <c r="DO694" s="79">
        <v>18</v>
      </c>
      <c r="DP694" s="79"/>
      <c r="DQ694" s="79"/>
      <c r="DR694" s="75" t="str">
        <f t="shared" si="758"/>
        <v>No aplica</v>
      </c>
      <c r="DS694" s="79"/>
      <c r="DT694" s="79"/>
      <c r="DU694" s="75" t="str">
        <f t="shared" si="759"/>
        <v>No aplica</v>
      </c>
      <c r="DV694" s="79" t="s">
        <v>182</v>
      </c>
      <c r="DW694" s="79"/>
      <c r="DX694" s="79"/>
      <c r="DY694" s="79"/>
      <c r="DZ694" s="79"/>
      <c r="EA694" s="79"/>
      <c r="EB694" s="79"/>
      <c r="EC694" s="79"/>
      <c r="ED694" s="79" t="s">
        <v>4868</v>
      </c>
      <c r="EE694" s="79" t="str">
        <f t="shared" si="760"/>
        <v>Completo</v>
      </c>
      <c r="EF694" s="41"/>
      <c r="EG694" s="79" t="s">
        <v>153</v>
      </c>
      <c r="EH694" s="71"/>
      <c r="EI694" s="80"/>
      <c r="EJ694" s="71"/>
      <c r="EK694" s="79"/>
      <c r="EL694" s="87" t="str">
        <f t="shared" si="761"/>
        <v>No requiere</v>
      </c>
      <c r="EM694" s="87" t="str">
        <f t="shared" si="762"/>
        <v>No requiere</v>
      </c>
      <c r="EN694" s="87" t="str">
        <f t="shared" si="763"/>
        <v>No requiere</v>
      </c>
      <c r="EO694" s="71"/>
      <c r="EP694" s="84" t="str">
        <f t="shared" si="764"/>
        <v>No requiere</v>
      </c>
      <c r="EQ694" s="88" t="str">
        <f t="shared" si="765"/>
        <v>No requiere</v>
      </c>
      <c r="ER694" s="71"/>
      <c r="ES694" s="79"/>
      <c r="ET694" s="84" t="str">
        <f t="shared" si="766"/>
        <v>No requiere</v>
      </c>
      <c r="EU694" s="84" t="str">
        <f t="shared" si="767"/>
        <v>No requiere</v>
      </c>
      <c r="EV694" s="84" t="str">
        <f t="shared" si="768"/>
        <v>No requiere</v>
      </c>
      <c r="EW694" s="84" t="str">
        <f t="shared" si="769"/>
        <v>No requiere</v>
      </c>
      <c r="EX694" s="78"/>
      <c r="EY694" s="78"/>
    </row>
    <row r="695" spans="1:157" ht="55.5" customHeight="1">
      <c r="A695" s="79">
        <v>691</v>
      </c>
      <c r="B695" s="80" t="s">
        <v>4869</v>
      </c>
      <c r="C695" s="81">
        <v>45481</v>
      </c>
      <c r="D695" s="82">
        <v>0.77083333333333337</v>
      </c>
      <c r="E695" s="79" t="s">
        <v>200</v>
      </c>
      <c r="F695" s="79" t="s">
        <v>153</v>
      </c>
      <c r="G695" s="79" t="s">
        <v>152</v>
      </c>
      <c r="H695" s="79" t="s">
        <v>152</v>
      </c>
      <c r="I695" s="79" t="s">
        <v>152</v>
      </c>
      <c r="J695" s="79" t="s">
        <v>211</v>
      </c>
      <c r="K695" s="79" t="s">
        <v>202</v>
      </c>
      <c r="L695" s="80" t="s">
        <v>4870</v>
      </c>
      <c r="M695" s="80" t="s">
        <v>624</v>
      </c>
      <c r="N695" s="79" t="s">
        <v>888</v>
      </c>
      <c r="O695" s="80" t="str">
        <f t="shared" si="751"/>
        <v/>
      </c>
      <c r="P695" s="79"/>
      <c r="Q695" s="79"/>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t="s">
        <v>230</v>
      </c>
      <c r="AP695" s="79" t="s">
        <v>242</v>
      </c>
      <c r="AQ695" s="80" t="s">
        <v>1322</v>
      </c>
      <c r="AR695" s="83" t="s">
        <v>4218</v>
      </c>
      <c r="AS695" s="80" t="s">
        <v>1324</v>
      </c>
      <c r="AT695" s="80" t="str">
        <f t="shared" si="752"/>
        <v>Distrital</v>
      </c>
      <c r="AU695" s="79" t="s">
        <v>172</v>
      </c>
      <c r="AV695" s="79"/>
      <c r="AW695" s="79"/>
      <c r="AX695" s="79"/>
      <c r="AY695" s="79"/>
      <c r="AZ695" s="79"/>
      <c r="BA695" s="80" t="str">
        <f t="shared" ref="BA695" si="771">_xlfn.TEXTJOIN(", ",TRUE,$BB695:$BG695)</f>
        <v>Distrital</v>
      </c>
      <c r="BB695" s="79" t="s">
        <v>172</v>
      </c>
      <c r="BC695" s="79"/>
      <c r="BD695" s="79"/>
      <c r="BE695" s="79"/>
      <c r="BF695" s="79"/>
      <c r="BG695" s="79"/>
      <c r="BH695" s="80" t="str">
        <f t="shared" ref="BH695" si="772">_xlfn.TEXTJOIN(", ",TRUE,$BI695:$BR695)</f>
        <v>Distrital</v>
      </c>
      <c r="BI695" s="79" t="s">
        <v>172</v>
      </c>
      <c r="BJ695" s="79"/>
      <c r="BK695" s="79"/>
      <c r="BL695" s="79"/>
      <c r="BM695" s="79"/>
      <c r="BN695" s="79"/>
      <c r="BO695" s="79"/>
      <c r="BP695" s="79"/>
      <c r="BQ695" s="79"/>
      <c r="BR695" s="79"/>
      <c r="BS695" s="80" t="s">
        <v>288</v>
      </c>
      <c r="BT695" s="80" t="s">
        <v>174</v>
      </c>
      <c r="BU695" s="128" t="s">
        <v>3931</v>
      </c>
      <c r="BV695" s="71"/>
      <c r="BW695" s="79" t="s">
        <v>152</v>
      </c>
      <c r="BX695" s="79" t="s">
        <v>179</v>
      </c>
      <c r="BY695" s="71"/>
      <c r="BZ695" s="79">
        <v>7</v>
      </c>
      <c r="CA695" s="79">
        <v>1</v>
      </c>
      <c r="CB695" s="79">
        <f t="shared" si="753"/>
        <v>8</v>
      </c>
      <c r="CC695" s="79" t="str">
        <f t="shared" si="382"/>
        <v>Ninguna</v>
      </c>
      <c r="CD695" s="79" t="s">
        <v>174</v>
      </c>
      <c r="CE695" s="79"/>
      <c r="CF695" s="79"/>
      <c r="CG695" s="83" t="s">
        <v>4871</v>
      </c>
      <c r="CH695" s="41"/>
      <c r="CI695" s="79" t="s">
        <v>153</v>
      </c>
      <c r="CJ695" s="71"/>
      <c r="CK695" s="79">
        <f t="shared" si="770"/>
        <v>0</v>
      </c>
      <c r="CL695" s="79"/>
      <c r="CM695" s="79"/>
      <c r="CN695" s="79"/>
      <c r="CO695" s="79"/>
      <c r="CP695" s="79"/>
      <c r="CQ695" s="79"/>
      <c r="CR695" s="83" t="s">
        <v>179</v>
      </c>
      <c r="CS695" s="83" t="s">
        <v>179</v>
      </c>
      <c r="CT695" s="83" t="s">
        <v>179</v>
      </c>
      <c r="CU695" s="83" t="s">
        <v>179</v>
      </c>
      <c r="CV695" s="83" t="s">
        <v>179</v>
      </c>
      <c r="CW695" s="83" t="s">
        <v>179</v>
      </c>
      <c r="CX695" s="79" t="s">
        <v>153</v>
      </c>
      <c r="CY695" s="79">
        <f t="shared" si="754"/>
        <v>0</v>
      </c>
      <c r="CZ695" s="79">
        <v>0</v>
      </c>
      <c r="DA695" s="79">
        <f t="shared" si="755"/>
        <v>0</v>
      </c>
      <c r="DB695" s="84" t="str">
        <f t="shared" si="756"/>
        <v/>
      </c>
      <c r="DC695" s="41"/>
      <c r="DD695" s="79" t="s">
        <v>153</v>
      </c>
      <c r="DE695" s="71"/>
      <c r="DF695" s="127" t="s">
        <v>4872</v>
      </c>
      <c r="DG695" s="79">
        <v>681</v>
      </c>
      <c r="DH695" s="86" t="str">
        <f t="shared" si="757"/>
        <v>Completo</v>
      </c>
      <c r="DI695" s="79" t="s">
        <v>181</v>
      </c>
      <c r="DJ695" s="79" t="s">
        <v>182</v>
      </c>
      <c r="DK695" s="79"/>
      <c r="DL695" s="79">
        <v>0</v>
      </c>
      <c r="DM695" s="79">
        <v>0</v>
      </c>
      <c r="DN695" s="79" t="s">
        <v>182</v>
      </c>
      <c r="DO695" s="79"/>
      <c r="DP695" s="79"/>
      <c r="DQ695" s="79"/>
      <c r="DR695" s="75" t="str">
        <f t="shared" si="758"/>
        <v>No aplica</v>
      </c>
      <c r="DS695" s="79"/>
      <c r="DT695" s="79"/>
      <c r="DU695" s="75" t="str">
        <f t="shared" si="759"/>
        <v>No aplica</v>
      </c>
      <c r="DV695" s="79" t="s">
        <v>182</v>
      </c>
      <c r="DW695" s="79" t="s">
        <v>182</v>
      </c>
      <c r="DX695" s="79"/>
      <c r="DY695" s="79"/>
      <c r="DZ695" s="79"/>
      <c r="EA695" s="79"/>
      <c r="EB695" s="79" t="s">
        <v>182</v>
      </c>
      <c r="EC695" s="79" t="s">
        <v>4873</v>
      </c>
      <c r="ED695" s="79" t="s">
        <v>4629</v>
      </c>
      <c r="EE695" s="79" t="str">
        <f t="shared" si="760"/>
        <v>Completo</v>
      </c>
      <c r="EF695" s="41"/>
      <c r="EG695" s="79" t="s">
        <v>153</v>
      </c>
      <c r="EH695" s="71"/>
      <c r="EI695" s="80"/>
      <c r="EJ695" s="71"/>
      <c r="EK695" s="79"/>
      <c r="EL695" s="87" t="str">
        <f t="shared" si="761"/>
        <v>No requiere</v>
      </c>
      <c r="EM695" s="87" t="str">
        <f t="shared" si="762"/>
        <v>No requiere</v>
      </c>
      <c r="EN695" s="87" t="str">
        <f t="shared" si="763"/>
        <v>No requiere</v>
      </c>
      <c r="EO695" s="71"/>
      <c r="EP695" s="84" t="str">
        <f t="shared" si="764"/>
        <v>No requiere</v>
      </c>
      <c r="EQ695" s="88" t="str">
        <f t="shared" si="765"/>
        <v>No requiere</v>
      </c>
      <c r="ER695" s="71"/>
      <c r="ES695" s="79"/>
      <c r="ET695" s="84" t="str">
        <f t="shared" si="766"/>
        <v>No requiere</v>
      </c>
      <c r="EU695" s="84" t="str">
        <f t="shared" si="767"/>
        <v>No requiere</v>
      </c>
      <c r="EV695" s="84" t="str">
        <f t="shared" si="768"/>
        <v>No requiere</v>
      </c>
      <c r="EW695" s="84" t="str">
        <f t="shared" si="769"/>
        <v>No requiere</v>
      </c>
      <c r="EX695" s="78"/>
      <c r="EY695" s="78"/>
    </row>
    <row r="696" spans="1:157" ht="46.5" customHeight="1">
      <c r="A696" s="129">
        <v>692</v>
      </c>
      <c r="B696" s="80" t="s">
        <v>4874</v>
      </c>
      <c r="C696" s="81">
        <v>45481</v>
      </c>
      <c r="D696" s="82">
        <v>0.79166666666666663</v>
      </c>
      <c r="E696" s="79" t="s">
        <v>151</v>
      </c>
      <c r="F696" s="79" t="s">
        <v>153</v>
      </c>
      <c r="G696" s="79" t="s">
        <v>153</v>
      </c>
      <c r="H696" s="79" t="s">
        <v>152</v>
      </c>
      <c r="I696" s="79" t="s">
        <v>153</v>
      </c>
      <c r="J696" s="79" t="s">
        <v>1768</v>
      </c>
      <c r="K696" s="79" t="s">
        <v>155</v>
      </c>
      <c r="L696" s="80" t="s">
        <v>4875</v>
      </c>
      <c r="M696" s="80" t="s">
        <v>229</v>
      </c>
      <c r="N696" s="79" t="s">
        <v>820</v>
      </c>
      <c r="O696" s="80" t="str">
        <f t="shared" ref="O696" si="773">_xlfn.TEXTJOIN(", ",TRUE,P696:AN696)</f>
        <v>Carlos Eduardo Escandón</v>
      </c>
      <c r="P696" s="79" t="s">
        <v>819</v>
      </c>
      <c r="Q696" s="79"/>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t="s">
        <v>230</v>
      </c>
      <c r="AP696" s="79" t="s">
        <v>356</v>
      </c>
      <c r="AQ696" s="80" t="s">
        <v>4340</v>
      </c>
      <c r="AR696" s="83" t="s">
        <v>4341</v>
      </c>
      <c r="AS696" s="80" t="s">
        <v>171</v>
      </c>
      <c r="AT696" s="80" t="str">
        <f>_xlfn.TEXTJOIN(", ",TRUE,$AU696:$AY696)</f>
        <v>Suba</v>
      </c>
      <c r="AU696" s="79" t="s">
        <v>602</v>
      </c>
      <c r="AV696" s="79"/>
      <c r="AW696" s="79"/>
      <c r="AX696" s="79"/>
      <c r="AY696" s="79"/>
      <c r="AZ696" s="79"/>
      <c r="BA696" s="80" t="str">
        <f>_xlfn.TEXTJOIN(", ",TRUE,$BB696:$BG696)</f>
        <v>Noroccidente</v>
      </c>
      <c r="BB696" s="79" t="s">
        <v>603</v>
      </c>
      <c r="BC696" s="79"/>
      <c r="BD696" s="79"/>
      <c r="BE696" s="79"/>
      <c r="BF696" s="79"/>
      <c r="BG696" s="79"/>
      <c r="BH696" s="80" t="str">
        <f>_xlfn.TEXTJOIN(", ",TRUE,$BI696:$BR696)</f>
        <v>Suba, Suba Rincón, Tibabuyes</v>
      </c>
      <c r="BI696" s="79" t="s">
        <v>602</v>
      </c>
      <c r="BJ696" s="79" t="s">
        <v>604</v>
      </c>
      <c r="BK696" s="79" t="s">
        <v>1378</v>
      </c>
      <c r="BL696" s="79"/>
      <c r="BM696" s="79"/>
      <c r="BN696" s="79"/>
      <c r="BO696" s="79"/>
      <c r="BP696" s="79"/>
      <c r="BQ696" s="79"/>
      <c r="BR696" s="79"/>
      <c r="BS696" s="80" t="s">
        <v>288</v>
      </c>
      <c r="BT696" s="80" t="s">
        <v>4876</v>
      </c>
      <c r="BU696" s="80" t="s">
        <v>4877</v>
      </c>
      <c r="BV696" s="71"/>
      <c r="BW696" s="79" t="s">
        <v>152</v>
      </c>
      <c r="BX696" s="79" t="s">
        <v>179</v>
      </c>
      <c r="BY696" s="71"/>
      <c r="BZ696" s="79">
        <v>18</v>
      </c>
      <c r="CA696" s="79">
        <v>4</v>
      </c>
      <c r="CB696" s="79">
        <f t="shared" ref="CB696" si="774">BZ696+CA696</f>
        <v>22</v>
      </c>
      <c r="CC696" s="79" t="str">
        <f>_xlfn.TEXTJOIN(", ",TRUE,$CD696:$CF696)</f>
        <v>Ninguna</v>
      </c>
      <c r="CD696" s="79" t="s">
        <v>174</v>
      </c>
      <c r="CE696" s="79"/>
      <c r="CF696" s="79"/>
      <c r="CG696" s="83" t="s">
        <v>4878</v>
      </c>
      <c r="CH696" s="41"/>
      <c r="CI696" s="79" t="s">
        <v>153</v>
      </c>
      <c r="CJ696" s="71"/>
      <c r="CK696" s="79">
        <f t="shared" ref="CK696" si="775">COUNTIF(CL696:CQ696,"*")</f>
        <v>0</v>
      </c>
      <c r="CL696" s="79"/>
      <c r="CM696" s="79"/>
      <c r="CN696" s="79"/>
      <c r="CO696" s="79"/>
      <c r="CP696" s="79"/>
      <c r="CQ696" s="79"/>
      <c r="CR696" s="83" t="s">
        <v>1545</v>
      </c>
      <c r="CS696" s="83" t="s">
        <v>1545</v>
      </c>
      <c r="CT696" s="83" t="s">
        <v>1545</v>
      </c>
      <c r="CU696" s="83" t="s">
        <v>1545</v>
      </c>
      <c r="CV696" s="83" t="s">
        <v>1545</v>
      </c>
      <c r="CW696" s="83" t="s">
        <v>1545</v>
      </c>
      <c r="CX696" s="79" t="s">
        <v>153</v>
      </c>
      <c r="CY696" s="79">
        <f t="shared" ref="CY696" si="776">SUM(COUNTIF(CR696:CW696,"Realizado y Devuelto a la Ciudadanía"),COUNTIF(CR696:CW696,"Realizado y Trasladado por competencia"), COUNTIF(CR696:CW696,"Realizado y Gestionado"))</f>
        <v>0</v>
      </c>
      <c r="CZ696" s="79">
        <v>0</v>
      </c>
      <c r="DA696" s="79">
        <f t="shared" ref="DA696" si="777">COUNTIF(CR696:CW696,"Realizado y Devuelto a la Ciudadanía")</f>
        <v>0</v>
      </c>
      <c r="DB696" s="84" t="str">
        <f t="shared" ref="DB696" si="778">IFERROR(CY696/CK696,"")</f>
        <v/>
      </c>
      <c r="DC696" s="41"/>
      <c r="DD696" s="79" t="s">
        <v>153</v>
      </c>
      <c r="DE696" s="71"/>
      <c r="DF696" s="127" t="s">
        <v>4879</v>
      </c>
      <c r="DG696" s="79">
        <v>682</v>
      </c>
      <c r="DH696" s="86" t="str">
        <f t="shared" ref="DH696" si="779">IF(EE696="Por completar",C696+3,"Completo")</f>
        <v>Completo</v>
      </c>
      <c r="DI696" s="79" t="s">
        <v>181</v>
      </c>
      <c r="DJ696" s="79" t="s">
        <v>182</v>
      </c>
      <c r="DK696" s="79"/>
      <c r="DL696" s="79">
        <v>0</v>
      </c>
      <c r="DM696" s="79">
        <v>0</v>
      </c>
      <c r="DN696" s="79" t="s">
        <v>182</v>
      </c>
      <c r="DO696" s="79"/>
      <c r="DP696" s="79"/>
      <c r="DQ696" s="79"/>
      <c r="DR696" s="75" t="str">
        <f t="shared" ref="DR696" si="780">IF(H696="SÍ", (DQ696/(BZ696*0.3)), "No aplica")</f>
        <v>No aplica</v>
      </c>
      <c r="DS696" s="79"/>
      <c r="DT696" s="79"/>
      <c r="DU696" s="75" t="str">
        <f t="shared" ref="DU696" si="781">IF(H696="SÍ", (DT696/(BZ696*0.35)), "No aplica")</f>
        <v>No aplica</v>
      </c>
      <c r="DV696" s="79" t="s">
        <v>182</v>
      </c>
      <c r="DW696" s="79" t="s">
        <v>182</v>
      </c>
      <c r="DX696" s="79"/>
      <c r="DY696" s="79"/>
      <c r="DZ696" s="79"/>
      <c r="EA696" s="79"/>
      <c r="EB696" s="79" t="s">
        <v>182</v>
      </c>
      <c r="EC696" s="79" t="s">
        <v>4880</v>
      </c>
      <c r="ED696" s="79" t="s">
        <v>4629</v>
      </c>
      <c r="EE696" s="79" t="str">
        <f t="shared" ref="EE696" si="782">IF(DI696="Subsanado","Completo","Por Completar")</f>
        <v>Completo</v>
      </c>
      <c r="EF696" s="41"/>
      <c r="EG696" s="79" t="s">
        <v>153</v>
      </c>
      <c r="EH696" s="71"/>
      <c r="EI696" s="80"/>
      <c r="EJ696" s="71"/>
      <c r="EK696" s="79"/>
      <c r="EL696" s="87" t="str">
        <f t="shared" ref="EL696" si="783">IF(F696="NO","No requiere",IF(H696="No","No requiere",IF(DW696="","",IF(DW696&lt;&gt;"No aplica",IF(DX696&lt;&gt;"No aplica",IF(DX696&gt;=2,"Sí","No"),"No aplica"),"No aplica"))))</f>
        <v>No requiere</v>
      </c>
      <c r="EM696" s="87" t="str">
        <f t="shared" ref="EM696" si="784">IF(F696="NO","No requiere",IF(H696="No","No requiere",IF(DW696="","",IF(DW696&lt;&gt;"No aplica",IF(DY696&lt;&gt;"No aplica",IF(DY696&gt;=1,"Sí","No"),"No aplica"),"No aplica"))))</f>
        <v>No requiere</v>
      </c>
      <c r="EN696" s="87" t="str">
        <f t="shared" ref="EN696" si="785">IF(F696="NO","No requiere",IF(H696="No","No requiere",IF(CC696="","",IF(CD696&lt;&gt;"No aplica",IF(CD696&lt;&gt;"Ninguna",IF(COUNTIF(CD696:CF696,"*")&gt;=1,"Sí","No"),"No"),"No aplica"))))</f>
        <v>No requiere</v>
      </c>
      <c r="EO696" s="71"/>
      <c r="EP696" s="84" t="str">
        <f t="shared" ref="EP696" si="786">IF(F696="NO","No requiere",IF(H696="No","No requiere",IF(DL696="","",IF(DL696&gt;=1,DM696/DL696,"No aplica"))))</f>
        <v>No requiere</v>
      </c>
      <c r="EQ696" s="88" t="str">
        <f t="shared" ref="EQ696" si="787">IFERROR(IF(F696="NO","No requiere",IF(H696="No","No requiere",DU696)),"")</f>
        <v>No requiere</v>
      </c>
      <c r="ER696" s="71"/>
      <c r="ES696" s="79"/>
      <c r="ET696" s="84" t="str">
        <f t="shared" ref="ET696" si="788">IF(F696="NO","No requiere",IF(H696="No","No requiere",IFERROR(COUNTIF(DJ696:DW696,"Completo")/SUM(COUNTIF(DJ696:DW696,"Completo"),COUNTIF(DJ696:DW696,"Incompleto"),COUNTIF(DJ696:DW696,"No subido"),COUNTIF(DJ696:DW696,"No existente"),COUNTIF(DJ696:DW696,"Pendiente")),"")))</f>
        <v>No requiere</v>
      </c>
      <c r="EU696" s="84" t="str">
        <f t="shared" ref="EU696" si="789">IF(F696="NO","No requiere",IF(H696="No","No requiere",IF(B696="","",IF(CX696="SÍ",IF(CK696&gt;=1,CY696/CK696,"Sin compromisos"),"Por verificar"))))</f>
        <v>No requiere</v>
      </c>
      <c r="EV696" s="84" t="str">
        <f t="shared" ref="EV696" si="790">IF(EU696="Por verificar","Por verificar",IF(F696="NO","No requiere",IF(H696="No","No requiere",IFERROR(IF(EU696="","",IF(CK696&gt;=1,DA696/CZ696,"No aplica")),"No aplica"))))</f>
        <v>No requiere</v>
      </c>
      <c r="EW696" s="84" t="str">
        <f t="shared" ref="EW696" si="791">IF(F696="NO","No requiere",IF(H696="No","No requiere",IFERROR(IF(BZ696="","",IF(EA696&lt;&gt;"No aplica",IF(EA696&gt;=1,DO696/EA696,"0%"),"No aplica")),"")))</f>
        <v>No requiere</v>
      </c>
      <c r="EX696" s="78"/>
      <c r="EY696" s="78"/>
    </row>
    <row r="697" spans="1:157" ht="55.5" customHeight="1">
      <c r="A697" s="79">
        <v>693</v>
      </c>
      <c r="B697" s="80" t="s">
        <v>4881</v>
      </c>
      <c r="C697" s="81">
        <v>45482</v>
      </c>
      <c r="D697" s="82">
        <v>0.33333333333333331</v>
      </c>
      <c r="E697" s="79" t="s">
        <v>151</v>
      </c>
      <c r="F697" s="79" t="s">
        <v>153</v>
      </c>
      <c r="G697" s="79" t="s">
        <v>153</v>
      </c>
      <c r="H697" s="79" t="s">
        <v>152</v>
      </c>
      <c r="I697" s="79" t="s">
        <v>152</v>
      </c>
      <c r="J697" s="79" t="s">
        <v>3999</v>
      </c>
      <c r="K697" s="79" t="s">
        <v>155</v>
      </c>
      <c r="L697" s="80" t="s">
        <v>4369</v>
      </c>
      <c r="M697" s="80" t="s">
        <v>241</v>
      </c>
      <c r="N697" s="79" t="s">
        <v>2786</v>
      </c>
      <c r="O697" s="80" t="str">
        <f>_xlfn.TEXTJOIN(", ",TRUE,P697:AN697)</f>
        <v/>
      </c>
      <c r="P697" s="79"/>
      <c r="Q697" s="79"/>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t="s">
        <v>230</v>
      </c>
      <c r="AP697" s="79"/>
      <c r="AQ697" s="80" t="s">
        <v>4882</v>
      </c>
      <c r="AR697" s="83" t="s">
        <v>4883</v>
      </c>
      <c r="AS697" s="80" t="s">
        <v>4884</v>
      </c>
      <c r="AT697" s="80" t="str">
        <f>_xlfn.TEXTJOIN(", ",TRUE,$AU697:$AY697)</f>
        <v>Fontibón</v>
      </c>
      <c r="AU697" s="79" t="s">
        <v>646</v>
      </c>
      <c r="AV697" s="79"/>
      <c r="AW697" s="79"/>
      <c r="AX697" s="79"/>
      <c r="AY697" s="79"/>
      <c r="AZ697" s="79"/>
      <c r="BA697" s="80" t="str">
        <f>_xlfn.TEXTJOIN(", ",TRUE,$BB697:$BG697)</f>
        <v>Occidente</v>
      </c>
      <c r="BB697" s="79" t="s">
        <v>235</v>
      </c>
      <c r="BC697" s="79"/>
      <c r="BD697" s="79"/>
      <c r="BE697" s="79"/>
      <c r="BF697" s="79"/>
      <c r="BG697" s="79"/>
      <c r="BH697" s="80" t="str">
        <f>_xlfn.TEXTJOIN(", ",TRUE,$BI697:$BR697)</f>
        <v>Fontibón, Salitre</v>
      </c>
      <c r="BI697" s="79" t="s">
        <v>646</v>
      </c>
      <c r="BJ697" s="79" t="s">
        <v>415</v>
      </c>
      <c r="BK697" s="79"/>
      <c r="BL697" s="79"/>
      <c r="BM697" s="79"/>
      <c r="BN697" s="79"/>
      <c r="BO697" s="79"/>
      <c r="BP697" s="79"/>
      <c r="BQ697" s="79"/>
      <c r="BR697" s="79"/>
      <c r="BS697" s="80" t="s">
        <v>288</v>
      </c>
      <c r="BT697" s="80" t="s">
        <v>174</v>
      </c>
      <c r="BU697" s="80" t="s">
        <v>4885</v>
      </c>
      <c r="BV697" s="71"/>
      <c r="BW697" s="79" t="s">
        <v>152</v>
      </c>
      <c r="BX697" s="79" t="s">
        <v>179</v>
      </c>
      <c r="BY697" s="71"/>
      <c r="BZ697" s="79">
        <v>1</v>
      </c>
      <c r="CA697" s="79">
        <v>1</v>
      </c>
      <c r="CB697" s="79">
        <f>BZ697+CA697</f>
        <v>2</v>
      </c>
      <c r="CC697" s="79" t="str">
        <f>_xlfn.TEXTJOIN(", ",TRUE,$CD697:$CF697)</f>
        <v>Ninguna</v>
      </c>
      <c r="CD697" s="79" t="s">
        <v>174</v>
      </c>
      <c r="CE697" s="79"/>
      <c r="CF697" s="79"/>
      <c r="CG697" s="83" t="s">
        <v>4886</v>
      </c>
      <c r="CH697" s="41"/>
      <c r="CI697" s="79" t="s">
        <v>153</v>
      </c>
      <c r="CJ697" s="71"/>
      <c r="CK697" s="79">
        <f>COUNTIF(CL697:CQ697,"*")</f>
        <v>0</v>
      </c>
      <c r="CL697" s="79"/>
      <c r="CM697" s="79"/>
      <c r="CN697" s="79"/>
      <c r="CO697" s="79"/>
      <c r="CP697" s="79"/>
      <c r="CQ697" s="79"/>
      <c r="CR697" s="83" t="s">
        <v>179</v>
      </c>
      <c r="CS697" s="83" t="s">
        <v>179</v>
      </c>
      <c r="CT697" s="83" t="s">
        <v>179</v>
      </c>
      <c r="CU697" s="83" t="s">
        <v>179</v>
      </c>
      <c r="CV697" s="83" t="s">
        <v>179</v>
      </c>
      <c r="CW697" s="83" t="s">
        <v>179</v>
      </c>
      <c r="CX697" s="79" t="s">
        <v>153</v>
      </c>
      <c r="CY697" s="79">
        <f>SUM(COUNTIF(CR697:CW697,"Realizado y Devuelto a la Ciudadanía"),COUNTIF(CR697:CW697,"Realizado y Trasladado por competencia"), COUNTIF(CR697:CW697,"Realizado y Gestionado"))</f>
        <v>0</v>
      </c>
      <c r="CZ697" s="79">
        <v>0</v>
      </c>
      <c r="DA697" s="79">
        <f>COUNTIF(CR697:CW697,"Realizado y Devuelto a la Ciudadanía")</f>
        <v>0</v>
      </c>
      <c r="DB697" s="84" t="str">
        <f>IFERROR(CY697/CK697,"")</f>
        <v/>
      </c>
      <c r="DC697" s="41"/>
      <c r="DD697" s="79" t="s">
        <v>153</v>
      </c>
      <c r="DE697" s="71"/>
      <c r="DF697" s="127" t="s">
        <v>4887</v>
      </c>
      <c r="DG697" s="79">
        <v>683</v>
      </c>
      <c r="DH697" s="86" t="str">
        <f>IF(EE697="Por completar",C697+3,"Completo")</f>
        <v>Completo</v>
      </c>
      <c r="DI697" s="79" t="s">
        <v>181</v>
      </c>
      <c r="DJ697" s="79" t="s">
        <v>182</v>
      </c>
      <c r="DK697" s="79"/>
      <c r="DL697" s="79">
        <v>0</v>
      </c>
      <c r="DM697" s="79">
        <v>0</v>
      </c>
      <c r="DN697" s="79" t="s">
        <v>182</v>
      </c>
      <c r="DO697" s="79"/>
      <c r="DP697" s="79"/>
      <c r="DQ697" s="79"/>
      <c r="DR697" s="75" t="str">
        <f>IF(H697="SÍ", (DQ697/(BZ697*0.3)), "No aplica")</f>
        <v>No aplica</v>
      </c>
      <c r="DS697" s="79"/>
      <c r="DT697" s="79"/>
      <c r="DU697" s="75" t="str">
        <f>IF(H697="SÍ", (DT697/(BZ697*0.35)), "No aplica")</f>
        <v>No aplica</v>
      </c>
      <c r="DV697" s="79" t="s">
        <v>182</v>
      </c>
      <c r="DW697" s="79"/>
      <c r="DX697" s="79"/>
      <c r="DY697" s="79"/>
      <c r="DZ697" s="79"/>
      <c r="EA697" s="79"/>
      <c r="EB697" s="79"/>
      <c r="EC697" s="79"/>
      <c r="ED697" s="79" t="s">
        <v>4629</v>
      </c>
      <c r="EE697" s="79" t="str">
        <f>IF(DI697="Subsanado","Completo","Por Completar")</f>
        <v>Completo</v>
      </c>
      <c r="EF697" s="41"/>
      <c r="EG697" s="79" t="s">
        <v>153</v>
      </c>
      <c r="EH697" s="71"/>
      <c r="EI697" s="80"/>
      <c r="EJ697" s="71"/>
      <c r="EK697" s="79"/>
      <c r="EL697" s="87" t="str">
        <f>IF(F697="NO","No requiere",IF(H697="No","No requiere",IF(DW697="","",IF(DW697&lt;&gt;"No aplica",IF(DX697&lt;&gt;"No aplica",IF(DX697&gt;=2,"Sí","No"),"No aplica"),"No aplica"))))</f>
        <v>No requiere</v>
      </c>
      <c r="EM697" s="87" t="str">
        <f>IF(F697="NO","No requiere",IF(H697="No","No requiere",IF(DW697="","",IF(DW697&lt;&gt;"No aplica",IF(DY697&lt;&gt;"No aplica",IF(DY697&gt;=1,"Sí","No"),"No aplica"),"No aplica"))))</f>
        <v>No requiere</v>
      </c>
      <c r="EN697" s="87" t="str">
        <f>IF(F697="NO","No requiere",IF(H697="No","No requiere",IF(CC697="","",IF(CD697&lt;&gt;"No aplica",IF(CD697&lt;&gt;"Ninguna",IF(COUNTIF(CD697:CF697,"*")&gt;=1,"Sí","No"),"No"),"No aplica"))))</f>
        <v>No requiere</v>
      </c>
      <c r="EO697" s="71"/>
      <c r="EP697" s="84" t="str">
        <f>IF(F697="NO","No requiere",IF(H697="No","No requiere",IF(DL697="","",IF(DL697&gt;=1,DM697/DL697,"No aplica"))))</f>
        <v>No requiere</v>
      </c>
      <c r="EQ697" s="88" t="str">
        <f>IFERROR(IF(F697="NO","No requiere",IF(H697="No","No requiere",DU697)),"")</f>
        <v>No requiere</v>
      </c>
      <c r="ER697" s="71"/>
      <c r="ES697" s="79"/>
      <c r="ET697" s="84" t="str">
        <f>IF(F697="NO","No requiere",IF(H697="No","No requiere",IFERROR(COUNTIF(DJ697:DW697,"Completo")/SUM(COUNTIF(DJ697:DW697,"Completo"),COUNTIF(DJ697:DW697,"Incompleto"),COUNTIF(DJ697:DW697,"No subido"),COUNTIF(DJ697:DW697,"No existente"),COUNTIF(DJ697:DW697,"Pendiente")),"")))</f>
        <v>No requiere</v>
      </c>
      <c r="EU697" s="84" t="str">
        <f>IF(F697="NO","No requiere",IF(H697="No","No requiere",IF(B697="","",IF(CX697="SÍ",IF(CK697&gt;=1,CY697/CK697,"Sin compromisos"),"Por verificar"))))</f>
        <v>No requiere</v>
      </c>
      <c r="EV697" s="84" t="str">
        <f>IF(EU697="Por verificar","Por verificar",IF(F697="NO","No requiere",IF(H697="No","No requiere",IFERROR(IF(EU697="","",IF(CK697&gt;=1,DA697/CZ697,"No aplica")),"No aplica"))))</f>
        <v>No requiere</v>
      </c>
      <c r="EW697" s="84" t="str">
        <f>IF(F697="NO","No requiere",IF(H697="No","No requiere",IFERROR(IF(BZ697="","",IF(EA697&lt;&gt;"No aplica",IF(EA697&gt;=1,DO697/EA697,"0%"),"No aplica")),"")))</f>
        <v>No requiere</v>
      </c>
      <c r="EX697" s="78"/>
      <c r="EY697" s="78"/>
    </row>
    <row r="698" spans="1:157" ht="55.5" customHeight="1">
      <c r="A698" s="79">
        <v>694</v>
      </c>
      <c r="B698" s="80" t="s">
        <v>4888</v>
      </c>
      <c r="C698" s="81">
        <v>45482</v>
      </c>
      <c r="D698" s="82">
        <v>0.375</v>
      </c>
      <c r="E698" s="79" t="s">
        <v>151</v>
      </c>
      <c r="F698" s="79" t="s">
        <v>153</v>
      </c>
      <c r="G698" s="79" t="s">
        <v>153</v>
      </c>
      <c r="H698" s="79" t="s">
        <v>152</v>
      </c>
      <c r="I698" s="79" t="s">
        <v>152</v>
      </c>
      <c r="J698" s="79" t="s">
        <v>3999</v>
      </c>
      <c r="K698" s="79" t="s">
        <v>155</v>
      </c>
      <c r="L698" s="80" t="s">
        <v>4889</v>
      </c>
      <c r="M698" s="80" t="s">
        <v>241</v>
      </c>
      <c r="N698" s="79" t="s">
        <v>644</v>
      </c>
      <c r="O698" s="80" t="str">
        <f t="shared" ref="O698:O699" si="792">_xlfn.TEXTJOIN(", ",TRUE,P698:AN698)</f>
        <v>Nathalia Guzmán Martínez</v>
      </c>
      <c r="P698" s="79" t="s">
        <v>166</v>
      </c>
      <c r="Q698" s="79"/>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t="s">
        <v>230</v>
      </c>
      <c r="AP698" s="79" t="s">
        <v>356</v>
      </c>
      <c r="AQ698" s="80" t="s">
        <v>4890</v>
      </c>
      <c r="AR698" s="83" t="s">
        <v>4483</v>
      </c>
      <c r="AS698" s="80" t="s">
        <v>4891</v>
      </c>
      <c r="AT698" s="80" t="str">
        <f t="shared" ref="AT698" si="793">_xlfn.TEXTJOIN(", ",TRUE,$AU698:$AY698)</f>
        <v>Engativá</v>
      </c>
      <c r="AU698" s="79" t="s">
        <v>234</v>
      </c>
      <c r="AV698" s="79"/>
      <c r="AW698" s="79"/>
      <c r="AX698" s="79"/>
      <c r="AY698" s="79"/>
      <c r="AZ698" s="79"/>
      <c r="BA698" s="80" t="str">
        <f t="shared" ref="BA698" si="794">_xlfn.TEXTJOIN(", ",TRUE,$BB698:$BG698)</f>
        <v>Occidente</v>
      </c>
      <c r="BB698" s="79" t="s">
        <v>235</v>
      </c>
      <c r="BC698" s="79"/>
      <c r="BD698" s="79"/>
      <c r="BE698" s="79"/>
      <c r="BF698" s="79"/>
      <c r="BG698" s="79"/>
      <c r="BH698" s="80" t="str">
        <f t="shared" ref="BH698" si="795">_xlfn.TEXTJOIN(", ",TRUE,$BI698:$BR698)</f>
        <v>Engativá, Tabora, Salitre</v>
      </c>
      <c r="BI698" s="79" t="s">
        <v>234</v>
      </c>
      <c r="BJ698" s="79" t="s">
        <v>414</v>
      </c>
      <c r="BK698" s="79" t="s">
        <v>415</v>
      </c>
      <c r="BL698" s="79"/>
      <c r="BM698" s="79"/>
      <c r="BN698" s="79"/>
      <c r="BO698" s="79"/>
      <c r="BP698" s="79"/>
      <c r="BQ698" s="79"/>
      <c r="BR698" s="79"/>
      <c r="BS698" s="80" t="s">
        <v>4892</v>
      </c>
      <c r="BT698" s="80" t="s">
        <v>174</v>
      </c>
      <c r="BU698" s="80" t="s">
        <v>4893</v>
      </c>
      <c r="BV698" s="71"/>
      <c r="BW698" s="79" t="s">
        <v>152</v>
      </c>
      <c r="BX698" s="79" t="s">
        <v>179</v>
      </c>
      <c r="BY698" s="71"/>
      <c r="BZ698" s="79">
        <v>3</v>
      </c>
      <c r="CA698" s="79">
        <v>1</v>
      </c>
      <c r="CB698" s="79">
        <f t="shared" ref="CB698:CB699" si="796">BZ698+CA698</f>
        <v>4</v>
      </c>
      <c r="CC698" s="79" t="str">
        <f t="shared" si="382"/>
        <v>Horarios Acordes</v>
      </c>
      <c r="CD698" s="79" t="s">
        <v>351</v>
      </c>
      <c r="CE698" s="79"/>
      <c r="CF698" s="79"/>
      <c r="CG698" s="83" t="s">
        <v>4894</v>
      </c>
      <c r="CH698" s="41"/>
      <c r="CI698" s="79" t="s">
        <v>153</v>
      </c>
      <c r="CJ698" s="71"/>
      <c r="CK698" s="79">
        <f t="shared" ref="CK698:CK699" si="797">COUNTIF(CL698:CQ698,"*")</f>
        <v>0</v>
      </c>
      <c r="CL698" s="79"/>
      <c r="CM698" s="79"/>
      <c r="CN698" s="79"/>
      <c r="CO698" s="79"/>
      <c r="CP698" s="79"/>
      <c r="CQ698" s="79"/>
      <c r="CR698" s="83" t="s">
        <v>179</v>
      </c>
      <c r="CS698" s="83" t="s">
        <v>179</v>
      </c>
      <c r="CT698" s="83" t="s">
        <v>179</v>
      </c>
      <c r="CU698" s="83" t="s">
        <v>179</v>
      </c>
      <c r="CV698" s="83" t="s">
        <v>179</v>
      </c>
      <c r="CW698" s="83" t="s">
        <v>179</v>
      </c>
      <c r="CX698" s="79" t="s">
        <v>153</v>
      </c>
      <c r="CY698" s="79">
        <f t="shared" ref="CY698:CY699" si="798">SUM(COUNTIF(CR698:CW698,"Realizado y Devuelto a la Ciudadanía"),COUNTIF(CR698:CW698,"Realizado y Trasladado por competencia"), COUNTIF(CR698:CW698,"Realizado y Gestionado"))</f>
        <v>0</v>
      </c>
      <c r="CZ698" s="79">
        <v>0</v>
      </c>
      <c r="DA698" s="79">
        <f t="shared" ref="DA698:DA699" si="799">COUNTIF(CR698:CW698,"Realizado y Devuelto a la Ciudadanía")</f>
        <v>0</v>
      </c>
      <c r="DB698" s="84" t="str">
        <f t="shared" ref="DB698:DB699" si="800">IFERROR(CY698/CK698,"")</f>
        <v/>
      </c>
      <c r="DC698" s="41"/>
      <c r="DD698" s="79" t="s">
        <v>153</v>
      </c>
      <c r="DE698" s="71"/>
      <c r="DF698" s="160" t="s">
        <v>4895</v>
      </c>
      <c r="DG698" s="79">
        <v>684</v>
      </c>
      <c r="DH698" s="86" t="str">
        <f t="shared" ref="DH698:DH699" si="801">IF(EE698="Por completar",C698+3,"Completo")</f>
        <v>Completo</v>
      </c>
      <c r="DI698" s="79" t="s">
        <v>181</v>
      </c>
      <c r="DJ698" s="79" t="s">
        <v>182</v>
      </c>
      <c r="DK698" s="79"/>
      <c r="DL698" s="79">
        <v>0</v>
      </c>
      <c r="DM698" s="79">
        <v>0</v>
      </c>
      <c r="DN698" s="79" t="s">
        <v>182</v>
      </c>
      <c r="DO698" s="79"/>
      <c r="DP698" s="79"/>
      <c r="DQ698" s="79"/>
      <c r="DR698" s="75" t="str">
        <f t="shared" ref="DR698:DR699" si="802">IF(H698="SÍ", (DQ698/(BZ698*0.3)), "No aplica")</f>
        <v>No aplica</v>
      </c>
      <c r="DS698" s="79"/>
      <c r="DT698" s="79"/>
      <c r="DU698" s="75" t="str">
        <f t="shared" ref="DU698:DU699" si="803">IF(H698="SÍ", (DT698/(BZ698*0.35)), "No aplica")</f>
        <v>No aplica</v>
      </c>
      <c r="DV698" s="79" t="s">
        <v>182</v>
      </c>
      <c r="DW698" s="79"/>
      <c r="DX698" s="79"/>
      <c r="DY698" s="79"/>
      <c r="DZ698" s="79"/>
      <c r="EA698" s="79"/>
      <c r="EB698" s="79"/>
      <c r="EC698" s="79"/>
      <c r="ED698" s="79" t="s">
        <v>4360</v>
      </c>
      <c r="EE698" s="79" t="str">
        <f t="shared" ref="EE698:EE699" si="804">IF(DI698="Subsanado","Completo","Por Completar")</f>
        <v>Completo</v>
      </c>
      <c r="EF698" s="41"/>
      <c r="EG698" s="79" t="s">
        <v>153</v>
      </c>
      <c r="EH698" s="71"/>
      <c r="EI698" s="80"/>
      <c r="EJ698" s="71"/>
      <c r="EK698" s="79"/>
      <c r="EL698" s="87" t="str">
        <f t="shared" ref="EL698:EL699" si="805">IF(F698="NO","No requiere",IF(H698="No","No requiere",IF(DW698="","",IF(DW698&lt;&gt;"No aplica",IF(DX698&lt;&gt;"No aplica",IF(DX698&gt;=2,"Sí","No"),"No aplica"),"No aplica"))))</f>
        <v>No requiere</v>
      </c>
      <c r="EM698" s="87" t="str">
        <f t="shared" ref="EM698:EM699" si="806">IF(F698="NO","No requiere",IF(H698="No","No requiere",IF(DW698="","",IF(DW698&lt;&gt;"No aplica",IF(DY698&lt;&gt;"No aplica",IF(DY698&gt;=1,"Sí","No"),"No aplica"),"No aplica"))))</f>
        <v>No requiere</v>
      </c>
      <c r="EN698" s="87" t="str">
        <f t="shared" ref="EN698:EN699" si="807">IF(F698="NO","No requiere",IF(H698="No","No requiere",IF(CC698="","",IF(CD698&lt;&gt;"No aplica",IF(CD698&lt;&gt;"Ninguna",IF(COUNTIF(CD698:CF698,"*")&gt;=1,"Sí","No"),"No"),"No aplica"))))</f>
        <v>No requiere</v>
      </c>
      <c r="EO698" s="71"/>
      <c r="EP698" s="84" t="str">
        <f t="shared" ref="EP698:EP699" si="808">IF(F698="NO","No requiere",IF(H698="No","No requiere",IF(DL698="","",IF(DL698&gt;=1,DM698/DL698,"No aplica"))))</f>
        <v>No requiere</v>
      </c>
      <c r="EQ698" s="88" t="str">
        <f t="shared" ref="EQ698:EQ699" si="809">IFERROR(IF(F698="NO","No requiere",IF(H698="No","No requiere",DU698)),"")</f>
        <v>No requiere</v>
      </c>
      <c r="ER698" s="71"/>
      <c r="ES698" s="79"/>
      <c r="ET698" s="84" t="str">
        <f t="shared" ref="ET698:ET699" si="810">IF(F698="NO","No requiere",IF(H698="No","No requiere",IFERROR(COUNTIF(DJ698:DW698,"Completo")/SUM(COUNTIF(DJ698:DW698,"Completo"),COUNTIF(DJ698:DW698,"Incompleto"),COUNTIF(DJ698:DW698,"No subido"),COUNTIF(DJ698:DW698,"No existente"),COUNTIF(DJ698:DW698,"Pendiente")),"")))</f>
        <v>No requiere</v>
      </c>
      <c r="EU698" s="84" t="str">
        <f t="shared" ref="EU698:EU699" si="811">IF(F698="NO","No requiere",IF(H698="No","No requiere",IF(B698="","",IF(CX698="SÍ",IF(CK698&gt;=1,CY698/CK698,"Sin compromisos"),"Por verificar"))))</f>
        <v>No requiere</v>
      </c>
      <c r="EV698" s="84" t="str">
        <f t="shared" ref="EV698:EV699" si="812">IF(EU698="Por verificar","Por verificar",IF(F698="NO","No requiere",IF(H698="No","No requiere",IFERROR(IF(EU698="","",IF(CK698&gt;=1,DA698/CZ698,"No aplica")),"No aplica"))))</f>
        <v>No requiere</v>
      </c>
      <c r="EW698" s="84" t="str">
        <f t="shared" ref="EW698:EW699" si="813">IF(F698="NO","No requiere",IF(H698="No","No requiere",IFERROR(IF(BZ698="","",IF(EA698&lt;&gt;"No aplica",IF(EA698&gt;=1,DO698/EA698,"0%"),"No aplica")),"")))</f>
        <v>No requiere</v>
      </c>
      <c r="EX698" s="78"/>
      <c r="EY698" s="78"/>
    </row>
    <row r="699" spans="1:157" ht="55.5" customHeight="1">
      <c r="A699" s="79" t="str">
        <v/>
      </c>
      <c r="B699" s="80" t="s">
        <v>4896</v>
      </c>
      <c r="C699" s="81">
        <v>45482</v>
      </c>
      <c r="D699" s="82">
        <v>0.41666666666666669</v>
      </c>
      <c r="E699" s="79" t="s">
        <v>151</v>
      </c>
      <c r="F699" s="79" t="s">
        <v>152</v>
      </c>
      <c r="G699" s="79" t="s">
        <v>153</v>
      </c>
      <c r="H699" s="79" t="s">
        <v>152</v>
      </c>
      <c r="I699" s="79" t="s">
        <v>152</v>
      </c>
      <c r="J699" s="79" t="s">
        <v>2153</v>
      </c>
      <c r="K699" s="79" t="s">
        <v>202</v>
      </c>
      <c r="L699" s="80" t="s">
        <v>4897</v>
      </c>
      <c r="M699" s="80" t="s">
        <v>157</v>
      </c>
      <c r="N699" s="79" t="s">
        <v>346</v>
      </c>
      <c r="O699" s="80" t="str">
        <f t="shared" si="792"/>
        <v>Ana María Ulloa, César Augusto Barrantes, Freddy Martínez, Angie Sandoval</v>
      </c>
      <c r="P699" s="79" t="s">
        <v>522</v>
      </c>
      <c r="Q699" s="79" t="s">
        <v>729</v>
      </c>
      <c r="R699" s="79" t="s">
        <v>3049</v>
      </c>
      <c r="S699" s="79" t="s">
        <v>4898</v>
      </c>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t="s">
        <v>304</v>
      </c>
      <c r="AP699" s="79"/>
      <c r="AQ699" s="80" t="s">
        <v>171</v>
      </c>
      <c r="AR699" s="83" t="s">
        <v>171</v>
      </c>
      <c r="AS699" s="80" t="s">
        <v>171</v>
      </c>
      <c r="AT699" s="80" t="str">
        <f t="shared" si="545"/>
        <v>Distrital</v>
      </c>
      <c r="AU699" s="79" t="s">
        <v>172</v>
      </c>
      <c r="AV699" s="79"/>
      <c r="AW699" s="79"/>
      <c r="AX699" s="79"/>
      <c r="AY699" s="79"/>
      <c r="AZ699" s="79"/>
      <c r="BA699" s="80" t="str">
        <f t="shared" si="562"/>
        <v>Distrital</v>
      </c>
      <c r="BB699" s="79" t="s">
        <v>172</v>
      </c>
      <c r="BC699" s="79"/>
      <c r="BD699" s="79"/>
      <c r="BE699" s="79"/>
      <c r="BF699" s="79"/>
      <c r="BG699" s="79"/>
      <c r="BH699" s="80" t="str">
        <f t="shared" si="563"/>
        <v>Distrital</v>
      </c>
      <c r="BI699" s="79" t="s">
        <v>172</v>
      </c>
      <c r="BJ699" s="79"/>
      <c r="BK699" s="79"/>
      <c r="BL699" s="79"/>
      <c r="BM699" s="79"/>
      <c r="BN699" s="79"/>
      <c r="BO699" s="79"/>
      <c r="BP699" s="79"/>
      <c r="BQ699" s="79"/>
      <c r="BR699" s="79"/>
      <c r="BS699" s="80" t="s">
        <v>288</v>
      </c>
      <c r="BT699" s="80" t="s">
        <v>174</v>
      </c>
      <c r="BU699" s="131" t="s">
        <v>4899</v>
      </c>
      <c r="BV699" s="71"/>
      <c r="BW699" s="79" t="s">
        <v>152</v>
      </c>
      <c r="BX699" s="79" t="s">
        <v>179</v>
      </c>
      <c r="BY699" s="71"/>
      <c r="BZ699" s="79">
        <v>6</v>
      </c>
      <c r="CA699" s="79">
        <v>5</v>
      </c>
      <c r="CB699" s="79">
        <f t="shared" si="796"/>
        <v>11</v>
      </c>
      <c r="CC699" s="79" t="str">
        <f t="shared" si="382"/>
        <v>Ninguna</v>
      </c>
      <c r="CD699" s="79" t="s">
        <v>174</v>
      </c>
      <c r="CE699" s="79"/>
      <c r="CF699" s="79"/>
      <c r="CG699" s="83" t="s">
        <v>4900</v>
      </c>
      <c r="CH699" s="41"/>
      <c r="CI699" s="79" t="s">
        <v>153</v>
      </c>
      <c r="CJ699" s="71"/>
      <c r="CK699" s="79">
        <f t="shared" si="797"/>
        <v>0</v>
      </c>
      <c r="CL699" s="79"/>
      <c r="CM699" s="79"/>
      <c r="CN699" s="79"/>
      <c r="CO699" s="79"/>
      <c r="CP699" s="79"/>
      <c r="CQ699" s="79"/>
      <c r="CR699" s="83" t="s">
        <v>179</v>
      </c>
      <c r="CS699" s="83" t="s">
        <v>179</v>
      </c>
      <c r="CT699" s="83" t="s">
        <v>179</v>
      </c>
      <c r="CU699" s="83" t="s">
        <v>179</v>
      </c>
      <c r="CV699" s="83" t="s">
        <v>179</v>
      </c>
      <c r="CW699" s="83" t="s">
        <v>179</v>
      </c>
      <c r="CX699" s="79" t="s">
        <v>153</v>
      </c>
      <c r="CY699" s="79">
        <f t="shared" si="798"/>
        <v>0</v>
      </c>
      <c r="CZ699" s="79">
        <v>0</v>
      </c>
      <c r="DA699" s="79">
        <f t="shared" si="799"/>
        <v>0</v>
      </c>
      <c r="DB699" s="84" t="str">
        <f t="shared" si="800"/>
        <v/>
      </c>
      <c r="DC699" s="41"/>
      <c r="DD699" s="79" t="s">
        <v>153</v>
      </c>
      <c r="DE699" s="71"/>
      <c r="DF699" s="127" t="s">
        <v>4901</v>
      </c>
      <c r="DG699" s="79">
        <v>685</v>
      </c>
      <c r="DH699" s="86" t="str">
        <f t="shared" si="801"/>
        <v>Completo</v>
      </c>
      <c r="DI699" s="79" t="s">
        <v>181</v>
      </c>
      <c r="DJ699" s="79" t="s">
        <v>182</v>
      </c>
      <c r="DK699" s="79"/>
      <c r="DL699" s="79">
        <v>0</v>
      </c>
      <c r="DM699" s="79">
        <v>0</v>
      </c>
      <c r="DN699" s="79"/>
      <c r="DO699" s="79"/>
      <c r="DP699" s="79"/>
      <c r="DQ699" s="79"/>
      <c r="DR699" s="75" t="str">
        <f t="shared" si="802"/>
        <v>No aplica</v>
      </c>
      <c r="DS699" s="79"/>
      <c r="DT699" s="79"/>
      <c r="DU699" s="75" t="str">
        <f t="shared" si="803"/>
        <v>No aplica</v>
      </c>
      <c r="DV699" s="79"/>
      <c r="DW699" s="79"/>
      <c r="DX699" s="79"/>
      <c r="DY699" s="79"/>
      <c r="DZ699" s="79"/>
      <c r="EA699" s="79"/>
      <c r="EB699" s="79"/>
      <c r="EC699" s="79"/>
      <c r="ED699" s="79" t="s">
        <v>4902</v>
      </c>
      <c r="EE699" s="79" t="str">
        <f t="shared" si="804"/>
        <v>Completo</v>
      </c>
      <c r="EF699" s="41"/>
      <c r="EG699" s="79" t="s">
        <v>153</v>
      </c>
      <c r="EH699" s="71"/>
      <c r="EI699" s="80"/>
      <c r="EJ699" s="71"/>
      <c r="EK699" s="79"/>
      <c r="EL699" s="87" t="str">
        <f t="shared" si="805"/>
        <v>No requiere</v>
      </c>
      <c r="EM699" s="87" t="str">
        <f t="shared" si="806"/>
        <v>No requiere</v>
      </c>
      <c r="EN699" s="87" t="str">
        <f t="shared" si="807"/>
        <v>No requiere</v>
      </c>
      <c r="EO699" s="71"/>
      <c r="EP699" s="84" t="str">
        <f t="shared" si="808"/>
        <v>No requiere</v>
      </c>
      <c r="EQ699" s="88" t="str">
        <f t="shared" si="809"/>
        <v>No requiere</v>
      </c>
      <c r="ER699" s="71"/>
      <c r="ES699" s="79"/>
      <c r="ET699" s="84" t="str">
        <f t="shared" si="810"/>
        <v>No requiere</v>
      </c>
      <c r="EU699" s="84" t="str">
        <f t="shared" si="811"/>
        <v>No requiere</v>
      </c>
      <c r="EV699" s="84" t="str">
        <f t="shared" si="812"/>
        <v>No requiere</v>
      </c>
      <c r="EW699" s="84" t="str">
        <f t="shared" si="813"/>
        <v>No requiere</v>
      </c>
      <c r="EX699" s="78"/>
      <c r="EY699" s="78"/>
    </row>
    <row r="700" spans="1:157" ht="46.5" customHeight="1">
      <c r="A700" s="79">
        <v>696</v>
      </c>
      <c r="B700" s="80" t="s">
        <v>957</v>
      </c>
      <c r="C700" s="81">
        <v>45482</v>
      </c>
      <c r="D700" s="82">
        <v>0.41666666666666669</v>
      </c>
      <c r="E700" s="79" t="s">
        <v>200</v>
      </c>
      <c r="F700" s="79" t="s">
        <v>153</v>
      </c>
      <c r="G700" s="79" t="s">
        <v>152</v>
      </c>
      <c r="H700" s="79" t="s">
        <v>152</v>
      </c>
      <c r="I700" s="79" t="s">
        <v>152</v>
      </c>
      <c r="J700" s="79" t="s">
        <v>504</v>
      </c>
      <c r="K700" s="79" t="s">
        <v>155</v>
      </c>
      <c r="L700" s="80" t="s">
        <v>4903</v>
      </c>
      <c r="M700" s="80" t="s">
        <v>624</v>
      </c>
      <c r="N700" s="79" t="s">
        <v>644</v>
      </c>
      <c r="O700" s="80" t="str">
        <f>_xlfn.TEXTJOIN(", ",TRUE,P700:AN700)</f>
        <v/>
      </c>
      <c r="P700" s="79"/>
      <c r="Q700" s="79"/>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t="s">
        <v>169</v>
      </c>
      <c r="AP700" s="79" t="s">
        <v>2702</v>
      </c>
      <c r="AQ700" s="80" t="s">
        <v>3082</v>
      </c>
      <c r="AR700" s="83" t="s">
        <v>4904</v>
      </c>
      <c r="AS700" s="80" t="s">
        <v>960</v>
      </c>
      <c r="AT700" s="80" t="str">
        <f>_xlfn.TEXTJOIN(", ",TRUE,$AU700:$AY700)</f>
        <v>Engativá</v>
      </c>
      <c r="AU700" s="79" t="s">
        <v>234</v>
      </c>
      <c r="AV700" s="79"/>
      <c r="AW700" s="79"/>
      <c r="AX700" s="79"/>
      <c r="AY700" s="79"/>
      <c r="AZ700" s="79"/>
      <c r="BA700" s="80" t="str">
        <f>_xlfn.TEXTJOIN(", ",TRUE,$BB700:$BG700)</f>
        <v>Occidente</v>
      </c>
      <c r="BB700" s="79" t="s">
        <v>235</v>
      </c>
      <c r="BC700" s="79"/>
      <c r="BD700" s="79"/>
      <c r="BE700" s="79"/>
      <c r="BF700" s="79"/>
      <c r="BG700" s="79"/>
      <c r="BH700" s="80" t="str">
        <f>_xlfn.TEXTJOIN(", ",TRUE,$BI700:$BR700)</f>
        <v>Engativá, Tabora, Salitre</v>
      </c>
      <c r="BI700" s="79" t="s">
        <v>234</v>
      </c>
      <c r="BJ700" s="79" t="s">
        <v>414</v>
      </c>
      <c r="BK700" s="79" t="s">
        <v>415</v>
      </c>
      <c r="BL700" s="79"/>
      <c r="BM700" s="79"/>
      <c r="BN700" s="79"/>
      <c r="BO700" s="79"/>
      <c r="BP700" s="79"/>
      <c r="BQ700" s="79"/>
      <c r="BR700" s="79"/>
      <c r="BS700" s="80" t="s">
        <v>288</v>
      </c>
      <c r="BT700" s="80" t="s">
        <v>174</v>
      </c>
      <c r="BU700" s="80" t="s">
        <v>3083</v>
      </c>
      <c r="BV700" s="71"/>
      <c r="BW700" s="79" t="s">
        <v>152</v>
      </c>
      <c r="BX700" s="79" t="s">
        <v>179</v>
      </c>
      <c r="BY700" s="71"/>
      <c r="BZ700" s="79">
        <v>24</v>
      </c>
      <c r="CA700" s="79">
        <v>0</v>
      </c>
      <c r="CB700" s="79">
        <f>BZ700+CA700</f>
        <v>24</v>
      </c>
      <c r="CC700" s="79" t="str">
        <f>_xlfn.TEXTJOIN(", ",TRUE,$CD700:$CF700)</f>
        <v>Accesibilidad Universal</v>
      </c>
      <c r="CD700" s="79" t="s">
        <v>397</v>
      </c>
      <c r="CE700" s="79"/>
      <c r="CF700" s="79"/>
      <c r="CG700" s="83" t="s">
        <v>4905</v>
      </c>
      <c r="CH700" s="41"/>
      <c r="CI700" s="79" t="s">
        <v>152</v>
      </c>
      <c r="CJ700" s="71"/>
      <c r="CK700" s="79">
        <f>COUNTIF(CL700:CQ700,"*")</f>
        <v>0</v>
      </c>
      <c r="CL700" s="79"/>
      <c r="CM700" s="79"/>
      <c r="CN700" s="79"/>
      <c r="CO700" s="79"/>
      <c r="CP700" s="79"/>
      <c r="CQ700" s="79"/>
      <c r="CR700" s="83" t="s">
        <v>179</v>
      </c>
      <c r="CS700" s="83" t="s">
        <v>179</v>
      </c>
      <c r="CT700" s="83" t="s">
        <v>179</v>
      </c>
      <c r="CU700" s="83" t="s">
        <v>179</v>
      </c>
      <c r="CV700" s="83" t="s">
        <v>179</v>
      </c>
      <c r="CW700" s="83" t="s">
        <v>179</v>
      </c>
      <c r="CX700" s="79" t="s">
        <v>153</v>
      </c>
      <c r="CY700" s="79">
        <f>SUM(COUNTIF(CR700:CW700,"Realizado y Devuelto a la Ciudadanía"),COUNTIF(CR700:CW700,"Realizado y Trasladado por competencia"), COUNTIF(CR700:CW700,"Realizado y Gestionado"))</f>
        <v>0</v>
      </c>
      <c r="CZ700" s="79">
        <v>0</v>
      </c>
      <c r="DA700" s="79">
        <f>COUNTIF(CR700:CW700,"Realizado y Devuelto a la Ciudadanía")</f>
        <v>0</v>
      </c>
      <c r="DB700" s="84" t="str">
        <f>IFERROR(CY700/CK700,"")</f>
        <v/>
      </c>
      <c r="DC700" s="41"/>
      <c r="DD700" s="79" t="s">
        <v>153</v>
      </c>
      <c r="DE700" s="71"/>
      <c r="DF700" s="127" t="s">
        <v>4906</v>
      </c>
      <c r="DG700" s="79">
        <v>686</v>
      </c>
      <c r="DH700" s="86" t="str">
        <f>IF(EE700="Por completar",C700+3,"Completo")</f>
        <v>Completo</v>
      </c>
      <c r="DI700" s="79" t="s">
        <v>181</v>
      </c>
      <c r="DJ700" s="79" t="s">
        <v>182</v>
      </c>
      <c r="DK700" s="79"/>
      <c r="DL700" s="79">
        <v>0</v>
      </c>
      <c r="DM700" s="79">
        <v>0</v>
      </c>
      <c r="DN700" s="79"/>
      <c r="DO700" s="79"/>
      <c r="DP700" s="79"/>
      <c r="DQ700" s="79"/>
      <c r="DR700" s="75" t="str">
        <f>IF(H700="SÍ", (DQ700/(BZ700*0.3)), "No aplica")</f>
        <v>No aplica</v>
      </c>
      <c r="DS700" s="79"/>
      <c r="DT700" s="79"/>
      <c r="DU700" s="75" t="str">
        <f>IF(H700="SÍ", (DT700/(BZ700*0.35)), "No aplica")</f>
        <v>No aplica</v>
      </c>
      <c r="DV700" s="79" t="s">
        <v>182</v>
      </c>
      <c r="DW700" s="79" t="s">
        <v>182</v>
      </c>
      <c r="DX700" s="79"/>
      <c r="DY700" s="79"/>
      <c r="DZ700" s="79"/>
      <c r="EA700" s="79"/>
      <c r="EB700" s="79"/>
      <c r="EC700" s="79"/>
      <c r="ED700" s="79" t="s">
        <v>3787</v>
      </c>
      <c r="EE700" s="79" t="str">
        <f>IF(DI700="Subsanado","Completo","Por Completar")</f>
        <v>Completo</v>
      </c>
      <c r="EF700" s="41"/>
      <c r="EG700" s="79" t="s">
        <v>153</v>
      </c>
      <c r="EH700" s="71"/>
      <c r="EI700" s="80"/>
      <c r="EJ700" s="71"/>
      <c r="EK700" s="79"/>
      <c r="EL700" s="87" t="str">
        <f>IF(F700="NO","No requiere",IF(H700="No","No requiere",IF(DW700="","",IF(DW700&lt;&gt;"No aplica",IF(DX700&lt;&gt;"No aplica",IF(DX700&gt;=2,"Sí","No"),"No aplica"),"No aplica"))))</f>
        <v>No requiere</v>
      </c>
      <c r="EM700" s="87" t="str">
        <f>IF(F700="NO","No requiere",IF(H700="No","No requiere",IF(DW700="","",IF(DW700&lt;&gt;"No aplica",IF(DY700&lt;&gt;"No aplica",IF(DY700&gt;=1,"Sí","No"),"No aplica"),"No aplica"))))</f>
        <v>No requiere</v>
      </c>
      <c r="EN700" s="87" t="str">
        <f>IF(F700="NO","No requiere",IF(H700="No","No requiere",IF(CC700="","",IF(CD700&lt;&gt;"No aplica",IF(CD700&lt;&gt;"Ninguna",IF(COUNTIF(CD700:CF700,"*")&gt;=1,"Sí","No"),"No"),"No aplica"))))</f>
        <v>No requiere</v>
      </c>
      <c r="EO700" s="71"/>
      <c r="EP700" s="84" t="str">
        <f>IF(F700="NO","No requiere",IF(H700="No","No requiere",IF(DL700="","",IF(DL700&gt;=1,DM700/DL700,"No aplica"))))</f>
        <v>No requiere</v>
      </c>
      <c r="EQ700" s="88" t="str">
        <f>IFERROR(IF(F700="NO","No requiere",IF(H700="No","No requiere",DU700)),"")</f>
        <v>No requiere</v>
      </c>
      <c r="ER700" s="71"/>
      <c r="ES700" s="79"/>
      <c r="ET700" s="84" t="str">
        <f>IF(F700="NO","No requiere",IF(H700="No","No requiere",IFERROR(COUNTIF(DJ700:DW700,"Completo")/SUM(COUNTIF(DJ700:DW700,"Completo"),COUNTIF(DJ700:DW700,"Incompleto"),COUNTIF(DJ700:DW700,"No subido"),COUNTIF(DJ700:DW700,"No existente"),COUNTIF(DJ700:DW700,"Pendiente")),"")))</f>
        <v>No requiere</v>
      </c>
      <c r="EU700" s="84" t="str">
        <f>IF(F700="NO","No requiere",IF(H700="No","No requiere",IF(B700="","",IF(CX700="SÍ",IF(CK700&gt;=1,CY700/CK700,"Sin compromisos"),"Por verificar"))))</f>
        <v>No requiere</v>
      </c>
      <c r="EV700" s="84" t="str">
        <f>IF(EU700="Por verificar","Por verificar",IF(F700="NO","No requiere",IF(H700="No","No requiere",IFERROR(IF(EU700="","",IF(CK700&gt;=1,DA700/CZ700,"No aplica")),"No aplica"))))</f>
        <v>No requiere</v>
      </c>
      <c r="EW700" s="84" t="str">
        <f>IF(F700="NO","No requiere",IF(H700="No","No requiere",IFERROR(IF(BZ700="","",IF(EA700&lt;&gt;"No aplica",IF(EA700&gt;=1,DO700/EA700,"0%"),"No aplica")),"")))</f>
        <v>No requiere</v>
      </c>
      <c r="EX700" s="78"/>
      <c r="EY700" s="78"/>
    </row>
    <row r="701" spans="1:157" ht="46.5" customHeight="1">
      <c r="A701" s="79">
        <v>697</v>
      </c>
      <c r="B701" s="80" t="s">
        <v>1360</v>
      </c>
      <c r="C701" s="81">
        <v>45482</v>
      </c>
      <c r="D701" s="82">
        <v>0.41666666666666669</v>
      </c>
      <c r="E701" s="79" t="s">
        <v>200</v>
      </c>
      <c r="F701" s="79" t="s">
        <v>153</v>
      </c>
      <c r="G701" s="79" t="s">
        <v>152</v>
      </c>
      <c r="H701" s="79" t="s">
        <v>152</v>
      </c>
      <c r="I701" s="79" t="s">
        <v>152</v>
      </c>
      <c r="J701" s="79" t="s">
        <v>504</v>
      </c>
      <c r="K701" s="79" t="s">
        <v>155</v>
      </c>
      <c r="L701" s="80" t="s">
        <v>4907</v>
      </c>
      <c r="M701" s="80" t="s">
        <v>624</v>
      </c>
      <c r="N701" s="79" t="s">
        <v>862</v>
      </c>
      <c r="O701" s="80" t="str">
        <f t="shared" ref="O701" si="814">_xlfn.TEXTJOIN(", ",TRUE,P701:AN701)</f>
        <v/>
      </c>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t="s">
        <v>169</v>
      </c>
      <c r="AP701" s="79" t="s">
        <v>2702</v>
      </c>
      <c r="AQ701" s="80" t="s">
        <v>4908</v>
      </c>
      <c r="AR701" s="83" t="s">
        <v>4909</v>
      </c>
      <c r="AS701" s="80" t="s">
        <v>4910</v>
      </c>
      <c r="AT701" s="80" t="str">
        <f t="shared" ref="AT701" si="815">_xlfn.TEXTJOIN(", ",TRUE,$AU701:$AY701)</f>
        <v>Tunjuelito</v>
      </c>
      <c r="AU701" s="79" t="s">
        <v>937</v>
      </c>
      <c r="AV701" s="79"/>
      <c r="AW701" s="79"/>
      <c r="AX701" s="79"/>
      <c r="AY701" s="79"/>
      <c r="AZ701" s="79"/>
      <c r="BA701" s="80" t="str">
        <f t="shared" ref="BA701" si="816">_xlfn.TEXTJOIN(", ",TRUE,$BB701:$BG701)</f>
        <v>Suroriente</v>
      </c>
      <c r="BB701" s="79" t="s">
        <v>218</v>
      </c>
      <c r="BC701" s="79"/>
      <c r="BD701" s="79"/>
      <c r="BE701" s="79"/>
      <c r="BF701" s="79"/>
      <c r="BG701" s="79"/>
      <c r="BH701" s="80" t="str">
        <f t="shared" ref="BH701" si="817">_xlfn.TEXTJOIN(", ",TRUE,$BI701:$BR701)</f>
        <v>Tunjuelito, Arborizadora</v>
      </c>
      <c r="BI701" s="79" t="s">
        <v>937</v>
      </c>
      <c r="BJ701" s="79" t="s">
        <v>220</v>
      </c>
      <c r="BK701" s="79"/>
      <c r="BL701" s="79"/>
      <c r="BM701" s="79"/>
      <c r="BN701" s="79"/>
      <c r="BO701" s="79"/>
      <c r="BP701" s="79"/>
      <c r="BQ701" s="79"/>
      <c r="BR701" s="79"/>
      <c r="BS701" s="80" t="s">
        <v>937</v>
      </c>
      <c r="BT701" s="80" t="s">
        <v>174</v>
      </c>
      <c r="BU701" s="80" t="s">
        <v>4911</v>
      </c>
      <c r="BV701" s="71"/>
      <c r="BW701" s="79" t="s">
        <v>152</v>
      </c>
      <c r="BX701" s="79" t="s">
        <v>179</v>
      </c>
      <c r="BY701" s="71"/>
      <c r="BZ701" s="79">
        <v>19</v>
      </c>
      <c r="CA701" s="79">
        <v>1</v>
      </c>
      <c r="CB701" s="79">
        <f t="shared" ref="CB701" si="818">BZ701+CA701</f>
        <v>20</v>
      </c>
      <c r="CC701" s="79" t="str">
        <f t="shared" si="382"/>
        <v>Horarios Acordes</v>
      </c>
      <c r="CD701" s="79" t="s">
        <v>351</v>
      </c>
      <c r="CE701" s="79"/>
      <c r="CF701" s="79"/>
      <c r="CG701" s="83" t="s">
        <v>4912</v>
      </c>
      <c r="CH701" s="41"/>
      <c r="CI701" s="79" t="s">
        <v>153</v>
      </c>
      <c r="CJ701" s="71"/>
      <c r="CK701" s="79">
        <f t="shared" ref="CK701" si="819">COUNTIF(CL701:CQ701,"*")</f>
        <v>0</v>
      </c>
      <c r="CL701" s="79"/>
      <c r="CM701" s="79"/>
      <c r="CN701" s="79"/>
      <c r="CO701" s="79"/>
      <c r="CP701" s="79"/>
      <c r="CQ701" s="79"/>
      <c r="CR701" s="83" t="s">
        <v>179</v>
      </c>
      <c r="CS701" s="83" t="s">
        <v>179</v>
      </c>
      <c r="CT701" s="83" t="s">
        <v>179</v>
      </c>
      <c r="CU701" s="83" t="s">
        <v>179</v>
      </c>
      <c r="CV701" s="83" t="s">
        <v>179</v>
      </c>
      <c r="CW701" s="83" t="s">
        <v>179</v>
      </c>
      <c r="CX701" s="79" t="s">
        <v>153</v>
      </c>
      <c r="CY701" s="79">
        <f t="shared" ref="CY701" si="820">SUM(COUNTIF(CR701:CW701,"Realizado y Devuelto a la Ciudadanía"),COUNTIF(CR701:CW701,"Realizado y Trasladado por competencia"), COUNTIF(CR701:CW701,"Realizado y Gestionado"))</f>
        <v>0</v>
      </c>
      <c r="CZ701" s="79">
        <v>0</v>
      </c>
      <c r="DA701" s="79">
        <f t="shared" ref="DA701" si="821">COUNTIF(CR701:CW701,"Realizado y Devuelto a la Ciudadanía")</f>
        <v>0</v>
      </c>
      <c r="DB701" s="84" t="str">
        <f t="shared" ref="DB701" si="822">IFERROR(CY701/CK701,"")</f>
        <v/>
      </c>
      <c r="DC701" s="41"/>
      <c r="DD701" s="79" t="s">
        <v>153</v>
      </c>
      <c r="DE701" s="71"/>
      <c r="DF701" s="127" t="s">
        <v>4906</v>
      </c>
      <c r="DG701" s="79">
        <v>687</v>
      </c>
      <c r="DH701" s="86" t="str">
        <f t="shared" ref="DH701" si="823">IF(EE701="Por completar",C701+3,"Completo")</f>
        <v>Completo</v>
      </c>
      <c r="DI701" s="79" t="s">
        <v>181</v>
      </c>
      <c r="DJ701" s="79" t="s">
        <v>182</v>
      </c>
      <c r="DK701" s="79"/>
      <c r="DL701" s="79">
        <v>0</v>
      </c>
      <c r="DM701" s="79">
        <v>0</v>
      </c>
      <c r="DN701" s="79" t="s">
        <v>182</v>
      </c>
      <c r="DO701" s="79"/>
      <c r="DP701" s="79"/>
      <c r="DQ701" s="79"/>
      <c r="DR701" s="75" t="str">
        <f t="shared" ref="DR701" si="824">IF(H701="SÍ", (DQ701/(BZ701*0.3)), "No aplica")</f>
        <v>No aplica</v>
      </c>
      <c r="DS701" s="79"/>
      <c r="DT701" s="79"/>
      <c r="DU701" s="75" t="str">
        <f t="shared" ref="DU701" si="825">IF(H701="SÍ", (DT701/(BZ701*0.35)), "No aplica")</f>
        <v>No aplica</v>
      </c>
      <c r="DV701" s="79" t="s">
        <v>182</v>
      </c>
      <c r="DW701" s="79" t="s">
        <v>182</v>
      </c>
      <c r="DX701" s="79"/>
      <c r="DY701" s="79"/>
      <c r="DZ701" s="79"/>
      <c r="EA701" s="79"/>
      <c r="EB701" s="79" t="s">
        <v>182</v>
      </c>
      <c r="EC701" s="79" t="s">
        <v>4913</v>
      </c>
      <c r="ED701" s="79" t="s">
        <v>4360</v>
      </c>
      <c r="EE701" s="79" t="str">
        <f t="shared" ref="EE701" si="826">IF(DI701="Subsanado","Completo","Por Completar")</f>
        <v>Completo</v>
      </c>
      <c r="EF701" s="41"/>
      <c r="EG701" s="79" t="s">
        <v>153</v>
      </c>
      <c r="EH701" s="71"/>
      <c r="EI701" s="80"/>
      <c r="EJ701" s="71"/>
      <c r="EK701" s="79"/>
      <c r="EL701" s="87" t="str">
        <f t="shared" ref="EL701" si="827">IF(F701="NO","No requiere",IF(H701="No","No requiere",IF(DW701="","",IF(DW701&lt;&gt;"No aplica",IF(DX701&lt;&gt;"No aplica",IF(DX701&gt;=2,"Sí","No"),"No aplica"),"No aplica"))))</f>
        <v>No requiere</v>
      </c>
      <c r="EM701" s="87" t="str">
        <f t="shared" ref="EM701" si="828">IF(F701="NO","No requiere",IF(H701="No","No requiere",IF(DW701="","",IF(DW701&lt;&gt;"No aplica",IF(DY701&lt;&gt;"No aplica",IF(DY701&gt;=1,"Sí","No"),"No aplica"),"No aplica"))))</f>
        <v>No requiere</v>
      </c>
      <c r="EN701" s="87" t="str">
        <f t="shared" ref="EN701" si="829">IF(F701="NO","No requiere",IF(H701="No","No requiere",IF(CC701="","",IF(CD701&lt;&gt;"No aplica",IF(CD701&lt;&gt;"Ninguna",IF(COUNTIF(CD701:CF701,"*")&gt;=1,"Sí","No"),"No"),"No aplica"))))</f>
        <v>No requiere</v>
      </c>
      <c r="EO701" s="71"/>
      <c r="EP701" s="84" t="str">
        <f t="shared" ref="EP701" si="830">IF(F701="NO","No requiere",IF(H701="No","No requiere",IF(DL701="","",IF(DL701&gt;=1,DM701/DL701,"No aplica"))))</f>
        <v>No requiere</v>
      </c>
      <c r="EQ701" s="88" t="str">
        <f t="shared" ref="EQ701" si="831">IFERROR(IF(F701="NO","No requiere",IF(H701="No","No requiere",DU701)),"")</f>
        <v>No requiere</v>
      </c>
      <c r="ER701" s="71"/>
      <c r="ES701" s="79"/>
      <c r="ET701" s="84" t="str">
        <f t="shared" ref="ET701" si="832">IF(F701="NO","No requiere",IF(H701="No","No requiere",IFERROR(COUNTIF(DJ701:DW701,"Completo")/SUM(COUNTIF(DJ701:DW701,"Completo"),COUNTIF(DJ701:DW701,"Incompleto"),COUNTIF(DJ701:DW701,"No subido"),COUNTIF(DJ701:DW701,"No existente"),COUNTIF(DJ701:DW701,"Pendiente")),"")))</f>
        <v>No requiere</v>
      </c>
      <c r="EU701" s="84" t="str">
        <f t="shared" ref="EU701" si="833">IF(F701="NO","No requiere",IF(H701="No","No requiere",IF(B701="","",IF(CX701="SÍ",IF(CK701&gt;=1,CY701/CK701,"Sin compromisos"),"Por verificar"))))</f>
        <v>No requiere</v>
      </c>
      <c r="EV701" s="84" t="str">
        <f t="shared" ref="EV701" si="834">IF(EU701="Por verificar","Por verificar",IF(F701="NO","No requiere",IF(H701="No","No requiere",IFERROR(IF(EU701="","",IF(CK701&gt;=1,DA701/CZ701,"No aplica")),"No aplica"))))</f>
        <v>No requiere</v>
      </c>
      <c r="EW701" s="84" t="str">
        <f t="shared" ref="EW701" si="835">IF(F701="NO","No requiere",IF(H701="No","No requiere",IFERROR(IF(BZ701="","",IF(EA701&lt;&gt;"No aplica",IF(EA701&gt;=1,DO701/EA701,"0%"),"No aplica")),"")))</f>
        <v>No requiere</v>
      </c>
      <c r="EX701" s="78"/>
      <c r="EY701" s="78"/>
    </row>
    <row r="702" spans="1:157" s="190" customFormat="1" ht="46.5" customHeight="1">
      <c r="A702" s="79">
        <v>698</v>
      </c>
      <c r="B702" s="80" t="s">
        <v>3833</v>
      </c>
      <c r="C702" s="81">
        <v>45482</v>
      </c>
      <c r="D702" s="82">
        <v>0.58333333333333337</v>
      </c>
      <c r="E702" s="79" t="s">
        <v>200</v>
      </c>
      <c r="F702" s="79" t="s">
        <v>153</v>
      </c>
      <c r="G702" s="79" t="s">
        <v>152</v>
      </c>
      <c r="H702" s="79" t="s">
        <v>152</v>
      </c>
      <c r="I702" s="79" t="s">
        <v>152</v>
      </c>
      <c r="J702" s="79" t="s">
        <v>504</v>
      </c>
      <c r="K702" s="79" t="s">
        <v>155</v>
      </c>
      <c r="L702" s="80" t="s">
        <v>3834</v>
      </c>
      <c r="M702" s="80" t="s">
        <v>624</v>
      </c>
      <c r="N702" s="79" t="s">
        <v>632</v>
      </c>
      <c r="O702" s="80" t="str">
        <f t="shared" ref="O702:O717" si="836">_xlfn.TEXTJOIN(", ",TRUE,P702:AN702)</f>
        <v/>
      </c>
      <c r="P702" s="79"/>
      <c r="Q702" s="79"/>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t="s">
        <v>169</v>
      </c>
      <c r="AP702" s="79" t="s">
        <v>2702</v>
      </c>
      <c r="AQ702" s="80" t="s">
        <v>4914</v>
      </c>
      <c r="AR702" s="83" t="s">
        <v>4915</v>
      </c>
      <c r="AS702" s="80" t="s">
        <v>3836</v>
      </c>
      <c r="AT702" s="80" t="str">
        <f t="shared" si="545"/>
        <v>Chapinero</v>
      </c>
      <c r="AU702" s="79" t="s">
        <v>360</v>
      </c>
      <c r="AV702" s="79"/>
      <c r="AW702" s="79"/>
      <c r="AX702" s="79"/>
      <c r="AY702" s="79"/>
      <c r="AZ702" s="79"/>
      <c r="BA702" s="80" t="str">
        <f t="shared" si="562"/>
        <v>Centro Ampliado, Ruralidad</v>
      </c>
      <c r="BB702" s="79" t="s">
        <v>636</v>
      </c>
      <c r="BC702" s="79" t="s">
        <v>219</v>
      </c>
      <c r="BD702" s="79"/>
      <c r="BE702" s="79"/>
      <c r="BF702" s="79"/>
      <c r="BG702" s="79"/>
      <c r="BH702" s="80" t="str">
        <f t="shared" si="563"/>
        <v>Chapinero, Centro Histórico, Cerros Orientales</v>
      </c>
      <c r="BI702" s="79" t="s">
        <v>360</v>
      </c>
      <c r="BJ702" s="79" t="s">
        <v>754</v>
      </c>
      <c r="BK702" s="79" t="s">
        <v>361</v>
      </c>
      <c r="BL702" s="79"/>
      <c r="BM702" s="79"/>
      <c r="BN702" s="79"/>
      <c r="BO702" s="79"/>
      <c r="BP702" s="79"/>
      <c r="BQ702" s="79"/>
      <c r="BR702" s="79"/>
      <c r="BS702" s="80" t="s">
        <v>4916</v>
      </c>
      <c r="BT702" s="80" t="s">
        <v>174</v>
      </c>
      <c r="BU702" s="80" t="s">
        <v>4917</v>
      </c>
      <c r="BV702" s="71"/>
      <c r="BW702" s="79" t="s">
        <v>152</v>
      </c>
      <c r="BX702" s="79" t="s">
        <v>179</v>
      </c>
      <c r="BY702" s="71"/>
      <c r="BZ702" s="79">
        <v>17</v>
      </c>
      <c r="CA702" s="79">
        <v>1</v>
      </c>
      <c r="CB702" s="79">
        <f t="shared" si="717"/>
        <v>18</v>
      </c>
      <c r="CC702" s="79" t="str">
        <f t="shared" si="382"/>
        <v>Ninguna</v>
      </c>
      <c r="CD702" s="79" t="s">
        <v>174</v>
      </c>
      <c r="CE702" s="79"/>
      <c r="CF702" s="79"/>
      <c r="CG702" s="83" t="s">
        <v>4918</v>
      </c>
      <c r="CH702" s="41"/>
      <c r="CI702" s="79" t="s">
        <v>153</v>
      </c>
      <c r="CJ702" s="71"/>
      <c r="CK702" s="79">
        <f t="shared" si="718"/>
        <v>0</v>
      </c>
      <c r="CL702" s="79"/>
      <c r="CM702" s="79"/>
      <c r="CN702" s="79"/>
      <c r="CO702" s="79"/>
      <c r="CP702" s="79"/>
      <c r="CQ702" s="79"/>
      <c r="CR702" s="83" t="s">
        <v>179</v>
      </c>
      <c r="CS702" s="83" t="s">
        <v>179</v>
      </c>
      <c r="CT702" s="83" t="s">
        <v>179</v>
      </c>
      <c r="CU702" s="83" t="s">
        <v>179</v>
      </c>
      <c r="CV702" s="83" t="s">
        <v>179</v>
      </c>
      <c r="CW702" s="83" t="s">
        <v>179</v>
      </c>
      <c r="CX702" s="79" t="s">
        <v>153</v>
      </c>
      <c r="CY702" s="79">
        <f t="shared" si="719"/>
        <v>0</v>
      </c>
      <c r="CZ702" s="79">
        <v>0</v>
      </c>
      <c r="DA702" s="79">
        <f t="shared" si="720"/>
        <v>0</v>
      </c>
      <c r="DB702" s="84" t="str">
        <f t="shared" si="721"/>
        <v/>
      </c>
      <c r="DC702" s="41"/>
      <c r="DD702" s="79" t="s">
        <v>153</v>
      </c>
      <c r="DE702" s="71"/>
      <c r="DF702" s="127" t="s">
        <v>4906</v>
      </c>
      <c r="DG702" s="79">
        <v>688</v>
      </c>
      <c r="DH702" s="86" t="str">
        <f t="shared" ref="DH702:DH717" si="837">IF(EE702="Por completar",C702+3,"Completo")</f>
        <v>Completo</v>
      </c>
      <c r="DI702" s="79" t="s">
        <v>181</v>
      </c>
      <c r="DJ702" s="79" t="s">
        <v>182</v>
      </c>
      <c r="DK702" s="79"/>
      <c r="DL702" s="79">
        <v>0</v>
      </c>
      <c r="DM702" s="79">
        <v>0</v>
      </c>
      <c r="DN702" s="79" t="s">
        <v>182</v>
      </c>
      <c r="DO702" s="79"/>
      <c r="DP702" s="79"/>
      <c r="DQ702" s="79"/>
      <c r="DR702" s="75" t="str">
        <f t="shared" si="576"/>
        <v>No aplica</v>
      </c>
      <c r="DS702" s="79"/>
      <c r="DT702" s="79"/>
      <c r="DU702" s="75" t="str">
        <f t="shared" si="577"/>
        <v>No aplica</v>
      </c>
      <c r="DV702" s="79" t="s">
        <v>182</v>
      </c>
      <c r="DW702" s="79" t="s">
        <v>182</v>
      </c>
      <c r="DX702" s="79"/>
      <c r="DY702" s="79"/>
      <c r="DZ702" s="79"/>
      <c r="EA702" s="79"/>
      <c r="EB702" s="79"/>
      <c r="EC702" s="79"/>
      <c r="ED702" s="79" t="s">
        <v>3990</v>
      </c>
      <c r="EE702" s="79" t="str">
        <f t="shared" si="723"/>
        <v>Completo</v>
      </c>
      <c r="EF702" s="41"/>
      <c r="EG702" s="79" t="s">
        <v>153</v>
      </c>
      <c r="EH702" s="71"/>
      <c r="EI702" s="80"/>
      <c r="EJ702" s="71"/>
      <c r="EK702" s="79"/>
      <c r="EL702" s="87" t="str">
        <f t="shared" ref="EL702:EL717" si="838">IF(F702="NO","No requiere",IF(H702="No","No requiere",IF(DW702="","",IF(DW702&lt;&gt;"No aplica",IF(DX702&lt;&gt;"No aplica",IF(DX702&gt;=2,"Sí","No"),"No aplica"),"No aplica"))))</f>
        <v>No requiere</v>
      </c>
      <c r="EM702" s="87" t="str">
        <f t="shared" ref="EM702:EM717" si="839">IF(F702="NO","No requiere",IF(H702="No","No requiere",IF(DW702="","",IF(DW702&lt;&gt;"No aplica",IF(DY702&lt;&gt;"No aplica",IF(DY702&gt;=1,"Sí","No"),"No aplica"),"No aplica"))))</f>
        <v>No requiere</v>
      </c>
      <c r="EN702" s="87" t="str">
        <f t="shared" si="724"/>
        <v>No requiere</v>
      </c>
      <c r="EO702" s="71"/>
      <c r="EP702" s="84" t="str">
        <f t="shared" ref="EP702:EP717" si="840">IF(F702="NO","No requiere",IF(H702="No","No requiere",IF(DL702="","",IF(DL702&gt;=1,DM702/DL702,"No aplica"))))</f>
        <v>No requiere</v>
      </c>
      <c r="EQ702" s="88" t="str">
        <f t="shared" ref="EQ702:EQ717" si="841">IFERROR(IF(F702="NO","No requiere",IF(H702="No","No requiere",DU702)),"")</f>
        <v>No requiere</v>
      </c>
      <c r="ER702" s="71"/>
      <c r="ES702" s="79"/>
      <c r="ET702" s="84" t="str">
        <f t="shared" ref="ET702:ET717" si="842">IF(F702="NO","No requiere",IF(H702="No","No requiere",IFERROR(COUNTIF(DJ702:DW702,"Completo")/SUM(COUNTIF(DJ702:DW702,"Completo"),COUNTIF(DJ702:DW702,"Incompleto"),COUNTIF(DJ702:DW702,"No subido"),COUNTIF(DJ702:DW702,"No existente"),COUNTIF(DJ702:DW702,"Pendiente")),"")))</f>
        <v>No requiere</v>
      </c>
      <c r="EU702" s="84" t="str">
        <f t="shared" si="725"/>
        <v>No requiere</v>
      </c>
      <c r="EV702" s="84" t="str">
        <f t="shared" ref="EV702:EV717" si="843">IF(EU702="Por verificar","Por verificar",IF(F702="NO","No requiere",IF(H702="No","No requiere",IFERROR(IF(EU702="","",IF(CK702&gt;=1,DA702/CZ702,"No aplica")),"No aplica"))))</f>
        <v>No requiere</v>
      </c>
      <c r="EW702" s="84" t="str">
        <f t="shared" si="581"/>
        <v>No requiere</v>
      </c>
      <c r="EX702" s="78"/>
      <c r="EY702" s="78"/>
      <c r="EZ702" s="179"/>
      <c r="FA702" s="179"/>
    </row>
    <row r="703" spans="1:157" s="190" customFormat="1" ht="46.5" customHeight="1">
      <c r="A703" s="79" t="str">
        <v/>
      </c>
      <c r="B703" s="80" t="s">
        <v>4919</v>
      </c>
      <c r="C703" s="81">
        <v>45482</v>
      </c>
      <c r="D703" s="82">
        <v>0.625</v>
      </c>
      <c r="E703" s="79" t="s">
        <v>151</v>
      </c>
      <c r="F703" s="79" t="s">
        <v>152</v>
      </c>
      <c r="G703" s="79" t="s">
        <v>152</v>
      </c>
      <c r="H703" s="79" t="s">
        <v>152</v>
      </c>
      <c r="I703" s="79" t="s">
        <v>152</v>
      </c>
      <c r="J703" s="79" t="s">
        <v>251</v>
      </c>
      <c r="K703" s="79" t="s">
        <v>155</v>
      </c>
      <c r="L703" s="80" t="s">
        <v>4920</v>
      </c>
      <c r="M703" s="80" t="s">
        <v>157</v>
      </c>
      <c r="N703" s="79" t="s">
        <v>887</v>
      </c>
      <c r="O703" s="80" t="str">
        <f t="shared" si="836"/>
        <v>Yeiker Guerra Sarmiento</v>
      </c>
      <c r="P703" s="79" t="s">
        <v>163</v>
      </c>
      <c r="Q703" s="79"/>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t="s">
        <v>169</v>
      </c>
      <c r="AP703" s="79" t="s">
        <v>170</v>
      </c>
      <c r="AQ703" s="80" t="s">
        <v>4921</v>
      </c>
      <c r="AR703" s="83" t="s">
        <v>4922</v>
      </c>
      <c r="AS703" s="80" t="s">
        <v>4923</v>
      </c>
      <c r="AT703" s="80" t="str">
        <f t="shared" si="545"/>
        <v>Distrital</v>
      </c>
      <c r="AU703" s="79" t="s">
        <v>172</v>
      </c>
      <c r="AV703" s="79"/>
      <c r="AW703" s="79"/>
      <c r="AX703" s="79"/>
      <c r="AY703" s="79"/>
      <c r="AZ703" s="79"/>
      <c r="BA703" s="80" t="str">
        <f t="shared" si="562"/>
        <v>Distrital</v>
      </c>
      <c r="BB703" s="79" t="s">
        <v>172</v>
      </c>
      <c r="BC703" s="79"/>
      <c r="BD703" s="79"/>
      <c r="BE703" s="79"/>
      <c r="BF703" s="79"/>
      <c r="BG703" s="79"/>
      <c r="BH703" s="80" t="str">
        <f t="shared" si="563"/>
        <v>Distrital</v>
      </c>
      <c r="BI703" s="79" t="s">
        <v>172</v>
      </c>
      <c r="BJ703" s="79"/>
      <c r="BK703" s="79"/>
      <c r="BL703" s="79"/>
      <c r="BM703" s="79"/>
      <c r="BN703" s="79"/>
      <c r="BO703" s="79"/>
      <c r="BP703" s="79"/>
      <c r="BQ703" s="79"/>
      <c r="BR703" s="79"/>
      <c r="BS703" s="80" t="s">
        <v>4924</v>
      </c>
      <c r="BT703" s="80" t="s">
        <v>174</v>
      </c>
      <c r="BU703" s="80" t="s">
        <v>4925</v>
      </c>
      <c r="BV703" s="71"/>
      <c r="BW703" s="79" t="s">
        <v>152</v>
      </c>
      <c r="BX703" s="79" t="s">
        <v>179</v>
      </c>
      <c r="BY703" s="71"/>
      <c r="BZ703" s="79">
        <v>0</v>
      </c>
      <c r="CA703" s="79">
        <v>3</v>
      </c>
      <c r="CB703" s="79">
        <f t="shared" si="717"/>
        <v>3</v>
      </c>
      <c r="CC703" s="79" t="str">
        <f t="shared" si="382"/>
        <v>Ninguna</v>
      </c>
      <c r="CD703" s="79" t="s">
        <v>174</v>
      </c>
      <c r="CE703" s="79"/>
      <c r="CF703" s="79"/>
      <c r="CG703" s="83" t="s">
        <v>4926</v>
      </c>
      <c r="CH703" s="41"/>
      <c r="CI703" s="79" t="s">
        <v>153</v>
      </c>
      <c r="CJ703" s="71"/>
      <c r="CK703" s="79">
        <f t="shared" si="718"/>
        <v>0</v>
      </c>
      <c r="CL703" s="79"/>
      <c r="CM703" s="79"/>
      <c r="CN703" s="79"/>
      <c r="CO703" s="79"/>
      <c r="CP703" s="79"/>
      <c r="CQ703" s="79"/>
      <c r="CR703" s="83" t="s">
        <v>179</v>
      </c>
      <c r="CS703" s="83" t="s">
        <v>179</v>
      </c>
      <c r="CT703" s="83" t="s">
        <v>179</v>
      </c>
      <c r="CU703" s="83" t="s">
        <v>179</v>
      </c>
      <c r="CV703" s="83" t="s">
        <v>179</v>
      </c>
      <c r="CW703" s="83" t="s">
        <v>179</v>
      </c>
      <c r="CX703" s="79" t="s">
        <v>153</v>
      </c>
      <c r="CY703" s="79">
        <f t="shared" si="719"/>
        <v>0</v>
      </c>
      <c r="CZ703" s="79">
        <v>0</v>
      </c>
      <c r="DA703" s="79">
        <f t="shared" si="720"/>
        <v>0</v>
      </c>
      <c r="DB703" s="84" t="str">
        <f t="shared" si="721"/>
        <v/>
      </c>
      <c r="DC703" s="41"/>
      <c r="DD703" s="79" t="s">
        <v>153</v>
      </c>
      <c r="DE703" s="71"/>
      <c r="DF703" s="127" t="s">
        <v>4927</v>
      </c>
      <c r="DG703" s="79">
        <v>689</v>
      </c>
      <c r="DH703" s="86" t="str">
        <f t="shared" si="837"/>
        <v>Completo</v>
      </c>
      <c r="DI703" s="79" t="s">
        <v>181</v>
      </c>
      <c r="DJ703" s="79" t="s">
        <v>182</v>
      </c>
      <c r="DK703" s="79"/>
      <c r="DL703" s="79">
        <v>0</v>
      </c>
      <c r="DM703" s="79">
        <v>0</v>
      </c>
      <c r="DN703" s="79" t="s">
        <v>182</v>
      </c>
      <c r="DO703" s="79"/>
      <c r="DP703" s="79"/>
      <c r="DQ703" s="79"/>
      <c r="DR703" s="75" t="str">
        <f t="shared" si="576"/>
        <v>No aplica</v>
      </c>
      <c r="DS703" s="79"/>
      <c r="DT703" s="79"/>
      <c r="DU703" s="75" t="str">
        <f t="shared" si="577"/>
        <v>No aplica</v>
      </c>
      <c r="DV703" s="79" t="s">
        <v>182</v>
      </c>
      <c r="DW703" s="79" t="s">
        <v>182</v>
      </c>
      <c r="DX703" s="79"/>
      <c r="DY703" s="79"/>
      <c r="DZ703" s="79"/>
      <c r="EA703" s="79"/>
      <c r="EB703" s="79"/>
      <c r="EC703" s="79"/>
      <c r="ED703" s="79" t="s">
        <v>4928</v>
      </c>
      <c r="EE703" s="79" t="str">
        <f t="shared" si="723"/>
        <v>Completo</v>
      </c>
      <c r="EF703" s="41"/>
      <c r="EG703" s="79" t="s">
        <v>153</v>
      </c>
      <c r="EH703" s="71"/>
      <c r="EI703" s="80"/>
      <c r="EJ703" s="71"/>
      <c r="EK703" s="79"/>
      <c r="EL703" s="87" t="str">
        <f t="shared" si="838"/>
        <v>No requiere</v>
      </c>
      <c r="EM703" s="87" t="str">
        <f t="shared" si="839"/>
        <v>No requiere</v>
      </c>
      <c r="EN703" s="87" t="str">
        <f t="shared" si="724"/>
        <v>No requiere</v>
      </c>
      <c r="EO703" s="71"/>
      <c r="EP703" s="84" t="str">
        <f t="shared" si="840"/>
        <v>No requiere</v>
      </c>
      <c r="EQ703" s="88" t="str">
        <f t="shared" si="841"/>
        <v>No requiere</v>
      </c>
      <c r="ER703" s="71"/>
      <c r="ES703" s="79"/>
      <c r="ET703" s="84" t="str">
        <f t="shared" si="842"/>
        <v>No requiere</v>
      </c>
      <c r="EU703" s="84" t="str">
        <f t="shared" si="725"/>
        <v>No requiere</v>
      </c>
      <c r="EV703" s="84" t="str">
        <f t="shared" si="843"/>
        <v>No requiere</v>
      </c>
      <c r="EW703" s="84" t="str">
        <f t="shared" si="581"/>
        <v>No requiere</v>
      </c>
      <c r="EX703" s="78"/>
      <c r="EY703" s="78"/>
      <c r="EZ703" s="179"/>
      <c r="FA703" s="179"/>
    </row>
    <row r="704" spans="1:157" s="190" customFormat="1" ht="46.5" customHeight="1">
      <c r="A704" s="79">
        <v>700</v>
      </c>
      <c r="B704" s="80" t="s">
        <v>4929</v>
      </c>
      <c r="C704" s="81">
        <v>45482</v>
      </c>
      <c r="D704" s="82">
        <v>0.70833333333333337</v>
      </c>
      <c r="E704" s="79" t="s">
        <v>200</v>
      </c>
      <c r="F704" s="79" t="s">
        <v>153</v>
      </c>
      <c r="G704" s="79" t="s">
        <v>152</v>
      </c>
      <c r="H704" s="79" t="s">
        <v>152</v>
      </c>
      <c r="I704" s="79" t="s">
        <v>152</v>
      </c>
      <c r="J704" s="79" t="s">
        <v>211</v>
      </c>
      <c r="K704" s="79" t="s">
        <v>202</v>
      </c>
      <c r="L704" s="80" t="s">
        <v>4930</v>
      </c>
      <c r="M704" s="80" t="s">
        <v>624</v>
      </c>
      <c r="N704" s="79" t="s">
        <v>888</v>
      </c>
      <c r="O704" s="80" t="str">
        <f t="shared" si="836"/>
        <v/>
      </c>
      <c r="P704" s="79"/>
      <c r="Q704" s="79"/>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t="s">
        <v>230</v>
      </c>
      <c r="AP704" s="79" t="s">
        <v>242</v>
      </c>
      <c r="AQ704" s="80" t="s">
        <v>1354</v>
      </c>
      <c r="AR704" s="83" t="s">
        <v>4931</v>
      </c>
      <c r="AS704" s="80" t="s">
        <v>1355</v>
      </c>
      <c r="AT704" s="80" t="str">
        <f t="shared" si="545"/>
        <v>Distrital</v>
      </c>
      <c r="AU704" s="79" t="s">
        <v>172</v>
      </c>
      <c r="AV704" s="79"/>
      <c r="AW704" s="79"/>
      <c r="AX704" s="79"/>
      <c r="AY704" s="79"/>
      <c r="AZ704" s="79"/>
      <c r="BA704" s="80" t="str">
        <f t="shared" si="562"/>
        <v>Distrital</v>
      </c>
      <c r="BB704" s="79" t="s">
        <v>172</v>
      </c>
      <c r="BC704" s="79"/>
      <c r="BD704" s="79"/>
      <c r="BE704" s="79"/>
      <c r="BF704" s="79"/>
      <c r="BG704" s="79"/>
      <c r="BH704" s="80" t="str">
        <f t="shared" si="563"/>
        <v>Distrital</v>
      </c>
      <c r="BI704" s="79" t="s">
        <v>172</v>
      </c>
      <c r="BJ704" s="79"/>
      <c r="BK704" s="79"/>
      <c r="BL704" s="79"/>
      <c r="BM704" s="79"/>
      <c r="BN704" s="79"/>
      <c r="BO704" s="79"/>
      <c r="BP704" s="79"/>
      <c r="BQ704" s="79"/>
      <c r="BR704" s="79"/>
      <c r="BS704" s="80" t="s">
        <v>288</v>
      </c>
      <c r="BT704" s="80" t="s">
        <v>174</v>
      </c>
      <c r="BU704" s="131" t="s">
        <v>3931</v>
      </c>
      <c r="BV704" s="71"/>
      <c r="BW704" s="79" t="s">
        <v>152</v>
      </c>
      <c r="BX704" s="79" t="s">
        <v>179</v>
      </c>
      <c r="BY704" s="71"/>
      <c r="BZ704" s="79">
        <v>29</v>
      </c>
      <c r="CA704" s="79">
        <v>1</v>
      </c>
      <c r="CB704" s="79">
        <f t="shared" si="717"/>
        <v>30</v>
      </c>
      <c r="CC704" s="79" t="str">
        <f t="shared" si="382"/>
        <v>Ninguna</v>
      </c>
      <c r="CD704" s="79" t="s">
        <v>174</v>
      </c>
      <c r="CE704" s="79"/>
      <c r="CF704" s="79"/>
      <c r="CG704" s="83" t="s">
        <v>4932</v>
      </c>
      <c r="CH704" s="41"/>
      <c r="CI704" s="79" t="s">
        <v>153</v>
      </c>
      <c r="CJ704" s="71"/>
      <c r="CK704" s="79">
        <f t="shared" si="718"/>
        <v>0</v>
      </c>
      <c r="CL704" s="79"/>
      <c r="CM704" s="79"/>
      <c r="CN704" s="79"/>
      <c r="CO704" s="79"/>
      <c r="CP704" s="79"/>
      <c r="CQ704" s="79"/>
      <c r="CR704" s="83" t="s">
        <v>179</v>
      </c>
      <c r="CS704" s="83" t="s">
        <v>179</v>
      </c>
      <c r="CT704" s="83" t="s">
        <v>179</v>
      </c>
      <c r="CU704" s="83" t="s">
        <v>179</v>
      </c>
      <c r="CV704" s="83" t="s">
        <v>179</v>
      </c>
      <c r="CW704" s="83" t="s">
        <v>179</v>
      </c>
      <c r="CX704" s="79" t="s">
        <v>153</v>
      </c>
      <c r="CY704" s="79">
        <f t="shared" si="719"/>
        <v>0</v>
      </c>
      <c r="CZ704" s="79">
        <v>0</v>
      </c>
      <c r="DA704" s="79">
        <f t="shared" si="720"/>
        <v>0</v>
      </c>
      <c r="DB704" s="84" t="str">
        <f t="shared" si="721"/>
        <v/>
      </c>
      <c r="DC704" s="41"/>
      <c r="DD704" s="79" t="s">
        <v>153</v>
      </c>
      <c r="DE704" s="71"/>
      <c r="DF704" s="160" t="s">
        <v>4933</v>
      </c>
      <c r="DG704" s="79">
        <v>690</v>
      </c>
      <c r="DH704" s="86" t="str">
        <f t="shared" si="837"/>
        <v>Completo</v>
      </c>
      <c r="DI704" s="79" t="s">
        <v>181</v>
      </c>
      <c r="DJ704" s="79" t="s">
        <v>182</v>
      </c>
      <c r="DK704" s="79"/>
      <c r="DL704" s="79">
        <v>0</v>
      </c>
      <c r="DM704" s="79">
        <v>0</v>
      </c>
      <c r="DN704" s="79" t="s">
        <v>182</v>
      </c>
      <c r="DO704" s="79"/>
      <c r="DP704" s="79"/>
      <c r="DQ704" s="79"/>
      <c r="DR704" s="75" t="str">
        <f t="shared" si="576"/>
        <v>No aplica</v>
      </c>
      <c r="DS704" s="79"/>
      <c r="DT704" s="79"/>
      <c r="DU704" s="75" t="str">
        <f t="shared" si="577"/>
        <v>No aplica</v>
      </c>
      <c r="DV704" s="79" t="s">
        <v>182</v>
      </c>
      <c r="DW704" s="79" t="s">
        <v>182</v>
      </c>
      <c r="DX704" s="79"/>
      <c r="DY704" s="79"/>
      <c r="DZ704" s="79"/>
      <c r="EA704" s="79"/>
      <c r="EB704" s="79" t="s">
        <v>182</v>
      </c>
      <c r="EC704" s="79" t="s">
        <v>4934</v>
      </c>
      <c r="ED704" s="79" t="s">
        <v>3866</v>
      </c>
      <c r="EE704" s="79" t="str">
        <f t="shared" si="723"/>
        <v>Completo</v>
      </c>
      <c r="EF704" s="41"/>
      <c r="EG704" s="79" t="s">
        <v>153</v>
      </c>
      <c r="EH704" s="71"/>
      <c r="EI704" s="80"/>
      <c r="EJ704" s="71"/>
      <c r="EK704" s="79"/>
      <c r="EL704" s="87" t="str">
        <f t="shared" si="838"/>
        <v>No requiere</v>
      </c>
      <c r="EM704" s="87" t="str">
        <f t="shared" si="839"/>
        <v>No requiere</v>
      </c>
      <c r="EN704" s="87" t="str">
        <f t="shared" si="724"/>
        <v>No requiere</v>
      </c>
      <c r="EO704" s="71"/>
      <c r="EP704" s="84" t="str">
        <f t="shared" si="840"/>
        <v>No requiere</v>
      </c>
      <c r="EQ704" s="88" t="str">
        <f t="shared" si="841"/>
        <v>No requiere</v>
      </c>
      <c r="ER704" s="71"/>
      <c r="ES704" s="79"/>
      <c r="ET704" s="84" t="str">
        <f t="shared" si="842"/>
        <v>No requiere</v>
      </c>
      <c r="EU704" s="84" t="str">
        <f t="shared" si="725"/>
        <v>No requiere</v>
      </c>
      <c r="EV704" s="84" t="str">
        <f t="shared" si="843"/>
        <v>No requiere</v>
      </c>
      <c r="EW704" s="84" t="str">
        <f t="shared" si="581"/>
        <v>No requiere</v>
      </c>
      <c r="EX704" s="78"/>
      <c r="EY704" s="78"/>
      <c r="EZ704" s="179"/>
      <c r="FA704" s="179"/>
    </row>
    <row r="705" spans="1:157" s="190" customFormat="1" ht="46.5" customHeight="1">
      <c r="A705" s="79">
        <v>701</v>
      </c>
      <c r="B705" s="80" t="s">
        <v>4935</v>
      </c>
      <c r="C705" s="81">
        <v>45482</v>
      </c>
      <c r="D705" s="82">
        <v>0.70833333333333337</v>
      </c>
      <c r="E705" s="79" t="s">
        <v>151</v>
      </c>
      <c r="F705" s="79" t="s">
        <v>153</v>
      </c>
      <c r="G705" s="79" t="s">
        <v>152</v>
      </c>
      <c r="H705" s="79" t="s">
        <v>152</v>
      </c>
      <c r="I705" s="79" t="s">
        <v>153</v>
      </c>
      <c r="J705" s="79" t="s">
        <v>227</v>
      </c>
      <c r="K705" s="79" t="s">
        <v>155</v>
      </c>
      <c r="L705" s="80" t="s">
        <v>4936</v>
      </c>
      <c r="M705" s="80" t="s">
        <v>303</v>
      </c>
      <c r="N705" s="79" t="s">
        <v>1387</v>
      </c>
      <c r="O705" s="80" t="str">
        <f>_xlfn.TEXTJOIN(", ",TRUE,P705:AN705)</f>
        <v/>
      </c>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t="s">
        <v>304</v>
      </c>
      <c r="AP705" s="79"/>
      <c r="AQ705" s="80" t="s">
        <v>3218</v>
      </c>
      <c r="AR705" s="83" t="s">
        <v>4937</v>
      </c>
      <c r="AS705" s="80" t="s">
        <v>3219</v>
      </c>
      <c r="AT705" s="80" t="str">
        <f>_xlfn.TEXTJOIN(", ",TRUE,$AU705:$AY705)</f>
        <v>Barrios Unidos</v>
      </c>
      <c r="AU705" s="79" t="s">
        <v>1031</v>
      </c>
      <c r="AV705" s="79"/>
      <c r="AW705" s="79"/>
      <c r="AX705" s="79"/>
      <c r="AY705" s="79"/>
      <c r="AZ705" s="79"/>
      <c r="BA705" s="80" t="str">
        <f>_xlfn.TEXTJOIN(", ",TRUE,$BB705:$BG705)</f>
        <v>Centro Ampliado</v>
      </c>
      <c r="BB705" s="79" t="s">
        <v>636</v>
      </c>
      <c r="BC705" s="79"/>
      <c r="BD705" s="79"/>
      <c r="BE705" s="79"/>
      <c r="BF705" s="79"/>
      <c r="BG705" s="79"/>
      <c r="BH705" s="80" t="str">
        <f>_xlfn.TEXTJOIN(", ",TRUE,$BI705:$BR705)</f>
        <v>Barrios Unidos</v>
      </c>
      <c r="BI705" s="79" t="s">
        <v>1031</v>
      </c>
      <c r="BJ705" s="79"/>
      <c r="BK705" s="79"/>
      <c r="BL705" s="79"/>
      <c r="BM705" s="79"/>
      <c r="BN705" s="79"/>
      <c r="BO705" s="79"/>
      <c r="BP705" s="79"/>
      <c r="BQ705" s="79"/>
      <c r="BR705" s="79"/>
      <c r="BS705" s="80" t="s">
        <v>4938</v>
      </c>
      <c r="BT705" s="80" t="s">
        <v>174</v>
      </c>
      <c r="BU705" s="80" t="s">
        <v>4939</v>
      </c>
      <c r="BV705" s="71"/>
      <c r="BW705" s="79" t="s">
        <v>152</v>
      </c>
      <c r="BX705" s="79" t="s">
        <v>179</v>
      </c>
      <c r="BY705" s="71"/>
      <c r="BZ705" s="79">
        <v>11</v>
      </c>
      <c r="CA705" s="79">
        <v>1</v>
      </c>
      <c r="CB705" s="79">
        <f>BZ705+CA705</f>
        <v>12</v>
      </c>
      <c r="CC705" s="79" t="str">
        <f>_xlfn.TEXTJOIN(", ",TRUE,$CD705:$CF705)</f>
        <v>Ninguna</v>
      </c>
      <c r="CD705" s="79" t="s">
        <v>174</v>
      </c>
      <c r="CE705" s="79"/>
      <c r="CF705" s="79"/>
      <c r="CG705" s="83" t="s">
        <v>4940</v>
      </c>
      <c r="CH705" s="41"/>
      <c r="CI705" s="79" t="s">
        <v>153</v>
      </c>
      <c r="CJ705" s="71"/>
      <c r="CK705" s="79">
        <f>COUNTIF(CL705:CQ705,"*")</f>
        <v>0</v>
      </c>
      <c r="CL705" s="79"/>
      <c r="CM705" s="79"/>
      <c r="CN705" s="79"/>
      <c r="CO705" s="79"/>
      <c r="CP705" s="79"/>
      <c r="CQ705" s="79"/>
      <c r="CR705" s="83" t="s">
        <v>179</v>
      </c>
      <c r="CS705" s="83" t="s">
        <v>179</v>
      </c>
      <c r="CT705" s="83" t="s">
        <v>179</v>
      </c>
      <c r="CU705" s="83" t="s">
        <v>179</v>
      </c>
      <c r="CV705" s="83" t="s">
        <v>179</v>
      </c>
      <c r="CW705" s="83" t="s">
        <v>179</v>
      </c>
      <c r="CX705" s="79" t="s">
        <v>153</v>
      </c>
      <c r="CY705" s="79">
        <f>SUM(COUNTIF(CR705:CW705,"Realizado y Devuelto a la Ciudadanía"),COUNTIF(CR705:CW705,"Realizado y Trasladado por competencia"), COUNTIF(CR705:CW705,"Realizado y Gestionado"))</f>
        <v>0</v>
      </c>
      <c r="CZ705" s="79">
        <v>0</v>
      </c>
      <c r="DA705" s="79">
        <f>COUNTIF(CR705:CW705,"Realizado y Devuelto a la Ciudadanía")</f>
        <v>0</v>
      </c>
      <c r="DB705" s="84" t="str">
        <f>IFERROR(CY705/CK705,"")</f>
        <v/>
      </c>
      <c r="DC705" s="41"/>
      <c r="DD705" s="79" t="s">
        <v>153</v>
      </c>
      <c r="DE705" s="71"/>
      <c r="DF705" s="127" t="s">
        <v>4941</v>
      </c>
      <c r="DG705" s="79">
        <v>691</v>
      </c>
      <c r="DH705" s="86" t="str">
        <f>IF(EE705="Por completar",C705+3,"Completo")</f>
        <v>Completo</v>
      </c>
      <c r="DI705" s="79" t="s">
        <v>181</v>
      </c>
      <c r="DJ705" s="79" t="s">
        <v>182</v>
      </c>
      <c r="DK705" s="79"/>
      <c r="DL705" s="79">
        <v>0</v>
      </c>
      <c r="DM705" s="79">
        <v>0</v>
      </c>
      <c r="DN705" s="79" t="s">
        <v>182</v>
      </c>
      <c r="DO705" s="79"/>
      <c r="DP705" s="79"/>
      <c r="DQ705" s="79"/>
      <c r="DR705" s="75" t="str">
        <f>IF(H705="SÍ", (DQ705/(BZ705*0.3)), "No aplica")</f>
        <v>No aplica</v>
      </c>
      <c r="DS705" s="79"/>
      <c r="DT705" s="79"/>
      <c r="DU705" s="75" t="str">
        <f>IF(H705="SÍ", (DT705/(BZ705*0.35)), "No aplica")</f>
        <v>No aplica</v>
      </c>
      <c r="DV705" s="79" t="s">
        <v>182</v>
      </c>
      <c r="DW705" s="79" t="s">
        <v>182</v>
      </c>
      <c r="DX705" s="79"/>
      <c r="DY705" s="79"/>
      <c r="DZ705" s="79"/>
      <c r="EA705" s="79"/>
      <c r="EB705" s="79"/>
      <c r="EC705" s="79"/>
      <c r="ED705" s="79" t="s">
        <v>3866</v>
      </c>
      <c r="EE705" s="79" t="str">
        <f>IF(DI705="Subsanado","Completo","Por Completar")</f>
        <v>Completo</v>
      </c>
      <c r="EF705" s="41"/>
      <c r="EG705" s="79" t="s">
        <v>153</v>
      </c>
      <c r="EH705" s="71"/>
      <c r="EI705" s="80"/>
      <c r="EJ705" s="71"/>
      <c r="EK705" s="79"/>
      <c r="EL705" s="87" t="str">
        <f>IF(F705="NO","No requiere",IF(H705="No","No requiere",IF(DW705="","",IF(DW705&lt;&gt;"No aplica",IF(DX705&lt;&gt;"No aplica",IF(DX705&gt;=2,"Sí","No"),"No aplica"),"No aplica"))))</f>
        <v>No requiere</v>
      </c>
      <c r="EM705" s="87" t="str">
        <f>IF(F705="NO","No requiere",IF(H705="No","No requiere",IF(DW705="","",IF(DW705&lt;&gt;"No aplica",IF(DY705&lt;&gt;"No aplica",IF(DY705&gt;=1,"Sí","No"),"No aplica"),"No aplica"))))</f>
        <v>No requiere</v>
      </c>
      <c r="EN705" s="87" t="str">
        <f>IF(F705="NO","No requiere",IF(H705="No","No requiere",IF(CC705="","",IF(CD705&lt;&gt;"No aplica",IF(CD705&lt;&gt;"Ninguna",IF(COUNTIF(CD705:CF705,"*")&gt;=1,"Sí","No"),"No"),"No aplica"))))</f>
        <v>No requiere</v>
      </c>
      <c r="EO705" s="71"/>
      <c r="EP705" s="84" t="str">
        <f>IF(F705="NO","No requiere",IF(H705="No","No requiere",IF(DL705="","",IF(DL705&gt;=1,DM705/DL705,"No aplica"))))</f>
        <v>No requiere</v>
      </c>
      <c r="EQ705" s="88" t="str">
        <f>IFERROR(IF(F705="NO","No requiere",IF(H705="No","No requiere",DU705)),"")</f>
        <v>No requiere</v>
      </c>
      <c r="ER705" s="71"/>
      <c r="ES705" s="79"/>
      <c r="ET705" s="84" t="str">
        <f>IF(F705="NO","No requiere",IF(H705="No","No requiere",IFERROR(COUNTIF(DJ705:DW705,"Completo")/SUM(COUNTIF(DJ705:DW705,"Completo"),COUNTIF(DJ705:DW705,"Incompleto"),COUNTIF(DJ705:DW705,"No subido"),COUNTIF(DJ705:DW705,"No existente"),COUNTIF(DJ705:DW705,"Pendiente")),"")))</f>
        <v>No requiere</v>
      </c>
      <c r="EU705" s="84" t="str">
        <f>IF(F705="NO","No requiere",IF(H705="No","No requiere",IF(B705="","",IF(CX705="SÍ",IF(CK705&gt;=1,CY705/CK705,"Sin compromisos"),"Por verificar"))))</f>
        <v>No requiere</v>
      </c>
      <c r="EV705" s="84" t="str">
        <f>IF(EU705="Por verificar","Por verificar",IF(F705="NO","No requiere",IF(H705="No","No requiere",IFERROR(IF(EU705="","",IF(CK705&gt;=1,DA705/CZ705,"No aplica")),"No aplica"))))</f>
        <v>No requiere</v>
      </c>
      <c r="EW705" s="84" t="str">
        <f>IF(F705="NO","No requiere",IF(H705="No","No requiere",IFERROR(IF(BZ705="","",IF(EA705&lt;&gt;"No aplica",IF(EA705&gt;=1,DO705/EA705,"0%"),"No aplica")),"")))</f>
        <v>No requiere</v>
      </c>
      <c r="EX705" s="78"/>
      <c r="EY705" s="78"/>
      <c r="EZ705" s="179"/>
      <c r="FA705" s="179"/>
    </row>
    <row r="706" spans="1:157" s="190" customFormat="1" ht="63" customHeight="1">
      <c r="A706" s="79" t="str">
        <v/>
      </c>
      <c r="B706" s="80" t="s">
        <v>4942</v>
      </c>
      <c r="C706" s="81">
        <v>45482</v>
      </c>
      <c r="D706" s="82">
        <v>0.70833333333333337</v>
      </c>
      <c r="E706" s="79" t="s">
        <v>151</v>
      </c>
      <c r="F706" s="79" t="s">
        <v>152</v>
      </c>
      <c r="G706" s="79" t="s">
        <v>152</v>
      </c>
      <c r="H706" s="79" t="s">
        <v>152</v>
      </c>
      <c r="I706" s="79" t="s">
        <v>152</v>
      </c>
      <c r="J706" s="79" t="s">
        <v>251</v>
      </c>
      <c r="K706" s="79" t="s">
        <v>202</v>
      </c>
      <c r="L706" s="80" t="s">
        <v>4943</v>
      </c>
      <c r="M706" s="80" t="s">
        <v>157</v>
      </c>
      <c r="N706" s="79" t="s">
        <v>887</v>
      </c>
      <c r="O706" s="80" t="str">
        <f t="shared" ref="O706:O709" si="844">_xlfn.TEXTJOIN(", ",TRUE,P706:AN706)</f>
        <v>Yeiker Guerra Sarmiento</v>
      </c>
      <c r="P706" s="79" t="s">
        <v>163</v>
      </c>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t="s">
        <v>230</v>
      </c>
      <c r="AP706" s="79" t="s">
        <v>347</v>
      </c>
      <c r="AQ706" s="80" t="s">
        <v>1839</v>
      </c>
      <c r="AR706" s="83" t="s">
        <v>4944</v>
      </c>
      <c r="AS706" s="80" t="s">
        <v>4945</v>
      </c>
      <c r="AT706" s="80" t="str">
        <f>_xlfn.TEXTJOIN(", ",TRUE,$AU706:$AY706)</f>
        <v>Distrital</v>
      </c>
      <c r="AU706" s="79" t="s">
        <v>172</v>
      </c>
      <c r="AV706" s="79"/>
      <c r="AW706" s="79"/>
      <c r="AX706" s="79"/>
      <c r="AY706" s="79"/>
      <c r="AZ706" s="79"/>
      <c r="BA706" s="80" t="str">
        <f>_xlfn.TEXTJOIN(", ",TRUE,$BB706:$BG706)</f>
        <v>Distrital</v>
      </c>
      <c r="BB706" s="79" t="s">
        <v>172</v>
      </c>
      <c r="BC706" s="79"/>
      <c r="BD706" s="79"/>
      <c r="BE706" s="79"/>
      <c r="BF706" s="79"/>
      <c r="BG706" s="79"/>
      <c r="BH706" s="80" t="str">
        <f>_xlfn.TEXTJOIN(", ",TRUE,$BI706:$BR706)</f>
        <v>Distrital</v>
      </c>
      <c r="BI706" s="79" t="s">
        <v>172</v>
      </c>
      <c r="BJ706" s="79"/>
      <c r="BK706" s="79"/>
      <c r="BL706" s="79"/>
      <c r="BM706" s="79"/>
      <c r="BN706" s="79"/>
      <c r="BO706" s="79"/>
      <c r="BP706" s="79"/>
      <c r="BQ706" s="79"/>
      <c r="BR706" s="79"/>
      <c r="BS706" s="80" t="s">
        <v>3245</v>
      </c>
      <c r="BT706" s="80" t="s">
        <v>174</v>
      </c>
      <c r="BU706" s="128" t="s">
        <v>3931</v>
      </c>
      <c r="BV706" s="71"/>
      <c r="BW706" s="79" t="s">
        <v>152</v>
      </c>
      <c r="BX706" s="79" t="s">
        <v>179</v>
      </c>
      <c r="BY706" s="71"/>
      <c r="BZ706" s="79">
        <v>1</v>
      </c>
      <c r="CA706" s="79">
        <v>2</v>
      </c>
      <c r="CB706" s="79">
        <f t="shared" ref="CB706:CB709" si="845">BZ706+CA706</f>
        <v>3</v>
      </c>
      <c r="CC706" s="79" t="str">
        <f>_xlfn.TEXTJOIN(", ",TRUE,$CD706:$CF706)</f>
        <v>Ninguna</v>
      </c>
      <c r="CD706" s="79" t="s">
        <v>174</v>
      </c>
      <c r="CE706" s="79"/>
      <c r="CF706" s="79"/>
      <c r="CG706" s="83" t="s">
        <v>4946</v>
      </c>
      <c r="CH706" s="41"/>
      <c r="CI706" s="79" t="s">
        <v>153</v>
      </c>
      <c r="CJ706" s="71"/>
      <c r="CK706" s="79">
        <f t="shared" ref="CK706:CK709" si="846">COUNTIF(CL706:CQ706,"*")</f>
        <v>0</v>
      </c>
      <c r="CL706" s="79"/>
      <c r="CM706" s="79"/>
      <c r="CN706" s="79"/>
      <c r="CO706" s="79"/>
      <c r="CP706" s="79"/>
      <c r="CQ706" s="79"/>
      <c r="CR706" s="83" t="s">
        <v>179</v>
      </c>
      <c r="CS706" s="83" t="s">
        <v>179</v>
      </c>
      <c r="CT706" s="83" t="s">
        <v>179</v>
      </c>
      <c r="CU706" s="83" t="s">
        <v>179</v>
      </c>
      <c r="CV706" s="83" t="s">
        <v>179</v>
      </c>
      <c r="CW706" s="83" t="s">
        <v>179</v>
      </c>
      <c r="CX706" s="79" t="s">
        <v>153</v>
      </c>
      <c r="CY706" s="79">
        <f t="shared" ref="CY706:CY709" si="847">SUM(COUNTIF(CR706:CW706,"Realizado y Devuelto a la Ciudadanía"),COUNTIF(CR706:CW706,"Realizado y Trasladado por competencia"), COUNTIF(CR706:CW706,"Realizado y Gestionado"))</f>
        <v>0</v>
      </c>
      <c r="CZ706" s="79">
        <v>0</v>
      </c>
      <c r="DA706" s="79">
        <f t="shared" ref="DA706:DA709" si="848">COUNTIF(CR706:CW706,"Realizado y Devuelto a la Ciudadanía")</f>
        <v>0</v>
      </c>
      <c r="DB706" s="84" t="str">
        <f t="shared" ref="DB706:DB709" si="849">IFERROR(CY706/CK706,"")</f>
        <v/>
      </c>
      <c r="DC706" s="41"/>
      <c r="DD706" s="79" t="s">
        <v>153</v>
      </c>
      <c r="DE706" s="71"/>
      <c r="DF706" s="127" t="s">
        <v>4947</v>
      </c>
      <c r="DG706" s="79">
        <v>692</v>
      </c>
      <c r="DH706" s="86" t="str">
        <f t="shared" ref="DH706:DH709" si="850">IF(EE706="Por completar",C706+3,"Completo")</f>
        <v>Completo</v>
      </c>
      <c r="DI706" s="79" t="s">
        <v>181</v>
      </c>
      <c r="DJ706" s="79" t="s">
        <v>182</v>
      </c>
      <c r="DK706" s="79"/>
      <c r="DL706" s="79">
        <v>0</v>
      </c>
      <c r="DM706" s="79">
        <v>0</v>
      </c>
      <c r="DN706" s="79" t="s">
        <v>182</v>
      </c>
      <c r="DO706" s="79"/>
      <c r="DP706" s="79"/>
      <c r="DQ706" s="79"/>
      <c r="DR706" s="75" t="str">
        <f t="shared" ref="DR706:DR709" si="851">IF(H706="SÍ", (DQ706/(BZ706*0.3)), "No aplica")</f>
        <v>No aplica</v>
      </c>
      <c r="DS706" s="79"/>
      <c r="DT706" s="79"/>
      <c r="DU706" s="75" t="str">
        <f t="shared" ref="DU706:DU709" si="852">IF(H706="SÍ", (DT706/(BZ706*0.35)), "No aplica")</f>
        <v>No aplica</v>
      </c>
      <c r="DV706" s="79" t="s">
        <v>182</v>
      </c>
      <c r="DW706" s="79" t="s">
        <v>182</v>
      </c>
      <c r="DX706" s="79"/>
      <c r="DY706" s="79"/>
      <c r="DZ706" s="79"/>
      <c r="EA706" s="79"/>
      <c r="EB706" s="79"/>
      <c r="EC706" s="79"/>
      <c r="ED706" s="79" t="s">
        <v>4948</v>
      </c>
      <c r="EE706" s="79" t="str">
        <f t="shared" ref="EE706:EE709" si="853">IF(DI706="Subsanado","Completo","Por Completar")</f>
        <v>Completo</v>
      </c>
      <c r="EF706" s="41"/>
      <c r="EG706" s="79" t="s">
        <v>153</v>
      </c>
      <c r="EH706" s="71"/>
      <c r="EI706" s="80"/>
      <c r="EJ706" s="71"/>
      <c r="EK706" s="79"/>
      <c r="EL706" s="87" t="str">
        <f t="shared" ref="EL706:EL709" si="854">IF(F706="NO","No requiere",IF(H706="No","No requiere",IF(DW706="","",IF(DW706&lt;&gt;"No aplica",IF(DX706&lt;&gt;"No aplica",IF(DX706&gt;=2,"Sí","No"),"No aplica"),"No aplica"))))</f>
        <v>No requiere</v>
      </c>
      <c r="EM706" s="87" t="str">
        <f t="shared" ref="EM706:EM709" si="855">IF(F706="NO","No requiere",IF(H706="No","No requiere",IF(DW706="","",IF(DW706&lt;&gt;"No aplica",IF(DY706&lt;&gt;"No aplica",IF(DY706&gt;=1,"Sí","No"),"No aplica"),"No aplica"))))</f>
        <v>No requiere</v>
      </c>
      <c r="EN706" s="87" t="str">
        <f t="shared" ref="EN706:EN709" si="856">IF(F706="NO","No requiere",IF(H706="No","No requiere",IF(CC706="","",IF(CD706&lt;&gt;"No aplica",IF(CD706&lt;&gt;"Ninguna",IF(COUNTIF(CD706:CF706,"*")&gt;=1,"Sí","No"),"No"),"No aplica"))))</f>
        <v>No requiere</v>
      </c>
      <c r="EO706" s="71"/>
      <c r="EP706" s="84" t="str">
        <f t="shared" ref="EP706:EP709" si="857">IF(F706="NO","No requiere",IF(H706="No","No requiere",IF(DL706="","",IF(DL706&gt;=1,DM706/DL706,"No aplica"))))</f>
        <v>No requiere</v>
      </c>
      <c r="EQ706" s="88" t="str">
        <f t="shared" ref="EQ706:EQ709" si="858">IFERROR(IF(F706="NO","No requiere",IF(H706="No","No requiere",DU706)),"")</f>
        <v>No requiere</v>
      </c>
      <c r="ER706" s="71"/>
      <c r="ES706" s="79"/>
      <c r="ET706" s="84" t="str">
        <f t="shared" ref="ET706:ET709" si="859">IF(F706="NO","No requiere",IF(H706="No","No requiere",IFERROR(COUNTIF(DJ706:DW706,"Completo")/SUM(COUNTIF(DJ706:DW706,"Completo"),COUNTIF(DJ706:DW706,"Incompleto"),COUNTIF(DJ706:DW706,"No subido"),COUNTIF(DJ706:DW706,"No existente"),COUNTIF(DJ706:DW706,"Pendiente")),"")))</f>
        <v>No requiere</v>
      </c>
      <c r="EU706" s="84" t="str">
        <f t="shared" ref="EU706:EU709" si="860">IF(F706="NO","No requiere",IF(H706="No","No requiere",IF(B706="","",IF(CX706="SÍ",IF(CK706&gt;=1,CY706/CK706,"Sin compromisos"),"Por verificar"))))</f>
        <v>No requiere</v>
      </c>
      <c r="EV706" s="84" t="str">
        <f t="shared" ref="EV706:EV709" si="861">IF(EU706="Por verificar","Por verificar",IF(F706="NO","No requiere",IF(H706="No","No requiere",IFERROR(IF(EU706="","",IF(CK706&gt;=1,DA706/CZ706,"No aplica")),"No aplica"))))</f>
        <v>No requiere</v>
      </c>
      <c r="EW706" s="84" t="str">
        <f t="shared" ref="EW706:EW709" si="862">IF(F706="NO","No requiere",IF(H706="No","No requiere",IFERROR(IF(BZ706="","",IF(EA706&lt;&gt;"No aplica",IF(EA706&gt;=1,DO706/EA706,"0%"),"No aplica")),"")))</f>
        <v>No requiere</v>
      </c>
      <c r="EX706" s="78"/>
      <c r="EY706" s="78"/>
      <c r="EZ706" s="179"/>
      <c r="FA706" s="179"/>
    </row>
    <row r="707" spans="1:157" s="190" customFormat="1" ht="63" customHeight="1">
      <c r="A707" s="79" t="str">
        <v/>
      </c>
      <c r="B707" s="80" t="s">
        <v>4949</v>
      </c>
      <c r="C707" s="81">
        <v>45483</v>
      </c>
      <c r="D707" s="82">
        <v>0.29166666666666669</v>
      </c>
      <c r="E707" s="79" t="s">
        <v>151</v>
      </c>
      <c r="F707" s="79" t="s">
        <v>152</v>
      </c>
      <c r="G707" s="79" t="s">
        <v>152</v>
      </c>
      <c r="H707" s="79" t="s">
        <v>152</v>
      </c>
      <c r="I707" s="79" t="s">
        <v>152</v>
      </c>
      <c r="J707" s="79" t="s">
        <v>251</v>
      </c>
      <c r="K707" s="79" t="s">
        <v>155</v>
      </c>
      <c r="L707" s="80" t="s">
        <v>4950</v>
      </c>
      <c r="M707" s="80" t="s">
        <v>157</v>
      </c>
      <c r="N707" s="79" t="s">
        <v>720</v>
      </c>
      <c r="O707" s="80" t="str">
        <f t="shared" si="844"/>
        <v/>
      </c>
      <c r="P707" s="79"/>
      <c r="Q707" s="79"/>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t="s">
        <v>169</v>
      </c>
      <c r="AP707" s="79" t="s">
        <v>170</v>
      </c>
      <c r="AQ707" s="80" t="s">
        <v>4951</v>
      </c>
      <c r="AR707" s="83" t="s">
        <v>4952</v>
      </c>
      <c r="AS707" s="80" t="s">
        <v>4953</v>
      </c>
      <c r="AT707" s="80" t="str">
        <f t="shared" ref="AT707" si="863">_xlfn.TEXTJOIN(", ",TRUE,$AU707:$AY707)</f>
        <v>Distrital</v>
      </c>
      <c r="AU707" s="79" t="s">
        <v>172</v>
      </c>
      <c r="AV707" s="79"/>
      <c r="AW707" s="79"/>
      <c r="AX707" s="79"/>
      <c r="AY707" s="79"/>
      <c r="AZ707" s="79"/>
      <c r="BA707" s="80" t="str">
        <f>_xlfn.TEXTJOIN(", ",TRUE,$BB707:$BG707)</f>
        <v>Distrital</v>
      </c>
      <c r="BB707" s="79" t="s">
        <v>172</v>
      </c>
      <c r="BC707" s="79"/>
      <c r="BD707" s="79"/>
      <c r="BE707" s="79"/>
      <c r="BF707" s="79"/>
      <c r="BG707" s="79"/>
      <c r="BH707" s="80" t="str">
        <f>_xlfn.TEXTJOIN(", ",TRUE,$BI707:$BR707)</f>
        <v>Distrital</v>
      </c>
      <c r="BI707" s="79" t="s">
        <v>172</v>
      </c>
      <c r="BJ707" s="79"/>
      <c r="BK707" s="79"/>
      <c r="BL707" s="79"/>
      <c r="BM707" s="79"/>
      <c r="BN707" s="79"/>
      <c r="BO707" s="79"/>
      <c r="BP707" s="79"/>
      <c r="BQ707" s="79"/>
      <c r="BR707" s="79"/>
      <c r="BS707" s="80" t="s">
        <v>2018</v>
      </c>
      <c r="BT707" s="80" t="s">
        <v>4954</v>
      </c>
      <c r="BU707" s="80" t="s">
        <v>4955</v>
      </c>
      <c r="BV707" s="71"/>
      <c r="BW707" s="79" t="s">
        <v>152</v>
      </c>
      <c r="BX707" s="79" t="s">
        <v>179</v>
      </c>
      <c r="BY707" s="71"/>
      <c r="BZ707" s="79">
        <v>0</v>
      </c>
      <c r="CA707" s="79">
        <v>30</v>
      </c>
      <c r="CB707" s="79">
        <f t="shared" si="845"/>
        <v>30</v>
      </c>
      <c r="CC707" s="79" t="str">
        <f t="shared" si="382"/>
        <v>Ninguna</v>
      </c>
      <c r="CD707" s="79" t="s">
        <v>174</v>
      </c>
      <c r="CE707" s="79"/>
      <c r="CF707" s="79"/>
      <c r="CG707" s="83" t="s">
        <v>4956</v>
      </c>
      <c r="CH707" s="41"/>
      <c r="CI707" s="79" t="s">
        <v>153</v>
      </c>
      <c r="CJ707" s="71"/>
      <c r="CK707" s="79">
        <f t="shared" si="846"/>
        <v>0</v>
      </c>
      <c r="CL707" s="79"/>
      <c r="CM707" s="79"/>
      <c r="CN707" s="79"/>
      <c r="CO707" s="79"/>
      <c r="CP707" s="79"/>
      <c r="CQ707" s="79"/>
      <c r="CR707" s="83" t="s">
        <v>179</v>
      </c>
      <c r="CS707" s="83" t="s">
        <v>179</v>
      </c>
      <c r="CT707" s="83" t="s">
        <v>179</v>
      </c>
      <c r="CU707" s="83" t="s">
        <v>179</v>
      </c>
      <c r="CV707" s="83" t="s">
        <v>179</v>
      </c>
      <c r="CW707" s="83" t="s">
        <v>179</v>
      </c>
      <c r="CX707" s="79"/>
      <c r="CY707" s="79">
        <f t="shared" si="847"/>
        <v>0</v>
      </c>
      <c r="CZ707" s="79">
        <v>0</v>
      </c>
      <c r="DA707" s="79">
        <f t="shared" si="848"/>
        <v>0</v>
      </c>
      <c r="DB707" s="84" t="str">
        <f t="shared" si="849"/>
        <v/>
      </c>
      <c r="DC707" s="41"/>
      <c r="DD707" s="79" t="s">
        <v>153</v>
      </c>
      <c r="DE707" s="71"/>
      <c r="DF707" s="127" t="s">
        <v>4957</v>
      </c>
      <c r="DG707" s="79">
        <v>693</v>
      </c>
      <c r="DH707" s="86" t="str">
        <f t="shared" si="850"/>
        <v>Completo</v>
      </c>
      <c r="DI707" s="79" t="s">
        <v>181</v>
      </c>
      <c r="DJ707" s="79" t="s">
        <v>182</v>
      </c>
      <c r="DK707" s="79"/>
      <c r="DL707" s="79">
        <v>0</v>
      </c>
      <c r="DM707" s="79">
        <v>0</v>
      </c>
      <c r="DN707" s="79" t="s">
        <v>182</v>
      </c>
      <c r="DO707" s="79"/>
      <c r="DP707" s="79"/>
      <c r="DQ707" s="79"/>
      <c r="DR707" s="75" t="str">
        <f t="shared" si="851"/>
        <v>No aplica</v>
      </c>
      <c r="DS707" s="79"/>
      <c r="DT707" s="79"/>
      <c r="DU707" s="75" t="str">
        <f t="shared" si="852"/>
        <v>No aplica</v>
      </c>
      <c r="DV707" s="79" t="s">
        <v>182</v>
      </c>
      <c r="DW707" s="79"/>
      <c r="DX707" s="79"/>
      <c r="DY707" s="79"/>
      <c r="DZ707" s="79"/>
      <c r="EA707" s="79"/>
      <c r="EB707" s="79"/>
      <c r="EC707" s="79"/>
      <c r="ED707" s="79" t="s">
        <v>4755</v>
      </c>
      <c r="EE707" s="79" t="str">
        <f t="shared" si="853"/>
        <v>Completo</v>
      </c>
      <c r="EF707" s="41"/>
      <c r="EG707" s="79" t="s">
        <v>153</v>
      </c>
      <c r="EH707" s="71"/>
      <c r="EI707" s="80"/>
      <c r="EJ707" s="71"/>
      <c r="EK707" s="79"/>
      <c r="EL707" s="87" t="str">
        <f t="shared" si="854"/>
        <v>No requiere</v>
      </c>
      <c r="EM707" s="87" t="str">
        <f t="shared" si="855"/>
        <v>No requiere</v>
      </c>
      <c r="EN707" s="87" t="str">
        <f t="shared" si="856"/>
        <v>No requiere</v>
      </c>
      <c r="EO707" s="71"/>
      <c r="EP707" s="84" t="str">
        <f t="shared" si="857"/>
        <v>No requiere</v>
      </c>
      <c r="EQ707" s="88" t="str">
        <f t="shared" si="858"/>
        <v>No requiere</v>
      </c>
      <c r="ER707" s="71"/>
      <c r="ES707" s="79"/>
      <c r="ET707" s="84" t="str">
        <f t="shared" si="859"/>
        <v>No requiere</v>
      </c>
      <c r="EU707" s="84" t="str">
        <f t="shared" si="860"/>
        <v>No requiere</v>
      </c>
      <c r="EV707" s="84" t="str">
        <f t="shared" si="861"/>
        <v>No requiere</v>
      </c>
      <c r="EW707" s="84" t="str">
        <f t="shared" si="862"/>
        <v>No requiere</v>
      </c>
      <c r="EX707" s="78"/>
      <c r="EY707" s="78"/>
      <c r="EZ707" s="179"/>
      <c r="FA707" s="179"/>
    </row>
    <row r="708" spans="1:157" s="190" customFormat="1" ht="63" customHeight="1">
      <c r="A708" s="79" t="str">
        <v/>
      </c>
      <c r="B708" s="80" t="s">
        <v>4958</v>
      </c>
      <c r="C708" s="81">
        <v>45483</v>
      </c>
      <c r="D708" s="82">
        <v>0.33333333333333331</v>
      </c>
      <c r="E708" s="79" t="s">
        <v>151</v>
      </c>
      <c r="F708" s="79" t="s">
        <v>152</v>
      </c>
      <c r="G708" s="79" t="s">
        <v>152</v>
      </c>
      <c r="H708" s="79" t="s">
        <v>152</v>
      </c>
      <c r="I708" s="79" t="s">
        <v>152</v>
      </c>
      <c r="J708" s="79" t="s">
        <v>154</v>
      </c>
      <c r="K708" s="79" t="s">
        <v>202</v>
      </c>
      <c r="L708" s="80" t="s">
        <v>4959</v>
      </c>
      <c r="M708" s="80" t="s">
        <v>624</v>
      </c>
      <c r="N708" s="79" t="s">
        <v>195</v>
      </c>
      <c r="O708" s="80" t="str">
        <f t="shared" si="844"/>
        <v>César Augusto Barrantes, Luna Paulina Benjumea</v>
      </c>
      <c r="P708" s="79" t="s">
        <v>729</v>
      </c>
      <c r="Q708" s="79" t="s">
        <v>4960</v>
      </c>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t="s">
        <v>169</v>
      </c>
      <c r="AP708" s="79" t="s">
        <v>170</v>
      </c>
      <c r="AQ708" s="80" t="s">
        <v>171</v>
      </c>
      <c r="AR708" s="80" t="s">
        <v>171</v>
      </c>
      <c r="AS708" s="80" t="s">
        <v>171</v>
      </c>
      <c r="AT708" s="80" t="str">
        <f>_xlfn.TEXTJOIN(", ",TRUE,$AU708:$AY708)</f>
        <v>Distrital</v>
      </c>
      <c r="AU708" s="79" t="s">
        <v>172</v>
      </c>
      <c r="AV708" s="79"/>
      <c r="AW708" s="79"/>
      <c r="AX708" s="79"/>
      <c r="AY708" s="79"/>
      <c r="AZ708" s="79"/>
      <c r="BA708" s="80" t="str">
        <f>_xlfn.TEXTJOIN(", ",TRUE,$BB708:$BG708)</f>
        <v>Distrital</v>
      </c>
      <c r="BB708" s="79" t="s">
        <v>172</v>
      </c>
      <c r="BC708" s="79"/>
      <c r="BD708" s="79"/>
      <c r="BE708" s="79"/>
      <c r="BF708" s="79"/>
      <c r="BG708" s="79"/>
      <c r="BH708" s="80" t="str">
        <f>_xlfn.TEXTJOIN(", ",TRUE,$BI708:$BR708)</f>
        <v>Distrital</v>
      </c>
      <c r="BI708" s="79" t="s">
        <v>172</v>
      </c>
      <c r="BJ708" s="79"/>
      <c r="BK708" s="79"/>
      <c r="BL708" s="79"/>
      <c r="BM708" s="79"/>
      <c r="BN708" s="79"/>
      <c r="BO708" s="79"/>
      <c r="BP708" s="79"/>
      <c r="BQ708" s="79"/>
      <c r="BR708" s="79"/>
      <c r="BS708" s="80" t="s">
        <v>288</v>
      </c>
      <c r="BT708" s="80" t="s">
        <v>174</v>
      </c>
      <c r="BU708" s="128" t="s">
        <v>3931</v>
      </c>
      <c r="BV708" s="71"/>
      <c r="BW708" s="79" t="s">
        <v>152</v>
      </c>
      <c r="BX708" s="79" t="s">
        <v>179</v>
      </c>
      <c r="BY708" s="71"/>
      <c r="BZ708" s="79">
        <v>25</v>
      </c>
      <c r="CA708" s="79">
        <v>6</v>
      </c>
      <c r="CB708" s="79">
        <f t="shared" si="845"/>
        <v>31</v>
      </c>
      <c r="CC708" s="79" t="str">
        <f t="shared" si="382"/>
        <v>Ninguna</v>
      </c>
      <c r="CD708" s="79" t="s">
        <v>174</v>
      </c>
      <c r="CE708" s="79"/>
      <c r="CF708" s="79"/>
      <c r="CG708" s="83" t="s">
        <v>4961</v>
      </c>
      <c r="CH708" s="41"/>
      <c r="CI708" s="79" t="s">
        <v>153</v>
      </c>
      <c r="CJ708" s="71"/>
      <c r="CK708" s="79">
        <f t="shared" si="846"/>
        <v>0</v>
      </c>
      <c r="CL708" s="79"/>
      <c r="CM708" s="79"/>
      <c r="CN708" s="79"/>
      <c r="CO708" s="79"/>
      <c r="CP708" s="79"/>
      <c r="CQ708" s="79"/>
      <c r="CR708" s="83" t="s">
        <v>179</v>
      </c>
      <c r="CS708" s="83" t="s">
        <v>179</v>
      </c>
      <c r="CT708" s="83" t="s">
        <v>179</v>
      </c>
      <c r="CU708" s="83" t="s">
        <v>179</v>
      </c>
      <c r="CV708" s="83" t="s">
        <v>179</v>
      </c>
      <c r="CW708" s="83" t="s">
        <v>179</v>
      </c>
      <c r="CX708" s="79" t="s">
        <v>153</v>
      </c>
      <c r="CY708" s="79">
        <f>SUM(COUNTIF(CR708:CW708,"Realizado y Devuelto a la Ciudadanía"),COUNTIF(CR708:CW708,"Realizado y Trasladado por competencia"), COUNTIF(CR708:CW708,"Realizado y Gestionado"))</f>
        <v>0</v>
      </c>
      <c r="CZ708" s="79">
        <v>0</v>
      </c>
      <c r="DA708" s="79">
        <f>COUNTIF(CR708:CW708,"Realizado y Devuelto a la Ciudadanía")</f>
        <v>0</v>
      </c>
      <c r="DB708" s="84" t="str">
        <f t="shared" si="849"/>
        <v/>
      </c>
      <c r="DC708" s="41"/>
      <c r="DD708" s="79" t="s">
        <v>153</v>
      </c>
      <c r="DE708" s="71"/>
      <c r="DF708" s="127" t="s">
        <v>4962</v>
      </c>
      <c r="DG708" s="79">
        <v>695</v>
      </c>
      <c r="DH708" s="86" t="str">
        <f t="shared" si="850"/>
        <v>Completo</v>
      </c>
      <c r="DI708" s="79" t="s">
        <v>181</v>
      </c>
      <c r="DJ708" s="79" t="s">
        <v>182</v>
      </c>
      <c r="DK708" s="79"/>
      <c r="DL708" s="79">
        <v>0</v>
      </c>
      <c r="DM708" s="79">
        <v>0</v>
      </c>
      <c r="DN708" s="79"/>
      <c r="DO708" s="79">
        <v>54</v>
      </c>
      <c r="DP708" s="79"/>
      <c r="DQ708" s="79"/>
      <c r="DR708" s="75" t="str">
        <f t="shared" si="851"/>
        <v>No aplica</v>
      </c>
      <c r="DS708" s="79"/>
      <c r="DT708" s="79"/>
      <c r="DU708" s="75" t="str">
        <f t="shared" si="852"/>
        <v>No aplica</v>
      </c>
      <c r="DV708" s="79"/>
      <c r="DW708" s="79"/>
      <c r="DX708" s="79"/>
      <c r="DY708" s="79"/>
      <c r="DZ708" s="79"/>
      <c r="EA708" s="79"/>
      <c r="EB708" s="79"/>
      <c r="EC708" s="79"/>
      <c r="ED708" s="79" t="s">
        <v>4963</v>
      </c>
      <c r="EE708" s="79" t="str">
        <f t="shared" si="853"/>
        <v>Completo</v>
      </c>
      <c r="EF708" s="41"/>
      <c r="EG708" s="79" t="s">
        <v>153</v>
      </c>
      <c r="EH708" s="71"/>
      <c r="EI708" s="80"/>
      <c r="EJ708" s="71"/>
      <c r="EK708" s="79"/>
      <c r="EL708" s="87" t="str">
        <f t="shared" si="854"/>
        <v>No requiere</v>
      </c>
      <c r="EM708" s="87" t="str">
        <f t="shared" si="855"/>
        <v>No requiere</v>
      </c>
      <c r="EN708" s="87" t="str">
        <f t="shared" si="856"/>
        <v>No requiere</v>
      </c>
      <c r="EO708" s="71"/>
      <c r="EP708" s="84" t="str">
        <f t="shared" si="857"/>
        <v>No requiere</v>
      </c>
      <c r="EQ708" s="88" t="str">
        <f t="shared" si="858"/>
        <v>No requiere</v>
      </c>
      <c r="ER708" s="71"/>
      <c r="ES708" s="79"/>
      <c r="ET708" s="84" t="str">
        <f t="shared" si="859"/>
        <v>No requiere</v>
      </c>
      <c r="EU708" s="84" t="str">
        <f t="shared" si="860"/>
        <v>No requiere</v>
      </c>
      <c r="EV708" s="84" t="str">
        <f t="shared" si="861"/>
        <v>No requiere</v>
      </c>
      <c r="EW708" s="84" t="str">
        <f t="shared" si="862"/>
        <v>No requiere</v>
      </c>
      <c r="EX708" s="78"/>
      <c r="EY708" s="78"/>
      <c r="EZ708" s="179"/>
      <c r="FA708" s="179"/>
    </row>
    <row r="709" spans="1:157" s="190" customFormat="1" ht="63" customHeight="1">
      <c r="A709" s="79" t="str">
        <v/>
      </c>
      <c r="B709" s="80" t="s">
        <v>4964</v>
      </c>
      <c r="C709" s="81">
        <v>45483</v>
      </c>
      <c r="D709" s="82">
        <v>0.33333333333333331</v>
      </c>
      <c r="E709" s="79" t="s">
        <v>151</v>
      </c>
      <c r="F709" s="79" t="s">
        <v>152</v>
      </c>
      <c r="G709" s="79" t="s">
        <v>153</v>
      </c>
      <c r="H709" s="79" t="s">
        <v>152</v>
      </c>
      <c r="I709" s="79" t="s">
        <v>152</v>
      </c>
      <c r="J709" s="79" t="s">
        <v>2153</v>
      </c>
      <c r="K709" s="79" t="s">
        <v>202</v>
      </c>
      <c r="L709" s="80" t="s">
        <v>4965</v>
      </c>
      <c r="M709" s="80" t="s">
        <v>624</v>
      </c>
      <c r="N709" s="79" t="s">
        <v>265</v>
      </c>
      <c r="O709" s="80" t="str">
        <f t="shared" si="844"/>
        <v>Ana María Ulloa, Mónica Lyzeth Cantor, Freddy Martínez, Angie Sandoval</v>
      </c>
      <c r="P709" s="79" t="s">
        <v>522</v>
      </c>
      <c r="Q709" s="79" t="s">
        <v>346</v>
      </c>
      <c r="R709" s="79" t="s">
        <v>3049</v>
      </c>
      <c r="S709" s="79" t="s">
        <v>4898</v>
      </c>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t="s">
        <v>578</v>
      </c>
      <c r="AP709" s="79" t="s">
        <v>3481</v>
      </c>
      <c r="AQ709" s="80" t="s">
        <v>4966</v>
      </c>
      <c r="AR709" s="83" t="s">
        <v>4967</v>
      </c>
      <c r="AS709" s="80" t="s">
        <v>4968</v>
      </c>
      <c r="AT709" s="80" t="str">
        <f t="shared" ref="AT709" si="864">_xlfn.TEXTJOIN(", ",TRUE,$AU709:$AY709)</f>
        <v>Distrital</v>
      </c>
      <c r="AU709" s="79" t="s">
        <v>172</v>
      </c>
      <c r="AV709" s="79"/>
      <c r="AW709" s="79"/>
      <c r="AX709" s="79"/>
      <c r="AY709" s="79"/>
      <c r="AZ709" s="79"/>
      <c r="BA709" s="80" t="str">
        <f t="shared" si="562"/>
        <v>Distrital</v>
      </c>
      <c r="BB709" s="79" t="s">
        <v>172</v>
      </c>
      <c r="BC709" s="79"/>
      <c r="BD709" s="79"/>
      <c r="BE709" s="79"/>
      <c r="BF709" s="79"/>
      <c r="BG709" s="79"/>
      <c r="BH709" s="80" t="str">
        <f t="shared" si="563"/>
        <v>Distrital</v>
      </c>
      <c r="BI709" s="79" t="s">
        <v>172</v>
      </c>
      <c r="BJ709" s="79"/>
      <c r="BK709" s="79"/>
      <c r="BL709" s="79"/>
      <c r="BM709" s="79"/>
      <c r="BN709" s="79"/>
      <c r="BO709" s="79"/>
      <c r="BP709" s="79"/>
      <c r="BQ709" s="79"/>
      <c r="BR709" s="79"/>
      <c r="BS709" s="80" t="s">
        <v>288</v>
      </c>
      <c r="BT709" s="80" t="s">
        <v>174</v>
      </c>
      <c r="BU709" s="80" t="s">
        <v>2907</v>
      </c>
      <c r="BV709" s="71"/>
      <c r="BW709" s="79" t="s">
        <v>152</v>
      </c>
      <c r="BX709" s="79" t="s">
        <v>179</v>
      </c>
      <c r="BY709" s="71"/>
      <c r="BZ709" s="79">
        <v>2</v>
      </c>
      <c r="CA709" s="79">
        <v>5</v>
      </c>
      <c r="CB709" s="79">
        <f t="shared" si="845"/>
        <v>7</v>
      </c>
      <c r="CC709" s="79" t="str">
        <f t="shared" si="382"/>
        <v>Ninguna</v>
      </c>
      <c r="CD709" s="79" t="s">
        <v>174</v>
      </c>
      <c r="CE709" s="79"/>
      <c r="CF709" s="79"/>
      <c r="CG709" s="83" t="s">
        <v>4969</v>
      </c>
      <c r="CH709" s="41"/>
      <c r="CI709" s="79" t="s">
        <v>153</v>
      </c>
      <c r="CJ709" s="71"/>
      <c r="CK709" s="79">
        <f t="shared" si="846"/>
        <v>0</v>
      </c>
      <c r="CL709" s="79"/>
      <c r="CM709" s="79"/>
      <c r="CN709" s="79"/>
      <c r="CO709" s="79"/>
      <c r="CP709" s="79"/>
      <c r="CQ709" s="79"/>
      <c r="CR709" s="83" t="s">
        <v>179</v>
      </c>
      <c r="CS709" s="83" t="s">
        <v>179</v>
      </c>
      <c r="CT709" s="83" t="s">
        <v>179</v>
      </c>
      <c r="CU709" s="83" t="s">
        <v>179</v>
      </c>
      <c r="CV709" s="83" t="s">
        <v>179</v>
      </c>
      <c r="CW709" s="83" t="s">
        <v>179</v>
      </c>
      <c r="CX709" s="79" t="s">
        <v>153</v>
      </c>
      <c r="CY709" s="79">
        <f t="shared" si="847"/>
        <v>0</v>
      </c>
      <c r="CZ709" s="79">
        <v>0</v>
      </c>
      <c r="DA709" s="79">
        <f t="shared" si="848"/>
        <v>0</v>
      </c>
      <c r="DB709" s="84" t="str">
        <f t="shared" si="849"/>
        <v/>
      </c>
      <c r="DC709" s="41"/>
      <c r="DD709" s="79" t="s">
        <v>153</v>
      </c>
      <c r="DE709" s="71"/>
      <c r="DF709" s="160" t="s">
        <v>4970</v>
      </c>
      <c r="DG709" s="79">
        <v>696</v>
      </c>
      <c r="DH709" s="86" t="str">
        <f t="shared" si="850"/>
        <v>Completo</v>
      </c>
      <c r="DI709" s="79" t="s">
        <v>181</v>
      </c>
      <c r="DJ709" s="79" t="s">
        <v>182</v>
      </c>
      <c r="DK709" s="79"/>
      <c r="DL709" s="79">
        <v>0</v>
      </c>
      <c r="DM709" s="79">
        <v>0</v>
      </c>
      <c r="DN709" s="79" t="s">
        <v>182</v>
      </c>
      <c r="DO709" s="79"/>
      <c r="DP709" s="79"/>
      <c r="DQ709" s="79"/>
      <c r="DR709" s="75" t="str">
        <f t="shared" si="851"/>
        <v>No aplica</v>
      </c>
      <c r="DS709" s="79"/>
      <c r="DT709" s="79"/>
      <c r="DU709" s="75" t="str">
        <f t="shared" si="852"/>
        <v>No aplica</v>
      </c>
      <c r="DV709" s="79" t="s">
        <v>182</v>
      </c>
      <c r="DW709" s="79"/>
      <c r="DX709" s="79"/>
      <c r="DY709" s="79"/>
      <c r="DZ709" s="79"/>
      <c r="EA709" s="79"/>
      <c r="EB709" s="79"/>
      <c r="EC709" s="79"/>
      <c r="ED709" s="79" t="s">
        <v>4971</v>
      </c>
      <c r="EE709" s="79" t="str">
        <f t="shared" si="853"/>
        <v>Completo</v>
      </c>
      <c r="EF709" s="41"/>
      <c r="EG709" s="79" t="s">
        <v>153</v>
      </c>
      <c r="EH709" s="71"/>
      <c r="EI709" s="80"/>
      <c r="EJ709" s="71"/>
      <c r="EK709" s="79"/>
      <c r="EL709" s="87" t="str">
        <f t="shared" si="854"/>
        <v>No requiere</v>
      </c>
      <c r="EM709" s="87" t="str">
        <f t="shared" si="855"/>
        <v>No requiere</v>
      </c>
      <c r="EN709" s="87" t="str">
        <f t="shared" si="856"/>
        <v>No requiere</v>
      </c>
      <c r="EO709" s="71"/>
      <c r="EP709" s="84" t="str">
        <f t="shared" si="857"/>
        <v>No requiere</v>
      </c>
      <c r="EQ709" s="88" t="str">
        <f t="shared" si="858"/>
        <v>No requiere</v>
      </c>
      <c r="ER709" s="71"/>
      <c r="ES709" s="79"/>
      <c r="ET709" s="84" t="str">
        <f t="shared" si="859"/>
        <v>No requiere</v>
      </c>
      <c r="EU709" s="84" t="str">
        <f t="shared" si="860"/>
        <v>No requiere</v>
      </c>
      <c r="EV709" s="84" t="str">
        <f t="shared" si="861"/>
        <v>No requiere</v>
      </c>
      <c r="EW709" s="84" t="str">
        <f t="shared" si="862"/>
        <v>No requiere</v>
      </c>
      <c r="EX709" s="78"/>
      <c r="EY709" s="78"/>
      <c r="EZ709" s="179"/>
      <c r="FA709" s="179"/>
    </row>
    <row r="710" spans="1:157" s="190" customFormat="1" ht="66.75" customHeight="1">
      <c r="A710" s="79">
        <v>706</v>
      </c>
      <c r="B710" s="80" t="s">
        <v>4972</v>
      </c>
      <c r="C710" s="81">
        <v>45483</v>
      </c>
      <c r="D710" s="82">
        <v>0.35416666666666669</v>
      </c>
      <c r="E710" s="79" t="s">
        <v>200</v>
      </c>
      <c r="F710" s="79" t="s">
        <v>153</v>
      </c>
      <c r="G710" s="79" t="s">
        <v>152</v>
      </c>
      <c r="H710" s="79" t="s">
        <v>152</v>
      </c>
      <c r="I710" s="79" t="s">
        <v>152</v>
      </c>
      <c r="J710" s="79" t="s">
        <v>504</v>
      </c>
      <c r="K710" s="79" t="s">
        <v>155</v>
      </c>
      <c r="L710" s="80" t="s">
        <v>4973</v>
      </c>
      <c r="M710" s="80" t="s">
        <v>624</v>
      </c>
      <c r="N710" s="79" t="s">
        <v>1387</v>
      </c>
      <c r="O710" s="80" t="str">
        <f t="shared" si="836"/>
        <v/>
      </c>
      <c r="P710" s="79"/>
      <c r="Q710" s="79"/>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t="s">
        <v>169</v>
      </c>
      <c r="AP710" s="79" t="s">
        <v>2702</v>
      </c>
      <c r="AQ710" s="80" t="s">
        <v>2954</v>
      </c>
      <c r="AR710" s="83" t="s">
        <v>4974</v>
      </c>
      <c r="AS710" s="80" t="s">
        <v>2017</v>
      </c>
      <c r="AT710" s="80" t="str">
        <f t="shared" si="545"/>
        <v>Teusaquillo</v>
      </c>
      <c r="AU710" s="79" t="s">
        <v>1004</v>
      </c>
      <c r="AV710" s="79"/>
      <c r="AW710" s="79"/>
      <c r="AX710" s="79"/>
      <c r="AY710" s="79"/>
      <c r="AZ710" s="79"/>
      <c r="BA710" s="80" t="str">
        <f t="shared" si="562"/>
        <v>Centro Ampliado</v>
      </c>
      <c r="BB710" s="79" t="s">
        <v>636</v>
      </c>
      <c r="BC710" s="79"/>
      <c r="BD710" s="79"/>
      <c r="BE710" s="79"/>
      <c r="BF710" s="79"/>
      <c r="BG710" s="79"/>
      <c r="BH710" s="80" t="str">
        <f t="shared" si="563"/>
        <v>Teusaquillo</v>
      </c>
      <c r="BI710" s="79" t="s">
        <v>1004</v>
      </c>
      <c r="BJ710" s="79"/>
      <c r="BK710" s="79"/>
      <c r="BL710" s="79"/>
      <c r="BM710" s="79"/>
      <c r="BN710" s="79"/>
      <c r="BO710" s="79"/>
      <c r="BP710" s="79"/>
      <c r="BQ710" s="79"/>
      <c r="BR710" s="79"/>
      <c r="BS710" s="80" t="s">
        <v>2518</v>
      </c>
      <c r="BT710" s="80" t="s">
        <v>174</v>
      </c>
      <c r="BU710" s="80" t="s">
        <v>4975</v>
      </c>
      <c r="BV710" s="71"/>
      <c r="BW710" s="79" t="s">
        <v>152</v>
      </c>
      <c r="BX710" s="79" t="s">
        <v>179</v>
      </c>
      <c r="BY710" s="71"/>
      <c r="BZ710" s="79">
        <v>15</v>
      </c>
      <c r="CA710" s="79">
        <v>0</v>
      </c>
      <c r="CB710" s="79">
        <f t="shared" si="717"/>
        <v>15</v>
      </c>
      <c r="CC710" s="79" t="str">
        <f t="shared" si="382"/>
        <v>Ninguna</v>
      </c>
      <c r="CD710" s="79" t="s">
        <v>174</v>
      </c>
      <c r="CE710" s="79"/>
      <c r="CF710" s="79"/>
      <c r="CG710" s="83" t="s">
        <v>4976</v>
      </c>
      <c r="CH710" s="41"/>
      <c r="CI710" s="79" t="s">
        <v>153</v>
      </c>
      <c r="CJ710" s="71"/>
      <c r="CK710" s="79">
        <f t="shared" si="718"/>
        <v>0</v>
      </c>
      <c r="CL710" s="79"/>
      <c r="CM710" s="79"/>
      <c r="CN710" s="79"/>
      <c r="CO710" s="79"/>
      <c r="CP710" s="79"/>
      <c r="CQ710" s="79"/>
      <c r="CR710" s="83" t="s">
        <v>179</v>
      </c>
      <c r="CS710" s="83" t="s">
        <v>179</v>
      </c>
      <c r="CT710" s="83" t="s">
        <v>179</v>
      </c>
      <c r="CU710" s="83" t="s">
        <v>179</v>
      </c>
      <c r="CV710" s="83" t="s">
        <v>179</v>
      </c>
      <c r="CW710" s="83" t="s">
        <v>179</v>
      </c>
      <c r="CX710" s="79" t="s">
        <v>153</v>
      </c>
      <c r="CY710" s="79">
        <f t="shared" si="719"/>
        <v>0</v>
      </c>
      <c r="CZ710" s="79">
        <v>0</v>
      </c>
      <c r="DA710" s="79">
        <f t="shared" si="720"/>
        <v>0</v>
      </c>
      <c r="DB710" s="84" t="str">
        <f t="shared" si="721"/>
        <v/>
      </c>
      <c r="DC710" s="41"/>
      <c r="DD710" s="79" t="s">
        <v>153</v>
      </c>
      <c r="DE710" s="71"/>
      <c r="DF710" s="127" t="s">
        <v>4977</v>
      </c>
      <c r="DG710" s="79">
        <v>697</v>
      </c>
      <c r="DH710" s="86" t="str">
        <f t="shared" si="837"/>
        <v>Completo</v>
      </c>
      <c r="DI710" s="79" t="s">
        <v>181</v>
      </c>
      <c r="DJ710" s="79" t="s">
        <v>182</v>
      </c>
      <c r="DK710" s="79"/>
      <c r="DL710" s="79">
        <v>0</v>
      </c>
      <c r="DM710" s="79">
        <v>0</v>
      </c>
      <c r="DN710" s="79" t="s">
        <v>182</v>
      </c>
      <c r="DO710" s="79"/>
      <c r="DP710" s="79"/>
      <c r="DQ710" s="79"/>
      <c r="DR710" s="75" t="str">
        <f t="shared" si="576"/>
        <v>No aplica</v>
      </c>
      <c r="DS710" s="79"/>
      <c r="DT710" s="79"/>
      <c r="DU710" s="75" t="str">
        <f t="shared" si="577"/>
        <v>No aplica</v>
      </c>
      <c r="DV710" s="79" t="s">
        <v>182</v>
      </c>
      <c r="DW710" s="79" t="s">
        <v>182</v>
      </c>
      <c r="DX710" s="79"/>
      <c r="DY710" s="79"/>
      <c r="DZ710" s="79"/>
      <c r="EA710" s="79"/>
      <c r="EB710" s="79"/>
      <c r="EC710" s="79"/>
      <c r="ED710" s="79" t="s">
        <v>3866</v>
      </c>
      <c r="EE710" s="79" t="str">
        <f t="shared" si="723"/>
        <v>Completo</v>
      </c>
      <c r="EF710" s="41"/>
      <c r="EG710" s="79" t="s">
        <v>153</v>
      </c>
      <c r="EH710" s="71"/>
      <c r="EI710" s="80"/>
      <c r="EJ710" s="71"/>
      <c r="EK710" s="79"/>
      <c r="EL710" s="87" t="str">
        <f t="shared" si="838"/>
        <v>No requiere</v>
      </c>
      <c r="EM710" s="87" t="str">
        <f t="shared" si="839"/>
        <v>No requiere</v>
      </c>
      <c r="EN710" s="87" t="str">
        <f t="shared" si="724"/>
        <v>No requiere</v>
      </c>
      <c r="EO710" s="71"/>
      <c r="EP710" s="84" t="str">
        <f t="shared" si="840"/>
        <v>No requiere</v>
      </c>
      <c r="EQ710" s="88" t="str">
        <f t="shared" si="841"/>
        <v>No requiere</v>
      </c>
      <c r="ER710" s="71"/>
      <c r="ES710" s="79"/>
      <c r="ET710" s="84" t="str">
        <f t="shared" si="842"/>
        <v>No requiere</v>
      </c>
      <c r="EU710" s="84" t="str">
        <f t="shared" si="725"/>
        <v>No requiere</v>
      </c>
      <c r="EV710" s="84" t="str">
        <f t="shared" si="843"/>
        <v>No requiere</v>
      </c>
      <c r="EW710" s="84" t="str">
        <f t="shared" si="581"/>
        <v>No requiere</v>
      </c>
      <c r="EX710" s="78"/>
      <c r="EY710" s="78"/>
      <c r="EZ710" s="179"/>
      <c r="FA710" s="179"/>
    </row>
    <row r="711" spans="1:157" s="190" customFormat="1" ht="66.75" customHeight="1">
      <c r="A711" s="79">
        <v>707</v>
      </c>
      <c r="B711" s="80" t="s">
        <v>1007</v>
      </c>
      <c r="C711" s="81">
        <v>45483</v>
      </c>
      <c r="D711" s="82">
        <v>0.375</v>
      </c>
      <c r="E711" s="79" t="s">
        <v>200</v>
      </c>
      <c r="F711" s="79" t="s">
        <v>153</v>
      </c>
      <c r="G711" s="79" t="s">
        <v>152</v>
      </c>
      <c r="H711" s="79" t="s">
        <v>152</v>
      </c>
      <c r="I711" s="79" t="s">
        <v>152</v>
      </c>
      <c r="J711" s="79" t="s">
        <v>504</v>
      </c>
      <c r="K711" s="79" t="s">
        <v>155</v>
      </c>
      <c r="L711" s="80" t="s">
        <v>1008</v>
      </c>
      <c r="M711" s="80" t="s">
        <v>624</v>
      </c>
      <c r="N711" s="79" t="s">
        <v>645</v>
      </c>
      <c r="O711" s="80" t="str">
        <f t="shared" si="836"/>
        <v/>
      </c>
      <c r="P711" s="79"/>
      <c r="Q711" s="79"/>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t="s">
        <v>169</v>
      </c>
      <c r="AP711" s="79" t="s">
        <v>2702</v>
      </c>
      <c r="AQ711" s="80" t="s">
        <v>4978</v>
      </c>
      <c r="AR711" s="83" t="s">
        <v>4088</v>
      </c>
      <c r="AS711" s="80" t="s">
        <v>4089</v>
      </c>
      <c r="AT711" s="80" t="str">
        <f t="shared" si="545"/>
        <v>Usme</v>
      </c>
      <c r="AU711" s="79" t="s">
        <v>1009</v>
      </c>
      <c r="AV711" s="79"/>
      <c r="AW711" s="79"/>
      <c r="AX711" s="79"/>
      <c r="AY711" s="79"/>
      <c r="AZ711" s="79"/>
      <c r="BA711" s="80" t="str">
        <f t="shared" si="562"/>
        <v>Suroriente</v>
      </c>
      <c r="BB711" s="79" t="s">
        <v>218</v>
      </c>
      <c r="BC711" s="79"/>
      <c r="BD711" s="79"/>
      <c r="BE711" s="79"/>
      <c r="BF711" s="79"/>
      <c r="BG711" s="79"/>
      <c r="BH711" s="80" t="str">
        <f t="shared" si="563"/>
        <v>Usme Entrenubes</v>
      </c>
      <c r="BI711" s="79" t="s">
        <v>1010</v>
      </c>
      <c r="BJ711" s="79"/>
      <c r="BK711" s="79"/>
      <c r="BL711" s="79"/>
      <c r="BM711" s="79"/>
      <c r="BN711" s="79"/>
      <c r="BO711" s="79"/>
      <c r="BP711" s="79"/>
      <c r="BQ711" s="79"/>
      <c r="BR711" s="79"/>
      <c r="BS711" s="80" t="s">
        <v>4979</v>
      </c>
      <c r="BT711" s="80" t="s">
        <v>174</v>
      </c>
      <c r="BU711" s="80" t="s">
        <v>4980</v>
      </c>
      <c r="BV711" s="71"/>
      <c r="BW711" s="79" t="s">
        <v>152</v>
      </c>
      <c r="BX711" s="79" t="s">
        <v>179</v>
      </c>
      <c r="BY711" s="71"/>
      <c r="BZ711" s="79">
        <v>11</v>
      </c>
      <c r="CA711" s="79">
        <v>0</v>
      </c>
      <c r="CB711" s="79">
        <f t="shared" si="717"/>
        <v>11</v>
      </c>
      <c r="CC711" s="79" t="str">
        <f t="shared" si="382"/>
        <v>Ninguna</v>
      </c>
      <c r="CD711" s="79" t="s">
        <v>174</v>
      </c>
      <c r="CE711" s="79"/>
      <c r="CF711" s="79"/>
      <c r="CG711" s="83" t="s">
        <v>4981</v>
      </c>
      <c r="CH711" s="41"/>
      <c r="CI711" s="79" t="s">
        <v>153</v>
      </c>
      <c r="CJ711" s="71"/>
      <c r="CK711" s="79">
        <f t="shared" si="718"/>
        <v>0</v>
      </c>
      <c r="CL711" s="79"/>
      <c r="CM711" s="79"/>
      <c r="CN711" s="79"/>
      <c r="CO711" s="79"/>
      <c r="CP711" s="79"/>
      <c r="CQ711" s="79"/>
      <c r="CR711" s="83" t="s">
        <v>179</v>
      </c>
      <c r="CS711" s="83" t="s">
        <v>179</v>
      </c>
      <c r="CT711" s="83" t="s">
        <v>179</v>
      </c>
      <c r="CU711" s="83" t="s">
        <v>179</v>
      </c>
      <c r="CV711" s="83" t="s">
        <v>179</v>
      </c>
      <c r="CW711" s="83" t="s">
        <v>179</v>
      </c>
      <c r="CX711" s="79" t="s">
        <v>153</v>
      </c>
      <c r="CY711" s="79">
        <f t="shared" si="719"/>
        <v>0</v>
      </c>
      <c r="CZ711" s="79">
        <v>0</v>
      </c>
      <c r="DA711" s="79">
        <f t="shared" si="720"/>
        <v>0</v>
      </c>
      <c r="DB711" s="84" t="str">
        <f t="shared" si="721"/>
        <v/>
      </c>
      <c r="DC711" s="41"/>
      <c r="DD711" s="79" t="s">
        <v>153</v>
      </c>
      <c r="DE711" s="71"/>
      <c r="DF711" s="127" t="s">
        <v>4977</v>
      </c>
      <c r="DG711" s="79">
        <v>698</v>
      </c>
      <c r="DH711" s="86" t="str">
        <f t="shared" si="837"/>
        <v>Completo</v>
      </c>
      <c r="DI711" s="79" t="s">
        <v>181</v>
      </c>
      <c r="DJ711" s="79" t="s">
        <v>182</v>
      </c>
      <c r="DK711" s="79"/>
      <c r="DL711" s="79">
        <v>0</v>
      </c>
      <c r="DM711" s="79">
        <v>0</v>
      </c>
      <c r="DN711" s="79" t="s">
        <v>182</v>
      </c>
      <c r="DO711" s="79"/>
      <c r="DP711" s="79"/>
      <c r="DQ711" s="79"/>
      <c r="DR711" s="75" t="str">
        <f t="shared" si="576"/>
        <v>No aplica</v>
      </c>
      <c r="DS711" s="79"/>
      <c r="DT711" s="79"/>
      <c r="DU711" s="75" t="str">
        <f t="shared" si="577"/>
        <v>No aplica</v>
      </c>
      <c r="DV711" s="79" t="s">
        <v>182</v>
      </c>
      <c r="DW711" s="79" t="s">
        <v>182</v>
      </c>
      <c r="DX711" s="79"/>
      <c r="DY711" s="79"/>
      <c r="DZ711" s="79"/>
      <c r="EA711" s="79"/>
      <c r="EB711" s="79" t="s">
        <v>182</v>
      </c>
      <c r="EC711" s="79" t="s">
        <v>4982</v>
      </c>
      <c r="ED711" s="79" t="s">
        <v>3732</v>
      </c>
      <c r="EE711" s="79" t="str">
        <f t="shared" si="723"/>
        <v>Completo</v>
      </c>
      <c r="EF711" s="41"/>
      <c r="EG711" s="79" t="s">
        <v>153</v>
      </c>
      <c r="EH711" s="71"/>
      <c r="EI711" s="80"/>
      <c r="EJ711" s="71"/>
      <c r="EK711" s="79"/>
      <c r="EL711" s="87" t="str">
        <f t="shared" si="838"/>
        <v>No requiere</v>
      </c>
      <c r="EM711" s="87" t="str">
        <f t="shared" si="839"/>
        <v>No requiere</v>
      </c>
      <c r="EN711" s="87" t="str">
        <f t="shared" si="724"/>
        <v>No requiere</v>
      </c>
      <c r="EO711" s="71"/>
      <c r="EP711" s="84" t="str">
        <f t="shared" si="840"/>
        <v>No requiere</v>
      </c>
      <c r="EQ711" s="88" t="str">
        <f t="shared" si="841"/>
        <v>No requiere</v>
      </c>
      <c r="ER711" s="71"/>
      <c r="ES711" s="79"/>
      <c r="ET711" s="84" t="str">
        <f t="shared" si="842"/>
        <v>No requiere</v>
      </c>
      <c r="EU711" s="84" t="str">
        <f t="shared" si="725"/>
        <v>No requiere</v>
      </c>
      <c r="EV711" s="84" t="str">
        <f t="shared" si="843"/>
        <v>No requiere</v>
      </c>
      <c r="EW711" s="84" t="str">
        <f t="shared" si="581"/>
        <v>No requiere</v>
      </c>
      <c r="EX711" s="78"/>
      <c r="EY711" s="78"/>
      <c r="EZ711" s="179"/>
      <c r="FA711" s="179"/>
    </row>
    <row r="712" spans="1:157" s="190" customFormat="1" ht="46.5" customHeight="1">
      <c r="A712" s="79" t="str">
        <v/>
      </c>
      <c r="B712" s="80" t="s">
        <v>4983</v>
      </c>
      <c r="C712" s="81">
        <v>45483</v>
      </c>
      <c r="D712" s="82">
        <v>0.58333333333333337</v>
      </c>
      <c r="E712" s="79" t="s">
        <v>151</v>
      </c>
      <c r="F712" s="79" t="s">
        <v>152</v>
      </c>
      <c r="G712" s="79" t="s">
        <v>152</v>
      </c>
      <c r="H712" s="79" t="s">
        <v>152</v>
      </c>
      <c r="I712" s="79" t="s">
        <v>152</v>
      </c>
      <c r="J712" s="79" t="s">
        <v>251</v>
      </c>
      <c r="K712" s="79" t="s">
        <v>155</v>
      </c>
      <c r="L712" s="80" t="s">
        <v>4984</v>
      </c>
      <c r="M712" s="80" t="s">
        <v>157</v>
      </c>
      <c r="N712" s="79" t="s">
        <v>924</v>
      </c>
      <c r="O712" s="80" t="str">
        <f t="shared" si="836"/>
        <v>Nestor Jecfrid Sánchez, Reinaldo Terrios Andrade, Renata Rengifo Moyano, Mónica Lyzeth Cantor, Camilo Andrés Vásquez, Luis Fernando Barreto , William Jair Gil, Nicolas Esteban Hernández</v>
      </c>
      <c r="P712" s="79" t="s">
        <v>965</v>
      </c>
      <c r="Q712" s="79" t="s">
        <v>675</v>
      </c>
      <c r="R712" s="79" t="s">
        <v>1066</v>
      </c>
      <c r="S712" s="79" t="s">
        <v>346</v>
      </c>
      <c r="T712" s="79" t="s">
        <v>373</v>
      </c>
      <c r="U712" s="79" t="s">
        <v>720</v>
      </c>
      <c r="V712" s="79" t="s">
        <v>862</v>
      </c>
      <c r="W712" s="79" t="s">
        <v>645</v>
      </c>
      <c r="X712" s="79"/>
      <c r="Y712" s="79"/>
      <c r="Z712" s="79"/>
      <c r="AA712" s="79"/>
      <c r="AB712" s="79"/>
      <c r="AC712" s="79"/>
      <c r="AD712" s="79"/>
      <c r="AE712" s="79"/>
      <c r="AF712" s="79"/>
      <c r="AG712" s="79"/>
      <c r="AH712" s="79"/>
      <c r="AI712" s="79"/>
      <c r="AJ712" s="79"/>
      <c r="AK712" s="79"/>
      <c r="AL712" s="79"/>
      <c r="AM712" s="79"/>
      <c r="AN712" s="79"/>
      <c r="AO712" s="79" t="s">
        <v>169</v>
      </c>
      <c r="AP712" s="79" t="s">
        <v>170</v>
      </c>
      <c r="AQ712" s="80" t="s">
        <v>171</v>
      </c>
      <c r="AR712" s="83" t="s">
        <v>171</v>
      </c>
      <c r="AS712" s="80" t="s">
        <v>171</v>
      </c>
      <c r="AT712" s="80" t="str">
        <f t="shared" si="545"/>
        <v>Distrital</v>
      </c>
      <c r="AU712" s="79" t="s">
        <v>172</v>
      </c>
      <c r="AV712" s="79"/>
      <c r="AW712" s="79"/>
      <c r="AX712" s="79"/>
      <c r="AY712" s="79"/>
      <c r="AZ712" s="79"/>
      <c r="BA712" s="80" t="str">
        <f t="shared" si="562"/>
        <v>Distrital</v>
      </c>
      <c r="BB712" s="79" t="s">
        <v>172</v>
      </c>
      <c r="BC712" s="79"/>
      <c r="BD712" s="79"/>
      <c r="BE712" s="79"/>
      <c r="BF712" s="79"/>
      <c r="BG712" s="79"/>
      <c r="BH712" s="80" t="str">
        <f t="shared" si="563"/>
        <v>Distrital</v>
      </c>
      <c r="BI712" s="79" t="s">
        <v>172</v>
      </c>
      <c r="BJ712" s="79"/>
      <c r="BK712" s="79"/>
      <c r="BL712" s="79"/>
      <c r="BM712" s="79"/>
      <c r="BN712" s="79"/>
      <c r="BO712" s="79"/>
      <c r="BP712" s="79"/>
      <c r="BQ712" s="79"/>
      <c r="BR712" s="79"/>
      <c r="BS712" s="80" t="s">
        <v>288</v>
      </c>
      <c r="BT712" s="80" t="s">
        <v>174</v>
      </c>
      <c r="BU712" s="80" t="s">
        <v>4985</v>
      </c>
      <c r="BV712" s="71"/>
      <c r="BW712" s="79" t="s">
        <v>152</v>
      </c>
      <c r="BX712" s="79" t="s">
        <v>179</v>
      </c>
      <c r="BY712" s="71"/>
      <c r="BZ712" s="79">
        <v>0</v>
      </c>
      <c r="CA712" s="79">
        <v>12</v>
      </c>
      <c r="CB712" s="79">
        <f t="shared" si="717"/>
        <v>12</v>
      </c>
      <c r="CC712" s="79" t="str">
        <f t="shared" si="382"/>
        <v>Ninguna</v>
      </c>
      <c r="CD712" s="79" t="s">
        <v>174</v>
      </c>
      <c r="CE712" s="79"/>
      <c r="CF712" s="79"/>
      <c r="CG712" s="83" t="s">
        <v>4986</v>
      </c>
      <c r="CH712" s="41"/>
      <c r="CI712" s="79" t="s">
        <v>153</v>
      </c>
      <c r="CJ712" s="71"/>
      <c r="CK712" s="79">
        <f t="shared" si="718"/>
        <v>0</v>
      </c>
      <c r="CL712" s="79"/>
      <c r="CM712" s="79"/>
      <c r="CN712" s="79"/>
      <c r="CO712" s="79"/>
      <c r="CP712" s="79"/>
      <c r="CQ712" s="79"/>
      <c r="CR712" s="83" t="s">
        <v>179</v>
      </c>
      <c r="CS712" s="83" t="s">
        <v>179</v>
      </c>
      <c r="CT712" s="83" t="s">
        <v>179</v>
      </c>
      <c r="CU712" s="83" t="s">
        <v>179</v>
      </c>
      <c r="CV712" s="83" t="s">
        <v>179</v>
      </c>
      <c r="CW712" s="83" t="s">
        <v>179</v>
      </c>
      <c r="CX712" s="79" t="s">
        <v>153</v>
      </c>
      <c r="CY712" s="79">
        <f t="shared" si="719"/>
        <v>0</v>
      </c>
      <c r="CZ712" s="79">
        <v>0</v>
      </c>
      <c r="DA712" s="79">
        <f t="shared" si="720"/>
        <v>0</v>
      </c>
      <c r="DB712" s="84" t="str">
        <f t="shared" si="721"/>
        <v/>
      </c>
      <c r="DC712" s="41"/>
      <c r="DD712" s="79" t="s">
        <v>153</v>
      </c>
      <c r="DE712" s="71"/>
      <c r="DF712" s="127" t="s">
        <v>4987</v>
      </c>
      <c r="DG712" s="79">
        <v>699</v>
      </c>
      <c r="DH712" s="86" t="str">
        <f t="shared" si="837"/>
        <v>Completo</v>
      </c>
      <c r="DI712" s="79" t="s">
        <v>181</v>
      </c>
      <c r="DJ712" s="79" t="s">
        <v>182</v>
      </c>
      <c r="DK712" s="79"/>
      <c r="DL712" s="79">
        <v>0</v>
      </c>
      <c r="DM712" s="79">
        <v>0</v>
      </c>
      <c r="DN712" s="79" t="s">
        <v>182</v>
      </c>
      <c r="DO712" s="79"/>
      <c r="DP712" s="79"/>
      <c r="DQ712" s="79"/>
      <c r="DR712" s="75" t="str">
        <f t="shared" si="576"/>
        <v>No aplica</v>
      </c>
      <c r="DS712" s="79"/>
      <c r="DT712" s="79"/>
      <c r="DU712" s="75" t="str">
        <f t="shared" si="577"/>
        <v>No aplica</v>
      </c>
      <c r="DV712" s="79" t="s">
        <v>182</v>
      </c>
      <c r="DW712" s="79" t="s">
        <v>182</v>
      </c>
      <c r="DX712" s="79"/>
      <c r="DY712" s="79"/>
      <c r="DZ712" s="79"/>
      <c r="EA712" s="79"/>
      <c r="EB712" s="79"/>
      <c r="EC712" s="79"/>
      <c r="ED712" s="79" t="s">
        <v>4988</v>
      </c>
      <c r="EE712" s="79" t="str">
        <f t="shared" si="723"/>
        <v>Completo</v>
      </c>
      <c r="EF712" s="41"/>
      <c r="EG712" s="79" t="s">
        <v>153</v>
      </c>
      <c r="EH712" s="71"/>
      <c r="EI712" s="80"/>
      <c r="EJ712" s="71"/>
      <c r="EK712" s="79"/>
      <c r="EL712" s="87" t="str">
        <f t="shared" si="838"/>
        <v>No requiere</v>
      </c>
      <c r="EM712" s="87" t="str">
        <f t="shared" si="839"/>
        <v>No requiere</v>
      </c>
      <c r="EN712" s="87" t="str">
        <f t="shared" si="724"/>
        <v>No requiere</v>
      </c>
      <c r="EO712" s="71"/>
      <c r="EP712" s="84" t="str">
        <f t="shared" si="840"/>
        <v>No requiere</v>
      </c>
      <c r="EQ712" s="88" t="str">
        <f t="shared" si="841"/>
        <v>No requiere</v>
      </c>
      <c r="ER712" s="71"/>
      <c r="ES712" s="79"/>
      <c r="ET712" s="84" t="str">
        <f t="shared" si="842"/>
        <v>No requiere</v>
      </c>
      <c r="EU712" s="84" t="str">
        <f t="shared" si="725"/>
        <v>No requiere</v>
      </c>
      <c r="EV712" s="84" t="str">
        <f t="shared" si="843"/>
        <v>No requiere</v>
      </c>
      <c r="EW712" s="84" t="str">
        <f t="shared" si="581"/>
        <v>No requiere</v>
      </c>
      <c r="EX712" s="78"/>
      <c r="EY712" s="78"/>
      <c r="EZ712" s="179"/>
      <c r="FA712" s="179"/>
    </row>
    <row r="713" spans="1:157" s="190" customFormat="1" ht="46.5" customHeight="1">
      <c r="A713" s="79" t="str">
        <v/>
      </c>
      <c r="B713" s="80" t="s">
        <v>4989</v>
      </c>
      <c r="C713" s="81">
        <v>45483</v>
      </c>
      <c r="D713" s="82">
        <v>0.6875</v>
      </c>
      <c r="E713" s="79" t="s">
        <v>151</v>
      </c>
      <c r="F713" s="79" t="s">
        <v>152</v>
      </c>
      <c r="G713" s="79" t="s">
        <v>152</v>
      </c>
      <c r="H713" s="79" t="s">
        <v>152</v>
      </c>
      <c r="I713" s="79" t="s">
        <v>152</v>
      </c>
      <c r="J713" s="79" t="s">
        <v>251</v>
      </c>
      <c r="K713" s="79" t="s">
        <v>202</v>
      </c>
      <c r="L713" s="80" t="s">
        <v>4990</v>
      </c>
      <c r="M713" s="80" t="s">
        <v>157</v>
      </c>
      <c r="N713" s="79" t="s">
        <v>632</v>
      </c>
      <c r="O713" s="80" t="str">
        <f t="shared" si="836"/>
        <v>Mónica Lyzeth Cantor</v>
      </c>
      <c r="P713" s="79" t="s">
        <v>346</v>
      </c>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t="s">
        <v>169</v>
      </c>
      <c r="AP713" s="79" t="s">
        <v>170</v>
      </c>
      <c r="AQ713" s="80" t="s">
        <v>4991</v>
      </c>
      <c r="AR713" s="83" t="s">
        <v>4992</v>
      </c>
      <c r="AS713" s="80" t="s">
        <v>4993</v>
      </c>
      <c r="AT713" s="80" t="str">
        <f t="shared" si="545"/>
        <v>Distrital</v>
      </c>
      <c r="AU713" s="79" t="s">
        <v>172</v>
      </c>
      <c r="AV713" s="79"/>
      <c r="AW713" s="79"/>
      <c r="AX713" s="79"/>
      <c r="AY713" s="79"/>
      <c r="AZ713" s="79"/>
      <c r="BA713" s="80" t="str">
        <f t="shared" si="562"/>
        <v>Distrital</v>
      </c>
      <c r="BB713" s="79" t="s">
        <v>172</v>
      </c>
      <c r="BC713" s="79"/>
      <c r="BD713" s="79"/>
      <c r="BE713" s="79"/>
      <c r="BF713" s="79"/>
      <c r="BG713" s="79"/>
      <c r="BH713" s="80" t="str">
        <f t="shared" si="563"/>
        <v>Distrital</v>
      </c>
      <c r="BI713" s="79" t="s">
        <v>172</v>
      </c>
      <c r="BJ713" s="79"/>
      <c r="BK713" s="79"/>
      <c r="BL713" s="79"/>
      <c r="BM713" s="79"/>
      <c r="BN713" s="79"/>
      <c r="BO713" s="79"/>
      <c r="BP713" s="79"/>
      <c r="BQ713" s="79"/>
      <c r="BR713" s="79"/>
      <c r="BS713" s="80" t="s">
        <v>288</v>
      </c>
      <c r="BT713" s="80" t="s">
        <v>2617</v>
      </c>
      <c r="BU713" s="80" t="s">
        <v>2907</v>
      </c>
      <c r="BV713" s="71"/>
      <c r="BW713" s="79" t="s">
        <v>152</v>
      </c>
      <c r="BX713" s="79" t="s">
        <v>179</v>
      </c>
      <c r="BY713" s="71"/>
      <c r="BZ713" s="79">
        <v>0</v>
      </c>
      <c r="CA713" s="79">
        <v>3</v>
      </c>
      <c r="CB713" s="79">
        <f t="shared" si="717"/>
        <v>3</v>
      </c>
      <c r="CC713" s="79" t="str">
        <f t="shared" si="382"/>
        <v>Ninguna</v>
      </c>
      <c r="CD713" s="79" t="s">
        <v>174</v>
      </c>
      <c r="CE713" s="79"/>
      <c r="CF713" s="79"/>
      <c r="CG713" s="83" t="s">
        <v>4994</v>
      </c>
      <c r="CH713" s="41"/>
      <c r="CI713" s="79" t="s">
        <v>153</v>
      </c>
      <c r="CJ713" s="71"/>
      <c r="CK713" s="79">
        <f t="shared" si="718"/>
        <v>0</v>
      </c>
      <c r="CL713" s="79"/>
      <c r="CM713" s="79"/>
      <c r="CN713" s="79"/>
      <c r="CO713" s="79"/>
      <c r="CP713" s="79"/>
      <c r="CQ713" s="79"/>
      <c r="CR713" s="83" t="s">
        <v>1545</v>
      </c>
      <c r="CS713" s="83" t="s">
        <v>1545</v>
      </c>
      <c r="CT713" s="83" t="s">
        <v>1545</v>
      </c>
      <c r="CU713" s="83" t="s">
        <v>1545</v>
      </c>
      <c r="CV713" s="83" t="s">
        <v>1545</v>
      </c>
      <c r="CW713" s="83" t="s">
        <v>1545</v>
      </c>
      <c r="CX713" s="79" t="s">
        <v>153</v>
      </c>
      <c r="CY713" s="79">
        <f t="shared" si="719"/>
        <v>0</v>
      </c>
      <c r="CZ713" s="79">
        <v>0</v>
      </c>
      <c r="DA713" s="79">
        <f t="shared" si="720"/>
        <v>0</v>
      </c>
      <c r="DB713" s="84" t="str">
        <f t="shared" si="721"/>
        <v/>
      </c>
      <c r="DC713" s="41"/>
      <c r="DD713" s="79" t="s">
        <v>153</v>
      </c>
      <c r="DE713" s="71"/>
      <c r="DF713" s="127" t="s">
        <v>4995</v>
      </c>
      <c r="DG713" s="79">
        <v>700</v>
      </c>
      <c r="DH713" s="86" t="str">
        <f t="shared" si="837"/>
        <v>Completo</v>
      </c>
      <c r="DI713" s="79" t="s">
        <v>181</v>
      </c>
      <c r="DJ713" s="79" t="s">
        <v>182</v>
      </c>
      <c r="DK713" s="79"/>
      <c r="DL713" s="79">
        <v>0</v>
      </c>
      <c r="DM713" s="79">
        <v>0</v>
      </c>
      <c r="DN713" s="79"/>
      <c r="DO713" s="79"/>
      <c r="DP713" s="79"/>
      <c r="DQ713" s="79"/>
      <c r="DR713" s="75" t="str">
        <f t="shared" si="576"/>
        <v>No aplica</v>
      </c>
      <c r="DS713" s="79"/>
      <c r="DT713" s="79"/>
      <c r="DU713" s="75" t="str">
        <f t="shared" si="577"/>
        <v>No aplica</v>
      </c>
      <c r="DV713" s="79" t="s">
        <v>182</v>
      </c>
      <c r="DW713" s="79"/>
      <c r="DX713" s="79"/>
      <c r="DY713" s="79"/>
      <c r="DZ713" s="79"/>
      <c r="EA713" s="79"/>
      <c r="EB713" s="79"/>
      <c r="EC713" s="79"/>
      <c r="ED713" s="79" t="s">
        <v>4996</v>
      </c>
      <c r="EE713" s="79" t="str">
        <f t="shared" si="723"/>
        <v>Completo</v>
      </c>
      <c r="EF713" s="41"/>
      <c r="EG713" s="79" t="s">
        <v>153</v>
      </c>
      <c r="EH713" s="71"/>
      <c r="EI713" s="80"/>
      <c r="EJ713" s="71"/>
      <c r="EK713" s="79"/>
      <c r="EL713" s="87" t="str">
        <f t="shared" si="838"/>
        <v>No requiere</v>
      </c>
      <c r="EM713" s="87" t="str">
        <f t="shared" si="839"/>
        <v>No requiere</v>
      </c>
      <c r="EN713" s="87" t="str">
        <f t="shared" si="724"/>
        <v>No requiere</v>
      </c>
      <c r="EO713" s="71"/>
      <c r="EP713" s="84" t="str">
        <f t="shared" si="840"/>
        <v>No requiere</v>
      </c>
      <c r="EQ713" s="88" t="str">
        <f t="shared" si="841"/>
        <v>No requiere</v>
      </c>
      <c r="ER713" s="71"/>
      <c r="ES713" s="79"/>
      <c r="ET713" s="84" t="str">
        <f t="shared" si="842"/>
        <v>No requiere</v>
      </c>
      <c r="EU713" s="84" t="str">
        <f t="shared" si="725"/>
        <v>No requiere</v>
      </c>
      <c r="EV713" s="84" t="str">
        <f t="shared" si="843"/>
        <v>No requiere</v>
      </c>
      <c r="EW713" s="84" t="str">
        <f t="shared" si="581"/>
        <v>No requiere</v>
      </c>
      <c r="EX713" s="78"/>
      <c r="EY713" s="78"/>
      <c r="EZ713" s="179"/>
      <c r="FA713" s="179"/>
    </row>
    <row r="714" spans="1:157" s="190" customFormat="1" ht="63" customHeight="1">
      <c r="A714" s="79">
        <v>710</v>
      </c>
      <c r="B714" s="80" t="s">
        <v>4997</v>
      </c>
      <c r="C714" s="81">
        <v>45483</v>
      </c>
      <c r="D714" s="82">
        <v>0.70833333333333337</v>
      </c>
      <c r="E714" s="79" t="s">
        <v>151</v>
      </c>
      <c r="F714" s="79" t="s">
        <v>153</v>
      </c>
      <c r="G714" s="79" t="s">
        <v>153</v>
      </c>
      <c r="H714" s="79" t="s">
        <v>152</v>
      </c>
      <c r="I714" s="79" t="s">
        <v>152</v>
      </c>
      <c r="J714" s="79" t="s">
        <v>3999</v>
      </c>
      <c r="K714" s="79" t="s">
        <v>155</v>
      </c>
      <c r="L714" s="80" t="s">
        <v>4998</v>
      </c>
      <c r="M714" s="80" t="s">
        <v>241</v>
      </c>
      <c r="N714" s="79" t="s">
        <v>924</v>
      </c>
      <c r="O714" s="80" t="str">
        <f>_xlfn.TEXTJOIN(", ",TRUE,P714:AN714)</f>
        <v>Nestor Jecfrid Sánchez, Reinaldo Terrios Andrade, Renata Rengifo Moyano</v>
      </c>
      <c r="P714" s="79" t="s">
        <v>965</v>
      </c>
      <c r="Q714" s="79" t="s">
        <v>675</v>
      </c>
      <c r="R714" s="79" t="s">
        <v>1066</v>
      </c>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t="s">
        <v>304</v>
      </c>
      <c r="AP714" s="79"/>
      <c r="AQ714" s="80" t="s">
        <v>171</v>
      </c>
      <c r="AR714" s="83" t="s">
        <v>171</v>
      </c>
      <c r="AS714" s="80" t="s">
        <v>171</v>
      </c>
      <c r="AT714" s="80" t="str">
        <f>_xlfn.TEXTJOIN(", ",TRUE,$AU714:$AY714)</f>
        <v>Kennedy</v>
      </c>
      <c r="AU714" s="79" t="s">
        <v>731</v>
      </c>
      <c r="AV714" s="79"/>
      <c r="AW714" s="79"/>
      <c r="AX714" s="79"/>
      <c r="AY714" s="79"/>
      <c r="AZ714" s="79"/>
      <c r="BA714" s="80" t="str">
        <f>_xlfn.TEXTJOIN(", ",TRUE,$BB714:$BG714)</f>
        <v>Suroccidente</v>
      </c>
      <c r="BB714" s="79" t="s">
        <v>732</v>
      </c>
      <c r="BC714" s="79"/>
      <c r="BD714" s="79"/>
      <c r="BE714" s="79"/>
      <c r="BF714" s="79"/>
      <c r="BG714" s="79"/>
      <c r="BH714" s="80" t="str">
        <f>_xlfn.TEXTJOIN(", ",TRUE,$BI714:$BR714)</f>
        <v>Kennedy, Patio Bonito</v>
      </c>
      <c r="BI714" s="79" t="s">
        <v>731</v>
      </c>
      <c r="BJ714" s="79" t="s">
        <v>967</v>
      </c>
      <c r="BK714" s="79"/>
      <c r="BL714" s="79"/>
      <c r="BM714" s="79"/>
      <c r="BN714" s="79"/>
      <c r="BO714" s="79"/>
      <c r="BP714" s="79"/>
      <c r="BQ714" s="79"/>
      <c r="BR714" s="79"/>
      <c r="BS714" s="80" t="s">
        <v>288</v>
      </c>
      <c r="BT714" s="80" t="s">
        <v>174</v>
      </c>
      <c r="BU714" s="80" t="s">
        <v>4999</v>
      </c>
      <c r="BV714" s="71"/>
      <c r="BW714" s="79" t="s">
        <v>152</v>
      </c>
      <c r="BX714" s="79" t="s">
        <v>179</v>
      </c>
      <c r="BY714" s="71"/>
      <c r="BZ714" s="79">
        <v>7</v>
      </c>
      <c r="CA714" s="79">
        <v>5</v>
      </c>
      <c r="CB714" s="79">
        <f>BZ714+CA714</f>
        <v>12</v>
      </c>
      <c r="CC714" s="79" t="str">
        <f>_xlfn.TEXTJOIN(", ",TRUE,$CD714:$CF714)</f>
        <v>Ninguna</v>
      </c>
      <c r="CD714" s="79" t="s">
        <v>174</v>
      </c>
      <c r="CE714" s="79"/>
      <c r="CF714" s="79"/>
      <c r="CG714" s="83" t="s">
        <v>5000</v>
      </c>
      <c r="CH714" s="41"/>
      <c r="CI714" s="79" t="s">
        <v>153</v>
      </c>
      <c r="CJ714" s="71"/>
      <c r="CK714" s="79">
        <f>COUNTIF(CL714:CQ714,"*")</f>
        <v>0</v>
      </c>
      <c r="CL714" s="79"/>
      <c r="CM714" s="79"/>
      <c r="CN714" s="79"/>
      <c r="CO714" s="79"/>
      <c r="CP714" s="79"/>
      <c r="CQ714" s="79"/>
      <c r="CR714" s="83" t="s">
        <v>179</v>
      </c>
      <c r="CS714" s="83" t="s">
        <v>179</v>
      </c>
      <c r="CT714" s="83" t="s">
        <v>179</v>
      </c>
      <c r="CU714" s="83" t="s">
        <v>179</v>
      </c>
      <c r="CV714" s="83" t="s">
        <v>179</v>
      </c>
      <c r="CW714" s="83" t="s">
        <v>179</v>
      </c>
      <c r="CX714" s="79" t="s">
        <v>153</v>
      </c>
      <c r="CY714" s="79">
        <f>SUM(COUNTIF(CR714:CW714,"Realizado y Devuelto a la Ciudadanía"),COUNTIF(CR714:CW714,"Realizado y Trasladado por competencia"), COUNTIF(CR714:CW714,"Realizado y Gestionado"))</f>
        <v>0</v>
      </c>
      <c r="CZ714" s="79">
        <v>0</v>
      </c>
      <c r="DA714" s="79">
        <f>COUNTIF(CR714:CW714,"Realizado y Devuelto a la Ciudadanía")</f>
        <v>0</v>
      </c>
      <c r="DB714" s="84" t="str">
        <f>IFERROR(CY714/CK714,"")</f>
        <v/>
      </c>
      <c r="DC714" s="41"/>
      <c r="DD714" s="79" t="s">
        <v>153</v>
      </c>
      <c r="DE714" s="71"/>
      <c r="DF714" s="127" t="s">
        <v>5001</v>
      </c>
      <c r="DG714" s="79">
        <v>701</v>
      </c>
      <c r="DH714" s="86" t="str">
        <f>IF(EE714="Por completar",C714+3,"Completo")</f>
        <v>Completo</v>
      </c>
      <c r="DI714" s="79" t="s">
        <v>181</v>
      </c>
      <c r="DJ714" s="79" t="s">
        <v>182</v>
      </c>
      <c r="DK714" s="79"/>
      <c r="DL714" s="79">
        <v>0</v>
      </c>
      <c r="DM714" s="79">
        <v>0</v>
      </c>
      <c r="DN714" s="79" t="s">
        <v>182</v>
      </c>
      <c r="DO714" s="79"/>
      <c r="DP714" s="79"/>
      <c r="DQ714" s="79"/>
      <c r="DR714" s="75" t="str">
        <f>IF(H714="SÍ", (DQ714/(BZ714*0.3)), "No aplica")</f>
        <v>No aplica</v>
      </c>
      <c r="DS714" s="79"/>
      <c r="DT714" s="79"/>
      <c r="DU714" s="75" t="str">
        <f>IF(H714="SÍ", (DT714/(BZ714*0.35)), "No aplica")</f>
        <v>No aplica</v>
      </c>
      <c r="DV714" s="79" t="s">
        <v>182</v>
      </c>
      <c r="DW714" s="79"/>
      <c r="DX714" s="79"/>
      <c r="DY714" s="79"/>
      <c r="DZ714" s="79"/>
      <c r="EA714" s="79"/>
      <c r="EB714" s="79"/>
      <c r="EC714" s="79"/>
      <c r="ED714" s="79" t="s">
        <v>3732</v>
      </c>
      <c r="EE714" s="79" t="str">
        <f>IF(DI714="Subsanado","Completo","Por Completar")</f>
        <v>Completo</v>
      </c>
      <c r="EF714" s="41"/>
      <c r="EG714" s="79" t="s">
        <v>153</v>
      </c>
      <c r="EH714" s="71"/>
      <c r="EI714" s="80"/>
      <c r="EJ714" s="71"/>
      <c r="EK714" s="79"/>
      <c r="EL714" s="87" t="str">
        <f>IF(F714="NO","No requiere",IF(H714="No","No requiere",IF(DW714="","",IF(DW714&lt;&gt;"No aplica",IF(DX714&lt;&gt;"No aplica",IF(DX714&gt;=2,"Sí","No"),"No aplica"),"No aplica"))))</f>
        <v>No requiere</v>
      </c>
      <c r="EM714" s="87" t="str">
        <f>IF(F714="NO","No requiere",IF(H714="No","No requiere",IF(DW714="","",IF(DW714&lt;&gt;"No aplica",IF(DY714&lt;&gt;"No aplica",IF(DY714&gt;=1,"Sí","No"),"No aplica"),"No aplica"))))</f>
        <v>No requiere</v>
      </c>
      <c r="EN714" s="87" t="str">
        <f>IF(F714="NO","No requiere",IF(H714="No","No requiere",IF(CC714="","",IF(CD714&lt;&gt;"No aplica",IF(CD714&lt;&gt;"Ninguna",IF(COUNTIF(CD714:CF714,"*")&gt;=1,"Sí","No"),"No"),"No aplica"))))</f>
        <v>No requiere</v>
      </c>
      <c r="EO714" s="71"/>
      <c r="EP714" s="84" t="str">
        <f>IF(F714="NO","No requiere",IF(H714="No","No requiere",IF(DL714="","",IF(DL714&gt;=1,DM714/DL714,"No aplica"))))</f>
        <v>No requiere</v>
      </c>
      <c r="EQ714" s="88" t="str">
        <f>IFERROR(IF(F714="NO","No requiere",IF(H714="No","No requiere",DU714)),"")</f>
        <v>No requiere</v>
      </c>
      <c r="ER714" s="71"/>
      <c r="ES714" s="79"/>
      <c r="ET714" s="84" t="str">
        <f>IF(F714="NO","No requiere",IF(H714="No","No requiere",IFERROR(COUNTIF(DJ714:DW714,"Completo")/SUM(COUNTIF(DJ714:DW714,"Completo"),COUNTIF(DJ714:DW714,"Incompleto"),COUNTIF(DJ714:DW714,"No subido"),COUNTIF(DJ714:DW714,"No existente"),COUNTIF(DJ714:DW714,"Pendiente")),"")))</f>
        <v>No requiere</v>
      </c>
      <c r="EU714" s="84" t="str">
        <f>IF(F714="NO","No requiere",IF(H714="No","No requiere",IF(B714="","",IF(CX714="SÍ",IF(CK714&gt;=1,CY714/CK714,"Sin compromisos"),"Por verificar"))))</f>
        <v>No requiere</v>
      </c>
      <c r="EV714" s="84" t="str">
        <f>IF(EU714="Por verificar","Por verificar",IF(F714="NO","No requiere",IF(H714="No","No requiere",IFERROR(IF(EU714="","",IF(CK714&gt;=1,DA714/CZ714,"No aplica")),"No aplica"))))</f>
        <v>No requiere</v>
      </c>
      <c r="EW714" s="84" t="str">
        <f>IF(F714="NO","No requiere",IF(H714="No","No requiere",IFERROR(IF(BZ714="","",IF(EA714&lt;&gt;"No aplica",IF(EA714&gt;=1,DO714/EA714,"0%"),"No aplica")),"")))</f>
        <v>No requiere</v>
      </c>
      <c r="EX714" s="78"/>
      <c r="EY714" s="78"/>
      <c r="EZ714" s="179"/>
      <c r="FA714" s="179"/>
    </row>
    <row r="715" spans="1:157" ht="46.5" customHeight="1">
      <c r="A715" s="79">
        <v>711</v>
      </c>
      <c r="B715" s="80" t="s">
        <v>5002</v>
      </c>
      <c r="C715" s="81">
        <v>45484</v>
      </c>
      <c r="D715" s="82">
        <v>0.29166666666666669</v>
      </c>
      <c r="E715" s="79" t="s">
        <v>151</v>
      </c>
      <c r="F715" s="79" t="s">
        <v>153</v>
      </c>
      <c r="G715" s="79" t="s">
        <v>153</v>
      </c>
      <c r="H715" s="79" t="s">
        <v>152</v>
      </c>
      <c r="I715" s="79" t="s">
        <v>152</v>
      </c>
      <c r="J715" s="79" t="s">
        <v>1711</v>
      </c>
      <c r="K715" s="79" t="s">
        <v>155</v>
      </c>
      <c r="L715" s="80" t="s">
        <v>5003</v>
      </c>
      <c r="M715" s="80" t="s">
        <v>157</v>
      </c>
      <c r="N715" s="79" t="s">
        <v>887</v>
      </c>
      <c r="O715" s="80" t="str">
        <f>_xlfn.TEXTJOIN(", ",TRUE,P715:AN715)</f>
        <v>Yeiker Guerra Sarmiento</v>
      </c>
      <c r="P715" s="79" t="s">
        <v>163</v>
      </c>
      <c r="Q715" s="79"/>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t="s">
        <v>169</v>
      </c>
      <c r="AP715" s="79" t="s">
        <v>170</v>
      </c>
      <c r="AQ715" s="80" t="s">
        <v>1192</v>
      </c>
      <c r="AR715" s="83" t="s">
        <v>5004</v>
      </c>
      <c r="AS715" s="80" t="s">
        <v>5005</v>
      </c>
      <c r="AT715" s="80" t="str">
        <f>_xlfn.TEXTJOIN(", ",TRUE,$AU715:$AY715)</f>
        <v>Distrital</v>
      </c>
      <c r="AU715" s="79" t="s">
        <v>172</v>
      </c>
      <c r="AV715" s="79"/>
      <c r="AW715" s="79"/>
      <c r="AX715" s="79"/>
      <c r="AY715" s="79"/>
      <c r="AZ715" s="79"/>
      <c r="BA715" s="80" t="str">
        <f>_xlfn.TEXTJOIN(", ",TRUE,$BB715:$BG715)</f>
        <v>Distrital</v>
      </c>
      <c r="BB715" s="79" t="s">
        <v>172</v>
      </c>
      <c r="BC715" s="79"/>
      <c r="BD715" s="79"/>
      <c r="BE715" s="79"/>
      <c r="BF715" s="79"/>
      <c r="BG715" s="79"/>
      <c r="BH715" s="80" t="str">
        <f>_xlfn.TEXTJOIN(", ",TRUE,$BI715:$BR715)</f>
        <v>Distrital</v>
      </c>
      <c r="BI715" s="79" t="s">
        <v>172</v>
      </c>
      <c r="BJ715" s="79"/>
      <c r="BK715" s="79"/>
      <c r="BL715" s="79"/>
      <c r="BM715" s="79"/>
      <c r="BN715" s="79"/>
      <c r="BO715" s="79"/>
      <c r="BP715" s="79"/>
      <c r="BQ715" s="79"/>
      <c r="BR715" s="79"/>
      <c r="BS715" s="80" t="s">
        <v>5006</v>
      </c>
      <c r="BT715" s="80" t="s">
        <v>174</v>
      </c>
      <c r="BU715" s="128" t="s">
        <v>3931</v>
      </c>
      <c r="BV715" s="71"/>
      <c r="BW715" s="79" t="s">
        <v>152</v>
      </c>
      <c r="BX715" s="79" t="s">
        <v>179</v>
      </c>
      <c r="BY715" s="71"/>
      <c r="BZ715" s="79">
        <v>2</v>
      </c>
      <c r="CA715" s="79">
        <v>2</v>
      </c>
      <c r="CB715" s="79">
        <f>BZ715+CA715</f>
        <v>4</v>
      </c>
      <c r="CC715" s="79" t="str">
        <f>_xlfn.TEXTJOIN(", ",TRUE,$CD715:$CF715)</f>
        <v>Ninguna</v>
      </c>
      <c r="CD715" s="79" t="s">
        <v>174</v>
      </c>
      <c r="CE715" s="79"/>
      <c r="CF715" s="79"/>
      <c r="CG715" s="83" t="s">
        <v>5007</v>
      </c>
      <c r="CH715" s="41"/>
      <c r="CI715" s="79" t="s">
        <v>153</v>
      </c>
      <c r="CJ715" s="71"/>
      <c r="CK715" s="79">
        <f>COUNTIF(CL715:CQ715,"*")</f>
        <v>0</v>
      </c>
      <c r="CL715" s="79"/>
      <c r="CM715" s="79"/>
      <c r="CN715" s="79"/>
      <c r="CO715" s="79"/>
      <c r="CP715" s="79"/>
      <c r="CQ715" s="79"/>
      <c r="CR715" s="83" t="s">
        <v>1545</v>
      </c>
      <c r="CS715" s="83" t="s">
        <v>1545</v>
      </c>
      <c r="CT715" s="83" t="s">
        <v>1545</v>
      </c>
      <c r="CU715" s="83" t="s">
        <v>1545</v>
      </c>
      <c r="CV715" s="83" t="s">
        <v>1545</v>
      </c>
      <c r="CW715" s="83" t="s">
        <v>1545</v>
      </c>
      <c r="CX715" s="79" t="s">
        <v>153</v>
      </c>
      <c r="CY715" s="79">
        <f>SUM(COUNTIF(CR715:CW715,"Realizado y Devuelto a la Ciudadanía"),COUNTIF(CR715:CW715,"Realizado y Trasladado por competencia"), COUNTIF(CR715:CW715,"Realizado y Gestionado"))</f>
        <v>0</v>
      </c>
      <c r="CZ715" s="79">
        <v>0</v>
      </c>
      <c r="DA715" s="79">
        <f>COUNTIF(CR715:CW715,"Realizado y Devuelto a la Ciudadanía")</f>
        <v>0</v>
      </c>
      <c r="DB715" s="84" t="str">
        <f>IFERROR(CY715/CK715,"")</f>
        <v/>
      </c>
      <c r="DC715" s="41"/>
      <c r="DD715" s="79" t="s">
        <v>153</v>
      </c>
      <c r="DE715" s="71"/>
      <c r="DF715" s="127" t="s">
        <v>5008</v>
      </c>
      <c r="DG715" s="79">
        <v>702</v>
      </c>
      <c r="DH715" s="86" t="str">
        <f>IF(EE715="Por completar",C715+3,"Completo")</f>
        <v>Completo</v>
      </c>
      <c r="DI715" s="79" t="s">
        <v>181</v>
      </c>
      <c r="DJ715" s="79" t="s">
        <v>182</v>
      </c>
      <c r="DK715" s="79"/>
      <c r="DL715" s="79">
        <v>0</v>
      </c>
      <c r="DM715" s="79">
        <v>0</v>
      </c>
      <c r="DN715" s="79" t="s">
        <v>182</v>
      </c>
      <c r="DO715" s="79"/>
      <c r="DP715" s="79"/>
      <c r="DQ715" s="79"/>
      <c r="DR715" s="75" t="str">
        <f>IF(H715="SÍ", (DQ715/(BZ715*0.3)), "No aplica")</f>
        <v>No aplica</v>
      </c>
      <c r="DS715" s="79"/>
      <c r="DT715" s="79"/>
      <c r="DU715" s="75" t="str">
        <f>IF(H715="SÍ", (DT715/(BZ715*0.35)), "No aplica")</f>
        <v>No aplica</v>
      </c>
      <c r="DV715" s="79" t="s">
        <v>182</v>
      </c>
      <c r="DW715" s="79" t="s">
        <v>182</v>
      </c>
      <c r="DX715" s="79"/>
      <c r="DY715" s="79"/>
      <c r="DZ715" s="79"/>
      <c r="EA715" s="79"/>
      <c r="EB715" s="79"/>
      <c r="EC715" s="79"/>
      <c r="ED715" s="79" t="s">
        <v>4948</v>
      </c>
      <c r="EE715" s="79" t="str">
        <f>IF(DI715="Subsanado","Completo","Por Completar")</f>
        <v>Completo</v>
      </c>
      <c r="EF715" s="41"/>
      <c r="EG715" s="79" t="s">
        <v>153</v>
      </c>
      <c r="EH715" s="71"/>
      <c r="EI715" s="80"/>
      <c r="EJ715" s="71"/>
      <c r="EK715" s="79"/>
      <c r="EL715" s="87" t="str">
        <f>IF(F715="NO","No requiere",IF(H715="No","No requiere",IF(DW715="","",IF(DW715&lt;&gt;"No aplica",IF(DX715&lt;&gt;"No aplica",IF(DX715&gt;=2,"Sí","No"),"No aplica"),"No aplica"))))</f>
        <v>No requiere</v>
      </c>
      <c r="EM715" s="87" t="str">
        <f>IF(F715="NO","No requiere",IF(H715="No","No requiere",IF(DW715="","",IF(DW715&lt;&gt;"No aplica",IF(DY715&lt;&gt;"No aplica",IF(DY715&gt;=1,"Sí","No"),"No aplica"),"No aplica"))))</f>
        <v>No requiere</v>
      </c>
      <c r="EN715" s="87" t="str">
        <f>IF(F715="NO","No requiere",IF(H715="No","No requiere",IF(CC715="","",IF(CD715&lt;&gt;"No aplica",IF(CD715&lt;&gt;"Ninguna",IF(COUNTIF(CD715:CF715,"*")&gt;=1,"Sí","No"),"No"),"No aplica"))))</f>
        <v>No requiere</v>
      </c>
      <c r="EO715" s="71"/>
      <c r="EP715" s="84" t="str">
        <f>IF(F715="NO","No requiere",IF(H715="No","No requiere",IF(DL715="","",IF(DL715&gt;=1,DM715/DL715,"No aplica"))))</f>
        <v>No requiere</v>
      </c>
      <c r="EQ715" s="88" t="str">
        <f>IFERROR(IF(F715="NO","No requiere",IF(H715="No","No requiere",DU715)),"")</f>
        <v>No requiere</v>
      </c>
      <c r="ER715" s="71"/>
      <c r="ES715" s="79"/>
      <c r="ET715" s="84" t="str">
        <f>IF(F715="NO","No requiere",IF(H715="No","No requiere",IFERROR(COUNTIF(DJ715:DW715,"Completo")/SUM(COUNTIF(DJ715:DW715,"Completo"),COUNTIF(DJ715:DW715,"Incompleto"),COUNTIF(DJ715:DW715,"No subido"),COUNTIF(DJ715:DW715,"No existente"),COUNTIF(DJ715:DW715,"Pendiente")),"")))</f>
        <v>No requiere</v>
      </c>
      <c r="EU715" s="84" t="str">
        <f>IF(F715="NO","No requiere",IF(H715="No","No requiere",IF(B715="","",IF(CX715="SÍ",IF(CK715&gt;=1,CY715/CK715,"Sin compromisos"),"Por verificar"))))</f>
        <v>No requiere</v>
      </c>
      <c r="EV715" s="84" t="str">
        <f>IF(EU715="Por verificar","Por verificar",IF(F715="NO","No requiere",IF(H715="No","No requiere",IFERROR(IF(EU715="","",IF(CK715&gt;=1,DA715/CZ715,"No aplica")),"No aplica"))))</f>
        <v>No requiere</v>
      </c>
      <c r="EW715" s="84" t="str">
        <f>IF(F715="NO","No requiere",IF(H715="No","No requiere",IFERROR(IF(BZ715="","",IF(EA715&lt;&gt;"No aplica",IF(EA715&gt;=1,DO715/EA715,"0%"),"No aplica")),"")))</f>
        <v>No requiere</v>
      </c>
      <c r="EX715" s="78"/>
      <c r="EY715" s="78"/>
    </row>
    <row r="716" spans="1:157" ht="46.5" customHeight="1">
      <c r="A716" s="79" t="str">
        <v/>
      </c>
      <c r="B716" s="80" t="s">
        <v>5009</v>
      </c>
      <c r="C716" s="81">
        <v>45484</v>
      </c>
      <c r="D716" s="82">
        <v>0.29166666666666669</v>
      </c>
      <c r="E716" s="79" t="s">
        <v>151</v>
      </c>
      <c r="F716" s="79" t="s">
        <v>152</v>
      </c>
      <c r="G716" s="79" t="s">
        <v>152</v>
      </c>
      <c r="H716" s="79" t="s">
        <v>152</v>
      </c>
      <c r="I716" s="79" t="s">
        <v>152</v>
      </c>
      <c r="J716" s="79" t="s">
        <v>251</v>
      </c>
      <c r="K716" s="79" t="s">
        <v>202</v>
      </c>
      <c r="L716" s="80" t="s">
        <v>4643</v>
      </c>
      <c r="M716" s="80" t="s">
        <v>157</v>
      </c>
      <c r="N716" s="79" t="s">
        <v>328</v>
      </c>
      <c r="O716" s="80" t="str">
        <f t="shared" ref="O716" si="865">_xlfn.TEXTJOIN(", ",TRUE,P716:AN716)</f>
        <v/>
      </c>
      <c r="P716" s="79"/>
      <c r="Q716" s="79"/>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t="s">
        <v>169</v>
      </c>
      <c r="AP716" s="79" t="s">
        <v>170</v>
      </c>
      <c r="AQ716" s="80" t="s">
        <v>171</v>
      </c>
      <c r="AR716" s="83" t="s">
        <v>171</v>
      </c>
      <c r="AS716" s="80" t="s">
        <v>171</v>
      </c>
      <c r="AT716" s="80" t="str">
        <f t="shared" si="545"/>
        <v>Distrital</v>
      </c>
      <c r="AU716" s="79" t="s">
        <v>172</v>
      </c>
      <c r="AV716" s="79"/>
      <c r="AW716" s="79"/>
      <c r="AX716" s="79"/>
      <c r="AY716" s="79"/>
      <c r="AZ716" s="79"/>
      <c r="BA716" s="80" t="str">
        <f>_xlfn.TEXTJOIN(", ",TRUE,$BB716:$BG716)</f>
        <v>Distrital</v>
      </c>
      <c r="BB716" s="79" t="s">
        <v>172</v>
      </c>
      <c r="BC716" s="79"/>
      <c r="BD716" s="79"/>
      <c r="BE716" s="79"/>
      <c r="BF716" s="79"/>
      <c r="BG716" s="79"/>
      <c r="BH716" s="80" t="str">
        <f>_xlfn.TEXTJOIN(", ",TRUE,$BI716:$BR716)</f>
        <v>Distrital</v>
      </c>
      <c r="BI716" s="79" t="s">
        <v>172</v>
      </c>
      <c r="BJ716" s="79"/>
      <c r="BK716" s="79"/>
      <c r="BL716" s="79"/>
      <c r="BM716" s="79"/>
      <c r="BN716" s="79"/>
      <c r="BO716" s="79"/>
      <c r="BP716" s="79"/>
      <c r="BQ716" s="79"/>
      <c r="BR716" s="79"/>
      <c r="BS716" s="80" t="s">
        <v>288</v>
      </c>
      <c r="BT716" s="80" t="s">
        <v>1798</v>
      </c>
      <c r="BU716" s="131" t="s">
        <v>3931</v>
      </c>
      <c r="BV716" s="71"/>
      <c r="BW716" s="79" t="s">
        <v>152</v>
      </c>
      <c r="BX716" s="79" t="s">
        <v>179</v>
      </c>
      <c r="BY716" s="71"/>
      <c r="BZ716" s="79">
        <v>0</v>
      </c>
      <c r="CA716" s="79">
        <v>20</v>
      </c>
      <c r="CB716" s="79">
        <f t="shared" ref="CB716" si="866">BZ716+CA716</f>
        <v>20</v>
      </c>
      <c r="CC716" s="79" t="str">
        <f t="shared" si="382"/>
        <v>Ninguna</v>
      </c>
      <c r="CD716" s="79" t="s">
        <v>174</v>
      </c>
      <c r="CE716" s="79"/>
      <c r="CF716" s="79"/>
      <c r="CG716" s="83" t="s">
        <v>5010</v>
      </c>
      <c r="CH716" s="41"/>
      <c r="CI716" s="79" t="s">
        <v>153</v>
      </c>
      <c r="CJ716" s="71"/>
      <c r="CK716" s="79">
        <f t="shared" ref="CK716" si="867">COUNTIF(CL716:CQ716,"*")</f>
        <v>0</v>
      </c>
      <c r="CL716" s="79"/>
      <c r="CM716" s="79"/>
      <c r="CN716" s="79"/>
      <c r="CO716" s="79"/>
      <c r="CP716" s="79"/>
      <c r="CQ716" s="79"/>
      <c r="CR716" s="83" t="s">
        <v>179</v>
      </c>
      <c r="CS716" s="83" t="s">
        <v>179</v>
      </c>
      <c r="CT716" s="83" t="s">
        <v>179</v>
      </c>
      <c r="CU716" s="83" t="s">
        <v>179</v>
      </c>
      <c r="CV716" s="83" t="s">
        <v>179</v>
      </c>
      <c r="CW716" s="83" t="s">
        <v>179</v>
      </c>
      <c r="CX716" s="79" t="s">
        <v>153</v>
      </c>
      <c r="CY716" s="79">
        <f t="shared" ref="CY716" si="868">SUM(COUNTIF(CR716:CW716,"Realizado y Devuelto a la Ciudadanía"),COUNTIF(CR716:CW716,"Realizado y Trasladado por competencia"), COUNTIF(CR716:CW716,"Realizado y Gestionado"))</f>
        <v>0</v>
      </c>
      <c r="CZ716" s="79">
        <v>0</v>
      </c>
      <c r="DA716" s="79">
        <f t="shared" ref="DA716" si="869">COUNTIF(CR716:CW716,"Realizado y Devuelto a la Ciudadanía")</f>
        <v>0</v>
      </c>
      <c r="DB716" s="84" t="str">
        <f t="shared" ref="DB716" si="870">IFERROR(CY716/CK716,"")</f>
        <v/>
      </c>
      <c r="DC716" s="41"/>
      <c r="DD716" s="79" t="s">
        <v>153</v>
      </c>
      <c r="DE716" s="71"/>
      <c r="DF716" s="127" t="s">
        <v>5011</v>
      </c>
      <c r="DG716" s="79">
        <v>703</v>
      </c>
      <c r="DH716" s="86" t="str">
        <f t="shared" ref="DH716" si="871">IF(EE716="Por completar",C716+3,"Completo")</f>
        <v>Completo</v>
      </c>
      <c r="DI716" s="79" t="s">
        <v>181</v>
      </c>
      <c r="DJ716" s="79" t="s">
        <v>182</v>
      </c>
      <c r="DK716" s="79"/>
      <c r="DL716" s="79">
        <v>0</v>
      </c>
      <c r="DM716" s="79">
        <v>0</v>
      </c>
      <c r="DN716" s="79"/>
      <c r="DO716" s="79"/>
      <c r="DP716" s="79"/>
      <c r="DQ716" s="79"/>
      <c r="DR716" s="75" t="str">
        <f t="shared" ref="DR716" si="872">IF(H716="SÍ", (DQ716/(BZ716*0.3)), "No aplica")</f>
        <v>No aplica</v>
      </c>
      <c r="DS716" s="79"/>
      <c r="DT716" s="79"/>
      <c r="DU716" s="75" t="str">
        <f t="shared" ref="DU716" si="873">IF(H716="SÍ", (DT716/(BZ716*0.35)), "No aplica")</f>
        <v>No aplica</v>
      </c>
      <c r="DV716" s="79" t="s">
        <v>182</v>
      </c>
      <c r="DW716" s="79"/>
      <c r="DX716" s="79"/>
      <c r="DY716" s="79"/>
      <c r="DZ716" s="79"/>
      <c r="EA716" s="79"/>
      <c r="EB716" s="79"/>
      <c r="EC716" s="79"/>
      <c r="ED716" s="79" t="s">
        <v>5012</v>
      </c>
      <c r="EE716" s="79" t="str">
        <f t="shared" ref="EE716" si="874">IF(DI716="Subsanado","Completo","Por Completar")</f>
        <v>Completo</v>
      </c>
      <c r="EF716" s="41"/>
      <c r="EG716" s="79" t="s">
        <v>153</v>
      </c>
      <c r="EH716" s="71"/>
      <c r="EI716" s="80"/>
      <c r="EJ716" s="71"/>
      <c r="EK716" s="79"/>
      <c r="EL716" s="87" t="str">
        <f t="shared" ref="EL716" si="875">IF(F716="NO","No requiere",IF(H716="No","No requiere",IF(DW716="","",IF(DW716&lt;&gt;"No aplica",IF(DX716&lt;&gt;"No aplica",IF(DX716&gt;=2,"Sí","No"),"No aplica"),"No aplica"))))</f>
        <v>No requiere</v>
      </c>
      <c r="EM716" s="87" t="str">
        <f t="shared" ref="EM716" si="876">IF(F716="NO","No requiere",IF(H716="No","No requiere",IF(DW716="","",IF(DW716&lt;&gt;"No aplica",IF(DY716&lt;&gt;"No aplica",IF(DY716&gt;=1,"Sí","No"),"No aplica"),"No aplica"))))</f>
        <v>No requiere</v>
      </c>
      <c r="EN716" s="87" t="str">
        <f t="shared" ref="EN716" si="877">IF(F716="NO","No requiere",IF(H716="No","No requiere",IF(CC716="","",IF(CD716&lt;&gt;"No aplica",IF(CD716&lt;&gt;"Ninguna",IF(COUNTIF(CD716:CF716,"*")&gt;=1,"Sí","No"),"No"),"No aplica"))))</f>
        <v>No requiere</v>
      </c>
      <c r="EO716" s="71"/>
      <c r="EP716" s="84" t="str">
        <f t="shared" ref="EP716" si="878">IF(F716="NO","No requiere",IF(H716="No","No requiere",IF(DL716="","",IF(DL716&gt;=1,DM716/DL716,"No aplica"))))</f>
        <v>No requiere</v>
      </c>
      <c r="EQ716" s="88" t="str">
        <f t="shared" ref="EQ716" si="879">IFERROR(IF(F716="NO","No requiere",IF(H716="No","No requiere",DU716)),"")</f>
        <v>No requiere</v>
      </c>
      <c r="ER716" s="71"/>
      <c r="ES716" s="79"/>
      <c r="ET716" s="84" t="str">
        <f t="shared" ref="ET716" si="880">IF(F716="NO","No requiere",IF(H716="No","No requiere",IFERROR(COUNTIF(DJ716:DW716,"Completo")/SUM(COUNTIF(DJ716:DW716,"Completo"),COUNTIF(DJ716:DW716,"Incompleto"),COUNTIF(DJ716:DW716,"No subido"),COUNTIF(DJ716:DW716,"No existente"),COUNTIF(DJ716:DW716,"Pendiente")),"")))</f>
        <v>No requiere</v>
      </c>
      <c r="EU716" s="84" t="str">
        <f t="shared" ref="EU716" si="881">IF(F716="NO","No requiere",IF(H716="No","No requiere",IF(B716="","",IF(CX716="SÍ",IF(CK716&gt;=1,CY716/CK716,"Sin compromisos"),"Por verificar"))))</f>
        <v>No requiere</v>
      </c>
      <c r="EV716" s="84" t="str">
        <f t="shared" ref="EV716" si="882">IF(EU716="Por verificar","Por verificar",IF(F716="NO","No requiere",IF(H716="No","No requiere",IFERROR(IF(EU716="","",IF(CK716&gt;=1,DA716/CZ716,"No aplica")),"No aplica"))))</f>
        <v>No requiere</v>
      </c>
      <c r="EW716" s="84" t="str">
        <f t="shared" ref="EW716" si="883">IF(F716="NO","No requiere",IF(H716="No","No requiere",IFERROR(IF(BZ716="","",IF(EA716&lt;&gt;"No aplica",IF(EA716&gt;=1,DO716/EA716,"0%"),"No aplica")),"")))</f>
        <v>No requiere</v>
      </c>
      <c r="EX716" s="78"/>
      <c r="EY716" s="78"/>
    </row>
    <row r="717" spans="1:157" s="190" customFormat="1" ht="46.5" customHeight="1">
      <c r="A717" s="79">
        <v>713</v>
      </c>
      <c r="B717" s="80" t="s">
        <v>1052</v>
      </c>
      <c r="C717" s="81">
        <v>45484</v>
      </c>
      <c r="D717" s="82">
        <v>0.35416666666666669</v>
      </c>
      <c r="E717" s="79" t="s">
        <v>200</v>
      </c>
      <c r="F717" s="79" t="s">
        <v>153</v>
      </c>
      <c r="G717" s="79" t="s">
        <v>152</v>
      </c>
      <c r="H717" s="79" t="s">
        <v>152</v>
      </c>
      <c r="I717" s="79" t="s">
        <v>152</v>
      </c>
      <c r="J717" s="79" t="s">
        <v>504</v>
      </c>
      <c r="K717" s="79" t="s">
        <v>155</v>
      </c>
      <c r="L717" s="80" t="s">
        <v>2070</v>
      </c>
      <c r="M717" s="80" t="s">
        <v>624</v>
      </c>
      <c r="N717" s="79" t="s">
        <v>675</v>
      </c>
      <c r="O717" s="80" t="str">
        <f t="shared" si="836"/>
        <v/>
      </c>
      <c r="P717" s="79"/>
      <c r="Q717" s="79"/>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t="s">
        <v>169</v>
      </c>
      <c r="AP717" s="79" t="s">
        <v>2702</v>
      </c>
      <c r="AQ717" s="80" t="s">
        <v>2071</v>
      </c>
      <c r="AR717" s="83" t="s">
        <v>5013</v>
      </c>
      <c r="AS717" s="80" t="s">
        <v>1056</v>
      </c>
      <c r="AT717" s="80" t="str">
        <f t="shared" si="545"/>
        <v>Bosa</v>
      </c>
      <c r="AU717" s="79" t="s">
        <v>730</v>
      </c>
      <c r="AV717" s="79"/>
      <c r="AW717" s="79"/>
      <c r="AX717" s="79"/>
      <c r="AY717" s="79"/>
      <c r="AZ717" s="79"/>
      <c r="BA717" s="80" t="str">
        <f t="shared" si="562"/>
        <v>Suroccidente</v>
      </c>
      <c r="BB717" s="79" t="s">
        <v>732</v>
      </c>
      <c r="BC717" s="79"/>
      <c r="BD717" s="79"/>
      <c r="BE717" s="79"/>
      <c r="BF717" s="79"/>
      <c r="BG717" s="79"/>
      <c r="BH717" s="80" t="str">
        <f t="shared" si="563"/>
        <v>Bosa</v>
      </c>
      <c r="BI717" s="79" t="s">
        <v>730</v>
      </c>
      <c r="BJ717" s="79"/>
      <c r="BK717" s="79"/>
      <c r="BL717" s="79"/>
      <c r="BM717" s="79"/>
      <c r="BN717" s="79"/>
      <c r="BO717" s="79"/>
      <c r="BP717" s="79"/>
      <c r="BQ717" s="79"/>
      <c r="BR717" s="79"/>
      <c r="BS717" s="80" t="s">
        <v>730</v>
      </c>
      <c r="BT717" s="80" t="s">
        <v>174</v>
      </c>
      <c r="BU717" s="80" t="s">
        <v>5014</v>
      </c>
      <c r="BV717" s="71"/>
      <c r="BW717" s="79" t="s">
        <v>152</v>
      </c>
      <c r="BX717" s="79" t="s">
        <v>179</v>
      </c>
      <c r="BY717" s="71"/>
      <c r="BZ717" s="79">
        <v>20</v>
      </c>
      <c r="CA717" s="79">
        <v>1</v>
      </c>
      <c r="CB717" s="79">
        <f t="shared" si="717"/>
        <v>21</v>
      </c>
      <c r="CC717" s="79" t="str">
        <f t="shared" si="382"/>
        <v>Ninguna</v>
      </c>
      <c r="CD717" s="79" t="s">
        <v>174</v>
      </c>
      <c r="CE717" s="79"/>
      <c r="CF717" s="79"/>
      <c r="CG717" s="83" t="s">
        <v>5015</v>
      </c>
      <c r="CH717" s="41"/>
      <c r="CI717" s="79" t="s">
        <v>153</v>
      </c>
      <c r="CJ717" s="71"/>
      <c r="CK717" s="79">
        <f t="shared" si="718"/>
        <v>0</v>
      </c>
      <c r="CL717" s="79"/>
      <c r="CM717" s="79"/>
      <c r="CN717" s="79"/>
      <c r="CO717" s="79"/>
      <c r="CP717" s="79"/>
      <c r="CQ717" s="79"/>
      <c r="CR717" s="83" t="s">
        <v>1545</v>
      </c>
      <c r="CS717" s="83" t="s">
        <v>1545</v>
      </c>
      <c r="CT717" s="83" t="s">
        <v>1545</v>
      </c>
      <c r="CU717" s="83" t="s">
        <v>1545</v>
      </c>
      <c r="CV717" s="83" t="s">
        <v>1545</v>
      </c>
      <c r="CW717" s="83" t="s">
        <v>1545</v>
      </c>
      <c r="CX717" s="79" t="s">
        <v>153</v>
      </c>
      <c r="CY717" s="79">
        <f t="shared" si="719"/>
        <v>0</v>
      </c>
      <c r="CZ717" s="79">
        <v>0</v>
      </c>
      <c r="DA717" s="79">
        <f t="shared" si="720"/>
        <v>0</v>
      </c>
      <c r="DB717" s="84" t="str">
        <f t="shared" si="721"/>
        <v/>
      </c>
      <c r="DC717" s="41"/>
      <c r="DD717" s="79" t="s">
        <v>153</v>
      </c>
      <c r="DE717" s="71"/>
      <c r="DF717" s="127" t="s">
        <v>5016</v>
      </c>
      <c r="DG717" s="79">
        <v>704</v>
      </c>
      <c r="DH717" s="86" t="str">
        <f t="shared" si="837"/>
        <v>Completo</v>
      </c>
      <c r="DI717" s="79" t="s">
        <v>181</v>
      </c>
      <c r="DJ717" s="79" t="s">
        <v>182</v>
      </c>
      <c r="DK717" s="79"/>
      <c r="DL717" s="79">
        <v>0</v>
      </c>
      <c r="DM717" s="79">
        <v>0</v>
      </c>
      <c r="DN717" s="79" t="s">
        <v>182</v>
      </c>
      <c r="DO717" s="79"/>
      <c r="DP717" s="79"/>
      <c r="DQ717" s="79"/>
      <c r="DR717" s="75" t="str">
        <f t="shared" si="576"/>
        <v>No aplica</v>
      </c>
      <c r="DS717" s="79"/>
      <c r="DT717" s="79"/>
      <c r="DU717" s="75" t="str">
        <f t="shared" si="577"/>
        <v>No aplica</v>
      </c>
      <c r="DV717" s="79" t="s">
        <v>182</v>
      </c>
      <c r="DW717" s="79" t="s">
        <v>182</v>
      </c>
      <c r="DX717" s="79"/>
      <c r="DY717" s="79"/>
      <c r="DZ717" s="79"/>
      <c r="EA717" s="79"/>
      <c r="EB717" s="79" t="s">
        <v>191</v>
      </c>
      <c r="EC717" s="79"/>
      <c r="ED717" s="79" t="s">
        <v>3732</v>
      </c>
      <c r="EE717" s="79" t="str">
        <f t="shared" si="723"/>
        <v>Completo</v>
      </c>
      <c r="EF717" s="41"/>
      <c r="EG717" s="79" t="s">
        <v>153</v>
      </c>
      <c r="EH717" s="71"/>
      <c r="EI717" s="80"/>
      <c r="EJ717" s="71"/>
      <c r="EK717" s="79"/>
      <c r="EL717" s="87" t="str">
        <f t="shared" si="838"/>
        <v>No requiere</v>
      </c>
      <c r="EM717" s="87" t="str">
        <f t="shared" si="839"/>
        <v>No requiere</v>
      </c>
      <c r="EN717" s="87" t="str">
        <f t="shared" si="724"/>
        <v>No requiere</v>
      </c>
      <c r="EO717" s="71"/>
      <c r="EP717" s="84" t="str">
        <f t="shared" si="840"/>
        <v>No requiere</v>
      </c>
      <c r="EQ717" s="88" t="str">
        <f t="shared" si="841"/>
        <v>No requiere</v>
      </c>
      <c r="ER717" s="71"/>
      <c r="ES717" s="79"/>
      <c r="ET717" s="84" t="str">
        <f t="shared" si="842"/>
        <v>No requiere</v>
      </c>
      <c r="EU717" s="84" t="str">
        <f t="shared" si="725"/>
        <v>No requiere</v>
      </c>
      <c r="EV717" s="84" t="str">
        <f t="shared" si="843"/>
        <v>No requiere</v>
      </c>
      <c r="EW717" s="84" t="str">
        <f t="shared" si="581"/>
        <v>No requiere</v>
      </c>
      <c r="EX717" s="78"/>
      <c r="EY717" s="78"/>
      <c r="EZ717" s="179"/>
      <c r="FA717" s="179"/>
    </row>
    <row r="718" spans="1:157" s="190" customFormat="1" ht="87" customHeight="1">
      <c r="A718" s="79">
        <v>714</v>
      </c>
      <c r="B718" s="80" t="s">
        <v>5017</v>
      </c>
      <c r="C718" s="81">
        <v>45484</v>
      </c>
      <c r="D718" s="82">
        <v>0.375</v>
      </c>
      <c r="E718" s="79" t="s">
        <v>200</v>
      </c>
      <c r="F718" s="79" t="s">
        <v>153</v>
      </c>
      <c r="G718" s="79" t="s">
        <v>152</v>
      </c>
      <c r="H718" s="79" t="s">
        <v>152</v>
      </c>
      <c r="I718" s="79" t="s">
        <v>152</v>
      </c>
      <c r="J718" s="79" t="s">
        <v>211</v>
      </c>
      <c r="K718" s="79" t="s">
        <v>155</v>
      </c>
      <c r="L718" s="80" t="s">
        <v>5018</v>
      </c>
      <c r="M718" s="80" t="s">
        <v>624</v>
      </c>
      <c r="N718" s="79" t="s">
        <v>888</v>
      </c>
      <c r="O718" s="80" t="str">
        <f>_xlfn.TEXTJOIN(", ",TRUE,P718:AN718)</f>
        <v>Nicolas Esteban Hernández, Carlos Eduardo Escandón</v>
      </c>
      <c r="P718" s="79" t="s">
        <v>645</v>
      </c>
      <c r="Q718" s="79" t="s">
        <v>819</v>
      </c>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t="s">
        <v>230</v>
      </c>
      <c r="AP718" s="79" t="s">
        <v>242</v>
      </c>
      <c r="AQ718" s="80" t="s">
        <v>5019</v>
      </c>
      <c r="AR718" s="83" t="s">
        <v>5020</v>
      </c>
      <c r="AS718" s="80" t="s">
        <v>5021</v>
      </c>
      <c r="AT718" s="80" t="str">
        <f>_xlfn.TEXTJOIN(", ",TRUE,$AU718:$AY718)</f>
        <v>Distrital</v>
      </c>
      <c r="AU718" s="79" t="s">
        <v>172</v>
      </c>
      <c r="AV718" s="79"/>
      <c r="AW718" s="79"/>
      <c r="AX718" s="79"/>
      <c r="AY718" s="79"/>
      <c r="AZ718" s="79"/>
      <c r="BA718" s="80" t="str">
        <f>_xlfn.TEXTJOIN(", ",TRUE,$BB718:$BG718)</f>
        <v>Distrital</v>
      </c>
      <c r="BB718" s="79" t="s">
        <v>172</v>
      </c>
      <c r="BC718" s="79"/>
      <c r="BD718" s="79"/>
      <c r="BE718" s="79"/>
      <c r="BF718" s="79"/>
      <c r="BG718" s="79"/>
      <c r="BH718" s="80" t="str">
        <f>_xlfn.TEXTJOIN(", ",TRUE,$BI718:$BR718)</f>
        <v>Distrital</v>
      </c>
      <c r="BI718" s="79" t="s">
        <v>172</v>
      </c>
      <c r="BJ718" s="79"/>
      <c r="BK718" s="79"/>
      <c r="BL718" s="79"/>
      <c r="BM718" s="79"/>
      <c r="BN718" s="79"/>
      <c r="BO718" s="79"/>
      <c r="BP718" s="79"/>
      <c r="BQ718" s="79"/>
      <c r="BR718" s="79"/>
      <c r="BS718" s="80" t="s">
        <v>288</v>
      </c>
      <c r="BT718" s="80" t="s">
        <v>174</v>
      </c>
      <c r="BU718" s="80" t="s">
        <v>5022</v>
      </c>
      <c r="BV718" s="71"/>
      <c r="BW718" s="79" t="s">
        <v>152</v>
      </c>
      <c r="BX718" s="79" t="s">
        <v>179</v>
      </c>
      <c r="BY718" s="71"/>
      <c r="BZ718" s="79">
        <v>19</v>
      </c>
      <c r="CA718" s="79">
        <v>7</v>
      </c>
      <c r="CB718" s="79">
        <f>BZ718+CA718</f>
        <v>26</v>
      </c>
      <c r="CC718" s="79" t="str">
        <f>_xlfn.TEXTJOIN(", ",TRUE,$CD718:$CF718)</f>
        <v>Ninguna</v>
      </c>
      <c r="CD718" s="79" t="s">
        <v>174</v>
      </c>
      <c r="CE718" s="79"/>
      <c r="CF718" s="79"/>
      <c r="CG718" s="83" t="s">
        <v>5023</v>
      </c>
      <c r="CH718" s="41"/>
      <c r="CI718" s="79" t="s">
        <v>153</v>
      </c>
      <c r="CJ718" s="71"/>
      <c r="CK718" s="79">
        <f>COUNTIF(CL718:CQ718,"*")</f>
        <v>0</v>
      </c>
      <c r="CL718" s="79"/>
      <c r="CM718" s="79"/>
      <c r="CN718" s="79"/>
      <c r="CO718" s="79"/>
      <c r="CP718" s="79"/>
      <c r="CQ718" s="79"/>
      <c r="CR718" s="83" t="s">
        <v>179</v>
      </c>
      <c r="CS718" s="83" t="s">
        <v>179</v>
      </c>
      <c r="CT718" s="83" t="s">
        <v>179</v>
      </c>
      <c r="CU718" s="83" t="s">
        <v>179</v>
      </c>
      <c r="CV718" s="83" t="s">
        <v>179</v>
      </c>
      <c r="CW718" s="83" t="s">
        <v>179</v>
      </c>
      <c r="CX718" s="79" t="s">
        <v>153</v>
      </c>
      <c r="CY718" s="79">
        <f>SUM(COUNTIF(CR718:CW718,"Realizado y Devuelto a la Ciudadanía"),COUNTIF(CR718:CW718,"Realizado y Trasladado por competencia"), COUNTIF(CR718:CW718,"Realizado y Gestionado"))</f>
        <v>0</v>
      </c>
      <c r="CZ718" s="79">
        <v>0</v>
      </c>
      <c r="DA718" s="79">
        <f>COUNTIF(CR718:CW718,"Realizado y Devuelto a la Ciudadanía")</f>
        <v>0</v>
      </c>
      <c r="DB718" s="84" t="str">
        <f>IFERROR(CY718/CK718,"")</f>
        <v/>
      </c>
      <c r="DC718" s="41"/>
      <c r="DD718" s="79" t="s">
        <v>153</v>
      </c>
      <c r="DE718" s="71"/>
      <c r="DF718" s="127" t="s">
        <v>5024</v>
      </c>
      <c r="DG718" s="79">
        <v>705</v>
      </c>
      <c r="DH718" s="86" t="str">
        <f>IF(EE718="Por completar",C718+3,"Completo")</f>
        <v>Completo</v>
      </c>
      <c r="DI718" s="79" t="s">
        <v>181</v>
      </c>
      <c r="DJ718" s="79" t="s">
        <v>182</v>
      </c>
      <c r="DK718" s="79"/>
      <c r="DL718" s="79">
        <v>0</v>
      </c>
      <c r="DM718" s="79">
        <v>0</v>
      </c>
      <c r="DN718" s="79" t="s">
        <v>182</v>
      </c>
      <c r="DO718" s="79"/>
      <c r="DP718" s="79"/>
      <c r="DQ718" s="79"/>
      <c r="DR718" s="75" t="str">
        <f>IF(H718="SÍ", (DQ718/(BZ718*0.3)), "No aplica")</f>
        <v>No aplica</v>
      </c>
      <c r="DS718" s="79"/>
      <c r="DT718" s="79"/>
      <c r="DU718" s="75" t="str">
        <f>IF(H718="SÍ", (DT718/(BZ718*0.35)), "No aplica")</f>
        <v>No aplica</v>
      </c>
      <c r="DV718" s="79" t="s">
        <v>182</v>
      </c>
      <c r="DW718" s="79" t="s">
        <v>182</v>
      </c>
      <c r="DX718" s="79"/>
      <c r="DY718" s="79"/>
      <c r="DZ718" s="79"/>
      <c r="EA718" s="79"/>
      <c r="EB718" s="79"/>
      <c r="EC718" s="79"/>
      <c r="ED718" s="79" t="s">
        <v>3866</v>
      </c>
      <c r="EE718" s="79" t="str">
        <f>IF(DI718="Subsanado","Completo","Por Completar")</f>
        <v>Completo</v>
      </c>
      <c r="EF718" s="41"/>
      <c r="EG718" s="79" t="s">
        <v>153</v>
      </c>
      <c r="EH718" s="71"/>
      <c r="EI718" s="80"/>
      <c r="EJ718" s="71"/>
      <c r="EK718" s="79"/>
      <c r="EL718" s="87" t="str">
        <f>IF(F718="NO","No requiere",IF(H718="No","No requiere",IF(DW718="","",IF(DW718&lt;&gt;"No aplica",IF(DX718&lt;&gt;"No aplica",IF(DX718&gt;=2,"Sí","No"),"No aplica"),"No aplica"))))</f>
        <v>No requiere</v>
      </c>
      <c r="EM718" s="87" t="str">
        <f>IF(F718="NO","No requiere",IF(H718="No","No requiere",IF(DW718="","",IF(DW718&lt;&gt;"No aplica",IF(DY718&lt;&gt;"No aplica",IF(DY718&gt;=1,"Sí","No"),"No aplica"),"No aplica"))))</f>
        <v>No requiere</v>
      </c>
      <c r="EN718" s="87" t="str">
        <f>IF(F718="NO","No requiere",IF(H718="No","No requiere",IF(CC718="","",IF(CD718&lt;&gt;"No aplica",IF(CD718&lt;&gt;"Ninguna",IF(COUNTIF(CD718:CF718,"*")&gt;=1,"Sí","No"),"No"),"No aplica"))))</f>
        <v>No requiere</v>
      </c>
      <c r="EO718" s="71"/>
      <c r="EP718" s="84" t="str">
        <f>IF(F718="NO","No requiere",IF(H718="No","No requiere",IF(DL718="","",IF(DL718&gt;=1,DM718/DL718,"No aplica"))))</f>
        <v>No requiere</v>
      </c>
      <c r="EQ718" s="88" t="str">
        <f>IFERROR(IF(F718="NO","No requiere",IF(H718="No","No requiere",DU718)),"")</f>
        <v>No requiere</v>
      </c>
      <c r="ER718" s="71"/>
      <c r="ES718" s="79"/>
      <c r="ET718" s="84" t="str">
        <f>IF(F718="NO","No requiere",IF(H718="No","No requiere",IFERROR(COUNTIF(DJ718:DW718,"Completo")/SUM(COUNTIF(DJ718:DW718,"Completo"),COUNTIF(DJ718:DW718,"Incompleto"),COUNTIF(DJ718:DW718,"No subido"),COUNTIF(DJ718:DW718,"No existente"),COUNTIF(DJ718:DW718,"Pendiente")),"")))</f>
        <v>No requiere</v>
      </c>
      <c r="EU718" s="84" t="str">
        <f>IF(F718="NO","No requiere",IF(H718="No","No requiere",IF(B718="","",IF(CX718="SÍ",IF(CK718&gt;=1,CY718/CK718,"Sin compromisos"),"Por verificar"))))</f>
        <v>No requiere</v>
      </c>
      <c r="EV718" s="84" t="str">
        <f>IF(EU718="Por verificar","Por verificar",IF(F718="NO","No requiere",IF(H718="No","No requiere",IFERROR(IF(EU718="","",IF(CK718&gt;=1,DA718/CZ718,"No aplica")),"No aplica"))))</f>
        <v>No requiere</v>
      </c>
      <c r="EW718" s="84" t="str">
        <f>IF(F718="NO","No requiere",IF(H718="No","No requiere",IFERROR(IF(BZ718="","",IF(EA718&lt;&gt;"No aplica",IF(EA718&gt;=1,DO718/EA718,"0%"),"No aplica")),"")))</f>
        <v>No requiere</v>
      </c>
      <c r="EX718" s="78"/>
      <c r="EY718" s="78"/>
      <c r="EZ718" s="179"/>
      <c r="FA718" s="179"/>
    </row>
    <row r="719" spans="1:157" s="190" customFormat="1" ht="44.25" customHeight="1">
      <c r="A719" s="79">
        <v>715</v>
      </c>
      <c r="B719" s="80" t="s">
        <v>3000</v>
      </c>
      <c r="C719" s="81">
        <v>45484</v>
      </c>
      <c r="D719" s="82">
        <v>0.41666666666666669</v>
      </c>
      <c r="E719" s="79" t="s">
        <v>200</v>
      </c>
      <c r="F719" s="79" t="s">
        <v>153</v>
      </c>
      <c r="G719" s="79" t="s">
        <v>152</v>
      </c>
      <c r="H719" s="79" t="s">
        <v>152</v>
      </c>
      <c r="I719" s="79" t="s">
        <v>152</v>
      </c>
      <c r="J719" s="79" t="s">
        <v>504</v>
      </c>
      <c r="K719" s="79" t="s">
        <v>155</v>
      </c>
      <c r="L719" s="80" t="s">
        <v>5025</v>
      </c>
      <c r="M719" s="80" t="s">
        <v>157</v>
      </c>
      <c r="N719" s="79" t="s">
        <v>1387</v>
      </c>
      <c r="O719" s="80" t="str">
        <f t="shared" ref="O719" si="884">_xlfn.TEXTJOIN(", ",TRUE,P719:AN719)</f>
        <v/>
      </c>
      <c r="P719" s="79"/>
      <c r="Q719" s="79"/>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t="s">
        <v>169</v>
      </c>
      <c r="AP719" s="79" t="s">
        <v>170</v>
      </c>
      <c r="AQ719" s="80" t="s">
        <v>3902</v>
      </c>
      <c r="AR719" s="83" t="s">
        <v>5026</v>
      </c>
      <c r="AS719" s="80" t="s">
        <v>3903</v>
      </c>
      <c r="AT719" s="80" t="str">
        <f t="shared" ref="AT719" si="885">_xlfn.TEXTJOIN(", ",TRUE,$AU719:$AY719)</f>
        <v>Barrios Unidos</v>
      </c>
      <c r="AU719" s="79" t="s">
        <v>1031</v>
      </c>
      <c r="AV719" s="79"/>
      <c r="AW719" s="79"/>
      <c r="AX719" s="79"/>
      <c r="AY719" s="79"/>
      <c r="AZ719" s="79"/>
      <c r="BA719" s="80" t="str">
        <f t="shared" ref="BA719" si="886">_xlfn.TEXTJOIN(", ",TRUE,$BB719:$BG719)</f>
        <v>Centro Ampliado</v>
      </c>
      <c r="BB719" s="79" t="s">
        <v>636</v>
      </c>
      <c r="BC719" s="79"/>
      <c r="BD719" s="79"/>
      <c r="BE719" s="79"/>
      <c r="BF719" s="79"/>
      <c r="BG719" s="79"/>
      <c r="BH719" s="80" t="str">
        <f t="shared" ref="BH719" si="887">_xlfn.TEXTJOIN(", ",TRUE,$BI719:$BR719)</f>
        <v>Barrios Unidos</v>
      </c>
      <c r="BI719" s="79" t="s">
        <v>1031</v>
      </c>
      <c r="BJ719" s="79"/>
      <c r="BK719" s="79"/>
      <c r="BL719" s="79"/>
      <c r="BM719" s="79"/>
      <c r="BN719" s="79"/>
      <c r="BO719" s="79"/>
      <c r="BP719" s="79"/>
      <c r="BQ719" s="79"/>
      <c r="BR719" s="79"/>
      <c r="BS719" s="80" t="s">
        <v>5027</v>
      </c>
      <c r="BT719" s="80" t="s">
        <v>174</v>
      </c>
      <c r="BU719" s="80" t="s">
        <v>5028</v>
      </c>
      <c r="BV719" s="71"/>
      <c r="BW719" s="79" t="s">
        <v>152</v>
      </c>
      <c r="BX719" s="79" t="s">
        <v>179</v>
      </c>
      <c r="BY719" s="71"/>
      <c r="BZ719" s="79">
        <v>16</v>
      </c>
      <c r="CA719" s="79">
        <v>1</v>
      </c>
      <c r="CB719" s="79">
        <f t="shared" ref="CB719" si="888">BZ719+CA719</f>
        <v>17</v>
      </c>
      <c r="CC719" s="79" t="str">
        <f t="shared" si="382"/>
        <v>Ninguna</v>
      </c>
      <c r="CD719" s="79" t="s">
        <v>174</v>
      </c>
      <c r="CE719" s="79"/>
      <c r="CF719" s="79"/>
      <c r="CG719" s="83" t="s">
        <v>5029</v>
      </c>
      <c r="CH719" s="41"/>
      <c r="CI719" s="79" t="s">
        <v>153</v>
      </c>
      <c r="CJ719" s="71"/>
      <c r="CK719" s="79">
        <f t="shared" ref="CK719" si="889">COUNTIF(CL719:CQ719,"*")</f>
        <v>0</v>
      </c>
      <c r="CL719" s="79"/>
      <c r="CM719" s="79"/>
      <c r="CN719" s="79"/>
      <c r="CO719" s="79"/>
      <c r="CP719" s="79"/>
      <c r="CQ719" s="79"/>
      <c r="CR719" s="83" t="s">
        <v>179</v>
      </c>
      <c r="CS719" s="83" t="s">
        <v>179</v>
      </c>
      <c r="CT719" s="83" t="s">
        <v>179</v>
      </c>
      <c r="CU719" s="83" t="s">
        <v>179</v>
      </c>
      <c r="CV719" s="83" t="s">
        <v>179</v>
      </c>
      <c r="CW719" s="83" t="s">
        <v>179</v>
      </c>
      <c r="CX719" s="79" t="s">
        <v>153</v>
      </c>
      <c r="CY719" s="79">
        <f t="shared" ref="CY719" si="890">SUM(COUNTIF(CR719:CW719,"Realizado y Devuelto a la Ciudadanía"),COUNTIF(CR719:CW719,"Realizado y Trasladado por competencia"), COUNTIF(CR719:CW719,"Realizado y Gestionado"))</f>
        <v>0</v>
      </c>
      <c r="CZ719" s="79">
        <v>0</v>
      </c>
      <c r="DA719" s="79">
        <f t="shared" ref="DA719" si="891">COUNTIF(CR719:CW719,"Realizado y Devuelto a la Ciudadanía")</f>
        <v>0</v>
      </c>
      <c r="DB719" s="84" t="str">
        <f t="shared" ref="DB719" si="892">IFERROR(CY719/CK719,"")</f>
        <v/>
      </c>
      <c r="DC719" s="41"/>
      <c r="DD719" s="79" t="s">
        <v>153</v>
      </c>
      <c r="DE719" s="71"/>
      <c r="DF719" s="127" t="s">
        <v>5016</v>
      </c>
      <c r="DG719" s="79">
        <v>706</v>
      </c>
      <c r="DH719" s="86" t="str">
        <f t="shared" ref="DH719" si="893">IF(EE719="Por completar",C719+3,"Completo")</f>
        <v>Completo</v>
      </c>
      <c r="DI719" s="79" t="s">
        <v>181</v>
      </c>
      <c r="DJ719" s="79" t="s">
        <v>182</v>
      </c>
      <c r="DK719" s="79"/>
      <c r="DL719" s="79">
        <v>0</v>
      </c>
      <c r="DM719" s="79">
        <v>0</v>
      </c>
      <c r="DN719" s="79" t="s">
        <v>182</v>
      </c>
      <c r="DO719" s="79"/>
      <c r="DP719" s="79"/>
      <c r="DQ719" s="79"/>
      <c r="DR719" s="75" t="str">
        <f t="shared" ref="DR719" si="894">IF(H719="SÍ", (DQ719/(BZ719*0.3)), "No aplica")</f>
        <v>No aplica</v>
      </c>
      <c r="DS719" s="79"/>
      <c r="DT719" s="79"/>
      <c r="DU719" s="75" t="str">
        <f t="shared" ref="DU719" si="895">IF(H719="SÍ", (DT719/(BZ719*0.35)), "No aplica")</f>
        <v>No aplica</v>
      </c>
      <c r="DV719" s="79" t="s">
        <v>182</v>
      </c>
      <c r="DW719" s="79" t="s">
        <v>182</v>
      </c>
      <c r="DX719" s="79"/>
      <c r="DY719" s="79"/>
      <c r="DZ719" s="79"/>
      <c r="EA719" s="79"/>
      <c r="EB719" s="79"/>
      <c r="EC719" s="79"/>
      <c r="ED719" s="79" t="s">
        <v>3866</v>
      </c>
      <c r="EE719" s="79" t="str">
        <f t="shared" ref="EE719" si="896">IF(DI719="Subsanado","Completo","Por Completar")</f>
        <v>Completo</v>
      </c>
      <c r="EF719" s="41"/>
      <c r="EG719" s="79" t="s">
        <v>153</v>
      </c>
      <c r="EH719" s="71"/>
      <c r="EI719" s="80"/>
      <c r="EJ719" s="71"/>
      <c r="EK719" s="79"/>
      <c r="EL719" s="87" t="str">
        <f t="shared" ref="EL719" si="897">IF(F719="NO","No requiere",IF(H719="No","No requiere",IF(DW719="","",IF(DW719&lt;&gt;"No aplica",IF(DX719&lt;&gt;"No aplica",IF(DX719&gt;=2,"Sí","No"),"No aplica"),"No aplica"))))</f>
        <v>No requiere</v>
      </c>
      <c r="EM719" s="87" t="str">
        <f t="shared" ref="EM719" si="898">IF(F719="NO","No requiere",IF(H719="No","No requiere",IF(DW719="","",IF(DW719&lt;&gt;"No aplica",IF(DY719&lt;&gt;"No aplica",IF(DY719&gt;=1,"Sí","No"),"No aplica"),"No aplica"))))</f>
        <v>No requiere</v>
      </c>
      <c r="EN719" s="87" t="str">
        <f t="shared" ref="EN719" si="899">IF(F719="NO","No requiere",IF(H719="No","No requiere",IF(CC719="","",IF(CD719&lt;&gt;"No aplica",IF(CD719&lt;&gt;"Ninguna",IF(COUNTIF(CD719:CF719,"*")&gt;=1,"Sí","No"),"No"),"No aplica"))))</f>
        <v>No requiere</v>
      </c>
      <c r="EO719" s="71"/>
      <c r="EP719" s="84" t="str">
        <f t="shared" ref="EP719" si="900">IF(F719="NO","No requiere",IF(H719="No","No requiere",IF(DL719="","",IF(DL719&gt;=1,DM719/DL719,"No aplica"))))</f>
        <v>No requiere</v>
      </c>
      <c r="EQ719" s="88" t="str">
        <f t="shared" ref="EQ719" si="901">IFERROR(IF(F719="NO","No requiere",IF(H719="No","No requiere",DU719)),"")</f>
        <v>No requiere</v>
      </c>
      <c r="ER719" s="71"/>
      <c r="ES719" s="79"/>
      <c r="ET719" s="84" t="str">
        <f t="shared" ref="ET719" si="902">IF(F719="NO","No requiere",IF(H719="No","No requiere",IFERROR(COUNTIF(DJ719:DW719,"Completo")/SUM(COUNTIF(DJ719:DW719,"Completo"),COUNTIF(DJ719:DW719,"Incompleto"),COUNTIF(DJ719:DW719,"No subido"),COUNTIF(DJ719:DW719,"No existente"),COUNTIF(DJ719:DW719,"Pendiente")),"")))</f>
        <v>No requiere</v>
      </c>
      <c r="EU719" s="84" t="str">
        <f t="shared" ref="EU719" si="903">IF(F719="NO","No requiere",IF(H719="No","No requiere",IF(B719="","",IF(CX719="SÍ",IF(CK719&gt;=1,CY719/CK719,"Sin compromisos"),"Por verificar"))))</f>
        <v>No requiere</v>
      </c>
      <c r="EV719" s="84" t="str">
        <f t="shared" ref="EV719" si="904">IF(EU719="Por verificar","Por verificar",IF(F719="NO","No requiere",IF(H719="No","No requiere",IFERROR(IF(EU719="","",IF(CK719&gt;=1,DA719/CZ719,"No aplica")),"No aplica"))))</f>
        <v>No requiere</v>
      </c>
      <c r="EW719" s="84" t="str">
        <f t="shared" ref="EW719" si="905">IF(F719="NO","No requiere",IF(H719="No","No requiere",IFERROR(IF(BZ719="","",IF(EA719&lt;&gt;"No aplica",IF(EA719&gt;=1,DO719/EA719,"0%"),"No aplica")),"")))</f>
        <v>No requiere</v>
      </c>
      <c r="EX719" s="78"/>
      <c r="EY719" s="78"/>
      <c r="EZ719" s="179"/>
      <c r="FA719" s="179"/>
    </row>
    <row r="720" spans="1:157" s="190" customFormat="1" ht="46.5" customHeight="1">
      <c r="A720" s="79">
        <v>716</v>
      </c>
      <c r="B720" s="80" t="s">
        <v>5030</v>
      </c>
      <c r="C720" s="81">
        <v>45484</v>
      </c>
      <c r="D720" s="82">
        <v>0.625</v>
      </c>
      <c r="E720" s="79" t="s">
        <v>151</v>
      </c>
      <c r="F720" s="79" t="s">
        <v>153</v>
      </c>
      <c r="G720" s="79" t="s">
        <v>153</v>
      </c>
      <c r="H720" s="79" t="s">
        <v>153</v>
      </c>
      <c r="I720" s="79" t="s">
        <v>153</v>
      </c>
      <c r="J720" s="79" t="s">
        <v>3324</v>
      </c>
      <c r="K720" s="79" t="s">
        <v>155</v>
      </c>
      <c r="L720" s="80" t="s">
        <v>5031</v>
      </c>
      <c r="M720" s="80" t="s">
        <v>229</v>
      </c>
      <c r="N720" s="79" t="s">
        <v>818</v>
      </c>
      <c r="O720" s="80" t="str">
        <f t="shared" ref="O720:O729" si="906">_xlfn.TEXTJOIN(", ",TRUE,P720:AN720)</f>
        <v>James Fernando Núñez, Armando Alberto Montañez, Nixon Sandoval Mateus, Andres Castro Latorre, Joan Sebastian García</v>
      </c>
      <c r="P720" s="79" t="s">
        <v>632</v>
      </c>
      <c r="Q720" s="79" t="s">
        <v>1387</v>
      </c>
      <c r="R720" s="79" t="s">
        <v>644</v>
      </c>
      <c r="S720" s="79" t="s">
        <v>749</v>
      </c>
      <c r="T720" s="79" t="s">
        <v>728</v>
      </c>
      <c r="U720" s="79"/>
      <c r="V720" s="79"/>
      <c r="W720" s="79"/>
      <c r="X720" s="79"/>
      <c r="Y720" s="79"/>
      <c r="Z720" s="79"/>
      <c r="AA720" s="79"/>
      <c r="AB720" s="79"/>
      <c r="AC720" s="79"/>
      <c r="AD720" s="79"/>
      <c r="AE720" s="79"/>
      <c r="AF720" s="79"/>
      <c r="AG720" s="79"/>
      <c r="AH720" s="79"/>
      <c r="AI720" s="79"/>
      <c r="AJ720" s="79"/>
      <c r="AK720" s="79"/>
      <c r="AL720" s="79"/>
      <c r="AM720" s="79"/>
      <c r="AN720" s="79"/>
      <c r="AO720" s="79" t="s">
        <v>304</v>
      </c>
      <c r="AP720" s="79"/>
      <c r="AQ720" s="80" t="s">
        <v>232</v>
      </c>
      <c r="AR720" s="83" t="s">
        <v>4150</v>
      </c>
      <c r="AS720" s="80" t="s">
        <v>3371</v>
      </c>
      <c r="AT720" s="80" t="str">
        <f t="shared" si="545"/>
        <v>Barrios Unidos</v>
      </c>
      <c r="AU720" s="79" t="s">
        <v>1031</v>
      </c>
      <c r="AV720" s="79"/>
      <c r="AW720" s="79"/>
      <c r="AX720" s="79"/>
      <c r="AY720" s="79"/>
      <c r="AZ720" s="79"/>
      <c r="BA720" s="80" t="str">
        <f t="shared" si="562"/>
        <v>Centro Ampliado</v>
      </c>
      <c r="BB720" s="79" t="s">
        <v>636</v>
      </c>
      <c r="BC720" s="79"/>
      <c r="BD720" s="79"/>
      <c r="BE720" s="79"/>
      <c r="BF720" s="79"/>
      <c r="BG720" s="79"/>
      <c r="BH720" s="80" t="str">
        <f t="shared" si="563"/>
        <v>Barrios Unidos</v>
      </c>
      <c r="BI720" s="79" t="s">
        <v>1031</v>
      </c>
      <c r="BJ720" s="79"/>
      <c r="BK720" s="79"/>
      <c r="BL720" s="79"/>
      <c r="BM720" s="79"/>
      <c r="BN720" s="79"/>
      <c r="BO720" s="79"/>
      <c r="BP720" s="79"/>
      <c r="BQ720" s="79"/>
      <c r="BR720" s="79"/>
      <c r="BS720" s="80" t="s">
        <v>5032</v>
      </c>
      <c r="BT720" s="80" t="s">
        <v>2362</v>
      </c>
      <c r="BU720" s="80" t="s">
        <v>5033</v>
      </c>
      <c r="BV720" s="71"/>
      <c r="BW720" s="79" t="s">
        <v>152</v>
      </c>
      <c r="BX720" s="79" t="s">
        <v>179</v>
      </c>
      <c r="BY720" s="71"/>
      <c r="BZ720" s="79">
        <v>27</v>
      </c>
      <c r="CA720" s="79">
        <v>12</v>
      </c>
      <c r="CB720" s="79">
        <f t="shared" si="717"/>
        <v>39</v>
      </c>
      <c r="CC720" s="79" t="str">
        <f t="shared" si="382"/>
        <v>Contenidos adaptados, Horarios Acordes, Accesibilidad Universal</v>
      </c>
      <c r="CD720" s="79" t="s">
        <v>350</v>
      </c>
      <c r="CE720" s="79" t="s">
        <v>351</v>
      </c>
      <c r="CF720" s="79" t="s">
        <v>397</v>
      </c>
      <c r="CG720" s="83" t="s">
        <v>5034</v>
      </c>
      <c r="CH720" s="41"/>
      <c r="CI720" s="79" t="s">
        <v>153</v>
      </c>
      <c r="CJ720" s="71"/>
      <c r="CK720" s="79">
        <f>COUNTIF(CL720:CQ720,"*")</f>
        <v>0</v>
      </c>
      <c r="CL720" s="79"/>
      <c r="CM720" s="79"/>
      <c r="CN720" s="79"/>
      <c r="CO720" s="79"/>
      <c r="CP720" s="79"/>
      <c r="CQ720" s="79"/>
      <c r="CR720" s="83" t="s">
        <v>179</v>
      </c>
      <c r="CS720" s="83" t="s">
        <v>179</v>
      </c>
      <c r="CT720" s="83" t="s">
        <v>179</v>
      </c>
      <c r="CU720" s="83" t="s">
        <v>179</v>
      </c>
      <c r="CV720" s="83" t="s">
        <v>179</v>
      </c>
      <c r="CW720" s="83" t="s">
        <v>179</v>
      </c>
      <c r="CX720" s="79" t="s">
        <v>153</v>
      </c>
      <c r="CY720" s="79">
        <f t="shared" si="719"/>
        <v>0</v>
      </c>
      <c r="CZ720" s="79">
        <v>0</v>
      </c>
      <c r="DA720" s="79">
        <f t="shared" si="720"/>
        <v>0</v>
      </c>
      <c r="DB720" s="84" t="str">
        <f t="shared" si="721"/>
        <v/>
      </c>
      <c r="DC720" s="41"/>
      <c r="DD720" s="79" t="s">
        <v>153</v>
      </c>
      <c r="DE720" s="71"/>
      <c r="DF720" s="160" t="s">
        <v>5035</v>
      </c>
      <c r="DG720" s="79">
        <v>707</v>
      </c>
      <c r="DH720" s="86" t="str">
        <f t="shared" ref="DH720:DH729" si="907">IF(EE720="Por completar",C720+3,"Completo")</f>
        <v>Completo</v>
      </c>
      <c r="DI720" s="79" t="s">
        <v>181</v>
      </c>
      <c r="DJ720" s="79" t="s">
        <v>182</v>
      </c>
      <c r="DK720" s="79" t="s">
        <v>153</v>
      </c>
      <c r="DL720" s="79">
        <v>0</v>
      </c>
      <c r="DM720" s="79">
        <v>0</v>
      </c>
      <c r="DN720" s="79" t="s">
        <v>191</v>
      </c>
      <c r="DO720" s="79">
        <v>140</v>
      </c>
      <c r="DP720" s="79" t="s">
        <v>191</v>
      </c>
      <c r="DQ720" s="79"/>
      <c r="DR720" s="75">
        <f t="shared" si="576"/>
        <v>0</v>
      </c>
      <c r="DS720" s="79" t="s">
        <v>191</v>
      </c>
      <c r="DT720" s="79"/>
      <c r="DU720" s="75">
        <f t="shared" si="577"/>
        <v>0</v>
      </c>
      <c r="DV720" s="79" t="s">
        <v>182</v>
      </c>
      <c r="DW720" s="79" t="s">
        <v>182</v>
      </c>
      <c r="DX720" s="79">
        <v>3</v>
      </c>
      <c r="DY720" s="79"/>
      <c r="DZ720" s="79"/>
      <c r="EA720" s="79">
        <v>230</v>
      </c>
      <c r="EB720" s="79"/>
      <c r="EC720" s="79"/>
      <c r="ED720" s="79" t="s">
        <v>4641</v>
      </c>
      <c r="EE720" s="79" t="str">
        <f t="shared" si="723"/>
        <v>Completo</v>
      </c>
      <c r="EF720" s="41"/>
      <c r="EG720" s="79" t="s">
        <v>153</v>
      </c>
      <c r="EH720" s="71"/>
      <c r="EI720" s="80" t="s">
        <v>5036</v>
      </c>
      <c r="EJ720" s="71"/>
      <c r="EK720" s="79"/>
      <c r="EL720" s="87" t="str">
        <f t="shared" ref="EL720:EL729" si="908">IF(F720="NO","No requiere",IF(H720="No","No requiere",IF(DW720="","",IF(DW720&lt;&gt;"No aplica",IF(DX720&lt;&gt;"No aplica",IF(DX720&gt;=2,"Sí","No"),"No aplica"),"No aplica"))))</f>
        <v>Sí</v>
      </c>
      <c r="EM720" s="87" t="str">
        <f t="shared" ref="EM720:EM729" si="909">IF(F720="NO","No requiere",IF(H720="No","No requiere",IF(DW720="","",IF(DW720&lt;&gt;"No aplica",IF(DY720&lt;&gt;"No aplica",IF(DY720&gt;=1,"Sí","No"),"No aplica"),"No aplica"))))</f>
        <v>No</v>
      </c>
      <c r="EN720" s="87" t="str">
        <f t="shared" si="724"/>
        <v>Sí</v>
      </c>
      <c r="EO720" s="71"/>
      <c r="EP720" s="84" t="str">
        <f t="shared" ref="EP720:EP729" si="910">IF(F720="NO","No requiere",IF(H720="No","No requiere",IF(DL720="","",IF(DL720&gt;=1,DM720/DL720,"No aplica"))))</f>
        <v>No aplica</v>
      </c>
      <c r="EQ720" s="88">
        <f t="shared" ref="EQ720:EQ729" si="911">IFERROR(IF(F720="NO","No requiere",IF(H720="No","No requiere",DU720)),"")</f>
        <v>0</v>
      </c>
      <c r="ER720" s="71"/>
      <c r="ES720" s="79"/>
      <c r="ET720" s="84">
        <f t="shared" ref="ET720:ET729" si="912">IF(F720="NO","No requiere",IF(H720="No","No requiere",IFERROR(COUNTIF(DJ720:DW720,"Completo")/SUM(COUNTIF(DJ720:DW720,"Completo"),COUNTIF(DJ720:DW720,"Incompleto"),COUNTIF(DJ720:DW720,"No subido"),COUNTIF(DJ720:DW720,"No existente"),COUNTIF(DJ720:DW720,"Pendiente")),"")))</f>
        <v>0.5</v>
      </c>
      <c r="EU720" s="84" t="str">
        <f t="shared" si="725"/>
        <v>Sin compromisos</v>
      </c>
      <c r="EV720" s="84" t="str">
        <f t="shared" ref="EV720:EV729" si="913">IF(EU720="Por verificar","Por verificar",IF(F720="NO","No requiere",IF(H720="No","No requiere",IFERROR(IF(EU720="","",IF(CK720&gt;=1,DA720/CZ720,"No aplica")),"No aplica"))))</f>
        <v>No aplica</v>
      </c>
      <c r="EW720" s="84">
        <f t="shared" si="581"/>
        <v>0.60869565217391308</v>
      </c>
      <c r="EX720" s="78"/>
      <c r="EY720" s="78"/>
      <c r="EZ720" s="179"/>
      <c r="FA720" s="179"/>
    </row>
    <row r="721" spans="1:157" s="190" customFormat="1" ht="46.5" customHeight="1">
      <c r="A721" s="79">
        <v>717</v>
      </c>
      <c r="B721" s="80" t="s">
        <v>5037</v>
      </c>
      <c r="C721" s="81">
        <v>45484</v>
      </c>
      <c r="D721" s="82">
        <v>0.70833333333333337</v>
      </c>
      <c r="E721" s="79" t="s">
        <v>151</v>
      </c>
      <c r="F721" s="79" t="s">
        <v>153</v>
      </c>
      <c r="G721" s="79" t="s">
        <v>152</v>
      </c>
      <c r="H721" s="79" t="s">
        <v>152</v>
      </c>
      <c r="I721" s="79" t="s">
        <v>153</v>
      </c>
      <c r="J721" s="79" t="s">
        <v>227</v>
      </c>
      <c r="K721" s="79" t="s">
        <v>155</v>
      </c>
      <c r="L721" s="80" t="s">
        <v>5038</v>
      </c>
      <c r="M721" s="80" t="s">
        <v>229</v>
      </c>
      <c r="N721" s="79" t="s">
        <v>1387</v>
      </c>
      <c r="O721" s="80" t="str">
        <f t="shared" si="906"/>
        <v/>
      </c>
      <c r="P721" s="79"/>
      <c r="Q721" s="79"/>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t="s">
        <v>304</v>
      </c>
      <c r="AP721" s="79"/>
      <c r="AQ721" s="80" t="s">
        <v>3218</v>
      </c>
      <c r="AR721" s="83" t="s">
        <v>4937</v>
      </c>
      <c r="AS721" s="80" t="s">
        <v>3219</v>
      </c>
      <c r="AT721" s="80" t="str">
        <f t="shared" si="545"/>
        <v>Barrios Unidos</v>
      </c>
      <c r="AU721" s="79" t="s">
        <v>1031</v>
      </c>
      <c r="AV721" s="79"/>
      <c r="AW721" s="79"/>
      <c r="AX721" s="79"/>
      <c r="AY721" s="79"/>
      <c r="AZ721" s="79"/>
      <c r="BA721" s="80" t="str">
        <f t="shared" si="562"/>
        <v>Centro Ampliado</v>
      </c>
      <c r="BB721" s="79" t="s">
        <v>636</v>
      </c>
      <c r="BC721" s="79"/>
      <c r="BD721" s="79"/>
      <c r="BE721" s="79"/>
      <c r="BF721" s="79"/>
      <c r="BG721" s="79"/>
      <c r="BH721" s="80" t="str">
        <f t="shared" si="563"/>
        <v>Barrios Unidos</v>
      </c>
      <c r="BI721" s="79" t="s">
        <v>1031</v>
      </c>
      <c r="BJ721" s="79"/>
      <c r="BK721" s="79"/>
      <c r="BL721" s="79"/>
      <c r="BM721" s="79"/>
      <c r="BN721" s="79"/>
      <c r="BO721" s="79"/>
      <c r="BP721" s="79"/>
      <c r="BQ721" s="79"/>
      <c r="BR721" s="79"/>
      <c r="BS721" s="80" t="s">
        <v>5039</v>
      </c>
      <c r="BT721" s="80" t="s">
        <v>174</v>
      </c>
      <c r="BU721" s="80" t="s">
        <v>5040</v>
      </c>
      <c r="BV721" s="71"/>
      <c r="BW721" s="79" t="s">
        <v>152</v>
      </c>
      <c r="BX721" s="79" t="s">
        <v>179</v>
      </c>
      <c r="BY721" s="71"/>
      <c r="BZ721" s="79">
        <v>17</v>
      </c>
      <c r="CA721" s="79">
        <v>1</v>
      </c>
      <c r="CB721" s="79">
        <f t="shared" si="717"/>
        <v>18</v>
      </c>
      <c r="CC721" s="79" t="str">
        <f t="shared" si="382"/>
        <v>Ninguna</v>
      </c>
      <c r="CD721" s="79" t="s">
        <v>174</v>
      </c>
      <c r="CE721" s="79"/>
      <c r="CF721" s="79"/>
      <c r="CG721" s="83" t="s">
        <v>5041</v>
      </c>
      <c r="CH721" s="41"/>
      <c r="CI721" s="79" t="s">
        <v>153</v>
      </c>
      <c r="CJ721" s="71"/>
      <c r="CK721" s="79">
        <f t="shared" ref="CK721" si="914">COUNTIF(CL721:CQ721,"*")</f>
        <v>0</v>
      </c>
      <c r="CL721" s="79"/>
      <c r="CM721" s="79"/>
      <c r="CN721" s="79"/>
      <c r="CO721" s="79"/>
      <c r="CP721" s="79"/>
      <c r="CQ721" s="79"/>
      <c r="CR721" s="83" t="s">
        <v>179</v>
      </c>
      <c r="CS721" s="83" t="s">
        <v>179</v>
      </c>
      <c r="CT721" s="83" t="s">
        <v>179</v>
      </c>
      <c r="CU721" s="83" t="s">
        <v>179</v>
      </c>
      <c r="CV721" s="83" t="s">
        <v>179</v>
      </c>
      <c r="CW721" s="83" t="s">
        <v>179</v>
      </c>
      <c r="CX721" s="79" t="s">
        <v>153</v>
      </c>
      <c r="CY721" s="79">
        <f t="shared" si="719"/>
        <v>0</v>
      </c>
      <c r="CZ721" s="79">
        <v>0</v>
      </c>
      <c r="DA721" s="79">
        <f t="shared" si="720"/>
        <v>0</v>
      </c>
      <c r="DB721" s="84" t="str">
        <f t="shared" si="721"/>
        <v/>
      </c>
      <c r="DC721" s="41"/>
      <c r="DD721" s="79" t="s">
        <v>153</v>
      </c>
      <c r="DE721" s="71"/>
      <c r="DF721" s="127" t="s">
        <v>5042</v>
      </c>
      <c r="DG721" s="79">
        <v>708</v>
      </c>
      <c r="DH721" s="86" t="str">
        <f t="shared" si="907"/>
        <v>Completo</v>
      </c>
      <c r="DI721" s="79" t="s">
        <v>181</v>
      </c>
      <c r="DJ721" s="79" t="s">
        <v>182</v>
      </c>
      <c r="DK721" s="79"/>
      <c r="DL721" s="79">
        <v>0</v>
      </c>
      <c r="DM721" s="79">
        <v>0</v>
      </c>
      <c r="DN721" s="79" t="s">
        <v>182</v>
      </c>
      <c r="DO721" s="79"/>
      <c r="DP721" s="79"/>
      <c r="DQ721" s="79"/>
      <c r="DR721" s="75" t="str">
        <f t="shared" si="576"/>
        <v>No aplica</v>
      </c>
      <c r="DS721" s="79"/>
      <c r="DT721" s="79"/>
      <c r="DU721" s="75" t="str">
        <f t="shared" si="577"/>
        <v>No aplica</v>
      </c>
      <c r="DV721" s="79" t="s">
        <v>182</v>
      </c>
      <c r="DW721" s="79" t="s">
        <v>182</v>
      </c>
      <c r="DX721" s="79"/>
      <c r="DY721" s="79"/>
      <c r="DZ721" s="79"/>
      <c r="EA721" s="79"/>
      <c r="EB721" s="79"/>
      <c r="EC721" s="79"/>
      <c r="ED721" s="79" t="s">
        <v>3866</v>
      </c>
      <c r="EE721" s="79" t="str">
        <f t="shared" si="723"/>
        <v>Completo</v>
      </c>
      <c r="EF721" s="41"/>
      <c r="EG721" s="79" t="s">
        <v>153</v>
      </c>
      <c r="EH721" s="71"/>
      <c r="EI721" s="80"/>
      <c r="EJ721" s="71"/>
      <c r="EK721" s="79"/>
      <c r="EL721" s="87" t="str">
        <f t="shared" si="908"/>
        <v>No requiere</v>
      </c>
      <c r="EM721" s="87" t="str">
        <f t="shared" si="909"/>
        <v>No requiere</v>
      </c>
      <c r="EN721" s="87" t="str">
        <f t="shared" si="724"/>
        <v>No requiere</v>
      </c>
      <c r="EO721" s="71"/>
      <c r="EP721" s="84" t="str">
        <f t="shared" si="910"/>
        <v>No requiere</v>
      </c>
      <c r="EQ721" s="88" t="str">
        <f t="shared" si="911"/>
        <v>No requiere</v>
      </c>
      <c r="ER721" s="71"/>
      <c r="ES721" s="79"/>
      <c r="ET721" s="84" t="str">
        <f t="shared" si="912"/>
        <v>No requiere</v>
      </c>
      <c r="EU721" s="84" t="str">
        <f t="shared" si="725"/>
        <v>No requiere</v>
      </c>
      <c r="EV721" s="84" t="str">
        <f t="shared" si="913"/>
        <v>No requiere</v>
      </c>
      <c r="EW721" s="84" t="str">
        <f t="shared" si="581"/>
        <v>No requiere</v>
      </c>
      <c r="EX721" s="78"/>
      <c r="EY721" s="78"/>
      <c r="EZ721" s="179"/>
      <c r="FA721" s="179"/>
    </row>
    <row r="722" spans="1:157" s="190" customFormat="1" ht="46.5" customHeight="1">
      <c r="A722" s="79">
        <v>718</v>
      </c>
      <c r="B722" s="80" t="s">
        <v>5043</v>
      </c>
      <c r="C722" s="81">
        <v>45484</v>
      </c>
      <c r="D722" s="82">
        <v>0.70833333333333337</v>
      </c>
      <c r="E722" s="79" t="s">
        <v>200</v>
      </c>
      <c r="F722" s="79" t="s">
        <v>153</v>
      </c>
      <c r="G722" s="79" t="s">
        <v>152</v>
      </c>
      <c r="H722" s="79" t="s">
        <v>152</v>
      </c>
      <c r="I722" s="79" t="s">
        <v>152</v>
      </c>
      <c r="J722" s="79" t="s">
        <v>211</v>
      </c>
      <c r="K722" s="79" t="s">
        <v>202</v>
      </c>
      <c r="L722" s="80" t="s">
        <v>5044</v>
      </c>
      <c r="M722" s="80" t="s">
        <v>624</v>
      </c>
      <c r="N722" s="79" t="s">
        <v>524</v>
      </c>
      <c r="O722" s="80" t="str">
        <f t="shared" si="906"/>
        <v>Paola Andrea González</v>
      </c>
      <c r="P722" s="79" t="s">
        <v>924</v>
      </c>
      <c r="Q722" s="79"/>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t="s">
        <v>230</v>
      </c>
      <c r="AP722" s="79" t="s">
        <v>242</v>
      </c>
      <c r="AQ722" s="80" t="s">
        <v>5045</v>
      </c>
      <c r="AR722" s="83" t="s">
        <v>4456</v>
      </c>
      <c r="AS722" s="80" t="s">
        <v>682</v>
      </c>
      <c r="AT722" s="80" t="str">
        <f t="shared" si="545"/>
        <v>Distrital</v>
      </c>
      <c r="AU722" s="79" t="s">
        <v>172</v>
      </c>
      <c r="AV722" s="79"/>
      <c r="AW722" s="79"/>
      <c r="AX722" s="79"/>
      <c r="AY722" s="79"/>
      <c r="AZ722" s="79"/>
      <c r="BA722" s="80" t="str">
        <f t="shared" si="562"/>
        <v>Distrital</v>
      </c>
      <c r="BB722" s="79" t="s">
        <v>172</v>
      </c>
      <c r="BC722" s="79"/>
      <c r="BD722" s="79"/>
      <c r="BE722" s="79"/>
      <c r="BF722" s="79"/>
      <c r="BG722" s="79"/>
      <c r="BH722" s="80" t="str">
        <f t="shared" si="563"/>
        <v>Distrital</v>
      </c>
      <c r="BI722" s="79" t="s">
        <v>172</v>
      </c>
      <c r="BJ722" s="79"/>
      <c r="BK722" s="79"/>
      <c r="BL722" s="79"/>
      <c r="BM722" s="79"/>
      <c r="BN722" s="79"/>
      <c r="BO722" s="79"/>
      <c r="BP722" s="79"/>
      <c r="BQ722" s="79"/>
      <c r="BR722" s="79"/>
      <c r="BS722" s="80" t="s">
        <v>288</v>
      </c>
      <c r="BT722" s="80" t="s">
        <v>174</v>
      </c>
      <c r="BU722" s="128" t="s">
        <v>3931</v>
      </c>
      <c r="BV722" s="71"/>
      <c r="BW722" s="79" t="s">
        <v>152</v>
      </c>
      <c r="BX722" s="79" t="s">
        <v>179</v>
      </c>
      <c r="BY722" s="71"/>
      <c r="BZ722" s="79">
        <v>25</v>
      </c>
      <c r="CA722" s="79">
        <v>2</v>
      </c>
      <c r="CB722" s="79">
        <f t="shared" si="717"/>
        <v>27</v>
      </c>
      <c r="CC722" s="79" t="str">
        <f t="shared" si="382"/>
        <v>Ninguna</v>
      </c>
      <c r="CD722" s="79" t="s">
        <v>174</v>
      </c>
      <c r="CE722" s="79"/>
      <c r="CF722" s="79"/>
      <c r="CG722" s="83" t="s">
        <v>5046</v>
      </c>
      <c r="CH722" s="41"/>
      <c r="CI722" s="79" t="s">
        <v>153</v>
      </c>
      <c r="CJ722" s="71"/>
      <c r="CK722" s="79">
        <f t="shared" si="718"/>
        <v>0</v>
      </c>
      <c r="CL722" s="79"/>
      <c r="CM722" s="79"/>
      <c r="CN722" s="79"/>
      <c r="CO722" s="79"/>
      <c r="CP722" s="79"/>
      <c r="CQ722" s="79"/>
      <c r="CR722" s="83" t="s">
        <v>179</v>
      </c>
      <c r="CS722" s="83" t="s">
        <v>179</v>
      </c>
      <c r="CT722" s="83" t="s">
        <v>179</v>
      </c>
      <c r="CU722" s="83" t="s">
        <v>179</v>
      </c>
      <c r="CV722" s="83" t="s">
        <v>179</v>
      </c>
      <c r="CW722" s="83" t="s">
        <v>179</v>
      </c>
      <c r="CX722" s="79" t="s">
        <v>153</v>
      </c>
      <c r="CY722" s="79">
        <f t="shared" si="719"/>
        <v>0</v>
      </c>
      <c r="CZ722" s="79">
        <v>0</v>
      </c>
      <c r="DA722" s="79">
        <f t="shared" si="720"/>
        <v>0</v>
      </c>
      <c r="DB722" s="84" t="str">
        <f t="shared" si="721"/>
        <v/>
      </c>
      <c r="DC722" s="41"/>
      <c r="DD722" s="79" t="s">
        <v>153</v>
      </c>
      <c r="DE722" s="71"/>
      <c r="DF722" s="127" t="s">
        <v>5047</v>
      </c>
      <c r="DG722" s="79">
        <v>709</v>
      </c>
      <c r="DH722" s="86" t="str">
        <f t="shared" si="907"/>
        <v>Completo</v>
      </c>
      <c r="DI722" s="79" t="s">
        <v>181</v>
      </c>
      <c r="DJ722" s="79" t="s">
        <v>182</v>
      </c>
      <c r="DK722" s="79"/>
      <c r="DL722" s="79">
        <v>0</v>
      </c>
      <c r="DM722" s="79">
        <v>0</v>
      </c>
      <c r="DN722" s="79" t="s">
        <v>182</v>
      </c>
      <c r="DO722" s="79"/>
      <c r="DP722" s="79"/>
      <c r="DQ722" s="79"/>
      <c r="DR722" s="75" t="str">
        <f t="shared" si="576"/>
        <v>No aplica</v>
      </c>
      <c r="DS722" s="79"/>
      <c r="DT722" s="79"/>
      <c r="DU722" s="75" t="str">
        <f t="shared" si="577"/>
        <v>No aplica</v>
      </c>
      <c r="DV722" s="79" t="s">
        <v>182</v>
      </c>
      <c r="DW722" s="79" t="s">
        <v>182</v>
      </c>
      <c r="DX722" s="79"/>
      <c r="DY722" s="79"/>
      <c r="DZ722" s="79"/>
      <c r="EA722" s="79"/>
      <c r="EB722" s="79" t="s">
        <v>182</v>
      </c>
      <c r="EC722" s="79" t="s">
        <v>5048</v>
      </c>
      <c r="ED722" s="79" t="s">
        <v>4740</v>
      </c>
      <c r="EE722" s="79" t="str">
        <f t="shared" si="723"/>
        <v>Completo</v>
      </c>
      <c r="EF722" s="41"/>
      <c r="EG722" s="79" t="s">
        <v>153</v>
      </c>
      <c r="EH722" s="71"/>
      <c r="EI722" s="80"/>
      <c r="EJ722" s="71"/>
      <c r="EK722" s="79"/>
      <c r="EL722" s="87" t="str">
        <f t="shared" si="908"/>
        <v>No requiere</v>
      </c>
      <c r="EM722" s="87" t="str">
        <f t="shared" si="909"/>
        <v>No requiere</v>
      </c>
      <c r="EN722" s="87" t="str">
        <f t="shared" si="724"/>
        <v>No requiere</v>
      </c>
      <c r="EO722" s="71"/>
      <c r="EP722" s="84" t="str">
        <f t="shared" si="910"/>
        <v>No requiere</v>
      </c>
      <c r="EQ722" s="88" t="str">
        <f t="shared" si="911"/>
        <v>No requiere</v>
      </c>
      <c r="ER722" s="71"/>
      <c r="ES722" s="79"/>
      <c r="ET722" s="84" t="str">
        <f t="shared" si="912"/>
        <v>No requiere</v>
      </c>
      <c r="EU722" s="84" t="str">
        <f t="shared" si="725"/>
        <v>No requiere</v>
      </c>
      <c r="EV722" s="84" t="str">
        <f t="shared" si="913"/>
        <v>No requiere</v>
      </c>
      <c r="EW722" s="84" t="str">
        <f t="shared" si="581"/>
        <v>No requiere</v>
      </c>
      <c r="EX722" s="78"/>
      <c r="EY722" s="78"/>
      <c r="EZ722" s="179"/>
      <c r="FA722" s="179"/>
    </row>
    <row r="723" spans="1:157" s="190" customFormat="1" ht="60.75" customHeight="1">
      <c r="A723" s="79">
        <v>719</v>
      </c>
      <c r="B723" s="80" t="s">
        <v>5049</v>
      </c>
      <c r="C723" s="81">
        <v>45484</v>
      </c>
      <c r="D723" s="82">
        <v>0.77777777777777779</v>
      </c>
      <c r="E723" s="79" t="s">
        <v>151</v>
      </c>
      <c r="F723" s="79" t="s">
        <v>153</v>
      </c>
      <c r="G723" s="79" t="s">
        <v>153</v>
      </c>
      <c r="H723" s="79" t="s">
        <v>152</v>
      </c>
      <c r="I723" s="79" t="s">
        <v>152</v>
      </c>
      <c r="J723" s="79" t="s">
        <v>3999</v>
      </c>
      <c r="K723" s="79" t="s">
        <v>155</v>
      </c>
      <c r="L723" s="80" t="s">
        <v>5050</v>
      </c>
      <c r="M723" s="80" t="s">
        <v>241</v>
      </c>
      <c r="N723" s="79" t="s">
        <v>818</v>
      </c>
      <c r="O723" s="80" t="str">
        <f t="shared" si="906"/>
        <v/>
      </c>
      <c r="P723" s="79"/>
      <c r="Q723" s="79"/>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t="s">
        <v>230</v>
      </c>
      <c r="AP723" s="79" t="s">
        <v>231</v>
      </c>
      <c r="AQ723" s="80" t="s">
        <v>5051</v>
      </c>
      <c r="AR723" s="83" t="s">
        <v>5052</v>
      </c>
      <c r="AS723" s="80" t="s">
        <v>5053</v>
      </c>
      <c r="AT723" s="80" t="str">
        <f t="shared" si="545"/>
        <v>Antonio Nariño</v>
      </c>
      <c r="AU723" s="79" t="s">
        <v>634</v>
      </c>
      <c r="AV723" s="79"/>
      <c r="AW723" s="79"/>
      <c r="AX723" s="79"/>
      <c r="AY723" s="79"/>
      <c r="AZ723" s="79"/>
      <c r="BA723" s="80" t="str">
        <f t="shared" si="562"/>
        <v>Centro Ampliado</v>
      </c>
      <c r="BB723" s="79" t="s">
        <v>636</v>
      </c>
      <c r="BC723" s="79"/>
      <c r="BD723" s="79"/>
      <c r="BE723" s="79"/>
      <c r="BF723" s="79"/>
      <c r="BG723" s="79"/>
      <c r="BH723" s="80" t="str">
        <f t="shared" si="563"/>
        <v>Restrepo</v>
      </c>
      <c r="BI723" s="79" t="s">
        <v>637</v>
      </c>
      <c r="BJ723" s="79"/>
      <c r="BK723" s="79"/>
      <c r="BL723" s="79"/>
      <c r="BM723" s="79"/>
      <c r="BN723" s="79"/>
      <c r="BO723" s="79"/>
      <c r="BP723" s="79"/>
      <c r="BQ723" s="79"/>
      <c r="BR723" s="79"/>
      <c r="BS723" s="80" t="s">
        <v>5054</v>
      </c>
      <c r="BT723" s="80" t="s">
        <v>174</v>
      </c>
      <c r="BU723" s="80" t="s">
        <v>5055</v>
      </c>
      <c r="BV723" s="71"/>
      <c r="BW723" s="79" t="s">
        <v>152</v>
      </c>
      <c r="BX723" s="79" t="s">
        <v>179</v>
      </c>
      <c r="BY723" s="71"/>
      <c r="BZ723" s="79">
        <v>8</v>
      </c>
      <c r="CA723" s="79">
        <v>1</v>
      </c>
      <c r="CB723" s="79">
        <f t="shared" si="717"/>
        <v>9</v>
      </c>
      <c r="CC723" s="79" t="str">
        <f t="shared" si="382"/>
        <v>Accesibilidad Universal, Contenidos adaptados, Horarios Acordes</v>
      </c>
      <c r="CD723" s="79" t="s">
        <v>397</v>
      </c>
      <c r="CE723" s="79" t="s">
        <v>350</v>
      </c>
      <c r="CF723" s="79" t="s">
        <v>351</v>
      </c>
      <c r="CG723" s="83" t="s">
        <v>5056</v>
      </c>
      <c r="CH723" s="41"/>
      <c r="CI723" s="79" t="s">
        <v>153</v>
      </c>
      <c r="CJ723" s="71"/>
      <c r="CK723" s="79">
        <f t="shared" si="718"/>
        <v>0</v>
      </c>
      <c r="CL723" s="79"/>
      <c r="CM723" s="79"/>
      <c r="CN723" s="79"/>
      <c r="CO723" s="79"/>
      <c r="CP723" s="79"/>
      <c r="CQ723" s="79"/>
      <c r="CR723" s="83" t="s">
        <v>179</v>
      </c>
      <c r="CS723" s="83" t="s">
        <v>179</v>
      </c>
      <c r="CT723" s="83" t="s">
        <v>179</v>
      </c>
      <c r="CU723" s="83" t="s">
        <v>179</v>
      </c>
      <c r="CV723" s="83" t="s">
        <v>179</v>
      </c>
      <c r="CW723" s="83" t="s">
        <v>179</v>
      </c>
      <c r="CX723" s="79" t="s">
        <v>153</v>
      </c>
      <c r="CY723" s="79">
        <f t="shared" si="719"/>
        <v>0</v>
      </c>
      <c r="CZ723" s="79">
        <v>0</v>
      </c>
      <c r="DA723" s="79">
        <f t="shared" si="720"/>
        <v>0</v>
      </c>
      <c r="DB723" s="84" t="str">
        <f t="shared" si="721"/>
        <v/>
      </c>
      <c r="DC723" s="41"/>
      <c r="DD723" s="79" t="s">
        <v>153</v>
      </c>
      <c r="DE723" s="71"/>
      <c r="DF723" s="160" t="s">
        <v>5057</v>
      </c>
      <c r="DG723" s="79">
        <v>710</v>
      </c>
      <c r="DH723" s="86" t="str">
        <f t="shared" si="907"/>
        <v>Completo</v>
      </c>
      <c r="DI723" s="79" t="s">
        <v>181</v>
      </c>
      <c r="DJ723" s="79" t="s">
        <v>182</v>
      </c>
      <c r="DK723" s="79"/>
      <c r="DL723" s="79">
        <v>0</v>
      </c>
      <c r="DM723" s="79">
        <v>0</v>
      </c>
      <c r="DN723" s="79" t="s">
        <v>182</v>
      </c>
      <c r="DO723" s="79"/>
      <c r="DP723" s="79"/>
      <c r="DQ723" s="79"/>
      <c r="DR723" s="75" t="str">
        <f t="shared" si="576"/>
        <v>No aplica</v>
      </c>
      <c r="DS723" s="79"/>
      <c r="DT723" s="79"/>
      <c r="DU723" s="75" t="str">
        <f t="shared" si="577"/>
        <v>No aplica</v>
      </c>
      <c r="DV723" s="79" t="s">
        <v>182</v>
      </c>
      <c r="DW723" s="79"/>
      <c r="DX723" s="79"/>
      <c r="DY723" s="79"/>
      <c r="DZ723" s="79"/>
      <c r="EA723" s="79"/>
      <c r="EB723" s="79"/>
      <c r="EC723" s="79"/>
      <c r="ED723" s="79" t="s">
        <v>3732</v>
      </c>
      <c r="EE723" s="79" t="str">
        <f t="shared" si="723"/>
        <v>Completo</v>
      </c>
      <c r="EF723" s="41"/>
      <c r="EG723" s="79" t="s">
        <v>153</v>
      </c>
      <c r="EH723" s="71"/>
      <c r="EI723" s="80"/>
      <c r="EJ723" s="71"/>
      <c r="EK723" s="79"/>
      <c r="EL723" s="87" t="str">
        <f t="shared" si="908"/>
        <v>No requiere</v>
      </c>
      <c r="EM723" s="87" t="str">
        <f t="shared" si="909"/>
        <v>No requiere</v>
      </c>
      <c r="EN723" s="87" t="str">
        <f t="shared" si="724"/>
        <v>No requiere</v>
      </c>
      <c r="EO723" s="71"/>
      <c r="EP723" s="84" t="str">
        <f t="shared" si="910"/>
        <v>No requiere</v>
      </c>
      <c r="EQ723" s="88" t="str">
        <f t="shared" si="911"/>
        <v>No requiere</v>
      </c>
      <c r="ER723" s="71"/>
      <c r="ES723" s="79"/>
      <c r="ET723" s="84" t="str">
        <f t="shared" si="912"/>
        <v>No requiere</v>
      </c>
      <c r="EU723" s="84" t="str">
        <f t="shared" si="725"/>
        <v>No requiere</v>
      </c>
      <c r="EV723" s="84" t="str">
        <f t="shared" si="913"/>
        <v>No requiere</v>
      </c>
      <c r="EW723" s="84" t="str">
        <f t="shared" si="581"/>
        <v>No requiere</v>
      </c>
      <c r="EX723" s="78"/>
      <c r="EY723" s="78"/>
      <c r="EZ723" s="179"/>
      <c r="FA723" s="179"/>
    </row>
    <row r="724" spans="1:157" s="190" customFormat="1" ht="60.75" customHeight="1">
      <c r="A724" s="79" t="str">
        <v/>
      </c>
      <c r="B724" s="80" t="s">
        <v>5058</v>
      </c>
      <c r="C724" s="81">
        <v>45485</v>
      </c>
      <c r="D724" s="82">
        <v>0.41666666666666669</v>
      </c>
      <c r="E724" s="79" t="s">
        <v>151</v>
      </c>
      <c r="F724" s="79" t="s">
        <v>152</v>
      </c>
      <c r="G724" s="79" t="s">
        <v>152</v>
      </c>
      <c r="H724" s="79" t="s">
        <v>152</v>
      </c>
      <c r="I724" s="79" t="s">
        <v>152</v>
      </c>
      <c r="J724" s="79" t="s">
        <v>251</v>
      </c>
      <c r="K724" s="79" t="s">
        <v>155</v>
      </c>
      <c r="L724" s="80" t="s">
        <v>5059</v>
      </c>
      <c r="M724" s="80" t="s">
        <v>157</v>
      </c>
      <c r="N724" s="79" t="s">
        <v>720</v>
      </c>
      <c r="O724" s="80" t="str">
        <f t="shared" si="906"/>
        <v/>
      </c>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t="s">
        <v>169</v>
      </c>
      <c r="AP724" s="79" t="s">
        <v>170</v>
      </c>
      <c r="AQ724" s="80" t="s">
        <v>5060</v>
      </c>
      <c r="AR724" s="83">
        <v>3115096317</v>
      </c>
      <c r="AS724" s="80" t="s">
        <v>5061</v>
      </c>
      <c r="AT724" s="80" t="str">
        <f t="shared" si="545"/>
        <v>Distrital</v>
      </c>
      <c r="AU724" s="79" t="s">
        <v>172</v>
      </c>
      <c r="AV724" s="79"/>
      <c r="AW724" s="79"/>
      <c r="AX724" s="79"/>
      <c r="AY724" s="79"/>
      <c r="AZ724" s="79"/>
      <c r="BA724" s="80" t="str">
        <f t="shared" si="562"/>
        <v>Distrital</v>
      </c>
      <c r="BB724" s="79" t="s">
        <v>172</v>
      </c>
      <c r="BC724" s="79"/>
      <c r="BD724" s="79"/>
      <c r="BE724" s="79"/>
      <c r="BF724" s="79"/>
      <c r="BG724" s="79"/>
      <c r="BH724" s="80" t="str">
        <f t="shared" si="563"/>
        <v>Distrital</v>
      </c>
      <c r="BI724" s="79" t="s">
        <v>172</v>
      </c>
      <c r="BJ724" s="79"/>
      <c r="BK724" s="79"/>
      <c r="BL724" s="79"/>
      <c r="BM724" s="79"/>
      <c r="BN724" s="79"/>
      <c r="BO724" s="79"/>
      <c r="BP724" s="79"/>
      <c r="BQ724" s="79"/>
      <c r="BR724" s="79"/>
      <c r="BS724" s="80" t="s">
        <v>1004</v>
      </c>
      <c r="BT724" s="80" t="s">
        <v>5062</v>
      </c>
      <c r="BU724" s="80" t="s">
        <v>5063</v>
      </c>
      <c r="BV724" s="71"/>
      <c r="BW724" s="79" t="s">
        <v>152</v>
      </c>
      <c r="BX724" s="79" t="s">
        <v>179</v>
      </c>
      <c r="BY724" s="71"/>
      <c r="BZ724" s="79">
        <v>0</v>
      </c>
      <c r="CA724" s="79">
        <v>25</v>
      </c>
      <c r="CB724" s="79">
        <f t="shared" si="717"/>
        <v>25</v>
      </c>
      <c r="CC724" s="79" t="str">
        <f t="shared" si="382"/>
        <v>Ninguna</v>
      </c>
      <c r="CD724" s="79" t="s">
        <v>174</v>
      </c>
      <c r="CE724" s="79"/>
      <c r="CF724" s="79"/>
      <c r="CG724" s="83" t="s">
        <v>5064</v>
      </c>
      <c r="CH724" s="41"/>
      <c r="CI724" s="79" t="s">
        <v>153</v>
      </c>
      <c r="CJ724" s="71"/>
      <c r="CK724" s="79">
        <f t="shared" si="718"/>
        <v>0</v>
      </c>
      <c r="CL724" s="79"/>
      <c r="CM724" s="79"/>
      <c r="CN724" s="79"/>
      <c r="CO724" s="79"/>
      <c r="CP724" s="79"/>
      <c r="CQ724" s="79"/>
      <c r="CR724" s="83" t="s">
        <v>179</v>
      </c>
      <c r="CS724" s="83" t="s">
        <v>179</v>
      </c>
      <c r="CT724" s="83" t="s">
        <v>179</v>
      </c>
      <c r="CU724" s="83" t="s">
        <v>179</v>
      </c>
      <c r="CV724" s="83" t="s">
        <v>179</v>
      </c>
      <c r="CW724" s="83" t="s">
        <v>179</v>
      </c>
      <c r="CX724" s="79"/>
      <c r="CY724" s="79">
        <f t="shared" si="719"/>
        <v>0</v>
      </c>
      <c r="CZ724" s="79">
        <v>0</v>
      </c>
      <c r="DA724" s="79">
        <f t="shared" si="720"/>
        <v>0</v>
      </c>
      <c r="DB724" s="84"/>
      <c r="DC724" s="41"/>
      <c r="DD724" s="79" t="s">
        <v>153</v>
      </c>
      <c r="DE724" s="71"/>
      <c r="DF724" s="160" t="s">
        <v>5065</v>
      </c>
      <c r="DG724" s="79">
        <v>711</v>
      </c>
      <c r="DH724" s="86" t="str">
        <f t="shared" si="907"/>
        <v>Completo</v>
      </c>
      <c r="DI724" s="79" t="s">
        <v>181</v>
      </c>
      <c r="DJ724" s="79" t="s">
        <v>182</v>
      </c>
      <c r="DK724" s="79"/>
      <c r="DL724" s="79">
        <v>0</v>
      </c>
      <c r="DM724" s="79">
        <v>0</v>
      </c>
      <c r="DN724" s="79" t="s">
        <v>182</v>
      </c>
      <c r="DO724" s="79"/>
      <c r="DP724" s="79"/>
      <c r="DQ724" s="79"/>
      <c r="DR724" s="75" t="str">
        <f t="shared" si="576"/>
        <v>No aplica</v>
      </c>
      <c r="DS724" s="79"/>
      <c r="DT724" s="79"/>
      <c r="DU724" s="75" t="str">
        <f t="shared" si="577"/>
        <v>No aplica</v>
      </c>
      <c r="DV724" s="79" t="s">
        <v>182</v>
      </c>
      <c r="DW724" s="79"/>
      <c r="DX724" s="79"/>
      <c r="DY724" s="79"/>
      <c r="DZ724" s="79"/>
      <c r="EA724" s="79"/>
      <c r="EB724" s="79" t="s">
        <v>182</v>
      </c>
      <c r="EC724" s="79" t="s">
        <v>5066</v>
      </c>
      <c r="ED724" s="79" t="s">
        <v>4755</v>
      </c>
      <c r="EE724" s="79" t="str">
        <f t="shared" si="723"/>
        <v>Completo</v>
      </c>
      <c r="EF724" s="41"/>
      <c r="EG724" s="79" t="s">
        <v>153</v>
      </c>
      <c r="EH724" s="71"/>
      <c r="EI724" s="80"/>
      <c r="EJ724" s="71"/>
      <c r="EK724" s="79"/>
      <c r="EL724" s="87" t="str">
        <f t="shared" si="908"/>
        <v>No requiere</v>
      </c>
      <c r="EM724" s="87" t="str">
        <f t="shared" si="909"/>
        <v>No requiere</v>
      </c>
      <c r="EN724" s="87" t="str">
        <f t="shared" si="724"/>
        <v>No requiere</v>
      </c>
      <c r="EO724" s="71"/>
      <c r="EP724" s="84" t="str">
        <f t="shared" si="910"/>
        <v>No requiere</v>
      </c>
      <c r="EQ724" s="88" t="str">
        <f t="shared" si="911"/>
        <v>No requiere</v>
      </c>
      <c r="ER724" s="71"/>
      <c r="ES724" s="79"/>
      <c r="ET724" s="84" t="str">
        <f t="shared" si="912"/>
        <v>No requiere</v>
      </c>
      <c r="EU724" s="84" t="str">
        <f t="shared" si="725"/>
        <v>No requiere</v>
      </c>
      <c r="EV724" s="84" t="str">
        <f t="shared" si="913"/>
        <v>No requiere</v>
      </c>
      <c r="EW724" s="84" t="str">
        <f t="shared" si="581"/>
        <v>No requiere</v>
      </c>
      <c r="EX724" s="78"/>
      <c r="EY724" s="78"/>
      <c r="EZ724" s="179"/>
      <c r="FA724" s="179"/>
    </row>
    <row r="725" spans="1:157" s="190" customFormat="1" ht="46.5" customHeight="1">
      <c r="A725" s="79" t="str">
        <v/>
      </c>
      <c r="B725" s="80" t="s">
        <v>5067</v>
      </c>
      <c r="C725" s="81">
        <v>45485</v>
      </c>
      <c r="D725" s="82">
        <v>0.41666666666666669</v>
      </c>
      <c r="E725" s="79" t="s">
        <v>151</v>
      </c>
      <c r="F725" s="79" t="s">
        <v>152</v>
      </c>
      <c r="G725" s="79" t="s">
        <v>152</v>
      </c>
      <c r="H725" s="79" t="s">
        <v>152</v>
      </c>
      <c r="I725" s="79" t="s">
        <v>152</v>
      </c>
      <c r="J725" s="79" t="s">
        <v>251</v>
      </c>
      <c r="K725" s="79" t="s">
        <v>155</v>
      </c>
      <c r="L725" s="80" t="s">
        <v>5068</v>
      </c>
      <c r="M725" s="80" t="s">
        <v>157</v>
      </c>
      <c r="N725" s="79" t="s">
        <v>373</v>
      </c>
      <c r="O725" s="80" t="str">
        <f t="shared" si="906"/>
        <v>Michael Cruz Roa, Diana Marcela Fernández</v>
      </c>
      <c r="P725" s="79" t="s">
        <v>265</v>
      </c>
      <c r="Q725" s="79" t="s">
        <v>473</v>
      </c>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t="s">
        <v>169</v>
      </c>
      <c r="AP725" s="79" t="s">
        <v>170</v>
      </c>
      <c r="AQ725" s="80" t="s">
        <v>5069</v>
      </c>
      <c r="AR725" s="83" t="s">
        <v>171</v>
      </c>
      <c r="AS725" s="80" t="s">
        <v>5070</v>
      </c>
      <c r="AT725" s="80" t="str">
        <f t="shared" si="545"/>
        <v>Distrital</v>
      </c>
      <c r="AU725" s="79" t="s">
        <v>172</v>
      </c>
      <c r="AV725" s="79"/>
      <c r="AW725" s="79"/>
      <c r="AX725" s="79"/>
      <c r="AY725" s="79"/>
      <c r="AZ725" s="79"/>
      <c r="BA725" s="80" t="str">
        <f t="shared" si="562"/>
        <v>Distrital</v>
      </c>
      <c r="BB725" s="79" t="s">
        <v>172</v>
      </c>
      <c r="BC725" s="79"/>
      <c r="BD725" s="79"/>
      <c r="BE725" s="79"/>
      <c r="BF725" s="79"/>
      <c r="BG725" s="79"/>
      <c r="BH725" s="80" t="str">
        <f t="shared" si="563"/>
        <v>Distrital</v>
      </c>
      <c r="BI725" s="79" t="s">
        <v>172</v>
      </c>
      <c r="BJ725" s="79"/>
      <c r="BK725" s="79"/>
      <c r="BL725" s="79"/>
      <c r="BM725" s="79"/>
      <c r="BN725" s="79"/>
      <c r="BO725" s="79"/>
      <c r="BP725" s="79"/>
      <c r="BQ725" s="79"/>
      <c r="BR725" s="79"/>
      <c r="BS725" s="80" t="s">
        <v>288</v>
      </c>
      <c r="BT725" s="80" t="s">
        <v>2875</v>
      </c>
      <c r="BU725" s="80" t="s">
        <v>5071</v>
      </c>
      <c r="BV725" s="71"/>
      <c r="BW725" s="79" t="s">
        <v>152</v>
      </c>
      <c r="BX725" s="79" t="s">
        <v>179</v>
      </c>
      <c r="BY725" s="71"/>
      <c r="BZ725" s="79">
        <v>0</v>
      </c>
      <c r="CA725" s="79">
        <v>13</v>
      </c>
      <c r="CB725" s="79">
        <f t="shared" si="717"/>
        <v>13</v>
      </c>
      <c r="CC725" s="79" t="str">
        <f t="shared" si="382"/>
        <v>Ninguna</v>
      </c>
      <c r="CD725" s="79" t="s">
        <v>174</v>
      </c>
      <c r="CE725" s="79"/>
      <c r="CF725" s="79"/>
      <c r="CG725" s="83" t="s">
        <v>5072</v>
      </c>
      <c r="CH725" s="41"/>
      <c r="CI725" s="79" t="s">
        <v>153</v>
      </c>
      <c r="CJ725" s="71"/>
      <c r="CK725" s="79">
        <f t="shared" si="718"/>
        <v>0</v>
      </c>
      <c r="CL725" s="79"/>
      <c r="CM725" s="79"/>
      <c r="CN725" s="79"/>
      <c r="CO725" s="79"/>
      <c r="CP725" s="79"/>
      <c r="CQ725" s="79"/>
      <c r="CR725" s="83" t="s">
        <v>179</v>
      </c>
      <c r="CS725" s="83" t="s">
        <v>179</v>
      </c>
      <c r="CT725" s="83" t="s">
        <v>179</v>
      </c>
      <c r="CU725" s="83" t="s">
        <v>179</v>
      </c>
      <c r="CV725" s="83" t="s">
        <v>179</v>
      </c>
      <c r="CW725" s="83" t="s">
        <v>179</v>
      </c>
      <c r="CX725" s="79" t="s">
        <v>153</v>
      </c>
      <c r="CY725" s="79">
        <f t="shared" si="719"/>
        <v>0</v>
      </c>
      <c r="CZ725" s="79">
        <v>0</v>
      </c>
      <c r="DA725" s="79">
        <f t="shared" si="720"/>
        <v>0</v>
      </c>
      <c r="DB725" s="84" t="str">
        <f t="shared" si="721"/>
        <v/>
      </c>
      <c r="DC725" s="41"/>
      <c r="DD725" s="79" t="s">
        <v>153</v>
      </c>
      <c r="DE725" s="71"/>
      <c r="DF725" s="127" t="s">
        <v>5073</v>
      </c>
      <c r="DG725" s="79">
        <v>712</v>
      </c>
      <c r="DH725" s="86" t="str">
        <f t="shared" si="907"/>
        <v>Completo</v>
      </c>
      <c r="DI725" s="79" t="s">
        <v>181</v>
      </c>
      <c r="DJ725" s="79" t="s">
        <v>182</v>
      </c>
      <c r="DK725" s="79"/>
      <c r="DL725" s="79">
        <v>0</v>
      </c>
      <c r="DM725" s="79">
        <v>0</v>
      </c>
      <c r="DN725" s="79" t="s">
        <v>182</v>
      </c>
      <c r="DO725" s="79"/>
      <c r="DP725" s="79"/>
      <c r="DQ725" s="79"/>
      <c r="DR725" s="75" t="str">
        <f t="shared" si="576"/>
        <v>No aplica</v>
      </c>
      <c r="DS725" s="79"/>
      <c r="DT725" s="79"/>
      <c r="DU725" s="75" t="str">
        <f t="shared" si="577"/>
        <v>No aplica</v>
      </c>
      <c r="DV725" s="79"/>
      <c r="DW725" s="79"/>
      <c r="DX725" s="79"/>
      <c r="DY725" s="79"/>
      <c r="DZ725" s="79"/>
      <c r="EA725" s="79"/>
      <c r="EB725" s="79"/>
      <c r="EC725" s="79"/>
      <c r="ED725" s="79" t="s">
        <v>1763</v>
      </c>
      <c r="EE725" s="79" t="str">
        <f t="shared" si="723"/>
        <v>Completo</v>
      </c>
      <c r="EF725" s="41"/>
      <c r="EG725" s="79" t="s">
        <v>153</v>
      </c>
      <c r="EH725" s="71"/>
      <c r="EI725" s="80"/>
      <c r="EJ725" s="71"/>
      <c r="EK725" s="79"/>
      <c r="EL725" s="87" t="str">
        <f t="shared" si="908"/>
        <v>No requiere</v>
      </c>
      <c r="EM725" s="87" t="str">
        <f t="shared" si="909"/>
        <v>No requiere</v>
      </c>
      <c r="EN725" s="87" t="str">
        <f t="shared" si="724"/>
        <v>No requiere</v>
      </c>
      <c r="EO725" s="71"/>
      <c r="EP725" s="84" t="str">
        <f t="shared" si="910"/>
        <v>No requiere</v>
      </c>
      <c r="EQ725" s="88" t="str">
        <f t="shared" si="911"/>
        <v>No requiere</v>
      </c>
      <c r="ER725" s="71"/>
      <c r="ES725" s="79"/>
      <c r="ET725" s="84" t="str">
        <f t="shared" si="912"/>
        <v>No requiere</v>
      </c>
      <c r="EU725" s="84" t="str">
        <f t="shared" si="725"/>
        <v>No requiere</v>
      </c>
      <c r="EV725" s="84" t="str">
        <f t="shared" si="913"/>
        <v>No requiere</v>
      </c>
      <c r="EW725" s="84" t="str">
        <f t="shared" si="581"/>
        <v>No requiere</v>
      </c>
      <c r="EX725" s="78"/>
      <c r="EY725" s="78"/>
      <c r="EZ725" s="179"/>
      <c r="FA725" s="179"/>
    </row>
    <row r="726" spans="1:157" s="190" customFormat="1" ht="46.5" customHeight="1">
      <c r="A726" s="79">
        <v>722</v>
      </c>
      <c r="B726" s="80" t="s">
        <v>2792</v>
      </c>
      <c r="C726" s="81">
        <v>45485</v>
      </c>
      <c r="D726" s="82">
        <v>0.58333333333333337</v>
      </c>
      <c r="E726" s="79" t="s">
        <v>200</v>
      </c>
      <c r="F726" s="79" t="s">
        <v>153</v>
      </c>
      <c r="G726" s="79" t="s">
        <v>152</v>
      </c>
      <c r="H726" s="79" t="s">
        <v>152</v>
      </c>
      <c r="I726" s="79" t="s">
        <v>152</v>
      </c>
      <c r="J726" s="79" t="s">
        <v>504</v>
      </c>
      <c r="K726" s="79" t="s">
        <v>155</v>
      </c>
      <c r="L726" s="80" t="s">
        <v>2793</v>
      </c>
      <c r="M726" s="80" t="s">
        <v>624</v>
      </c>
      <c r="N726" s="79" t="s">
        <v>720</v>
      </c>
      <c r="O726" s="80" t="str">
        <f>_xlfn.TEXTJOIN(", ",TRUE,P726:AN726)</f>
        <v/>
      </c>
      <c r="P726" s="79"/>
      <c r="Q726" s="79"/>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t="s">
        <v>169</v>
      </c>
      <c r="AP726" s="79" t="s">
        <v>2702</v>
      </c>
      <c r="AQ726" s="80" t="s">
        <v>5074</v>
      </c>
      <c r="AR726" s="83" t="s">
        <v>5075</v>
      </c>
      <c r="AS726" s="80" t="s">
        <v>5076</v>
      </c>
      <c r="AT726" s="80" t="str">
        <f>_xlfn.TEXTJOIN(", ",TRUE,$AU726:$AY726)</f>
        <v>Ciudad Bolívar</v>
      </c>
      <c r="AU726" s="79" t="s">
        <v>217</v>
      </c>
      <c r="AV726" s="79"/>
      <c r="AW726" s="79"/>
      <c r="AX726" s="79"/>
      <c r="AY726" s="79"/>
      <c r="AZ726" s="79"/>
      <c r="BA726" s="80" t="str">
        <f>_xlfn.TEXTJOIN(", ",TRUE,$BB726:$BG726)</f>
        <v>Suroriente, Ruralidad</v>
      </c>
      <c r="BB726" s="79" t="s">
        <v>218</v>
      </c>
      <c r="BC726" s="79" t="s">
        <v>219</v>
      </c>
      <c r="BD726" s="79"/>
      <c r="BE726" s="79"/>
      <c r="BF726" s="79"/>
      <c r="BG726" s="79"/>
      <c r="BH726" s="80" t="str">
        <f>_xlfn.TEXTJOIN(", ",TRUE,$BI726:$BR726)</f>
        <v>Arborizadora, Lucero</v>
      </c>
      <c r="BI726" s="79" t="s">
        <v>220</v>
      </c>
      <c r="BJ726" s="79" t="s">
        <v>221</v>
      </c>
      <c r="BK726" s="79"/>
      <c r="BL726" s="79"/>
      <c r="BM726" s="79"/>
      <c r="BN726" s="79"/>
      <c r="BO726" s="79"/>
      <c r="BP726" s="79"/>
      <c r="BQ726" s="79"/>
      <c r="BR726" s="79"/>
      <c r="BS726" s="80" t="s">
        <v>2795</v>
      </c>
      <c r="BT726" s="80" t="s">
        <v>174</v>
      </c>
      <c r="BU726" s="80" t="s">
        <v>5077</v>
      </c>
      <c r="BV726" s="71"/>
      <c r="BW726" s="79" t="s">
        <v>152</v>
      </c>
      <c r="BX726" s="79" t="s">
        <v>179</v>
      </c>
      <c r="BY726" s="71"/>
      <c r="BZ726" s="79">
        <v>11</v>
      </c>
      <c r="CA726" s="79">
        <v>1</v>
      </c>
      <c r="CB726" s="79">
        <f>BZ726+CA726</f>
        <v>12</v>
      </c>
      <c r="CC726" s="79" t="str">
        <f>_xlfn.TEXTJOIN(", ",TRUE,$CD726:$CF726)</f>
        <v>Ninguna</v>
      </c>
      <c r="CD726" s="79" t="s">
        <v>174</v>
      </c>
      <c r="CE726" s="79"/>
      <c r="CF726" s="79"/>
      <c r="CG726" s="83" t="s">
        <v>2793</v>
      </c>
      <c r="CH726" s="41"/>
      <c r="CI726" s="79" t="s">
        <v>153</v>
      </c>
      <c r="CJ726" s="71"/>
      <c r="CK726" s="79">
        <f>COUNTIF(CL726:CQ726,"*")</f>
        <v>0</v>
      </c>
      <c r="CL726" s="79"/>
      <c r="CM726" s="79"/>
      <c r="CN726" s="79"/>
      <c r="CO726" s="79"/>
      <c r="CP726" s="79"/>
      <c r="CQ726" s="79"/>
      <c r="CR726" s="83" t="s">
        <v>179</v>
      </c>
      <c r="CS726" s="83" t="s">
        <v>179</v>
      </c>
      <c r="CT726" s="83" t="s">
        <v>179</v>
      </c>
      <c r="CU726" s="83" t="s">
        <v>179</v>
      </c>
      <c r="CV726" s="83" t="s">
        <v>179</v>
      </c>
      <c r="CW726" s="83" t="s">
        <v>179</v>
      </c>
      <c r="CX726" s="79" t="s">
        <v>153</v>
      </c>
      <c r="CY726" s="79">
        <f>SUM(COUNTIF(CR726:CW726,"Realizado y Devuelto a la Ciudadanía"),COUNTIF(CR726:CW726,"Realizado y Trasladado por competencia"), COUNTIF(CR726:CW726,"Realizado y Gestionado"))</f>
        <v>0</v>
      </c>
      <c r="CZ726" s="79">
        <v>0</v>
      </c>
      <c r="DA726" s="79">
        <f>COUNTIF(CR726:CW726,"Realizado y Devuelto a la Ciudadanía")</f>
        <v>0</v>
      </c>
      <c r="DB726" s="84" t="str">
        <f>IFERROR(CY726/CK726,"")</f>
        <v/>
      </c>
      <c r="DC726" s="41"/>
      <c r="DD726" s="79" t="s">
        <v>153</v>
      </c>
      <c r="DE726" s="71"/>
      <c r="DF726" s="127" t="s">
        <v>5078</v>
      </c>
      <c r="DG726" s="79">
        <v>713</v>
      </c>
      <c r="DH726" s="86" t="str">
        <f>IF(EE726="Por completar",C726+3,"Completo")</f>
        <v>Completo</v>
      </c>
      <c r="DI726" s="79" t="s">
        <v>181</v>
      </c>
      <c r="DJ726" s="79" t="s">
        <v>182</v>
      </c>
      <c r="DK726" s="79"/>
      <c r="DL726" s="79">
        <v>0</v>
      </c>
      <c r="DM726" s="79">
        <v>0</v>
      </c>
      <c r="DN726" s="79" t="s">
        <v>182</v>
      </c>
      <c r="DO726" s="79"/>
      <c r="DP726" s="79"/>
      <c r="DQ726" s="79"/>
      <c r="DR726" s="75" t="str">
        <f>IF(H726="SÍ", (DQ726/(BZ726*0.3)), "No aplica")</f>
        <v>No aplica</v>
      </c>
      <c r="DS726" s="79"/>
      <c r="DT726" s="79"/>
      <c r="DU726" s="75" t="str">
        <f>IF(H726="SÍ", (DT726/(BZ726*0.35)), "No aplica")</f>
        <v>No aplica</v>
      </c>
      <c r="DV726" s="79" t="s">
        <v>182</v>
      </c>
      <c r="DW726" s="79"/>
      <c r="DX726" s="79"/>
      <c r="DY726" s="79"/>
      <c r="DZ726" s="79"/>
      <c r="EA726" s="79"/>
      <c r="EB726" s="79"/>
      <c r="EC726" s="79"/>
      <c r="ED726" s="79" t="s">
        <v>5079</v>
      </c>
      <c r="EE726" s="79" t="str">
        <f>IF(DI726="Subsanado","Completo","Por Completar")</f>
        <v>Completo</v>
      </c>
      <c r="EF726" s="41"/>
      <c r="EG726" s="79" t="s">
        <v>153</v>
      </c>
      <c r="EH726" s="71"/>
      <c r="EI726" s="80"/>
      <c r="EJ726" s="71"/>
      <c r="EK726" s="79"/>
      <c r="EL726" s="87" t="str">
        <f>IF(F726="NO","No requiere",IF(H726="No","No requiere",IF(DW726="","",IF(DW726&lt;&gt;"No aplica",IF(DX726&lt;&gt;"No aplica",IF(DX726&gt;=2,"Sí","No"),"No aplica"),"No aplica"))))</f>
        <v>No requiere</v>
      </c>
      <c r="EM726" s="87" t="str">
        <f>IF(F726="NO","No requiere",IF(H726="No","No requiere",IF(DW726="","",IF(DW726&lt;&gt;"No aplica",IF(DY726&lt;&gt;"No aplica",IF(DY726&gt;=1,"Sí","No"),"No aplica"),"No aplica"))))</f>
        <v>No requiere</v>
      </c>
      <c r="EN726" s="87" t="str">
        <f>IF(F726="NO","No requiere",IF(H726="No","No requiere",IF(CC726="","",IF(CD726&lt;&gt;"No aplica",IF(CD726&lt;&gt;"Ninguna",IF(COUNTIF(CD726:CF726,"*")&gt;=1,"Sí","No"),"No"),"No aplica"))))</f>
        <v>No requiere</v>
      </c>
      <c r="EO726" s="71"/>
      <c r="EP726" s="84" t="str">
        <f>IF(F726="NO","No requiere",IF(H726="No","No requiere",IF(DL726="","",IF(DL726&gt;=1,DM726/DL726,"No aplica"))))</f>
        <v>No requiere</v>
      </c>
      <c r="EQ726" s="88" t="str">
        <f>IFERROR(IF(F726="NO","No requiere",IF(H726="No","No requiere",DU726)),"")</f>
        <v>No requiere</v>
      </c>
      <c r="ER726" s="71"/>
      <c r="ES726" s="79"/>
      <c r="ET726" s="84" t="str">
        <f>IF(F726="NO","No requiere",IF(H726="No","No requiere",IFERROR(COUNTIF(DJ726:DW726,"Completo")/SUM(COUNTIF(DJ726:DW726,"Completo"),COUNTIF(DJ726:DW726,"Incompleto"),COUNTIF(DJ726:DW726,"No subido"),COUNTIF(DJ726:DW726,"No existente"),COUNTIF(DJ726:DW726,"Pendiente")),"")))</f>
        <v>No requiere</v>
      </c>
      <c r="EU726" s="84" t="str">
        <f>IF(F726="NO","No requiere",IF(H726="No","No requiere",IF(B726="","",IF(CX726="SÍ",IF(CK726&gt;=1,CY726/CK726,"Sin compromisos"),"Por verificar"))))</f>
        <v>No requiere</v>
      </c>
      <c r="EV726" s="84" t="str">
        <f>IF(EU726="Por verificar","Por verificar",IF(F726="NO","No requiere",IF(H726="No","No requiere",IFERROR(IF(EU726="","",IF(CK726&gt;=1,DA726/CZ726,"No aplica")),"No aplica"))))</f>
        <v>No requiere</v>
      </c>
      <c r="EW726" s="84" t="str">
        <f>IF(F726="NO","No requiere",IF(H726="No","No requiere",IFERROR(IF(BZ726="","",IF(EA726&lt;&gt;"No aplica",IF(EA726&gt;=1,DO726/EA726,"0%"),"No aplica")),"")))</f>
        <v>No requiere</v>
      </c>
      <c r="EX726" s="78"/>
      <c r="EY726" s="78"/>
      <c r="EZ726" s="179"/>
      <c r="FA726" s="179"/>
    </row>
    <row r="727" spans="1:157" s="190" customFormat="1" ht="46.5" customHeight="1">
      <c r="A727" s="129" t="str">
        <v/>
      </c>
      <c r="B727" s="80" t="s">
        <v>5080</v>
      </c>
      <c r="C727" s="81">
        <v>45485</v>
      </c>
      <c r="D727" s="82">
        <v>0.60416666666666663</v>
      </c>
      <c r="E727" s="79" t="s">
        <v>151</v>
      </c>
      <c r="F727" s="79" t="s">
        <v>152</v>
      </c>
      <c r="G727" s="79" t="s">
        <v>152</v>
      </c>
      <c r="H727" s="79" t="s">
        <v>152</v>
      </c>
      <c r="I727" s="79" t="s">
        <v>152</v>
      </c>
      <c r="J727" s="79" t="s">
        <v>1711</v>
      </c>
      <c r="K727" s="79" t="s">
        <v>155</v>
      </c>
      <c r="L727" s="80" t="s">
        <v>5081</v>
      </c>
      <c r="M727" s="80" t="s">
        <v>624</v>
      </c>
      <c r="N727" s="79" t="s">
        <v>801</v>
      </c>
      <c r="O727" s="80" t="str">
        <f t="shared" ref="O727" si="915">_xlfn.TEXTJOIN(", ",TRUE,P727:AN727)</f>
        <v>PENDIENTE</v>
      </c>
      <c r="P727" s="79" t="s">
        <v>196</v>
      </c>
      <c r="Q727" s="79"/>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t="s">
        <v>169</v>
      </c>
      <c r="AP727" s="79" t="s">
        <v>170</v>
      </c>
      <c r="AQ727" s="80" t="s">
        <v>5082</v>
      </c>
      <c r="AR727" s="83" t="s">
        <v>5083</v>
      </c>
      <c r="AS727" s="199" t="s">
        <v>5084</v>
      </c>
      <c r="AT727" s="80" t="str">
        <f t="shared" ref="AT727" si="916">_xlfn.TEXTJOIN(", ",TRUE,$AU727:$AY727)</f>
        <v>No Especifica</v>
      </c>
      <c r="AU727" s="79" t="s">
        <v>5085</v>
      </c>
      <c r="AV727" s="79"/>
      <c r="AW727" s="79"/>
      <c r="AX727" s="79"/>
      <c r="AY727" s="79"/>
      <c r="AZ727" s="79"/>
      <c r="BA727" s="80" t="str">
        <f t="shared" ref="BA727" si="917">_xlfn.TEXTJOIN(", ",TRUE,$BB727:$BG727)</f>
        <v>Distrital</v>
      </c>
      <c r="BB727" s="79" t="s">
        <v>172</v>
      </c>
      <c r="BC727" s="79"/>
      <c r="BD727" s="79"/>
      <c r="BE727" s="79"/>
      <c r="BF727" s="79"/>
      <c r="BG727" s="79"/>
      <c r="BH727" s="80" t="str">
        <f t="shared" ref="BH727" si="918">_xlfn.TEXTJOIN(", ",TRUE,$BI727:$BR727)</f>
        <v>Distrital</v>
      </c>
      <c r="BI727" s="79" t="s">
        <v>172</v>
      </c>
      <c r="BJ727" s="79"/>
      <c r="BK727" s="79"/>
      <c r="BL727" s="79"/>
      <c r="BM727" s="79"/>
      <c r="BN727" s="79"/>
      <c r="BO727" s="79"/>
      <c r="BP727" s="79"/>
      <c r="BQ727" s="79"/>
      <c r="BR727" s="79"/>
      <c r="BS727" s="80" t="s">
        <v>288</v>
      </c>
      <c r="BT727" s="80" t="s">
        <v>174</v>
      </c>
      <c r="BU727" s="80" t="s">
        <v>5086</v>
      </c>
      <c r="BV727" s="71"/>
      <c r="BW727" s="79" t="s">
        <v>152</v>
      </c>
      <c r="BX727" s="79" t="s">
        <v>179</v>
      </c>
      <c r="BY727" s="71"/>
      <c r="BZ727" s="79">
        <v>1</v>
      </c>
      <c r="CA727" s="79">
        <v>11</v>
      </c>
      <c r="CB727" s="79">
        <f t="shared" ref="CB727" si="919">BZ727+CA727</f>
        <v>12</v>
      </c>
      <c r="CC727" s="79" t="str">
        <f t="shared" si="382"/>
        <v>Ninguna</v>
      </c>
      <c r="CD727" s="79" t="s">
        <v>174</v>
      </c>
      <c r="CE727" s="79"/>
      <c r="CF727" s="79"/>
      <c r="CG727" s="83" t="s">
        <v>5087</v>
      </c>
      <c r="CH727" s="41"/>
      <c r="CI727" s="79" t="s">
        <v>153</v>
      </c>
      <c r="CJ727" s="71"/>
      <c r="CK727" s="79">
        <f t="shared" ref="CK727" si="920">COUNTIF(CL727:CQ727,"*")</f>
        <v>0</v>
      </c>
      <c r="CL727" s="79"/>
      <c r="CM727" s="79"/>
      <c r="CN727" s="79"/>
      <c r="CO727" s="79"/>
      <c r="CP727" s="79"/>
      <c r="CQ727" s="79"/>
      <c r="CR727" s="83" t="s">
        <v>179</v>
      </c>
      <c r="CS727" s="83" t="s">
        <v>179</v>
      </c>
      <c r="CT727" s="83" t="s">
        <v>179</v>
      </c>
      <c r="CU727" s="83" t="s">
        <v>179</v>
      </c>
      <c r="CV727" s="83" t="s">
        <v>179</v>
      </c>
      <c r="CW727" s="83" t="s">
        <v>179</v>
      </c>
      <c r="CX727" s="79" t="s">
        <v>153</v>
      </c>
      <c r="CY727" s="79">
        <f t="shared" ref="CY727" si="921">SUM(COUNTIF(CR727:CW727,"Realizado y Devuelto a la Ciudadanía"),COUNTIF(CR727:CW727,"Realizado y Trasladado por competencia"), COUNTIF(CR727:CW727,"Realizado y Gestionado"))</f>
        <v>0</v>
      </c>
      <c r="CZ727" s="79">
        <v>0</v>
      </c>
      <c r="DA727" s="79">
        <f t="shared" ref="DA727" si="922">COUNTIF(CR727:CW727,"Realizado y Devuelto a la Ciudadanía")</f>
        <v>0</v>
      </c>
      <c r="DB727" s="84" t="str">
        <f t="shared" ref="DB727" si="923">IFERROR(CY727/CK727,"")</f>
        <v/>
      </c>
      <c r="DC727" s="41"/>
      <c r="DD727" s="79" t="s">
        <v>153</v>
      </c>
      <c r="DE727" s="71"/>
      <c r="DF727" s="127" t="s">
        <v>5088</v>
      </c>
      <c r="DG727" s="79">
        <v>714</v>
      </c>
      <c r="DH727" s="86" t="str">
        <f t="shared" ref="DH727" si="924">IF(EE727="Por completar",C727+3,"Completo")</f>
        <v>Completo</v>
      </c>
      <c r="DI727" s="79" t="s">
        <v>181</v>
      </c>
      <c r="DJ727" s="79" t="s">
        <v>182</v>
      </c>
      <c r="DK727" s="79"/>
      <c r="DL727" s="79">
        <v>0</v>
      </c>
      <c r="DM727" s="79">
        <v>0</v>
      </c>
      <c r="DN727" s="79" t="s">
        <v>182</v>
      </c>
      <c r="DO727" s="79"/>
      <c r="DP727" s="79"/>
      <c r="DQ727" s="79"/>
      <c r="DR727" s="75" t="str">
        <f t="shared" ref="DR727" si="925">IF(H727="SÍ", (DQ727/(BZ727*0.3)), "No aplica")</f>
        <v>No aplica</v>
      </c>
      <c r="DS727" s="79"/>
      <c r="DT727" s="79"/>
      <c r="DU727" s="75" t="str">
        <f t="shared" ref="DU727" si="926">IF(H727="SÍ", (DT727/(BZ727*0.35)), "No aplica")</f>
        <v>No aplica</v>
      </c>
      <c r="DV727" s="79" t="s">
        <v>182</v>
      </c>
      <c r="DW727" s="79"/>
      <c r="DX727" s="79"/>
      <c r="DY727" s="79"/>
      <c r="DZ727" s="79"/>
      <c r="EA727" s="79"/>
      <c r="EB727" s="79"/>
      <c r="EC727" s="79"/>
      <c r="ED727" s="79" t="s">
        <v>5089</v>
      </c>
      <c r="EE727" s="79" t="str">
        <f t="shared" ref="EE727" si="927">IF(DI727="Subsanado","Completo","Por Completar")</f>
        <v>Completo</v>
      </c>
      <c r="EF727" s="41"/>
      <c r="EG727" s="79" t="s">
        <v>153</v>
      </c>
      <c r="EH727" s="71"/>
      <c r="EI727" s="80"/>
      <c r="EJ727" s="71"/>
      <c r="EK727" s="79"/>
      <c r="EL727" s="87" t="str">
        <f t="shared" ref="EL727" si="928">IF(F727="NO","No requiere",IF(H727="No","No requiere",IF(DW727="","",IF(DW727&lt;&gt;"No aplica",IF(DX727&lt;&gt;"No aplica",IF(DX727&gt;=2,"Sí","No"),"No aplica"),"No aplica"))))</f>
        <v>No requiere</v>
      </c>
      <c r="EM727" s="87" t="str">
        <f t="shared" ref="EM727" si="929">IF(F727="NO","No requiere",IF(H727="No","No requiere",IF(DW727="","",IF(DW727&lt;&gt;"No aplica",IF(DY727&lt;&gt;"No aplica",IF(DY727&gt;=1,"Sí","No"),"No aplica"),"No aplica"))))</f>
        <v>No requiere</v>
      </c>
      <c r="EN727" s="87" t="str">
        <f t="shared" ref="EN727" si="930">IF(F727="NO","No requiere",IF(H727="No","No requiere",IF(CC727="","",IF(CD727&lt;&gt;"No aplica",IF(CD727&lt;&gt;"Ninguna",IF(COUNTIF(CD727:CF727,"*")&gt;=1,"Sí","No"),"No"),"No aplica"))))</f>
        <v>No requiere</v>
      </c>
      <c r="EO727" s="71"/>
      <c r="EP727" s="84" t="str">
        <f t="shared" ref="EP727" si="931">IF(F727="NO","No requiere",IF(H727="No","No requiere",IF(DL727="","",IF(DL727&gt;=1,DM727/DL727,"No aplica"))))</f>
        <v>No requiere</v>
      </c>
      <c r="EQ727" s="88" t="str">
        <f t="shared" ref="EQ727" si="932">IFERROR(IF(F727="NO","No requiere",IF(H727="No","No requiere",DU727)),"")</f>
        <v>No requiere</v>
      </c>
      <c r="ER727" s="71"/>
      <c r="ES727" s="79"/>
      <c r="ET727" s="84" t="str">
        <f t="shared" ref="ET727" si="933">IF(F727="NO","No requiere",IF(H727="No","No requiere",IFERROR(COUNTIF(DJ727:DW727,"Completo")/SUM(COUNTIF(DJ727:DW727,"Completo"),COUNTIF(DJ727:DW727,"Incompleto"),COUNTIF(DJ727:DW727,"No subido"),COUNTIF(DJ727:DW727,"No existente"),COUNTIF(DJ727:DW727,"Pendiente")),"")))</f>
        <v>No requiere</v>
      </c>
      <c r="EU727" s="84" t="str">
        <f t="shared" ref="EU727" si="934">IF(F727="NO","No requiere",IF(H727="No","No requiere",IF(B727="","",IF(CX727="SÍ",IF(CK727&gt;=1,CY727/CK727,"Sin compromisos"),"Por verificar"))))</f>
        <v>No requiere</v>
      </c>
      <c r="EV727" s="84" t="str">
        <f t="shared" ref="EV727" si="935">IF(EU727="Por verificar","Por verificar",IF(F727="NO","No requiere",IF(H727="No","No requiere",IFERROR(IF(EU727="","",IF(CK727&gt;=1,DA727/CZ727,"No aplica")),"No aplica"))))</f>
        <v>No requiere</v>
      </c>
      <c r="EW727" s="84" t="str">
        <f t="shared" ref="EW727" si="936">IF(F727="NO","No requiere",IF(H727="No","No requiere",IFERROR(IF(BZ727="","",IF(EA727&lt;&gt;"No aplica",IF(EA727&gt;=1,DO727/EA727,"0%"),"No aplica")),"")))</f>
        <v>No requiere</v>
      </c>
      <c r="EX727" s="78"/>
      <c r="EY727" s="78"/>
      <c r="EZ727" s="179"/>
      <c r="FA727" s="179"/>
    </row>
    <row r="728" spans="1:157" s="190" customFormat="1" ht="46.5" customHeight="1">
      <c r="A728" s="79">
        <v>724</v>
      </c>
      <c r="B728" s="80" t="s">
        <v>5090</v>
      </c>
      <c r="C728" s="81">
        <v>45485</v>
      </c>
      <c r="D728" s="82">
        <v>0.625</v>
      </c>
      <c r="E728" s="79" t="s">
        <v>151</v>
      </c>
      <c r="F728" s="79" t="s">
        <v>153</v>
      </c>
      <c r="G728" s="79" t="s">
        <v>153</v>
      </c>
      <c r="H728" s="79" t="s">
        <v>152</v>
      </c>
      <c r="I728" s="79" t="s">
        <v>152</v>
      </c>
      <c r="J728" s="79" t="s">
        <v>3999</v>
      </c>
      <c r="K728" s="79" t="s">
        <v>155</v>
      </c>
      <c r="L728" s="80" t="s">
        <v>5091</v>
      </c>
      <c r="M728" s="80" t="s">
        <v>241</v>
      </c>
      <c r="N728" s="79" t="s">
        <v>819</v>
      </c>
      <c r="O728" s="80" t="str">
        <f t="shared" si="906"/>
        <v>Manuel Fernando Vergara</v>
      </c>
      <c r="P728" s="79" t="s">
        <v>820</v>
      </c>
      <c r="Q728" s="79"/>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t="s">
        <v>230</v>
      </c>
      <c r="AP728" s="79" t="s">
        <v>231</v>
      </c>
      <c r="AQ728" s="80" t="s">
        <v>5092</v>
      </c>
      <c r="AR728" s="83" t="s">
        <v>5093</v>
      </c>
      <c r="AS728" s="80" t="s">
        <v>1988</v>
      </c>
      <c r="AT728" s="80" t="str">
        <f t="shared" si="545"/>
        <v>Suba</v>
      </c>
      <c r="AU728" s="79" t="s">
        <v>602</v>
      </c>
      <c r="AV728" s="79"/>
      <c r="AW728" s="79"/>
      <c r="AX728" s="79"/>
      <c r="AY728" s="79"/>
      <c r="AZ728" s="79"/>
      <c r="BA728" s="80" t="str">
        <f t="shared" si="562"/>
        <v>Noroccidente</v>
      </c>
      <c r="BB728" s="79" t="s">
        <v>603</v>
      </c>
      <c r="BC728" s="79"/>
      <c r="BD728" s="79"/>
      <c r="BE728" s="79"/>
      <c r="BF728" s="79"/>
      <c r="BG728" s="79"/>
      <c r="BH728" s="80" t="str">
        <f t="shared" si="563"/>
        <v>Tibabuyes</v>
      </c>
      <c r="BI728" s="79" t="s">
        <v>1378</v>
      </c>
      <c r="BJ728" s="79"/>
      <c r="BK728" s="79"/>
      <c r="BL728" s="79"/>
      <c r="BM728" s="79"/>
      <c r="BN728" s="79"/>
      <c r="BO728" s="79"/>
      <c r="BP728" s="79"/>
      <c r="BQ728" s="79"/>
      <c r="BR728" s="79"/>
      <c r="BS728" s="80" t="s">
        <v>5094</v>
      </c>
      <c r="BT728" s="80" t="s">
        <v>174</v>
      </c>
      <c r="BU728" s="80" t="s">
        <v>5095</v>
      </c>
      <c r="BV728" s="71"/>
      <c r="BW728" s="79" t="s">
        <v>152</v>
      </c>
      <c r="BX728" s="79" t="s">
        <v>179</v>
      </c>
      <c r="BY728" s="71"/>
      <c r="BZ728" s="79">
        <v>20</v>
      </c>
      <c r="CA728" s="79">
        <v>2</v>
      </c>
      <c r="CB728" s="79">
        <f t="shared" si="717"/>
        <v>22</v>
      </c>
      <c r="CC728" s="79" t="str">
        <f t="shared" si="382"/>
        <v>Horarios Acordes</v>
      </c>
      <c r="CD728" s="79" t="s">
        <v>351</v>
      </c>
      <c r="CE728" s="79"/>
      <c r="CF728" s="79"/>
      <c r="CG728" s="83" t="s">
        <v>5096</v>
      </c>
      <c r="CH728" s="41"/>
      <c r="CI728" s="79" t="s">
        <v>153</v>
      </c>
      <c r="CJ728" s="71"/>
      <c r="CK728" s="79">
        <f t="shared" si="718"/>
        <v>0</v>
      </c>
      <c r="CL728" s="79"/>
      <c r="CM728" s="79"/>
      <c r="CN728" s="79"/>
      <c r="CO728" s="79"/>
      <c r="CP728" s="79"/>
      <c r="CQ728" s="79"/>
      <c r="CR728" s="83" t="s">
        <v>179</v>
      </c>
      <c r="CS728" s="83" t="s">
        <v>179</v>
      </c>
      <c r="CT728" s="83" t="s">
        <v>179</v>
      </c>
      <c r="CU728" s="83" t="s">
        <v>179</v>
      </c>
      <c r="CV728" s="83" t="s">
        <v>179</v>
      </c>
      <c r="CW728" s="83" t="s">
        <v>179</v>
      </c>
      <c r="CX728" s="79" t="s">
        <v>153</v>
      </c>
      <c r="CY728" s="79">
        <f t="shared" si="719"/>
        <v>0</v>
      </c>
      <c r="CZ728" s="79">
        <v>0</v>
      </c>
      <c r="DA728" s="79">
        <f t="shared" si="720"/>
        <v>0</v>
      </c>
      <c r="DB728" s="84" t="str">
        <f t="shared" si="721"/>
        <v/>
      </c>
      <c r="DC728" s="41"/>
      <c r="DD728" s="79" t="s">
        <v>153</v>
      </c>
      <c r="DE728" s="71"/>
      <c r="DF728" s="127" t="s">
        <v>5097</v>
      </c>
      <c r="DG728" s="79">
        <v>715</v>
      </c>
      <c r="DH728" s="86" t="str">
        <f t="shared" si="907"/>
        <v>Completo</v>
      </c>
      <c r="DI728" s="79" t="s">
        <v>181</v>
      </c>
      <c r="DJ728" s="79" t="s">
        <v>182</v>
      </c>
      <c r="DK728" s="79"/>
      <c r="DL728" s="79">
        <v>0</v>
      </c>
      <c r="DM728" s="79">
        <v>0</v>
      </c>
      <c r="DN728" s="79" t="s">
        <v>182</v>
      </c>
      <c r="DO728" s="79"/>
      <c r="DP728" s="79"/>
      <c r="DQ728" s="79"/>
      <c r="DR728" s="75" t="str">
        <f t="shared" si="576"/>
        <v>No aplica</v>
      </c>
      <c r="DS728" s="79"/>
      <c r="DT728" s="79"/>
      <c r="DU728" s="75" t="str">
        <f t="shared" si="577"/>
        <v>No aplica</v>
      </c>
      <c r="DV728" s="79" t="s">
        <v>182</v>
      </c>
      <c r="DW728" s="79"/>
      <c r="DX728" s="79"/>
      <c r="DY728" s="79"/>
      <c r="DZ728" s="79"/>
      <c r="EA728" s="79"/>
      <c r="EB728" s="79" t="s">
        <v>182</v>
      </c>
      <c r="EC728" s="79" t="s">
        <v>4829</v>
      </c>
      <c r="ED728" s="79" t="s">
        <v>4009</v>
      </c>
      <c r="EE728" s="79" t="str">
        <f t="shared" si="723"/>
        <v>Completo</v>
      </c>
      <c r="EF728" s="41"/>
      <c r="EG728" s="79" t="s">
        <v>153</v>
      </c>
      <c r="EH728" s="71"/>
      <c r="EI728" s="80"/>
      <c r="EJ728" s="71"/>
      <c r="EK728" s="79"/>
      <c r="EL728" s="87" t="str">
        <f t="shared" si="908"/>
        <v>No requiere</v>
      </c>
      <c r="EM728" s="87" t="str">
        <f t="shared" si="909"/>
        <v>No requiere</v>
      </c>
      <c r="EN728" s="87" t="str">
        <f t="shared" si="724"/>
        <v>No requiere</v>
      </c>
      <c r="EO728" s="71"/>
      <c r="EP728" s="84" t="str">
        <f t="shared" si="910"/>
        <v>No requiere</v>
      </c>
      <c r="EQ728" s="88" t="str">
        <f t="shared" si="911"/>
        <v>No requiere</v>
      </c>
      <c r="ER728" s="71"/>
      <c r="ES728" s="79"/>
      <c r="ET728" s="84" t="str">
        <f t="shared" si="912"/>
        <v>No requiere</v>
      </c>
      <c r="EU728" s="84" t="str">
        <f t="shared" si="725"/>
        <v>No requiere</v>
      </c>
      <c r="EV728" s="84" t="str">
        <f t="shared" si="913"/>
        <v>No requiere</v>
      </c>
      <c r="EW728" s="84" t="str">
        <f t="shared" si="581"/>
        <v>No requiere</v>
      </c>
      <c r="EX728" s="78"/>
      <c r="EY728" s="78"/>
      <c r="EZ728" s="179"/>
      <c r="FA728" s="179"/>
    </row>
    <row r="729" spans="1:157" s="190" customFormat="1" ht="46.5" customHeight="1">
      <c r="A729" s="79">
        <v>725</v>
      </c>
      <c r="B729" s="80" t="s">
        <v>5098</v>
      </c>
      <c r="C729" s="81">
        <v>45485</v>
      </c>
      <c r="D729" s="82">
        <v>0.70833333333333337</v>
      </c>
      <c r="E729" s="79" t="s">
        <v>151</v>
      </c>
      <c r="F729" s="79" t="s">
        <v>153</v>
      </c>
      <c r="G729" s="79" t="s">
        <v>153</v>
      </c>
      <c r="H729" s="79" t="s">
        <v>152</v>
      </c>
      <c r="I729" s="79" t="s">
        <v>152</v>
      </c>
      <c r="J729" s="79" t="s">
        <v>3999</v>
      </c>
      <c r="K729" s="79" t="s">
        <v>155</v>
      </c>
      <c r="L729" s="80" t="s">
        <v>5099</v>
      </c>
      <c r="M729" s="80" t="s">
        <v>241</v>
      </c>
      <c r="N729" s="79" t="s">
        <v>749</v>
      </c>
      <c r="O729" s="80" t="str">
        <f t="shared" si="906"/>
        <v/>
      </c>
      <c r="P729" s="79"/>
      <c r="Q729" s="79"/>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t="s">
        <v>230</v>
      </c>
      <c r="AP729" s="79" t="s">
        <v>356</v>
      </c>
      <c r="AQ729" s="80" t="s">
        <v>5100</v>
      </c>
      <c r="AR729" s="83" t="s">
        <v>5101</v>
      </c>
      <c r="AS729" s="80" t="s">
        <v>5102</v>
      </c>
      <c r="AT729" s="80" t="str">
        <f t="shared" si="545"/>
        <v>Puente Aranda</v>
      </c>
      <c r="AU729" s="79" t="s">
        <v>1235</v>
      </c>
      <c r="AV729" s="79"/>
      <c r="AW729" s="79"/>
      <c r="AX729" s="79"/>
      <c r="AY729" s="79"/>
      <c r="AZ729" s="79"/>
      <c r="BA729" s="80" t="str">
        <f t="shared" si="562"/>
        <v>Centro Ampliado</v>
      </c>
      <c r="BB729" s="79" t="s">
        <v>636</v>
      </c>
      <c r="BC729" s="79"/>
      <c r="BD729" s="79"/>
      <c r="BE729" s="79"/>
      <c r="BF729" s="79"/>
      <c r="BG729" s="79"/>
      <c r="BH729" s="80" t="str">
        <f t="shared" si="563"/>
        <v>Puente Aranda</v>
      </c>
      <c r="BI729" s="79" t="s">
        <v>1235</v>
      </c>
      <c r="BJ729" s="79"/>
      <c r="BK729" s="79"/>
      <c r="BL729" s="79"/>
      <c r="BM729" s="79"/>
      <c r="BN729" s="79"/>
      <c r="BO729" s="79"/>
      <c r="BP729" s="79"/>
      <c r="BQ729" s="79"/>
      <c r="BR729" s="79"/>
      <c r="BS729" s="80" t="s">
        <v>5103</v>
      </c>
      <c r="BT729" s="80" t="s">
        <v>174</v>
      </c>
      <c r="BU729" s="80" t="s">
        <v>5104</v>
      </c>
      <c r="BV729" s="71"/>
      <c r="BW729" s="79" t="s">
        <v>152</v>
      </c>
      <c r="BX729" s="79" t="s">
        <v>179</v>
      </c>
      <c r="BY729" s="71"/>
      <c r="BZ729" s="79">
        <v>2</v>
      </c>
      <c r="CA729" s="79">
        <v>1</v>
      </c>
      <c r="CB729" s="79">
        <f t="shared" si="717"/>
        <v>3</v>
      </c>
      <c r="CC729" s="79" t="str">
        <f t="shared" si="382"/>
        <v>Ninguna</v>
      </c>
      <c r="CD729" s="79" t="s">
        <v>174</v>
      </c>
      <c r="CE729" s="79"/>
      <c r="CF729" s="79"/>
      <c r="CG729" s="83" t="s">
        <v>5105</v>
      </c>
      <c r="CH729" s="41"/>
      <c r="CI729" s="79" t="s">
        <v>153</v>
      </c>
      <c r="CJ729" s="71"/>
      <c r="CK729" s="79">
        <f t="shared" si="718"/>
        <v>0</v>
      </c>
      <c r="CL729" s="79"/>
      <c r="CM729" s="79"/>
      <c r="CN729" s="79"/>
      <c r="CO729" s="79"/>
      <c r="CP729" s="79"/>
      <c r="CQ729" s="79"/>
      <c r="CR729" s="83" t="s">
        <v>179</v>
      </c>
      <c r="CS729" s="83" t="s">
        <v>179</v>
      </c>
      <c r="CT729" s="83" t="s">
        <v>179</v>
      </c>
      <c r="CU729" s="83" t="s">
        <v>179</v>
      </c>
      <c r="CV729" s="83" t="s">
        <v>179</v>
      </c>
      <c r="CW729" s="83" t="s">
        <v>179</v>
      </c>
      <c r="CX729" s="79" t="s">
        <v>153</v>
      </c>
      <c r="CY729" s="79">
        <f>SUM(COUNTIF(CS729:CW729,"Realizado y Devuelto a la Ciudadanía"),COUNTIF(CS729:CW729,"Realizado y Trasladado por competencia"), COUNTIF(CS729:CW729,"Realizado y Gestionado"))</f>
        <v>0</v>
      </c>
      <c r="CZ729" s="79">
        <v>0</v>
      </c>
      <c r="DA729" s="79">
        <f>COUNTIF(CS729:CW729,"Realizado y Devuelto a la Ciudadanía")</f>
        <v>0</v>
      </c>
      <c r="DB729" s="84" t="str">
        <f t="shared" si="721"/>
        <v/>
      </c>
      <c r="DC729" s="41"/>
      <c r="DD729" s="79" t="s">
        <v>153</v>
      </c>
      <c r="DE729" s="71"/>
      <c r="DF729" s="127" t="s">
        <v>5106</v>
      </c>
      <c r="DG729" s="79">
        <v>716</v>
      </c>
      <c r="DH729" s="86" t="str">
        <f t="shared" si="907"/>
        <v>Completo</v>
      </c>
      <c r="DI729" s="79" t="s">
        <v>181</v>
      </c>
      <c r="DJ729" s="79" t="s">
        <v>182</v>
      </c>
      <c r="DK729" s="79"/>
      <c r="DL729" s="79">
        <v>0</v>
      </c>
      <c r="DM729" s="79">
        <v>0</v>
      </c>
      <c r="DN729" s="79" t="s">
        <v>182</v>
      </c>
      <c r="DO729" s="79"/>
      <c r="DP729" s="79"/>
      <c r="DQ729" s="79"/>
      <c r="DR729" s="75" t="str">
        <f t="shared" si="576"/>
        <v>No aplica</v>
      </c>
      <c r="DS729" s="79"/>
      <c r="DT729" s="79"/>
      <c r="DU729" s="75" t="str">
        <f t="shared" si="577"/>
        <v>No aplica</v>
      </c>
      <c r="DV729" s="79" t="s">
        <v>182</v>
      </c>
      <c r="DW729" s="79"/>
      <c r="DX729" s="79"/>
      <c r="DY729" s="79"/>
      <c r="DZ729" s="79"/>
      <c r="EA729" s="79"/>
      <c r="EB729" s="79"/>
      <c r="EC729" s="79"/>
      <c r="ED729" s="79" t="s">
        <v>3866</v>
      </c>
      <c r="EE729" s="79" t="str">
        <f t="shared" si="723"/>
        <v>Completo</v>
      </c>
      <c r="EF729" s="41"/>
      <c r="EG729" s="79" t="s">
        <v>153</v>
      </c>
      <c r="EH729" s="71"/>
      <c r="EI729" s="80"/>
      <c r="EJ729" s="71"/>
      <c r="EK729" s="79"/>
      <c r="EL729" s="87" t="str">
        <f t="shared" si="908"/>
        <v>No requiere</v>
      </c>
      <c r="EM729" s="87" t="str">
        <f t="shared" si="909"/>
        <v>No requiere</v>
      </c>
      <c r="EN729" s="87" t="str">
        <f t="shared" si="724"/>
        <v>No requiere</v>
      </c>
      <c r="EO729" s="71"/>
      <c r="EP729" s="84" t="str">
        <f t="shared" si="910"/>
        <v>No requiere</v>
      </c>
      <c r="EQ729" s="88" t="str">
        <f t="shared" si="911"/>
        <v>No requiere</v>
      </c>
      <c r="ER729" s="71"/>
      <c r="ES729" s="79"/>
      <c r="ET729" s="84" t="str">
        <f t="shared" si="912"/>
        <v>No requiere</v>
      </c>
      <c r="EU729" s="84" t="str">
        <f t="shared" si="725"/>
        <v>No requiere</v>
      </c>
      <c r="EV729" s="84" t="str">
        <f t="shared" si="913"/>
        <v>No requiere</v>
      </c>
      <c r="EW729" s="84" t="str">
        <f t="shared" si="581"/>
        <v>No requiere</v>
      </c>
      <c r="EX729" s="78"/>
      <c r="EY729" s="78"/>
      <c r="EZ729" s="179"/>
      <c r="FA729" s="179"/>
    </row>
    <row r="730" spans="1:157" s="190" customFormat="1" ht="59.25" customHeight="1">
      <c r="A730" s="79">
        <v>726</v>
      </c>
      <c r="B730" s="80" t="s">
        <v>5107</v>
      </c>
      <c r="C730" s="81">
        <v>45486</v>
      </c>
      <c r="D730" s="82">
        <v>0.41666666666666669</v>
      </c>
      <c r="E730" s="79" t="s">
        <v>151</v>
      </c>
      <c r="F730" s="79" t="s">
        <v>153</v>
      </c>
      <c r="G730" s="79" t="s">
        <v>153</v>
      </c>
      <c r="H730" s="79" t="s">
        <v>153</v>
      </c>
      <c r="I730" s="79" t="s">
        <v>152</v>
      </c>
      <c r="J730" s="79" t="s">
        <v>154</v>
      </c>
      <c r="K730" s="79" t="s">
        <v>155</v>
      </c>
      <c r="L730" s="80" t="s">
        <v>4764</v>
      </c>
      <c r="M730" s="80" t="s">
        <v>241</v>
      </c>
      <c r="N730" s="79" t="s">
        <v>163</v>
      </c>
      <c r="O730" s="80" t="str">
        <f t="shared" si="636"/>
        <v>Laura Camila Bechara, Michael Cruz Roa, Diego Alejandro Camacho</v>
      </c>
      <c r="P730" s="79" t="s">
        <v>887</v>
      </c>
      <c r="Q730" s="79" t="s">
        <v>265</v>
      </c>
      <c r="R730" s="79" t="s">
        <v>422</v>
      </c>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t="s">
        <v>230</v>
      </c>
      <c r="AP730" s="79" t="s">
        <v>347</v>
      </c>
      <c r="AQ730" s="80" t="s">
        <v>1839</v>
      </c>
      <c r="AR730" s="83" t="s">
        <v>4944</v>
      </c>
      <c r="AS730" s="80" t="s">
        <v>1840</v>
      </c>
      <c r="AT730" s="80" t="str">
        <f t="shared" si="545"/>
        <v>Distrital</v>
      </c>
      <c r="AU730" s="79" t="s">
        <v>172</v>
      </c>
      <c r="AV730" s="79"/>
      <c r="AW730" s="79"/>
      <c r="AX730" s="79"/>
      <c r="AY730" s="79"/>
      <c r="AZ730" s="79"/>
      <c r="BA730" s="80" t="str">
        <f t="shared" si="562"/>
        <v>Distrital</v>
      </c>
      <c r="BB730" s="79" t="s">
        <v>172</v>
      </c>
      <c r="BC730" s="79"/>
      <c r="BD730" s="79"/>
      <c r="BE730" s="79"/>
      <c r="BF730" s="79"/>
      <c r="BG730" s="79"/>
      <c r="BH730" s="80" t="str">
        <f t="shared" si="563"/>
        <v>Distrital</v>
      </c>
      <c r="BI730" s="79" t="s">
        <v>172</v>
      </c>
      <c r="BJ730" s="79"/>
      <c r="BK730" s="79"/>
      <c r="BL730" s="79"/>
      <c r="BM730" s="79"/>
      <c r="BN730" s="79"/>
      <c r="BO730" s="79"/>
      <c r="BP730" s="79"/>
      <c r="BQ730" s="79"/>
      <c r="BR730" s="79"/>
      <c r="BS730" s="80" t="s">
        <v>288</v>
      </c>
      <c r="BT730" s="80" t="s">
        <v>174</v>
      </c>
      <c r="BU730" s="80" t="s">
        <v>5108</v>
      </c>
      <c r="BV730" s="71"/>
      <c r="BW730" s="79" t="s">
        <v>153</v>
      </c>
      <c r="BX730" s="79" t="s">
        <v>4242</v>
      </c>
      <c r="BY730" s="71"/>
      <c r="BZ730" s="79">
        <v>39</v>
      </c>
      <c r="CA730" s="79">
        <v>7</v>
      </c>
      <c r="CB730" s="79">
        <f t="shared" ref="CB730" si="937">BZ730+CA730</f>
        <v>46</v>
      </c>
      <c r="CC730" s="79" t="str">
        <f>_xlfn.TEXTJOIN(", ",TRUE,$CD730:$CF730)</f>
        <v>Ninguna</v>
      </c>
      <c r="CD730" s="79" t="s">
        <v>174</v>
      </c>
      <c r="CE730" s="79"/>
      <c r="CF730" s="79"/>
      <c r="CG730" s="83" t="s">
        <v>5109</v>
      </c>
      <c r="CH730" s="41"/>
      <c r="CI730" s="79" t="s">
        <v>153</v>
      </c>
      <c r="CJ730" s="71"/>
      <c r="CK730" s="79">
        <v>2</v>
      </c>
      <c r="CL730" s="79" t="s">
        <v>5110</v>
      </c>
      <c r="CM730" s="79" t="s">
        <v>5111</v>
      </c>
      <c r="CN730" s="79"/>
      <c r="CO730" s="79"/>
      <c r="CP730" s="79"/>
      <c r="CQ730" s="79"/>
      <c r="CR730" s="83" t="s">
        <v>390</v>
      </c>
      <c r="CS730" s="83" t="s">
        <v>390</v>
      </c>
      <c r="CT730" s="83" t="s">
        <v>179</v>
      </c>
      <c r="CU730" s="83" t="s">
        <v>179</v>
      </c>
      <c r="CV730" s="83" t="s">
        <v>179</v>
      </c>
      <c r="CW730" s="83" t="s">
        <v>179</v>
      </c>
      <c r="CX730" s="79" t="s">
        <v>153</v>
      </c>
      <c r="CY730" s="79">
        <f t="shared" ref="CY730" si="938">SUM(COUNTIF(CR730:CW730,"Realizado y Devuelto a la Ciudadanía"),COUNTIF(CR730:CW730,"Realizado y Trasladado por competencia"), COUNTIF(CR730:CW730,"Realizado y Gestionado"))</f>
        <v>2</v>
      </c>
      <c r="CZ730" s="79">
        <v>0</v>
      </c>
      <c r="DA730" s="79">
        <f t="shared" ref="DA730" si="939">COUNTIF(CR730:CW730,"Realizado y Devuelto a la Ciudadanía")</f>
        <v>2</v>
      </c>
      <c r="DB730" s="84">
        <f t="shared" ref="DB730" si="940">IFERROR(CY730/CK730,"")</f>
        <v>1</v>
      </c>
      <c r="DC730" s="41"/>
      <c r="DD730" s="79" t="s">
        <v>153</v>
      </c>
      <c r="DE730" s="71"/>
      <c r="DF730" s="160" t="s">
        <v>5112</v>
      </c>
      <c r="DG730" s="79">
        <v>717</v>
      </c>
      <c r="DH730" s="86" t="str">
        <f t="shared" si="722"/>
        <v>Completo</v>
      </c>
      <c r="DI730" s="79" t="s">
        <v>181</v>
      </c>
      <c r="DJ730" s="79" t="s">
        <v>182</v>
      </c>
      <c r="DK730" s="79" t="s">
        <v>153</v>
      </c>
      <c r="DL730" s="79">
        <v>3</v>
      </c>
      <c r="DM730" s="79">
        <v>3</v>
      </c>
      <c r="DN730" s="79" t="s">
        <v>182</v>
      </c>
      <c r="DO730" s="79">
        <v>0</v>
      </c>
      <c r="DP730" s="79" t="s">
        <v>182</v>
      </c>
      <c r="DQ730" s="79">
        <v>12</v>
      </c>
      <c r="DR730" s="75">
        <f t="shared" si="576"/>
        <v>1.0256410256410258</v>
      </c>
      <c r="DS730" s="79" t="s">
        <v>191</v>
      </c>
      <c r="DT730" s="79"/>
      <c r="DU730" s="75">
        <f t="shared" si="577"/>
        <v>0</v>
      </c>
      <c r="DV730" s="79" t="s">
        <v>182</v>
      </c>
      <c r="DW730" s="79"/>
      <c r="DX730" s="79"/>
      <c r="DY730" s="79"/>
      <c r="DZ730" s="79"/>
      <c r="EA730" s="79" t="s">
        <v>179</v>
      </c>
      <c r="EB730" s="79"/>
      <c r="EC730" s="79"/>
      <c r="ED730" s="79" t="s">
        <v>5113</v>
      </c>
      <c r="EE730" s="79" t="str">
        <f t="shared" ref="EE730" si="941">IF(DI730="Subsanado","Completo","Por Completar")</f>
        <v>Completo</v>
      </c>
      <c r="EF730" s="41"/>
      <c r="EG730" s="79" t="s">
        <v>153</v>
      </c>
      <c r="EH730" s="71"/>
      <c r="EI730" s="312" t="s">
        <v>5114</v>
      </c>
      <c r="EJ730" s="71"/>
      <c r="EK730" s="79" t="s">
        <v>409</v>
      </c>
      <c r="EL730" s="87" t="str">
        <f t="shared" ref="EK730:EL935" si="942">IF(F730="NO","No requiere",IF(H730="No","No requiere",IF(DW730="","",IF(DW730&lt;&gt;"No aplica",IF(DX730&lt;&gt;"No aplica",IF(DX730&gt;=2,"Sí","No"),"No aplica"),"No aplica"))))</f>
        <v/>
      </c>
      <c r="EM730" s="87" t="str">
        <f t="shared" ref="EM730:EM935" si="943">IF(F730="NO","No requiere",IF(H730="No","No requiere",IF(DW730="","",IF(DW730&lt;&gt;"No aplica",IF(DY730&lt;&gt;"No aplica",IF(DY730&gt;=1,"Sí","No"),"No aplica"),"No aplica"))))</f>
        <v/>
      </c>
      <c r="EN730" s="87" t="str">
        <f t="shared" ref="EN730" si="944">IF(F730="NO","No requiere",IF(H730="No","No requiere",IF(CC730="","",IF(CD730&lt;&gt;"No aplica",IF(CD730&lt;&gt;"Ninguna",IF(COUNTIF(CD730:CF730,"*")&gt;=1,"Sí","No"),"No"),"No aplica"))))</f>
        <v>No</v>
      </c>
      <c r="EO730" s="71"/>
      <c r="EP730" s="84">
        <f t="shared" ref="EP730:EP935" si="945">IF(F730="NO","No requiere",IF(H730="No","No requiere",IF(DL730="","",IF(DL730&gt;=1,DM730/DL730,"No aplica"))))</f>
        <v>1</v>
      </c>
      <c r="EQ730" s="88">
        <f t="shared" ref="EQ730:EQ935" si="946">IFERROR(IF(F730="NO","No requiere",IF(H730="No","No requiere",DU730)),"")</f>
        <v>0</v>
      </c>
      <c r="ER730" s="71"/>
      <c r="ES730" s="79" t="s">
        <v>409</v>
      </c>
      <c r="ET730" s="84">
        <f t="shared" ref="ET730:ET935" si="947">IF(F730="NO","No requiere",IF(H730="No","No requiere",IFERROR(COUNTIF(DJ730:DW730,"Completo")/SUM(COUNTIF(DJ730:DW730,"Completo"),COUNTIF(DJ730:DW730,"Incompleto"),COUNTIF(DJ730:DW730,"No subido"),COUNTIF(DJ730:DW730,"No existente"),COUNTIF(DJ730:DW730,"Pendiente")),"")))</f>
        <v>0.8</v>
      </c>
      <c r="EU730" s="84">
        <f t="shared" ref="EU730" si="948">IF(F730="NO","No requiere",IF(H730="No","No requiere",IF(B730="","",IF(CX730="SÍ",IF(CK730&gt;=1,CY730/CK730,"Sin compromisos"),"Por verificar"))))</f>
        <v>1</v>
      </c>
      <c r="EV730" s="84" t="str">
        <f t="shared" ref="EV730:EV935" si="949">IF(EU730="Por verificar","Por verificar",IF(F730="NO","No requiere",IF(H730="No","No requiere",IFERROR(IF(EU730="","",IF(CK730&gt;=1,DA730/CZ730,"No aplica")),"No aplica"))))</f>
        <v>No aplica</v>
      </c>
      <c r="EW730" s="84" t="str">
        <f t="shared" si="581"/>
        <v>No aplica</v>
      </c>
      <c r="EX730" s="78"/>
      <c r="EY730" s="78"/>
      <c r="EZ730" s="179"/>
    </row>
    <row r="731" spans="1:157" s="197" customFormat="1" ht="57.75" customHeight="1">
      <c r="A731" s="129">
        <v>727</v>
      </c>
      <c r="B731" s="148" t="s">
        <v>5115</v>
      </c>
      <c r="C731" s="149">
        <v>45486</v>
      </c>
      <c r="D731" s="150">
        <v>0.33333333333333331</v>
      </c>
      <c r="E731" s="129" t="s">
        <v>151</v>
      </c>
      <c r="F731" s="129" t="s">
        <v>153</v>
      </c>
      <c r="G731" s="129" t="s">
        <v>153</v>
      </c>
      <c r="H731" s="129" t="s">
        <v>153</v>
      </c>
      <c r="I731" s="129" t="s">
        <v>152</v>
      </c>
      <c r="J731" s="129" t="s">
        <v>154</v>
      </c>
      <c r="K731" s="129" t="s">
        <v>155</v>
      </c>
      <c r="L731" s="148" t="s">
        <v>4764</v>
      </c>
      <c r="M731" s="148" t="s">
        <v>241</v>
      </c>
      <c r="N731" s="129" t="s">
        <v>924</v>
      </c>
      <c r="O731" s="148" t="str">
        <f t="shared" si="636"/>
        <v>Reinaldo Terrios Andrade, Nestor Jecfrid Sánchez, Renata Rengifo Moyano, William Jair Gil, Luis Fernando Barreto , Nicolas Esteban Hernández, Nixon Sandoval Mateus, Maria Alejandra Castañeda, Nicolás Esteban Flórez, Claudia Fernanda Pineda, Erika Lizeth Rueda, Mónica Lyzeth Cantor</v>
      </c>
      <c r="P731" s="129" t="s">
        <v>675</v>
      </c>
      <c r="Q731" s="129" t="s">
        <v>965</v>
      </c>
      <c r="R731" s="129" t="s">
        <v>1066</v>
      </c>
      <c r="S731" s="129" t="s">
        <v>862</v>
      </c>
      <c r="T731" s="129" t="s">
        <v>720</v>
      </c>
      <c r="U731" s="129" t="s">
        <v>645</v>
      </c>
      <c r="V731" s="129" t="s">
        <v>644</v>
      </c>
      <c r="W731" s="129" t="s">
        <v>494</v>
      </c>
      <c r="X731" s="129" t="s">
        <v>472</v>
      </c>
      <c r="Y731" s="129" t="s">
        <v>546</v>
      </c>
      <c r="Z731" s="129" t="s">
        <v>556</v>
      </c>
      <c r="AA731" s="129" t="s">
        <v>346</v>
      </c>
      <c r="AB731" s="129"/>
      <c r="AC731" s="129"/>
      <c r="AD731" s="129"/>
      <c r="AE731" s="129"/>
      <c r="AF731" s="129"/>
      <c r="AG731" s="129"/>
      <c r="AH731" s="129"/>
      <c r="AI731" s="129"/>
      <c r="AJ731" s="129"/>
      <c r="AK731" s="129"/>
      <c r="AL731" s="129"/>
      <c r="AM731" s="129"/>
      <c r="AN731" s="129"/>
      <c r="AO731" s="129" t="s">
        <v>304</v>
      </c>
      <c r="AP731" s="129"/>
      <c r="AQ731" s="148" t="s">
        <v>171</v>
      </c>
      <c r="AR731" s="148" t="s">
        <v>171</v>
      </c>
      <c r="AS731" s="148" t="s">
        <v>171</v>
      </c>
      <c r="AT731" s="148" t="str">
        <f t="shared" si="545"/>
        <v>Kennedy</v>
      </c>
      <c r="AU731" s="129" t="s">
        <v>731</v>
      </c>
      <c r="AV731" s="129"/>
      <c r="AW731" s="129"/>
      <c r="AX731" s="129"/>
      <c r="AY731" s="129"/>
      <c r="AZ731" s="129"/>
      <c r="BA731" s="148" t="str">
        <f t="shared" si="562"/>
        <v>Suroccidente</v>
      </c>
      <c r="BB731" s="129" t="s">
        <v>732</v>
      </c>
      <c r="BC731" s="129"/>
      <c r="BD731" s="129"/>
      <c r="BE731" s="129"/>
      <c r="BF731" s="129"/>
      <c r="BG731" s="129"/>
      <c r="BH731" s="148" t="str">
        <f t="shared" si="563"/>
        <v>Bosa, Porvenir, Patio Bonito, Edén, Kennedy, Tintal</v>
      </c>
      <c r="BI731" s="129" t="s">
        <v>730</v>
      </c>
      <c r="BJ731" s="129" t="s">
        <v>1058</v>
      </c>
      <c r="BK731" s="129" t="s">
        <v>967</v>
      </c>
      <c r="BL731" s="129" t="s">
        <v>1057</v>
      </c>
      <c r="BM731" s="129" t="s">
        <v>731</v>
      </c>
      <c r="BN731" s="129" t="s">
        <v>1697</v>
      </c>
      <c r="BO731" s="129"/>
      <c r="BP731" s="129"/>
      <c r="BQ731" s="129"/>
      <c r="BR731" s="129"/>
      <c r="BS731" s="148" t="s">
        <v>5116</v>
      </c>
      <c r="BT731" s="148" t="s">
        <v>5117</v>
      </c>
      <c r="BU731" s="148" t="s">
        <v>5118</v>
      </c>
      <c r="BV731" s="151"/>
      <c r="BW731" s="129" t="s">
        <v>153</v>
      </c>
      <c r="BX731" s="129" t="s">
        <v>4242</v>
      </c>
      <c r="BY731" s="151"/>
      <c r="BZ731" s="129">
        <v>71</v>
      </c>
      <c r="CA731" s="129">
        <v>18</v>
      </c>
      <c r="CB731" s="129">
        <f>BZ731+CA731</f>
        <v>89</v>
      </c>
      <c r="CC731" s="129" t="str">
        <f>_xlfn.TEXTJOIN(", ",TRUE,$CD731:$CF731)</f>
        <v>Ninguna</v>
      </c>
      <c r="CD731" s="129" t="s">
        <v>174</v>
      </c>
      <c r="CE731" s="129"/>
      <c r="CF731" s="129"/>
      <c r="CG731" s="152" t="s">
        <v>5119</v>
      </c>
      <c r="CH731" s="153"/>
      <c r="CI731" s="129" t="s">
        <v>153</v>
      </c>
      <c r="CJ731" s="151"/>
      <c r="CK731" s="129">
        <v>1</v>
      </c>
      <c r="CL731" s="129" t="s">
        <v>4770</v>
      </c>
      <c r="CM731" s="129"/>
      <c r="CN731" s="129"/>
      <c r="CO731" s="129"/>
      <c r="CP731" s="129"/>
      <c r="CQ731" s="129"/>
      <c r="CR731" s="152" t="s">
        <v>390</v>
      </c>
      <c r="CS731" s="152" t="s">
        <v>179</v>
      </c>
      <c r="CT731" s="152" t="s">
        <v>179</v>
      </c>
      <c r="CU731" s="152" t="s">
        <v>179</v>
      </c>
      <c r="CV731" s="152" t="s">
        <v>179</v>
      </c>
      <c r="CW731" s="152" t="s">
        <v>179</v>
      </c>
      <c r="CX731" s="129" t="s">
        <v>153</v>
      </c>
      <c r="CY731" s="129">
        <f>SUM(COUNTIF(CR731:CW731,"Realizado y Devuelto a la Ciudadanía"),COUNTIF(CR731:CW731,"Realizado y Trasladado por competencia"), COUNTIF(CR731:CW731,"Realizado y Gestionado"))</f>
        <v>1</v>
      </c>
      <c r="CZ731" s="129">
        <v>0</v>
      </c>
      <c r="DA731" s="129">
        <f>COUNTIF(CR731:CW731,"Realizado y Devuelto a la Ciudadanía")</f>
        <v>1</v>
      </c>
      <c r="DB731" s="154">
        <f>IFERROR(CY731/CK731,"")</f>
        <v>1</v>
      </c>
      <c r="DC731" s="153"/>
      <c r="DD731" s="129" t="s">
        <v>153</v>
      </c>
      <c r="DE731" s="71"/>
      <c r="DF731" s="198" t="s">
        <v>5120</v>
      </c>
      <c r="DG731" s="79">
        <v>718</v>
      </c>
      <c r="DH731" s="155" t="str">
        <f t="shared" si="722"/>
        <v>Completo</v>
      </c>
      <c r="DI731" s="129" t="s">
        <v>181</v>
      </c>
      <c r="DJ731" s="129" t="s">
        <v>182</v>
      </c>
      <c r="DK731" s="129" t="s">
        <v>153</v>
      </c>
      <c r="DL731" s="129">
        <v>0</v>
      </c>
      <c r="DM731" s="129">
        <v>0</v>
      </c>
      <c r="DN731" s="129" t="s">
        <v>182</v>
      </c>
      <c r="DO731" s="129">
        <v>3179</v>
      </c>
      <c r="DP731" s="129" t="s">
        <v>182</v>
      </c>
      <c r="DQ731" s="129">
        <v>28</v>
      </c>
      <c r="DR731" s="156">
        <f t="shared" si="576"/>
        <v>1.3145539906103285</v>
      </c>
      <c r="DS731" s="129" t="s">
        <v>182</v>
      </c>
      <c r="DT731" s="129">
        <v>54</v>
      </c>
      <c r="DU731" s="156">
        <f t="shared" si="577"/>
        <v>2.1730382293762576</v>
      </c>
      <c r="DV731" s="129" t="s">
        <v>182</v>
      </c>
      <c r="DW731" s="129" t="s">
        <v>182</v>
      </c>
      <c r="DX731" s="129">
        <v>5</v>
      </c>
      <c r="DY731" s="129"/>
      <c r="DZ731" s="129"/>
      <c r="EA731" s="129"/>
      <c r="EB731" s="129" t="s">
        <v>182</v>
      </c>
      <c r="EC731" s="129" t="s">
        <v>5121</v>
      </c>
      <c r="ED731" s="129" t="s">
        <v>3728</v>
      </c>
      <c r="EE731" s="129" t="str">
        <f>IF(DI731="Subsanado","Completo","Por Completar")</f>
        <v>Completo</v>
      </c>
      <c r="EF731" s="153"/>
      <c r="EG731" s="129" t="s">
        <v>153</v>
      </c>
      <c r="EH731" s="151"/>
      <c r="EI731" s="310" t="s">
        <v>5122</v>
      </c>
      <c r="EJ731" s="151"/>
      <c r="EK731" s="129"/>
      <c r="EL731" s="157" t="str">
        <f t="shared" si="942"/>
        <v>Sí</v>
      </c>
      <c r="EM731" s="157" t="str">
        <f t="shared" si="943"/>
        <v>No</v>
      </c>
      <c r="EN731" s="157" t="str">
        <f>IF(F731="NO","No requiere",IF(H731="No","No requiere",IF(CC731="","",IF(CD731&lt;&gt;"No aplica",IF(CD731&lt;&gt;"Ninguna",IF(COUNTIF(CD731:CF731,"*")&gt;=1,"Sí","No"),"No"),"No aplica"))))</f>
        <v>No</v>
      </c>
      <c r="EO731" s="151"/>
      <c r="EP731" s="154" t="str">
        <f t="shared" si="945"/>
        <v>No aplica</v>
      </c>
      <c r="EQ731" s="158">
        <f t="shared" si="946"/>
        <v>2.1730382293762576</v>
      </c>
      <c r="ER731" s="151"/>
      <c r="ES731" s="129"/>
      <c r="ET731" s="154">
        <f t="shared" si="947"/>
        <v>1</v>
      </c>
      <c r="EU731" s="154">
        <f>IF(F731="NO","No requiere",IF(H731="No","No requiere",IF(B731="","",IF(CX731="SÍ",IF(CK731&gt;=1,CY731/CK731,"Sin compromisos"),"Por verificar"))))</f>
        <v>1</v>
      </c>
      <c r="EV731" s="154" t="str">
        <f t="shared" si="949"/>
        <v>No aplica</v>
      </c>
      <c r="EW731" s="154" t="str">
        <f t="shared" si="581"/>
        <v>0%</v>
      </c>
      <c r="EX731" s="159"/>
      <c r="EY731" s="159"/>
    </row>
    <row r="732" spans="1:157" ht="46.5" customHeight="1">
      <c r="A732" s="79">
        <v>728</v>
      </c>
      <c r="B732" s="80" t="s">
        <v>5123</v>
      </c>
      <c r="C732" s="81">
        <v>45487</v>
      </c>
      <c r="D732" s="82">
        <v>0.33333333333333331</v>
      </c>
      <c r="E732" s="79" t="s">
        <v>151</v>
      </c>
      <c r="F732" s="79" t="s">
        <v>153</v>
      </c>
      <c r="G732" s="79" t="s">
        <v>153</v>
      </c>
      <c r="H732" s="79" t="s">
        <v>153</v>
      </c>
      <c r="I732" s="79" t="s">
        <v>152</v>
      </c>
      <c r="J732" s="79" t="s">
        <v>154</v>
      </c>
      <c r="K732" s="79" t="s">
        <v>155</v>
      </c>
      <c r="L732" s="80" t="s">
        <v>4764</v>
      </c>
      <c r="M732" s="80" t="s">
        <v>241</v>
      </c>
      <c r="N732" s="79" t="s">
        <v>506</v>
      </c>
      <c r="O732" s="80" t="str">
        <f t="shared" si="636"/>
        <v>Reinaldo Terrios Andrade, Juan Pablo Serna, Armando Alberto Montañez, Andres Castro Latorre, Carlos Eduardo Escandón, Manuel Fernando Vergara, Nicolás Enrique Moncaleano</v>
      </c>
      <c r="P732" s="79" t="s">
        <v>675</v>
      </c>
      <c r="Q732" s="79" t="s">
        <v>818</v>
      </c>
      <c r="R732" s="79" t="s">
        <v>1387</v>
      </c>
      <c r="S732" s="79" t="s">
        <v>749</v>
      </c>
      <c r="T732" s="79" t="s">
        <v>819</v>
      </c>
      <c r="U732" s="79" t="s">
        <v>820</v>
      </c>
      <c r="V732" s="79" t="s">
        <v>966</v>
      </c>
      <c r="W732" s="79"/>
      <c r="X732" s="79"/>
      <c r="Y732" s="79"/>
      <c r="Z732" s="79"/>
      <c r="AA732" s="79"/>
      <c r="AB732" s="79"/>
      <c r="AC732" s="79"/>
      <c r="AD732" s="79"/>
      <c r="AE732" s="79"/>
      <c r="AF732" s="79"/>
      <c r="AG732" s="79"/>
      <c r="AH732" s="79"/>
      <c r="AI732" s="79"/>
      <c r="AJ732" s="79"/>
      <c r="AK732" s="79"/>
      <c r="AL732" s="79"/>
      <c r="AM732" s="79"/>
      <c r="AN732" s="79"/>
      <c r="AO732" s="79" t="s">
        <v>304</v>
      </c>
      <c r="AP732" s="79"/>
      <c r="AQ732" s="80" t="s">
        <v>5124</v>
      </c>
      <c r="AR732" s="80" t="s">
        <v>5125</v>
      </c>
      <c r="AS732" s="80" t="s">
        <v>171</v>
      </c>
      <c r="AT732" s="80" t="str">
        <f t="shared" si="545"/>
        <v>Distrital</v>
      </c>
      <c r="AU732" s="79" t="s">
        <v>172</v>
      </c>
      <c r="AV732" s="79"/>
      <c r="AW732" s="79"/>
      <c r="AX732" s="79"/>
      <c r="AY732" s="79"/>
      <c r="AZ732" s="79"/>
      <c r="BA732" s="80" t="str">
        <f t="shared" si="562"/>
        <v>Ruralidad</v>
      </c>
      <c r="BB732" s="79" t="s">
        <v>219</v>
      </c>
      <c r="BC732" s="79"/>
      <c r="BD732" s="79"/>
      <c r="BE732" s="79"/>
      <c r="BF732" s="79"/>
      <c r="BG732" s="79"/>
      <c r="BH732" s="80" t="str">
        <f t="shared" si="563"/>
        <v>Cerros Orientales</v>
      </c>
      <c r="BI732" s="79" t="s">
        <v>361</v>
      </c>
      <c r="BJ732" s="79"/>
      <c r="BK732" s="79"/>
      <c r="BL732" s="79"/>
      <c r="BM732" s="79"/>
      <c r="BN732" s="79"/>
      <c r="BO732" s="79"/>
      <c r="BP732" s="79"/>
      <c r="BQ732" s="79"/>
      <c r="BR732" s="79"/>
      <c r="BS732" s="80" t="s">
        <v>219</v>
      </c>
      <c r="BT732" s="80" t="s">
        <v>1798</v>
      </c>
      <c r="BU732" s="80" t="s">
        <v>5126</v>
      </c>
      <c r="BV732" s="71"/>
      <c r="BW732" s="79" t="s">
        <v>153</v>
      </c>
      <c r="BX732" s="79" t="s">
        <v>4242</v>
      </c>
      <c r="BY732" s="71"/>
      <c r="BZ732" s="79">
        <v>38</v>
      </c>
      <c r="CA732" s="79">
        <v>9</v>
      </c>
      <c r="CB732" s="79">
        <f>BZ732+CA732</f>
        <v>47</v>
      </c>
      <c r="CC732" s="79" t="str">
        <f>_xlfn.TEXTJOIN(", ",TRUE,$CD732:$CF732)</f>
        <v>Horarios Acordes, Contenidos adaptados</v>
      </c>
      <c r="CD732" s="79" t="s">
        <v>351</v>
      </c>
      <c r="CE732" s="79" t="s">
        <v>350</v>
      </c>
      <c r="CF732" s="79"/>
      <c r="CG732" s="83" t="s">
        <v>5127</v>
      </c>
      <c r="CH732" s="41"/>
      <c r="CI732" s="79" t="s">
        <v>153</v>
      </c>
      <c r="CJ732" s="71"/>
      <c r="CK732" s="79">
        <v>1</v>
      </c>
      <c r="CL732" s="79" t="s">
        <v>4770</v>
      </c>
      <c r="CM732" s="79"/>
      <c r="CN732" s="79"/>
      <c r="CO732" s="79"/>
      <c r="CP732" s="79"/>
      <c r="CQ732" s="79"/>
      <c r="CR732" s="83" t="s">
        <v>390</v>
      </c>
      <c r="CS732" s="83"/>
      <c r="CT732" s="83"/>
      <c r="CU732" s="83"/>
      <c r="CV732" s="83"/>
      <c r="CW732" s="83"/>
      <c r="CX732" s="79" t="s">
        <v>153</v>
      </c>
      <c r="CY732" s="79">
        <f>SUM(COUNTIF(CR732:CW732,"Realizado y Devuelto a la Ciudadanía"),COUNTIF(CR732:CW732,"Realizado y Trasladado por competencia"), COUNTIF(CR732:CW732,"Realizado y Gestionado"))</f>
        <v>1</v>
      </c>
      <c r="CZ732" s="79">
        <v>0</v>
      </c>
      <c r="DA732" s="79">
        <f>COUNTIF(CR732:CW732,"Realizado y Devuelto a la Ciudadanía")</f>
        <v>1</v>
      </c>
      <c r="DB732" s="84">
        <f>IFERROR(CY732/CK732,"")</f>
        <v>1</v>
      </c>
      <c r="DC732" s="41"/>
      <c r="DD732" s="79" t="s">
        <v>153</v>
      </c>
      <c r="DE732" s="71"/>
      <c r="DF732" s="160" t="s">
        <v>5128</v>
      </c>
      <c r="DG732" s="79">
        <v>719</v>
      </c>
      <c r="DH732" s="86" t="str">
        <f t="shared" si="722"/>
        <v>Completo</v>
      </c>
      <c r="DI732" s="79" t="s">
        <v>181</v>
      </c>
      <c r="DJ732" s="79" t="s">
        <v>182</v>
      </c>
      <c r="DK732" s="79" t="s">
        <v>153</v>
      </c>
      <c r="DL732" s="79">
        <v>0</v>
      </c>
      <c r="DM732" s="79">
        <v>0</v>
      </c>
      <c r="DN732" s="79" t="s">
        <v>182</v>
      </c>
      <c r="DO732" s="79">
        <v>267</v>
      </c>
      <c r="DP732" s="79" t="s">
        <v>182</v>
      </c>
      <c r="DQ732" s="79">
        <v>10</v>
      </c>
      <c r="DR732" s="75">
        <f t="shared" si="576"/>
        <v>0.8771929824561403</v>
      </c>
      <c r="DS732" s="79" t="s">
        <v>182</v>
      </c>
      <c r="DT732" s="79">
        <v>9</v>
      </c>
      <c r="DU732" s="75">
        <f t="shared" si="577"/>
        <v>0.67669172932330834</v>
      </c>
      <c r="DV732" s="79" t="s">
        <v>182</v>
      </c>
      <c r="DW732" s="79" t="s">
        <v>182</v>
      </c>
      <c r="DX732" s="79">
        <v>3</v>
      </c>
      <c r="DY732" s="79"/>
      <c r="DZ732" s="79"/>
      <c r="EA732" s="79">
        <v>267</v>
      </c>
      <c r="EB732" s="79" t="s">
        <v>182</v>
      </c>
      <c r="EC732" s="79" t="s">
        <v>5129</v>
      </c>
      <c r="ED732" s="79" t="s">
        <v>5130</v>
      </c>
      <c r="EE732" s="79" t="str">
        <f>IF(DI732="Subsanado","Completo","Por Completar")</f>
        <v>Completo</v>
      </c>
      <c r="EF732" s="41"/>
      <c r="EG732" s="79" t="s">
        <v>153</v>
      </c>
      <c r="EH732" s="71"/>
      <c r="EI732" s="312" t="s">
        <v>5131</v>
      </c>
      <c r="EJ732" s="71"/>
      <c r="EK732" s="79" t="s">
        <v>409</v>
      </c>
      <c r="EL732" s="87" t="str">
        <f t="shared" si="942"/>
        <v>Sí</v>
      </c>
      <c r="EM732" s="87" t="str">
        <f t="shared" si="943"/>
        <v>No</v>
      </c>
      <c r="EN732" s="87" t="str">
        <f>IF(F732="NO","No requiere",IF(H732="No","No requiere",IF(CC732="","",IF(CD732&lt;&gt;"No aplica",IF(CD732&lt;&gt;"Ninguna",IF(COUNTIF(CD732:CF732,"*")&gt;=1,"Sí","No"),"No"),"No aplica"))))</f>
        <v>Sí</v>
      </c>
      <c r="EO732" s="71"/>
      <c r="EP732" s="84" t="str">
        <f t="shared" si="945"/>
        <v>No aplica</v>
      </c>
      <c r="EQ732" s="88">
        <f t="shared" si="946"/>
        <v>0.67669172932330834</v>
      </c>
      <c r="ER732" s="71"/>
      <c r="ES732" s="79" t="s">
        <v>393</v>
      </c>
      <c r="ET732" s="84">
        <f t="shared" si="947"/>
        <v>1</v>
      </c>
      <c r="EU732" s="84">
        <f>IF(F732="NO","No requiere",IF(H732="No","No requiere",IF(B732="","",IF(CX732="SÍ",IF(CK732&gt;=1,CY732/CK732,"Sin compromisos"),"Por verificar"))))</f>
        <v>1</v>
      </c>
      <c r="EV732" s="84" t="str">
        <f t="shared" si="949"/>
        <v>No aplica</v>
      </c>
      <c r="EW732" s="84">
        <f t="shared" si="581"/>
        <v>1</v>
      </c>
      <c r="EX732" s="78"/>
      <c r="EY732" s="78"/>
    </row>
    <row r="733" spans="1:157" ht="46.5" customHeight="1">
      <c r="A733" s="79">
        <v>729</v>
      </c>
      <c r="B733" s="80" t="s">
        <v>5132</v>
      </c>
      <c r="C733" s="81">
        <v>45487</v>
      </c>
      <c r="D733" s="82">
        <v>0.33333333333333331</v>
      </c>
      <c r="E733" s="79" t="s">
        <v>151</v>
      </c>
      <c r="F733" s="79" t="s">
        <v>153</v>
      </c>
      <c r="G733" s="79" t="s">
        <v>153</v>
      </c>
      <c r="H733" s="79" t="s">
        <v>153</v>
      </c>
      <c r="I733" s="79" t="s">
        <v>152</v>
      </c>
      <c r="J733" s="79" t="s">
        <v>154</v>
      </c>
      <c r="K733" s="79" t="s">
        <v>155</v>
      </c>
      <c r="L733" s="80" t="s">
        <v>4764</v>
      </c>
      <c r="M733" s="80" t="s">
        <v>241</v>
      </c>
      <c r="N733" s="79" t="s">
        <v>328</v>
      </c>
      <c r="O733" s="80" t="str">
        <f>_xlfn.TEXTJOIN(", ",TRUE,P733:AN733)</f>
        <v>Dayanna Alexandra Cortes, Joan Sebastian García, Nancy Stella Villa , Aida Vanessa Rocha, Germán Ramón Jacome, César Augusto Barrantes, Daniela Velasco Vega</v>
      </c>
      <c r="P733" s="79" t="s">
        <v>4765</v>
      </c>
      <c r="Q733" s="79" t="s">
        <v>728</v>
      </c>
      <c r="R733" s="79" t="s">
        <v>1611</v>
      </c>
      <c r="S733" s="79" t="s">
        <v>801</v>
      </c>
      <c r="T733" s="79" t="s">
        <v>525</v>
      </c>
      <c r="U733" s="164" t="s">
        <v>729</v>
      </c>
      <c r="V733" s="164" t="s">
        <v>660</v>
      </c>
      <c r="W733" s="79"/>
      <c r="X733" s="79"/>
      <c r="Y733" s="79"/>
      <c r="Z733" s="79"/>
      <c r="AA733" s="79"/>
      <c r="AB733" s="79"/>
      <c r="AC733" s="79"/>
      <c r="AD733" s="79"/>
      <c r="AE733" s="79"/>
      <c r="AF733" s="79"/>
      <c r="AG733" s="79"/>
      <c r="AH733" s="79"/>
      <c r="AI733" s="79"/>
      <c r="AJ733" s="79"/>
      <c r="AK733" s="79"/>
      <c r="AL733" s="79"/>
      <c r="AM733" s="79"/>
      <c r="AN733" s="79"/>
      <c r="AO733" s="79" t="s">
        <v>304</v>
      </c>
      <c r="AP733" s="79"/>
      <c r="AQ733" s="80" t="s">
        <v>5133</v>
      </c>
      <c r="AR733" s="80" t="s">
        <v>5134</v>
      </c>
      <c r="AS733" s="80" t="s">
        <v>171</v>
      </c>
      <c r="AT733" s="80" t="str">
        <f t="shared" ref="AT733:AT935" si="950">_xlfn.TEXTJOIN(", ",TRUE,$AU733:$AY733)</f>
        <v>Distrital</v>
      </c>
      <c r="AU733" s="79" t="s">
        <v>172</v>
      </c>
      <c r="AV733" s="79"/>
      <c r="AW733" s="79"/>
      <c r="AX733" s="79"/>
      <c r="AY733" s="79"/>
      <c r="AZ733" s="79"/>
      <c r="BA733" s="80" t="str">
        <f t="shared" si="562"/>
        <v>Ruralidad</v>
      </c>
      <c r="BB733" s="79" t="s">
        <v>219</v>
      </c>
      <c r="BC733" s="79"/>
      <c r="BD733" s="79"/>
      <c r="BE733" s="79"/>
      <c r="BF733" s="79"/>
      <c r="BG733" s="79"/>
      <c r="BH733" s="80" t="str">
        <f t="shared" si="563"/>
        <v>Cerros Orientales</v>
      </c>
      <c r="BI733" s="79" t="s">
        <v>361</v>
      </c>
      <c r="BJ733" s="79"/>
      <c r="BK733" s="79"/>
      <c r="BL733" s="79"/>
      <c r="BM733" s="79"/>
      <c r="BN733" s="79"/>
      <c r="BO733" s="79"/>
      <c r="BP733" s="79"/>
      <c r="BQ733" s="79"/>
      <c r="BR733" s="79"/>
      <c r="BS733" s="80" t="s">
        <v>219</v>
      </c>
      <c r="BT733" s="80" t="s">
        <v>1798</v>
      </c>
      <c r="BU733" s="80" t="s">
        <v>5135</v>
      </c>
      <c r="BV733" s="71"/>
      <c r="BW733" s="79" t="s">
        <v>153</v>
      </c>
      <c r="BX733" s="79" t="s">
        <v>4242</v>
      </c>
      <c r="BY733" s="71"/>
      <c r="BZ733" s="79">
        <v>51</v>
      </c>
      <c r="CA733" s="79">
        <v>11</v>
      </c>
      <c r="CB733" s="79">
        <v>62</v>
      </c>
      <c r="CC733" s="79" t="str">
        <f>_xlfn.TEXTJOIN(", ",TRUE,$CD733:$CF733)</f>
        <v>Contenidos adaptados</v>
      </c>
      <c r="CD733" s="79" t="s">
        <v>350</v>
      </c>
      <c r="CE733" s="79"/>
      <c r="CF733" s="79"/>
      <c r="CG733" s="83" t="s">
        <v>5136</v>
      </c>
      <c r="CH733" s="41"/>
      <c r="CI733" s="79" t="s">
        <v>153</v>
      </c>
      <c r="CJ733" s="71"/>
      <c r="CK733" s="79">
        <v>1</v>
      </c>
      <c r="CL733" s="79" t="s">
        <v>4770</v>
      </c>
      <c r="CM733" s="79"/>
      <c r="CN733" s="79"/>
      <c r="CO733" s="79"/>
      <c r="CP733" s="79"/>
      <c r="CQ733" s="79"/>
      <c r="CR733" s="83" t="s">
        <v>390</v>
      </c>
      <c r="CS733" s="83" t="s">
        <v>179</v>
      </c>
      <c r="CT733" s="83" t="s">
        <v>179</v>
      </c>
      <c r="CU733" s="83" t="s">
        <v>179</v>
      </c>
      <c r="CV733" s="83" t="s">
        <v>179</v>
      </c>
      <c r="CW733" s="83" t="s">
        <v>179</v>
      </c>
      <c r="CX733" s="79" t="s">
        <v>153</v>
      </c>
      <c r="CY733" s="79">
        <f>SUM(COUNTIF(CR733:CW733,"Realizado y Devuelto a la Ciudadanía"),COUNTIF(CR733:CW733,"Realizado y Trasladado por competencia"), COUNTIF(CR733:CW733,"Realizado y Gestionado"))</f>
        <v>1</v>
      </c>
      <c r="CZ733" s="79">
        <v>0</v>
      </c>
      <c r="DA733" s="79">
        <f>COUNTIF(CR733:CW733,"Realizado y Devuelto a la Ciudadanía")</f>
        <v>1</v>
      </c>
      <c r="DB733" s="84">
        <f>IFERROR(CY733/CK733,"")</f>
        <v>1</v>
      </c>
      <c r="DC733" s="41"/>
      <c r="DD733" s="79" t="s">
        <v>153</v>
      </c>
      <c r="DE733" s="71"/>
      <c r="DF733" s="160" t="s">
        <v>5137</v>
      </c>
      <c r="DG733" s="79">
        <v>720</v>
      </c>
      <c r="DH733" s="86" t="str">
        <f t="shared" si="722"/>
        <v>Completo</v>
      </c>
      <c r="DI733" s="79" t="s">
        <v>181</v>
      </c>
      <c r="DJ733" s="79" t="s">
        <v>182</v>
      </c>
      <c r="DK733" s="79" t="s">
        <v>153</v>
      </c>
      <c r="DL733" s="79">
        <v>0</v>
      </c>
      <c r="DM733" s="79">
        <v>0</v>
      </c>
      <c r="DN733" s="79" t="s">
        <v>182</v>
      </c>
      <c r="DO733" s="79">
        <v>200</v>
      </c>
      <c r="DP733" s="79" t="s">
        <v>182</v>
      </c>
      <c r="DQ733" s="79">
        <v>16</v>
      </c>
      <c r="DR733" s="75">
        <f t="shared" si="576"/>
        <v>1.0457516339869282</v>
      </c>
      <c r="DS733" s="79" t="s">
        <v>182</v>
      </c>
      <c r="DT733" s="79">
        <v>18</v>
      </c>
      <c r="DU733" s="75">
        <f t="shared" si="577"/>
        <v>1.008403361344538</v>
      </c>
      <c r="DV733" s="79" t="s">
        <v>182</v>
      </c>
      <c r="DW733" s="79" t="s">
        <v>182</v>
      </c>
      <c r="DX733" s="79">
        <v>3</v>
      </c>
      <c r="DY733" s="79"/>
      <c r="DZ733" s="79"/>
      <c r="EA733" s="79">
        <v>200</v>
      </c>
      <c r="EB733" s="79"/>
      <c r="EC733" s="79"/>
      <c r="ED733" s="79" t="s">
        <v>5138</v>
      </c>
      <c r="EE733" s="79" t="str">
        <f>IF(DI733="Subsanado","Completo","Por Completar")</f>
        <v>Completo</v>
      </c>
      <c r="EF733" s="41"/>
      <c r="EG733" s="79" t="s">
        <v>153</v>
      </c>
      <c r="EH733" s="71"/>
      <c r="EI733" s="311" t="s">
        <v>5139</v>
      </c>
      <c r="EJ733" s="71"/>
      <c r="EK733" s="79" t="s">
        <v>393</v>
      </c>
      <c r="EL733" s="87" t="str">
        <f t="shared" si="942"/>
        <v>Sí</v>
      </c>
      <c r="EM733" s="87" t="str">
        <f t="shared" si="943"/>
        <v>No</v>
      </c>
      <c r="EN733" s="87" t="str">
        <f>IF(F733="NO","No requiere",IF(H733="No","No requiere",IF(CC733="","",IF(CD733&lt;&gt;"No aplica",IF(CD733&lt;&gt;"Ninguna",IF(COUNTIF(CD733:CF733,"*")&gt;=1,"Sí","No"),"No"),"No aplica"))))</f>
        <v>Sí</v>
      </c>
      <c r="EO733" s="71"/>
      <c r="EP733" s="84" t="str">
        <f t="shared" si="945"/>
        <v>No aplica</v>
      </c>
      <c r="EQ733" s="88">
        <f t="shared" si="946"/>
        <v>1.008403361344538</v>
      </c>
      <c r="ER733" s="71"/>
      <c r="ES733" s="79" t="s">
        <v>409</v>
      </c>
      <c r="ET733" s="84">
        <f t="shared" si="947"/>
        <v>1</v>
      </c>
      <c r="EU733" s="84">
        <f>IF(F733="NO","No requiere",IF(H733="No","No requiere",IF(B733="","",IF(CX733="SÍ",IF(CK733&gt;=1,CY733/CK733,"Sin compromisos"),"Por verificar"))))</f>
        <v>1</v>
      </c>
      <c r="EV733" s="84" t="str">
        <f t="shared" si="949"/>
        <v>No aplica</v>
      </c>
      <c r="EW733" s="84">
        <f t="shared" si="581"/>
        <v>1</v>
      </c>
      <c r="EX733" s="78"/>
      <c r="EY733" s="78"/>
    </row>
    <row r="734" spans="1:157" ht="57" customHeight="1">
      <c r="A734" s="79">
        <v>730</v>
      </c>
      <c r="B734" s="80" t="s">
        <v>5140</v>
      </c>
      <c r="C734" s="81">
        <v>45489</v>
      </c>
      <c r="D734" s="82">
        <v>0.33333333333333331</v>
      </c>
      <c r="E734" s="79" t="s">
        <v>151</v>
      </c>
      <c r="F734" s="79" t="s">
        <v>153</v>
      </c>
      <c r="G734" s="79" t="s">
        <v>153</v>
      </c>
      <c r="H734" s="79" t="s">
        <v>152</v>
      </c>
      <c r="I734" s="79" t="s">
        <v>152</v>
      </c>
      <c r="J734" s="79" t="s">
        <v>3999</v>
      </c>
      <c r="K734" s="79" t="s">
        <v>155</v>
      </c>
      <c r="L734" s="80" t="s">
        <v>5141</v>
      </c>
      <c r="M734" s="80" t="s">
        <v>241</v>
      </c>
      <c r="N734" s="79" t="s">
        <v>645</v>
      </c>
      <c r="O734" s="80" t="str">
        <f t="shared" ref="O734:O740" si="951">_xlfn.TEXTJOIN(", ",TRUE,P734:AN734)</f>
        <v>Laura Sofia Morales</v>
      </c>
      <c r="P734" s="79" t="s">
        <v>506</v>
      </c>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t="s">
        <v>169</v>
      </c>
      <c r="AP734" s="79" t="s">
        <v>214</v>
      </c>
      <c r="AQ734" s="80" t="s">
        <v>5142</v>
      </c>
      <c r="AR734" s="83" t="s">
        <v>5143</v>
      </c>
      <c r="AS734" s="80" t="s">
        <v>5144</v>
      </c>
      <c r="AT734" s="80" t="str">
        <f t="shared" si="950"/>
        <v>Usme</v>
      </c>
      <c r="AU734" s="79" t="s">
        <v>1009</v>
      </c>
      <c r="AV734" s="79"/>
      <c r="AW734" s="79"/>
      <c r="AX734" s="79"/>
      <c r="AY734" s="79"/>
      <c r="AZ734" s="79"/>
      <c r="BA734" s="80" t="str">
        <f t="shared" si="562"/>
        <v>Suroriente</v>
      </c>
      <c r="BB734" s="79" t="s">
        <v>218</v>
      </c>
      <c r="BC734" s="79"/>
      <c r="BD734" s="79"/>
      <c r="BE734" s="79"/>
      <c r="BF734" s="79"/>
      <c r="BG734" s="79"/>
      <c r="BH734" s="80" t="str">
        <f t="shared" si="563"/>
        <v>Usme Entrenubes</v>
      </c>
      <c r="BI734" s="79" t="s">
        <v>1010</v>
      </c>
      <c r="BJ734" s="79"/>
      <c r="BK734" s="79"/>
      <c r="BL734" s="79"/>
      <c r="BM734" s="79"/>
      <c r="BN734" s="79"/>
      <c r="BO734" s="79"/>
      <c r="BP734" s="79"/>
      <c r="BQ734" s="79"/>
      <c r="BR734" s="79"/>
      <c r="BS734" s="80" t="s">
        <v>5145</v>
      </c>
      <c r="BT734" s="80" t="s">
        <v>174</v>
      </c>
      <c r="BU734" s="80" t="s">
        <v>5146</v>
      </c>
      <c r="BV734" s="71"/>
      <c r="BW734" s="79" t="s">
        <v>152</v>
      </c>
      <c r="BX734" s="79" t="s">
        <v>179</v>
      </c>
      <c r="BY734" s="71"/>
      <c r="BZ734" s="79">
        <v>10</v>
      </c>
      <c r="CA734" s="79">
        <v>2</v>
      </c>
      <c r="CB734" s="79">
        <f t="shared" ref="CB734:CB740" si="952">BZ734+CA734</f>
        <v>12</v>
      </c>
      <c r="CC734" s="79" t="str">
        <f t="shared" si="382"/>
        <v>Ninguna</v>
      </c>
      <c r="CD734" s="79" t="s">
        <v>174</v>
      </c>
      <c r="CE734" s="79"/>
      <c r="CF734" s="79"/>
      <c r="CG734" s="83" t="s">
        <v>5147</v>
      </c>
      <c r="CH734" s="41"/>
      <c r="CI734" s="79" t="s">
        <v>153</v>
      </c>
      <c r="CJ734" s="71"/>
      <c r="CK734" s="79">
        <f t="shared" ref="CK734:CK740" si="953">COUNTIF(CL734:CQ734,"*")</f>
        <v>0</v>
      </c>
      <c r="CL734" s="79"/>
      <c r="CM734" s="79"/>
      <c r="CN734" s="79"/>
      <c r="CO734" s="79"/>
      <c r="CP734" s="79"/>
      <c r="CQ734" s="79"/>
      <c r="CR734" s="83" t="s">
        <v>1545</v>
      </c>
      <c r="CS734" s="83" t="s">
        <v>1545</v>
      </c>
      <c r="CT734" s="83" t="s">
        <v>1545</v>
      </c>
      <c r="CU734" s="83" t="s">
        <v>1545</v>
      </c>
      <c r="CV734" s="83" t="s">
        <v>1545</v>
      </c>
      <c r="CW734" s="83" t="s">
        <v>1545</v>
      </c>
      <c r="CX734" s="79" t="s">
        <v>153</v>
      </c>
      <c r="CY734" s="79">
        <f t="shared" ref="CY734:CY740" si="954">SUM(COUNTIF(CR734:CW734,"Realizado y Devuelto a la Ciudadanía"),COUNTIF(CR734:CW734,"Realizado y Trasladado por competencia"), COUNTIF(CR734:CW734,"Realizado y Gestionado"))</f>
        <v>0</v>
      </c>
      <c r="CZ734" s="79">
        <v>0</v>
      </c>
      <c r="DA734" s="79">
        <f t="shared" ref="DA734:DA740" si="955">COUNTIF(CR734:CW734,"Realizado y Devuelto a la Ciudadanía")</f>
        <v>0</v>
      </c>
      <c r="DB734" s="84" t="str">
        <f t="shared" ref="DB734:DB740" si="956">IFERROR(CY734/CK734,"")</f>
        <v/>
      </c>
      <c r="DC734" s="41"/>
      <c r="DD734" s="79" t="s">
        <v>153</v>
      </c>
      <c r="DE734" s="71"/>
      <c r="DF734" s="127" t="s">
        <v>5148</v>
      </c>
      <c r="DG734" s="79">
        <v>721</v>
      </c>
      <c r="DH734" s="86" t="str">
        <f t="shared" ref="DH734:DH740" si="957">IF(EE734="Por completar",C734+3,"Completo")</f>
        <v>Completo</v>
      </c>
      <c r="DI734" s="79" t="s">
        <v>181</v>
      </c>
      <c r="DJ734" s="79" t="s">
        <v>182</v>
      </c>
      <c r="DK734" s="79"/>
      <c r="DL734" s="79">
        <v>0</v>
      </c>
      <c r="DM734" s="79">
        <v>0</v>
      </c>
      <c r="DN734" s="79" t="s">
        <v>182</v>
      </c>
      <c r="DO734" s="79"/>
      <c r="DP734" s="79"/>
      <c r="DQ734" s="79"/>
      <c r="DR734" s="75" t="str">
        <f t="shared" si="576"/>
        <v>No aplica</v>
      </c>
      <c r="DS734" s="79"/>
      <c r="DT734" s="79"/>
      <c r="DU734" s="75" t="str">
        <f t="shared" si="577"/>
        <v>No aplica</v>
      </c>
      <c r="DV734" s="79" t="s">
        <v>182</v>
      </c>
      <c r="DW734" s="79"/>
      <c r="DX734" s="79"/>
      <c r="DY734" s="79"/>
      <c r="DZ734" s="79"/>
      <c r="EA734" s="79"/>
      <c r="EB734" s="79"/>
      <c r="EC734" s="79"/>
      <c r="ED734" s="79" t="s">
        <v>3728</v>
      </c>
      <c r="EE734" s="79" t="str">
        <f t="shared" ref="EE734:EE740" si="958">IF(DI734="Subsanado","Completo","Por Completar")</f>
        <v>Completo</v>
      </c>
      <c r="EF734" s="41"/>
      <c r="EG734" s="79" t="s">
        <v>153</v>
      </c>
      <c r="EH734" s="71"/>
      <c r="EI734" s="80"/>
      <c r="EJ734" s="71"/>
      <c r="EK734" s="79"/>
      <c r="EL734" s="87" t="str">
        <f t="shared" ref="EL734:EL740" si="959">IF(F734="NO","No requiere",IF(H734="No","No requiere",IF(DW734="","",IF(DW734&lt;&gt;"No aplica",IF(DX734&lt;&gt;"No aplica",IF(DX734&gt;=2,"Sí","No"),"No aplica"),"No aplica"))))</f>
        <v>No requiere</v>
      </c>
      <c r="EM734" s="87" t="str">
        <f t="shared" ref="EM734:EM740" si="960">IF(F734="NO","No requiere",IF(H734="No","No requiere",IF(DW734="","",IF(DW734&lt;&gt;"No aplica",IF(DY734&lt;&gt;"No aplica",IF(DY734&gt;=1,"Sí","No"),"No aplica"),"No aplica"))))</f>
        <v>No requiere</v>
      </c>
      <c r="EN734" s="87" t="str">
        <f t="shared" ref="EN734:EN740" si="961">IF(F734="NO","No requiere",IF(H734="No","No requiere",IF(CC734="","",IF(CD734&lt;&gt;"No aplica",IF(CD734&lt;&gt;"Ninguna",IF(COUNTIF(CD734:CF734,"*")&gt;=1,"Sí","No"),"No"),"No aplica"))))</f>
        <v>No requiere</v>
      </c>
      <c r="EO734" s="71"/>
      <c r="EP734" s="84" t="str">
        <f t="shared" ref="EP734:EP740" si="962">IF(F734="NO","No requiere",IF(H734="No","No requiere",IF(DL734="","",IF(DL734&gt;=1,DM734/DL734,"No aplica"))))</f>
        <v>No requiere</v>
      </c>
      <c r="EQ734" s="88" t="str">
        <f t="shared" ref="EQ734:EQ740" si="963">IFERROR(IF(F734="NO","No requiere",IF(H734="No","No requiere",DU734)),"")</f>
        <v>No requiere</v>
      </c>
      <c r="ER734" s="71"/>
      <c r="ES734" s="79"/>
      <c r="ET734" s="84" t="str">
        <f t="shared" ref="ET734:ET740" si="964">IF(F734="NO","No requiere",IF(H734="No","No requiere",IFERROR(COUNTIF(DJ734:DW734,"Completo")/SUM(COUNTIF(DJ734:DW734,"Completo"),COUNTIF(DJ734:DW734,"Incompleto"),COUNTIF(DJ734:DW734,"No subido"),COUNTIF(DJ734:DW734,"No existente"),COUNTIF(DJ734:DW734,"Pendiente")),"")))</f>
        <v>No requiere</v>
      </c>
      <c r="EU734" s="84" t="str">
        <f t="shared" ref="EU734:EU740" si="965">IF(F734="NO","No requiere",IF(H734="No","No requiere",IF(B734="","",IF(CX734="SÍ",IF(CK734&gt;=1,CY734/CK734,"Sin compromisos"),"Por verificar"))))</f>
        <v>No requiere</v>
      </c>
      <c r="EV734" s="84" t="str">
        <f t="shared" ref="EV734:EV740" si="966">IF(EU734="Por verificar","Por verificar",IF(F734="NO","No requiere",IF(H734="No","No requiere",IFERROR(IF(EU734="","",IF(CK734&gt;=1,DA734/CZ734,"No aplica")),"No aplica"))))</f>
        <v>No requiere</v>
      </c>
      <c r="EW734" s="84" t="str">
        <f t="shared" si="581"/>
        <v>No requiere</v>
      </c>
      <c r="EX734" s="78"/>
      <c r="EY734" s="78"/>
    </row>
    <row r="735" spans="1:157" ht="60" customHeight="1">
      <c r="A735" s="79">
        <v>731</v>
      </c>
      <c r="B735" s="80" t="s">
        <v>5149</v>
      </c>
      <c r="C735" s="81">
        <v>45489</v>
      </c>
      <c r="D735" s="82">
        <v>0.375</v>
      </c>
      <c r="E735" s="79" t="s">
        <v>151</v>
      </c>
      <c r="F735" s="79" t="s">
        <v>153</v>
      </c>
      <c r="G735" s="79" t="s">
        <v>153</v>
      </c>
      <c r="H735" s="79" t="s">
        <v>152</v>
      </c>
      <c r="I735" s="79" t="s">
        <v>152</v>
      </c>
      <c r="J735" s="79" t="s">
        <v>3999</v>
      </c>
      <c r="K735" s="79" t="s">
        <v>155</v>
      </c>
      <c r="L735" s="80" t="s">
        <v>5150</v>
      </c>
      <c r="M735" s="80" t="s">
        <v>241</v>
      </c>
      <c r="N735" s="79" t="s">
        <v>801</v>
      </c>
      <c r="O735" s="80" t="str">
        <f t="shared" si="951"/>
        <v>Maria Angélica Higuera</v>
      </c>
      <c r="P735" s="79" t="s">
        <v>328</v>
      </c>
      <c r="Q735" s="79"/>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t="s">
        <v>169</v>
      </c>
      <c r="AP735" s="79"/>
      <c r="AQ735" s="80" t="s">
        <v>5151</v>
      </c>
      <c r="AR735" s="83" t="s">
        <v>5152</v>
      </c>
      <c r="AS735" s="80" t="s">
        <v>5153</v>
      </c>
      <c r="AT735" s="80" t="str">
        <f t="shared" si="950"/>
        <v>Usaquén</v>
      </c>
      <c r="AU735" s="79" t="s">
        <v>661</v>
      </c>
      <c r="AV735" s="79"/>
      <c r="AW735" s="79"/>
      <c r="AX735" s="79"/>
      <c r="AY735" s="79"/>
      <c r="AZ735" s="79"/>
      <c r="BA735" s="80" t="str">
        <f t="shared" si="562"/>
        <v>Norte, Ruralidad</v>
      </c>
      <c r="BB735" s="79" t="s">
        <v>662</v>
      </c>
      <c r="BC735" s="79" t="s">
        <v>219</v>
      </c>
      <c r="BD735" s="79"/>
      <c r="BE735" s="79"/>
      <c r="BF735" s="79"/>
      <c r="BG735" s="79"/>
      <c r="BH735" s="80" t="str">
        <f t="shared" si="563"/>
        <v>Usaquén, Cerros Orientales</v>
      </c>
      <c r="BI735" s="79" t="s">
        <v>661</v>
      </c>
      <c r="BJ735" s="79" t="s">
        <v>361</v>
      </c>
      <c r="BK735" s="79"/>
      <c r="BL735" s="79"/>
      <c r="BM735" s="79"/>
      <c r="BN735" s="79"/>
      <c r="BO735" s="79"/>
      <c r="BP735" s="79"/>
      <c r="BQ735" s="79"/>
      <c r="BR735" s="79"/>
      <c r="BS735" s="80" t="s">
        <v>288</v>
      </c>
      <c r="BT735" s="80" t="s">
        <v>174</v>
      </c>
      <c r="BU735" s="80" t="s">
        <v>5154</v>
      </c>
      <c r="BV735" s="71"/>
      <c r="BW735" s="79" t="s">
        <v>152</v>
      </c>
      <c r="BX735" s="79" t="s">
        <v>179</v>
      </c>
      <c r="BY735" s="71"/>
      <c r="BZ735" s="79">
        <v>18</v>
      </c>
      <c r="CA735" s="79">
        <v>2</v>
      </c>
      <c r="CB735" s="79">
        <f t="shared" si="952"/>
        <v>20</v>
      </c>
      <c r="CC735" s="79" t="str">
        <f t="shared" si="382"/>
        <v>Ninguna</v>
      </c>
      <c r="CD735" s="79" t="s">
        <v>174</v>
      </c>
      <c r="CE735" s="79"/>
      <c r="CF735" s="79"/>
      <c r="CG735" s="83" t="s">
        <v>5155</v>
      </c>
      <c r="CH735" s="41"/>
      <c r="CI735" s="79" t="s">
        <v>153</v>
      </c>
      <c r="CJ735" s="71"/>
      <c r="CK735" s="79">
        <f t="shared" si="953"/>
        <v>0</v>
      </c>
      <c r="CL735" s="79"/>
      <c r="CM735" s="79"/>
      <c r="CN735" s="79"/>
      <c r="CO735" s="79"/>
      <c r="CP735" s="79"/>
      <c r="CQ735" s="79"/>
      <c r="CR735" s="83"/>
      <c r="CS735" s="83" t="s">
        <v>179</v>
      </c>
      <c r="CT735" s="83" t="s">
        <v>179</v>
      </c>
      <c r="CU735" s="83" t="s">
        <v>179</v>
      </c>
      <c r="CV735" s="83" t="s">
        <v>179</v>
      </c>
      <c r="CW735" s="83" t="s">
        <v>179</v>
      </c>
      <c r="CX735" s="79" t="s">
        <v>153</v>
      </c>
      <c r="CY735" s="79">
        <f t="shared" si="954"/>
        <v>0</v>
      </c>
      <c r="CZ735" s="79">
        <v>0</v>
      </c>
      <c r="DA735" s="79">
        <f t="shared" si="955"/>
        <v>0</v>
      </c>
      <c r="DB735" s="84" t="str">
        <f t="shared" si="956"/>
        <v/>
      </c>
      <c r="DC735" s="41"/>
      <c r="DD735" s="79" t="s">
        <v>153</v>
      </c>
      <c r="DE735" s="71"/>
      <c r="DF735" s="127" t="s">
        <v>5156</v>
      </c>
      <c r="DG735" s="79">
        <v>723</v>
      </c>
      <c r="DH735" s="86" t="str">
        <f t="shared" si="957"/>
        <v>Completo</v>
      </c>
      <c r="DI735" s="79" t="s">
        <v>181</v>
      </c>
      <c r="DJ735" s="79" t="s">
        <v>182</v>
      </c>
      <c r="DK735" s="79"/>
      <c r="DL735" s="79">
        <v>0</v>
      </c>
      <c r="DM735" s="79">
        <v>0</v>
      </c>
      <c r="DN735" s="79" t="s">
        <v>182</v>
      </c>
      <c r="DO735" s="79"/>
      <c r="DP735" s="79"/>
      <c r="DQ735" s="79"/>
      <c r="DR735" s="75" t="str">
        <f t="shared" si="576"/>
        <v>No aplica</v>
      </c>
      <c r="DS735" s="79"/>
      <c r="DT735" s="79"/>
      <c r="DU735" s="75" t="str">
        <f t="shared" si="577"/>
        <v>No aplica</v>
      </c>
      <c r="DV735" s="79" t="s">
        <v>182</v>
      </c>
      <c r="DW735" s="79" t="s">
        <v>182</v>
      </c>
      <c r="DX735" s="79"/>
      <c r="DY735" s="79"/>
      <c r="DZ735" s="79"/>
      <c r="EA735" s="79"/>
      <c r="EB735" s="79"/>
      <c r="EC735" s="79"/>
      <c r="ED735" s="79" t="s">
        <v>4009</v>
      </c>
      <c r="EE735" s="79" t="str">
        <f t="shared" si="958"/>
        <v>Completo</v>
      </c>
      <c r="EF735" s="41"/>
      <c r="EG735" s="79" t="s">
        <v>153</v>
      </c>
      <c r="EH735" s="71"/>
      <c r="EI735" s="80"/>
      <c r="EJ735" s="71"/>
      <c r="EK735" s="79"/>
      <c r="EL735" s="87" t="str">
        <f t="shared" si="959"/>
        <v>No requiere</v>
      </c>
      <c r="EM735" s="87" t="str">
        <f t="shared" si="960"/>
        <v>No requiere</v>
      </c>
      <c r="EN735" s="87" t="str">
        <f t="shared" si="961"/>
        <v>No requiere</v>
      </c>
      <c r="EO735" s="71"/>
      <c r="EP735" s="84" t="str">
        <f t="shared" si="962"/>
        <v>No requiere</v>
      </c>
      <c r="EQ735" s="88" t="str">
        <f t="shared" si="963"/>
        <v>No requiere</v>
      </c>
      <c r="ER735" s="71"/>
      <c r="ES735" s="79"/>
      <c r="ET735" s="84" t="str">
        <f t="shared" si="964"/>
        <v>No requiere</v>
      </c>
      <c r="EU735" s="84" t="str">
        <f t="shared" si="965"/>
        <v>No requiere</v>
      </c>
      <c r="EV735" s="84" t="str">
        <f t="shared" si="966"/>
        <v>No requiere</v>
      </c>
      <c r="EW735" s="84" t="str">
        <f t="shared" si="581"/>
        <v>No requiere</v>
      </c>
      <c r="EX735" s="78"/>
      <c r="EY735" s="78"/>
    </row>
    <row r="736" spans="1:157" ht="57" customHeight="1">
      <c r="A736" s="79">
        <v>732</v>
      </c>
      <c r="B736" s="80" t="s">
        <v>5157</v>
      </c>
      <c r="C736" s="81">
        <v>45489</v>
      </c>
      <c r="D736" s="82">
        <v>0.39583333333333331</v>
      </c>
      <c r="E736" s="79" t="s">
        <v>151</v>
      </c>
      <c r="F736" s="79" t="s">
        <v>153</v>
      </c>
      <c r="G736" s="79" t="s">
        <v>153</v>
      </c>
      <c r="H736" s="79" t="s">
        <v>152</v>
      </c>
      <c r="I736" s="79" t="s">
        <v>153</v>
      </c>
      <c r="J736" s="79" t="s">
        <v>1768</v>
      </c>
      <c r="K736" s="79" t="s">
        <v>155</v>
      </c>
      <c r="L736" s="80" t="s">
        <v>5158</v>
      </c>
      <c r="M736" s="80" t="s">
        <v>229</v>
      </c>
      <c r="N736" s="79" t="s">
        <v>801</v>
      </c>
      <c r="O736" s="80" t="str">
        <f>_xlfn.TEXTJOIN(", ",TRUE,P736:AN736)</f>
        <v xml:space="preserve">Nancy Stella Villa </v>
      </c>
      <c r="P736" s="79" t="s">
        <v>1611</v>
      </c>
      <c r="Q736" s="79"/>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t="s">
        <v>169</v>
      </c>
      <c r="AP736" s="79" t="s">
        <v>214</v>
      </c>
      <c r="AQ736" s="80" t="s">
        <v>5159</v>
      </c>
      <c r="AR736" s="83" t="s">
        <v>5160</v>
      </c>
      <c r="AS736" s="80" t="s">
        <v>5161</v>
      </c>
      <c r="AT736" s="80" t="str">
        <f>_xlfn.TEXTJOIN(", ",TRUE,$AU736:$AY736)</f>
        <v>Usaquén</v>
      </c>
      <c r="AU736" s="79" t="s">
        <v>661</v>
      </c>
      <c r="AV736" s="79"/>
      <c r="AW736" s="79"/>
      <c r="AX736" s="79"/>
      <c r="AY736" s="79"/>
      <c r="AZ736" s="79"/>
      <c r="BA736" s="80" t="str">
        <f>_xlfn.TEXTJOIN(", ",TRUE,$BB736:$BG736)</f>
        <v>Norte</v>
      </c>
      <c r="BB736" s="79" t="s">
        <v>662</v>
      </c>
      <c r="BC736" s="79"/>
      <c r="BD736" s="79"/>
      <c r="BE736" s="79"/>
      <c r="BF736" s="79"/>
      <c r="BG736" s="79"/>
      <c r="BH736" s="80" t="str">
        <f>_xlfn.TEXTJOIN(", ",TRUE,$BI736:$BR736)</f>
        <v>Usaquén, Toberín, Torca</v>
      </c>
      <c r="BI736" s="79" t="s">
        <v>661</v>
      </c>
      <c r="BJ736" s="79" t="s">
        <v>804</v>
      </c>
      <c r="BK736" s="79" t="s">
        <v>805</v>
      </c>
      <c r="BL736" s="79"/>
      <c r="BM736" s="79"/>
      <c r="BN736" s="79"/>
      <c r="BO736" s="79"/>
      <c r="BP736" s="79"/>
      <c r="BQ736" s="79"/>
      <c r="BR736" s="79"/>
      <c r="BS736" s="80" t="s">
        <v>288</v>
      </c>
      <c r="BT736" s="80" t="s">
        <v>174</v>
      </c>
      <c r="BU736" s="80" t="s">
        <v>5162</v>
      </c>
      <c r="BV736" s="71"/>
      <c r="BW736" s="79" t="s">
        <v>152</v>
      </c>
      <c r="BX736" s="79" t="s">
        <v>179</v>
      </c>
      <c r="BY736" s="71"/>
      <c r="BZ736" s="79">
        <v>7</v>
      </c>
      <c r="CA736" s="79">
        <v>7</v>
      </c>
      <c r="CB736" s="79">
        <f>BZ736+CA736</f>
        <v>14</v>
      </c>
      <c r="CC736" s="79" t="str">
        <f>_xlfn.TEXTJOIN(", ",TRUE,$CD736:$CF736)</f>
        <v>Ninguna</v>
      </c>
      <c r="CD736" s="79" t="s">
        <v>174</v>
      </c>
      <c r="CE736" s="79"/>
      <c r="CF736" s="79"/>
      <c r="CG736" s="83" t="s">
        <v>5163</v>
      </c>
      <c r="CH736" s="41"/>
      <c r="CI736" s="79" t="s">
        <v>153</v>
      </c>
      <c r="CJ736" s="71"/>
      <c r="CK736" s="79">
        <f>COUNTIF(CL736:CQ736,"*")</f>
        <v>0</v>
      </c>
      <c r="CL736" s="79"/>
      <c r="CM736" s="79"/>
      <c r="CN736" s="79"/>
      <c r="CO736" s="79"/>
      <c r="CP736" s="79"/>
      <c r="CQ736" s="79"/>
      <c r="CR736" s="83"/>
      <c r="CS736" s="83" t="s">
        <v>179</v>
      </c>
      <c r="CT736" s="83" t="s">
        <v>179</v>
      </c>
      <c r="CU736" s="83" t="s">
        <v>179</v>
      </c>
      <c r="CV736" s="83" t="s">
        <v>179</v>
      </c>
      <c r="CW736" s="83" t="s">
        <v>179</v>
      </c>
      <c r="CX736" s="79" t="s">
        <v>153</v>
      </c>
      <c r="CY736" s="79">
        <f>SUM(COUNTIF(CR736:CW736,"Realizado y Devuelto a la Ciudadanía"),COUNTIF(CR736:CW736,"Realizado y Trasladado por competencia"), COUNTIF(CR736:CW736,"Realizado y Gestionado"))</f>
        <v>0</v>
      </c>
      <c r="CZ736" s="79">
        <v>0</v>
      </c>
      <c r="DA736" s="79">
        <f>COUNTIF(CR736:CW736,"Realizado y Devuelto a la Ciudadanía")</f>
        <v>0</v>
      </c>
      <c r="DB736" s="84" t="str">
        <f>IFERROR(CY736/CK736,"")</f>
        <v/>
      </c>
      <c r="DC736" s="41"/>
      <c r="DD736" s="79" t="s">
        <v>153</v>
      </c>
      <c r="DE736" s="71"/>
      <c r="DF736" s="127" t="s">
        <v>5164</v>
      </c>
      <c r="DG736" s="79">
        <v>724</v>
      </c>
      <c r="DH736" s="86" t="str">
        <f>IF(EE736="Por completar",C736+3,"Completo")</f>
        <v>Completo</v>
      </c>
      <c r="DI736" s="79" t="s">
        <v>181</v>
      </c>
      <c r="DJ736" s="79" t="s">
        <v>182</v>
      </c>
      <c r="DK736" s="79"/>
      <c r="DL736" s="79">
        <v>7</v>
      </c>
      <c r="DM736" s="79">
        <v>7</v>
      </c>
      <c r="DN736" s="79" t="s">
        <v>182</v>
      </c>
      <c r="DO736" s="79"/>
      <c r="DP736" s="79"/>
      <c r="DQ736" s="79"/>
      <c r="DR736" s="75" t="str">
        <f>IF(H736="SÍ", (DQ736/(BZ736*0.3)), "No aplica")</f>
        <v>No aplica</v>
      </c>
      <c r="DS736" s="79"/>
      <c r="DT736" s="79"/>
      <c r="DU736" s="75" t="str">
        <f>IF(H736="SÍ", (DT736/(BZ736*0.35)), "No aplica")</f>
        <v>No aplica</v>
      </c>
      <c r="DV736" s="79" t="s">
        <v>182</v>
      </c>
      <c r="DW736" s="79"/>
      <c r="DX736" s="79"/>
      <c r="DY736" s="79"/>
      <c r="DZ736" s="79"/>
      <c r="EA736" s="79"/>
      <c r="EB736" s="79" t="s">
        <v>182</v>
      </c>
      <c r="EC736" s="79" t="s">
        <v>5165</v>
      </c>
      <c r="ED736" s="79" t="s">
        <v>4009</v>
      </c>
      <c r="EE736" s="79" t="str">
        <f>IF(DI736="Subsanado","Completo","Por Completar")</f>
        <v>Completo</v>
      </c>
      <c r="EF736" s="41"/>
      <c r="EG736" s="79" t="s">
        <v>153</v>
      </c>
      <c r="EH736" s="71"/>
      <c r="EI736" s="80"/>
      <c r="EJ736" s="71"/>
      <c r="EK736" s="79"/>
      <c r="EL736" s="87" t="str">
        <f>IF(F736="NO","No requiere",IF(H736="No","No requiere",IF(DW736="","",IF(DW736&lt;&gt;"No aplica",IF(DX736&lt;&gt;"No aplica",IF(DX736&gt;=2,"Sí","No"),"No aplica"),"No aplica"))))</f>
        <v>No requiere</v>
      </c>
      <c r="EM736" s="87" t="str">
        <f>IF(F736="NO","No requiere",IF(H736="No","No requiere",IF(DW736="","",IF(DW736&lt;&gt;"No aplica",IF(DY736&lt;&gt;"No aplica",IF(DY736&gt;=1,"Sí","No"),"No aplica"),"No aplica"))))</f>
        <v>No requiere</v>
      </c>
      <c r="EN736" s="87" t="str">
        <f>IF(F736="NO","No requiere",IF(H736="No","No requiere",IF(CC736="","",IF(CD736&lt;&gt;"No aplica",IF(CD736&lt;&gt;"Ninguna",IF(COUNTIF(CD736:CF736,"*")&gt;=1,"Sí","No"),"No"),"No aplica"))))</f>
        <v>No requiere</v>
      </c>
      <c r="EO736" s="71"/>
      <c r="EP736" s="84" t="str">
        <f>IF(F736="NO","No requiere",IF(H736="No","No requiere",IF(DL736="","",IF(DL736&gt;=1,DM736/DL736,"No aplica"))))</f>
        <v>No requiere</v>
      </c>
      <c r="EQ736" s="88" t="str">
        <f>IFERROR(IF(F736="NO","No requiere",IF(H736="No","No requiere",DU736)),"")</f>
        <v>No requiere</v>
      </c>
      <c r="ER736" s="71"/>
      <c r="ES736" s="79"/>
      <c r="ET736" s="84" t="str">
        <f>IF(F736="NO","No requiere",IF(H736="No","No requiere",IFERROR(COUNTIF(DJ736:DW736,"Completo")/SUM(COUNTIF(DJ736:DW736,"Completo"),COUNTIF(DJ736:DW736,"Incompleto"),COUNTIF(DJ736:DW736,"No subido"),COUNTIF(DJ736:DW736,"No existente"),COUNTIF(DJ736:DW736,"Pendiente")),"")))</f>
        <v>No requiere</v>
      </c>
      <c r="EU736" s="84" t="str">
        <f>IF(F736="NO","No requiere",IF(H736="No","No requiere",IF(B736="","",IF(CX736="SÍ",IF(CK736&gt;=1,CY736/CK736,"Sin compromisos"),"Por verificar"))))</f>
        <v>No requiere</v>
      </c>
      <c r="EV736" s="84" t="str">
        <f>IF(EU736="Por verificar","Por verificar",IF(F736="NO","No requiere",IF(H736="No","No requiere",IFERROR(IF(EU736="","",IF(CK736&gt;=1,DA736/CZ736,"No aplica")),"No aplica"))))</f>
        <v>No requiere</v>
      </c>
      <c r="EW736" s="84" t="str">
        <f>IF(F736="NO","No requiere",IF(H736="No","No requiere",IFERROR(IF(BZ736="","",IF(EA736&lt;&gt;"No aplica",IF(EA736&gt;=1,DO736/EA736,"0%"),"No aplica")),"")))</f>
        <v>No requiere</v>
      </c>
      <c r="EX736" s="78"/>
      <c r="EY736" s="78"/>
    </row>
    <row r="737" spans="1:155" ht="60" customHeight="1">
      <c r="A737" s="79" t="str">
        <v/>
      </c>
      <c r="B737" s="80" t="s">
        <v>5166</v>
      </c>
      <c r="C737" s="81">
        <v>45489</v>
      </c>
      <c r="D737" s="82">
        <v>0.625</v>
      </c>
      <c r="E737" s="79" t="s">
        <v>151</v>
      </c>
      <c r="F737" s="79" t="s">
        <v>152</v>
      </c>
      <c r="G737" s="79" t="s">
        <v>153</v>
      </c>
      <c r="H737" s="79" t="s">
        <v>152</v>
      </c>
      <c r="I737" s="79" t="s">
        <v>152</v>
      </c>
      <c r="J737" s="79" t="s">
        <v>1711</v>
      </c>
      <c r="K737" s="79" t="s">
        <v>155</v>
      </c>
      <c r="L737" s="80" t="s">
        <v>5167</v>
      </c>
      <c r="M737" s="80" t="s">
        <v>157</v>
      </c>
      <c r="N737" s="79" t="s">
        <v>887</v>
      </c>
      <c r="O737" s="80" t="str">
        <f t="shared" si="951"/>
        <v>Yeiker Guerra Sarmiento, Luz Maritza Acero</v>
      </c>
      <c r="P737" s="79" t="s">
        <v>163</v>
      </c>
      <c r="Q737" s="79" t="s">
        <v>167</v>
      </c>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t="s">
        <v>304</v>
      </c>
      <c r="AP737" s="79"/>
      <c r="AQ737" s="80" t="s">
        <v>1192</v>
      </c>
      <c r="AR737" s="83" t="s">
        <v>5004</v>
      </c>
      <c r="AS737" s="80" t="s">
        <v>5005</v>
      </c>
      <c r="AT737" s="80" t="str">
        <f t="shared" si="950"/>
        <v>Distrital</v>
      </c>
      <c r="AU737" s="79" t="s">
        <v>172</v>
      </c>
      <c r="AV737" s="79"/>
      <c r="AW737" s="79"/>
      <c r="AX737" s="79"/>
      <c r="AY737" s="79"/>
      <c r="AZ737" s="79"/>
      <c r="BA737" s="80" t="str">
        <f t="shared" si="562"/>
        <v>Distrital</v>
      </c>
      <c r="BB737" s="79" t="s">
        <v>172</v>
      </c>
      <c r="BC737" s="79"/>
      <c r="BD737" s="79"/>
      <c r="BE737" s="79"/>
      <c r="BF737" s="79"/>
      <c r="BG737" s="79"/>
      <c r="BH737" s="80" t="str">
        <f t="shared" si="563"/>
        <v>Distrital</v>
      </c>
      <c r="BI737" s="79" t="s">
        <v>172</v>
      </c>
      <c r="BJ737" s="79"/>
      <c r="BK737" s="79"/>
      <c r="BL737" s="79"/>
      <c r="BM737" s="79"/>
      <c r="BN737" s="79"/>
      <c r="BO737" s="79"/>
      <c r="BP737" s="79"/>
      <c r="BQ737" s="79"/>
      <c r="BR737" s="79"/>
      <c r="BS737" s="80" t="s">
        <v>3564</v>
      </c>
      <c r="BT737" s="80" t="s">
        <v>174</v>
      </c>
      <c r="BU737" s="80" t="s">
        <v>5168</v>
      </c>
      <c r="BV737" s="71"/>
      <c r="BW737" s="79" t="s">
        <v>152</v>
      </c>
      <c r="BX737" s="79" t="s">
        <v>179</v>
      </c>
      <c r="BY737" s="71"/>
      <c r="BZ737" s="79">
        <v>0</v>
      </c>
      <c r="CA737" s="79">
        <v>4</v>
      </c>
      <c r="CB737" s="79">
        <f t="shared" si="952"/>
        <v>4</v>
      </c>
      <c r="CC737" s="79" t="str">
        <f t="shared" si="382"/>
        <v>Ninguna</v>
      </c>
      <c r="CD737" s="79" t="s">
        <v>174</v>
      </c>
      <c r="CE737" s="79"/>
      <c r="CF737" s="79"/>
      <c r="CG737" s="83" t="s">
        <v>5169</v>
      </c>
      <c r="CH737" s="41"/>
      <c r="CI737" s="79" t="s">
        <v>153</v>
      </c>
      <c r="CJ737" s="71"/>
      <c r="CK737" s="79">
        <f t="shared" si="953"/>
        <v>0</v>
      </c>
      <c r="CL737" s="79"/>
      <c r="CM737" s="79"/>
      <c r="CN737" s="79"/>
      <c r="CO737" s="79"/>
      <c r="CP737" s="79"/>
      <c r="CQ737" s="79"/>
      <c r="CR737" s="83" t="s">
        <v>179</v>
      </c>
      <c r="CS737" s="83" t="s">
        <v>179</v>
      </c>
      <c r="CT737" s="83" t="s">
        <v>179</v>
      </c>
      <c r="CU737" s="83" t="s">
        <v>179</v>
      </c>
      <c r="CV737" s="83" t="s">
        <v>179</v>
      </c>
      <c r="CW737" s="83" t="s">
        <v>179</v>
      </c>
      <c r="CX737" s="79" t="s">
        <v>153</v>
      </c>
      <c r="CY737" s="79">
        <f t="shared" si="954"/>
        <v>0</v>
      </c>
      <c r="CZ737" s="79">
        <v>0</v>
      </c>
      <c r="DA737" s="79">
        <f t="shared" si="955"/>
        <v>0</v>
      </c>
      <c r="DB737" s="84" t="str">
        <f t="shared" si="956"/>
        <v/>
      </c>
      <c r="DC737" s="41"/>
      <c r="DD737" s="79" t="s">
        <v>153</v>
      </c>
      <c r="DE737" s="71"/>
      <c r="DF737" s="127" t="s">
        <v>5170</v>
      </c>
      <c r="DG737" s="79">
        <v>725</v>
      </c>
      <c r="DH737" s="86" t="str">
        <f t="shared" si="957"/>
        <v>Completo</v>
      </c>
      <c r="DI737" s="79" t="s">
        <v>181</v>
      </c>
      <c r="DJ737" s="79" t="s">
        <v>182</v>
      </c>
      <c r="DK737" s="79"/>
      <c r="DL737" s="79">
        <v>0</v>
      </c>
      <c r="DM737" s="79">
        <v>0</v>
      </c>
      <c r="DN737" s="79" t="s">
        <v>182</v>
      </c>
      <c r="DO737" s="79"/>
      <c r="DP737" s="79"/>
      <c r="DQ737" s="79"/>
      <c r="DR737" s="75" t="str">
        <f t="shared" si="576"/>
        <v>No aplica</v>
      </c>
      <c r="DS737" s="79"/>
      <c r="DT737" s="79"/>
      <c r="DU737" s="75" t="str">
        <f t="shared" si="577"/>
        <v>No aplica</v>
      </c>
      <c r="DV737" s="79" t="s">
        <v>182</v>
      </c>
      <c r="DW737" s="79" t="s">
        <v>182</v>
      </c>
      <c r="DX737" s="79"/>
      <c r="DY737" s="79"/>
      <c r="DZ737" s="79"/>
      <c r="EA737" s="79"/>
      <c r="EB737" s="79"/>
      <c r="EC737" s="79"/>
      <c r="ED737" s="79"/>
      <c r="EE737" s="79" t="str">
        <f t="shared" si="958"/>
        <v>Completo</v>
      </c>
      <c r="EF737" s="41"/>
      <c r="EG737" s="79" t="s">
        <v>153</v>
      </c>
      <c r="EH737" s="71"/>
      <c r="EI737" s="80"/>
      <c r="EJ737" s="71"/>
      <c r="EK737" s="79"/>
      <c r="EL737" s="87" t="str">
        <f t="shared" si="959"/>
        <v>No requiere</v>
      </c>
      <c r="EM737" s="87" t="str">
        <f t="shared" si="960"/>
        <v>No requiere</v>
      </c>
      <c r="EN737" s="87" t="str">
        <f t="shared" si="961"/>
        <v>No requiere</v>
      </c>
      <c r="EO737" s="71"/>
      <c r="EP737" s="84" t="str">
        <f t="shared" si="962"/>
        <v>No requiere</v>
      </c>
      <c r="EQ737" s="88" t="str">
        <f t="shared" si="963"/>
        <v>No requiere</v>
      </c>
      <c r="ER737" s="71"/>
      <c r="ES737" s="79"/>
      <c r="ET737" s="84" t="str">
        <f t="shared" si="964"/>
        <v>No requiere</v>
      </c>
      <c r="EU737" s="84" t="str">
        <f t="shared" si="965"/>
        <v>No requiere</v>
      </c>
      <c r="EV737" s="84" t="str">
        <f t="shared" si="966"/>
        <v>No requiere</v>
      </c>
      <c r="EW737" s="84" t="str">
        <f t="shared" si="581"/>
        <v>No requiere</v>
      </c>
      <c r="EX737" s="78"/>
      <c r="EY737" s="78"/>
    </row>
    <row r="738" spans="1:155" ht="60" customHeight="1">
      <c r="A738" s="79">
        <v>734</v>
      </c>
      <c r="B738" s="80" t="s">
        <v>5171</v>
      </c>
      <c r="C738" s="81">
        <v>45489</v>
      </c>
      <c r="D738" s="82">
        <v>0.66666666666666663</v>
      </c>
      <c r="E738" s="79" t="s">
        <v>200</v>
      </c>
      <c r="F738" s="79" t="s">
        <v>153</v>
      </c>
      <c r="G738" s="79" t="s">
        <v>152</v>
      </c>
      <c r="H738" s="79" t="s">
        <v>152</v>
      </c>
      <c r="I738" s="79" t="s">
        <v>152</v>
      </c>
      <c r="J738" s="79" t="s">
        <v>504</v>
      </c>
      <c r="K738" s="79" t="s">
        <v>202</v>
      </c>
      <c r="L738" s="80" t="s">
        <v>5172</v>
      </c>
      <c r="M738" s="80" t="s">
        <v>624</v>
      </c>
      <c r="N738" s="79" t="s">
        <v>506</v>
      </c>
      <c r="O738" s="80" t="str">
        <f t="shared" si="951"/>
        <v/>
      </c>
      <c r="P738" s="79"/>
      <c r="Q738" s="79"/>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t="s">
        <v>169</v>
      </c>
      <c r="AP738" s="79" t="s">
        <v>2702</v>
      </c>
      <c r="AQ738" s="80" t="s">
        <v>5173</v>
      </c>
      <c r="AR738" s="83" t="s">
        <v>4104</v>
      </c>
      <c r="AS738" s="80" t="s">
        <v>3692</v>
      </c>
      <c r="AT738" s="80" t="str">
        <f t="shared" si="950"/>
        <v>Sumapaz</v>
      </c>
      <c r="AU738" s="79" t="s">
        <v>510</v>
      </c>
      <c r="AV738" s="79"/>
      <c r="AW738" s="79"/>
      <c r="AX738" s="79"/>
      <c r="AY738" s="79"/>
      <c r="AZ738" s="79"/>
      <c r="BA738" s="80" t="str">
        <f t="shared" si="562"/>
        <v>Ruralidad</v>
      </c>
      <c r="BB738" s="79" t="s">
        <v>219</v>
      </c>
      <c r="BC738" s="79"/>
      <c r="BD738" s="79"/>
      <c r="BE738" s="79"/>
      <c r="BF738" s="79"/>
      <c r="BG738" s="79"/>
      <c r="BH738" s="80" t="str">
        <f t="shared" si="563"/>
        <v>Sumapaz</v>
      </c>
      <c r="BI738" s="79" t="s">
        <v>510</v>
      </c>
      <c r="BJ738" s="79"/>
      <c r="BK738" s="79"/>
      <c r="BL738" s="79"/>
      <c r="BM738" s="79"/>
      <c r="BN738" s="79"/>
      <c r="BO738" s="79"/>
      <c r="BP738" s="79"/>
      <c r="BQ738" s="79"/>
      <c r="BR738" s="79"/>
      <c r="BS738" s="80" t="s">
        <v>3652</v>
      </c>
      <c r="BT738" s="80" t="s">
        <v>174</v>
      </c>
      <c r="BU738" s="80" t="s">
        <v>196</v>
      </c>
      <c r="BV738" s="71"/>
      <c r="BW738" s="79" t="s">
        <v>152</v>
      </c>
      <c r="BX738" s="79" t="s">
        <v>179</v>
      </c>
      <c r="BY738" s="71"/>
      <c r="BZ738" s="79">
        <v>8</v>
      </c>
      <c r="CA738" s="79">
        <v>1</v>
      </c>
      <c r="CB738" s="79">
        <f t="shared" si="952"/>
        <v>9</v>
      </c>
      <c r="CC738" s="79" t="str">
        <f t="shared" si="382"/>
        <v>Horarios Acordes</v>
      </c>
      <c r="CD738" s="79" t="s">
        <v>351</v>
      </c>
      <c r="CE738" s="79"/>
      <c r="CF738" s="79"/>
      <c r="CG738" s="83" t="s">
        <v>5174</v>
      </c>
      <c r="CH738" s="41"/>
      <c r="CI738" s="79" t="s">
        <v>153</v>
      </c>
      <c r="CJ738" s="71"/>
      <c r="CK738" s="79">
        <f t="shared" si="953"/>
        <v>0</v>
      </c>
      <c r="CL738" s="79"/>
      <c r="CM738" s="79"/>
      <c r="CN738" s="79"/>
      <c r="CO738" s="79"/>
      <c r="CP738" s="79"/>
      <c r="CQ738" s="79"/>
      <c r="CR738" s="309" t="s">
        <v>179</v>
      </c>
      <c r="CS738" s="309" t="s">
        <v>179</v>
      </c>
      <c r="CT738" s="309" t="s">
        <v>179</v>
      </c>
      <c r="CU738" s="309" t="s">
        <v>179</v>
      </c>
      <c r="CV738" s="309" t="s">
        <v>179</v>
      </c>
      <c r="CW738" s="309" t="s">
        <v>179</v>
      </c>
      <c r="CX738" s="79"/>
      <c r="CY738" s="79">
        <f t="shared" si="954"/>
        <v>0</v>
      </c>
      <c r="CZ738" s="79">
        <v>0</v>
      </c>
      <c r="DA738" s="79">
        <f t="shared" si="955"/>
        <v>0</v>
      </c>
      <c r="DB738" s="84" t="str">
        <f t="shared" si="956"/>
        <v/>
      </c>
      <c r="DC738" s="41"/>
      <c r="DD738" s="79" t="s">
        <v>153</v>
      </c>
      <c r="DE738" s="71"/>
      <c r="DF738" s="127" t="s">
        <v>5175</v>
      </c>
      <c r="DG738" s="79">
        <v>726</v>
      </c>
      <c r="DH738" s="86" t="str">
        <f t="shared" si="957"/>
        <v>Completo</v>
      </c>
      <c r="DI738" s="79" t="s">
        <v>181</v>
      </c>
      <c r="DJ738" s="79" t="s">
        <v>182</v>
      </c>
      <c r="DK738" s="79"/>
      <c r="DL738" s="79">
        <v>0</v>
      </c>
      <c r="DM738" s="79">
        <v>0</v>
      </c>
      <c r="DN738" s="79" t="s">
        <v>182</v>
      </c>
      <c r="DO738" s="79"/>
      <c r="DP738" s="79"/>
      <c r="DQ738" s="79"/>
      <c r="DR738" s="75" t="str">
        <f t="shared" si="576"/>
        <v>No aplica</v>
      </c>
      <c r="DS738" s="79"/>
      <c r="DT738" s="79"/>
      <c r="DU738" s="75" t="str">
        <f t="shared" si="577"/>
        <v>No aplica</v>
      </c>
      <c r="DV738" s="79" t="s">
        <v>182</v>
      </c>
      <c r="DW738" s="79" t="s">
        <v>182</v>
      </c>
      <c r="DX738" s="79"/>
      <c r="DY738" s="79"/>
      <c r="DZ738" s="79"/>
      <c r="EA738" s="79"/>
      <c r="EB738" s="79"/>
      <c r="EC738" s="79"/>
      <c r="ED738" s="79" t="s">
        <v>3866</v>
      </c>
      <c r="EE738" s="79" t="str">
        <f t="shared" si="958"/>
        <v>Completo</v>
      </c>
      <c r="EF738" s="41"/>
      <c r="EG738" s="79" t="s">
        <v>153</v>
      </c>
      <c r="EH738" s="71"/>
      <c r="EI738" s="80"/>
      <c r="EJ738" s="71"/>
      <c r="EK738" s="79"/>
      <c r="EL738" s="87" t="str">
        <f t="shared" si="959"/>
        <v>No requiere</v>
      </c>
      <c r="EM738" s="87" t="str">
        <f t="shared" si="960"/>
        <v>No requiere</v>
      </c>
      <c r="EN738" s="87" t="str">
        <f t="shared" si="961"/>
        <v>No requiere</v>
      </c>
      <c r="EO738" s="71"/>
      <c r="EP738" s="84" t="str">
        <f t="shared" si="962"/>
        <v>No requiere</v>
      </c>
      <c r="EQ738" s="88" t="str">
        <f t="shared" si="963"/>
        <v>No requiere</v>
      </c>
      <c r="ER738" s="71"/>
      <c r="ES738" s="79"/>
      <c r="ET738" s="84" t="str">
        <f t="shared" si="964"/>
        <v>No requiere</v>
      </c>
      <c r="EU738" s="84" t="str">
        <f t="shared" si="965"/>
        <v>No requiere</v>
      </c>
      <c r="EV738" s="84" t="str">
        <f t="shared" si="966"/>
        <v>No requiere</v>
      </c>
      <c r="EW738" s="84" t="str">
        <f t="shared" si="581"/>
        <v>No requiere</v>
      </c>
      <c r="EX738" s="78"/>
      <c r="EY738" s="78"/>
    </row>
    <row r="739" spans="1:155" ht="60" customHeight="1">
      <c r="A739" s="79">
        <v>735</v>
      </c>
      <c r="B739" s="80" t="s">
        <v>5176</v>
      </c>
      <c r="C739" s="81">
        <v>45489</v>
      </c>
      <c r="D739" s="82">
        <v>0.66666666666666663</v>
      </c>
      <c r="E739" s="79" t="s">
        <v>151</v>
      </c>
      <c r="F739" s="79" t="s">
        <v>153</v>
      </c>
      <c r="G739" s="79" t="s">
        <v>152</v>
      </c>
      <c r="H739" s="79" t="s">
        <v>152</v>
      </c>
      <c r="I739" s="79" t="s">
        <v>152</v>
      </c>
      <c r="J739" s="79" t="s">
        <v>272</v>
      </c>
      <c r="K739" s="79" t="s">
        <v>155</v>
      </c>
      <c r="L739" s="80" t="s">
        <v>5177</v>
      </c>
      <c r="M739" s="80" t="s">
        <v>157</v>
      </c>
      <c r="N739" s="79" t="s">
        <v>195</v>
      </c>
      <c r="O739" s="80" t="str">
        <f t="shared" si="951"/>
        <v>Luna Paulina Benjumea</v>
      </c>
      <c r="P739" s="79" t="s">
        <v>4960</v>
      </c>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t="s">
        <v>304</v>
      </c>
      <c r="AP739" s="79"/>
      <c r="AQ739" s="83" t="s">
        <v>1989</v>
      </c>
      <c r="AR739" s="83" t="s">
        <v>1989</v>
      </c>
      <c r="AS739" s="83" t="s">
        <v>1989</v>
      </c>
      <c r="AT739" s="80" t="str">
        <f t="shared" si="950"/>
        <v>Distrital</v>
      </c>
      <c r="AU739" s="79" t="s">
        <v>172</v>
      </c>
      <c r="AV739" s="79"/>
      <c r="AW739" s="79"/>
      <c r="AX739" s="79"/>
      <c r="AY739" s="79"/>
      <c r="AZ739" s="79"/>
      <c r="BA739" s="80" t="str">
        <f t="shared" si="562"/>
        <v>Distrital</v>
      </c>
      <c r="BB739" s="79" t="s">
        <v>172</v>
      </c>
      <c r="BC739" s="79"/>
      <c r="BD739" s="79"/>
      <c r="BE739" s="79"/>
      <c r="BF739" s="79"/>
      <c r="BG739" s="79"/>
      <c r="BH739" s="80" t="str">
        <f t="shared" si="563"/>
        <v>Distrital</v>
      </c>
      <c r="BI739" s="79" t="s">
        <v>172</v>
      </c>
      <c r="BJ739" s="79"/>
      <c r="BK739" s="79"/>
      <c r="BL739" s="79"/>
      <c r="BM739" s="79"/>
      <c r="BN739" s="79"/>
      <c r="BO739" s="79"/>
      <c r="BP739" s="79"/>
      <c r="BQ739" s="79"/>
      <c r="BR739" s="79"/>
      <c r="BS739" s="80" t="s">
        <v>359</v>
      </c>
      <c r="BT739" s="80" t="s">
        <v>174</v>
      </c>
      <c r="BU739" s="80" t="s">
        <v>5178</v>
      </c>
      <c r="BV739" s="71"/>
      <c r="BW739" s="79" t="s">
        <v>152</v>
      </c>
      <c r="BX739" s="79" t="s">
        <v>179</v>
      </c>
      <c r="BY739" s="71"/>
      <c r="BZ739" s="79">
        <v>3</v>
      </c>
      <c r="CA739" s="79">
        <v>4</v>
      </c>
      <c r="CB739" s="79">
        <f t="shared" si="952"/>
        <v>7</v>
      </c>
      <c r="CC739" s="79" t="str">
        <f t="shared" si="382"/>
        <v>Ninguna</v>
      </c>
      <c r="CD739" s="79" t="s">
        <v>174</v>
      </c>
      <c r="CE739" s="79"/>
      <c r="CF739" s="79"/>
      <c r="CG739" s="83" t="s">
        <v>5179</v>
      </c>
      <c r="CH739" s="41"/>
      <c r="CI739" s="79" t="s">
        <v>153</v>
      </c>
      <c r="CJ739" s="71"/>
      <c r="CK739" s="79">
        <f t="shared" si="953"/>
        <v>0</v>
      </c>
      <c r="CL739" s="79"/>
      <c r="CM739" s="79"/>
      <c r="CN739" s="79"/>
      <c r="CO739" s="79"/>
      <c r="CP739" s="79"/>
      <c r="CQ739" s="165"/>
      <c r="CR739" s="307" t="s">
        <v>179</v>
      </c>
      <c r="CS739" s="307" t="s">
        <v>179</v>
      </c>
      <c r="CT739" s="307" t="s">
        <v>179</v>
      </c>
      <c r="CU739" s="307" t="s">
        <v>179</v>
      </c>
      <c r="CV739" s="307" t="s">
        <v>179</v>
      </c>
      <c r="CW739" s="308" t="s">
        <v>179</v>
      </c>
      <c r="CX739" s="79" t="s">
        <v>153</v>
      </c>
      <c r="CY739" s="79">
        <f t="shared" si="954"/>
        <v>0</v>
      </c>
      <c r="CZ739" s="79">
        <v>0</v>
      </c>
      <c r="DA739" s="79">
        <f t="shared" si="955"/>
        <v>0</v>
      </c>
      <c r="DB739" s="84" t="str">
        <f t="shared" si="956"/>
        <v/>
      </c>
      <c r="DC739" s="41"/>
      <c r="DD739" s="79" t="s">
        <v>153</v>
      </c>
      <c r="DE739" s="71"/>
      <c r="DF739" s="127" t="s">
        <v>5180</v>
      </c>
      <c r="DG739" s="79">
        <v>727</v>
      </c>
      <c r="DH739" s="86" t="str">
        <f t="shared" si="957"/>
        <v>Completo</v>
      </c>
      <c r="DI739" s="79" t="s">
        <v>181</v>
      </c>
      <c r="DJ739" s="79" t="s">
        <v>182</v>
      </c>
      <c r="DK739" s="79"/>
      <c r="DL739" s="79">
        <v>0</v>
      </c>
      <c r="DM739" s="79">
        <v>0</v>
      </c>
      <c r="DN739" s="79" t="s">
        <v>182</v>
      </c>
      <c r="DO739" s="79"/>
      <c r="DP739" s="79"/>
      <c r="DQ739" s="79"/>
      <c r="DR739" s="75" t="str">
        <f t="shared" si="576"/>
        <v>No aplica</v>
      </c>
      <c r="DS739" s="79"/>
      <c r="DT739" s="79"/>
      <c r="DU739" s="75" t="str">
        <f t="shared" si="577"/>
        <v>No aplica</v>
      </c>
      <c r="DV739" s="79" t="s">
        <v>191</v>
      </c>
      <c r="DW739" s="79"/>
      <c r="DX739" s="79"/>
      <c r="DY739" s="79"/>
      <c r="DZ739" s="79"/>
      <c r="EA739" s="79"/>
      <c r="EB739" s="79"/>
      <c r="EC739" s="79" t="s">
        <v>182</v>
      </c>
      <c r="ED739" s="79" t="s">
        <v>5181</v>
      </c>
      <c r="EE739" s="79" t="str">
        <f t="shared" si="958"/>
        <v>Completo</v>
      </c>
      <c r="EF739" s="41"/>
      <c r="EG739" s="79" t="s">
        <v>153</v>
      </c>
      <c r="EH739" s="71"/>
      <c r="EI739" s="80"/>
      <c r="EJ739" s="71"/>
      <c r="EK739" s="79"/>
      <c r="EL739" s="87" t="str">
        <f t="shared" si="959"/>
        <v>No requiere</v>
      </c>
      <c r="EM739" s="87" t="str">
        <f t="shared" si="960"/>
        <v>No requiere</v>
      </c>
      <c r="EN739" s="87" t="str">
        <f t="shared" si="961"/>
        <v>No requiere</v>
      </c>
      <c r="EO739" s="71"/>
      <c r="EP739" s="84" t="str">
        <f t="shared" si="962"/>
        <v>No requiere</v>
      </c>
      <c r="EQ739" s="88" t="str">
        <f t="shared" si="963"/>
        <v>No requiere</v>
      </c>
      <c r="ER739" s="71"/>
      <c r="ES739" s="79"/>
      <c r="ET739" s="84" t="str">
        <f t="shared" si="964"/>
        <v>No requiere</v>
      </c>
      <c r="EU739" s="84" t="str">
        <f t="shared" si="965"/>
        <v>No requiere</v>
      </c>
      <c r="EV739" s="84" t="str">
        <f t="shared" si="966"/>
        <v>No requiere</v>
      </c>
      <c r="EW739" s="84" t="str">
        <f t="shared" si="581"/>
        <v>No requiere</v>
      </c>
      <c r="EX739" s="78"/>
      <c r="EY739" s="78"/>
    </row>
    <row r="740" spans="1:155" ht="60" customHeight="1">
      <c r="A740" s="79">
        <v>736</v>
      </c>
      <c r="B740" s="80" t="s">
        <v>5182</v>
      </c>
      <c r="C740" s="81">
        <v>45489</v>
      </c>
      <c r="D740" s="82">
        <v>0.72916666666666663</v>
      </c>
      <c r="E740" s="79" t="s">
        <v>151</v>
      </c>
      <c r="F740" s="79" t="s">
        <v>153</v>
      </c>
      <c r="G740" s="79" t="s">
        <v>153</v>
      </c>
      <c r="H740" s="79" t="s">
        <v>152</v>
      </c>
      <c r="I740" s="79" t="s">
        <v>153</v>
      </c>
      <c r="J740" s="79" t="s">
        <v>1768</v>
      </c>
      <c r="K740" s="79" t="s">
        <v>155</v>
      </c>
      <c r="L740" s="80" t="s">
        <v>5183</v>
      </c>
      <c r="M740" s="80" t="s">
        <v>241</v>
      </c>
      <c r="N740" s="79" t="s">
        <v>820</v>
      </c>
      <c r="O740" s="80" t="str">
        <f t="shared" si="951"/>
        <v>Carlos Eduardo Escandón</v>
      </c>
      <c r="P740" s="79" t="s">
        <v>819</v>
      </c>
      <c r="Q740" s="79"/>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t="s">
        <v>230</v>
      </c>
      <c r="AP740" s="79" t="s">
        <v>356</v>
      </c>
      <c r="AQ740" s="80" t="s">
        <v>5184</v>
      </c>
      <c r="AR740" s="83" t="s">
        <v>5185</v>
      </c>
      <c r="AS740" s="80" t="s">
        <v>5186</v>
      </c>
      <c r="AT740" s="80" t="str">
        <f t="shared" si="950"/>
        <v>Suba</v>
      </c>
      <c r="AU740" s="79" t="s">
        <v>602</v>
      </c>
      <c r="AV740" s="79"/>
      <c r="AW740" s="79"/>
      <c r="AX740" s="79"/>
      <c r="AY740" s="79"/>
      <c r="AZ740" s="79"/>
      <c r="BA740" s="80" t="str">
        <f t="shared" si="562"/>
        <v>Noroccidente</v>
      </c>
      <c r="BB740" s="79" t="s">
        <v>603</v>
      </c>
      <c r="BC740" s="79"/>
      <c r="BD740" s="79"/>
      <c r="BE740" s="79"/>
      <c r="BF740" s="79"/>
      <c r="BG740" s="79"/>
      <c r="BH740" s="80" t="str">
        <f>_xlfn.TEXTJOIN(", ",TRUE,$BI740:$BR740)</f>
        <v>Suba, Suba Rincón, Tibabuyes</v>
      </c>
      <c r="BI740" s="79" t="s">
        <v>602</v>
      </c>
      <c r="BJ740" s="79" t="s">
        <v>604</v>
      </c>
      <c r="BK740" s="79" t="s">
        <v>1378</v>
      </c>
      <c r="BL740" s="79"/>
      <c r="BM740" s="79"/>
      <c r="BN740" s="79"/>
      <c r="BO740" s="79"/>
      <c r="BP740" s="79"/>
      <c r="BQ740" s="79"/>
      <c r="BR740" s="79"/>
      <c r="BS740" s="80" t="s">
        <v>288</v>
      </c>
      <c r="BT740" s="80" t="s">
        <v>4876</v>
      </c>
      <c r="BU740" s="80" t="s">
        <v>5187</v>
      </c>
      <c r="BV740" s="71"/>
      <c r="BW740" s="79" t="s">
        <v>152</v>
      </c>
      <c r="BX740" s="79" t="s">
        <v>179</v>
      </c>
      <c r="BY740" s="71"/>
      <c r="BZ740" s="79">
        <v>20</v>
      </c>
      <c r="CA740" s="79">
        <v>9</v>
      </c>
      <c r="CB740" s="79">
        <f t="shared" si="952"/>
        <v>29</v>
      </c>
      <c r="CC740" s="79" t="str">
        <f t="shared" si="382"/>
        <v>Ninguna</v>
      </c>
      <c r="CD740" s="79" t="s">
        <v>174</v>
      </c>
      <c r="CE740" s="79"/>
      <c r="CF740" s="79"/>
      <c r="CG740" s="83" t="s">
        <v>5188</v>
      </c>
      <c r="CH740" s="41"/>
      <c r="CI740" s="79" t="s">
        <v>153</v>
      </c>
      <c r="CJ740" s="71"/>
      <c r="CK740" s="79">
        <f t="shared" si="953"/>
        <v>0</v>
      </c>
      <c r="CL740" s="79"/>
      <c r="CM740" s="79"/>
      <c r="CN740" s="79"/>
      <c r="CO740" s="79"/>
      <c r="CP740" s="79"/>
      <c r="CQ740" s="165"/>
      <c r="CR740" s="307" t="s">
        <v>179</v>
      </c>
      <c r="CS740" s="307" t="s">
        <v>179</v>
      </c>
      <c r="CT740" s="307" t="s">
        <v>179</v>
      </c>
      <c r="CU740" s="307" t="s">
        <v>179</v>
      </c>
      <c r="CV740" s="307" t="s">
        <v>179</v>
      </c>
      <c r="CW740" s="308" t="s">
        <v>179</v>
      </c>
      <c r="CX740" s="79" t="s">
        <v>153</v>
      </c>
      <c r="CY740" s="79">
        <f t="shared" si="954"/>
        <v>0</v>
      </c>
      <c r="CZ740" s="79">
        <v>0</v>
      </c>
      <c r="DA740" s="79">
        <f t="shared" si="955"/>
        <v>0</v>
      </c>
      <c r="DB740" s="84" t="str">
        <f t="shared" si="956"/>
        <v/>
      </c>
      <c r="DC740" s="41"/>
      <c r="DD740" s="79" t="s">
        <v>153</v>
      </c>
      <c r="DE740" s="71"/>
      <c r="DF740" s="127" t="s">
        <v>5189</v>
      </c>
      <c r="DG740" s="79">
        <v>728</v>
      </c>
      <c r="DH740" s="86" t="str">
        <f t="shared" si="957"/>
        <v>Completo</v>
      </c>
      <c r="DI740" s="79" t="s">
        <v>181</v>
      </c>
      <c r="DJ740" s="79" t="s">
        <v>182</v>
      </c>
      <c r="DK740" s="79"/>
      <c r="DL740" s="79">
        <v>0</v>
      </c>
      <c r="DM740" s="79">
        <v>0</v>
      </c>
      <c r="DN740" s="79" t="s">
        <v>182</v>
      </c>
      <c r="DO740" s="79"/>
      <c r="DP740" s="79"/>
      <c r="DQ740" s="79"/>
      <c r="DR740" s="75" t="str">
        <f t="shared" si="576"/>
        <v>No aplica</v>
      </c>
      <c r="DS740" s="79"/>
      <c r="DT740" s="79"/>
      <c r="DU740" s="75" t="str">
        <f t="shared" si="577"/>
        <v>No aplica</v>
      </c>
      <c r="DV740" s="79" t="s">
        <v>182</v>
      </c>
      <c r="DW740" s="79"/>
      <c r="DX740" s="79"/>
      <c r="DY740" s="79"/>
      <c r="DZ740" s="79"/>
      <c r="EA740" s="79"/>
      <c r="EB740" s="79" t="s">
        <v>182</v>
      </c>
      <c r="EC740" s="79" t="s">
        <v>5190</v>
      </c>
      <c r="ED740" s="79" t="s">
        <v>5191</v>
      </c>
      <c r="EE740" s="79" t="str">
        <f t="shared" si="958"/>
        <v>Completo</v>
      </c>
      <c r="EF740" s="41"/>
      <c r="EG740" s="79" t="s">
        <v>152</v>
      </c>
      <c r="EH740" s="71"/>
      <c r="EI740" s="80"/>
      <c r="EJ740" s="71"/>
      <c r="EK740" s="79"/>
      <c r="EL740" s="87" t="str">
        <f t="shared" si="959"/>
        <v>No requiere</v>
      </c>
      <c r="EM740" s="87" t="str">
        <f t="shared" si="960"/>
        <v>No requiere</v>
      </c>
      <c r="EN740" s="87" t="str">
        <f t="shared" si="961"/>
        <v>No requiere</v>
      </c>
      <c r="EO740" s="71"/>
      <c r="EP740" s="84" t="str">
        <f t="shared" si="962"/>
        <v>No requiere</v>
      </c>
      <c r="EQ740" s="88" t="str">
        <f t="shared" si="963"/>
        <v>No requiere</v>
      </c>
      <c r="ER740" s="71"/>
      <c r="ES740" s="79"/>
      <c r="ET740" s="84" t="str">
        <f t="shared" si="964"/>
        <v>No requiere</v>
      </c>
      <c r="EU740" s="84" t="str">
        <f t="shared" si="965"/>
        <v>No requiere</v>
      </c>
      <c r="EV740" s="84" t="str">
        <f t="shared" si="966"/>
        <v>No requiere</v>
      </c>
      <c r="EW740" s="84" t="str">
        <f>IF(F740="NO","No requiere",IF(H740="No","No requiere",IFERROR(IF(BZ740="","",IF(#REF!&lt;&gt;"No aplica",IF(#REF!&gt;=1,DO740/#REF!,"0%"),"No aplica")),"")))</f>
        <v>No requiere</v>
      </c>
      <c r="EX740" s="78"/>
      <c r="EY740" s="78"/>
    </row>
    <row r="741" spans="1:155" ht="57" customHeight="1">
      <c r="A741" s="79">
        <v>737</v>
      </c>
      <c r="B741" s="80" t="s">
        <v>5192</v>
      </c>
      <c r="C741" s="81">
        <v>45489</v>
      </c>
      <c r="D741" s="82">
        <v>0.72916666666666663</v>
      </c>
      <c r="E741" s="79" t="s">
        <v>151</v>
      </c>
      <c r="F741" s="79" t="s">
        <v>153</v>
      </c>
      <c r="G741" s="79" t="s">
        <v>153</v>
      </c>
      <c r="H741" s="79" t="s">
        <v>152</v>
      </c>
      <c r="I741" s="79" t="s">
        <v>153</v>
      </c>
      <c r="J741" s="79" t="s">
        <v>1768</v>
      </c>
      <c r="K741" s="79" t="s">
        <v>155</v>
      </c>
      <c r="L741" s="80" t="s">
        <v>5183</v>
      </c>
      <c r="M741" s="80" t="s">
        <v>229</v>
      </c>
      <c r="N741" s="79" t="s">
        <v>1611</v>
      </c>
      <c r="O741" s="80" t="str">
        <f>_xlfn.TEXTJOIN(", ",TRUE,P741:AN741)</f>
        <v>Germán Ramón Jacome, Aida Vanessa Rocha</v>
      </c>
      <c r="P741" s="79" t="s">
        <v>525</v>
      </c>
      <c r="Q741" s="79" t="s">
        <v>801</v>
      </c>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t="s">
        <v>230</v>
      </c>
      <c r="AP741" s="79" t="s">
        <v>356</v>
      </c>
      <c r="AQ741" s="80" t="s">
        <v>5193</v>
      </c>
      <c r="AR741" s="83" t="s">
        <v>4419</v>
      </c>
      <c r="AS741" s="80" t="s">
        <v>5186</v>
      </c>
      <c r="AT741" s="80" t="str">
        <f>_xlfn.TEXTJOIN(", ",TRUE,$AU741:$AY741)</f>
        <v>Suba</v>
      </c>
      <c r="AU741" s="79" t="s">
        <v>602</v>
      </c>
      <c r="AV741" s="79"/>
      <c r="AW741" s="79"/>
      <c r="AX741" s="79"/>
      <c r="AY741" s="79"/>
      <c r="AZ741" s="79"/>
      <c r="BA741" s="80" t="str">
        <f>_xlfn.TEXTJOIN(", ",TRUE,$BB741:$BG741)</f>
        <v>Norte</v>
      </c>
      <c r="BB741" s="79" t="s">
        <v>662</v>
      </c>
      <c r="BC741" s="79"/>
      <c r="BD741" s="79"/>
      <c r="BE741" s="79"/>
      <c r="BF741" s="79"/>
      <c r="BG741" s="79"/>
      <c r="BH741" s="80" t="str">
        <f>_xlfn.TEXTJOIN(", ",TRUE,$BI741:$BR741)</f>
        <v>Niza, Britalia, Torca</v>
      </c>
      <c r="BI741" s="79" t="s">
        <v>865</v>
      </c>
      <c r="BJ741" s="79" t="s">
        <v>1313</v>
      </c>
      <c r="BK741" s="79" t="s">
        <v>805</v>
      </c>
      <c r="BL741" s="79"/>
      <c r="BM741" s="79"/>
      <c r="BN741" s="79"/>
      <c r="BO741" s="79"/>
      <c r="BP741" s="79"/>
      <c r="BQ741" s="79"/>
      <c r="BR741" s="79"/>
      <c r="BS741" s="80" t="s">
        <v>5194</v>
      </c>
      <c r="BT741" s="80" t="s">
        <v>5195</v>
      </c>
      <c r="BU741" s="80" t="s">
        <v>5187</v>
      </c>
      <c r="BV741" s="71"/>
      <c r="BW741" s="79" t="s">
        <v>152</v>
      </c>
      <c r="BX741" s="79" t="s">
        <v>179</v>
      </c>
      <c r="BY741" s="71"/>
      <c r="BZ741" s="79">
        <v>19</v>
      </c>
      <c r="CA741" s="79">
        <v>10</v>
      </c>
      <c r="CB741" s="79">
        <f>BZ741+CA741</f>
        <v>29</v>
      </c>
      <c r="CC741" s="79" t="str">
        <f>_xlfn.TEXTJOIN(", ",TRUE,$CD741:$CF741)</f>
        <v>Horarios Acordes</v>
      </c>
      <c r="CD741" s="79" t="s">
        <v>351</v>
      </c>
      <c r="CE741" s="79"/>
      <c r="CF741" s="79"/>
      <c r="CG741" s="83" t="s">
        <v>5196</v>
      </c>
      <c r="CH741" s="41"/>
      <c r="CI741" s="79" t="s">
        <v>153</v>
      </c>
      <c r="CJ741" s="71"/>
      <c r="CK741" s="79">
        <f>COUNTIF(CL741:CQ741,"*")</f>
        <v>0</v>
      </c>
      <c r="CL741" s="79"/>
      <c r="CM741" s="79"/>
      <c r="CN741" s="79"/>
      <c r="CO741" s="79"/>
      <c r="CP741" s="79"/>
      <c r="CQ741" s="79"/>
      <c r="CR741" s="72" t="s">
        <v>179</v>
      </c>
      <c r="CS741" s="72" t="s">
        <v>179</v>
      </c>
      <c r="CT741" s="72" t="s">
        <v>179</v>
      </c>
      <c r="CU741" s="72" t="s">
        <v>179</v>
      </c>
      <c r="CV741" s="72" t="s">
        <v>179</v>
      </c>
      <c r="CW741" s="72" t="s">
        <v>179</v>
      </c>
      <c r="CX741" s="79" t="s">
        <v>153</v>
      </c>
      <c r="CY741" s="79">
        <f>SUM(COUNTIF(CR741:CW741,"Realizado y Devuelto a la Ciudadanía"),COUNTIF(CR741:CW741,"Realizado y Trasladado por competencia"), COUNTIF(CR741:CW741,"Realizado y Gestionado"))</f>
        <v>0</v>
      </c>
      <c r="CZ741" s="79">
        <v>0</v>
      </c>
      <c r="DA741" s="79">
        <f>COUNTIF(CR741:CW741,"Realizado y Devuelto a la Ciudadanía")</f>
        <v>0</v>
      </c>
      <c r="DB741" s="84" t="str">
        <f>IFERROR(CY741/CK741,"")</f>
        <v/>
      </c>
      <c r="DC741" s="41"/>
      <c r="DD741" s="194" t="s">
        <v>5197</v>
      </c>
      <c r="DE741" s="79"/>
      <c r="DF741" s="127" t="s">
        <v>5198</v>
      </c>
      <c r="DG741" s="79">
        <v>729</v>
      </c>
      <c r="DH741" s="86" t="str">
        <f>IF(EE741="Por completar",C741+3,"Completo")</f>
        <v>Completo</v>
      </c>
      <c r="DI741" s="79" t="s">
        <v>181</v>
      </c>
      <c r="DJ741" s="79" t="s">
        <v>182</v>
      </c>
      <c r="DK741" s="79"/>
      <c r="DL741" s="79">
        <v>0</v>
      </c>
      <c r="DM741" s="79">
        <v>0</v>
      </c>
      <c r="DN741" s="79" t="s">
        <v>182</v>
      </c>
      <c r="DO741" s="79"/>
      <c r="DP741" s="79"/>
      <c r="DQ741" s="79"/>
      <c r="DR741" s="75" t="str">
        <f>IF(H741="SÍ", (DQ741/(BZ741*0.3)), "No aplica")</f>
        <v>No aplica</v>
      </c>
      <c r="DS741" s="79"/>
      <c r="DT741" s="79"/>
      <c r="DU741" s="75" t="str">
        <f>IF(H741="SÍ", (DT741/(BZ741*0.35)), "No aplica")</f>
        <v>No aplica</v>
      </c>
      <c r="DV741" s="79" t="s">
        <v>182</v>
      </c>
      <c r="DW741" s="79"/>
      <c r="DX741" s="79"/>
      <c r="DY741" s="79"/>
      <c r="DZ741" s="79"/>
      <c r="EA741" s="79"/>
      <c r="EB741" s="79" t="s">
        <v>182</v>
      </c>
      <c r="EC741" s="79" t="s">
        <v>5199</v>
      </c>
      <c r="ED741" s="79" t="s">
        <v>5200</v>
      </c>
      <c r="EE741" s="79" t="str">
        <f>IF(DI741="Subsanado","Completo","Por Completar")</f>
        <v>Completo</v>
      </c>
      <c r="EF741" s="41"/>
      <c r="EG741" s="79" t="s">
        <v>153</v>
      </c>
      <c r="EH741" s="71"/>
      <c r="EI741" s="80"/>
      <c r="EJ741" s="71"/>
      <c r="EK741" s="79"/>
      <c r="EL741" s="87" t="str">
        <f>IF(F741="NO","No requiere",IF(H741="No","No requiere",IF(DW741="","",IF(DW741&lt;&gt;"No aplica",IF(DX741&lt;&gt;"No aplica",IF(DX741&gt;=2,"Sí","No"),"No aplica"),"No aplica"))))</f>
        <v>No requiere</v>
      </c>
      <c r="EM741" s="87" t="str">
        <f>IF(F741="NO","No requiere",IF(H741="No","No requiere",IF(DW741="","",IF(DW741&lt;&gt;"No aplica",IF(DY741&lt;&gt;"No aplica",IF(DY741&gt;=1,"Sí","No"),"No aplica"),"No aplica"))))</f>
        <v>No requiere</v>
      </c>
      <c r="EN741" s="87" t="str">
        <f>IF(F741="NO","No requiere",IF(H741="No","No requiere",IF(CC741="","",IF(CD741&lt;&gt;"No aplica",IF(CD741&lt;&gt;"Ninguna",IF(COUNTIF(CD741:CF741,"*")&gt;=1,"Sí","No"),"No"),"No aplica"))))</f>
        <v>No requiere</v>
      </c>
      <c r="EO741" s="71"/>
      <c r="EP741" s="84" t="str">
        <f>IF(F741="NO","No requiere",IF(H741="No","No requiere",IF(DL741="","",IF(DL741&gt;=1,DM741/DL741,"No aplica"))))</f>
        <v>No requiere</v>
      </c>
      <c r="EQ741" s="88" t="str">
        <f>IFERROR(IF(F741="NO","No requiere",IF(H741="No","No requiere",DU741)),"")</f>
        <v>No requiere</v>
      </c>
      <c r="ER741" s="71"/>
      <c r="ES741" s="79"/>
      <c r="ET741" s="84" t="str">
        <f>IF(F741="NO","No requiere",IF(H741="No","No requiere",IFERROR(COUNTIF(DJ741:DW741,"Completo")/SUM(COUNTIF(DJ741:DW741,"Completo"),COUNTIF(DJ741:DW741,"Incompleto"),COUNTIF(DJ741:DW741,"No subido"),COUNTIF(DJ741:DW741,"No existente"),COUNTIF(DJ741:DW741,"Pendiente")),"")))</f>
        <v>No requiere</v>
      </c>
      <c r="EU741" s="84" t="str">
        <f>IF(F741="NO","No requiere",IF(H741="No","No requiere",IF(B741="","",IF(CX741="SÍ",IF(CK741&gt;=1,CY741/CK741,"Sin compromisos"),"Por verificar"))))</f>
        <v>No requiere</v>
      </c>
      <c r="EV741" s="84" t="str">
        <f>IF(EU741="Por verificar","Por verificar",IF(F741="NO","No requiere",IF(H741="No","No requiere",IFERROR(IF(EU741="","",IF(CK741&gt;=1,DA741/CZ741,"No aplica")),"No aplica"))))</f>
        <v>No requiere</v>
      </c>
      <c r="EW741" s="84" t="str">
        <f>IF(F741="NO","No requiere",IF(H741="No","No requiere",IFERROR(IF(BZ741="","",IF(EA741&lt;&gt;"No aplica",IF(EA741&gt;=1,DO741/EA741,"0%"),"No aplica")),"")))</f>
        <v>No requiere</v>
      </c>
      <c r="EX741" s="78"/>
      <c r="EY741" s="78"/>
    </row>
    <row r="742" spans="1:155" ht="57" customHeight="1">
      <c r="A742" s="79" t="str">
        <v/>
      </c>
      <c r="B742" s="80" t="s">
        <v>5201</v>
      </c>
      <c r="C742" s="81">
        <v>45490</v>
      </c>
      <c r="D742" s="82">
        <v>0.33333333333333331</v>
      </c>
      <c r="E742" s="79" t="s">
        <v>151</v>
      </c>
      <c r="F742" s="79" t="s">
        <v>152</v>
      </c>
      <c r="G742" s="79" t="s">
        <v>153</v>
      </c>
      <c r="H742" s="79" t="s">
        <v>152</v>
      </c>
      <c r="I742" s="79" t="s">
        <v>152</v>
      </c>
      <c r="J742" s="79" t="s">
        <v>251</v>
      </c>
      <c r="K742" s="79" t="s">
        <v>202</v>
      </c>
      <c r="L742" s="80" t="s">
        <v>5202</v>
      </c>
      <c r="M742" s="80" t="s">
        <v>157</v>
      </c>
      <c r="N742" s="79" t="s">
        <v>195</v>
      </c>
      <c r="O742" s="80" t="str">
        <f t="shared" ref="O742" si="967">_xlfn.TEXTJOIN(", ",TRUE,P742:AN742)</f>
        <v>Luna Paulina Benjumea</v>
      </c>
      <c r="P742" s="79" t="s">
        <v>4960</v>
      </c>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t="s">
        <v>304</v>
      </c>
      <c r="AP742" s="79"/>
      <c r="AQ742" s="80" t="s">
        <v>171</v>
      </c>
      <c r="AR742" s="83" t="s">
        <v>171</v>
      </c>
      <c r="AS742" s="80" t="s">
        <v>171</v>
      </c>
      <c r="AT742" s="80" t="str">
        <f t="shared" si="545"/>
        <v>Distrital</v>
      </c>
      <c r="AU742" s="79" t="s">
        <v>172</v>
      </c>
      <c r="AV742" s="79"/>
      <c r="AW742" s="79"/>
      <c r="AX742" s="79"/>
      <c r="AY742" s="79"/>
      <c r="AZ742" s="79"/>
      <c r="BA742" s="80" t="str">
        <f t="shared" si="562"/>
        <v>Distrital</v>
      </c>
      <c r="BB742" s="79" t="s">
        <v>172</v>
      </c>
      <c r="BC742" s="79"/>
      <c r="BD742" s="79"/>
      <c r="BE742" s="79"/>
      <c r="BF742" s="79"/>
      <c r="BG742" s="79"/>
      <c r="BH742" s="80" t="str">
        <f t="shared" si="563"/>
        <v>Distrital</v>
      </c>
      <c r="BI742" s="79" t="s">
        <v>172</v>
      </c>
      <c r="BJ742" s="79"/>
      <c r="BK742" s="79"/>
      <c r="BL742" s="79"/>
      <c r="BM742" s="79"/>
      <c r="BN742" s="79"/>
      <c r="BO742" s="79"/>
      <c r="BP742" s="79"/>
      <c r="BQ742" s="79"/>
      <c r="BR742" s="79"/>
      <c r="BS742" s="80" t="s">
        <v>288</v>
      </c>
      <c r="BT742" s="80" t="s">
        <v>174</v>
      </c>
      <c r="BU742" s="128" t="s">
        <v>3931</v>
      </c>
      <c r="BV742" s="71"/>
      <c r="BW742" s="79" t="s">
        <v>152</v>
      </c>
      <c r="BX742" s="79" t="s">
        <v>179</v>
      </c>
      <c r="BY742" s="71"/>
      <c r="BZ742" s="79">
        <v>18</v>
      </c>
      <c r="CA742" s="79">
        <v>10</v>
      </c>
      <c r="CB742" s="79">
        <f t="shared" ref="CB742" si="968">BZ742+CA742</f>
        <v>28</v>
      </c>
      <c r="CC742" s="79" t="str">
        <f t="shared" si="382"/>
        <v>Ninguna</v>
      </c>
      <c r="CD742" s="79" t="s">
        <v>174</v>
      </c>
      <c r="CE742" s="79"/>
      <c r="CF742" s="79"/>
      <c r="CG742" s="83" t="s">
        <v>5203</v>
      </c>
      <c r="CH742" s="41"/>
      <c r="CI742" s="79" t="s">
        <v>153</v>
      </c>
      <c r="CJ742" s="71"/>
      <c r="CK742" s="79">
        <f t="shared" ref="CK742" si="969">COUNTIF(CL742:CQ742,"*")</f>
        <v>0</v>
      </c>
      <c r="CL742" s="79"/>
      <c r="CM742" s="79"/>
      <c r="CN742" s="79"/>
      <c r="CO742" s="79"/>
      <c r="CP742" s="79"/>
      <c r="CQ742" s="79"/>
      <c r="CR742" s="83" t="s">
        <v>1545</v>
      </c>
      <c r="CS742" s="83" t="s">
        <v>1545</v>
      </c>
      <c r="CT742" s="83" t="s">
        <v>1545</v>
      </c>
      <c r="CU742" s="83" t="s">
        <v>1545</v>
      </c>
      <c r="CV742" s="83" t="s">
        <v>1545</v>
      </c>
      <c r="CW742" s="83" t="s">
        <v>1545</v>
      </c>
      <c r="CX742" s="79" t="s">
        <v>153</v>
      </c>
      <c r="CY742" s="79">
        <f t="shared" ref="CY742" si="970">SUM(COUNTIF(CR742:CW742,"Realizado y Devuelto a la Ciudadanía"),COUNTIF(CR742:CW742,"Realizado y Trasladado por competencia"), COUNTIF(CR742:CW742,"Realizado y Gestionado"))</f>
        <v>0</v>
      </c>
      <c r="CZ742" s="79">
        <v>0</v>
      </c>
      <c r="DA742" s="79">
        <f t="shared" ref="DA742" si="971">COUNTIF(CR742:CW742,"Realizado y Devuelto a la Ciudadanía")</f>
        <v>0</v>
      </c>
      <c r="DB742" s="84" t="str">
        <f t="shared" ref="DB742" si="972">IFERROR(CY742/CK742,"")</f>
        <v/>
      </c>
      <c r="DC742" s="41"/>
      <c r="DD742" s="79" t="s">
        <v>153</v>
      </c>
      <c r="DE742" s="71"/>
      <c r="DF742" s="133" t="s">
        <v>5204</v>
      </c>
      <c r="DG742" s="79">
        <v>730</v>
      </c>
      <c r="DH742" s="86" t="str">
        <f t="shared" ref="DH742" si="973">IF(EE742="Por completar",C742+3,"Completo")</f>
        <v>Completo</v>
      </c>
      <c r="DI742" s="79" t="s">
        <v>181</v>
      </c>
      <c r="DJ742" s="79" t="s">
        <v>182</v>
      </c>
      <c r="DK742" s="79"/>
      <c r="DL742" s="79">
        <v>0</v>
      </c>
      <c r="DM742" s="79">
        <v>0</v>
      </c>
      <c r="DN742" s="79" t="s">
        <v>182</v>
      </c>
      <c r="DO742" s="79"/>
      <c r="DP742" s="79"/>
      <c r="DQ742" s="79"/>
      <c r="DR742" s="75" t="str">
        <f t="shared" ref="DR742" si="974">IF(H742="SÍ", (DQ742/(BZ742*0.3)), "No aplica")</f>
        <v>No aplica</v>
      </c>
      <c r="DS742" s="79"/>
      <c r="DT742" s="79"/>
      <c r="DU742" s="75" t="str">
        <f t="shared" ref="DU742" si="975">IF(H742="SÍ", (DT742/(BZ742*0.35)), "No aplica")</f>
        <v>No aplica</v>
      </c>
      <c r="DV742" s="79"/>
      <c r="DW742" s="79"/>
      <c r="DX742" s="79"/>
      <c r="DY742" s="79"/>
      <c r="DZ742" s="79"/>
      <c r="EA742" s="79"/>
      <c r="EB742" s="79" t="s">
        <v>182</v>
      </c>
      <c r="EC742" s="79" t="s">
        <v>5205</v>
      </c>
      <c r="ED742" s="79" t="s">
        <v>5206</v>
      </c>
      <c r="EE742" s="79" t="str">
        <f t="shared" ref="EE742" si="976">IF(DI742="Subsanado","Completo","Por Completar")</f>
        <v>Completo</v>
      </c>
      <c r="EF742" s="41"/>
      <c r="EG742" s="79" t="s">
        <v>153</v>
      </c>
      <c r="EH742" s="71"/>
      <c r="EI742" s="80"/>
      <c r="EJ742" s="71"/>
      <c r="EK742" s="79"/>
      <c r="EL742" s="87" t="str">
        <f t="shared" ref="EL742" si="977">IF(F742="NO","No requiere",IF(H742="No","No requiere",IF(DW742="","",IF(DW742&lt;&gt;"No aplica",IF(DX742&lt;&gt;"No aplica",IF(DX742&gt;=2,"Sí","No"),"No aplica"),"No aplica"))))</f>
        <v>No requiere</v>
      </c>
      <c r="EM742" s="87" t="str">
        <f t="shared" ref="EM742" si="978">IF(F742="NO","No requiere",IF(H742="No","No requiere",IF(DW742="","",IF(DW742&lt;&gt;"No aplica",IF(DY742&lt;&gt;"No aplica",IF(DY742&gt;=1,"Sí","No"),"No aplica"),"No aplica"))))</f>
        <v>No requiere</v>
      </c>
      <c r="EN742" s="87" t="str">
        <f t="shared" ref="EN742" si="979">IF(F742="NO","No requiere",IF(H742="No","No requiere",IF(CC742="","",IF(CD742&lt;&gt;"No aplica",IF(CD742&lt;&gt;"Ninguna",IF(COUNTIF(CD742:CF742,"*")&gt;=1,"Sí","No"),"No"),"No aplica"))))</f>
        <v>No requiere</v>
      </c>
      <c r="EO742" s="71"/>
      <c r="EP742" s="84" t="str">
        <f t="shared" ref="EP742" si="980">IF(F742="NO","No requiere",IF(H742="No","No requiere",IF(DL742="","",IF(DL742&gt;=1,DM742/DL742,"No aplica"))))</f>
        <v>No requiere</v>
      </c>
      <c r="EQ742" s="88" t="str">
        <f t="shared" ref="EQ742" si="981">IFERROR(IF(F742="NO","No requiere",IF(H742="No","No requiere",DU742)),"")</f>
        <v>No requiere</v>
      </c>
      <c r="ER742" s="71"/>
      <c r="ES742" s="79"/>
      <c r="ET742" s="84" t="str">
        <f t="shared" ref="ET742" si="982">IF(F742="NO","No requiere",IF(H742="No","No requiere",IFERROR(COUNTIF(DJ742:DW742,"Completo")/SUM(COUNTIF(DJ742:DW742,"Completo"),COUNTIF(DJ742:DW742,"Incompleto"),COUNTIF(DJ742:DW742,"No subido"),COUNTIF(DJ742:DW742,"No existente"),COUNTIF(DJ742:DW742,"Pendiente")),"")))</f>
        <v>No requiere</v>
      </c>
      <c r="EU742" s="84" t="str">
        <f t="shared" ref="EU742" si="983">IF(F742="NO","No requiere",IF(H742="No","No requiere",IF(B742="","",IF(CX742="SÍ",IF(CK742&gt;=1,CY742/CK742,"Sin compromisos"),"Por verificar"))))</f>
        <v>No requiere</v>
      </c>
      <c r="EV742" s="84" t="str">
        <f t="shared" ref="EV742" si="984">IF(EU742="Por verificar","Por verificar",IF(F742="NO","No requiere",IF(H742="No","No requiere",IFERROR(IF(EU742="","",IF(CK742&gt;=1,DA742/CZ742,"No aplica")),"No aplica"))))</f>
        <v>No requiere</v>
      </c>
      <c r="EW742" s="84" t="str">
        <f t="shared" ref="EW742" si="985">IF(F742="NO","No requiere",IF(H742="No","No requiere",IFERROR(IF(BZ742="","",IF(EA742&lt;&gt;"No aplica",IF(EA742&gt;=1,DO742/EA742,"0%"),"No aplica")),"")))</f>
        <v>No requiere</v>
      </c>
      <c r="EX742" s="78"/>
      <c r="EY742" s="78"/>
    </row>
    <row r="743" spans="1:155" ht="57.75" customHeight="1">
      <c r="A743" s="79">
        <v>739</v>
      </c>
      <c r="B743" s="80" t="s">
        <v>5207</v>
      </c>
      <c r="C743" s="81">
        <v>45490</v>
      </c>
      <c r="D743" s="82">
        <v>0.41666666666666669</v>
      </c>
      <c r="E743" s="79" t="s">
        <v>151</v>
      </c>
      <c r="F743" s="79" t="s">
        <v>153</v>
      </c>
      <c r="G743" s="79" t="s">
        <v>152</v>
      </c>
      <c r="H743" s="79" t="s">
        <v>152</v>
      </c>
      <c r="I743" s="79" t="s">
        <v>152</v>
      </c>
      <c r="J743" s="79" t="s">
        <v>5208</v>
      </c>
      <c r="K743" s="79" t="s">
        <v>155</v>
      </c>
      <c r="L743" s="80" t="s">
        <v>5209</v>
      </c>
      <c r="M743" s="80" t="s">
        <v>624</v>
      </c>
      <c r="N743" s="79" t="s">
        <v>1387</v>
      </c>
      <c r="O743" s="80" t="str">
        <f>_xlfn.TEXTJOIN(", ",TRUE,P743:AN743)</f>
        <v>PENDIENTE</v>
      </c>
      <c r="P743" s="79" t="s">
        <v>196</v>
      </c>
      <c r="Q743" s="79"/>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t="s">
        <v>304</v>
      </c>
      <c r="AP743" s="79"/>
      <c r="AQ743" s="80" t="s">
        <v>5210</v>
      </c>
      <c r="AR743" s="83" t="s">
        <v>171</v>
      </c>
      <c r="AS743" s="80" t="s">
        <v>5211</v>
      </c>
      <c r="AT743" s="80" t="str">
        <f>_xlfn.TEXTJOIN(", ",TRUE,$AU743:$AY743)</f>
        <v>La Candelaria</v>
      </c>
      <c r="AU743" s="79" t="s">
        <v>753</v>
      </c>
      <c r="AV743" s="79"/>
      <c r="AW743" s="79"/>
      <c r="AX743" s="79"/>
      <c r="AY743" s="79"/>
      <c r="AZ743" s="79"/>
      <c r="BA743" s="80" t="str">
        <f>_xlfn.TEXTJOIN(", ",TRUE,$BB743:$BG743)</f>
        <v>Centro Ampliado</v>
      </c>
      <c r="BB743" s="79" t="s">
        <v>636</v>
      </c>
      <c r="BC743" s="79"/>
      <c r="BD743" s="79"/>
      <c r="BE743" s="79"/>
      <c r="BF743" s="79"/>
      <c r="BG743" s="79"/>
      <c r="BH743" s="80" t="str">
        <f>_xlfn.TEXTJOIN(", ",TRUE,$BI743:$BR743)</f>
        <v>Centro Histórico</v>
      </c>
      <c r="BI743" s="79" t="s">
        <v>754</v>
      </c>
      <c r="BJ743" s="79"/>
      <c r="BK743" s="79"/>
      <c r="BL743" s="79"/>
      <c r="BM743" s="79"/>
      <c r="BN743" s="79"/>
      <c r="BO743" s="79"/>
      <c r="BP743" s="79"/>
      <c r="BQ743" s="79"/>
      <c r="BR743" s="79"/>
      <c r="BS743" s="80" t="s">
        <v>4001</v>
      </c>
      <c r="BT743" s="80" t="s">
        <v>174</v>
      </c>
      <c r="BU743" s="80" t="s">
        <v>5212</v>
      </c>
      <c r="BV743" s="71"/>
      <c r="BW743" s="79" t="s">
        <v>152</v>
      </c>
      <c r="BX743" s="79" t="s">
        <v>179</v>
      </c>
      <c r="BY743" s="71"/>
      <c r="BZ743" s="79">
        <v>3</v>
      </c>
      <c r="CA743" s="79">
        <v>2</v>
      </c>
      <c r="CB743" s="79">
        <f>BZ743+CA743</f>
        <v>5</v>
      </c>
      <c r="CC743" s="79" t="str">
        <f>_xlfn.TEXTJOIN(", ",TRUE,$CD743:$CF743)</f>
        <v>Ninguna</v>
      </c>
      <c r="CD743" s="79" t="s">
        <v>174</v>
      </c>
      <c r="CE743" s="79"/>
      <c r="CF743" s="79"/>
      <c r="CG743" s="83" t="s">
        <v>5213</v>
      </c>
      <c r="CH743" s="41"/>
      <c r="CI743" s="79" t="s">
        <v>153</v>
      </c>
      <c r="CJ743" s="71"/>
      <c r="CK743" s="79">
        <f>COUNTIF(CL743:CQ743,"*")</f>
        <v>0</v>
      </c>
      <c r="CL743" s="79"/>
      <c r="CM743" s="79"/>
      <c r="CN743" s="79"/>
      <c r="CO743" s="79"/>
      <c r="CP743" s="79"/>
      <c r="CQ743" s="79"/>
      <c r="CR743" s="83" t="s">
        <v>179</v>
      </c>
      <c r="CS743" s="83" t="s">
        <v>179</v>
      </c>
      <c r="CT743" s="83" t="s">
        <v>1545</v>
      </c>
      <c r="CU743" s="83" t="s">
        <v>1545</v>
      </c>
      <c r="CV743" s="83" t="s">
        <v>1545</v>
      </c>
      <c r="CW743" s="83" t="s">
        <v>1545</v>
      </c>
      <c r="CX743" s="79" t="s">
        <v>153</v>
      </c>
      <c r="CY743" s="79">
        <f>SUM(COUNTIF(CR743:CW743,"Realizado y Devuelto a la Ciudadanía"),COUNTIF(CR743:CW743,"Realizado y Trasladado por competencia"), COUNTIF(CR743:CW743,"Realizado y Gestionado"))</f>
        <v>0</v>
      </c>
      <c r="CZ743" s="79">
        <v>0</v>
      </c>
      <c r="DA743" s="79">
        <f>COUNTIF(CR743:CW743,"Realizado y Devuelto a la Ciudadanía")</f>
        <v>0</v>
      </c>
      <c r="DB743" s="84" t="str">
        <f>IFERROR(CY743/CK743,"")</f>
        <v/>
      </c>
      <c r="DC743" s="41"/>
      <c r="DD743" s="79" t="s">
        <v>153</v>
      </c>
      <c r="DE743" s="71"/>
      <c r="DF743" s="127" t="s">
        <v>5214</v>
      </c>
      <c r="DG743" s="79">
        <v>731</v>
      </c>
      <c r="DH743" s="86" t="str">
        <f>IF(EE743="Por completar",C743+3,"Completo")</f>
        <v>Completo</v>
      </c>
      <c r="DI743" s="79" t="s">
        <v>181</v>
      </c>
      <c r="DJ743" s="79" t="s">
        <v>182</v>
      </c>
      <c r="DK743" s="79"/>
      <c r="DL743" s="79">
        <v>0</v>
      </c>
      <c r="DM743" s="79">
        <v>0</v>
      </c>
      <c r="DN743" s="79" t="s">
        <v>182</v>
      </c>
      <c r="DO743" s="79"/>
      <c r="DP743" s="79"/>
      <c r="DQ743" s="79"/>
      <c r="DR743" s="75" t="str">
        <f>IF(H743="SÍ", (DQ743/(BZ743*0.3)), "No aplica")</f>
        <v>No aplica</v>
      </c>
      <c r="DS743" s="79"/>
      <c r="DT743" s="79"/>
      <c r="DU743" s="75" t="str">
        <f>IF(H743="SÍ", (DT743/(BZ743*0.35)), "No aplica")</f>
        <v>No aplica</v>
      </c>
      <c r="DV743" s="79" t="s">
        <v>182</v>
      </c>
      <c r="DW743" s="79" t="s">
        <v>182</v>
      </c>
      <c r="DX743" s="79"/>
      <c r="DY743" s="79"/>
      <c r="DZ743" s="79"/>
      <c r="EA743" s="79"/>
      <c r="EB743" s="79" t="s">
        <v>182</v>
      </c>
      <c r="EC743" s="79" t="s">
        <v>5215</v>
      </c>
      <c r="ED743" s="79" t="s">
        <v>3866</v>
      </c>
      <c r="EE743" s="79" t="str">
        <f>IF(DI743="Subsanado","Completo","Por Completar")</f>
        <v>Completo</v>
      </c>
      <c r="EF743" s="41"/>
      <c r="EG743" s="79" t="s">
        <v>153</v>
      </c>
      <c r="EH743" s="71"/>
      <c r="EI743" s="80"/>
      <c r="EJ743" s="71"/>
      <c r="EK743" s="79"/>
      <c r="EL743" s="87" t="str">
        <f>IF(F743="NO","No requiere",IF(H743="No","No requiere",IF(DW743="","",IF(DW743&lt;&gt;"No aplica",IF(DX743&lt;&gt;"No aplica",IF(DX743&gt;=2,"Sí","No"),"No aplica"),"No aplica"))))</f>
        <v>No requiere</v>
      </c>
      <c r="EM743" s="87" t="str">
        <f>IF(F743="NO","No requiere",IF(H743="No","No requiere",IF(DW743="","",IF(DW743&lt;&gt;"No aplica",IF(DY743&lt;&gt;"No aplica",IF(DY743&gt;=1,"Sí","No"),"No aplica"),"No aplica"))))</f>
        <v>No requiere</v>
      </c>
      <c r="EN743" s="87" t="str">
        <f>IF(F743="NO","No requiere",IF(H743="No","No requiere",IF(CC743="","",IF(CD743&lt;&gt;"No aplica",IF(CD743&lt;&gt;"Ninguna",IF(COUNTIF(CD743:CF743,"*")&gt;=1,"Sí","No"),"No"),"No aplica"))))</f>
        <v>No requiere</v>
      </c>
      <c r="EO743" s="71"/>
      <c r="EP743" s="84" t="str">
        <f>IF(F743="NO","No requiere",IF(H743="No","No requiere",IF(DL743="","",IF(DL743&gt;=1,DM743/DL743,"No aplica"))))</f>
        <v>No requiere</v>
      </c>
      <c r="EQ743" s="88" t="str">
        <f>IFERROR(IF(F743="NO","No requiere",IF(H743="No","No requiere",DU743)),"")</f>
        <v>No requiere</v>
      </c>
      <c r="ER743" s="71"/>
      <c r="ES743" s="79"/>
      <c r="ET743" s="84" t="str">
        <f>IF(F743="NO","No requiere",IF(H743="No","No requiere",IFERROR(COUNTIF(DJ743:DW743,"Completo")/SUM(COUNTIF(DJ743:DW743,"Completo"),COUNTIF(DJ743:DW743,"Incompleto"),COUNTIF(DJ743:DW743,"No subido"),COUNTIF(DJ743:DW743,"No existente"),COUNTIF(DJ743:DW743,"Pendiente")),"")))</f>
        <v>No requiere</v>
      </c>
      <c r="EU743" s="84" t="str">
        <f>IF(F743="NO","No requiere",IF(H743="No","No requiere",IF(B743="","",IF(CX743="SÍ",IF(CK743&gt;=1,CY743/CK743,"Sin compromisos"),"Por verificar"))))</f>
        <v>No requiere</v>
      </c>
      <c r="EV743" s="84" t="str">
        <f>IF(EU743="Por verificar","Por verificar",IF(F743="NO","No requiere",IF(H743="No","No requiere",IFERROR(IF(EU743="","",IF(CK743&gt;=1,DA743/CZ743,"No aplica")),"No aplica"))))</f>
        <v>No requiere</v>
      </c>
      <c r="EW743" s="84" t="str">
        <f>IF(F743="NO","No requiere",IF(H743="No","No requiere",IFERROR(IF(BZ743="","",IF(EA743&lt;&gt;"No aplica",IF(EA743&gt;=1,DO743/EA743,"0%"),"No aplica")),"")))</f>
        <v>No requiere</v>
      </c>
      <c r="EX743" s="78"/>
      <c r="EY743" s="78"/>
    </row>
    <row r="744" spans="1:155" ht="46.5" customHeight="1">
      <c r="A744" s="79" t="str">
        <v/>
      </c>
      <c r="B744" s="80" t="s">
        <v>5216</v>
      </c>
      <c r="C744" s="81">
        <v>45490</v>
      </c>
      <c r="D744" s="82">
        <v>0.5</v>
      </c>
      <c r="E744" s="79" t="s">
        <v>151</v>
      </c>
      <c r="F744" s="79" t="s">
        <v>152</v>
      </c>
      <c r="G744" s="79" t="s">
        <v>152</v>
      </c>
      <c r="H744" s="79" t="s">
        <v>152</v>
      </c>
      <c r="I744" s="79" t="s">
        <v>152</v>
      </c>
      <c r="J744" s="79" t="s">
        <v>2153</v>
      </c>
      <c r="K744" s="79" t="s">
        <v>202</v>
      </c>
      <c r="L744" s="80" t="s">
        <v>5217</v>
      </c>
      <c r="M744" s="80" t="s">
        <v>624</v>
      </c>
      <c r="N744" s="79" t="s">
        <v>265</v>
      </c>
      <c r="O744" s="80" t="str">
        <f t="shared" ref="O744:O766" si="986">_xlfn.TEXTJOIN(", ",TRUE,P744:AN744)</f>
        <v>Freddy Martínez, César Augusto Barrantes, Ana María Ulloa, Angie Sandoval, Mónica Lyzeth Cantor</v>
      </c>
      <c r="P744" s="79" t="s">
        <v>3049</v>
      </c>
      <c r="Q744" s="79" t="s">
        <v>729</v>
      </c>
      <c r="R744" s="79" t="s">
        <v>522</v>
      </c>
      <c r="S744" s="79" t="s">
        <v>4898</v>
      </c>
      <c r="T744" s="79" t="s">
        <v>346</v>
      </c>
      <c r="U744" s="79"/>
      <c r="V744" s="79"/>
      <c r="W744" s="79"/>
      <c r="X744" s="79"/>
      <c r="Y744" s="79"/>
      <c r="Z744" s="79"/>
      <c r="AA744" s="79"/>
      <c r="AB744" s="79"/>
      <c r="AC744" s="79"/>
      <c r="AD744" s="79"/>
      <c r="AE744" s="79"/>
      <c r="AF744" s="79"/>
      <c r="AG744" s="79"/>
      <c r="AH744" s="79"/>
      <c r="AI744" s="79"/>
      <c r="AJ744" s="79"/>
      <c r="AK744" s="79"/>
      <c r="AL744" s="79"/>
      <c r="AM744" s="79"/>
      <c r="AN744" s="79"/>
      <c r="AO744" s="79" t="s">
        <v>169</v>
      </c>
      <c r="AP744" s="79" t="s">
        <v>170</v>
      </c>
      <c r="AQ744" s="80" t="s">
        <v>171</v>
      </c>
      <c r="AR744" s="80" t="s">
        <v>171</v>
      </c>
      <c r="AS744" s="80" t="s">
        <v>171</v>
      </c>
      <c r="AT744" s="80" t="str">
        <f t="shared" si="950"/>
        <v>Distrital</v>
      </c>
      <c r="AU744" s="79" t="s">
        <v>172</v>
      </c>
      <c r="AV744" s="79"/>
      <c r="AW744" s="79"/>
      <c r="AX744" s="79"/>
      <c r="AY744" s="79"/>
      <c r="AZ744" s="79"/>
      <c r="BA744" s="80" t="str">
        <f t="shared" si="562"/>
        <v>Distrital</v>
      </c>
      <c r="BB744" s="79" t="s">
        <v>172</v>
      </c>
      <c r="BC744" s="79"/>
      <c r="BD744" s="79"/>
      <c r="BE744" s="79"/>
      <c r="BF744" s="79"/>
      <c r="BG744" s="79"/>
      <c r="BH744" s="80" t="str">
        <f t="shared" si="563"/>
        <v>Distrital</v>
      </c>
      <c r="BI744" s="79" t="s">
        <v>172</v>
      </c>
      <c r="BJ744" s="79"/>
      <c r="BK744" s="79"/>
      <c r="BL744" s="79"/>
      <c r="BM744" s="79"/>
      <c r="BN744" s="79"/>
      <c r="BO744" s="79"/>
      <c r="BP744" s="79"/>
      <c r="BQ744" s="79"/>
      <c r="BR744" s="79"/>
      <c r="BS744" s="80" t="s">
        <v>288</v>
      </c>
      <c r="BT744" s="80" t="s">
        <v>174</v>
      </c>
      <c r="BU744" s="128" t="s">
        <v>3931</v>
      </c>
      <c r="BV744" s="71"/>
      <c r="BW744" s="79" t="s">
        <v>152</v>
      </c>
      <c r="BX744" s="79" t="s">
        <v>179</v>
      </c>
      <c r="BY744" s="71"/>
      <c r="BZ744" s="79">
        <v>2</v>
      </c>
      <c r="CA744" s="79">
        <v>5</v>
      </c>
      <c r="CB744" s="79">
        <f t="shared" ref="CB744:CB766" si="987">BZ744+CA744</f>
        <v>7</v>
      </c>
      <c r="CC744" s="79" t="str">
        <f t="shared" si="382"/>
        <v>Ninguna</v>
      </c>
      <c r="CD744" s="79" t="s">
        <v>174</v>
      </c>
      <c r="CE744" s="79"/>
      <c r="CF744" s="79"/>
      <c r="CG744" s="83" t="s">
        <v>5218</v>
      </c>
      <c r="CH744" s="41"/>
      <c r="CI744" s="79" t="s">
        <v>153</v>
      </c>
      <c r="CJ744" s="71"/>
      <c r="CK744" s="79">
        <f t="shared" ref="CK744:CK765" si="988">COUNTIF(CL744:CQ744,"*")</f>
        <v>0</v>
      </c>
      <c r="CL744" s="79"/>
      <c r="CM744" s="79"/>
      <c r="CN744" s="79"/>
      <c r="CO744" s="79"/>
      <c r="CP744" s="79"/>
      <c r="CQ744" s="79"/>
      <c r="CR744" s="83" t="s">
        <v>179</v>
      </c>
      <c r="CS744" s="83" t="s">
        <v>179</v>
      </c>
      <c r="CT744" s="83" t="s">
        <v>179</v>
      </c>
      <c r="CU744" s="83" t="s">
        <v>179</v>
      </c>
      <c r="CV744" s="83" t="s">
        <v>179</v>
      </c>
      <c r="CW744" s="83" t="s">
        <v>179</v>
      </c>
      <c r="CX744" s="79" t="s">
        <v>153</v>
      </c>
      <c r="CY744" s="79">
        <f>SUM(COUNTIF(CR744:CW744,"Realizado y Devuelto a la Ciudadanía"),COUNTIF(CR744:CW744,"Realizado y Trasladado por competencia"), COUNTIF(CR744:CW744,"Realizado y Gestionado"))</f>
        <v>0</v>
      </c>
      <c r="CZ744" s="79">
        <v>0</v>
      </c>
      <c r="DA744" s="79">
        <f>COUNTIF(CR744:CW744,"Realizado y Devuelto a la Ciudadanía")</f>
        <v>0</v>
      </c>
      <c r="DB744" s="84" t="str">
        <f t="shared" ref="DB744:DB766" si="989">IFERROR(CY744/CK744,"")</f>
        <v/>
      </c>
      <c r="DC744" s="41"/>
      <c r="DD744" s="79" t="s">
        <v>153</v>
      </c>
      <c r="DE744" s="71"/>
      <c r="DF744" s="127" t="s">
        <v>5219</v>
      </c>
      <c r="DG744" s="79">
        <v>732</v>
      </c>
      <c r="DH744" s="86" t="str">
        <f t="shared" ref="DH744:DH766" si="990">IF(EE744="Por completar",C744+3,"Completo")</f>
        <v>Completo</v>
      </c>
      <c r="DI744" s="79" t="s">
        <v>181</v>
      </c>
      <c r="DJ744" s="79" t="s">
        <v>182</v>
      </c>
      <c r="DK744" s="79"/>
      <c r="DL744" s="79">
        <v>0</v>
      </c>
      <c r="DM744" s="79">
        <v>0</v>
      </c>
      <c r="DN744" s="79"/>
      <c r="DO744" s="79"/>
      <c r="DP744" s="79"/>
      <c r="DQ744" s="79"/>
      <c r="DR744" s="75" t="str">
        <f t="shared" si="576"/>
        <v>No aplica</v>
      </c>
      <c r="DS744" s="79"/>
      <c r="DT744" s="79"/>
      <c r="DU744" s="75" t="str">
        <f t="shared" si="577"/>
        <v>No aplica</v>
      </c>
      <c r="DV744" s="79" t="s">
        <v>182</v>
      </c>
      <c r="DW744" s="79" t="s">
        <v>182</v>
      </c>
      <c r="DX744" s="79"/>
      <c r="DY744" s="79"/>
      <c r="DZ744" s="79"/>
      <c r="EA744" s="79"/>
      <c r="EB744" s="79"/>
      <c r="EC744" s="79"/>
      <c r="ED744" s="79" t="s">
        <v>5220</v>
      </c>
      <c r="EE744" s="79" t="str">
        <f t="shared" ref="EE744:EE766" si="991">IF(DI744="Subsanado","Completo","Por Completar")</f>
        <v>Completo</v>
      </c>
      <c r="EF744" s="41"/>
      <c r="EG744" s="79" t="s">
        <v>153</v>
      </c>
      <c r="EH744" s="71"/>
      <c r="EI744" s="80"/>
      <c r="EJ744" s="71"/>
      <c r="EK744" s="79"/>
      <c r="EL744" s="87" t="str">
        <f t="shared" ref="EL744:EL766" si="992">IF(F744="NO","No requiere",IF(H744="No","No requiere",IF(DW744="","",IF(DW744&lt;&gt;"No aplica",IF(DX744&lt;&gt;"No aplica",IF(DX744&gt;=2,"Sí","No"),"No aplica"),"No aplica"))))</f>
        <v>No requiere</v>
      </c>
      <c r="EM744" s="87" t="str">
        <f t="shared" ref="EM744:EM766" si="993">IF(F744="NO","No requiere",IF(H744="No","No requiere",IF(DW744="","",IF(DW744&lt;&gt;"No aplica",IF(DY744&lt;&gt;"No aplica",IF(DY744&gt;=1,"Sí","No"),"No aplica"),"No aplica"))))</f>
        <v>No requiere</v>
      </c>
      <c r="EN744" s="87" t="str">
        <f t="shared" ref="EN744:EN766" si="994">IF(F744="NO","No requiere",IF(H744="No","No requiere",IF(CC744="","",IF(CD744&lt;&gt;"No aplica",IF(CD744&lt;&gt;"Ninguna",IF(COUNTIF(CD744:CF744,"*")&gt;=1,"Sí","No"),"No"),"No aplica"))))</f>
        <v>No requiere</v>
      </c>
      <c r="EO744" s="71"/>
      <c r="EP744" s="84" t="str">
        <f t="shared" ref="EP744:EP766" si="995">IF(F744="NO","No requiere",IF(H744="No","No requiere",IF(DL744="","",IF(DL744&gt;=1,DM744/DL744,"No aplica"))))</f>
        <v>No requiere</v>
      </c>
      <c r="EQ744" s="88" t="str">
        <f t="shared" ref="EQ744:EQ766" si="996">IFERROR(IF(F744="NO","No requiere",IF(H744="No","No requiere",DU744)),"")</f>
        <v>No requiere</v>
      </c>
      <c r="ER744" s="71"/>
      <c r="ES744" s="79"/>
      <c r="ET744" s="84" t="str">
        <f t="shared" ref="ET744:ET766" si="997">IF(F744="NO","No requiere",IF(H744="No","No requiere",IFERROR(COUNTIF(DJ744:DW744,"Completo")/SUM(COUNTIF(DJ744:DW744,"Completo"),COUNTIF(DJ744:DW744,"Incompleto"),COUNTIF(DJ744:DW744,"No subido"),COUNTIF(DJ744:DW744,"No existente"),COUNTIF(DJ744:DW744,"Pendiente")),"")))</f>
        <v>No requiere</v>
      </c>
      <c r="EU744" s="84" t="str">
        <f t="shared" ref="EU744:EU766" si="998">IF(F744="NO","No requiere",IF(H744="No","No requiere",IF(B744="","",IF(CX744="SÍ",IF(CK744&gt;=1,CY744/CK744,"Sin compromisos"),"Por verificar"))))</f>
        <v>No requiere</v>
      </c>
      <c r="EV744" s="84" t="str">
        <f t="shared" ref="EV744:EV766" si="999">IF(EU744="Por verificar","Por verificar",IF(F744="NO","No requiere",IF(H744="No","No requiere",IFERROR(IF(EU744="","",IF(CK744&gt;=1,DA744/CZ744,"No aplica")),"No aplica"))))</f>
        <v>No requiere</v>
      </c>
      <c r="EW744" s="84" t="str">
        <f t="shared" si="581"/>
        <v>No requiere</v>
      </c>
      <c r="EX744" s="78"/>
      <c r="EY744" s="78"/>
    </row>
    <row r="745" spans="1:155" ht="54.75" customHeight="1">
      <c r="A745" s="79">
        <v>741</v>
      </c>
      <c r="B745" s="80" t="s">
        <v>5221</v>
      </c>
      <c r="C745" s="81">
        <v>45490</v>
      </c>
      <c r="D745" s="82">
        <v>0.58333333333333337</v>
      </c>
      <c r="E745" s="79" t="s">
        <v>151</v>
      </c>
      <c r="F745" s="79" t="s">
        <v>153</v>
      </c>
      <c r="G745" s="79" t="s">
        <v>153</v>
      </c>
      <c r="H745" s="79" t="s">
        <v>152</v>
      </c>
      <c r="I745" s="79" t="s">
        <v>152</v>
      </c>
      <c r="J745" s="79" t="s">
        <v>3999</v>
      </c>
      <c r="K745" s="79" t="s">
        <v>155</v>
      </c>
      <c r="L745" s="80" t="s">
        <v>5222</v>
      </c>
      <c r="M745" s="80" t="s">
        <v>241</v>
      </c>
      <c r="N745" s="79" t="s">
        <v>1611</v>
      </c>
      <c r="O745" s="80" t="str">
        <f t="shared" si="986"/>
        <v/>
      </c>
      <c r="P745" s="79"/>
      <c r="Q745" s="79"/>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t="s">
        <v>230</v>
      </c>
      <c r="AP745" s="79" t="s">
        <v>347</v>
      </c>
      <c r="AQ745" s="80" t="s">
        <v>5223</v>
      </c>
      <c r="AR745" s="83" t="s">
        <v>5224</v>
      </c>
      <c r="AS745" s="80" t="s">
        <v>171</v>
      </c>
      <c r="AT745" s="80" t="str">
        <f t="shared" si="950"/>
        <v>Usaquén</v>
      </c>
      <c r="AU745" s="79" t="s">
        <v>661</v>
      </c>
      <c r="AV745" s="79"/>
      <c r="AW745" s="79"/>
      <c r="AX745" s="79"/>
      <c r="AY745" s="79"/>
      <c r="AZ745" s="79"/>
      <c r="BA745" s="80" t="str">
        <f t="shared" ref="BA745:BA935" si="1000">_xlfn.TEXTJOIN(", ",TRUE,$BB745:$BG745)</f>
        <v>Norte</v>
      </c>
      <c r="BB745" s="79" t="s">
        <v>662</v>
      </c>
      <c r="BC745" s="79"/>
      <c r="BD745" s="79"/>
      <c r="BE745" s="79"/>
      <c r="BF745" s="79"/>
      <c r="BG745" s="79"/>
      <c r="BH745" s="80" t="str">
        <f t="shared" ref="BH745:BH935" si="1001">_xlfn.TEXTJOIN(", ",TRUE,$BI745:$BR745)</f>
        <v>Usaquén</v>
      </c>
      <c r="BI745" s="79" t="s">
        <v>661</v>
      </c>
      <c r="BJ745" s="79"/>
      <c r="BK745" s="79"/>
      <c r="BL745" s="79"/>
      <c r="BM745" s="79"/>
      <c r="BN745" s="79"/>
      <c r="BO745" s="79"/>
      <c r="BP745" s="79"/>
      <c r="BQ745" s="79"/>
      <c r="BR745" s="79"/>
      <c r="BS745" s="80" t="s">
        <v>5225</v>
      </c>
      <c r="BT745" s="80" t="s">
        <v>174</v>
      </c>
      <c r="BU745" s="80" t="s">
        <v>5226</v>
      </c>
      <c r="BV745" s="71"/>
      <c r="BW745" s="79" t="s">
        <v>152</v>
      </c>
      <c r="BX745" s="79" t="s">
        <v>179</v>
      </c>
      <c r="BY745" s="71"/>
      <c r="BZ745" s="79">
        <v>1</v>
      </c>
      <c r="CA745" s="79">
        <v>1</v>
      </c>
      <c r="CB745" s="79">
        <f t="shared" si="987"/>
        <v>2</v>
      </c>
      <c r="CC745" s="79" t="str">
        <f t="shared" si="382"/>
        <v>Horarios Acordes</v>
      </c>
      <c r="CD745" s="79" t="s">
        <v>351</v>
      </c>
      <c r="CE745" s="79"/>
      <c r="CF745" s="79"/>
      <c r="CG745" s="83" t="s">
        <v>5227</v>
      </c>
      <c r="CH745" s="41"/>
      <c r="CI745" s="79" t="s">
        <v>153</v>
      </c>
      <c r="CJ745" s="71"/>
      <c r="CK745" s="79">
        <f t="shared" si="988"/>
        <v>0</v>
      </c>
      <c r="CL745" s="79"/>
      <c r="CM745" s="79"/>
      <c r="CN745" s="79"/>
      <c r="CO745" s="79"/>
      <c r="CP745" s="79"/>
      <c r="CQ745" s="79"/>
      <c r="CR745" s="83" t="s">
        <v>1545</v>
      </c>
      <c r="CS745" s="83" t="s">
        <v>1545</v>
      </c>
      <c r="CT745" s="83" t="s">
        <v>1545</v>
      </c>
      <c r="CU745" s="83" t="s">
        <v>1545</v>
      </c>
      <c r="CV745" s="83" t="s">
        <v>1545</v>
      </c>
      <c r="CW745" s="83" t="s">
        <v>1545</v>
      </c>
      <c r="CX745" s="79" t="s">
        <v>153</v>
      </c>
      <c r="CY745" s="79">
        <f t="shared" ref="CY745:CY766" si="1002">SUM(COUNTIF(CR745:CW745,"Realizado y Devuelto a la Ciudadanía"),COUNTIF(CR745:CW745,"Realizado y Trasladado por competencia"), COUNTIF(CR745:CW745,"Realizado y Gestionado"))</f>
        <v>0</v>
      </c>
      <c r="CZ745" s="79">
        <v>0</v>
      </c>
      <c r="DA745" s="79">
        <f t="shared" ref="DA745:DA766" si="1003">COUNTIF(CR745:CW745,"Realizado y Devuelto a la Ciudadanía")</f>
        <v>0</v>
      </c>
      <c r="DB745" s="84" t="str">
        <f t="shared" si="989"/>
        <v/>
      </c>
      <c r="DC745" s="41"/>
      <c r="DD745" s="79" t="s">
        <v>153</v>
      </c>
      <c r="DE745" s="71"/>
      <c r="DF745" s="127" t="s">
        <v>5228</v>
      </c>
      <c r="DG745" s="79">
        <v>733</v>
      </c>
      <c r="DH745" s="86" t="str">
        <f t="shared" si="990"/>
        <v>Completo</v>
      </c>
      <c r="DI745" s="79" t="s">
        <v>181</v>
      </c>
      <c r="DJ745" s="79" t="s">
        <v>182</v>
      </c>
      <c r="DK745" s="79"/>
      <c r="DL745" s="79">
        <v>0</v>
      </c>
      <c r="DM745" s="79">
        <v>0</v>
      </c>
      <c r="DN745" s="79" t="s">
        <v>182</v>
      </c>
      <c r="DO745" s="79"/>
      <c r="DP745" s="79"/>
      <c r="DQ745" s="79"/>
      <c r="DR745" s="75" t="str">
        <f t="shared" si="576"/>
        <v>No aplica</v>
      </c>
      <c r="DS745" s="79"/>
      <c r="DT745" s="79"/>
      <c r="DU745" s="75" t="str">
        <f t="shared" si="577"/>
        <v>No aplica</v>
      </c>
      <c r="DV745" s="79" t="s">
        <v>182</v>
      </c>
      <c r="DW745" s="79"/>
      <c r="DX745" s="79"/>
      <c r="DY745" s="79"/>
      <c r="DZ745" s="79"/>
      <c r="EA745" s="79"/>
      <c r="EB745" s="79"/>
      <c r="EC745" s="79"/>
      <c r="ED745" s="79"/>
      <c r="EE745" s="79" t="str">
        <f t="shared" si="991"/>
        <v>Completo</v>
      </c>
      <c r="EF745" s="41"/>
      <c r="EG745" s="79" t="s">
        <v>153</v>
      </c>
      <c r="EH745" s="71"/>
      <c r="EI745" s="80"/>
      <c r="EJ745" s="71"/>
      <c r="EK745" s="79"/>
      <c r="EL745" s="87" t="str">
        <f t="shared" si="992"/>
        <v>No requiere</v>
      </c>
      <c r="EM745" s="87" t="str">
        <f t="shared" si="993"/>
        <v>No requiere</v>
      </c>
      <c r="EN745" s="87" t="str">
        <f t="shared" si="994"/>
        <v>No requiere</v>
      </c>
      <c r="EO745" s="71"/>
      <c r="EP745" s="84" t="str">
        <f t="shared" si="995"/>
        <v>No requiere</v>
      </c>
      <c r="EQ745" s="88" t="str">
        <f t="shared" si="996"/>
        <v>No requiere</v>
      </c>
      <c r="ER745" s="71"/>
      <c r="ES745" s="79"/>
      <c r="ET745" s="84" t="str">
        <f t="shared" si="997"/>
        <v>No requiere</v>
      </c>
      <c r="EU745" s="84" t="str">
        <f t="shared" si="998"/>
        <v>No requiere</v>
      </c>
      <c r="EV745" s="84" t="str">
        <f t="shared" si="999"/>
        <v>No requiere</v>
      </c>
      <c r="EW745" s="84" t="str">
        <f t="shared" si="581"/>
        <v>No requiere</v>
      </c>
      <c r="EX745" s="78"/>
      <c r="EY745" s="78"/>
    </row>
    <row r="746" spans="1:155" ht="46.5" customHeight="1">
      <c r="A746" s="79">
        <v>742</v>
      </c>
      <c r="B746" s="80" t="s">
        <v>4316</v>
      </c>
      <c r="C746" s="81">
        <v>45490</v>
      </c>
      <c r="D746" s="82">
        <v>0.58333333333333337</v>
      </c>
      <c r="E746" s="79" t="s">
        <v>151</v>
      </c>
      <c r="F746" s="79" t="s">
        <v>153</v>
      </c>
      <c r="G746" s="79" t="s">
        <v>152</v>
      </c>
      <c r="H746" s="79" t="s">
        <v>152</v>
      </c>
      <c r="I746" s="79" t="s">
        <v>152</v>
      </c>
      <c r="J746" s="79" t="s">
        <v>2615</v>
      </c>
      <c r="K746" s="79" t="s">
        <v>155</v>
      </c>
      <c r="L746" s="80" t="s">
        <v>4317</v>
      </c>
      <c r="M746" s="80" t="s">
        <v>624</v>
      </c>
      <c r="N746" s="79" t="s">
        <v>632</v>
      </c>
      <c r="O746" s="80" t="str">
        <f>_xlfn.TEXTJOIN(", ",TRUE,P746:AN746)</f>
        <v>Freddy Martínez</v>
      </c>
      <c r="P746" s="79" t="s">
        <v>3049</v>
      </c>
      <c r="Q746" s="79"/>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t="s">
        <v>169</v>
      </c>
      <c r="AP746" s="79" t="s">
        <v>170</v>
      </c>
      <c r="AQ746" s="80" t="s">
        <v>171</v>
      </c>
      <c r="AR746" s="83" t="s">
        <v>171</v>
      </c>
      <c r="AS746" s="80" t="s">
        <v>171</v>
      </c>
      <c r="AT746" s="80" t="str">
        <f>_xlfn.TEXTJOIN(", ",TRUE,$AU746:$AY746)</f>
        <v>Distrital</v>
      </c>
      <c r="AU746" s="79" t="s">
        <v>172</v>
      </c>
      <c r="AV746" s="79"/>
      <c r="AW746" s="79"/>
      <c r="AX746" s="79"/>
      <c r="AY746" s="79"/>
      <c r="AZ746" s="79"/>
      <c r="BA746" s="80" t="str">
        <f>_xlfn.TEXTJOIN(", ",TRUE,$BB746:$BG746)</f>
        <v>Distrital</v>
      </c>
      <c r="BB746" s="79" t="s">
        <v>172</v>
      </c>
      <c r="BC746" s="79"/>
      <c r="BD746" s="79"/>
      <c r="BE746" s="79"/>
      <c r="BF746" s="79"/>
      <c r="BG746" s="79"/>
      <c r="BH746" s="80" t="str">
        <f>_xlfn.TEXTJOIN(", ",TRUE,$BI746:$BR746)</f>
        <v>Distrital</v>
      </c>
      <c r="BI746" s="79" t="s">
        <v>172</v>
      </c>
      <c r="BJ746" s="79"/>
      <c r="BK746" s="79"/>
      <c r="BL746" s="79"/>
      <c r="BM746" s="79"/>
      <c r="BN746" s="79"/>
      <c r="BO746" s="79"/>
      <c r="BP746" s="79"/>
      <c r="BQ746" s="79"/>
      <c r="BR746" s="79"/>
      <c r="BS746" s="80" t="s">
        <v>288</v>
      </c>
      <c r="BT746" s="80" t="s">
        <v>4321</v>
      </c>
      <c r="BU746" s="80" t="s">
        <v>5229</v>
      </c>
      <c r="BV746" s="71"/>
      <c r="BW746" s="79" t="s">
        <v>152</v>
      </c>
      <c r="BX746" s="79" t="s">
        <v>179</v>
      </c>
      <c r="BY746" s="71"/>
      <c r="BZ746" s="79">
        <v>5</v>
      </c>
      <c r="CA746" s="79">
        <v>8</v>
      </c>
      <c r="CB746" s="79">
        <f>BZ746+CA746</f>
        <v>13</v>
      </c>
      <c r="CC746" s="79" t="str">
        <f>_xlfn.TEXTJOIN(", ",TRUE,$CD746:$CF746)</f>
        <v>Ninguna</v>
      </c>
      <c r="CD746" s="79" t="s">
        <v>174</v>
      </c>
      <c r="CE746" s="79"/>
      <c r="CF746" s="79"/>
      <c r="CG746" s="83" t="s">
        <v>5230</v>
      </c>
      <c r="CH746" s="41"/>
      <c r="CI746" s="79" t="s">
        <v>153</v>
      </c>
      <c r="CJ746" s="71"/>
      <c r="CK746" s="79">
        <f>COUNTIF(CL746:CQ746,"*")</f>
        <v>0</v>
      </c>
      <c r="CL746" s="79"/>
      <c r="CM746" s="79"/>
      <c r="CN746" s="79"/>
      <c r="CO746" s="79"/>
      <c r="CP746" s="79"/>
      <c r="CQ746" s="79"/>
      <c r="CR746" s="83" t="s">
        <v>1545</v>
      </c>
      <c r="CS746" s="83" t="s">
        <v>1545</v>
      </c>
      <c r="CT746" s="83" t="s">
        <v>1545</v>
      </c>
      <c r="CU746" s="83" t="s">
        <v>1545</v>
      </c>
      <c r="CV746" s="83" t="s">
        <v>1545</v>
      </c>
      <c r="CW746" s="83" t="s">
        <v>1545</v>
      </c>
      <c r="CX746" s="79" t="s">
        <v>153</v>
      </c>
      <c r="CY746" s="79">
        <f>SUM(COUNTIF(CR746:CW746,"Realizado y Devuelto a la Ciudadanía"),COUNTIF(CR746:CW746,"Realizado y Trasladado por competencia"), COUNTIF(CR746:CW746,"Realizado y Gestionado"))</f>
        <v>0</v>
      </c>
      <c r="CZ746" s="79">
        <v>0</v>
      </c>
      <c r="DA746" s="79">
        <f>COUNTIF(CR746:CW746,"Realizado y Devuelto a la Ciudadanía")</f>
        <v>0</v>
      </c>
      <c r="DB746" s="84" t="str">
        <f>IFERROR(CY746/CK746,"")</f>
        <v/>
      </c>
      <c r="DC746" s="41"/>
      <c r="DD746" s="79" t="s">
        <v>153</v>
      </c>
      <c r="DE746" s="71"/>
      <c r="DF746" s="133" t="s">
        <v>5231</v>
      </c>
      <c r="DG746" s="79">
        <v>734</v>
      </c>
      <c r="DH746" s="86" t="str">
        <f>IF(EE746="Por completar",C746+3,"Completo")</f>
        <v>Completo</v>
      </c>
      <c r="DI746" s="79" t="s">
        <v>181</v>
      </c>
      <c r="DJ746" s="79" t="s">
        <v>182</v>
      </c>
      <c r="DK746" s="79"/>
      <c r="DL746" s="79">
        <v>0</v>
      </c>
      <c r="DM746" s="79">
        <v>0</v>
      </c>
      <c r="DN746" s="79" t="s">
        <v>182</v>
      </c>
      <c r="DO746" s="79"/>
      <c r="DP746" s="79"/>
      <c r="DQ746" s="79"/>
      <c r="DR746" s="75" t="str">
        <f>IF(H746="SÍ", (DQ746/(BZ746*0.3)), "No aplica")</f>
        <v>No aplica</v>
      </c>
      <c r="DS746" s="79"/>
      <c r="DT746" s="79"/>
      <c r="DU746" s="75" t="str">
        <f>IF(H746="SÍ", (DT746/(BZ746*0.35)), "No aplica")</f>
        <v>No aplica</v>
      </c>
      <c r="DV746" s="79"/>
      <c r="DW746" s="79"/>
      <c r="DX746" s="79"/>
      <c r="DY746" s="79"/>
      <c r="DZ746" s="79"/>
      <c r="EA746" s="79"/>
      <c r="EB746" s="79" t="s">
        <v>182</v>
      </c>
      <c r="EC746" s="79"/>
      <c r="ED746" s="79" t="s">
        <v>3866</v>
      </c>
      <c r="EE746" s="79" t="str">
        <f>IF(DI746="Subsanado","Completo","Por Completar")</f>
        <v>Completo</v>
      </c>
      <c r="EF746" s="41"/>
      <c r="EG746" s="79" t="s">
        <v>153</v>
      </c>
      <c r="EH746" s="71"/>
      <c r="EI746" s="80"/>
      <c r="EJ746" s="71"/>
      <c r="EK746" s="79"/>
      <c r="EL746" s="87" t="str">
        <f>IF(F746="NO","No requiere",IF(H746="No","No requiere",IF(DW746="","",IF(DW746&lt;&gt;"No aplica",IF(DX746&lt;&gt;"No aplica",IF(DX746&gt;=2,"Sí","No"),"No aplica"),"No aplica"))))</f>
        <v>No requiere</v>
      </c>
      <c r="EM746" s="87" t="str">
        <f>IF(F746="NO","No requiere",IF(H746="No","No requiere",IF(DW746="","",IF(DW746&lt;&gt;"No aplica",IF(DY746&lt;&gt;"No aplica",IF(DY746&gt;=1,"Sí","No"),"No aplica"),"No aplica"))))</f>
        <v>No requiere</v>
      </c>
      <c r="EN746" s="87" t="str">
        <f>IF(F746="NO","No requiere",IF(H746="No","No requiere",IF(CC746="","",IF(CD746&lt;&gt;"No aplica",IF(CD746&lt;&gt;"Ninguna",IF(COUNTIF(CD746:CF746,"*")&gt;=1,"Sí","No"),"No"),"No aplica"))))</f>
        <v>No requiere</v>
      </c>
      <c r="EO746" s="71"/>
      <c r="EP746" s="84" t="str">
        <f>IF(F746="NO","No requiere",IF(H746="No","No requiere",IF(DL746="","",IF(DL746&gt;=1,DM746/DL746,"No aplica"))))</f>
        <v>No requiere</v>
      </c>
      <c r="EQ746" s="88" t="str">
        <f>IFERROR(IF(F746="NO","No requiere",IF(H746="No","No requiere",DU746)),"")</f>
        <v>No requiere</v>
      </c>
      <c r="ER746" s="71"/>
      <c r="ES746" s="79"/>
      <c r="ET746" s="84" t="str">
        <f>IF(F746="NO","No requiere",IF(H746="No","No requiere",IFERROR(COUNTIF(DJ746:DW746,"Completo")/SUM(COUNTIF(DJ746:DW746,"Completo"),COUNTIF(DJ746:DW746,"Incompleto"),COUNTIF(DJ746:DW746,"No subido"),COUNTIF(DJ746:DW746,"No existente"),COUNTIF(DJ746:DW746,"Pendiente")),"")))</f>
        <v>No requiere</v>
      </c>
      <c r="EU746" s="84" t="str">
        <f>IF(F746="NO","No requiere",IF(H746="No","No requiere",IF(B746="","",IF(CX746="SÍ",IF(CK746&gt;=1,CY746/CK746,"Sin compromisos"),"Por verificar"))))</f>
        <v>No requiere</v>
      </c>
      <c r="EV746" s="84" t="str">
        <f>IF(EU746="Por verificar","Por verificar",IF(F746="NO","No requiere",IF(H746="No","No requiere",IFERROR(IF(EU746="","",IF(CK746&gt;=1,DA746/CZ746,"No aplica")),"No aplica"))))</f>
        <v>No requiere</v>
      </c>
      <c r="EW746" s="84" t="str">
        <f>IF(F746="NO","No requiere",IF(H746="No","No requiere",IFERROR(IF(BZ746="","",IF(EA746&lt;&gt;"No aplica",IF(EA746&gt;=1,DO746/EA746,"0%"),"No aplica")),"")))</f>
        <v>No requiere</v>
      </c>
      <c r="EX746" s="78"/>
      <c r="EY746" s="78"/>
    </row>
    <row r="747" spans="1:155" ht="54.75" customHeight="1">
      <c r="A747" s="79">
        <v>743</v>
      </c>
      <c r="B747" s="80" t="s">
        <v>5232</v>
      </c>
      <c r="C747" s="81">
        <v>45490</v>
      </c>
      <c r="D747" s="82">
        <v>0.58333333333333337</v>
      </c>
      <c r="E747" s="79" t="s">
        <v>200</v>
      </c>
      <c r="F747" s="79" t="s">
        <v>153</v>
      </c>
      <c r="G747" s="79" t="s">
        <v>152</v>
      </c>
      <c r="H747" s="79" t="s">
        <v>152</v>
      </c>
      <c r="I747" s="79" t="s">
        <v>152</v>
      </c>
      <c r="J747" s="79" t="s">
        <v>504</v>
      </c>
      <c r="K747" s="79" t="s">
        <v>155</v>
      </c>
      <c r="L747" s="80" t="s">
        <v>5233</v>
      </c>
      <c r="M747" s="80" t="s">
        <v>624</v>
      </c>
      <c r="N747" s="79" t="s">
        <v>924</v>
      </c>
      <c r="O747" s="80" t="str">
        <f t="shared" si="986"/>
        <v/>
      </c>
      <c r="P747" s="79"/>
      <c r="Q747" s="79"/>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t="s">
        <v>169</v>
      </c>
      <c r="AP747" s="79" t="s">
        <v>2702</v>
      </c>
      <c r="AQ747" s="80" t="s">
        <v>3691</v>
      </c>
      <c r="AR747" s="83" t="s">
        <v>4104</v>
      </c>
      <c r="AS747" s="80" t="s">
        <v>3692</v>
      </c>
      <c r="AT747" s="80" t="str">
        <f t="shared" si="950"/>
        <v>Kennedy</v>
      </c>
      <c r="AU747" s="79" t="s">
        <v>731</v>
      </c>
      <c r="AV747" s="79"/>
      <c r="AW747" s="79"/>
      <c r="AX747" s="79"/>
      <c r="AY747" s="79"/>
      <c r="AZ747" s="79"/>
      <c r="BA747" s="80" t="str">
        <f t="shared" si="1000"/>
        <v>Suroccidente</v>
      </c>
      <c r="BB747" s="79" t="s">
        <v>732</v>
      </c>
      <c r="BC747" s="79"/>
      <c r="BD747" s="79"/>
      <c r="BE747" s="79"/>
      <c r="BF747" s="79"/>
      <c r="BG747" s="79"/>
      <c r="BH747" s="80" t="str">
        <f t="shared" si="1001"/>
        <v>Kennedy</v>
      </c>
      <c r="BI747" s="79" t="s">
        <v>731</v>
      </c>
      <c r="BJ747" s="79"/>
      <c r="BK747" s="79"/>
      <c r="BL747" s="79"/>
      <c r="BM747" s="79"/>
      <c r="BN747" s="79"/>
      <c r="BO747" s="79"/>
      <c r="BP747" s="79"/>
      <c r="BQ747" s="79"/>
      <c r="BR747" s="79"/>
      <c r="BS747" s="80" t="s">
        <v>288</v>
      </c>
      <c r="BT747" s="80" t="s">
        <v>4412</v>
      </c>
      <c r="BU747" s="80" t="s">
        <v>4105</v>
      </c>
      <c r="BV747" s="71"/>
      <c r="BW747" s="79" t="s">
        <v>152</v>
      </c>
      <c r="BX747" s="79" t="s">
        <v>179</v>
      </c>
      <c r="BY747" s="71"/>
      <c r="BZ747" s="79">
        <v>14</v>
      </c>
      <c r="CA747" s="79">
        <v>1</v>
      </c>
      <c r="CB747" s="79">
        <f t="shared" si="987"/>
        <v>15</v>
      </c>
      <c r="CC747" s="79" t="str">
        <f t="shared" si="382"/>
        <v>Ninguna</v>
      </c>
      <c r="CD747" s="79" t="s">
        <v>174</v>
      </c>
      <c r="CE747" s="79"/>
      <c r="CF747" s="79"/>
      <c r="CG747" s="83" t="s">
        <v>5234</v>
      </c>
      <c r="CH747" s="41"/>
      <c r="CI747" s="79" t="s">
        <v>153</v>
      </c>
      <c r="CJ747" s="71"/>
      <c r="CK747" s="79">
        <f t="shared" si="988"/>
        <v>0</v>
      </c>
      <c r="CL747" s="79"/>
      <c r="CM747" s="79"/>
      <c r="CN747" s="79"/>
      <c r="CO747" s="79"/>
      <c r="CP747" s="79"/>
      <c r="CQ747" s="79"/>
      <c r="CR747" s="83" t="s">
        <v>179</v>
      </c>
      <c r="CS747" s="83" t="s">
        <v>179</v>
      </c>
      <c r="CT747" s="83" t="s">
        <v>179</v>
      </c>
      <c r="CU747" s="83" t="s">
        <v>179</v>
      </c>
      <c r="CV747" s="83" t="s">
        <v>179</v>
      </c>
      <c r="CW747" s="83" t="s">
        <v>179</v>
      </c>
      <c r="CX747" s="79" t="s">
        <v>153</v>
      </c>
      <c r="CY747" s="79">
        <f t="shared" si="1002"/>
        <v>0</v>
      </c>
      <c r="CZ747" s="79">
        <v>0</v>
      </c>
      <c r="DA747" s="79">
        <f t="shared" si="1003"/>
        <v>0</v>
      </c>
      <c r="DB747" s="84" t="str">
        <f t="shared" si="989"/>
        <v/>
      </c>
      <c r="DC747" s="41"/>
      <c r="DD747" s="79" t="s">
        <v>153</v>
      </c>
      <c r="DE747" s="71"/>
      <c r="DF747" s="127" t="s">
        <v>5235</v>
      </c>
      <c r="DG747" s="79">
        <v>735</v>
      </c>
      <c r="DH747" s="86" t="str">
        <f t="shared" si="990"/>
        <v>Completo</v>
      </c>
      <c r="DI747" s="79" t="s">
        <v>181</v>
      </c>
      <c r="DJ747" s="79" t="s">
        <v>182</v>
      </c>
      <c r="DK747" s="79"/>
      <c r="DL747" s="79">
        <v>0</v>
      </c>
      <c r="DM747" s="79">
        <v>0</v>
      </c>
      <c r="DN747" s="79" t="s">
        <v>182</v>
      </c>
      <c r="DO747" s="79"/>
      <c r="DP747" s="79"/>
      <c r="DQ747" s="79"/>
      <c r="DR747" s="75" t="str">
        <f t="shared" si="576"/>
        <v>No aplica</v>
      </c>
      <c r="DS747" s="79"/>
      <c r="DT747" s="79"/>
      <c r="DU747" s="75" t="str">
        <f t="shared" si="577"/>
        <v>No aplica</v>
      </c>
      <c r="DV747" s="79" t="s">
        <v>182</v>
      </c>
      <c r="DW747" s="79" t="s">
        <v>182</v>
      </c>
      <c r="DX747" s="79"/>
      <c r="DY747" s="79"/>
      <c r="DZ747" s="79"/>
      <c r="EA747" s="79"/>
      <c r="EB747" s="79"/>
      <c r="EC747" s="79"/>
      <c r="ED747" s="79" t="s">
        <v>3732</v>
      </c>
      <c r="EE747" s="79" t="str">
        <f t="shared" si="991"/>
        <v>Completo</v>
      </c>
      <c r="EF747" s="41"/>
      <c r="EG747" s="79" t="s">
        <v>153</v>
      </c>
      <c r="EH747" s="71"/>
      <c r="EI747" s="80"/>
      <c r="EJ747" s="71"/>
      <c r="EK747" s="79"/>
      <c r="EL747" s="87" t="str">
        <f t="shared" si="992"/>
        <v>No requiere</v>
      </c>
      <c r="EM747" s="87" t="str">
        <f t="shared" si="993"/>
        <v>No requiere</v>
      </c>
      <c r="EN747" s="87" t="str">
        <f t="shared" si="994"/>
        <v>No requiere</v>
      </c>
      <c r="EO747" s="71"/>
      <c r="EP747" s="84" t="str">
        <f t="shared" si="995"/>
        <v>No requiere</v>
      </c>
      <c r="EQ747" s="88" t="str">
        <f t="shared" si="996"/>
        <v>No requiere</v>
      </c>
      <c r="ER747" s="71"/>
      <c r="ES747" s="79"/>
      <c r="ET747" s="84" t="str">
        <f t="shared" si="997"/>
        <v>No requiere</v>
      </c>
      <c r="EU747" s="84" t="str">
        <f t="shared" si="998"/>
        <v>No requiere</v>
      </c>
      <c r="EV747" s="84" t="str">
        <f t="shared" si="999"/>
        <v>No requiere</v>
      </c>
      <c r="EW747" s="84" t="str">
        <f t="shared" si="581"/>
        <v>No requiere</v>
      </c>
      <c r="EX747" s="78"/>
      <c r="EY747" s="78"/>
    </row>
    <row r="748" spans="1:155" ht="54.75" customHeight="1">
      <c r="A748" s="79" t="str">
        <v/>
      </c>
      <c r="B748" s="80" t="s">
        <v>5236</v>
      </c>
      <c r="C748" s="81">
        <v>45490</v>
      </c>
      <c r="D748" s="82">
        <v>0.60416666666666663</v>
      </c>
      <c r="E748" s="79" t="s">
        <v>151</v>
      </c>
      <c r="F748" s="79" t="s">
        <v>152</v>
      </c>
      <c r="G748" s="79" t="s">
        <v>152</v>
      </c>
      <c r="H748" s="79" t="s">
        <v>152</v>
      </c>
      <c r="I748" s="79" t="s">
        <v>152</v>
      </c>
      <c r="J748" s="79" t="s">
        <v>3297</v>
      </c>
      <c r="K748" s="79" t="s">
        <v>155</v>
      </c>
      <c r="L748" s="80" t="s">
        <v>5237</v>
      </c>
      <c r="M748" s="80" t="s">
        <v>157</v>
      </c>
      <c r="N748" s="79" t="s">
        <v>195</v>
      </c>
      <c r="O748" s="80" t="str">
        <f>_xlfn.TEXTJOIN(", ",TRUE,P748:AN748)</f>
        <v/>
      </c>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t="s">
        <v>169</v>
      </c>
      <c r="AP748" s="79" t="s">
        <v>170</v>
      </c>
      <c r="AQ748" s="83" t="s">
        <v>171</v>
      </c>
      <c r="AR748" s="83" t="s">
        <v>171</v>
      </c>
      <c r="AS748" s="80" t="s">
        <v>171</v>
      </c>
      <c r="AT748" s="80" t="str">
        <f t="shared" si="950"/>
        <v>Distrital</v>
      </c>
      <c r="AU748" s="79" t="s">
        <v>172</v>
      </c>
      <c r="AV748" s="79"/>
      <c r="AW748" s="79"/>
      <c r="AX748" s="79"/>
      <c r="AY748" s="79"/>
      <c r="AZ748" s="79"/>
      <c r="BA748" s="80" t="str">
        <f t="shared" si="1000"/>
        <v>Distrital</v>
      </c>
      <c r="BB748" s="79" t="s">
        <v>172</v>
      </c>
      <c r="BC748" s="79"/>
      <c r="BD748" s="79"/>
      <c r="BE748" s="79"/>
      <c r="BF748" s="79"/>
      <c r="BG748" s="79"/>
      <c r="BH748" s="80" t="str">
        <f t="shared" si="1001"/>
        <v>Distrital</v>
      </c>
      <c r="BI748" s="79" t="s">
        <v>172</v>
      </c>
      <c r="BJ748" s="79"/>
      <c r="BK748" s="79"/>
      <c r="BL748" s="79"/>
      <c r="BM748" s="79"/>
      <c r="BN748" s="79"/>
      <c r="BO748" s="79"/>
      <c r="BP748" s="79"/>
      <c r="BQ748" s="79"/>
      <c r="BR748" s="79"/>
      <c r="BS748" s="80" t="s">
        <v>2420</v>
      </c>
      <c r="BT748" s="80" t="s">
        <v>174</v>
      </c>
      <c r="BU748" s="80" t="s">
        <v>5238</v>
      </c>
      <c r="BV748" s="71"/>
      <c r="BW748" s="79" t="s">
        <v>152</v>
      </c>
      <c r="BX748" s="79" t="s">
        <v>179</v>
      </c>
      <c r="BY748" s="71"/>
      <c r="BZ748" s="79">
        <v>0</v>
      </c>
      <c r="CA748" s="79">
        <v>7</v>
      </c>
      <c r="CB748" s="79">
        <f>BZ748+CA748</f>
        <v>7</v>
      </c>
      <c r="CC748" s="79" t="str">
        <f>_xlfn.TEXTJOIN(", ",TRUE,$CD748:$CF748)</f>
        <v>Ninguna</v>
      </c>
      <c r="CD748" s="79" t="s">
        <v>174</v>
      </c>
      <c r="CE748" s="79"/>
      <c r="CF748" s="79"/>
      <c r="CG748" s="83" t="s">
        <v>5239</v>
      </c>
      <c r="CH748" s="41"/>
      <c r="CI748" s="79" t="s">
        <v>153</v>
      </c>
      <c r="CJ748" s="71"/>
      <c r="CK748" s="79">
        <f>COUNTIF(CL748:CQ748,"*")</f>
        <v>0</v>
      </c>
      <c r="CL748" s="79"/>
      <c r="CM748" s="79"/>
      <c r="CN748" s="79"/>
      <c r="CO748" s="79"/>
      <c r="CP748" s="79"/>
      <c r="CQ748" s="79"/>
      <c r="CR748" s="83" t="s">
        <v>1545</v>
      </c>
      <c r="CS748" s="83" t="s">
        <v>179</v>
      </c>
      <c r="CT748" s="83" t="s">
        <v>179</v>
      </c>
      <c r="CU748" s="83" t="s">
        <v>179</v>
      </c>
      <c r="CV748" s="83" t="s">
        <v>179</v>
      </c>
      <c r="CW748" s="83" t="s">
        <v>179</v>
      </c>
      <c r="CX748" s="79" t="s">
        <v>153</v>
      </c>
      <c r="CY748" s="79">
        <f>SUM(COUNTIF(CR748:CW748,"Realizado y Devuelto a la Ciudadanía"),COUNTIF(CR748:CW748,"Realizado y Trasladado por competencia"), COUNTIF(CR748:CW748,"Realizado y Gestionado"))</f>
        <v>0</v>
      </c>
      <c r="CZ748" s="79">
        <v>0</v>
      </c>
      <c r="DA748" s="79">
        <f>COUNTIF(CR748:CW748,"Realizado y Devuelto a la Ciudadanía")</f>
        <v>0</v>
      </c>
      <c r="DB748" s="84" t="str">
        <f>IFERROR(CY748/CK748,"")</f>
        <v/>
      </c>
      <c r="DC748" s="41"/>
      <c r="DD748" s="79" t="s">
        <v>153</v>
      </c>
      <c r="DE748" s="71"/>
      <c r="DF748" s="127" t="s">
        <v>5240</v>
      </c>
      <c r="DG748" s="79">
        <v>736</v>
      </c>
      <c r="DH748" s="86" t="str">
        <f>IF(EE748="Por completar",C748+3,"Completo")</f>
        <v>Completo</v>
      </c>
      <c r="DI748" s="79" t="s">
        <v>181</v>
      </c>
      <c r="DJ748" s="79" t="s">
        <v>182</v>
      </c>
      <c r="DK748" s="79"/>
      <c r="DL748" s="79">
        <v>0</v>
      </c>
      <c r="DM748" s="79">
        <v>0</v>
      </c>
      <c r="DN748" s="79" t="s">
        <v>182</v>
      </c>
      <c r="DO748" s="79"/>
      <c r="DP748" s="79"/>
      <c r="DQ748" s="79"/>
      <c r="DR748" s="75" t="str">
        <f>IF(H748="SÍ", (DQ748/(BZ748*0.3)), "No aplica")</f>
        <v>No aplica</v>
      </c>
      <c r="DS748" s="79"/>
      <c r="DT748" s="79"/>
      <c r="DU748" s="75" t="str">
        <f>IF(H748="SÍ", (DT748/(BZ748*0.35)), "No aplica")</f>
        <v>No aplica</v>
      </c>
      <c r="DV748" s="79"/>
      <c r="DW748" s="79"/>
      <c r="DX748" s="79"/>
      <c r="DY748" s="79"/>
      <c r="DZ748" s="79"/>
      <c r="EA748" s="79"/>
      <c r="EB748" s="79"/>
      <c r="EC748" s="79"/>
      <c r="ED748" s="79" t="s">
        <v>5241</v>
      </c>
      <c r="EE748" s="79" t="str">
        <f>IF(DI748="Subsanado","Completo","Por Completar")</f>
        <v>Completo</v>
      </c>
      <c r="EF748" s="41"/>
      <c r="EG748" s="79" t="s">
        <v>153</v>
      </c>
      <c r="EH748" s="71"/>
      <c r="EI748" s="80"/>
      <c r="EJ748" s="71"/>
      <c r="EK748" s="79"/>
      <c r="EL748" s="87" t="str">
        <f>IF(F748="NO","No requiere",IF(H748="No","No requiere",IF(DW748="","",IF(DW748&lt;&gt;"No aplica",IF(DX748&lt;&gt;"No aplica",IF(DX748&gt;=2,"Sí","No"),"No aplica"),"No aplica"))))</f>
        <v>No requiere</v>
      </c>
      <c r="EM748" s="87" t="str">
        <f>IF(F748="NO","No requiere",IF(H748="No","No requiere",IF(DW748="","",IF(DW748&lt;&gt;"No aplica",IF(DY748&lt;&gt;"No aplica",IF(DY748&gt;=1,"Sí","No"),"No aplica"),"No aplica"))))</f>
        <v>No requiere</v>
      </c>
      <c r="EN748" s="87" t="str">
        <f>IF(F748="NO","No requiere",IF(H748="No","No requiere",IF(CC748="","",IF(CD748&lt;&gt;"No aplica",IF(CD748&lt;&gt;"Ninguna",IF(COUNTIF(CD748:CF748,"*")&gt;=1,"Sí","No"),"No"),"No aplica"))))</f>
        <v>No requiere</v>
      </c>
      <c r="EO748" s="71"/>
      <c r="EP748" s="84" t="str">
        <f>IF(F748="NO","No requiere",IF(H748="No","No requiere",IF(DL748="","",IF(DL748&gt;=1,DM748/DL748,"No aplica"))))</f>
        <v>No requiere</v>
      </c>
      <c r="EQ748" s="88" t="str">
        <f>IFERROR(IF(F748="NO","No requiere",IF(H748="No","No requiere",DU748)),"")</f>
        <v>No requiere</v>
      </c>
      <c r="ER748" s="71"/>
      <c r="ES748" s="79"/>
      <c r="ET748" s="84" t="str">
        <f>IF(F748="NO","No requiere",IF(H748="No","No requiere",IFERROR(COUNTIF(DJ748:DW748,"Completo")/SUM(COUNTIF(DJ748:DW748,"Completo"),COUNTIF(DJ748:DW748,"Incompleto"),COUNTIF(DJ748:DW748,"No subido"),COUNTIF(DJ748:DW748,"No existente"),COUNTIF(DJ748:DW748,"Pendiente")),"")))</f>
        <v>No requiere</v>
      </c>
      <c r="EU748" s="84" t="str">
        <f>IF(F748="NO","No requiere",IF(H748="No","No requiere",IF(B748="","",IF(CX748="SÍ",IF(CK748&gt;=1,CY748/CK748,"Sin compromisos"),"Por verificar"))))</f>
        <v>No requiere</v>
      </c>
      <c r="EV748" s="84" t="str">
        <f>IF(EU748="Por verificar","Por verificar",IF(F748="NO","No requiere",IF(H748="No","No requiere",IFERROR(IF(EU748="","",IF(CK748&gt;=1,DA748/CZ748,"No aplica")),"No aplica"))))</f>
        <v>No requiere</v>
      </c>
      <c r="EW748" s="84" t="str">
        <f>IF(F748="NO","No requiere",IF(H748="No","No requiere",IFERROR(IF(BZ748="","",IF(EA748&lt;&gt;"No aplica",IF(EA748&gt;=1,DO748/EA748,"0%"),"No aplica")),"")))</f>
        <v>No requiere</v>
      </c>
      <c r="EX748" s="78"/>
      <c r="EY748" s="78"/>
    </row>
    <row r="749" spans="1:155" ht="46.5" customHeight="1">
      <c r="A749" s="79">
        <v>745</v>
      </c>
      <c r="B749" s="80" t="s">
        <v>5242</v>
      </c>
      <c r="C749" s="81">
        <v>45490</v>
      </c>
      <c r="D749" s="82">
        <v>0.60416666666666663</v>
      </c>
      <c r="E749" s="79" t="s">
        <v>151</v>
      </c>
      <c r="F749" s="79" t="s">
        <v>153</v>
      </c>
      <c r="G749" s="79" t="s">
        <v>153</v>
      </c>
      <c r="H749" s="79" t="s">
        <v>152</v>
      </c>
      <c r="I749" s="79" t="s">
        <v>152</v>
      </c>
      <c r="J749" s="79" t="s">
        <v>1711</v>
      </c>
      <c r="K749" s="79" t="s">
        <v>155</v>
      </c>
      <c r="L749" s="80" t="s">
        <v>5243</v>
      </c>
      <c r="M749" s="80" t="s">
        <v>157</v>
      </c>
      <c r="N749" s="79" t="s">
        <v>887</v>
      </c>
      <c r="O749" s="80" t="str">
        <f t="shared" ref="O749" si="1004">_xlfn.TEXTJOIN(", ",TRUE,P749:AN749)</f>
        <v>Michael Cruz Roa, Luisa Milena Morales, Yeiker Guerra Sarmiento, Reinaldo Terrios Andrade</v>
      </c>
      <c r="P749" s="79" t="s">
        <v>265</v>
      </c>
      <c r="Q749" s="79" t="s">
        <v>5244</v>
      </c>
      <c r="R749" s="79" t="s">
        <v>163</v>
      </c>
      <c r="S749" s="79" t="s">
        <v>675</v>
      </c>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t="s">
        <v>169</v>
      </c>
      <c r="AP749" s="79" t="s">
        <v>170</v>
      </c>
      <c r="AQ749" s="80" t="s">
        <v>5245</v>
      </c>
      <c r="AR749" s="83" t="s">
        <v>5246</v>
      </c>
      <c r="AS749" s="80" t="s">
        <v>5247</v>
      </c>
      <c r="AT749" s="80" t="str">
        <f t="shared" si="545"/>
        <v>Distrital</v>
      </c>
      <c r="AU749" s="79" t="s">
        <v>172</v>
      </c>
      <c r="AV749" s="79"/>
      <c r="AW749" s="79"/>
      <c r="AX749" s="79"/>
      <c r="AY749" s="79"/>
      <c r="AZ749" s="79"/>
      <c r="BA749" s="80" t="str">
        <f t="shared" si="562"/>
        <v>Distrital</v>
      </c>
      <c r="BB749" s="79" t="s">
        <v>172</v>
      </c>
      <c r="BC749" s="79"/>
      <c r="BD749" s="79"/>
      <c r="BE749" s="79"/>
      <c r="BF749" s="79"/>
      <c r="BG749" s="79"/>
      <c r="BH749" s="80" t="str">
        <f t="shared" si="563"/>
        <v>Distrital</v>
      </c>
      <c r="BI749" s="79" t="s">
        <v>172</v>
      </c>
      <c r="BJ749" s="79"/>
      <c r="BK749" s="79"/>
      <c r="BL749" s="79"/>
      <c r="BM749" s="79"/>
      <c r="BN749" s="79"/>
      <c r="BO749" s="79"/>
      <c r="BP749" s="79"/>
      <c r="BQ749" s="79"/>
      <c r="BR749" s="79"/>
      <c r="BS749" s="80" t="s">
        <v>3564</v>
      </c>
      <c r="BT749" s="80" t="s">
        <v>174</v>
      </c>
      <c r="BU749" s="80" t="s">
        <v>5248</v>
      </c>
      <c r="BV749" s="71"/>
      <c r="BW749" s="79" t="s">
        <v>152</v>
      </c>
      <c r="BX749" s="79" t="s">
        <v>179</v>
      </c>
      <c r="BY749" s="71"/>
      <c r="BZ749" s="79">
        <v>0</v>
      </c>
      <c r="CA749" s="79">
        <v>6</v>
      </c>
      <c r="CB749" s="79">
        <f t="shared" ref="CB749" si="1005">BZ749+CA749</f>
        <v>6</v>
      </c>
      <c r="CC749" s="79" t="str">
        <f>_xlfn.TEXTJOIN(", ",TRUE,$CD749:$CF749)</f>
        <v>Ninguna</v>
      </c>
      <c r="CD749" s="79" t="s">
        <v>174</v>
      </c>
      <c r="CE749" s="79"/>
      <c r="CF749" s="79"/>
      <c r="CG749" s="83" t="s">
        <v>5249</v>
      </c>
      <c r="CH749" s="41"/>
      <c r="CI749" s="79" t="s">
        <v>153</v>
      </c>
      <c r="CJ749" s="71"/>
      <c r="CK749" s="79">
        <f t="shared" ref="CK749" si="1006">COUNTIF(CL749:CQ749,"*")</f>
        <v>0</v>
      </c>
      <c r="CL749" s="79"/>
      <c r="CM749" s="79"/>
      <c r="CN749" s="79"/>
      <c r="CO749" s="79"/>
      <c r="CP749" s="79"/>
      <c r="CQ749" s="79"/>
      <c r="CR749" s="83" t="s">
        <v>179</v>
      </c>
      <c r="CS749" s="83" t="s">
        <v>179</v>
      </c>
      <c r="CT749" s="83" t="s">
        <v>179</v>
      </c>
      <c r="CU749" s="83" t="s">
        <v>179</v>
      </c>
      <c r="CV749" s="83" t="s">
        <v>179</v>
      </c>
      <c r="CW749" s="83" t="s">
        <v>179</v>
      </c>
      <c r="CX749" s="79" t="s">
        <v>153</v>
      </c>
      <c r="CY749" s="79">
        <f t="shared" ref="CY749" si="1007">SUM(COUNTIF(CR749:CW749,"Realizado y Devuelto a la Ciudadanía"),COUNTIF(CR749:CW749,"Realizado y Trasladado por competencia"), COUNTIF(CR749:CW749,"Realizado y Gestionado"))</f>
        <v>0</v>
      </c>
      <c r="CZ749" s="79">
        <v>0</v>
      </c>
      <c r="DA749" s="79">
        <f t="shared" ref="DA749" si="1008">COUNTIF(CR749:CW749,"Realizado y Devuelto a la Ciudadanía")</f>
        <v>0</v>
      </c>
      <c r="DB749" s="84" t="str">
        <f t="shared" ref="DB749" si="1009">IFERROR(CY749/CK749,"")</f>
        <v/>
      </c>
      <c r="DC749" s="41"/>
      <c r="DD749" s="79" t="s">
        <v>153</v>
      </c>
      <c r="DE749" s="71"/>
      <c r="DF749" s="127" t="s">
        <v>5250</v>
      </c>
      <c r="DG749" s="79">
        <v>737</v>
      </c>
      <c r="DH749" s="86" t="str">
        <f t="shared" ref="DH749" si="1010">IF(EE749="Por completar",C749+3,"Completo")</f>
        <v>Completo</v>
      </c>
      <c r="DI749" s="79" t="s">
        <v>181</v>
      </c>
      <c r="DJ749" s="79" t="s">
        <v>182</v>
      </c>
      <c r="DK749" s="79"/>
      <c r="DL749" s="79">
        <v>0</v>
      </c>
      <c r="DM749" s="79">
        <v>0</v>
      </c>
      <c r="DN749" s="79" t="s">
        <v>182</v>
      </c>
      <c r="DO749" s="79"/>
      <c r="DP749" s="79"/>
      <c r="DQ749" s="79"/>
      <c r="DR749" s="75" t="str">
        <f t="shared" ref="DR749" si="1011">IF(H749="SÍ", (DQ749/(BZ749*0.3)), "No aplica")</f>
        <v>No aplica</v>
      </c>
      <c r="DS749" s="79"/>
      <c r="DT749" s="79"/>
      <c r="DU749" s="75" t="str">
        <f t="shared" ref="DU749" si="1012">IF(H749="SÍ", (DT749/(BZ749*0.35)), "No aplica")</f>
        <v>No aplica</v>
      </c>
      <c r="DV749" s="79"/>
      <c r="DW749" s="79" t="s">
        <v>182</v>
      </c>
      <c r="DX749" s="79"/>
      <c r="DY749" s="79"/>
      <c r="DZ749" s="79"/>
      <c r="EA749" s="79"/>
      <c r="EB749" s="79"/>
      <c r="EC749" s="79"/>
      <c r="ED749" s="79" t="s">
        <v>5251</v>
      </c>
      <c r="EE749" s="79" t="str">
        <f t="shared" ref="EE749" si="1013">IF(DI749="Subsanado","Completo","Por Completar")</f>
        <v>Completo</v>
      </c>
      <c r="EF749" s="41"/>
      <c r="EG749" s="79" t="s">
        <v>153</v>
      </c>
      <c r="EH749" s="71"/>
      <c r="EI749" s="80"/>
      <c r="EJ749" s="71"/>
      <c r="EK749" s="79"/>
      <c r="EL749" s="87" t="str">
        <f t="shared" ref="EL749" si="1014">IF(F749="NO","No requiere",IF(H749="No","No requiere",IF(DW749="","",IF(DW749&lt;&gt;"No aplica",IF(DX749&lt;&gt;"No aplica",IF(DX749&gt;=2,"Sí","No"),"No aplica"),"No aplica"))))</f>
        <v>No requiere</v>
      </c>
      <c r="EM749" s="87" t="str">
        <f t="shared" ref="EM749" si="1015">IF(F749="NO","No requiere",IF(H749="No","No requiere",IF(DW749="","",IF(DW749&lt;&gt;"No aplica",IF(DY749&lt;&gt;"No aplica",IF(DY749&gt;=1,"Sí","No"),"No aplica"),"No aplica"))))</f>
        <v>No requiere</v>
      </c>
      <c r="EN749" s="87" t="str">
        <f t="shared" ref="EN749" si="1016">IF(F749="NO","No requiere",IF(H749="No","No requiere",IF(CC749="","",IF(CD749&lt;&gt;"No aplica",IF(CD749&lt;&gt;"Ninguna",IF(COUNTIF(CD749:CF749,"*")&gt;=1,"Sí","No"),"No"),"No aplica"))))</f>
        <v>No requiere</v>
      </c>
      <c r="EO749" s="71"/>
      <c r="EP749" s="84" t="str">
        <f t="shared" ref="EP749" si="1017">IF(F749="NO","No requiere",IF(H749="No","No requiere",IF(DL749="","",IF(DL749&gt;=1,DM749/DL749,"No aplica"))))</f>
        <v>No requiere</v>
      </c>
      <c r="EQ749" s="88" t="str">
        <f t="shared" ref="EQ749" si="1018">IFERROR(IF(F749="NO","No requiere",IF(H749="No","No requiere",DU749)),"")</f>
        <v>No requiere</v>
      </c>
      <c r="ER749" s="71"/>
      <c r="ES749" s="79"/>
      <c r="ET749" s="84" t="str">
        <f t="shared" ref="ET749" si="1019">IF(F749="NO","No requiere",IF(H749="No","No requiere",IFERROR(COUNTIF(DJ749:DW749,"Completo")/SUM(COUNTIF(DJ749:DW749,"Completo"),COUNTIF(DJ749:DW749,"Incompleto"),COUNTIF(DJ749:DW749,"No subido"),COUNTIF(DJ749:DW749,"No existente"),COUNTIF(DJ749:DW749,"Pendiente")),"")))</f>
        <v>No requiere</v>
      </c>
      <c r="EU749" s="84" t="str">
        <f t="shared" ref="EU749" si="1020">IF(F749="NO","No requiere",IF(H749="No","No requiere",IF(B749="","",IF(CX749="SÍ",IF(CK749&gt;=1,CY749/CK749,"Sin compromisos"),"Por verificar"))))</f>
        <v>No requiere</v>
      </c>
      <c r="EV749" s="84" t="str">
        <f t="shared" ref="EV749" si="1021">IF(EU749="Por verificar","Por verificar",IF(F749="NO","No requiere",IF(H749="No","No requiere",IFERROR(IF(EU749="","",IF(CK749&gt;=1,DA749/CZ749,"No aplica")),"No aplica"))))</f>
        <v>No requiere</v>
      </c>
      <c r="EW749" s="84" t="str">
        <f t="shared" ref="EW749" si="1022">IF(F749="NO","No requiere",IF(H749="No","No requiere",IFERROR(IF(BZ749="","",IF(EA749&lt;&gt;"No aplica",IF(EA749&gt;=1,DO749/EA749,"0%"),"No aplica")),"")))</f>
        <v>No requiere</v>
      </c>
      <c r="EX749" s="78"/>
      <c r="EY749" s="78"/>
    </row>
    <row r="750" spans="1:155" ht="54.75" customHeight="1">
      <c r="A750" s="79">
        <v>746</v>
      </c>
      <c r="B750" s="80" t="s">
        <v>5252</v>
      </c>
      <c r="C750" s="81">
        <v>45490</v>
      </c>
      <c r="D750" s="82">
        <v>0.625</v>
      </c>
      <c r="E750" s="79" t="s">
        <v>151</v>
      </c>
      <c r="F750" s="79" t="s">
        <v>153</v>
      </c>
      <c r="G750" s="79" t="s">
        <v>153</v>
      </c>
      <c r="H750" s="79" t="s">
        <v>152</v>
      </c>
      <c r="I750" s="79" t="s">
        <v>152</v>
      </c>
      <c r="J750" s="79" t="s">
        <v>3999</v>
      </c>
      <c r="K750" s="79" t="s">
        <v>155</v>
      </c>
      <c r="L750" s="80" t="s">
        <v>5253</v>
      </c>
      <c r="M750" s="80" t="s">
        <v>241</v>
      </c>
      <c r="N750" s="79" t="s">
        <v>965</v>
      </c>
      <c r="O750" s="80" t="str">
        <f t="shared" si="986"/>
        <v/>
      </c>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t="s">
        <v>230</v>
      </c>
      <c r="AP750" s="79" t="s">
        <v>231</v>
      </c>
      <c r="AQ750" s="80" t="s">
        <v>171</v>
      </c>
      <c r="AR750" s="83" t="s">
        <v>171</v>
      </c>
      <c r="AS750" s="80" t="s">
        <v>171</v>
      </c>
      <c r="AT750" s="80" t="str">
        <f t="shared" si="950"/>
        <v>Kennedy</v>
      </c>
      <c r="AU750" s="79" t="s">
        <v>731</v>
      </c>
      <c r="AV750" s="79"/>
      <c r="AW750" s="79"/>
      <c r="AX750" s="79"/>
      <c r="AY750" s="79"/>
      <c r="AZ750" s="79"/>
      <c r="BA750" s="80" t="str">
        <f t="shared" si="1000"/>
        <v>Suroccidente</v>
      </c>
      <c r="BB750" s="79" t="s">
        <v>732</v>
      </c>
      <c r="BC750" s="79"/>
      <c r="BD750" s="79"/>
      <c r="BE750" s="79"/>
      <c r="BF750" s="79"/>
      <c r="BG750" s="79"/>
      <c r="BH750" s="80" t="str">
        <f t="shared" si="1001"/>
        <v>Edén</v>
      </c>
      <c r="BI750" s="79" t="s">
        <v>1057</v>
      </c>
      <c r="BJ750" s="79"/>
      <c r="BK750" s="79"/>
      <c r="BL750" s="79"/>
      <c r="BM750" s="79"/>
      <c r="BN750" s="79"/>
      <c r="BO750" s="79"/>
      <c r="BP750" s="79"/>
      <c r="BQ750" s="79"/>
      <c r="BR750" s="79"/>
      <c r="BS750" s="80" t="s">
        <v>288</v>
      </c>
      <c r="BT750" s="80" t="s">
        <v>4412</v>
      </c>
      <c r="BU750" s="80" t="s">
        <v>5254</v>
      </c>
      <c r="BV750" s="71"/>
      <c r="BW750" s="79" t="s">
        <v>152</v>
      </c>
      <c r="BX750" s="79" t="s">
        <v>179</v>
      </c>
      <c r="BY750" s="71"/>
      <c r="BZ750" s="79">
        <v>7</v>
      </c>
      <c r="CA750" s="79">
        <v>1</v>
      </c>
      <c r="CB750" s="79">
        <f t="shared" si="987"/>
        <v>8</v>
      </c>
      <c r="CC750" s="79" t="str">
        <f t="shared" si="382"/>
        <v>Accesibilidad Universal, Horarios Acordes</v>
      </c>
      <c r="CD750" s="79" t="s">
        <v>397</v>
      </c>
      <c r="CE750" s="79" t="s">
        <v>351</v>
      </c>
      <c r="CF750" s="79"/>
      <c r="CG750" s="83" t="s">
        <v>5255</v>
      </c>
      <c r="CH750" s="41"/>
      <c r="CI750" s="79" t="s">
        <v>153</v>
      </c>
      <c r="CJ750" s="71"/>
      <c r="CK750" s="79">
        <f t="shared" si="988"/>
        <v>0</v>
      </c>
      <c r="CL750" s="79"/>
      <c r="CM750" s="79"/>
      <c r="CN750" s="79"/>
      <c r="CO750" s="79"/>
      <c r="CP750" s="79"/>
      <c r="CQ750" s="79"/>
      <c r="CR750" s="83" t="s">
        <v>1545</v>
      </c>
      <c r="CS750" s="83" t="s">
        <v>1545</v>
      </c>
      <c r="CT750" s="83" t="s">
        <v>1545</v>
      </c>
      <c r="CU750" s="83" t="s">
        <v>1545</v>
      </c>
      <c r="CV750" s="83" t="s">
        <v>1545</v>
      </c>
      <c r="CW750" s="83" t="s">
        <v>1545</v>
      </c>
      <c r="CX750" s="79" t="s">
        <v>153</v>
      </c>
      <c r="CY750" s="79">
        <f t="shared" si="1002"/>
        <v>0</v>
      </c>
      <c r="CZ750" s="79">
        <v>0</v>
      </c>
      <c r="DA750" s="79">
        <f t="shared" si="1003"/>
        <v>0</v>
      </c>
      <c r="DB750" s="84" t="str">
        <f t="shared" si="989"/>
        <v/>
      </c>
      <c r="DC750" s="41"/>
      <c r="DD750" s="79" t="s">
        <v>153</v>
      </c>
      <c r="DE750" s="71"/>
      <c r="DF750" s="127" t="s">
        <v>5256</v>
      </c>
      <c r="DG750" s="79">
        <v>738</v>
      </c>
      <c r="DH750" s="86" t="str">
        <f t="shared" si="990"/>
        <v>Completo</v>
      </c>
      <c r="DI750" s="79" t="s">
        <v>181</v>
      </c>
      <c r="DJ750" s="79" t="s">
        <v>182</v>
      </c>
      <c r="DK750" s="79"/>
      <c r="DL750" s="79">
        <v>0</v>
      </c>
      <c r="DM750" s="79">
        <v>0</v>
      </c>
      <c r="DN750" s="79" t="s">
        <v>182</v>
      </c>
      <c r="DO750" s="79"/>
      <c r="DP750" s="79"/>
      <c r="DQ750" s="79"/>
      <c r="DR750" s="75" t="str">
        <f t="shared" si="576"/>
        <v>No aplica</v>
      </c>
      <c r="DS750" s="79"/>
      <c r="DT750" s="79"/>
      <c r="DU750" s="75" t="str">
        <f t="shared" si="577"/>
        <v>No aplica</v>
      </c>
      <c r="DV750" s="79" t="s">
        <v>182</v>
      </c>
      <c r="DW750" s="79"/>
      <c r="DX750" s="79"/>
      <c r="DY750" s="79"/>
      <c r="DZ750" s="79"/>
      <c r="EA750" s="79"/>
      <c r="EB750" s="79"/>
      <c r="EC750" s="79"/>
      <c r="ED750" s="79" t="s">
        <v>3732</v>
      </c>
      <c r="EE750" s="79" t="str">
        <f t="shared" si="991"/>
        <v>Completo</v>
      </c>
      <c r="EF750" s="41"/>
      <c r="EG750" s="79" t="s">
        <v>153</v>
      </c>
      <c r="EH750" s="71"/>
      <c r="EI750" s="80"/>
      <c r="EJ750" s="71"/>
      <c r="EK750" s="79"/>
      <c r="EL750" s="87" t="str">
        <f t="shared" si="992"/>
        <v>No requiere</v>
      </c>
      <c r="EM750" s="87" t="str">
        <f t="shared" si="993"/>
        <v>No requiere</v>
      </c>
      <c r="EN750" s="87" t="str">
        <f t="shared" si="994"/>
        <v>No requiere</v>
      </c>
      <c r="EO750" s="71"/>
      <c r="EP750" s="84" t="str">
        <f t="shared" si="995"/>
        <v>No requiere</v>
      </c>
      <c r="EQ750" s="88" t="str">
        <f t="shared" si="996"/>
        <v>No requiere</v>
      </c>
      <c r="ER750" s="71"/>
      <c r="ES750" s="79"/>
      <c r="ET750" s="84" t="str">
        <f t="shared" si="997"/>
        <v>No requiere</v>
      </c>
      <c r="EU750" s="84" t="str">
        <f t="shared" si="998"/>
        <v>No requiere</v>
      </c>
      <c r="EV750" s="84" t="str">
        <f t="shared" si="999"/>
        <v>No requiere</v>
      </c>
      <c r="EW750" s="84" t="str">
        <f t="shared" si="581"/>
        <v>No requiere</v>
      </c>
      <c r="EX750" s="78"/>
      <c r="EY750" s="78"/>
    </row>
    <row r="751" spans="1:155" ht="54.75" customHeight="1">
      <c r="A751" s="79" t="str">
        <v/>
      </c>
      <c r="B751" s="80" t="s">
        <v>5257</v>
      </c>
      <c r="C751" s="81">
        <v>45491</v>
      </c>
      <c r="D751" s="82">
        <v>0.45833333333333331</v>
      </c>
      <c r="E751" s="79" t="s">
        <v>151</v>
      </c>
      <c r="F751" s="79" t="s">
        <v>152</v>
      </c>
      <c r="G751" s="79" t="s">
        <v>152</v>
      </c>
      <c r="H751" s="79" t="s">
        <v>152</v>
      </c>
      <c r="I751" s="79" t="s">
        <v>152</v>
      </c>
      <c r="J751" s="79" t="s">
        <v>2153</v>
      </c>
      <c r="K751" s="79" t="s">
        <v>155</v>
      </c>
      <c r="L751" s="80" t="s">
        <v>5258</v>
      </c>
      <c r="M751" s="80" t="s">
        <v>624</v>
      </c>
      <c r="N751" s="79" t="s">
        <v>346</v>
      </c>
      <c r="O751" s="80" t="str">
        <f t="shared" si="986"/>
        <v>Freddy Martínez, César Augusto Barrantes, Michael Cruz Roa, Ana María Ulloa, Angie Sandoval</v>
      </c>
      <c r="P751" s="79" t="s">
        <v>3049</v>
      </c>
      <c r="Q751" s="79" t="s">
        <v>729</v>
      </c>
      <c r="R751" s="79" t="s">
        <v>265</v>
      </c>
      <c r="S751" s="79" t="s">
        <v>522</v>
      </c>
      <c r="T751" s="79" t="s">
        <v>4898</v>
      </c>
      <c r="U751" s="79"/>
      <c r="V751" s="79"/>
      <c r="W751" s="79"/>
      <c r="X751" s="79"/>
      <c r="Y751" s="79"/>
      <c r="Z751" s="79"/>
      <c r="AA751" s="79"/>
      <c r="AB751" s="79"/>
      <c r="AC751" s="79"/>
      <c r="AD751" s="79"/>
      <c r="AE751" s="79"/>
      <c r="AF751" s="79"/>
      <c r="AG751" s="79"/>
      <c r="AH751" s="79"/>
      <c r="AI751" s="79"/>
      <c r="AJ751" s="79"/>
      <c r="AK751" s="79"/>
      <c r="AL751" s="79"/>
      <c r="AM751" s="79"/>
      <c r="AN751" s="79"/>
      <c r="AO751" s="79" t="s">
        <v>169</v>
      </c>
      <c r="AP751" s="79" t="s">
        <v>170</v>
      </c>
      <c r="AQ751" s="80" t="s">
        <v>171</v>
      </c>
      <c r="AR751" s="80" t="s">
        <v>171</v>
      </c>
      <c r="AS751" s="80" t="s">
        <v>171</v>
      </c>
      <c r="AT751" s="80" t="str">
        <f t="shared" si="950"/>
        <v>Distrital</v>
      </c>
      <c r="AU751" s="79" t="s">
        <v>172</v>
      </c>
      <c r="AV751" s="79"/>
      <c r="AW751" s="79"/>
      <c r="AX751" s="79"/>
      <c r="AY751" s="79"/>
      <c r="AZ751" s="79"/>
      <c r="BA751" s="80" t="str">
        <f t="shared" si="562"/>
        <v>Distrital</v>
      </c>
      <c r="BB751" s="79" t="s">
        <v>172</v>
      </c>
      <c r="BC751" s="79"/>
      <c r="BD751" s="79"/>
      <c r="BE751" s="79"/>
      <c r="BF751" s="79"/>
      <c r="BG751" s="79"/>
      <c r="BH751" s="80" t="str">
        <f t="shared" si="563"/>
        <v>Distrital</v>
      </c>
      <c r="BI751" s="79" t="s">
        <v>172</v>
      </c>
      <c r="BJ751" s="79"/>
      <c r="BK751" s="79"/>
      <c r="BL751" s="79"/>
      <c r="BM751" s="79"/>
      <c r="BN751" s="79"/>
      <c r="BO751" s="79"/>
      <c r="BP751" s="79"/>
      <c r="BQ751" s="79"/>
      <c r="BR751" s="79"/>
      <c r="BS751" s="80" t="s">
        <v>288</v>
      </c>
      <c r="BT751" s="80" t="s">
        <v>174</v>
      </c>
      <c r="BU751" s="80" t="s">
        <v>5259</v>
      </c>
      <c r="BV751" s="71"/>
      <c r="BW751" s="79" t="s">
        <v>152</v>
      </c>
      <c r="BX751" s="79" t="s">
        <v>179</v>
      </c>
      <c r="BY751" s="71"/>
      <c r="BZ751" s="79">
        <v>0</v>
      </c>
      <c r="CA751" s="79">
        <v>7</v>
      </c>
      <c r="CB751" s="79">
        <f t="shared" si="987"/>
        <v>7</v>
      </c>
      <c r="CC751" s="79" t="str">
        <f t="shared" si="382"/>
        <v>Ninguna</v>
      </c>
      <c r="CD751" s="79" t="s">
        <v>174</v>
      </c>
      <c r="CE751" s="79"/>
      <c r="CF751" s="79"/>
      <c r="CG751" s="83" t="s">
        <v>5260</v>
      </c>
      <c r="CH751" s="41"/>
      <c r="CI751" s="79" t="s">
        <v>153</v>
      </c>
      <c r="CJ751" s="71"/>
      <c r="CK751" s="79">
        <f t="shared" si="988"/>
        <v>0</v>
      </c>
      <c r="CL751" s="79"/>
      <c r="CM751" s="79"/>
      <c r="CN751" s="79"/>
      <c r="CO751" s="79"/>
      <c r="CP751" s="79"/>
      <c r="CQ751" s="79"/>
      <c r="CR751" s="83" t="s">
        <v>179</v>
      </c>
      <c r="CS751" s="83" t="s">
        <v>179</v>
      </c>
      <c r="CT751" s="83" t="s">
        <v>179</v>
      </c>
      <c r="CU751" s="83" t="s">
        <v>179</v>
      </c>
      <c r="CV751" s="83" t="s">
        <v>179</v>
      </c>
      <c r="CW751" s="83" t="s">
        <v>179</v>
      </c>
      <c r="CX751" s="79" t="s">
        <v>153</v>
      </c>
      <c r="CY751" s="79">
        <f t="shared" si="1002"/>
        <v>0</v>
      </c>
      <c r="CZ751" s="79">
        <v>0</v>
      </c>
      <c r="DA751" s="79">
        <f t="shared" si="1003"/>
        <v>0</v>
      </c>
      <c r="DB751" s="84" t="str">
        <f t="shared" si="989"/>
        <v/>
      </c>
      <c r="DC751" s="41"/>
      <c r="DD751" s="79" t="s">
        <v>153</v>
      </c>
      <c r="DE751" s="71"/>
      <c r="DF751" s="127" t="s">
        <v>5261</v>
      </c>
      <c r="DG751" s="79">
        <v>739</v>
      </c>
      <c r="DH751" s="86" t="str">
        <f t="shared" si="990"/>
        <v>Completo</v>
      </c>
      <c r="DI751" s="79" t="s">
        <v>181</v>
      </c>
      <c r="DJ751" s="79" t="s">
        <v>182</v>
      </c>
      <c r="DK751" s="79"/>
      <c r="DL751" s="79">
        <v>0</v>
      </c>
      <c r="DM751" s="79">
        <v>0</v>
      </c>
      <c r="DN751" s="79"/>
      <c r="DO751" s="79"/>
      <c r="DP751" s="79"/>
      <c r="DQ751" s="79"/>
      <c r="DR751" s="75" t="str">
        <f t="shared" si="576"/>
        <v>No aplica</v>
      </c>
      <c r="DS751" s="79"/>
      <c r="DT751" s="79"/>
      <c r="DU751" s="75" t="str">
        <f t="shared" si="577"/>
        <v>No aplica</v>
      </c>
      <c r="DV751" s="79" t="s">
        <v>182</v>
      </c>
      <c r="DW751" s="79"/>
      <c r="DX751" s="79"/>
      <c r="DY751" s="79"/>
      <c r="DZ751" s="79"/>
      <c r="EA751" s="79"/>
      <c r="EB751" s="79"/>
      <c r="EC751" s="79"/>
      <c r="ED751" s="79" t="s">
        <v>5262</v>
      </c>
      <c r="EE751" s="79" t="str">
        <f t="shared" si="991"/>
        <v>Completo</v>
      </c>
      <c r="EF751" s="41"/>
      <c r="EG751" s="79" t="s">
        <v>153</v>
      </c>
      <c r="EH751" s="71"/>
      <c r="EI751" s="80"/>
      <c r="EJ751" s="71"/>
      <c r="EK751" s="79"/>
      <c r="EL751" s="87" t="str">
        <f t="shared" si="992"/>
        <v>No requiere</v>
      </c>
      <c r="EM751" s="87" t="str">
        <f t="shared" si="993"/>
        <v>No requiere</v>
      </c>
      <c r="EN751" s="87" t="str">
        <f t="shared" si="994"/>
        <v>No requiere</v>
      </c>
      <c r="EO751" s="71"/>
      <c r="EP751" s="84" t="str">
        <f t="shared" si="995"/>
        <v>No requiere</v>
      </c>
      <c r="EQ751" s="88" t="str">
        <f t="shared" si="996"/>
        <v>No requiere</v>
      </c>
      <c r="ER751" s="71"/>
      <c r="ES751" s="79"/>
      <c r="ET751" s="84" t="str">
        <f t="shared" si="997"/>
        <v>No requiere</v>
      </c>
      <c r="EU751" s="84" t="str">
        <f t="shared" si="998"/>
        <v>No requiere</v>
      </c>
      <c r="EV751" s="84" t="str">
        <f t="shared" si="999"/>
        <v>No requiere</v>
      </c>
      <c r="EW751" s="84" t="str">
        <f t="shared" si="581"/>
        <v>No requiere</v>
      </c>
      <c r="EX751" s="78"/>
      <c r="EY751" s="78"/>
    </row>
    <row r="752" spans="1:155" ht="54.75" customHeight="1">
      <c r="A752" s="79">
        <v>748</v>
      </c>
      <c r="B752" s="80" t="s">
        <v>5263</v>
      </c>
      <c r="C752" s="81">
        <v>45491</v>
      </c>
      <c r="D752" s="82">
        <v>0.5625</v>
      </c>
      <c r="E752" s="79" t="s">
        <v>151</v>
      </c>
      <c r="F752" s="79" t="s">
        <v>153</v>
      </c>
      <c r="G752" s="79" t="s">
        <v>153</v>
      </c>
      <c r="H752" s="79" t="s">
        <v>152</v>
      </c>
      <c r="I752" s="79" t="s">
        <v>152</v>
      </c>
      <c r="J752" s="79" t="s">
        <v>3999</v>
      </c>
      <c r="K752" s="79" t="s">
        <v>155</v>
      </c>
      <c r="L752" s="80" t="s">
        <v>5264</v>
      </c>
      <c r="M752" s="80" t="s">
        <v>241</v>
      </c>
      <c r="N752" s="79" t="s">
        <v>818</v>
      </c>
      <c r="O752" s="80" t="str">
        <f t="shared" si="986"/>
        <v/>
      </c>
      <c r="P752" s="79"/>
      <c r="Q752" s="79"/>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t="s">
        <v>230</v>
      </c>
      <c r="AP752" s="79" t="s">
        <v>356</v>
      </c>
      <c r="AQ752" s="80" t="s">
        <v>171</v>
      </c>
      <c r="AR752" s="80" t="s">
        <v>171</v>
      </c>
      <c r="AS752" s="80" t="s">
        <v>171</v>
      </c>
      <c r="AT752" s="80" t="str">
        <f t="shared" si="950"/>
        <v>Santa Fe</v>
      </c>
      <c r="AU752" s="79" t="s">
        <v>822</v>
      </c>
      <c r="AV752" s="79"/>
      <c r="AW752" s="79"/>
      <c r="AX752" s="79"/>
      <c r="AY752" s="79"/>
      <c r="AZ752" s="79"/>
      <c r="BA752" s="80" t="str">
        <f t="shared" si="1000"/>
        <v>Centro Ampliado</v>
      </c>
      <c r="BB752" s="79" t="s">
        <v>636</v>
      </c>
      <c r="BC752" s="79"/>
      <c r="BD752" s="79"/>
      <c r="BE752" s="79"/>
      <c r="BF752" s="79"/>
      <c r="BG752" s="79"/>
      <c r="BH752" s="80" t="str">
        <f t="shared" si="1001"/>
        <v>Centro Histórico</v>
      </c>
      <c r="BI752" s="79" t="s">
        <v>754</v>
      </c>
      <c r="BJ752" s="79"/>
      <c r="BK752" s="79"/>
      <c r="BL752" s="79"/>
      <c r="BM752" s="79"/>
      <c r="BN752" s="79"/>
      <c r="BO752" s="79"/>
      <c r="BP752" s="79"/>
      <c r="BQ752" s="79"/>
      <c r="BR752" s="79"/>
      <c r="BS752" s="80" t="s">
        <v>5265</v>
      </c>
      <c r="BT752" s="80" t="s">
        <v>174</v>
      </c>
      <c r="BU752" s="80" t="s">
        <v>5266</v>
      </c>
      <c r="BV752" s="71"/>
      <c r="BW752" s="79" t="s">
        <v>152</v>
      </c>
      <c r="BX752" s="79" t="s">
        <v>179</v>
      </c>
      <c r="BY752" s="71"/>
      <c r="BZ752" s="79">
        <v>4</v>
      </c>
      <c r="CA752" s="79">
        <v>1</v>
      </c>
      <c r="CB752" s="79">
        <f t="shared" si="987"/>
        <v>5</v>
      </c>
      <c r="CC752" s="79" t="str">
        <f t="shared" si="382"/>
        <v>Accesibilidad Universal</v>
      </c>
      <c r="CD752" s="79" t="s">
        <v>397</v>
      </c>
      <c r="CE752" s="79"/>
      <c r="CF752" s="79"/>
      <c r="CG752" s="83" t="s">
        <v>5267</v>
      </c>
      <c r="CH752" s="41"/>
      <c r="CI752" s="79" t="s">
        <v>153</v>
      </c>
      <c r="CJ752" s="71"/>
      <c r="CK752" s="79">
        <f t="shared" si="988"/>
        <v>0</v>
      </c>
      <c r="CL752" s="79"/>
      <c r="CM752" s="79"/>
      <c r="CN752" s="79"/>
      <c r="CO752" s="79"/>
      <c r="CP752" s="79"/>
      <c r="CQ752" s="79"/>
      <c r="CR752" s="83" t="s">
        <v>179</v>
      </c>
      <c r="CS752" s="83" t="s">
        <v>179</v>
      </c>
      <c r="CT752" s="83" t="s">
        <v>179</v>
      </c>
      <c r="CU752" s="83" t="s">
        <v>179</v>
      </c>
      <c r="CV752" s="83" t="s">
        <v>179</v>
      </c>
      <c r="CW752" s="83" t="s">
        <v>179</v>
      </c>
      <c r="CX752" s="79" t="s">
        <v>153</v>
      </c>
      <c r="CY752" s="79">
        <f t="shared" si="1002"/>
        <v>0</v>
      </c>
      <c r="CZ752" s="79">
        <v>0</v>
      </c>
      <c r="DA752" s="79">
        <f t="shared" si="1003"/>
        <v>0</v>
      </c>
      <c r="DB752" s="84" t="str">
        <f t="shared" si="989"/>
        <v/>
      </c>
      <c r="DC752" s="41"/>
      <c r="DD752" s="79" t="s">
        <v>153</v>
      </c>
      <c r="DE752" s="71"/>
      <c r="DF752" s="127" t="s">
        <v>5268</v>
      </c>
      <c r="DG752" s="79">
        <v>740</v>
      </c>
      <c r="DH752" s="86" t="str">
        <f t="shared" si="990"/>
        <v>Completo</v>
      </c>
      <c r="DI752" s="79" t="s">
        <v>181</v>
      </c>
      <c r="DJ752" s="79" t="s">
        <v>182</v>
      </c>
      <c r="DK752" s="79"/>
      <c r="DL752" s="79">
        <v>0</v>
      </c>
      <c r="DM752" s="79">
        <v>0</v>
      </c>
      <c r="DN752" s="79" t="s">
        <v>182</v>
      </c>
      <c r="DO752" s="79"/>
      <c r="DP752" s="79"/>
      <c r="DQ752" s="79"/>
      <c r="DR752" s="75" t="str">
        <f t="shared" si="576"/>
        <v>No aplica</v>
      </c>
      <c r="DS752" s="79"/>
      <c r="DT752" s="79"/>
      <c r="DU752" s="75" t="str">
        <f t="shared" si="577"/>
        <v>No aplica</v>
      </c>
      <c r="DV752" s="79" t="s">
        <v>182</v>
      </c>
      <c r="DW752" s="79"/>
      <c r="DX752" s="79"/>
      <c r="DY752" s="79"/>
      <c r="DZ752" s="79"/>
      <c r="EA752" s="79"/>
      <c r="EB752" s="79"/>
      <c r="EC752" s="79"/>
      <c r="ED752" s="79" t="s">
        <v>3732</v>
      </c>
      <c r="EE752" s="79" t="str">
        <f t="shared" si="991"/>
        <v>Completo</v>
      </c>
      <c r="EF752" s="41"/>
      <c r="EG752" s="79" t="s">
        <v>153</v>
      </c>
      <c r="EH752" s="71"/>
      <c r="EI752" s="80"/>
      <c r="EJ752" s="71"/>
      <c r="EK752" s="79"/>
      <c r="EL752" s="87" t="str">
        <f t="shared" si="992"/>
        <v>No requiere</v>
      </c>
      <c r="EM752" s="87" t="str">
        <f t="shared" si="993"/>
        <v>No requiere</v>
      </c>
      <c r="EN752" s="87" t="str">
        <f t="shared" si="994"/>
        <v>No requiere</v>
      </c>
      <c r="EO752" s="71"/>
      <c r="EP752" s="84" t="str">
        <f t="shared" si="995"/>
        <v>No requiere</v>
      </c>
      <c r="EQ752" s="88" t="str">
        <f t="shared" si="996"/>
        <v>No requiere</v>
      </c>
      <c r="ER752" s="71"/>
      <c r="ES752" s="79"/>
      <c r="ET752" s="84" t="str">
        <f t="shared" si="997"/>
        <v>No requiere</v>
      </c>
      <c r="EU752" s="84" t="str">
        <f t="shared" si="998"/>
        <v>No requiere</v>
      </c>
      <c r="EV752" s="84" t="str">
        <f t="shared" si="999"/>
        <v>No requiere</v>
      </c>
      <c r="EW752" s="84" t="str">
        <f t="shared" si="581"/>
        <v>No requiere</v>
      </c>
      <c r="EX752" s="78"/>
      <c r="EY752" s="78"/>
    </row>
    <row r="753" spans="1:155" ht="60" customHeight="1">
      <c r="A753" s="79" t="str">
        <v/>
      </c>
      <c r="B753" s="80" t="s">
        <v>5269</v>
      </c>
      <c r="C753" s="81">
        <v>45491</v>
      </c>
      <c r="D753" s="82">
        <v>0.58333333333333337</v>
      </c>
      <c r="E753" s="79" t="s">
        <v>151</v>
      </c>
      <c r="F753" s="79" t="s">
        <v>152</v>
      </c>
      <c r="G753" s="79" t="s">
        <v>152</v>
      </c>
      <c r="H753" s="79" t="s">
        <v>152</v>
      </c>
      <c r="I753" s="79" t="s">
        <v>152</v>
      </c>
      <c r="J753" s="79" t="s">
        <v>2153</v>
      </c>
      <c r="K753" s="79" t="s">
        <v>155</v>
      </c>
      <c r="L753" s="80" t="s">
        <v>5270</v>
      </c>
      <c r="M753" s="80" t="s">
        <v>624</v>
      </c>
      <c r="N753" s="79" t="s">
        <v>346</v>
      </c>
      <c r="O753" s="80" t="str">
        <f>_xlfn.TEXTJOIN(", ",TRUE,P753:AN753)</f>
        <v>Ana María Ulloa, Angie Sandoval, César Augusto Barrantes, Freddy Martínez</v>
      </c>
      <c r="P753" s="79" t="s">
        <v>522</v>
      </c>
      <c r="Q753" s="79" t="s">
        <v>4898</v>
      </c>
      <c r="R753" s="79" t="s">
        <v>729</v>
      </c>
      <c r="S753" s="79" t="s">
        <v>3049</v>
      </c>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t="s">
        <v>304</v>
      </c>
      <c r="AP753" s="79"/>
      <c r="AQ753" s="80" t="s">
        <v>171</v>
      </c>
      <c r="AR753" s="80" t="s">
        <v>171</v>
      </c>
      <c r="AS753" s="80" t="s">
        <v>171</v>
      </c>
      <c r="AT753" s="80" t="str">
        <f>_xlfn.TEXTJOIN(", ",TRUE,$AU753:$AY753)</f>
        <v>Distrital</v>
      </c>
      <c r="AU753" s="79" t="s">
        <v>172</v>
      </c>
      <c r="AV753" s="79"/>
      <c r="AW753" s="79"/>
      <c r="AX753" s="79"/>
      <c r="AY753" s="79"/>
      <c r="AZ753" s="79"/>
      <c r="BA753" s="80" t="str">
        <f>_xlfn.TEXTJOIN(", ",TRUE,$BB753:$BG753)</f>
        <v>Distrital</v>
      </c>
      <c r="BB753" s="79" t="s">
        <v>172</v>
      </c>
      <c r="BC753" s="79"/>
      <c r="BD753" s="79"/>
      <c r="BE753" s="79"/>
      <c r="BF753" s="79"/>
      <c r="BG753" s="79"/>
      <c r="BH753" s="80" t="str">
        <f>_xlfn.TEXTJOIN(", ",TRUE,$BI753:$BR753)</f>
        <v>Distrital</v>
      </c>
      <c r="BI753" s="79" t="s">
        <v>172</v>
      </c>
      <c r="BJ753" s="79"/>
      <c r="BK753" s="79"/>
      <c r="BL753" s="79"/>
      <c r="BM753" s="79"/>
      <c r="BN753" s="79"/>
      <c r="BO753" s="79"/>
      <c r="BP753" s="79"/>
      <c r="BQ753" s="79"/>
      <c r="BR753" s="79"/>
      <c r="BS753" s="80" t="s">
        <v>360</v>
      </c>
      <c r="BT753" s="80" t="s">
        <v>174</v>
      </c>
      <c r="BU753" s="80" t="s">
        <v>5271</v>
      </c>
      <c r="BV753" s="71"/>
      <c r="BW753" s="79" t="s">
        <v>152</v>
      </c>
      <c r="BX753" s="79" t="s">
        <v>179</v>
      </c>
      <c r="BY753" s="71"/>
      <c r="BZ753" s="79">
        <v>5</v>
      </c>
      <c r="CA753" s="79">
        <v>8</v>
      </c>
      <c r="CB753" s="79">
        <f>BZ753+CA753</f>
        <v>13</v>
      </c>
      <c r="CC753" s="79" t="str">
        <f>_xlfn.TEXTJOIN(", ",TRUE,$CD753:$CF753)</f>
        <v>Ninguna</v>
      </c>
      <c r="CD753" s="79" t="s">
        <v>174</v>
      </c>
      <c r="CE753" s="79"/>
      <c r="CF753" s="79"/>
      <c r="CG753" s="83" t="s">
        <v>5272</v>
      </c>
      <c r="CH753" s="41"/>
      <c r="CI753" s="79" t="s">
        <v>153</v>
      </c>
      <c r="CJ753" s="71"/>
      <c r="CK753" s="79">
        <f>COUNTIF(CL753:CQ753,"*")</f>
        <v>0</v>
      </c>
      <c r="CL753" s="79"/>
      <c r="CM753" s="79"/>
      <c r="CN753" s="79"/>
      <c r="CO753" s="79"/>
      <c r="CP753" s="79"/>
      <c r="CQ753" s="79"/>
      <c r="CR753" s="83" t="s">
        <v>1545</v>
      </c>
      <c r="CS753" s="83" t="s">
        <v>1545</v>
      </c>
      <c r="CT753" s="83" t="s">
        <v>1545</v>
      </c>
      <c r="CU753" s="83" t="s">
        <v>1545</v>
      </c>
      <c r="CV753" s="83" t="s">
        <v>1545</v>
      </c>
      <c r="CW753" s="83" t="s">
        <v>1545</v>
      </c>
      <c r="CX753" s="79" t="s">
        <v>153</v>
      </c>
      <c r="CY753" s="79">
        <f>SUM(COUNTIF(CR753:CW753,"Realizado y Devuelto a la Ciudadanía"),COUNTIF(CR753:CW753,"Realizado y Trasladado por competencia"), COUNTIF(CR753:CW753,"Realizado y Gestionado"))</f>
        <v>0</v>
      </c>
      <c r="CZ753" s="79">
        <v>0</v>
      </c>
      <c r="DA753" s="79">
        <f>COUNTIF(CR753:CW753,"Realizado y Devuelto a la Ciudadanía")</f>
        <v>0</v>
      </c>
      <c r="DB753" s="84" t="str">
        <f>IFERROR(CY753/CK753,"")</f>
        <v/>
      </c>
      <c r="DC753" s="41"/>
      <c r="DD753" s="79" t="s">
        <v>153</v>
      </c>
      <c r="DE753" s="71"/>
      <c r="DF753" s="127" t="s">
        <v>5273</v>
      </c>
      <c r="DG753" s="79">
        <v>741</v>
      </c>
      <c r="DH753" s="86" t="str">
        <f>IF(EE753="Por completar",C753+3,"Completo")</f>
        <v>Completo</v>
      </c>
      <c r="DI753" s="79" t="s">
        <v>181</v>
      </c>
      <c r="DJ753" s="79" t="s">
        <v>182</v>
      </c>
      <c r="DK753" s="79"/>
      <c r="DL753" s="79">
        <v>0</v>
      </c>
      <c r="DM753" s="79">
        <v>0</v>
      </c>
      <c r="DN753" s="79" t="s">
        <v>182</v>
      </c>
      <c r="DO753" s="79"/>
      <c r="DP753" s="79"/>
      <c r="DQ753" s="79"/>
      <c r="DR753" s="75" t="str">
        <f>IF(H753="SÍ", (DQ753/(BZ753*0.3)), "No aplica")</f>
        <v>No aplica</v>
      </c>
      <c r="DS753" s="79"/>
      <c r="DT753" s="79"/>
      <c r="DU753" s="75" t="str">
        <f>IF(H753="SÍ", (DT753/(BZ753*0.35)), "No aplica")</f>
        <v>No aplica</v>
      </c>
      <c r="DV753" s="79" t="s">
        <v>182</v>
      </c>
      <c r="DW753" s="79"/>
      <c r="DX753" s="79"/>
      <c r="DY753" s="79"/>
      <c r="DZ753" s="79"/>
      <c r="EA753" s="79"/>
      <c r="EB753" s="79"/>
      <c r="EC753" s="79"/>
      <c r="ED753" s="79" t="s">
        <v>5262</v>
      </c>
      <c r="EE753" s="79" t="str">
        <f>IF(DI753="Subsanado","Completo","Por Completar")</f>
        <v>Completo</v>
      </c>
      <c r="EF753" s="41"/>
      <c r="EG753" s="79" t="s">
        <v>153</v>
      </c>
      <c r="EH753" s="71"/>
      <c r="EI753" s="80"/>
      <c r="EJ753" s="71"/>
      <c r="EK753" s="79"/>
      <c r="EL753" s="87" t="str">
        <f>IF(F753="NO","No requiere",IF(H753="No","No requiere",IF(DW753="","",IF(DW753&lt;&gt;"No aplica",IF(DX753&lt;&gt;"No aplica",IF(DX753&gt;=2,"Sí","No"),"No aplica"),"No aplica"))))</f>
        <v>No requiere</v>
      </c>
      <c r="EM753" s="87" t="str">
        <f>IF(F753="NO","No requiere",IF(H753="No","No requiere",IF(DW753="","",IF(DW753&lt;&gt;"No aplica",IF(DY753&lt;&gt;"No aplica",IF(DY753&gt;=1,"Sí","No"),"No aplica"),"No aplica"))))</f>
        <v>No requiere</v>
      </c>
      <c r="EN753" s="87" t="str">
        <f>IF(F753="NO","No requiere",IF(H753="No","No requiere",IF(CC753="","",IF(CD753&lt;&gt;"No aplica",IF(CD753&lt;&gt;"Ninguna",IF(COUNTIF(CD753:CF753,"*")&gt;=1,"Sí","No"),"No"),"No aplica"))))</f>
        <v>No requiere</v>
      </c>
      <c r="EO753" s="71"/>
      <c r="EP753" s="84" t="str">
        <f>IF(F753="NO","No requiere",IF(H753="No","No requiere",IF(DL753="","",IF(DL753&gt;=1,DM753/DL753,"No aplica"))))</f>
        <v>No requiere</v>
      </c>
      <c r="EQ753" s="88" t="str">
        <f>IFERROR(IF(F753="NO","No requiere",IF(H753="No","No requiere",DU753)),"")</f>
        <v>No requiere</v>
      </c>
      <c r="ER753" s="71"/>
      <c r="ES753" s="79"/>
      <c r="ET753" s="84" t="str">
        <f>IF(F753="NO","No requiere",IF(H753="No","No requiere",IFERROR(COUNTIF(DJ753:DW753,"Completo")/SUM(COUNTIF(DJ753:DW753,"Completo"),COUNTIF(DJ753:DW753,"Incompleto"),COUNTIF(DJ753:DW753,"No subido"),COUNTIF(DJ753:DW753,"No existente"),COUNTIF(DJ753:DW753,"Pendiente")),"")))</f>
        <v>No requiere</v>
      </c>
      <c r="EU753" s="84" t="str">
        <f>IF(F753="NO","No requiere",IF(H753="No","No requiere",IF(B753="","",IF(CX753="SÍ",IF(CK753&gt;=1,CY753/CK753,"Sin compromisos"),"Por verificar"))))</f>
        <v>No requiere</v>
      </c>
      <c r="EV753" s="84" t="str">
        <f>IF(EU753="Por verificar","Por verificar",IF(F753="NO","No requiere",IF(H753="No","No requiere",IFERROR(IF(EU753="","",IF(CK753&gt;=1,DA753/CZ753,"No aplica")),"No aplica"))))</f>
        <v>No requiere</v>
      </c>
      <c r="EW753" s="84" t="str">
        <f>IF(F753="NO","No requiere",IF(H753="No","No requiere",IFERROR(IF(BZ753="","",IF(EA753&lt;&gt;"No aplica",IF(EA753&gt;=1,DO753/EA753,"0%"),"No aplica")),"")))</f>
        <v>No requiere</v>
      </c>
      <c r="EX753" s="78"/>
      <c r="EY753" s="78"/>
    </row>
    <row r="754" spans="1:155" ht="54.75" customHeight="1">
      <c r="A754" s="79">
        <v>750</v>
      </c>
      <c r="B754" s="80" t="s">
        <v>5274</v>
      </c>
      <c r="C754" s="81">
        <v>45491</v>
      </c>
      <c r="D754" s="82">
        <v>0.58333333333333337</v>
      </c>
      <c r="E754" s="79" t="s">
        <v>151</v>
      </c>
      <c r="F754" s="79" t="s">
        <v>153</v>
      </c>
      <c r="G754" s="79" t="s">
        <v>153</v>
      </c>
      <c r="H754" s="79" t="s">
        <v>152</v>
      </c>
      <c r="I754" s="79" t="s">
        <v>152</v>
      </c>
      <c r="J754" s="79" t="s">
        <v>1711</v>
      </c>
      <c r="K754" s="79" t="s">
        <v>202</v>
      </c>
      <c r="L754" s="80" t="s">
        <v>5275</v>
      </c>
      <c r="M754" s="80" t="s">
        <v>624</v>
      </c>
      <c r="N754" s="79" t="s">
        <v>163</v>
      </c>
      <c r="O754" s="80" t="str">
        <f>_xlfn.TEXTJOIN(", ",TRUE,P754:AN754)</f>
        <v>Laura Camila Bechara, Luz Maritza Acero</v>
      </c>
      <c r="P754" s="79" t="s">
        <v>887</v>
      </c>
      <c r="Q754" s="79" t="s">
        <v>167</v>
      </c>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t="s">
        <v>169</v>
      </c>
      <c r="AP754" s="79" t="s">
        <v>170</v>
      </c>
      <c r="AQ754" s="80" t="s">
        <v>1192</v>
      </c>
      <c r="AR754" s="83" t="s">
        <v>5004</v>
      </c>
      <c r="AS754" s="80" t="s">
        <v>5276</v>
      </c>
      <c r="AT754" s="80" t="str">
        <f>_xlfn.TEXTJOIN(", ",TRUE,$AU754:$AY754)</f>
        <v>Distrital</v>
      </c>
      <c r="AU754" s="79" t="s">
        <v>172</v>
      </c>
      <c r="AV754" s="79"/>
      <c r="AW754" s="79"/>
      <c r="AX754" s="79"/>
      <c r="AY754" s="79"/>
      <c r="AZ754" s="79"/>
      <c r="BA754" s="80" t="str">
        <f>_xlfn.TEXTJOIN(", ",TRUE,$BB754:$BG754)</f>
        <v>Distrital</v>
      </c>
      <c r="BB754" s="79" t="s">
        <v>172</v>
      </c>
      <c r="BC754" s="79"/>
      <c r="BD754" s="79"/>
      <c r="BE754" s="79"/>
      <c r="BF754" s="79"/>
      <c r="BG754" s="79"/>
      <c r="BH754" s="80" t="str">
        <f>_xlfn.TEXTJOIN(", ",TRUE,$BI754:$BR754)</f>
        <v>Distrital</v>
      </c>
      <c r="BI754" s="79" t="s">
        <v>172</v>
      </c>
      <c r="BJ754" s="79"/>
      <c r="BK754" s="79"/>
      <c r="BL754" s="79"/>
      <c r="BM754" s="79"/>
      <c r="BN754" s="79"/>
      <c r="BO754" s="79"/>
      <c r="BP754" s="79"/>
      <c r="BQ754" s="79"/>
      <c r="BR754" s="79"/>
      <c r="BS754" s="80" t="s">
        <v>288</v>
      </c>
      <c r="BT754" s="80" t="s">
        <v>174</v>
      </c>
      <c r="BU754" s="128" t="s">
        <v>3931</v>
      </c>
      <c r="BV754" s="71"/>
      <c r="BW754" s="79" t="s">
        <v>152</v>
      </c>
      <c r="BX754" s="79" t="s">
        <v>179</v>
      </c>
      <c r="BY754" s="71"/>
      <c r="BZ754" s="79">
        <v>5</v>
      </c>
      <c r="CA754" s="79">
        <v>4</v>
      </c>
      <c r="CB754" s="79">
        <f>BZ754+CA754</f>
        <v>9</v>
      </c>
      <c r="CC754" s="79" t="str">
        <f>_xlfn.TEXTJOIN(", ",TRUE,$CD754:$CF754)</f>
        <v>Ninguna</v>
      </c>
      <c r="CD754" s="79" t="s">
        <v>174</v>
      </c>
      <c r="CE754" s="79"/>
      <c r="CF754" s="79"/>
      <c r="CG754" s="83" t="s">
        <v>5277</v>
      </c>
      <c r="CH754" s="41"/>
      <c r="CI754" s="79" t="s">
        <v>153</v>
      </c>
      <c r="CJ754" s="71"/>
      <c r="CK754" s="79">
        <f>COUNTIF(CL754:CQ754,"*")</f>
        <v>0</v>
      </c>
      <c r="CL754" s="79"/>
      <c r="CM754" s="79"/>
      <c r="CN754" s="79"/>
      <c r="CO754" s="79"/>
      <c r="CP754" s="79"/>
      <c r="CQ754" s="79"/>
      <c r="CR754" s="83" t="s">
        <v>179</v>
      </c>
      <c r="CS754" s="83" t="s">
        <v>179</v>
      </c>
      <c r="CT754" s="83" t="s">
        <v>179</v>
      </c>
      <c r="CU754" s="83" t="s">
        <v>179</v>
      </c>
      <c r="CV754" s="83" t="s">
        <v>179</v>
      </c>
      <c r="CW754" s="83" t="s">
        <v>179</v>
      </c>
      <c r="CX754" s="79" t="s">
        <v>153</v>
      </c>
      <c r="CY754" s="79">
        <f>SUM(COUNTIF(CR754:CW754,"Realizado y Devuelto a la Ciudadanía"),COUNTIF(CR754:CW754,"Realizado y Trasladado por competencia"), COUNTIF(CR754:CW754,"Realizado y Gestionado"))</f>
        <v>0</v>
      </c>
      <c r="CZ754" s="79">
        <v>0</v>
      </c>
      <c r="DA754" s="79">
        <f>COUNTIF(CR754:CW754,"Realizado y Devuelto a la Ciudadanía")</f>
        <v>0</v>
      </c>
      <c r="DB754" s="84" t="str">
        <f>IFERROR(CY754/CK754,"")</f>
        <v/>
      </c>
      <c r="DC754" s="41"/>
      <c r="DD754" s="79" t="s">
        <v>153</v>
      </c>
      <c r="DE754" s="71"/>
      <c r="DF754" s="127" t="s">
        <v>5278</v>
      </c>
      <c r="DG754" s="79">
        <v>742</v>
      </c>
      <c r="DH754" s="86" t="str">
        <f>IF(EE754="Por completar",C754+3,"Completo")</f>
        <v>Completo</v>
      </c>
      <c r="DI754" s="79" t="s">
        <v>181</v>
      </c>
      <c r="DJ754" s="79" t="s">
        <v>182</v>
      </c>
      <c r="DK754" s="79"/>
      <c r="DL754" s="79">
        <v>0</v>
      </c>
      <c r="DM754" s="79">
        <v>0</v>
      </c>
      <c r="DN754" s="79" t="s">
        <v>182</v>
      </c>
      <c r="DO754" s="79"/>
      <c r="DP754" s="79"/>
      <c r="DQ754" s="79"/>
      <c r="DR754" s="75" t="str">
        <f>IF(H754="SÍ", (DQ754/(BZ754*0.3)), "No aplica")</f>
        <v>No aplica</v>
      </c>
      <c r="DS754" s="79"/>
      <c r="DT754" s="79"/>
      <c r="DU754" s="75" t="str">
        <f>IF(H754="SÍ", (DT754/(BZ754*0.35)), "No aplica")</f>
        <v>No aplica</v>
      </c>
      <c r="DV754" s="79" t="s">
        <v>182</v>
      </c>
      <c r="DW754" s="79" t="s">
        <v>182</v>
      </c>
      <c r="DX754" s="79"/>
      <c r="DY754" s="79"/>
      <c r="DZ754" s="79"/>
      <c r="EA754" s="79"/>
      <c r="EB754" s="79"/>
      <c r="EC754" s="79"/>
      <c r="ED754" s="79" t="s">
        <v>3732</v>
      </c>
      <c r="EE754" s="79" t="str">
        <f>IF(DI754="Subsanado","Completo","Por Completar")</f>
        <v>Completo</v>
      </c>
      <c r="EF754" s="41"/>
      <c r="EG754" s="79" t="s">
        <v>153</v>
      </c>
      <c r="EH754" s="71"/>
      <c r="EI754" s="80"/>
      <c r="EJ754" s="71"/>
      <c r="EK754" s="79"/>
      <c r="EL754" s="87" t="str">
        <f>IF(F754="NO","No requiere",IF(H754="No","No requiere",IF(DW754="","",IF(DW754&lt;&gt;"No aplica",IF(DX754&lt;&gt;"No aplica",IF(DX754&gt;=2,"Sí","No"),"No aplica"),"No aplica"))))</f>
        <v>No requiere</v>
      </c>
      <c r="EM754" s="87" t="str">
        <f>IF(F754="NO","No requiere",IF(H754="No","No requiere",IF(DW754="","",IF(DW754&lt;&gt;"No aplica",IF(DY754&lt;&gt;"No aplica",IF(DY754&gt;=1,"Sí","No"),"No aplica"),"No aplica"))))</f>
        <v>No requiere</v>
      </c>
      <c r="EN754" s="87" t="str">
        <f>IF(F754="NO","No requiere",IF(H754="No","No requiere",IF(CC754="","",IF(CD754&lt;&gt;"No aplica",IF(CD754&lt;&gt;"Ninguna",IF(COUNTIF(CD754:CF754,"*")&gt;=1,"Sí","No"),"No"),"No aplica"))))</f>
        <v>No requiere</v>
      </c>
      <c r="EO754" s="71"/>
      <c r="EP754" s="84" t="str">
        <f>IF(F754="NO","No requiere",IF(H754="No","No requiere",IF(DL754="","",IF(DL754&gt;=1,DM754/DL754,"No aplica"))))</f>
        <v>No requiere</v>
      </c>
      <c r="EQ754" s="88" t="str">
        <f>IFERROR(IF(F754="NO","No requiere",IF(H754="No","No requiere",DU754)),"")</f>
        <v>No requiere</v>
      </c>
      <c r="ER754" s="71"/>
      <c r="ES754" s="79"/>
      <c r="ET754" s="84" t="str">
        <f>IF(F754="NO","No requiere",IF(H754="No","No requiere",IFERROR(COUNTIF(DJ754:DW754,"Completo")/SUM(COUNTIF(DJ754:DW754,"Completo"),COUNTIF(DJ754:DW754,"Incompleto"),COUNTIF(DJ754:DW754,"No subido"),COUNTIF(DJ754:DW754,"No existente"),COUNTIF(DJ754:DW754,"Pendiente")),"")))</f>
        <v>No requiere</v>
      </c>
      <c r="EU754" s="84" t="str">
        <f>IF(F754="NO","No requiere",IF(H754="No","No requiere",IF(B754="","",IF(CX754="SÍ",IF(CK754&gt;=1,CY754/CK754,"Sin compromisos"),"Por verificar"))))</f>
        <v>No requiere</v>
      </c>
      <c r="EV754" s="84" t="str">
        <f>IF(EU754="Por verificar","Por verificar",IF(F754="NO","No requiere",IF(H754="No","No requiere",IFERROR(IF(EU754="","",IF(CK754&gt;=1,DA754/CZ754,"No aplica")),"No aplica"))))</f>
        <v>No requiere</v>
      </c>
      <c r="EW754" s="84" t="str">
        <f>IF(F754="NO","No requiere",IF(H754="No","No requiere",IFERROR(IF(BZ754="","",IF(EA754&lt;&gt;"No aplica",IF(EA754&gt;=1,DO754/EA754,"0%"),"No aplica")),"")))</f>
        <v>No requiere</v>
      </c>
      <c r="EX754" s="78"/>
      <c r="EY754" s="78"/>
    </row>
    <row r="755" spans="1:155" ht="46.5" customHeight="1">
      <c r="A755" s="79">
        <v>751</v>
      </c>
      <c r="B755" s="80" t="s">
        <v>5279</v>
      </c>
      <c r="C755" s="81">
        <v>45491</v>
      </c>
      <c r="D755" s="82">
        <v>0.70833333333333337</v>
      </c>
      <c r="E755" s="79" t="s">
        <v>200</v>
      </c>
      <c r="F755" s="79" t="s">
        <v>153</v>
      </c>
      <c r="G755" s="79" t="s">
        <v>152</v>
      </c>
      <c r="H755" s="79" t="s">
        <v>152</v>
      </c>
      <c r="I755" s="79" t="s">
        <v>152</v>
      </c>
      <c r="J755" s="79" t="s">
        <v>211</v>
      </c>
      <c r="K755" s="79" t="s">
        <v>202</v>
      </c>
      <c r="L755" s="80" t="s">
        <v>5280</v>
      </c>
      <c r="M755" s="80" t="s">
        <v>624</v>
      </c>
      <c r="N755" s="79" t="s">
        <v>888</v>
      </c>
      <c r="O755" s="80" t="str">
        <f t="shared" si="986"/>
        <v>Nestor Jecfrid Sánchez</v>
      </c>
      <c r="P755" s="79" t="s">
        <v>965</v>
      </c>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t="s">
        <v>230</v>
      </c>
      <c r="AP755" s="79" t="s">
        <v>242</v>
      </c>
      <c r="AQ755" s="80" t="s">
        <v>4631</v>
      </c>
      <c r="AR755" s="83" t="s">
        <v>4456</v>
      </c>
      <c r="AS755" s="80" t="s">
        <v>682</v>
      </c>
      <c r="AT755" s="80" t="str">
        <f t="shared" si="545"/>
        <v>Distrital</v>
      </c>
      <c r="AU755" s="79" t="s">
        <v>172</v>
      </c>
      <c r="AV755" s="79"/>
      <c r="AW755" s="79"/>
      <c r="AX755" s="79"/>
      <c r="AY755" s="79"/>
      <c r="AZ755" s="79"/>
      <c r="BA755" s="80" t="str">
        <f t="shared" si="562"/>
        <v>Distrital</v>
      </c>
      <c r="BB755" s="79" t="s">
        <v>172</v>
      </c>
      <c r="BC755" s="79"/>
      <c r="BD755" s="79"/>
      <c r="BE755" s="79"/>
      <c r="BF755" s="79"/>
      <c r="BG755" s="79"/>
      <c r="BH755" s="80" t="str">
        <f t="shared" si="563"/>
        <v>Distrital</v>
      </c>
      <c r="BI755" s="79" t="s">
        <v>172</v>
      </c>
      <c r="BJ755" s="79"/>
      <c r="BK755" s="79"/>
      <c r="BL755" s="79"/>
      <c r="BM755" s="79"/>
      <c r="BN755" s="79"/>
      <c r="BO755" s="79"/>
      <c r="BP755" s="79"/>
      <c r="BQ755" s="79"/>
      <c r="BR755" s="79"/>
      <c r="BS755" s="80" t="s">
        <v>288</v>
      </c>
      <c r="BT755" s="80" t="s">
        <v>174</v>
      </c>
      <c r="BU755" s="228" t="s">
        <v>3931</v>
      </c>
      <c r="BV755" s="71"/>
      <c r="BW755" s="79" t="s">
        <v>152</v>
      </c>
      <c r="BX755" s="79" t="s">
        <v>179</v>
      </c>
      <c r="BY755" s="71"/>
      <c r="BZ755" s="79">
        <v>74</v>
      </c>
      <c r="CA755" s="79">
        <v>1</v>
      </c>
      <c r="CB755" s="79">
        <f t="shared" si="987"/>
        <v>75</v>
      </c>
      <c r="CC755" s="79" t="str">
        <f t="shared" si="382"/>
        <v>Ninguna</v>
      </c>
      <c r="CD755" s="79" t="s">
        <v>174</v>
      </c>
      <c r="CE755" s="79"/>
      <c r="CF755" s="79"/>
      <c r="CG755" s="83" t="s">
        <v>5281</v>
      </c>
      <c r="CH755" s="41"/>
      <c r="CI755" s="79" t="s">
        <v>153</v>
      </c>
      <c r="CJ755" s="71"/>
      <c r="CK755" s="79">
        <f t="shared" si="988"/>
        <v>0</v>
      </c>
      <c r="CL755" s="79"/>
      <c r="CM755" s="79"/>
      <c r="CN755" s="79"/>
      <c r="CO755" s="79"/>
      <c r="CP755" s="79"/>
      <c r="CQ755" s="79"/>
      <c r="CR755" s="83"/>
      <c r="CS755" s="83"/>
      <c r="CT755" s="83"/>
      <c r="CU755" s="83"/>
      <c r="CV755" s="83"/>
      <c r="CW755" s="83"/>
      <c r="CX755" s="79"/>
      <c r="CY755" s="79">
        <f t="shared" si="1002"/>
        <v>0</v>
      </c>
      <c r="CZ755" s="79">
        <v>0</v>
      </c>
      <c r="DA755" s="79">
        <f t="shared" si="1003"/>
        <v>0</v>
      </c>
      <c r="DB755" s="84" t="str">
        <f t="shared" si="989"/>
        <v/>
      </c>
      <c r="DC755" s="41"/>
      <c r="DD755" s="79"/>
      <c r="DE755" s="71"/>
      <c r="DF755" s="127" t="s">
        <v>5282</v>
      </c>
      <c r="DG755" s="79">
        <v>743</v>
      </c>
      <c r="DH755" s="86">
        <f t="shared" si="990"/>
        <v>45494</v>
      </c>
      <c r="DI755" s="79" t="s">
        <v>1246</v>
      </c>
      <c r="DJ755" s="79" t="s">
        <v>2659</v>
      </c>
      <c r="DK755" s="79"/>
      <c r="DL755" s="79">
        <v>0</v>
      </c>
      <c r="DM755" s="79">
        <v>0</v>
      </c>
      <c r="DN755" s="79" t="s">
        <v>182</v>
      </c>
      <c r="DO755" s="79"/>
      <c r="DP755" s="79"/>
      <c r="DQ755" s="79"/>
      <c r="DR755" s="75" t="str">
        <f t="shared" si="576"/>
        <v>No aplica</v>
      </c>
      <c r="DS755" s="79"/>
      <c r="DT755" s="79"/>
      <c r="DU755" s="75" t="str">
        <f t="shared" si="577"/>
        <v>No aplica</v>
      </c>
      <c r="DV755" s="79" t="s">
        <v>182</v>
      </c>
      <c r="DW755" s="79" t="s">
        <v>182</v>
      </c>
      <c r="DX755" s="79"/>
      <c r="DY755" s="79"/>
      <c r="DZ755" s="79"/>
      <c r="EA755" s="79"/>
      <c r="EB755" s="79" t="s">
        <v>182</v>
      </c>
      <c r="EC755" s="79" t="s">
        <v>5283</v>
      </c>
      <c r="ED755" s="79" t="s">
        <v>5284</v>
      </c>
      <c r="EE755" s="79" t="str">
        <f t="shared" si="991"/>
        <v>Por Completar</v>
      </c>
      <c r="EF755" s="41"/>
      <c r="EG755" s="79" t="s">
        <v>152</v>
      </c>
      <c r="EH755" s="71"/>
      <c r="EI755" s="80"/>
      <c r="EJ755" s="71"/>
      <c r="EK755" s="79"/>
      <c r="EL755" s="87" t="str">
        <f t="shared" si="992"/>
        <v>No requiere</v>
      </c>
      <c r="EM755" s="87" t="str">
        <f t="shared" si="993"/>
        <v>No requiere</v>
      </c>
      <c r="EN755" s="87" t="str">
        <f t="shared" si="994"/>
        <v>No requiere</v>
      </c>
      <c r="EO755" s="71"/>
      <c r="EP755" s="84" t="str">
        <f t="shared" si="995"/>
        <v>No requiere</v>
      </c>
      <c r="EQ755" s="88" t="str">
        <f t="shared" si="996"/>
        <v>No requiere</v>
      </c>
      <c r="ER755" s="71"/>
      <c r="ES755" s="79"/>
      <c r="ET755" s="84" t="str">
        <f t="shared" si="997"/>
        <v>No requiere</v>
      </c>
      <c r="EU755" s="84" t="str">
        <f t="shared" si="998"/>
        <v>No requiere</v>
      </c>
      <c r="EV755" s="84" t="str">
        <f t="shared" si="999"/>
        <v>No requiere</v>
      </c>
      <c r="EW755" s="84" t="str">
        <f t="shared" si="581"/>
        <v>No requiere</v>
      </c>
      <c r="EX755" s="78"/>
      <c r="EY755" s="78"/>
    </row>
    <row r="756" spans="1:155" ht="46.5" customHeight="1">
      <c r="A756" s="79">
        <v>752</v>
      </c>
      <c r="B756" s="80" t="s">
        <v>5285</v>
      </c>
      <c r="C756" s="81">
        <v>45491</v>
      </c>
      <c r="D756" s="82">
        <v>0.70833333333333337</v>
      </c>
      <c r="E756" s="79" t="s">
        <v>151</v>
      </c>
      <c r="F756" s="79" t="s">
        <v>153</v>
      </c>
      <c r="G756" s="79" t="s">
        <v>153</v>
      </c>
      <c r="H756" s="79" t="s">
        <v>152</v>
      </c>
      <c r="I756" s="79" t="s">
        <v>152</v>
      </c>
      <c r="J756" s="79" t="s">
        <v>3999</v>
      </c>
      <c r="K756" s="79" t="s">
        <v>155</v>
      </c>
      <c r="L756" s="80" t="s">
        <v>5286</v>
      </c>
      <c r="M756" s="80" t="s">
        <v>241</v>
      </c>
      <c r="N756" s="79" t="s">
        <v>525</v>
      </c>
      <c r="O756" s="80" t="str">
        <f t="shared" si="986"/>
        <v/>
      </c>
      <c r="P756" s="79"/>
      <c r="Q756" s="79"/>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t="s">
        <v>230</v>
      </c>
      <c r="AP756" s="79" t="s">
        <v>231</v>
      </c>
      <c r="AQ756" s="80" t="s">
        <v>5287</v>
      </c>
      <c r="AR756" s="83" t="s">
        <v>4841</v>
      </c>
      <c r="AS756" s="80" t="s">
        <v>5288</v>
      </c>
      <c r="AT756" s="80" t="str">
        <f t="shared" si="950"/>
        <v>Suba</v>
      </c>
      <c r="AU756" s="79" t="s">
        <v>602</v>
      </c>
      <c r="AV756" s="79"/>
      <c r="AW756" s="79"/>
      <c r="AX756" s="79"/>
      <c r="AY756" s="79"/>
      <c r="AZ756" s="79"/>
      <c r="BA756" s="80" t="str">
        <f t="shared" si="1000"/>
        <v>Norte</v>
      </c>
      <c r="BB756" s="79" t="s">
        <v>662</v>
      </c>
      <c r="BC756" s="79"/>
      <c r="BD756" s="79"/>
      <c r="BE756" s="79"/>
      <c r="BF756" s="79"/>
      <c r="BG756" s="79"/>
      <c r="BH756" s="80" t="str">
        <f t="shared" si="1001"/>
        <v>Niza</v>
      </c>
      <c r="BI756" s="79" t="s">
        <v>865</v>
      </c>
      <c r="BJ756" s="79"/>
      <c r="BK756" s="79"/>
      <c r="BL756" s="79"/>
      <c r="BM756" s="79"/>
      <c r="BN756" s="79"/>
      <c r="BO756" s="79"/>
      <c r="BP756" s="79"/>
      <c r="BQ756" s="79"/>
      <c r="BR756" s="79"/>
      <c r="BS756" s="80" t="s">
        <v>5289</v>
      </c>
      <c r="BT756" s="80" t="s">
        <v>174</v>
      </c>
      <c r="BU756" s="80" t="s">
        <v>4843</v>
      </c>
      <c r="BV756" s="71"/>
      <c r="BW756" s="79" t="s">
        <v>152</v>
      </c>
      <c r="BX756" s="79" t="s">
        <v>179</v>
      </c>
      <c r="BY756" s="71"/>
      <c r="BZ756" s="79">
        <v>25</v>
      </c>
      <c r="CA756" s="79">
        <v>1</v>
      </c>
      <c r="CB756" s="79">
        <f t="shared" si="987"/>
        <v>26</v>
      </c>
      <c r="CC756" s="79" t="str">
        <f t="shared" si="382"/>
        <v>Horarios Acordes</v>
      </c>
      <c r="CD756" s="79" t="s">
        <v>351</v>
      </c>
      <c r="CE756" s="79"/>
      <c r="CF756" s="79"/>
      <c r="CG756" s="83" t="s">
        <v>5290</v>
      </c>
      <c r="CH756" s="41"/>
      <c r="CI756" s="79" t="s">
        <v>153</v>
      </c>
      <c r="CJ756" s="71"/>
      <c r="CK756" s="79">
        <f t="shared" si="988"/>
        <v>0</v>
      </c>
      <c r="CL756" s="79"/>
      <c r="CM756" s="79"/>
      <c r="CN756" s="79"/>
      <c r="CO756" s="79"/>
      <c r="CP756" s="79"/>
      <c r="CQ756" s="79"/>
      <c r="CR756" s="83" t="s">
        <v>179</v>
      </c>
      <c r="CS756" s="83" t="s">
        <v>179</v>
      </c>
      <c r="CT756" s="83" t="s">
        <v>179</v>
      </c>
      <c r="CU756" s="83" t="s">
        <v>179</v>
      </c>
      <c r="CV756" s="83" t="s">
        <v>179</v>
      </c>
      <c r="CW756" s="83" t="s">
        <v>179</v>
      </c>
      <c r="CX756" s="79" t="s">
        <v>153</v>
      </c>
      <c r="CY756" s="79">
        <f t="shared" si="1002"/>
        <v>0</v>
      </c>
      <c r="CZ756" s="79">
        <v>0</v>
      </c>
      <c r="DA756" s="79">
        <f t="shared" si="1003"/>
        <v>0</v>
      </c>
      <c r="DB756" s="84" t="str">
        <f t="shared" si="989"/>
        <v/>
      </c>
      <c r="DC756" s="41"/>
      <c r="DD756" s="79" t="s">
        <v>153</v>
      </c>
      <c r="DE756" s="71"/>
      <c r="DF756" s="127" t="s">
        <v>5291</v>
      </c>
      <c r="DG756" s="79">
        <v>744</v>
      </c>
      <c r="DH756" s="86" t="str">
        <f t="shared" si="990"/>
        <v>Completo</v>
      </c>
      <c r="DI756" s="79" t="s">
        <v>181</v>
      </c>
      <c r="DJ756" s="79" t="s">
        <v>182</v>
      </c>
      <c r="DK756" s="79"/>
      <c r="DL756" s="79">
        <v>0</v>
      </c>
      <c r="DM756" s="79">
        <v>0</v>
      </c>
      <c r="DN756" s="79" t="s">
        <v>182</v>
      </c>
      <c r="DO756" s="79"/>
      <c r="DP756" s="79"/>
      <c r="DQ756" s="79"/>
      <c r="DR756" s="75" t="str">
        <f t="shared" si="576"/>
        <v>No aplica</v>
      </c>
      <c r="DS756" s="79"/>
      <c r="DT756" s="79"/>
      <c r="DU756" s="75" t="str">
        <f t="shared" si="577"/>
        <v>No aplica</v>
      </c>
      <c r="DV756" s="79" t="s">
        <v>182</v>
      </c>
      <c r="DW756" s="79" t="s">
        <v>182</v>
      </c>
      <c r="DX756" s="79"/>
      <c r="DY756" s="79"/>
      <c r="DZ756" s="79"/>
      <c r="EA756" s="79"/>
      <c r="EB756" s="79" t="s">
        <v>182</v>
      </c>
      <c r="EC756" s="79" t="s">
        <v>5292</v>
      </c>
      <c r="ED756" s="79" t="s">
        <v>3787</v>
      </c>
      <c r="EE756" s="79" t="str">
        <f t="shared" si="991"/>
        <v>Completo</v>
      </c>
      <c r="EF756" s="41"/>
      <c r="EG756" s="79" t="s">
        <v>153</v>
      </c>
      <c r="EH756" s="71"/>
      <c r="EI756" s="80"/>
      <c r="EJ756" s="71"/>
      <c r="EK756" s="79"/>
      <c r="EL756" s="87" t="str">
        <f t="shared" si="992"/>
        <v>No requiere</v>
      </c>
      <c r="EM756" s="87" t="str">
        <f t="shared" si="993"/>
        <v>No requiere</v>
      </c>
      <c r="EN756" s="87" t="str">
        <f t="shared" si="994"/>
        <v>No requiere</v>
      </c>
      <c r="EO756" s="71"/>
      <c r="EP756" s="84" t="str">
        <f t="shared" si="995"/>
        <v>No requiere</v>
      </c>
      <c r="EQ756" s="88" t="str">
        <f t="shared" si="996"/>
        <v>No requiere</v>
      </c>
      <c r="ER756" s="71"/>
      <c r="ES756" s="79"/>
      <c r="ET756" s="84" t="str">
        <f t="shared" si="997"/>
        <v>No requiere</v>
      </c>
      <c r="EU756" s="84" t="str">
        <f t="shared" si="998"/>
        <v>No requiere</v>
      </c>
      <c r="EV756" s="84" t="str">
        <f t="shared" si="999"/>
        <v>No requiere</v>
      </c>
      <c r="EW756" s="84" t="str">
        <f t="shared" si="581"/>
        <v>No requiere</v>
      </c>
      <c r="EX756" s="78"/>
      <c r="EY756" s="78"/>
    </row>
    <row r="757" spans="1:155" ht="46.5" customHeight="1">
      <c r="A757" s="79">
        <v>753</v>
      </c>
      <c r="B757" s="80" t="s">
        <v>5293</v>
      </c>
      <c r="C757" s="81">
        <v>45491</v>
      </c>
      <c r="D757" s="82">
        <v>0.70833333333333337</v>
      </c>
      <c r="E757" s="79" t="s">
        <v>151</v>
      </c>
      <c r="F757" s="79" t="s">
        <v>153</v>
      </c>
      <c r="G757" s="79" t="s">
        <v>153</v>
      </c>
      <c r="H757" s="79" t="s">
        <v>152</v>
      </c>
      <c r="I757" s="79" t="s">
        <v>152</v>
      </c>
      <c r="J757" s="79" t="s">
        <v>3999</v>
      </c>
      <c r="K757" s="79" t="s">
        <v>155</v>
      </c>
      <c r="L757" s="80" t="s">
        <v>5294</v>
      </c>
      <c r="M757" s="80" t="s">
        <v>241</v>
      </c>
      <c r="N757" s="79" t="s">
        <v>644</v>
      </c>
      <c r="O757" s="80" t="str">
        <f t="shared" si="986"/>
        <v>Germán Ramón Jacome</v>
      </c>
      <c r="P757" s="79" t="s">
        <v>525</v>
      </c>
      <c r="Q757" s="79"/>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t="s">
        <v>230</v>
      </c>
      <c r="AP757" s="79" t="s">
        <v>356</v>
      </c>
      <c r="AQ757" s="80" t="s">
        <v>5295</v>
      </c>
      <c r="AR757" s="83" t="s">
        <v>5296</v>
      </c>
      <c r="AS757" s="80" t="s">
        <v>5297</v>
      </c>
      <c r="AT757" s="80" t="str">
        <f t="shared" si="950"/>
        <v>Engativá</v>
      </c>
      <c r="AU757" s="79" t="s">
        <v>234</v>
      </c>
      <c r="AV757" s="79"/>
      <c r="AW757" s="79"/>
      <c r="AX757" s="79"/>
      <c r="AY757" s="79"/>
      <c r="AZ757" s="79"/>
      <c r="BA757" s="80" t="str">
        <f t="shared" si="1000"/>
        <v>Occidente</v>
      </c>
      <c r="BB757" s="79" t="s">
        <v>235</v>
      </c>
      <c r="BC757" s="79"/>
      <c r="BD757" s="79"/>
      <c r="BE757" s="79"/>
      <c r="BF757" s="79"/>
      <c r="BG757" s="79"/>
      <c r="BH757" s="80" t="str">
        <f t="shared" si="1001"/>
        <v>Engativá</v>
      </c>
      <c r="BI757" s="79" t="s">
        <v>234</v>
      </c>
      <c r="BJ757" s="79"/>
      <c r="BK757" s="79"/>
      <c r="BL757" s="79"/>
      <c r="BM757" s="79"/>
      <c r="BN757" s="79"/>
      <c r="BO757" s="79"/>
      <c r="BP757" s="79"/>
      <c r="BQ757" s="79"/>
      <c r="BR757" s="79"/>
      <c r="BS757" s="80" t="s">
        <v>5298</v>
      </c>
      <c r="BT757" s="80" t="s">
        <v>174</v>
      </c>
      <c r="BU757" s="80" t="s">
        <v>4893</v>
      </c>
      <c r="BV757" s="71"/>
      <c r="BW757" s="79" t="s">
        <v>152</v>
      </c>
      <c r="BX757" s="79" t="s">
        <v>179</v>
      </c>
      <c r="BY757" s="71"/>
      <c r="BZ757" s="79">
        <v>8</v>
      </c>
      <c r="CA757" s="79">
        <v>1</v>
      </c>
      <c r="CB757" s="79">
        <f t="shared" si="987"/>
        <v>9</v>
      </c>
      <c r="CC757" s="79" t="str">
        <f t="shared" si="382"/>
        <v>Accesibilidad Universal</v>
      </c>
      <c r="CD757" s="79" t="s">
        <v>397</v>
      </c>
      <c r="CE757" s="79"/>
      <c r="CF757" s="79"/>
      <c r="CG757" s="83" t="s">
        <v>5299</v>
      </c>
      <c r="CH757" s="41"/>
      <c r="CI757" s="79" t="s">
        <v>153</v>
      </c>
      <c r="CJ757" s="71"/>
      <c r="CK757" s="79">
        <f t="shared" si="988"/>
        <v>0</v>
      </c>
      <c r="CL757" s="79"/>
      <c r="CM757" s="79"/>
      <c r="CN757" s="79"/>
      <c r="CO757" s="79"/>
      <c r="CP757" s="79"/>
      <c r="CQ757" s="79"/>
      <c r="CR757" s="83" t="s">
        <v>179</v>
      </c>
      <c r="CS757" s="83" t="s">
        <v>179</v>
      </c>
      <c r="CT757" s="83" t="s">
        <v>179</v>
      </c>
      <c r="CU757" s="83" t="s">
        <v>179</v>
      </c>
      <c r="CV757" s="83" t="s">
        <v>179</v>
      </c>
      <c r="CW757" s="83" t="s">
        <v>179</v>
      </c>
      <c r="CX757" s="79" t="s">
        <v>153</v>
      </c>
      <c r="CY757" s="79">
        <f t="shared" si="1002"/>
        <v>0</v>
      </c>
      <c r="CZ757" s="79">
        <v>0</v>
      </c>
      <c r="DA757" s="79">
        <f t="shared" si="1003"/>
        <v>0</v>
      </c>
      <c r="DB757" s="84" t="str">
        <f t="shared" si="989"/>
        <v/>
      </c>
      <c r="DC757" s="41"/>
      <c r="DD757" s="79" t="s">
        <v>153</v>
      </c>
      <c r="DE757" s="71"/>
      <c r="DF757" s="127" t="s">
        <v>5300</v>
      </c>
      <c r="DG757" s="79">
        <v>745</v>
      </c>
      <c r="DH757" s="86" t="str">
        <f t="shared" si="990"/>
        <v>Completo</v>
      </c>
      <c r="DI757" s="79" t="s">
        <v>181</v>
      </c>
      <c r="DJ757" s="79" t="s">
        <v>182</v>
      </c>
      <c r="DK757" s="79"/>
      <c r="DL757" s="79">
        <v>0</v>
      </c>
      <c r="DM757" s="79">
        <v>0</v>
      </c>
      <c r="DN757" s="79" t="s">
        <v>182</v>
      </c>
      <c r="DO757" s="79"/>
      <c r="DP757" s="79"/>
      <c r="DQ757" s="79"/>
      <c r="DR757" s="75" t="str">
        <f t="shared" si="576"/>
        <v>No aplica</v>
      </c>
      <c r="DS757" s="79"/>
      <c r="DT757" s="79"/>
      <c r="DU757" s="75" t="str">
        <f t="shared" si="577"/>
        <v>No aplica</v>
      </c>
      <c r="DV757" s="79" t="s">
        <v>182</v>
      </c>
      <c r="DW757" s="79" t="s">
        <v>182</v>
      </c>
      <c r="DX757" s="79"/>
      <c r="DY757" s="79"/>
      <c r="DZ757" s="79"/>
      <c r="EA757" s="79"/>
      <c r="EB757" s="79"/>
      <c r="EC757" s="79"/>
      <c r="ED757" s="79" t="s">
        <v>3787</v>
      </c>
      <c r="EE757" s="79" t="str">
        <f t="shared" si="991"/>
        <v>Completo</v>
      </c>
      <c r="EF757" s="41"/>
      <c r="EG757" s="79" t="s">
        <v>153</v>
      </c>
      <c r="EH757" s="71"/>
      <c r="EI757" s="80"/>
      <c r="EJ757" s="71"/>
      <c r="EK757" s="79"/>
      <c r="EL757" s="87" t="str">
        <f t="shared" si="992"/>
        <v>No requiere</v>
      </c>
      <c r="EM757" s="87" t="str">
        <f t="shared" si="993"/>
        <v>No requiere</v>
      </c>
      <c r="EN757" s="87" t="str">
        <f t="shared" si="994"/>
        <v>No requiere</v>
      </c>
      <c r="EO757" s="71"/>
      <c r="EP757" s="84" t="str">
        <f t="shared" si="995"/>
        <v>No requiere</v>
      </c>
      <c r="EQ757" s="88" t="str">
        <f t="shared" si="996"/>
        <v>No requiere</v>
      </c>
      <c r="ER757" s="71"/>
      <c r="ES757" s="79"/>
      <c r="ET757" s="84" t="str">
        <f t="shared" si="997"/>
        <v>No requiere</v>
      </c>
      <c r="EU757" s="84" t="str">
        <f t="shared" si="998"/>
        <v>No requiere</v>
      </c>
      <c r="EV757" s="84" t="str">
        <f t="shared" si="999"/>
        <v>No requiere</v>
      </c>
      <c r="EW757" s="84" t="str">
        <f t="shared" si="581"/>
        <v>No requiere</v>
      </c>
      <c r="EX757" s="78"/>
      <c r="EY757" s="78"/>
    </row>
    <row r="758" spans="1:155" ht="46.5" customHeight="1">
      <c r="A758" s="79" t="str">
        <v/>
      </c>
      <c r="B758" s="80" t="s">
        <v>5301</v>
      </c>
      <c r="C758" s="81">
        <v>45492</v>
      </c>
      <c r="D758" s="82">
        <v>0.41666666666666669</v>
      </c>
      <c r="E758" s="79" t="s">
        <v>151</v>
      </c>
      <c r="F758" s="79" t="s">
        <v>152</v>
      </c>
      <c r="G758" s="79" t="s">
        <v>152</v>
      </c>
      <c r="H758" s="79" t="s">
        <v>152</v>
      </c>
      <c r="I758" s="79" t="s">
        <v>152</v>
      </c>
      <c r="J758" s="79" t="s">
        <v>251</v>
      </c>
      <c r="K758" s="79" t="s">
        <v>155</v>
      </c>
      <c r="L758" s="80" t="s">
        <v>5302</v>
      </c>
      <c r="M758" s="80" t="s">
        <v>624</v>
      </c>
      <c r="N758" s="79" t="s">
        <v>346</v>
      </c>
      <c r="O758" s="80" t="str">
        <f t="shared" si="986"/>
        <v>Ana María Ulloa, Angie Sandoval, Freddy Martínez, César Augusto Barrantes</v>
      </c>
      <c r="P758" s="79" t="s">
        <v>522</v>
      </c>
      <c r="Q758" s="79" t="s">
        <v>4898</v>
      </c>
      <c r="R758" s="79" t="s">
        <v>3049</v>
      </c>
      <c r="S758" s="79" t="s">
        <v>729</v>
      </c>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t="s">
        <v>304</v>
      </c>
      <c r="AP758" s="79"/>
      <c r="AQ758" s="80" t="s">
        <v>171</v>
      </c>
      <c r="AR758" s="80" t="s">
        <v>171</v>
      </c>
      <c r="AS758" s="80" t="s">
        <v>171</v>
      </c>
      <c r="AT758" s="80" t="str">
        <f>_xlfn.TEXTJOIN(", ",TRUE,$AU758:$AY758)</f>
        <v>Distrital</v>
      </c>
      <c r="AU758" s="79" t="s">
        <v>172</v>
      </c>
      <c r="AV758" s="79"/>
      <c r="AW758" s="79"/>
      <c r="AX758" s="79"/>
      <c r="AY758" s="79"/>
      <c r="AZ758" s="79"/>
      <c r="BA758" s="80" t="str">
        <f>_xlfn.TEXTJOIN(", ",TRUE,$BB758:$BG758)</f>
        <v>Distrital</v>
      </c>
      <c r="BB758" s="79" t="s">
        <v>172</v>
      </c>
      <c r="BC758" s="79"/>
      <c r="BD758" s="79"/>
      <c r="BE758" s="79"/>
      <c r="BF758" s="79"/>
      <c r="BG758" s="79"/>
      <c r="BH758" s="80" t="str">
        <f>_xlfn.TEXTJOIN(", ",TRUE,$BI758:$BR758)</f>
        <v>Distrital</v>
      </c>
      <c r="BI758" s="79" t="s">
        <v>172</v>
      </c>
      <c r="BJ758" s="79"/>
      <c r="BK758" s="79"/>
      <c r="BL758" s="79"/>
      <c r="BM758" s="79"/>
      <c r="BN758" s="79"/>
      <c r="BO758" s="79"/>
      <c r="BP758" s="79"/>
      <c r="BQ758" s="79"/>
      <c r="BR758" s="79"/>
      <c r="BS758" s="80" t="s">
        <v>288</v>
      </c>
      <c r="BT758" s="80" t="s">
        <v>174</v>
      </c>
      <c r="BU758" s="80" t="s">
        <v>5303</v>
      </c>
      <c r="BV758" s="71"/>
      <c r="BW758" s="79"/>
      <c r="BX758" s="79"/>
      <c r="BY758" s="71"/>
      <c r="BZ758" s="79">
        <v>3</v>
      </c>
      <c r="CA758" s="79">
        <v>6</v>
      </c>
      <c r="CB758" s="79">
        <f t="shared" si="987"/>
        <v>9</v>
      </c>
      <c r="CC758" s="79" t="str">
        <f t="shared" si="382"/>
        <v>Ninguna</v>
      </c>
      <c r="CD758" s="79" t="s">
        <v>174</v>
      </c>
      <c r="CE758" s="79"/>
      <c r="CF758" s="79"/>
      <c r="CG758" s="83" t="s">
        <v>5304</v>
      </c>
      <c r="CH758" s="41"/>
      <c r="CI758" s="79" t="s">
        <v>153</v>
      </c>
      <c r="CJ758" s="71"/>
      <c r="CK758" s="79">
        <f t="shared" si="988"/>
        <v>0</v>
      </c>
      <c r="CL758" s="79"/>
      <c r="CM758" s="79"/>
      <c r="CN758" s="79"/>
      <c r="CO758" s="79"/>
      <c r="CP758" s="79"/>
      <c r="CQ758" s="79"/>
      <c r="CR758" s="83"/>
      <c r="CS758" s="83" t="s">
        <v>179</v>
      </c>
      <c r="CT758" s="83" t="s">
        <v>179</v>
      </c>
      <c r="CU758" s="83" t="s">
        <v>179</v>
      </c>
      <c r="CV758" s="83" t="s">
        <v>179</v>
      </c>
      <c r="CW758" s="83" t="s">
        <v>179</v>
      </c>
      <c r="CX758" s="79" t="s">
        <v>153</v>
      </c>
      <c r="CY758" s="79">
        <f t="shared" si="1002"/>
        <v>0</v>
      </c>
      <c r="CZ758" s="79">
        <v>0</v>
      </c>
      <c r="DA758" s="79">
        <f t="shared" si="1003"/>
        <v>0</v>
      </c>
      <c r="DB758" s="84" t="str">
        <f t="shared" si="989"/>
        <v/>
      </c>
      <c r="DC758" s="41"/>
      <c r="DD758" s="79" t="s">
        <v>153</v>
      </c>
      <c r="DE758" s="71"/>
      <c r="DF758" s="127" t="s">
        <v>5305</v>
      </c>
      <c r="DG758" s="79">
        <v>746</v>
      </c>
      <c r="DH758" s="86" t="str">
        <f t="shared" si="990"/>
        <v>Completo</v>
      </c>
      <c r="DI758" s="79" t="s">
        <v>181</v>
      </c>
      <c r="DJ758" s="79" t="s">
        <v>182</v>
      </c>
      <c r="DK758" s="79"/>
      <c r="DL758" s="79">
        <v>0</v>
      </c>
      <c r="DM758" s="79">
        <v>0</v>
      </c>
      <c r="DN758" s="79"/>
      <c r="DO758" s="79"/>
      <c r="DP758" s="79"/>
      <c r="DQ758" s="79"/>
      <c r="DR758" s="75" t="str">
        <f t="shared" si="576"/>
        <v>No aplica</v>
      </c>
      <c r="DS758" s="79"/>
      <c r="DT758" s="79"/>
      <c r="DU758" s="75" t="str">
        <f t="shared" si="577"/>
        <v>No aplica</v>
      </c>
      <c r="DV758" s="79" t="s">
        <v>182</v>
      </c>
      <c r="DW758" s="79"/>
      <c r="DX758" s="79"/>
      <c r="DY758" s="79"/>
      <c r="DZ758" s="79"/>
      <c r="EA758" s="79"/>
      <c r="EB758" s="79"/>
      <c r="EC758" s="79"/>
      <c r="ED758" s="79" t="s">
        <v>5262</v>
      </c>
      <c r="EE758" s="79" t="str">
        <f t="shared" si="991"/>
        <v>Completo</v>
      </c>
      <c r="EF758" s="41"/>
      <c r="EG758" s="79"/>
      <c r="EH758" s="71"/>
      <c r="EI758" s="80"/>
      <c r="EJ758" s="71"/>
      <c r="EK758" s="79"/>
      <c r="EL758" s="87" t="str">
        <f t="shared" si="992"/>
        <v>No requiere</v>
      </c>
      <c r="EM758" s="87" t="str">
        <f t="shared" si="993"/>
        <v>No requiere</v>
      </c>
      <c r="EN758" s="87" t="str">
        <f t="shared" si="994"/>
        <v>No requiere</v>
      </c>
      <c r="EO758" s="71"/>
      <c r="EP758" s="84" t="str">
        <f t="shared" si="995"/>
        <v>No requiere</v>
      </c>
      <c r="EQ758" s="88" t="str">
        <f t="shared" si="996"/>
        <v>No requiere</v>
      </c>
      <c r="ER758" s="71"/>
      <c r="ES758" s="79"/>
      <c r="ET758" s="84" t="str">
        <f t="shared" si="997"/>
        <v>No requiere</v>
      </c>
      <c r="EU758" s="84" t="str">
        <f t="shared" si="998"/>
        <v>No requiere</v>
      </c>
      <c r="EV758" s="84" t="str">
        <f t="shared" si="999"/>
        <v>No requiere</v>
      </c>
      <c r="EW758" s="84" t="str">
        <f t="shared" si="581"/>
        <v>No requiere</v>
      </c>
      <c r="EX758" s="78"/>
      <c r="EY758" s="78"/>
    </row>
    <row r="759" spans="1:155" ht="56.25" customHeight="1">
      <c r="A759" s="79">
        <v>755</v>
      </c>
      <c r="B759" s="80" t="s">
        <v>5306</v>
      </c>
      <c r="C759" s="81">
        <v>45492</v>
      </c>
      <c r="D759" s="82">
        <v>0.45833333333333331</v>
      </c>
      <c r="E759" s="79" t="s">
        <v>151</v>
      </c>
      <c r="F759" s="79" t="s">
        <v>153</v>
      </c>
      <c r="G759" s="79" t="s">
        <v>153</v>
      </c>
      <c r="H759" s="79" t="s">
        <v>152</v>
      </c>
      <c r="I759" s="79" t="s">
        <v>152</v>
      </c>
      <c r="J759" s="79" t="s">
        <v>3999</v>
      </c>
      <c r="K759" s="79" t="s">
        <v>155</v>
      </c>
      <c r="L759" s="80" t="s">
        <v>5141</v>
      </c>
      <c r="M759" s="80" t="s">
        <v>241</v>
      </c>
      <c r="N759" s="79" t="s">
        <v>720</v>
      </c>
      <c r="O759" s="80" t="str">
        <f t="shared" si="986"/>
        <v>Laura Sofia Morales, William Jair Gil</v>
      </c>
      <c r="P759" s="79" t="s">
        <v>506</v>
      </c>
      <c r="Q759" s="79" t="s">
        <v>862</v>
      </c>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t="s">
        <v>169</v>
      </c>
      <c r="AP759" s="79" t="s">
        <v>214</v>
      </c>
      <c r="AQ759" s="80" t="s">
        <v>5307</v>
      </c>
      <c r="AR759" s="83" t="s">
        <v>5308</v>
      </c>
      <c r="AS759" s="80" t="s">
        <v>5309</v>
      </c>
      <c r="AT759" s="80" t="str">
        <f t="shared" si="950"/>
        <v>Ciudad Bolívar</v>
      </c>
      <c r="AU759" s="79" t="s">
        <v>217</v>
      </c>
      <c r="AV759" s="79"/>
      <c r="AW759" s="79"/>
      <c r="AX759" s="79"/>
      <c r="AY759" s="79"/>
      <c r="AZ759" s="79"/>
      <c r="BA759" s="80" t="str">
        <f t="shared" si="1000"/>
        <v>Suroriente</v>
      </c>
      <c r="BB759" s="79" t="s">
        <v>218</v>
      </c>
      <c r="BC759" s="79"/>
      <c r="BD759" s="79"/>
      <c r="BE759" s="79"/>
      <c r="BF759" s="79"/>
      <c r="BG759" s="79"/>
      <c r="BH759" s="80" t="str">
        <f t="shared" si="1001"/>
        <v>Lucero, Arborizadora, Cuenca del Tunjuelo</v>
      </c>
      <c r="BI759" s="79" t="s">
        <v>221</v>
      </c>
      <c r="BJ759" s="79" t="s">
        <v>220</v>
      </c>
      <c r="BK759" s="79" t="s">
        <v>222</v>
      </c>
      <c r="BL759" s="79"/>
      <c r="BM759" s="79"/>
      <c r="BN759" s="79"/>
      <c r="BO759" s="79"/>
      <c r="BP759" s="79"/>
      <c r="BQ759" s="79"/>
      <c r="BR759" s="79"/>
      <c r="BS759" s="80" t="s">
        <v>2795</v>
      </c>
      <c r="BT759" s="80" t="s">
        <v>174</v>
      </c>
      <c r="BU759" s="80" t="s">
        <v>5310</v>
      </c>
      <c r="BV759" s="71"/>
      <c r="BW759" s="79" t="s">
        <v>152</v>
      </c>
      <c r="BX759" s="79" t="s">
        <v>179</v>
      </c>
      <c r="BY759" s="71"/>
      <c r="BZ759" s="79">
        <v>12</v>
      </c>
      <c r="CA759" s="79">
        <v>3</v>
      </c>
      <c r="CB759" s="79">
        <f t="shared" si="987"/>
        <v>15</v>
      </c>
      <c r="CC759" s="79" t="str">
        <f t="shared" si="382"/>
        <v>Ninguna</v>
      </c>
      <c r="CD759" s="79" t="s">
        <v>174</v>
      </c>
      <c r="CE759" s="79"/>
      <c r="CF759" s="79"/>
      <c r="CG759" s="83" t="s">
        <v>5311</v>
      </c>
      <c r="CH759" s="41"/>
      <c r="CI759" s="79" t="s">
        <v>153</v>
      </c>
      <c r="CJ759" s="71"/>
      <c r="CK759" s="79">
        <f t="shared" si="988"/>
        <v>0</v>
      </c>
      <c r="CL759" s="79"/>
      <c r="CM759" s="79"/>
      <c r="CN759" s="79"/>
      <c r="CO759" s="79"/>
      <c r="CP759" s="79"/>
      <c r="CQ759" s="79"/>
      <c r="CR759" s="83"/>
      <c r="CS759" s="83"/>
      <c r="CT759" s="83"/>
      <c r="CU759" s="83"/>
      <c r="CV759" s="83"/>
      <c r="CW759" s="83"/>
      <c r="CX759" s="79" t="s">
        <v>153</v>
      </c>
      <c r="CY759" s="79">
        <f t="shared" si="1002"/>
        <v>0</v>
      </c>
      <c r="CZ759" s="79">
        <v>0</v>
      </c>
      <c r="DA759" s="79">
        <f t="shared" si="1003"/>
        <v>0</v>
      </c>
      <c r="DB759" s="84" t="str">
        <f t="shared" si="989"/>
        <v/>
      </c>
      <c r="DC759" s="41"/>
      <c r="DD759" s="79"/>
      <c r="DE759" s="71"/>
      <c r="DF759" s="127" t="s">
        <v>5312</v>
      </c>
      <c r="DG759" s="79">
        <v>747</v>
      </c>
      <c r="DH759" s="86">
        <f t="shared" si="990"/>
        <v>45495</v>
      </c>
      <c r="DI759" s="79" t="s">
        <v>3560</v>
      </c>
      <c r="DJ759" s="79" t="s">
        <v>182</v>
      </c>
      <c r="DK759" s="79"/>
      <c r="DL759" s="79">
        <v>0</v>
      </c>
      <c r="DM759" s="79">
        <v>0</v>
      </c>
      <c r="DN759" s="79" t="s">
        <v>3407</v>
      </c>
      <c r="DO759" s="79"/>
      <c r="DP759" s="79"/>
      <c r="DQ759" s="79"/>
      <c r="DR759" s="75" t="str">
        <f t="shared" si="576"/>
        <v>No aplica</v>
      </c>
      <c r="DS759" s="79"/>
      <c r="DT759" s="79"/>
      <c r="DU759" s="75" t="str">
        <f t="shared" si="577"/>
        <v>No aplica</v>
      </c>
      <c r="DV759" s="79" t="s">
        <v>182</v>
      </c>
      <c r="DW759" s="79"/>
      <c r="DX759" s="79"/>
      <c r="DY759" s="79"/>
      <c r="DZ759" s="79"/>
      <c r="EA759" s="79"/>
      <c r="EB759" s="79"/>
      <c r="EC759" s="79"/>
      <c r="ED759" s="79" t="s">
        <v>5313</v>
      </c>
      <c r="EE759" s="79" t="str">
        <f t="shared" si="991"/>
        <v>Por Completar</v>
      </c>
      <c r="EF759" s="41"/>
      <c r="EG759" s="79"/>
      <c r="EH759" s="71"/>
      <c r="EI759" s="80"/>
      <c r="EJ759" s="71"/>
      <c r="EK759" s="79"/>
      <c r="EL759" s="87" t="str">
        <f t="shared" si="992"/>
        <v>No requiere</v>
      </c>
      <c r="EM759" s="87" t="str">
        <f t="shared" si="993"/>
        <v>No requiere</v>
      </c>
      <c r="EN759" s="87" t="str">
        <f t="shared" si="994"/>
        <v>No requiere</v>
      </c>
      <c r="EO759" s="71"/>
      <c r="EP759" s="84" t="str">
        <f t="shared" si="995"/>
        <v>No requiere</v>
      </c>
      <c r="EQ759" s="88" t="str">
        <f t="shared" si="996"/>
        <v>No requiere</v>
      </c>
      <c r="ER759" s="71"/>
      <c r="ES759" s="79"/>
      <c r="ET759" s="84" t="str">
        <f t="shared" si="997"/>
        <v>No requiere</v>
      </c>
      <c r="EU759" s="84" t="str">
        <f t="shared" si="998"/>
        <v>No requiere</v>
      </c>
      <c r="EV759" s="84" t="str">
        <f t="shared" si="999"/>
        <v>No requiere</v>
      </c>
      <c r="EW759" s="84" t="str">
        <f t="shared" si="581"/>
        <v>No requiere</v>
      </c>
      <c r="EX759" s="78"/>
      <c r="EY759" s="78"/>
    </row>
    <row r="760" spans="1:155" ht="56.25" customHeight="1">
      <c r="A760" s="79" t="str">
        <v/>
      </c>
      <c r="B760" s="80" t="s">
        <v>5314</v>
      </c>
      <c r="C760" s="81">
        <v>45493</v>
      </c>
      <c r="D760" s="82">
        <v>0.45833333333333331</v>
      </c>
      <c r="E760" s="79" t="s">
        <v>151</v>
      </c>
      <c r="F760" s="79" t="s">
        <v>152</v>
      </c>
      <c r="G760" s="79" t="s">
        <v>152</v>
      </c>
      <c r="H760" s="79" t="s">
        <v>152</v>
      </c>
      <c r="I760" s="79" t="s">
        <v>152</v>
      </c>
      <c r="J760" s="79" t="s">
        <v>3999</v>
      </c>
      <c r="K760" s="79" t="s">
        <v>155</v>
      </c>
      <c r="L760" s="80" t="s">
        <v>5315</v>
      </c>
      <c r="M760" s="80" t="s">
        <v>241</v>
      </c>
      <c r="N760" s="79" t="s">
        <v>675</v>
      </c>
      <c r="O760" s="80" t="str">
        <f t="shared" si="986"/>
        <v/>
      </c>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t="s">
        <v>304</v>
      </c>
      <c r="AP760" s="79"/>
      <c r="AQ760" s="80" t="s">
        <v>5316</v>
      </c>
      <c r="AR760" s="83" t="s">
        <v>5317</v>
      </c>
      <c r="AS760" s="80" t="s">
        <v>5318</v>
      </c>
      <c r="AT760" s="80" t="str">
        <f t="shared" si="950"/>
        <v>Bosa</v>
      </c>
      <c r="AU760" s="79" t="s">
        <v>730</v>
      </c>
      <c r="AV760" s="79"/>
      <c r="AW760" s="79"/>
      <c r="AX760" s="79"/>
      <c r="AY760" s="79"/>
      <c r="AZ760" s="79"/>
      <c r="BA760" s="80" t="str">
        <f t="shared" si="1000"/>
        <v>Suroccidente</v>
      </c>
      <c r="BB760" s="79" t="s">
        <v>732</v>
      </c>
      <c r="BC760" s="79"/>
      <c r="BD760" s="79"/>
      <c r="BE760" s="79"/>
      <c r="BF760" s="79"/>
      <c r="BG760" s="79"/>
      <c r="BH760" s="80" t="str">
        <f t="shared" si="1001"/>
        <v>Porvenir</v>
      </c>
      <c r="BI760" s="79" t="s">
        <v>1058</v>
      </c>
      <c r="BJ760" s="79"/>
      <c r="BK760" s="79"/>
      <c r="BL760" s="79"/>
      <c r="BM760" s="79"/>
      <c r="BN760" s="79"/>
      <c r="BO760" s="79"/>
      <c r="BP760" s="79"/>
      <c r="BQ760" s="79"/>
      <c r="BR760" s="79"/>
      <c r="BS760" s="80" t="s">
        <v>5319</v>
      </c>
      <c r="BT760" s="80" t="s">
        <v>174</v>
      </c>
      <c r="BU760" s="80" t="s">
        <v>5320</v>
      </c>
      <c r="BV760" s="71"/>
      <c r="BW760" s="79" t="s">
        <v>152</v>
      </c>
      <c r="BX760" s="79" t="s">
        <v>179</v>
      </c>
      <c r="BY760" s="71"/>
      <c r="BZ760" s="79">
        <v>37</v>
      </c>
      <c r="CA760" s="79">
        <v>2</v>
      </c>
      <c r="CB760" s="79">
        <f t="shared" si="987"/>
        <v>39</v>
      </c>
      <c r="CC760" s="79" t="str">
        <f t="shared" si="382"/>
        <v>Ninguna</v>
      </c>
      <c r="CD760" s="79" t="s">
        <v>174</v>
      </c>
      <c r="CE760" s="79"/>
      <c r="CF760" s="79"/>
      <c r="CG760" s="83" t="s">
        <v>5314</v>
      </c>
      <c r="CH760" s="41"/>
      <c r="CI760" s="79" t="s">
        <v>153</v>
      </c>
      <c r="CJ760" s="71"/>
      <c r="CK760" s="79">
        <f t="shared" si="988"/>
        <v>0</v>
      </c>
      <c r="CL760" s="79"/>
      <c r="CM760" s="79"/>
      <c r="CN760" s="79"/>
      <c r="CO760" s="79"/>
      <c r="CP760" s="79"/>
      <c r="CQ760" s="79"/>
      <c r="CR760" s="83" t="s">
        <v>179</v>
      </c>
      <c r="CS760" s="83" t="s">
        <v>179</v>
      </c>
      <c r="CT760" s="83" t="s">
        <v>179</v>
      </c>
      <c r="CU760" s="83" t="s">
        <v>179</v>
      </c>
      <c r="CV760" s="83" t="s">
        <v>179</v>
      </c>
      <c r="CW760" s="83" t="s">
        <v>179</v>
      </c>
      <c r="CX760" s="79" t="s">
        <v>153</v>
      </c>
      <c r="CY760" s="79">
        <f t="shared" si="1002"/>
        <v>0</v>
      </c>
      <c r="CZ760" s="79">
        <v>0</v>
      </c>
      <c r="DA760" s="79">
        <f t="shared" si="1003"/>
        <v>0</v>
      </c>
      <c r="DB760" s="84" t="str">
        <f t="shared" si="989"/>
        <v/>
      </c>
      <c r="DC760" s="41"/>
      <c r="DD760" s="79" t="s">
        <v>153</v>
      </c>
      <c r="DE760" s="71"/>
      <c r="DF760" s="127" t="s">
        <v>5321</v>
      </c>
      <c r="DG760" s="79">
        <v>748</v>
      </c>
      <c r="DH760" s="86" t="str">
        <f t="shared" si="990"/>
        <v>Completo</v>
      </c>
      <c r="DI760" s="79" t="s">
        <v>181</v>
      </c>
      <c r="DJ760" s="79" t="s">
        <v>182</v>
      </c>
      <c r="DK760" s="79"/>
      <c r="DL760" s="79">
        <v>0</v>
      </c>
      <c r="DM760" s="79">
        <v>0</v>
      </c>
      <c r="DN760" s="79" t="s">
        <v>182</v>
      </c>
      <c r="DO760" s="79"/>
      <c r="DP760" s="79"/>
      <c r="DQ760" s="79"/>
      <c r="DR760" s="75" t="str">
        <f t="shared" si="576"/>
        <v>No aplica</v>
      </c>
      <c r="DS760" s="79"/>
      <c r="DT760" s="79"/>
      <c r="DU760" s="75" t="str">
        <f t="shared" si="577"/>
        <v>No aplica</v>
      </c>
      <c r="DV760" s="79" t="s">
        <v>182</v>
      </c>
      <c r="DW760" s="79"/>
      <c r="DX760" s="79"/>
      <c r="DY760" s="79"/>
      <c r="DZ760" s="79"/>
      <c r="EA760" s="79"/>
      <c r="EB760" s="79"/>
      <c r="EC760" s="79"/>
      <c r="ED760" s="79" t="s">
        <v>3732</v>
      </c>
      <c r="EE760" s="79" t="str">
        <f t="shared" si="991"/>
        <v>Completo</v>
      </c>
      <c r="EF760" s="41"/>
      <c r="EG760" s="79" t="s">
        <v>153</v>
      </c>
      <c r="EH760" s="71"/>
      <c r="EI760" s="80"/>
      <c r="EJ760" s="71"/>
      <c r="EK760" s="79"/>
      <c r="EL760" s="87" t="str">
        <f t="shared" si="992"/>
        <v>No requiere</v>
      </c>
      <c r="EM760" s="87" t="str">
        <f t="shared" si="993"/>
        <v>No requiere</v>
      </c>
      <c r="EN760" s="87" t="str">
        <f t="shared" si="994"/>
        <v>No requiere</v>
      </c>
      <c r="EO760" s="71"/>
      <c r="EP760" s="84" t="str">
        <f t="shared" si="995"/>
        <v>No requiere</v>
      </c>
      <c r="EQ760" s="88" t="str">
        <f t="shared" si="996"/>
        <v>No requiere</v>
      </c>
      <c r="ER760" s="71"/>
      <c r="ES760" s="79"/>
      <c r="ET760" s="84" t="str">
        <f t="shared" si="997"/>
        <v>No requiere</v>
      </c>
      <c r="EU760" s="84" t="str">
        <f t="shared" si="998"/>
        <v>No requiere</v>
      </c>
      <c r="EV760" s="84" t="str">
        <f t="shared" si="999"/>
        <v>No requiere</v>
      </c>
      <c r="EW760" s="84" t="str">
        <f t="shared" si="581"/>
        <v>No requiere</v>
      </c>
      <c r="EX760" s="78"/>
      <c r="EY760" s="78"/>
    </row>
    <row r="761" spans="1:155" ht="56.25" customHeight="1">
      <c r="A761" s="79">
        <v>757</v>
      </c>
      <c r="B761" s="80" t="s">
        <v>5322</v>
      </c>
      <c r="C761" s="81">
        <v>45494</v>
      </c>
      <c r="D761" s="82">
        <v>0.66666666666666663</v>
      </c>
      <c r="E761" s="79" t="s">
        <v>151</v>
      </c>
      <c r="F761" s="79" t="s">
        <v>153</v>
      </c>
      <c r="G761" s="79" t="s">
        <v>153</v>
      </c>
      <c r="H761" s="79" t="s">
        <v>152</v>
      </c>
      <c r="I761" s="79" t="s">
        <v>152</v>
      </c>
      <c r="J761" s="79" t="s">
        <v>3999</v>
      </c>
      <c r="K761" s="79" t="s">
        <v>155</v>
      </c>
      <c r="L761" s="80" t="s">
        <v>5323</v>
      </c>
      <c r="M761" s="80" t="s">
        <v>241</v>
      </c>
      <c r="N761" s="79" t="s">
        <v>1387</v>
      </c>
      <c r="O761" s="80" t="str">
        <f t="shared" si="986"/>
        <v/>
      </c>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t="s">
        <v>230</v>
      </c>
      <c r="AP761" s="79" t="s">
        <v>1996</v>
      </c>
      <c r="AQ761" s="80" t="s">
        <v>5324</v>
      </c>
      <c r="AR761" s="83" t="s">
        <v>5325</v>
      </c>
      <c r="AS761" s="80" t="s">
        <v>5326</v>
      </c>
      <c r="AT761" s="80" t="str">
        <f t="shared" si="950"/>
        <v>Barrios Unidos</v>
      </c>
      <c r="AU761" s="79" t="s">
        <v>1031</v>
      </c>
      <c r="AV761" s="79"/>
      <c r="AW761" s="79"/>
      <c r="AX761" s="79"/>
      <c r="AY761" s="79"/>
      <c r="AZ761" s="79"/>
      <c r="BA761" s="80" t="str">
        <f t="shared" si="1000"/>
        <v>Centro Ampliado</v>
      </c>
      <c r="BB761" s="79" t="s">
        <v>636</v>
      </c>
      <c r="BC761" s="79"/>
      <c r="BD761" s="79"/>
      <c r="BE761" s="79"/>
      <c r="BF761" s="79"/>
      <c r="BG761" s="79"/>
      <c r="BH761" s="80" t="str">
        <f t="shared" si="1001"/>
        <v>Barrios Unidos</v>
      </c>
      <c r="BI761" s="79" t="s">
        <v>1031</v>
      </c>
      <c r="BJ761" s="79"/>
      <c r="BK761" s="79"/>
      <c r="BL761" s="79"/>
      <c r="BM761" s="79"/>
      <c r="BN761" s="79"/>
      <c r="BO761" s="79"/>
      <c r="BP761" s="79"/>
      <c r="BQ761" s="79"/>
      <c r="BR761" s="79"/>
      <c r="BS761" s="80" t="s">
        <v>5039</v>
      </c>
      <c r="BT761" s="80" t="s">
        <v>174</v>
      </c>
      <c r="BU761" s="80" t="s">
        <v>5327</v>
      </c>
      <c r="BV761" s="71"/>
      <c r="BW761" s="79" t="s">
        <v>152</v>
      </c>
      <c r="BX761" s="79" t="s">
        <v>179</v>
      </c>
      <c r="BY761" s="71"/>
      <c r="BZ761" s="79">
        <v>4</v>
      </c>
      <c r="CA761" s="79">
        <v>1</v>
      </c>
      <c r="CB761" s="79">
        <f t="shared" si="987"/>
        <v>5</v>
      </c>
      <c r="CC761" s="79" t="str">
        <f t="shared" si="382"/>
        <v>Ninguna</v>
      </c>
      <c r="CD761" s="79" t="s">
        <v>174</v>
      </c>
      <c r="CE761" s="79"/>
      <c r="CF761" s="79"/>
      <c r="CG761" s="83" t="s">
        <v>5328</v>
      </c>
      <c r="CH761" s="41"/>
      <c r="CI761" s="79" t="s">
        <v>153</v>
      </c>
      <c r="CJ761" s="71"/>
      <c r="CK761" s="79">
        <f t="shared" si="988"/>
        <v>0</v>
      </c>
      <c r="CL761" s="79"/>
      <c r="CM761" s="79"/>
      <c r="CN761" s="79"/>
      <c r="CO761" s="79"/>
      <c r="CP761" s="79"/>
      <c r="CQ761" s="79"/>
      <c r="CR761" s="83" t="s">
        <v>1545</v>
      </c>
      <c r="CS761" s="83" t="s">
        <v>1545</v>
      </c>
      <c r="CT761" s="83" t="s">
        <v>1545</v>
      </c>
      <c r="CU761" s="83" t="s">
        <v>1545</v>
      </c>
      <c r="CV761" s="83" t="s">
        <v>1545</v>
      </c>
      <c r="CW761" s="83" t="s">
        <v>1545</v>
      </c>
      <c r="CX761" s="79" t="s">
        <v>153</v>
      </c>
      <c r="CY761" s="79">
        <f t="shared" si="1002"/>
        <v>0</v>
      </c>
      <c r="CZ761" s="79">
        <v>0</v>
      </c>
      <c r="DA761" s="79">
        <f t="shared" si="1003"/>
        <v>0</v>
      </c>
      <c r="DB761" s="84" t="str">
        <f t="shared" si="989"/>
        <v/>
      </c>
      <c r="DC761" s="41"/>
      <c r="DD761" s="79" t="s">
        <v>153</v>
      </c>
      <c r="DE761" s="71"/>
      <c r="DF761" s="127" t="s">
        <v>5329</v>
      </c>
      <c r="DG761" s="79">
        <v>749</v>
      </c>
      <c r="DH761" s="86" t="str">
        <f t="shared" si="990"/>
        <v>Completo</v>
      </c>
      <c r="DI761" s="79" t="s">
        <v>181</v>
      </c>
      <c r="DJ761" s="79" t="s">
        <v>182</v>
      </c>
      <c r="DK761" s="79"/>
      <c r="DL761" s="79">
        <v>0</v>
      </c>
      <c r="DM761" s="79">
        <v>0</v>
      </c>
      <c r="DN761" s="79" t="s">
        <v>182</v>
      </c>
      <c r="DO761" s="79"/>
      <c r="DP761" s="79"/>
      <c r="DQ761" s="79"/>
      <c r="DR761" s="75" t="str">
        <f t="shared" si="576"/>
        <v>No aplica</v>
      </c>
      <c r="DS761" s="79"/>
      <c r="DT761" s="79"/>
      <c r="DU761" s="75" t="str">
        <f t="shared" si="577"/>
        <v>No aplica</v>
      </c>
      <c r="DV761" s="79"/>
      <c r="DW761" s="79" t="s">
        <v>182</v>
      </c>
      <c r="DX761" s="79"/>
      <c r="DY761" s="79"/>
      <c r="DZ761" s="79"/>
      <c r="EA761" s="79"/>
      <c r="EB761" s="79" t="s">
        <v>182</v>
      </c>
      <c r="EC761" s="79" t="s">
        <v>5330</v>
      </c>
      <c r="ED761" s="79" t="s">
        <v>3866</v>
      </c>
      <c r="EE761" s="79" t="str">
        <f t="shared" si="991"/>
        <v>Completo</v>
      </c>
      <c r="EF761" s="41"/>
      <c r="EG761" s="79" t="s">
        <v>153</v>
      </c>
      <c r="EH761" s="71"/>
      <c r="EI761" s="80"/>
      <c r="EJ761" s="71"/>
      <c r="EK761" s="79"/>
      <c r="EL761" s="87" t="str">
        <f t="shared" si="992"/>
        <v>No requiere</v>
      </c>
      <c r="EM761" s="87" t="str">
        <f t="shared" si="993"/>
        <v>No requiere</v>
      </c>
      <c r="EN761" s="87" t="str">
        <f t="shared" si="994"/>
        <v>No requiere</v>
      </c>
      <c r="EO761" s="71"/>
      <c r="EP761" s="84" t="str">
        <f t="shared" si="995"/>
        <v>No requiere</v>
      </c>
      <c r="EQ761" s="88" t="str">
        <f t="shared" si="996"/>
        <v>No requiere</v>
      </c>
      <c r="ER761" s="71"/>
      <c r="ES761" s="79"/>
      <c r="ET761" s="84" t="str">
        <f t="shared" si="997"/>
        <v>No requiere</v>
      </c>
      <c r="EU761" s="84" t="str">
        <f t="shared" si="998"/>
        <v>No requiere</v>
      </c>
      <c r="EV761" s="84" t="str">
        <f t="shared" si="999"/>
        <v>No requiere</v>
      </c>
      <c r="EW761" s="84" t="str">
        <f t="shared" si="581"/>
        <v>No requiere</v>
      </c>
      <c r="EX761" s="78"/>
      <c r="EY761" s="78"/>
    </row>
    <row r="762" spans="1:155" ht="56.25" customHeight="1">
      <c r="A762" s="79">
        <v>758</v>
      </c>
      <c r="B762" s="80" t="s">
        <v>5331</v>
      </c>
      <c r="C762" s="81">
        <v>45495</v>
      </c>
      <c r="D762" s="82">
        <v>0.33333333333333331</v>
      </c>
      <c r="E762" s="79" t="s">
        <v>151</v>
      </c>
      <c r="F762" s="79" t="s">
        <v>153</v>
      </c>
      <c r="G762" s="79" t="s">
        <v>152</v>
      </c>
      <c r="H762" s="79" t="s">
        <v>152</v>
      </c>
      <c r="I762" s="79" t="s">
        <v>152</v>
      </c>
      <c r="J762" s="79" t="s">
        <v>2615</v>
      </c>
      <c r="K762" s="79" t="s">
        <v>155</v>
      </c>
      <c r="L762" s="80" t="s">
        <v>4317</v>
      </c>
      <c r="M762" s="80" t="s">
        <v>624</v>
      </c>
      <c r="N762" s="79" t="s">
        <v>632</v>
      </c>
      <c r="O762" s="80" t="str">
        <f t="shared" si="986"/>
        <v>Freddy Martínez</v>
      </c>
      <c r="P762" s="79" t="s">
        <v>3049</v>
      </c>
      <c r="Q762" s="79"/>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t="s">
        <v>169</v>
      </c>
      <c r="AP762" s="79" t="s">
        <v>170</v>
      </c>
      <c r="AQ762" s="80" t="s">
        <v>5332</v>
      </c>
      <c r="AR762" s="83" t="s">
        <v>5333</v>
      </c>
      <c r="AS762" s="80" t="s">
        <v>5334</v>
      </c>
      <c r="AT762" s="80" t="str">
        <f>_xlfn.TEXTJOIN(", ",TRUE,$AU762:$AY762)</f>
        <v>Distrital</v>
      </c>
      <c r="AU762" s="79" t="s">
        <v>172</v>
      </c>
      <c r="AV762" s="79"/>
      <c r="AW762" s="79"/>
      <c r="AX762" s="79"/>
      <c r="AY762" s="79"/>
      <c r="AZ762" s="79"/>
      <c r="BA762" s="80" t="str">
        <f>_xlfn.TEXTJOIN(", ",TRUE,$BB762:$BG762)</f>
        <v>Distrital</v>
      </c>
      <c r="BB762" s="79" t="s">
        <v>172</v>
      </c>
      <c r="BC762" s="79"/>
      <c r="BD762" s="79"/>
      <c r="BE762" s="79"/>
      <c r="BF762" s="79"/>
      <c r="BG762" s="79"/>
      <c r="BH762" s="80" t="str">
        <f>_xlfn.TEXTJOIN(", ",TRUE,$BI762:$BR762)</f>
        <v>Distrital</v>
      </c>
      <c r="BI762" s="79" t="s">
        <v>172</v>
      </c>
      <c r="BJ762" s="79"/>
      <c r="BK762" s="79"/>
      <c r="BL762" s="79"/>
      <c r="BM762" s="79"/>
      <c r="BN762" s="79"/>
      <c r="BO762" s="79"/>
      <c r="BP762" s="79"/>
      <c r="BQ762" s="79"/>
      <c r="BR762" s="79"/>
      <c r="BS762" s="80" t="s">
        <v>5335</v>
      </c>
      <c r="BT762" s="80" t="s">
        <v>4321</v>
      </c>
      <c r="BU762" s="80" t="s">
        <v>5336</v>
      </c>
      <c r="BV762" s="71"/>
      <c r="BW762" s="79" t="s">
        <v>152</v>
      </c>
      <c r="BX762" s="79" t="s">
        <v>179</v>
      </c>
      <c r="BY762" s="71"/>
      <c r="BZ762" s="79">
        <v>12</v>
      </c>
      <c r="CA762" s="79">
        <v>5</v>
      </c>
      <c r="CB762" s="79">
        <f t="shared" si="987"/>
        <v>17</v>
      </c>
      <c r="CC762" s="79" t="str">
        <f t="shared" si="382"/>
        <v>Ninguna</v>
      </c>
      <c r="CD762" s="79" t="s">
        <v>174</v>
      </c>
      <c r="CE762" s="79"/>
      <c r="CF762" s="79"/>
      <c r="CG762" s="83" t="s">
        <v>5337</v>
      </c>
      <c r="CH762" s="41"/>
      <c r="CI762" s="79" t="s">
        <v>153</v>
      </c>
      <c r="CJ762" s="71"/>
      <c r="CK762" s="79">
        <f t="shared" si="988"/>
        <v>0</v>
      </c>
      <c r="CL762" s="79"/>
      <c r="CM762" s="79"/>
      <c r="CN762" s="79"/>
      <c r="CO762" s="79"/>
      <c r="CP762" s="79"/>
      <c r="CQ762" s="79"/>
      <c r="CR762" s="83" t="s">
        <v>179</v>
      </c>
      <c r="CS762" s="83" t="s">
        <v>179</v>
      </c>
      <c r="CT762" s="83" t="s">
        <v>179</v>
      </c>
      <c r="CU762" s="83" t="s">
        <v>179</v>
      </c>
      <c r="CV762" s="83" t="s">
        <v>179</v>
      </c>
      <c r="CW762" s="83" t="s">
        <v>179</v>
      </c>
      <c r="CX762" s="79" t="s">
        <v>153</v>
      </c>
      <c r="CY762" s="79">
        <f t="shared" si="1002"/>
        <v>0</v>
      </c>
      <c r="CZ762" s="79">
        <v>0</v>
      </c>
      <c r="DA762" s="79">
        <f t="shared" si="1003"/>
        <v>0</v>
      </c>
      <c r="DB762" s="84" t="str">
        <f t="shared" si="989"/>
        <v/>
      </c>
      <c r="DC762" s="41"/>
      <c r="DD762" s="79" t="s">
        <v>153</v>
      </c>
      <c r="DE762" s="71"/>
      <c r="DF762" s="127" t="s">
        <v>5338</v>
      </c>
      <c r="DG762" s="79">
        <v>750</v>
      </c>
      <c r="DH762" s="86" t="str">
        <f t="shared" si="990"/>
        <v>Completo</v>
      </c>
      <c r="DI762" s="79" t="s">
        <v>181</v>
      </c>
      <c r="DJ762" s="79" t="s">
        <v>182</v>
      </c>
      <c r="DK762" s="79"/>
      <c r="DL762" s="79">
        <v>0</v>
      </c>
      <c r="DM762" s="79">
        <v>0</v>
      </c>
      <c r="DN762" s="79" t="s">
        <v>182</v>
      </c>
      <c r="DO762" s="79"/>
      <c r="DP762" s="79"/>
      <c r="DQ762" s="79"/>
      <c r="DR762" s="75" t="str">
        <f t="shared" si="576"/>
        <v>No aplica</v>
      </c>
      <c r="DS762" s="79"/>
      <c r="DT762" s="79"/>
      <c r="DU762" s="75" t="str">
        <f t="shared" si="577"/>
        <v>No aplica</v>
      </c>
      <c r="DV762" s="79" t="s">
        <v>182</v>
      </c>
      <c r="DW762" s="79"/>
      <c r="DX762" s="79"/>
      <c r="DY762" s="79"/>
      <c r="DZ762" s="79"/>
      <c r="EA762" s="79"/>
      <c r="EB762" s="79" t="s">
        <v>182</v>
      </c>
      <c r="EC762" s="79" t="s">
        <v>5339</v>
      </c>
      <c r="ED762" s="79" t="s">
        <v>3990</v>
      </c>
      <c r="EE762" s="79" t="str">
        <f t="shared" si="991"/>
        <v>Completo</v>
      </c>
      <c r="EF762" s="41"/>
      <c r="EG762" s="79" t="s">
        <v>153</v>
      </c>
      <c r="EH762" s="71"/>
      <c r="EI762" s="80"/>
      <c r="EJ762" s="71"/>
      <c r="EK762" s="79"/>
      <c r="EL762" s="87" t="str">
        <f t="shared" si="992"/>
        <v>No requiere</v>
      </c>
      <c r="EM762" s="87" t="str">
        <f t="shared" si="993"/>
        <v>No requiere</v>
      </c>
      <c r="EN762" s="87" t="str">
        <f t="shared" si="994"/>
        <v>No requiere</v>
      </c>
      <c r="EO762" s="71"/>
      <c r="EP762" s="84" t="str">
        <f t="shared" si="995"/>
        <v>No requiere</v>
      </c>
      <c r="EQ762" s="88" t="str">
        <f t="shared" si="996"/>
        <v>No requiere</v>
      </c>
      <c r="ER762" s="71"/>
      <c r="ES762" s="79"/>
      <c r="ET762" s="84" t="str">
        <f t="shared" si="997"/>
        <v>No requiere</v>
      </c>
      <c r="EU762" s="84" t="str">
        <f t="shared" si="998"/>
        <v>No requiere</v>
      </c>
      <c r="EV762" s="84" t="str">
        <f t="shared" si="999"/>
        <v>No requiere</v>
      </c>
      <c r="EW762" s="84" t="str">
        <f t="shared" si="581"/>
        <v>No requiere</v>
      </c>
      <c r="EX762" s="78"/>
      <c r="EY762" s="78"/>
    </row>
    <row r="763" spans="1:155" ht="56.25" customHeight="1">
      <c r="A763" s="79">
        <v>759</v>
      </c>
      <c r="B763" s="80" t="s">
        <v>4222</v>
      </c>
      <c r="C763" s="81">
        <v>45495</v>
      </c>
      <c r="D763" s="82">
        <v>0.5</v>
      </c>
      <c r="E763" s="79" t="s">
        <v>151</v>
      </c>
      <c r="F763" s="79" t="s">
        <v>153</v>
      </c>
      <c r="G763" s="79" t="s">
        <v>152</v>
      </c>
      <c r="H763" s="79" t="s">
        <v>152</v>
      </c>
      <c r="I763" s="79" t="s">
        <v>152</v>
      </c>
      <c r="J763" s="79" t="s">
        <v>272</v>
      </c>
      <c r="K763" s="79" t="s">
        <v>202</v>
      </c>
      <c r="L763" s="80" t="s">
        <v>5340</v>
      </c>
      <c r="M763" s="80" t="s">
        <v>157</v>
      </c>
      <c r="N763" s="79" t="s">
        <v>862</v>
      </c>
      <c r="O763" s="80" t="str">
        <f t="shared" si="986"/>
        <v/>
      </c>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t="s">
        <v>304</v>
      </c>
      <c r="AP763" s="79"/>
      <c r="AQ763" s="80" t="s">
        <v>4790</v>
      </c>
      <c r="AR763" s="83" t="s">
        <v>4791</v>
      </c>
      <c r="AS763" s="80" t="s">
        <v>5341</v>
      </c>
      <c r="AT763" s="80" t="str">
        <f t="shared" si="950"/>
        <v>Tunjuelito</v>
      </c>
      <c r="AU763" s="79" t="s">
        <v>937</v>
      </c>
      <c r="AV763" s="79"/>
      <c r="AW763" s="79"/>
      <c r="AX763" s="79"/>
      <c r="AY763" s="79"/>
      <c r="AZ763" s="79"/>
      <c r="BA763" s="80" t="str">
        <f t="shared" si="1000"/>
        <v>Suroriente</v>
      </c>
      <c r="BB763" s="79" t="s">
        <v>218</v>
      </c>
      <c r="BC763" s="79"/>
      <c r="BD763" s="79"/>
      <c r="BE763" s="79"/>
      <c r="BF763" s="79"/>
      <c r="BG763" s="79"/>
      <c r="BH763" s="80" t="str">
        <f t="shared" si="1001"/>
        <v>Tunjuelito</v>
      </c>
      <c r="BI763" s="79" t="s">
        <v>937</v>
      </c>
      <c r="BJ763" s="79"/>
      <c r="BK763" s="79"/>
      <c r="BL763" s="79"/>
      <c r="BM763" s="79"/>
      <c r="BN763" s="79"/>
      <c r="BO763" s="79"/>
      <c r="BP763" s="79"/>
      <c r="BQ763" s="79"/>
      <c r="BR763" s="79"/>
      <c r="BS763" s="80" t="s">
        <v>4792</v>
      </c>
      <c r="BT763" s="80" t="s">
        <v>174</v>
      </c>
      <c r="BU763" s="128" t="s">
        <v>3931</v>
      </c>
      <c r="BV763" s="71"/>
      <c r="BW763" s="79" t="s">
        <v>152</v>
      </c>
      <c r="BX763" s="79" t="s">
        <v>179</v>
      </c>
      <c r="BY763" s="71"/>
      <c r="BZ763" s="79">
        <v>11</v>
      </c>
      <c r="CA763" s="79">
        <v>1</v>
      </c>
      <c r="CB763" s="79">
        <f t="shared" si="987"/>
        <v>12</v>
      </c>
      <c r="CC763" s="79" t="str">
        <f t="shared" si="382"/>
        <v>Horarios Acordes</v>
      </c>
      <c r="CD763" s="79" t="s">
        <v>351</v>
      </c>
      <c r="CE763" s="79"/>
      <c r="CF763" s="79"/>
      <c r="CG763" s="83" t="s">
        <v>5342</v>
      </c>
      <c r="CH763" s="41"/>
      <c r="CI763" s="79" t="s">
        <v>153</v>
      </c>
      <c r="CJ763" s="71"/>
      <c r="CK763" s="79">
        <f t="shared" si="988"/>
        <v>0</v>
      </c>
      <c r="CL763" s="79"/>
      <c r="CM763" s="79"/>
      <c r="CN763" s="79"/>
      <c r="CO763" s="79"/>
      <c r="CP763" s="79"/>
      <c r="CQ763" s="79"/>
      <c r="CR763" s="83" t="s">
        <v>179</v>
      </c>
      <c r="CS763" s="83" t="s">
        <v>179</v>
      </c>
      <c r="CT763" s="83" t="s">
        <v>179</v>
      </c>
      <c r="CU763" s="83" t="s">
        <v>179</v>
      </c>
      <c r="CV763" s="83" t="s">
        <v>179</v>
      </c>
      <c r="CW763" s="83" t="s">
        <v>179</v>
      </c>
      <c r="CX763" s="79" t="s">
        <v>153</v>
      </c>
      <c r="CY763" s="79">
        <f t="shared" si="1002"/>
        <v>0</v>
      </c>
      <c r="CZ763" s="79">
        <v>0</v>
      </c>
      <c r="DA763" s="79">
        <f t="shared" si="1003"/>
        <v>0</v>
      </c>
      <c r="DB763" s="84" t="str">
        <f t="shared" si="989"/>
        <v/>
      </c>
      <c r="DC763" s="41"/>
      <c r="DD763" s="79" t="s">
        <v>153</v>
      </c>
      <c r="DE763" s="71"/>
      <c r="DF763" s="127" t="s">
        <v>5343</v>
      </c>
      <c r="DG763" s="79">
        <v>751</v>
      </c>
      <c r="DH763" s="86" t="str">
        <f t="shared" si="990"/>
        <v>Completo</v>
      </c>
      <c r="DI763" s="79" t="s">
        <v>181</v>
      </c>
      <c r="DJ763" s="79" t="s">
        <v>182</v>
      </c>
      <c r="DK763" s="79"/>
      <c r="DL763" s="79">
        <v>0</v>
      </c>
      <c r="DM763" s="79">
        <v>0</v>
      </c>
      <c r="DN763" s="79" t="s">
        <v>182</v>
      </c>
      <c r="DO763" s="79"/>
      <c r="DP763" s="79"/>
      <c r="DQ763" s="79"/>
      <c r="DR763" s="75" t="str">
        <f t="shared" si="576"/>
        <v>No aplica</v>
      </c>
      <c r="DS763" s="79"/>
      <c r="DT763" s="79"/>
      <c r="DU763" s="75" t="str">
        <f t="shared" si="577"/>
        <v>No aplica</v>
      </c>
      <c r="DV763" s="79" t="s">
        <v>182</v>
      </c>
      <c r="DW763" s="79" t="s">
        <v>182</v>
      </c>
      <c r="DX763" s="79"/>
      <c r="DY763" s="79"/>
      <c r="DZ763" s="79"/>
      <c r="EA763" s="79"/>
      <c r="EB763" s="79" t="s">
        <v>182</v>
      </c>
      <c r="EC763" s="79" t="s">
        <v>5344</v>
      </c>
      <c r="ED763" s="79"/>
      <c r="EE763" s="79" t="str">
        <f t="shared" si="991"/>
        <v>Completo</v>
      </c>
      <c r="EF763" s="41"/>
      <c r="EG763" s="71" t="s">
        <v>153</v>
      </c>
      <c r="EI763" s="80"/>
      <c r="EJ763" s="71"/>
      <c r="EK763" s="79"/>
      <c r="EL763" s="87" t="str">
        <f t="shared" si="992"/>
        <v>No requiere</v>
      </c>
      <c r="EM763" s="87" t="str">
        <f t="shared" si="993"/>
        <v>No requiere</v>
      </c>
      <c r="EN763" s="87" t="str">
        <f t="shared" si="994"/>
        <v>No requiere</v>
      </c>
      <c r="EO763" s="71"/>
      <c r="EP763" s="84" t="str">
        <f t="shared" si="995"/>
        <v>No requiere</v>
      </c>
      <c r="EQ763" s="88" t="str">
        <f t="shared" si="996"/>
        <v>No requiere</v>
      </c>
      <c r="ER763" s="71"/>
      <c r="ES763" s="79"/>
      <c r="ET763" s="84" t="str">
        <f t="shared" si="997"/>
        <v>No requiere</v>
      </c>
      <c r="EU763" s="84" t="str">
        <f t="shared" si="998"/>
        <v>No requiere</v>
      </c>
      <c r="EV763" s="84" t="str">
        <f t="shared" si="999"/>
        <v>No requiere</v>
      </c>
      <c r="EW763" s="84" t="str">
        <f t="shared" si="581"/>
        <v>No requiere</v>
      </c>
      <c r="EX763" s="78"/>
      <c r="EY763" s="78"/>
    </row>
    <row r="764" spans="1:155" ht="56.25" customHeight="1">
      <c r="A764" s="79">
        <v>760</v>
      </c>
      <c r="B764" s="80" t="s">
        <v>5345</v>
      </c>
      <c r="C764" s="81">
        <v>45495</v>
      </c>
      <c r="D764" s="82">
        <v>0.52083333333333337</v>
      </c>
      <c r="E764" s="79" t="s">
        <v>151</v>
      </c>
      <c r="F764" s="79" t="s">
        <v>153</v>
      </c>
      <c r="G764" s="79" t="s">
        <v>153</v>
      </c>
      <c r="H764" s="79" t="s">
        <v>152</v>
      </c>
      <c r="I764" s="79" t="s">
        <v>152</v>
      </c>
      <c r="J764" s="79" t="s">
        <v>3999</v>
      </c>
      <c r="K764" s="79" t="s">
        <v>155</v>
      </c>
      <c r="L764" s="80" t="s">
        <v>5346</v>
      </c>
      <c r="M764" s="80" t="s">
        <v>241</v>
      </c>
      <c r="N764" s="79" t="s">
        <v>1387</v>
      </c>
      <c r="O764" s="80" t="str">
        <f t="shared" si="986"/>
        <v/>
      </c>
      <c r="P764" s="79"/>
      <c r="Q764" s="79"/>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t="s">
        <v>304</v>
      </c>
      <c r="AP764" s="79"/>
      <c r="AQ764" s="80" t="s">
        <v>5347</v>
      </c>
      <c r="AR764" s="83" t="s">
        <v>5348</v>
      </c>
      <c r="AS764" s="80" t="s">
        <v>5349</v>
      </c>
      <c r="AT764" s="80" t="str">
        <f t="shared" si="950"/>
        <v>Barrios Unidos</v>
      </c>
      <c r="AU764" s="79" t="s">
        <v>1031</v>
      </c>
      <c r="AV764" s="79"/>
      <c r="AW764" s="79"/>
      <c r="AX764" s="79"/>
      <c r="AY764" s="79"/>
      <c r="AZ764" s="79"/>
      <c r="BA764" s="80" t="str">
        <f t="shared" si="1000"/>
        <v>Centro Ampliado</v>
      </c>
      <c r="BB764" s="79" t="s">
        <v>636</v>
      </c>
      <c r="BC764" s="79"/>
      <c r="BD764" s="79"/>
      <c r="BE764" s="79"/>
      <c r="BF764" s="79"/>
      <c r="BG764" s="79"/>
      <c r="BH764" s="80" t="str">
        <f t="shared" si="1001"/>
        <v>Barrios Unidos</v>
      </c>
      <c r="BI764" s="79" t="s">
        <v>1031</v>
      </c>
      <c r="BJ764" s="79"/>
      <c r="BK764" s="79"/>
      <c r="BL764" s="79"/>
      <c r="BM764" s="79"/>
      <c r="BN764" s="79"/>
      <c r="BO764" s="79"/>
      <c r="BP764" s="79"/>
      <c r="BQ764" s="79"/>
      <c r="BR764" s="79"/>
      <c r="BS764" s="80" t="s">
        <v>5039</v>
      </c>
      <c r="BT764" s="80" t="s">
        <v>174</v>
      </c>
      <c r="BU764" s="80" t="s">
        <v>5350</v>
      </c>
      <c r="BV764" s="71"/>
      <c r="BW764" s="79" t="s">
        <v>152</v>
      </c>
      <c r="BX764" s="79" t="s">
        <v>179</v>
      </c>
      <c r="BY764" s="71"/>
      <c r="BZ764" s="79">
        <v>2</v>
      </c>
      <c r="CA764" s="79">
        <v>1</v>
      </c>
      <c r="CB764" s="79">
        <f t="shared" si="987"/>
        <v>3</v>
      </c>
      <c r="CC764" s="79" t="str">
        <f t="shared" si="382"/>
        <v>Ninguna</v>
      </c>
      <c r="CD764" s="79" t="s">
        <v>174</v>
      </c>
      <c r="CE764" s="79"/>
      <c r="CF764" s="79"/>
      <c r="CG764" s="83" t="s">
        <v>5351</v>
      </c>
      <c r="CH764" s="41"/>
      <c r="CI764" s="79" t="s">
        <v>153</v>
      </c>
      <c r="CJ764" s="71"/>
      <c r="CK764" s="79">
        <f t="shared" si="988"/>
        <v>0</v>
      </c>
      <c r="CL764" s="79"/>
      <c r="CM764" s="79"/>
      <c r="CN764" s="79"/>
      <c r="CO764" s="79"/>
      <c r="CP764" s="79"/>
      <c r="CQ764" s="79"/>
      <c r="CR764" s="83" t="s">
        <v>1545</v>
      </c>
      <c r="CS764" s="83" t="s">
        <v>1545</v>
      </c>
      <c r="CT764" s="83" t="s">
        <v>1545</v>
      </c>
      <c r="CU764" s="83" t="s">
        <v>1545</v>
      </c>
      <c r="CV764" s="83" t="s">
        <v>1545</v>
      </c>
      <c r="CW764" s="83" t="s">
        <v>1545</v>
      </c>
      <c r="CX764" s="79" t="s">
        <v>153</v>
      </c>
      <c r="CY764" s="79">
        <f t="shared" si="1002"/>
        <v>0</v>
      </c>
      <c r="CZ764" s="79">
        <v>0</v>
      </c>
      <c r="DA764" s="79">
        <f t="shared" si="1003"/>
        <v>0</v>
      </c>
      <c r="DB764" s="84" t="str">
        <f t="shared" si="989"/>
        <v/>
      </c>
      <c r="DC764" s="41"/>
      <c r="DD764" s="79" t="s">
        <v>153</v>
      </c>
      <c r="DE764" s="71"/>
      <c r="DF764" s="127" t="s">
        <v>5352</v>
      </c>
      <c r="DG764" s="79">
        <v>752</v>
      </c>
      <c r="DH764" s="86" t="str">
        <f t="shared" si="990"/>
        <v>Completo</v>
      </c>
      <c r="DI764" s="79" t="s">
        <v>181</v>
      </c>
      <c r="DJ764" s="79" t="s">
        <v>182</v>
      </c>
      <c r="DK764" s="79"/>
      <c r="DL764" s="79">
        <v>0</v>
      </c>
      <c r="DM764" s="79">
        <v>0</v>
      </c>
      <c r="DN764" s="79" t="s">
        <v>182</v>
      </c>
      <c r="DO764" s="79"/>
      <c r="DP764" s="79"/>
      <c r="DQ764" s="79"/>
      <c r="DR764" s="75" t="str">
        <f t="shared" si="576"/>
        <v>No aplica</v>
      </c>
      <c r="DS764" s="79"/>
      <c r="DT764" s="79"/>
      <c r="DU764" s="75" t="str">
        <f t="shared" si="577"/>
        <v>No aplica</v>
      </c>
      <c r="DV764" s="79"/>
      <c r="DW764" s="79" t="s">
        <v>182</v>
      </c>
      <c r="DX764" s="79"/>
      <c r="DY764" s="79"/>
      <c r="DZ764" s="79"/>
      <c r="EA764" s="79"/>
      <c r="EB764" s="79" t="s">
        <v>182</v>
      </c>
      <c r="EC764" s="79" t="s">
        <v>5353</v>
      </c>
      <c r="ED764" s="79" t="s">
        <v>3866</v>
      </c>
      <c r="EE764" s="79" t="str">
        <f t="shared" si="991"/>
        <v>Completo</v>
      </c>
      <c r="EF764" s="41"/>
      <c r="EG764" s="79" t="s">
        <v>153</v>
      </c>
      <c r="EH764" s="71"/>
      <c r="EI764" s="80"/>
      <c r="EJ764" s="71"/>
      <c r="EK764" s="79"/>
      <c r="EL764" s="87" t="str">
        <f t="shared" si="992"/>
        <v>No requiere</v>
      </c>
      <c r="EM764" s="87" t="str">
        <f t="shared" si="993"/>
        <v>No requiere</v>
      </c>
      <c r="EN764" s="87" t="str">
        <f t="shared" si="994"/>
        <v>No requiere</v>
      </c>
      <c r="EO764" s="71"/>
      <c r="EP764" s="84" t="str">
        <f t="shared" si="995"/>
        <v>No requiere</v>
      </c>
      <c r="EQ764" s="88" t="str">
        <f t="shared" si="996"/>
        <v>No requiere</v>
      </c>
      <c r="ER764" s="71"/>
      <c r="ES764" s="79"/>
      <c r="ET764" s="84" t="str">
        <f t="shared" si="997"/>
        <v>No requiere</v>
      </c>
      <c r="EU764" s="84" t="str">
        <f t="shared" si="998"/>
        <v>No requiere</v>
      </c>
      <c r="EV764" s="84" t="str">
        <f t="shared" si="999"/>
        <v>No requiere</v>
      </c>
      <c r="EW764" s="84" t="str">
        <f t="shared" si="581"/>
        <v>No requiere</v>
      </c>
      <c r="EX764" s="78"/>
      <c r="EY764" s="78"/>
    </row>
    <row r="765" spans="1:155" ht="56.25" customHeight="1">
      <c r="A765" s="79">
        <v>761</v>
      </c>
      <c r="B765" s="80" t="s">
        <v>793</v>
      </c>
      <c r="C765" s="81">
        <v>45495</v>
      </c>
      <c r="D765" s="82">
        <v>0.58333333333333337</v>
      </c>
      <c r="E765" s="79" t="s">
        <v>200</v>
      </c>
      <c r="F765" s="79" t="s">
        <v>153</v>
      </c>
      <c r="G765" s="79" t="s">
        <v>152</v>
      </c>
      <c r="H765" s="79" t="s">
        <v>152</v>
      </c>
      <c r="I765" s="79" t="s">
        <v>152</v>
      </c>
      <c r="J765" s="79" t="s">
        <v>504</v>
      </c>
      <c r="K765" s="79" t="s">
        <v>202</v>
      </c>
      <c r="L765" s="80" t="s">
        <v>5354</v>
      </c>
      <c r="M765" s="80" t="s">
        <v>624</v>
      </c>
      <c r="N765" s="79" t="s">
        <v>645</v>
      </c>
      <c r="O765" s="80" t="str">
        <f t="shared" si="986"/>
        <v/>
      </c>
      <c r="P765" s="79"/>
      <c r="Q765" s="79"/>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t="s">
        <v>169</v>
      </c>
      <c r="AP765" s="79" t="s">
        <v>2702</v>
      </c>
      <c r="AQ765" s="80" t="s">
        <v>5355</v>
      </c>
      <c r="AR765" s="83" t="s">
        <v>5356</v>
      </c>
      <c r="AS765" s="80" t="s">
        <v>5357</v>
      </c>
      <c r="AT765" s="80" t="str">
        <f t="shared" si="950"/>
        <v>San Cristóbal</v>
      </c>
      <c r="AU765" s="79" t="s">
        <v>570</v>
      </c>
      <c r="AV765" s="79"/>
      <c r="AW765" s="79"/>
      <c r="AX765" s="79"/>
      <c r="AY765" s="79"/>
      <c r="AZ765" s="79"/>
      <c r="BA765" s="80" t="str">
        <f t="shared" si="1000"/>
        <v>Suroriente</v>
      </c>
      <c r="BB765" s="79" t="s">
        <v>218</v>
      </c>
      <c r="BC765" s="79"/>
      <c r="BD765" s="79"/>
      <c r="BE765" s="79"/>
      <c r="BF765" s="79"/>
      <c r="BG765" s="79"/>
      <c r="BH765" s="80" t="str">
        <f t="shared" si="1001"/>
        <v>San Cristobal</v>
      </c>
      <c r="BI765" s="79" t="s">
        <v>571</v>
      </c>
      <c r="BJ765" s="79"/>
      <c r="BK765" s="79"/>
      <c r="BL765" s="79"/>
      <c r="BM765" s="79"/>
      <c r="BN765" s="79"/>
      <c r="BO765" s="79"/>
      <c r="BP765" s="79"/>
      <c r="BQ765" s="79"/>
      <c r="BR765" s="79"/>
      <c r="BS765" s="80" t="s">
        <v>5358</v>
      </c>
      <c r="BT765" s="80" t="s">
        <v>4412</v>
      </c>
      <c r="BU765" s="128" t="s">
        <v>5359</v>
      </c>
      <c r="BV765" s="71"/>
      <c r="BW765" s="79" t="s">
        <v>152</v>
      </c>
      <c r="BX765" s="79" t="s">
        <v>179</v>
      </c>
      <c r="BY765" s="71"/>
      <c r="BZ765" s="79">
        <v>10</v>
      </c>
      <c r="CA765" s="79">
        <v>1</v>
      </c>
      <c r="CB765" s="79">
        <f t="shared" si="987"/>
        <v>11</v>
      </c>
      <c r="CC765" s="79" t="str">
        <f t="shared" si="382"/>
        <v>Ninguna</v>
      </c>
      <c r="CD765" s="79" t="s">
        <v>174</v>
      </c>
      <c r="CE765" s="79"/>
      <c r="CF765" s="79"/>
      <c r="CG765" s="83" t="s">
        <v>5360</v>
      </c>
      <c r="CH765" s="41"/>
      <c r="CI765" s="79" t="s">
        <v>153</v>
      </c>
      <c r="CJ765" s="71"/>
      <c r="CK765" s="79">
        <f t="shared" si="988"/>
        <v>0</v>
      </c>
      <c r="CL765" s="79"/>
      <c r="CM765" s="79"/>
      <c r="CN765" s="79"/>
      <c r="CO765" s="79"/>
      <c r="CP765" s="79"/>
      <c r="CQ765" s="79"/>
      <c r="CR765" s="83" t="s">
        <v>1545</v>
      </c>
      <c r="CS765" s="83" t="s">
        <v>1545</v>
      </c>
      <c r="CT765" s="83" t="s">
        <v>1545</v>
      </c>
      <c r="CU765" s="83" t="s">
        <v>1545</v>
      </c>
      <c r="CV765" s="83" t="s">
        <v>1545</v>
      </c>
      <c r="CW765" s="83" t="s">
        <v>1545</v>
      </c>
      <c r="CX765" s="79" t="s">
        <v>153</v>
      </c>
      <c r="CY765" s="79">
        <f t="shared" si="1002"/>
        <v>0</v>
      </c>
      <c r="CZ765" s="79">
        <v>0</v>
      </c>
      <c r="DA765" s="79">
        <f t="shared" si="1003"/>
        <v>0</v>
      </c>
      <c r="DB765" s="84" t="str">
        <f t="shared" si="989"/>
        <v/>
      </c>
      <c r="DC765" s="41"/>
      <c r="DD765" s="79" t="s">
        <v>153</v>
      </c>
      <c r="DE765" s="71"/>
      <c r="DF765" s="127" t="s">
        <v>5361</v>
      </c>
      <c r="DG765" s="79">
        <v>753</v>
      </c>
      <c r="DH765" s="86" t="str">
        <f t="shared" si="990"/>
        <v>Completo</v>
      </c>
      <c r="DI765" s="79" t="s">
        <v>181</v>
      </c>
      <c r="DJ765" s="79" t="s">
        <v>182</v>
      </c>
      <c r="DK765" s="79"/>
      <c r="DL765" s="79">
        <v>0</v>
      </c>
      <c r="DM765" s="79">
        <v>0</v>
      </c>
      <c r="DN765" s="79" t="s">
        <v>182</v>
      </c>
      <c r="DO765" s="79"/>
      <c r="DP765" s="79"/>
      <c r="DQ765" s="79"/>
      <c r="DR765" s="75" t="str">
        <f t="shared" si="576"/>
        <v>No aplica</v>
      </c>
      <c r="DS765" s="79"/>
      <c r="DT765" s="79"/>
      <c r="DU765" s="75" t="str">
        <f t="shared" si="577"/>
        <v>No aplica</v>
      </c>
      <c r="DV765" s="79" t="s">
        <v>182</v>
      </c>
      <c r="DW765" s="79" t="s">
        <v>182</v>
      </c>
      <c r="DX765" s="79"/>
      <c r="DY765" s="79"/>
      <c r="DZ765" s="79"/>
      <c r="EA765" s="79"/>
      <c r="EB765" s="79"/>
      <c r="EC765" s="79"/>
      <c r="ED765" s="79" t="s">
        <v>3728</v>
      </c>
      <c r="EE765" s="79" t="str">
        <f t="shared" si="991"/>
        <v>Completo</v>
      </c>
      <c r="EF765" s="41"/>
      <c r="EG765" s="79" t="s">
        <v>153</v>
      </c>
      <c r="EH765" s="71"/>
      <c r="EI765" s="80"/>
      <c r="EJ765" s="71"/>
      <c r="EK765" s="79"/>
      <c r="EL765" s="87" t="str">
        <f t="shared" si="992"/>
        <v>No requiere</v>
      </c>
      <c r="EM765" s="87" t="str">
        <f t="shared" si="993"/>
        <v>No requiere</v>
      </c>
      <c r="EN765" s="87" t="str">
        <f t="shared" si="994"/>
        <v>No requiere</v>
      </c>
      <c r="EO765" s="71"/>
      <c r="EP765" s="84" t="str">
        <f t="shared" si="995"/>
        <v>No requiere</v>
      </c>
      <c r="EQ765" s="88" t="str">
        <f t="shared" si="996"/>
        <v>No requiere</v>
      </c>
      <c r="ER765" s="71"/>
      <c r="ES765" s="79"/>
      <c r="ET765" s="84" t="str">
        <f t="shared" si="997"/>
        <v>No requiere</v>
      </c>
      <c r="EU765" s="84" t="str">
        <f t="shared" si="998"/>
        <v>No requiere</v>
      </c>
      <c r="EV765" s="84" t="str">
        <f t="shared" si="999"/>
        <v>No requiere</v>
      </c>
      <c r="EW765" s="84" t="str">
        <f t="shared" si="581"/>
        <v>No requiere</v>
      </c>
      <c r="EX765" s="78"/>
      <c r="EY765" s="78"/>
    </row>
    <row r="766" spans="1:155" ht="56.25" customHeight="1">
      <c r="A766" s="79">
        <v>762</v>
      </c>
      <c r="B766" s="80" t="s">
        <v>5362</v>
      </c>
      <c r="C766" s="81">
        <v>45495</v>
      </c>
      <c r="D766" s="82">
        <v>0.58333333333333337</v>
      </c>
      <c r="E766" s="79" t="s">
        <v>151</v>
      </c>
      <c r="F766" s="79" t="s">
        <v>153</v>
      </c>
      <c r="G766" s="79" t="s">
        <v>153</v>
      </c>
      <c r="H766" s="79" t="s">
        <v>152</v>
      </c>
      <c r="I766" s="79" t="s">
        <v>152</v>
      </c>
      <c r="J766" s="79" t="s">
        <v>3999</v>
      </c>
      <c r="K766" s="79" t="s">
        <v>202</v>
      </c>
      <c r="L766" s="80" t="s">
        <v>5363</v>
      </c>
      <c r="M766" s="80" t="s">
        <v>241</v>
      </c>
      <c r="N766" s="79" t="s">
        <v>328</v>
      </c>
      <c r="O766" s="80" t="str">
        <f t="shared" si="986"/>
        <v/>
      </c>
      <c r="P766" s="79"/>
      <c r="Q766" s="79"/>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t="s">
        <v>1226</v>
      </c>
      <c r="AP766" s="79"/>
      <c r="AQ766" s="80" t="s">
        <v>4060</v>
      </c>
      <c r="AR766" s="83" t="s">
        <v>4156</v>
      </c>
      <c r="AS766" s="80" t="s">
        <v>5364</v>
      </c>
      <c r="AT766" s="80" t="str">
        <f t="shared" si="950"/>
        <v>San Cristóbal</v>
      </c>
      <c r="AU766" s="79" t="s">
        <v>570</v>
      </c>
      <c r="AV766" s="79"/>
      <c r="AW766" s="79"/>
      <c r="AX766" s="79"/>
      <c r="AY766" s="79"/>
      <c r="AZ766" s="79"/>
      <c r="BA766" s="80" t="str">
        <f t="shared" si="1000"/>
        <v>Ruralidad</v>
      </c>
      <c r="BB766" s="79" t="s">
        <v>219</v>
      </c>
      <c r="BC766" s="79"/>
      <c r="BD766" s="79"/>
      <c r="BE766" s="79"/>
      <c r="BF766" s="79"/>
      <c r="BG766" s="79"/>
      <c r="BH766" s="80" t="str">
        <f t="shared" si="1001"/>
        <v>Cerros Orientales</v>
      </c>
      <c r="BI766" s="79" t="s">
        <v>361</v>
      </c>
      <c r="BJ766" s="79"/>
      <c r="BK766" s="79"/>
      <c r="BL766" s="79"/>
      <c r="BM766" s="79"/>
      <c r="BN766" s="79"/>
      <c r="BO766" s="79"/>
      <c r="BP766" s="79"/>
      <c r="BQ766" s="79"/>
      <c r="BR766" s="79"/>
      <c r="BS766" s="80" t="s">
        <v>5365</v>
      </c>
      <c r="BT766" s="80" t="s">
        <v>1798</v>
      </c>
      <c r="BU766" s="128" t="s">
        <v>3931</v>
      </c>
      <c r="BV766" s="71"/>
      <c r="BW766" s="79" t="s">
        <v>152</v>
      </c>
      <c r="BX766" s="79" t="s">
        <v>179</v>
      </c>
      <c r="BY766" s="71"/>
      <c r="BZ766" s="79">
        <v>1</v>
      </c>
      <c r="CA766" s="79">
        <v>2</v>
      </c>
      <c r="CB766" s="79">
        <f t="shared" si="987"/>
        <v>3</v>
      </c>
      <c r="CC766" s="79" t="str">
        <f t="shared" si="382"/>
        <v>Ninguna</v>
      </c>
      <c r="CD766" s="79" t="s">
        <v>174</v>
      </c>
      <c r="CE766" s="79"/>
      <c r="CF766" s="79"/>
      <c r="CG766" s="83" t="s">
        <v>5366</v>
      </c>
      <c r="CH766" s="41"/>
      <c r="CI766" s="79" t="s">
        <v>153</v>
      </c>
      <c r="CJ766" s="71"/>
      <c r="CK766" s="79">
        <v>1</v>
      </c>
      <c r="CL766" s="79" t="s">
        <v>5367</v>
      </c>
      <c r="CM766" s="79"/>
      <c r="CN766" s="79"/>
      <c r="CO766" s="79"/>
      <c r="CP766" s="79"/>
      <c r="CQ766" s="79"/>
      <c r="CR766" s="83" t="s">
        <v>390</v>
      </c>
      <c r="CS766" s="83"/>
      <c r="CT766" s="83"/>
      <c r="CU766" s="83"/>
      <c r="CV766" s="83"/>
      <c r="CW766" s="83"/>
      <c r="CX766" s="79"/>
      <c r="CY766" s="79">
        <f t="shared" si="1002"/>
        <v>1</v>
      </c>
      <c r="CZ766" s="79">
        <v>1</v>
      </c>
      <c r="DA766" s="79">
        <f t="shared" si="1003"/>
        <v>1</v>
      </c>
      <c r="DB766" s="84">
        <f t="shared" si="989"/>
        <v>1</v>
      </c>
      <c r="DC766" s="41"/>
      <c r="DD766" s="79" t="s">
        <v>153</v>
      </c>
      <c r="DE766" s="71"/>
      <c r="DF766" s="127" t="s">
        <v>5368</v>
      </c>
      <c r="DG766" s="79">
        <v>754</v>
      </c>
      <c r="DH766" s="86" t="str">
        <f t="shared" si="990"/>
        <v>Completo</v>
      </c>
      <c r="DI766" s="79" t="s">
        <v>181</v>
      </c>
      <c r="DJ766" s="79" t="s">
        <v>182</v>
      </c>
      <c r="DK766" s="79"/>
      <c r="DL766" s="79">
        <v>0</v>
      </c>
      <c r="DM766" s="79">
        <v>0</v>
      </c>
      <c r="DN766" s="79" t="s">
        <v>182</v>
      </c>
      <c r="DO766" s="79"/>
      <c r="DP766" s="79"/>
      <c r="DQ766" s="79"/>
      <c r="DR766" s="75" t="str">
        <f t="shared" si="576"/>
        <v>No aplica</v>
      </c>
      <c r="DS766" s="79"/>
      <c r="DT766" s="79"/>
      <c r="DU766" s="75" t="str">
        <f t="shared" si="577"/>
        <v>No aplica</v>
      </c>
      <c r="DV766" s="79" t="s">
        <v>182</v>
      </c>
      <c r="DW766" s="79" t="s">
        <v>182</v>
      </c>
      <c r="DX766" s="79"/>
      <c r="DY766" s="79"/>
      <c r="DZ766" s="79"/>
      <c r="EA766" s="79"/>
      <c r="EB766" s="79"/>
      <c r="EC766" s="79"/>
      <c r="ED766" s="79" t="s">
        <v>3787</v>
      </c>
      <c r="EE766" s="79" t="str">
        <f t="shared" si="991"/>
        <v>Completo</v>
      </c>
      <c r="EF766" s="41"/>
      <c r="EG766" s="79" t="s">
        <v>153</v>
      </c>
      <c r="EH766" s="71"/>
      <c r="EI766" s="80"/>
      <c r="EJ766" s="71"/>
      <c r="EK766" s="79"/>
      <c r="EL766" s="87" t="str">
        <f t="shared" si="992"/>
        <v>No requiere</v>
      </c>
      <c r="EM766" s="87" t="str">
        <f t="shared" si="993"/>
        <v>No requiere</v>
      </c>
      <c r="EN766" s="87" t="str">
        <f t="shared" si="994"/>
        <v>No requiere</v>
      </c>
      <c r="EO766" s="71"/>
      <c r="EP766" s="84" t="str">
        <f t="shared" si="995"/>
        <v>No requiere</v>
      </c>
      <c r="EQ766" s="88" t="str">
        <f t="shared" si="996"/>
        <v>No requiere</v>
      </c>
      <c r="ER766" s="71"/>
      <c r="ES766" s="79"/>
      <c r="ET766" s="84" t="str">
        <f t="shared" si="997"/>
        <v>No requiere</v>
      </c>
      <c r="EU766" s="84" t="str">
        <f t="shared" si="998"/>
        <v>No requiere</v>
      </c>
      <c r="EV766" s="84" t="str">
        <f t="shared" si="999"/>
        <v>No requiere</v>
      </c>
      <c r="EW766" s="84" t="str">
        <f t="shared" si="581"/>
        <v>No requiere</v>
      </c>
      <c r="EX766" s="78"/>
      <c r="EY766" s="78"/>
    </row>
    <row r="767" spans="1:155" ht="46.5" customHeight="1">
      <c r="A767" s="79">
        <v>763</v>
      </c>
      <c r="B767" s="80" t="s">
        <v>5369</v>
      </c>
      <c r="C767" s="81">
        <v>45495</v>
      </c>
      <c r="D767" s="82">
        <v>0.58333333333333337</v>
      </c>
      <c r="E767" s="79" t="s">
        <v>151</v>
      </c>
      <c r="F767" s="79" t="s">
        <v>153</v>
      </c>
      <c r="G767" s="79" t="s">
        <v>153</v>
      </c>
      <c r="H767" s="79" t="s">
        <v>153</v>
      </c>
      <c r="I767" s="79" t="s">
        <v>152</v>
      </c>
      <c r="J767" s="79" t="s">
        <v>1711</v>
      </c>
      <c r="K767" s="79" t="s">
        <v>155</v>
      </c>
      <c r="L767" s="80" t="s">
        <v>5370</v>
      </c>
      <c r="M767" s="80" t="s">
        <v>229</v>
      </c>
      <c r="N767" s="79" t="s">
        <v>887</v>
      </c>
      <c r="O767" s="80" t="s">
        <v>163</v>
      </c>
      <c r="P767" s="79" t="s">
        <v>163</v>
      </c>
      <c r="Q767" s="79" t="s">
        <v>167</v>
      </c>
      <c r="R767" s="79" t="s">
        <v>675</v>
      </c>
      <c r="S767" s="79" t="s">
        <v>924</v>
      </c>
      <c r="T767" s="79" t="s">
        <v>265</v>
      </c>
      <c r="U767" s="79" t="s">
        <v>5244</v>
      </c>
      <c r="V767" s="79"/>
      <c r="W767" s="79"/>
      <c r="X767" s="79"/>
      <c r="Y767" s="79"/>
      <c r="Z767" s="79"/>
      <c r="AA767" s="79"/>
      <c r="AB767" s="79"/>
      <c r="AC767" s="79"/>
      <c r="AD767" s="79"/>
      <c r="AE767" s="79"/>
      <c r="AF767" s="79"/>
      <c r="AG767" s="79"/>
      <c r="AH767" s="79"/>
      <c r="AI767" s="79"/>
      <c r="AJ767" s="79"/>
      <c r="AK767" s="79"/>
      <c r="AL767" s="79"/>
      <c r="AM767" s="79"/>
      <c r="AN767" s="79"/>
      <c r="AO767" s="79" t="s">
        <v>230</v>
      </c>
      <c r="AP767" s="79" t="s">
        <v>347</v>
      </c>
      <c r="AQ767" s="80" t="s">
        <v>1192</v>
      </c>
      <c r="AR767" s="83" t="s">
        <v>5004</v>
      </c>
      <c r="AS767" s="80" t="s">
        <v>5005</v>
      </c>
      <c r="AT767" s="80" t="str">
        <f>_xlfn.TEXTJOIN(", ",TRUE,$AU767:$AY767)</f>
        <v>Distrital</v>
      </c>
      <c r="AU767" s="79" t="s">
        <v>172</v>
      </c>
      <c r="AV767" s="79"/>
      <c r="AW767" s="79"/>
      <c r="AX767" s="79"/>
      <c r="AY767" s="79"/>
      <c r="AZ767" s="79"/>
      <c r="BA767" s="80" t="str">
        <f>_xlfn.TEXTJOIN(", ",TRUE,$BB767:$BG767)</f>
        <v>Distrital</v>
      </c>
      <c r="BB767" s="79" t="s">
        <v>172</v>
      </c>
      <c r="BC767" s="79"/>
      <c r="BD767" s="79"/>
      <c r="BE767" s="79"/>
      <c r="BF767" s="79"/>
      <c r="BG767" s="79"/>
      <c r="BH767" s="80" t="str">
        <f>_xlfn.TEXTJOIN(", ",TRUE,$BI767:$BR767)</f>
        <v>Distrital</v>
      </c>
      <c r="BI767" s="79" t="s">
        <v>172</v>
      </c>
      <c r="BJ767" s="79"/>
      <c r="BK767" s="79"/>
      <c r="BL767" s="79"/>
      <c r="BM767" s="79"/>
      <c r="BN767" s="79"/>
      <c r="BO767" s="79"/>
      <c r="BP767" s="79"/>
      <c r="BQ767" s="79"/>
      <c r="BR767" s="79"/>
      <c r="BS767" s="80" t="s">
        <v>5006</v>
      </c>
      <c r="BT767" s="80" t="s">
        <v>174</v>
      </c>
      <c r="BU767" s="80" t="s">
        <v>5370</v>
      </c>
      <c r="BV767" s="71"/>
      <c r="BW767" s="79" t="s">
        <v>152</v>
      </c>
      <c r="BX767" s="79" t="s">
        <v>179</v>
      </c>
      <c r="BY767" s="71"/>
      <c r="BZ767" s="79">
        <v>21</v>
      </c>
      <c r="CA767" s="79">
        <v>11</v>
      </c>
      <c r="CB767" s="79">
        <f>BZ767+CA767</f>
        <v>32</v>
      </c>
      <c r="CC767" s="79" t="str">
        <f>_xlfn.TEXTJOIN(", ",TRUE,$CD767:$CF767)</f>
        <v>Ninguna</v>
      </c>
      <c r="CD767" s="79" t="s">
        <v>174</v>
      </c>
      <c r="CE767" s="79"/>
      <c r="CF767" s="79"/>
      <c r="CG767" s="83" t="s">
        <v>5371</v>
      </c>
      <c r="CH767" s="41"/>
      <c r="CI767" s="79" t="s">
        <v>153</v>
      </c>
      <c r="CJ767" s="71"/>
      <c r="CK767" s="79">
        <f>COUNTIF(CL767:CQ767,"*")</f>
        <v>0</v>
      </c>
      <c r="CL767" s="79"/>
      <c r="CM767" s="79"/>
      <c r="CN767" s="79"/>
      <c r="CO767" s="79"/>
      <c r="CP767" s="79"/>
      <c r="CQ767" s="79"/>
      <c r="CR767" s="83" t="s">
        <v>179</v>
      </c>
      <c r="CS767" s="83" t="s">
        <v>179</v>
      </c>
      <c r="CT767" s="83" t="s">
        <v>179</v>
      </c>
      <c r="CU767" s="83" t="s">
        <v>179</v>
      </c>
      <c r="CV767" s="83" t="s">
        <v>179</v>
      </c>
      <c r="CW767" s="83" t="s">
        <v>179</v>
      </c>
      <c r="CX767" s="79" t="s">
        <v>153</v>
      </c>
      <c r="CY767" s="79">
        <f>SUM(COUNTIF(CR767:CW767,"Realizado y Devuelto a la Ciudadanía"),COUNTIF(CR767:CW767,"Realizado y Trasladado por competencia"), COUNTIF(CR767:CW767,"Realizado y Gestionado"))</f>
        <v>0</v>
      </c>
      <c r="CZ767" s="79">
        <v>0</v>
      </c>
      <c r="DA767" s="79">
        <f>COUNTIF(CR767:CW767,"Realizado y Devuelto a la Ciudadanía")</f>
        <v>0</v>
      </c>
      <c r="DB767" s="84" t="str">
        <f>IFERROR(CY767/CK767,"")</f>
        <v/>
      </c>
      <c r="DC767" s="41"/>
      <c r="DD767" s="79" t="s">
        <v>153</v>
      </c>
      <c r="DE767" s="71"/>
      <c r="DF767" s="160" t="s">
        <v>5372</v>
      </c>
      <c r="DG767" s="79">
        <v>755</v>
      </c>
      <c r="DH767" s="86" t="str">
        <f>IF(EE767="Por completar",C767+3,"Completo")</f>
        <v>Completo</v>
      </c>
      <c r="DI767" s="79" t="s">
        <v>181</v>
      </c>
      <c r="DJ767" s="79" t="s">
        <v>182</v>
      </c>
      <c r="DK767" s="79" t="s">
        <v>153</v>
      </c>
      <c r="DL767" s="79">
        <v>0</v>
      </c>
      <c r="DM767" s="79">
        <v>0</v>
      </c>
      <c r="DN767" s="79" t="s">
        <v>182</v>
      </c>
      <c r="DO767" s="79"/>
      <c r="DP767" s="79" t="s">
        <v>191</v>
      </c>
      <c r="DQ767" s="79"/>
      <c r="DR767" s="75">
        <f>IF(H767="SÍ", (DQ767/(BZ767*0.3)), "No aplica")</f>
        <v>0</v>
      </c>
      <c r="DS767" s="79" t="s">
        <v>191</v>
      </c>
      <c r="DT767" s="79"/>
      <c r="DU767" s="75">
        <f>IF(H767="SÍ", (DT767/(BZ767*0.35)), "No aplica")</f>
        <v>0</v>
      </c>
      <c r="DV767" s="79" t="s">
        <v>191</v>
      </c>
      <c r="DW767" s="79" t="s">
        <v>182</v>
      </c>
      <c r="DX767" s="79"/>
      <c r="DY767" s="79"/>
      <c r="DZ767" s="79"/>
      <c r="EA767" s="79" t="s">
        <v>179</v>
      </c>
      <c r="EB767" s="79"/>
      <c r="EC767" s="79"/>
      <c r="ED767" s="79" t="s">
        <v>5373</v>
      </c>
      <c r="EE767" s="79" t="str">
        <f>IF(DI767="Subsanado","Completo","Por Completar")</f>
        <v>Completo</v>
      </c>
      <c r="EF767" s="41"/>
      <c r="EG767" s="79" t="s">
        <v>153</v>
      </c>
      <c r="EH767" s="71"/>
      <c r="EI767" s="80"/>
      <c r="EJ767" s="71"/>
      <c r="EK767" s="79" t="s">
        <v>393</v>
      </c>
      <c r="EL767" s="87" t="str">
        <f>IF(F767="NO","No requiere",IF(H767="No","No requiere",IF(DW767="","",IF(DW767&lt;&gt;"No aplica",IF(DX767&lt;&gt;"No aplica",IF(DX767&gt;=2,"Sí","No"),"No aplica"),"No aplica"))))</f>
        <v>No</v>
      </c>
      <c r="EM767" s="87" t="str">
        <f>IF(F767="NO","No requiere",IF(H767="No","No requiere",IF(DW767="","",IF(DW767&lt;&gt;"No aplica",IF(DY767&lt;&gt;"No aplica",IF(DY767&gt;=1,"Sí","No"),"No aplica"),"No aplica"))))</f>
        <v>No</v>
      </c>
      <c r="EN767" s="87" t="str">
        <f>IF(F767="NO","No requiere",IF(H767="No","No requiere",IF(CC767="","",IF(CD767&lt;&gt;"No aplica",IF(CD767&lt;&gt;"Ninguna",IF(COUNTIF(CD767:CF767,"*")&gt;=1,"Sí","No"),"No"),"No aplica"))))</f>
        <v>No</v>
      </c>
      <c r="EO767" s="71"/>
      <c r="EP767" s="84" t="str">
        <f>IF(F767="NO","No requiere",IF(H767="No","No requiere",IF(DL767="","",IF(DL767&gt;=1,DM767/DL767,"No aplica"))))</f>
        <v>No aplica</v>
      </c>
      <c r="EQ767" s="88">
        <f>IFERROR(IF(F767="NO","No requiere",IF(H767="No","No requiere",DU767)),"")</f>
        <v>0</v>
      </c>
      <c r="ER767" s="71"/>
      <c r="ES767" s="79" t="s">
        <v>393</v>
      </c>
      <c r="ET767" s="84">
        <f>IF(F767="NO","No requiere",IF(H767="No","No requiere",IFERROR(COUNTIF(DJ767:DW767,"Completo")/SUM(COUNTIF(DJ767:DW767,"Completo"),COUNTIF(DJ767:DW767,"Incompleto"),COUNTIF(DJ767:DW767,"No subido"),COUNTIF(DJ767:DW767,"No existente"),COUNTIF(DJ767:DW767,"Pendiente")),"")))</f>
        <v>0.5</v>
      </c>
      <c r="EU767" s="84" t="str">
        <f>IF(F767="NO","No requiere",IF(H767="No","No requiere",IF(B767="","",IF(CX767="SÍ",IF(CK767&gt;=1,CY767/CK767,"Sin compromisos"),"Por verificar"))))</f>
        <v>Sin compromisos</v>
      </c>
      <c r="EV767" s="84" t="str">
        <f>IF(EU767="Por verificar","Por verificar",IF(F767="NO","No requiere",IF(H767="No","No requiere",IFERROR(IF(EU767="","",IF(CK767&gt;=1,DA767/CZ767,"No aplica")),"No aplica"))))</f>
        <v>No aplica</v>
      </c>
      <c r="EW767" s="84" t="str">
        <f>IF(F767="NO","No requiere",IF(H767="No","No requiere",IFERROR(IF(BZ767="","",IF(EA767&lt;&gt;"No aplica",IF(EA767&gt;=1,DO767/EA767,"0%"),"No aplica")),"")))</f>
        <v>No aplica</v>
      </c>
      <c r="EX767" s="78"/>
      <c r="EY767" s="78"/>
    </row>
    <row r="768" spans="1:155" ht="46.5" customHeight="1">
      <c r="A768" s="79">
        <v>764</v>
      </c>
      <c r="B768" s="80" t="s">
        <v>5374</v>
      </c>
      <c r="C768" s="81">
        <v>45495</v>
      </c>
      <c r="D768" s="82">
        <v>0.59375</v>
      </c>
      <c r="E768" s="79" t="s">
        <v>151</v>
      </c>
      <c r="F768" s="79" t="s">
        <v>153</v>
      </c>
      <c r="G768" s="79" t="s">
        <v>152</v>
      </c>
      <c r="H768" s="79" t="s">
        <v>152</v>
      </c>
      <c r="I768" s="79" t="s">
        <v>152</v>
      </c>
      <c r="J768" s="79" t="s">
        <v>251</v>
      </c>
      <c r="K768" s="79" t="s">
        <v>155</v>
      </c>
      <c r="L768" s="80" t="s">
        <v>5375</v>
      </c>
      <c r="M768" s="80" t="s">
        <v>624</v>
      </c>
      <c r="N768" s="79" t="s">
        <v>820</v>
      </c>
      <c r="O768" s="80" t="str">
        <f>_xlfn.TEXTJOIN(", ",TRUE,P768:AN768)</f>
        <v>Carlos Eduardo Escandón</v>
      </c>
      <c r="P768" s="79" t="s">
        <v>819</v>
      </c>
      <c r="Q768" s="79"/>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t="s">
        <v>169</v>
      </c>
      <c r="AP768" s="79" t="s">
        <v>170</v>
      </c>
      <c r="AQ768" s="80" t="s">
        <v>5376</v>
      </c>
      <c r="AR768" s="83" t="s">
        <v>5377</v>
      </c>
      <c r="AS768" s="80" t="s">
        <v>5377</v>
      </c>
      <c r="AT768" s="80" t="str">
        <f t="shared" si="545"/>
        <v>Distrital</v>
      </c>
      <c r="AU768" s="79" t="s">
        <v>172</v>
      </c>
      <c r="AV768" s="79"/>
      <c r="AW768" s="79"/>
      <c r="AX768" s="79"/>
      <c r="AY768" s="79"/>
      <c r="AZ768" s="79"/>
      <c r="BA768" s="80" t="str">
        <f t="shared" si="562"/>
        <v>Distrital</v>
      </c>
      <c r="BB768" s="79" t="s">
        <v>172</v>
      </c>
      <c r="BC768" s="79"/>
      <c r="BD768" s="79"/>
      <c r="BE768" s="79"/>
      <c r="BF768" s="79"/>
      <c r="BG768" s="79"/>
      <c r="BH768" s="80" t="str">
        <f t="shared" si="563"/>
        <v>Distrital</v>
      </c>
      <c r="BI768" s="79" t="s">
        <v>172</v>
      </c>
      <c r="BJ768" s="79"/>
      <c r="BK768" s="79"/>
      <c r="BL768" s="79"/>
      <c r="BM768" s="79"/>
      <c r="BN768" s="79"/>
      <c r="BO768" s="79"/>
      <c r="BP768" s="79"/>
      <c r="BQ768" s="79"/>
      <c r="BR768" s="79"/>
      <c r="BS768" s="80" t="s">
        <v>288</v>
      </c>
      <c r="BT768" s="80" t="s">
        <v>2757</v>
      </c>
      <c r="BU768" s="80" t="s">
        <v>5378</v>
      </c>
      <c r="BV768" s="71"/>
      <c r="BW768" s="79" t="s">
        <v>152</v>
      </c>
      <c r="BX768" s="79" t="s">
        <v>179</v>
      </c>
      <c r="BY768" s="71"/>
      <c r="BZ768" s="79">
        <v>0</v>
      </c>
      <c r="CA768" s="79">
        <v>9</v>
      </c>
      <c r="CB768" s="79">
        <f t="shared" ref="CB768:CB786" si="1023">BZ768+CA768</f>
        <v>9</v>
      </c>
      <c r="CC768" s="79" t="str">
        <f t="shared" si="382"/>
        <v>Ninguna</v>
      </c>
      <c r="CD768" s="79" t="s">
        <v>174</v>
      </c>
      <c r="CE768" s="79"/>
      <c r="CF768" s="79"/>
      <c r="CG768" s="83" t="s">
        <v>5379</v>
      </c>
      <c r="CH768" s="41"/>
      <c r="CI768" s="79" t="s">
        <v>153</v>
      </c>
      <c r="CJ768" s="71"/>
      <c r="CK768" s="79">
        <f t="shared" ref="CK768:CK786" si="1024">COUNTIF(CL768:CQ768,"*")</f>
        <v>0</v>
      </c>
      <c r="CL768" s="79"/>
      <c r="CM768" s="79"/>
      <c r="CN768" s="79"/>
      <c r="CO768" s="79"/>
      <c r="CP768" s="79"/>
      <c r="CQ768" s="79"/>
      <c r="CR768" s="83" t="s">
        <v>179</v>
      </c>
      <c r="CS768" s="83" t="s">
        <v>179</v>
      </c>
      <c r="CT768" s="83" t="s">
        <v>179</v>
      </c>
      <c r="CU768" s="83" t="s">
        <v>179</v>
      </c>
      <c r="CV768" s="83" t="s">
        <v>179</v>
      </c>
      <c r="CW768" s="83" t="s">
        <v>179</v>
      </c>
      <c r="CX768" s="79" t="s">
        <v>153</v>
      </c>
      <c r="CY768" s="79">
        <f t="shared" ref="CY768:CY786" si="1025">SUM(COUNTIF(CR768:CW768,"Realizado y Devuelto a la Ciudadanía"),COUNTIF(CR768:CW768,"Realizado y Trasladado por competencia"), COUNTIF(CR768:CW768,"Realizado y Gestionado"))</f>
        <v>0</v>
      </c>
      <c r="CZ768" s="79">
        <v>0</v>
      </c>
      <c r="DA768" s="79">
        <f t="shared" ref="DA768:DA786" si="1026">COUNTIF(CR768:CW768,"Realizado y Devuelto a la Ciudadanía")</f>
        <v>0</v>
      </c>
      <c r="DB768" s="84" t="str">
        <f t="shared" ref="DB768:DB786" si="1027">IFERROR(CY768/CK768,"")</f>
        <v/>
      </c>
      <c r="DC768" s="41"/>
      <c r="DD768" s="79" t="s">
        <v>153</v>
      </c>
      <c r="DE768" s="71"/>
      <c r="DF768" s="127" t="s">
        <v>5380</v>
      </c>
      <c r="DG768" s="79">
        <v>756</v>
      </c>
      <c r="DH768" s="86" t="str">
        <f t="shared" ref="DH768:DH776" si="1028">IF(EE768="Por completar",C768+3,"Completo")</f>
        <v>Completo</v>
      </c>
      <c r="DI768" s="79" t="s">
        <v>181</v>
      </c>
      <c r="DJ768" s="79" t="s">
        <v>182</v>
      </c>
      <c r="DK768" s="79"/>
      <c r="DL768" s="79">
        <v>0</v>
      </c>
      <c r="DM768" s="79">
        <v>0</v>
      </c>
      <c r="DN768" s="79" t="s">
        <v>182</v>
      </c>
      <c r="DO768" s="79"/>
      <c r="DP768" s="79"/>
      <c r="DQ768" s="79"/>
      <c r="DR768" s="75" t="str">
        <f t="shared" si="576"/>
        <v>No aplica</v>
      </c>
      <c r="DS768" s="79"/>
      <c r="DT768" s="79"/>
      <c r="DU768" s="75" t="str">
        <f t="shared" si="577"/>
        <v>No aplica</v>
      </c>
      <c r="DV768" s="79" t="s">
        <v>182</v>
      </c>
      <c r="DW768" s="79" t="s">
        <v>182</v>
      </c>
      <c r="DX768" s="79"/>
      <c r="DY768" s="79"/>
      <c r="DZ768" s="79"/>
      <c r="EA768" s="79"/>
      <c r="EB768" s="79"/>
      <c r="EC768" s="79"/>
      <c r="ED768" s="79" t="s">
        <v>3866</v>
      </c>
      <c r="EE768" s="79" t="str">
        <f t="shared" ref="EE768:EE786" si="1029">IF(DI768="Subsanado","Completo","Por Completar")</f>
        <v>Completo</v>
      </c>
      <c r="EF768" s="41"/>
      <c r="EG768" s="79" t="s">
        <v>153</v>
      </c>
      <c r="EH768" s="71"/>
      <c r="EI768" s="80"/>
      <c r="EJ768" s="71"/>
      <c r="EK768" s="79"/>
      <c r="EL768" s="87" t="str">
        <f t="shared" ref="EL768:EL776" si="1030">IF(F768="NO","No requiere",IF(H768="No","No requiere",IF(DW768="","",IF(DW768&lt;&gt;"No aplica",IF(DX768&lt;&gt;"No aplica",IF(DX768&gt;=2,"Sí","No"),"No aplica"),"No aplica"))))</f>
        <v>No requiere</v>
      </c>
      <c r="EM768" s="87" t="str">
        <f t="shared" ref="EM768:EM776" si="1031">IF(F768="NO","No requiere",IF(H768="No","No requiere",IF(DW768="","",IF(DW768&lt;&gt;"No aplica",IF(DY768&lt;&gt;"No aplica",IF(DY768&gt;=1,"Sí","No"),"No aplica"),"No aplica"))))</f>
        <v>No requiere</v>
      </c>
      <c r="EN768" s="87" t="str">
        <f t="shared" ref="EN768:EN786" si="1032">IF(F768="NO","No requiere",IF(H768="No","No requiere",IF(CC768="","",IF(CD768&lt;&gt;"No aplica",IF(CD768&lt;&gt;"Ninguna",IF(COUNTIF(CD768:CF768,"*")&gt;=1,"Sí","No"),"No"),"No aplica"))))</f>
        <v>No requiere</v>
      </c>
      <c r="EO768" s="71"/>
      <c r="EP768" s="84" t="str">
        <f t="shared" ref="EP768:EP776" si="1033">IF(F768="NO","No requiere",IF(H768="No","No requiere",IF(DL768="","",IF(DL768&gt;=1,DM768/DL768,"No aplica"))))</f>
        <v>No requiere</v>
      </c>
      <c r="EQ768" s="88" t="str">
        <f t="shared" ref="EQ768:EQ776" si="1034">IFERROR(IF(F768="NO","No requiere",IF(H768="No","No requiere",DU768)),"")</f>
        <v>No requiere</v>
      </c>
      <c r="ER768" s="71"/>
      <c r="ES768" s="79"/>
      <c r="ET768" s="84" t="str">
        <f t="shared" ref="ET768:ET776" si="1035">IF(F768="NO","No requiere",IF(H768="No","No requiere",IFERROR(COUNTIF(DJ768:DW768,"Completo")/SUM(COUNTIF(DJ768:DW768,"Completo"),COUNTIF(DJ768:DW768,"Incompleto"),COUNTIF(DJ768:DW768,"No subido"),COUNTIF(DJ768:DW768,"No existente"),COUNTIF(DJ768:DW768,"Pendiente")),"")))</f>
        <v>No requiere</v>
      </c>
      <c r="EU768" s="84" t="str">
        <f t="shared" ref="EU768:EU786" si="1036">IF(F768="NO","No requiere",IF(H768="No","No requiere",IF(B768="","",IF(CX768="SÍ",IF(CK768&gt;=1,CY768/CK768,"Sin compromisos"),"Por verificar"))))</f>
        <v>No requiere</v>
      </c>
      <c r="EV768" s="84" t="str">
        <f t="shared" ref="EV768:EV776" si="1037">IF(EU768="Por verificar","Por verificar",IF(F768="NO","No requiere",IF(H768="No","No requiere",IFERROR(IF(EU768="","",IF(CK768&gt;=1,DA768/CZ768,"No aplica")),"No aplica"))))</f>
        <v>No requiere</v>
      </c>
      <c r="EW768" s="84" t="str">
        <f t="shared" si="581"/>
        <v>No requiere</v>
      </c>
      <c r="EX768" s="78"/>
      <c r="EY768" s="78"/>
    </row>
    <row r="769" spans="1:215" ht="46.5" customHeight="1">
      <c r="A769" s="79">
        <v>765</v>
      </c>
      <c r="B769" s="80" t="s">
        <v>3211</v>
      </c>
      <c r="C769" s="81">
        <v>45495</v>
      </c>
      <c r="D769" s="82">
        <v>0.70833333333333337</v>
      </c>
      <c r="E769" s="79" t="s">
        <v>200</v>
      </c>
      <c r="F769" s="79" t="s">
        <v>153</v>
      </c>
      <c r="G769" s="79" t="s">
        <v>152</v>
      </c>
      <c r="H769" s="79" t="s">
        <v>152</v>
      </c>
      <c r="I769" s="79" t="s">
        <v>152</v>
      </c>
      <c r="J769" s="79" t="s">
        <v>211</v>
      </c>
      <c r="K769" s="79" t="s">
        <v>202</v>
      </c>
      <c r="L769" s="80" t="s">
        <v>5381</v>
      </c>
      <c r="M769" s="80" t="s">
        <v>624</v>
      </c>
      <c r="N769" s="79" t="s">
        <v>522</v>
      </c>
      <c r="O769" s="80" t="str">
        <f t="shared" ref="O769" si="1038">_xlfn.TEXTJOIN(", ",TRUE,P769:AN769)</f>
        <v>Diana Carolina Aristizábal</v>
      </c>
      <c r="P769" s="79" t="s">
        <v>165</v>
      </c>
      <c r="Q769" s="79"/>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t="s">
        <v>230</v>
      </c>
      <c r="AP769" s="79" t="s">
        <v>242</v>
      </c>
      <c r="AQ769" s="80" t="s">
        <v>1945</v>
      </c>
      <c r="AR769" s="83" t="s">
        <v>4456</v>
      </c>
      <c r="AS769" s="80" t="s">
        <v>5382</v>
      </c>
      <c r="AT769" s="80" t="str">
        <f t="shared" si="950"/>
        <v>Distrital</v>
      </c>
      <c r="AU769" s="79" t="s">
        <v>172</v>
      </c>
      <c r="AV769" s="79"/>
      <c r="AW769" s="79"/>
      <c r="AX769" s="79"/>
      <c r="AY769" s="79"/>
      <c r="AZ769" s="79"/>
      <c r="BA769" s="80" t="str">
        <f t="shared" si="1000"/>
        <v>Distrital</v>
      </c>
      <c r="BB769" s="79" t="s">
        <v>172</v>
      </c>
      <c r="BC769" s="79"/>
      <c r="BD769" s="79"/>
      <c r="BE769" s="79"/>
      <c r="BF769" s="79"/>
      <c r="BG769" s="79"/>
      <c r="BH769" s="80" t="str">
        <f t="shared" si="1001"/>
        <v>Distrital</v>
      </c>
      <c r="BI769" s="79" t="s">
        <v>172</v>
      </c>
      <c r="BJ769" s="79"/>
      <c r="BK769" s="79"/>
      <c r="BL769" s="79"/>
      <c r="BM769" s="79"/>
      <c r="BN769" s="79"/>
      <c r="BO769" s="79"/>
      <c r="BP769" s="79"/>
      <c r="BQ769" s="79"/>
      <c r="BR769" s="79"/>
      <c r="BS769" s="80" t="s">
        <v>288</v>
      </c>
      <c r="BT769" s="80" t="s">
        <v>174</v>
      </c>
      <c r="BU769" s="128" t="s">
        <v>3931</v>
      </c>
      <c r="BV769" s="71"/>
      <c r="BW769" s="79" t="s">
        <v>152</v>
      </c>
      <c r="BX769" s="79" t="s">
        <v>179</v>
      </c>
      <c r="BY769" s="71"/>
      <c r="BZ769" s="79">
        <v>76</v>
      </c>
      <c r="CA769" s="79">
        <v>2</v>
      </c>
      <c r="CB769" s="79">
        <f t="shared" si="1023"/>
        <v>78</v>
      </c>
      <c r="CC769" s="79" t="str">
        <f t="shared" si="382"/>
        <v>Ninguna</v>
      </c>
      <c r="CD769" s="79" t="s">
        <v>174</v>
      </c>
      <c r="CE769" s="79"/>
      <c r="CF769" s="79"/>
      <c r="CG769" s="83" t="s">
        <v>5383</v>
      </c>
      <c r="CH769" s="41"/>
      <c r="CI769" s="79" t="s">
        <v>153</v>
      </c>
      <c r="CJ769" s="71"/>
      <c r="CK769" s="79">
        <f t="shared" si="1024"/>
        <v>0</v>
      </c>
      <c r="CL769" s="79"/>
      <c r="CM769" s="79"/>
      <c r="CN769" s="79"/>
      <c r="CO769" s="79"/>
      <c r="CP769" s="79"/>
      <c r="CQ769" s="79"/>
      <c r="CR769" s="83" t="s">
        <v>179</v>
      </c>
      <c r="CS769" s="83" t="s">
        <v>179</v>
      </c>
      <c r="CT769" s="83" t="s">
        <v>179</v>
      </c>
      <c r="CU769" s="83" t="s">
        <v>179</v>
      </c>
      <c r="CV769" s="83" t="s">
        <v>179</v>
      </c>
      <c r="CW769" s="83" t="s">
        <v>179</v>
      </c>
      <c r="CX769" s="79" t="s">
        <v>153</v>
      </c>
      <c r="CY769" s="79">
        <f t="shared" si="1025"/>
        <v>0</v>
      </c>
      <c r="CZ769" s="79">
        <v>0</v>
      </c>
      <c r="DA769" s="79">
        <f t="shared" si="1026"/>
        <v>0</v>
      </c>
      <c r="DB769" s="84" t="str">
        <f t="shared" si="1027"/>
        <v/>
      </c>
      <c r="DC769" s="41"/>
      <c r="DD769" s="79" t="s">
        <v>153</v>
      </c>
      <c r="DE769" s="71"/>
      <c r="DF769" s="127" t="s">
        <v>5384</v>
      </c>
      <c r="DG769" s="79">
        <v>757</v>
      </c>
      <c r="DH769" s="86" t="str">
        <f t="shared" si="1028"/>
        <v>Completo</v>
      </c>
      <c r="DI769" s="79" t="s">
        <v>181</v>
      </c>
      <c r="DJ769" s="79" t="s">
        <v>182</v>
      </c>
      <c r="DK769" s="79"/>
      <c r="DL769" s="79">
        <v>0</v>
      </c>
      <c r="DM769" s="79">
        <v>0</v>
      </c>
      <c r="DN769" s="79" t="s">
        <v>182</v>
      </c>
      <c r="DO769" s="79">
        <v>133</v>
      </c>
      <c r="DP769" s="79"/>
      <c r="DQ769" s="79"/>
      <c r="DR769" s="75" t="str">
        <f t="shared" si="576"/>
        <v>No aplica</v>
      </c>
      <c r="DS769" s="79"/>
      <c r="DT769" s="79"/>
      <c r="DU769" s="75" t="str">
        <f t="shared" si="577"/>
        <v>No aplica</v>
      </c>
      <c r="DV769" s="79" t="s">
        <v>182</v>
      </c>
      <c r="DW769" s="79" t="s">
        <v>182</v>
      </c>
      <c r="DX769" s="79"/>
      <c r="DY769" s="79"/>
      <c r="DZ769" s="79"/>
      <c r="EA769" s="79"/>
      <c r="EB769" s="79"/>
      <c r="EC769" s="79"/>
      <c r="ED769" s="79" t="s">
        <v>5385</v>
      </c>
      <c r="EE769" s="79" t="str">
        <f t="shared" si="1029"/>
        <v>Completo</v>
      </c>
      <c r="EF769" s="41"/>
      <c r="EG769" s="79" t="s">
        <v>153</v>
      </c>
      <c r="EH769" s="71"/>
      <c r="EI769" s="80"/>
      <c r="EJ769" s="71"/>
      <c r="EK769" s="79"/>
      <c r="EL769" s="87" t="str">
        <f t="shared" si="1030"/>
        <v>No requiere</v>
      </c>
      <c r="EM769" s="87" t="str">
        <f t="shared" si="1031"/>
        <v>No requiere</v>
      </c>
      <c r="EN769" s="87" t="str">
        <f t="shared" si="1032"/>
        <v>No requiere</v>
      </c>
      <c r="EO769" s="71"/>
      <c r="EP769" s="84" t="str">
        <f t="shared" si="1033"/>
        <v>No requiere</v>
      </c>
      <c r="EQ769" s="88" t="str">
        <f t="shared" si="1034"/>
        <v>No requiere</v>
      </c>
      <c r="ER769" s="71"/>
      <c r="ES769" s="79"/>
      <c r="ET769" s="84" t="str">
        <f t="shared" si="1035"/>
        <v>No requiere</v>
      </c>
      <c r="EU769" s="84" t="str">
        <f t="shared" si="1036"/>
        <v>No requiere</v>
      </c>
      <c r="EV769" s="84" t="str">
        <f t="shared" si="1037"/>
        <v>No requiere</v>
      </c>
      <c r="EW769" s="84" t="str">
        <f t="shared" si="581"/>
        <v>No requiere</v>
      </c>
      <c r="EX769" s="78"/>
      <c r="EY769" s="78"/>
    </row>
    <row r="770" spans="1:215" ht="46.5" customHeight="1">
      <c r="A770" s="79">
        <v>766</v>
      </c>
      <c r="B770" s="80" t="s">
        <v>5386</v>
      </c>
      <c r="C770" s="81">
        <v>45496</v>
      </c>
      <c r="D770" s="82">
        <v>0.375</v>
      </c>
      <c r="E770" s="79" t="s">
        <v>151</v>
      </c>
      <c r="F770" s="79" t="s">
        <v>153</v>
      </c>
      <c r="G770" s="79" t="s">
        <v>153</v>
      </c>
      <c r="H770" s="79" t="s">
        <v>152</v>
      </c>
      <c r="I770" s="79" t="s">
        <v>152</v>
      </c>
      <c r="J770" s="79" t="s">
        <v>3999</v>
      </c>
      <c r="K770" s="79" t="s">
        <v>202</v>
      </c>
      <c r="L770" s="80" t="s">
        <v>5387</v>
      </c>
      <c r="M770" s="80" t="s">
        <v>241</v>
      </c>
      <c r="N770" s="79" t="s">
        <v>328</v>
      </c>
      <c r="O770" s="80" t="str">
        <f t="shared" ref="O770" si="1039">_xlfn.TEXTJOIN(", ",TRUE,P770:AN770)</f>
        <v/>
      </c>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t="s">
        <v>230</v>
      </c>
      <c r="AP770" s="79" t="s">
        <v>231</v>
      </c>
      <c r="AQ770" s="80" t="s">
        <v>171</v>
      </c>
      <c r="AR770" s="80" t="s">
        <v>171</v>
      </c>
      <c r="AS770" s="80" t="s">
        <v>171</v>
      </c>
      <c r="AT770" s="80" t="str">
        <f t="shared" si="950"/>
        <v>Usaquén</v>
      </c>
      <c r="AU770" s="79" t="s">
        <v>661</v>
      </c>
      <c r="AV770" s="79"/>
      <c r="AW770" s="79"/>
      <c r="AX770" s="79"/>
      <c r="AY770" s="79"/>
      <c r="AZ770" s="79"/>
      <c r="BA770" s="80" t="str">
        <f t="shared" si="1000"/>
        <v>Ruralidad</v>
      </c>
      <c r="BB770" s="79" t="s">
        <v>219</v>
      </c>
      <c r="BC770" s="79"/>
      <c r="BD770" s="79"/>
      <c r="BE770" s="79"/>
      <c r="BF770" s="79"/>
      <c r="BG770" s="79"/>
      <c r="BH770" s="80" t="str">
        <f t="shared" si="1001"/>
        <v>Cerros Orientales</v>
      </c>
      <c r="BI770" s="79" t="s">
        <v>361</v>
      </c>
      <c r="BJ770" s="79"/>
      <c r="BK770" s="79"/>
      <c r="BL770" s="79"/>
      <c r="BM770" s="79"/>
      <c r="BN770" s="79"/>
      <c r="BO770" s="79"/>
      <c r="BP770" s="79"/>
      <c r="BQ770" s="79"/>
      <c r="BR770" s="79"/>
      <c r="BS770" s="80" t="s">
        <v>1863</v>
      </c>
      <c r="BT770" s="80" t="s">
        <v>174</v>
      </c>
      <c r="BU770" s="80" t="s">
        <v>5388</v>
      </c>
      <c r="BV770" s="71"/>
      <c r="BW770" s="79" t="s">
        <v>152</v>
      </c>
      <c r="BX770" s="79" t="s">
        <v>179</v>
      </c>
      <c r="BY770" s="71"/>
      <c r="BZ770" s="79">
        <v>3</v>
      </c>
      <c r="CA770" s="79">
        <v>1</v>
      </c>
      <c r="CB770" s="79">
        <f t="shared" si="1023"/>
        <v>4</v>
      </c>
      <c r="CC770" s="79" t="str">
        <f t="shared" si="382"/>
        <v>Ninguna</v>
      </c>
      <c r="CD770" s="79" t="s">
        <v>174</v>
      </c>
      <c r="CE770" s="79"/>
      <c r="CF770" s="79"/>
      <c r="CG770" s="83" t="s">
        <v>979</v>
      </c>
      <c r="CH770" s="41"/>
      <c r="CI770" s="79"/>
      <c r="CJ770" s="71"/>
      <c r="CK770" s="79">
        <f t="shared" si="1024"/>
        <v>0</v>
      </c>
      <c r="CL770" s="79"/>
      <c r="CM770" s="79"/>
      <c r="CN770" s="79"/>
      <c r="CO770" s="79"/>
      <c r="CP770" s="79"/>
      <c r="CQ770" s="79"/>
      <c r="CR770" s="83" t="s">
        <v>1545</v>
      </c>
      <c r="CS770" s="83" t="s">
        <v>1545</v>
      </c>
      <c r="CT770" s="83" t="s">
        <v>1545</v>
      </c>
      <c r="CU770" s="83" t="s">
        <v>1545</v>
      </c>
      <c r="CV770" s="83" t="s">
        <v>1545</v>
      </c>
      <c r="CW770" s="83" t="s">
        <v>1545</v>
      </c>
      <c r="CX770" s="79" t="s">
        <v>153</v>
      </c>
      <c r="CY770" s="79">
        <f t="shared" si="1025"/>
        <v>0</v>
      </c>
      <c r="CZ770" s="79">
        <v>0</v>
      </c>
      <c r="DA770" s="79">
        <f t="shared" si="1026"/>
        <v>0</v>
      </c>
      <c r="DB770" s="84" t="str">
        <f t="shared" si="1027"/>
        <v/>
      </c>
      <c r="DC770" s="41"/>
      <c r="DD770" s="79" t="s">
        <v>153</v>
      </c>
      <c r="DE770" s="71"/>
      <c r="DF770" s="133" t="s">
        <v>5389</v>
      </c>
      <c r="DG770" s="79">
        <v>758</v>
      </c>
      <c r="DH770" s="86" t="str">
        <f t="shared" si="1028"/>
        <v>Completo</v>
      </c>
      <c r="DI770" s="79" t="s">
        <v>181</v>
      </c>
      <c r="DJ770" s="79" t="s">
        <v>182</v>
      </c>
      <c r="DK770" s="79"/>
      <c r="DL770" s="79">
        <v>0</v>
      </c>
      <c r="DM770" s="79">
        <v>0</v>
      </c>
      <c r="DN770" s="79" t="s">
        <v>182</v>
      </c>
      <c r="DO770" s="79"/>
      <c r="DP770" s="79"/>
      <c r="DQ770" s="79"/>
      <c r="DR770" s="75" t="str">
        <f t="shared" si="576"/>
        <v>No aplica</v>
      </c>
      <c r="DS770" s="79"/>
      <c r="DT770" s="79"/>
      <c r="DU770" s="75" t="str">
        <f t="shared" si="577"/>
        <v>No aplica</v>
      </c>
      <c r="DV770" s="79" t="s">
        <v>182</v>
      </c>
      <c r="DW770" s="79"/>
      <c r="DX770" s="79"/>
      <c r="DY770" s="79"/>
      <c r="DZ770" s="79"/>
      <c r="EA770" s="79"/>
      <c r="EB770" s="79" t="s">
        <v>182</v>
      </c>
      <c r="EC770" s="79" t="s">
        <v>5390</v>
      </c>
      <c r="ED770" s="79" t="s">
        <v>3787</v>
      </c>
      <c r="EE770" s="79" t="str">
        <f t="shared" si="1029"/>
        <v>Completo</v>
      </c>
      <c r="EF770" s="41"/>
      <c r="EG770" s="79" t="s">
        <v>153</v>
      </c>
      <c r="EH770" s="71"/>
      <c r="EI770" s="80"/>
      <c r="EJ770" s="71"/>
      <c r="EK770" s="79"/>
      <c r="EL770" s="87" t="str">
        <f t="shared" si="1030"/>
        <v>No requiere</v>
      </c>
      <c r="EM770" s="87" t="str">
        <f t="shared" si="1031"/>
        <v>No requiere</v>
      </c>
      <c r="EN770" s="87" t="str">
        <f t="shared" si="1032"/>
        <v>No requiere</v>
      </c>
      <c r="EO770" s="71"/>
      <c r="EP770" s="84" t="str">
        <f t="shared" si="1033"/>
        <v>No requiere</v>
      </c>
      <c r="EQ770" s="88" t="str">
        <f t="shared" si="1034"/>
        <v>No requiere</v>
      </c>
      <c r="ER770" s="71"/>
      <c r="ES770" s="79"/>
      <c r="ET770" s="84" t="str">
        <f t="shared" si="1035"/>
        <v>No requiere</v>
      </c>
      <c r="EU770" s="84" t="str">
        <f t="shared" si="1036"/>
        <v>No requiere</v>
      </c>
      <c r="EV770" s="84" t="str">
        <f t="shared" si="1037"/>
        <v>No requiere</v>
      </c>
      <c r="EW770" s="84" t="str">
        <f t="shared" si="581"/>
        <v>No requiere</v>
      </c>
      <c r="EX770" s="78"/>
      <c r="EY770" s="78"/>
    </row>
    <row r="771" spans="1:215" ht="58.5" customHeight="1">
      <c r="A771" s="79">
        <v>767</v>
      </c>
      <c r="B771" s="80" t="s">
        <v>5279</v>
      </c>
      <c r="C771" s="81">
        <v>45496</v>
      </c>
      <c r="D771" s="82">
        <v>0.70833333333333337</v>
      </c>
      <c r="E771" s="79" t="s">
        <v>200</v>
      </c>
      <c r="F771" s="79" t="s">
        <v>153</v>
      </c>
      <c r="G771" s="79" t="s">
        <v>152</v>
      </c>
      <c r="H771" s="79" t="s">
        <v>152</v>
      </c>
      <c r="I771" s="79" t="s">
        <v>152</v>
      </c>
      <c r="J771" s="79" t="s">
        <v>211</v>
      </c>
      <c r="K771" s="79" t="s">
        <v>202</v>
      </c>
      <c r="L771" s="80" t="s">
        <v>5280</v>
      </c>
      <c r="M771" s="80" t="s">
        <v>624</v>
      </c>
      <c r="N771" s="79" t="s">
        <v>888</v>
      </c>
      <c r="O771" s="80" t="str">
        <f>_xlfn.TEXTJOIN(", ",TRUE,P771:AN771)</f>
        <v>PENDIENTE</v>
      </c>
      <c r="P771" s="79" t="s">
        <v>196</v>
      </c>
      <c r="Q771" s="79"/>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t="s">
        <v>230</v>
      </c>
      <c r="AP771" s="79" t="s">
        <v>242</v>
      </c>
      <c r="AQ771" s="80" t="s">
        <v>4631</v>
      </c>
      <c r="AR771" s="83" t="s">
        <v>4456</v>
      </c>
      <c r="AS771" s="80" t="s">
        <v>682</v>
      </c>
      <c r="AT771" s="80" t="str">
        <f>_xlfn.TEXTJOIN(", ",TRUE,$AU771:$AY771)</f>
        <v>Distrital</v>
      </c>
      <c r="AU771" s="79" t="s">
        <v>172</v>
      </c>
      <c r="AV771" s="79"/>
      <c r="AW771" s="79"/>
      <c r="AX771" s="79"/>
      <c r="AY771" s="79"/>
      <c r="AZ771" s="79"/>
      <c r="BA771" s="80" t="str">
        <f>_xlfn.TEXTJOIN(", ",TRUE,$BB771:$BG771)</f>
        <v>Distrital</v>
      </c>
      <c r="BB771" s="79" t="s">
        <v>172</v>
      </c>
      <c r="BC771" s="79"/>
      <c r="BD771" s="79"/>
      <c r="BE771" s="79"/>
      <c r="BF771" s="79"/>
      <c r="BG771" s="79"/>
      <c r="BH771" s="80" t="str">
        <f>_xlfn.TEXTJOIN(", ",TRUE,$BI771:$BR771)</f>
        <v>Distrital</v>
      </c>
      <c r="BI771" s="79" t="s">
        <v>172</v>
      </c>
      <c r="BJ771" s="79"/>
      <c r="BK771" s="79"/>
      <c r="BL771" s="79"/>
      <c r="BM771" s="79"/>
      <c r="BN771" s="79"/>
      <c r="BO771" s="79"/>
      <c r="BP771" s="79"/>
      <c r="BQ771" s="79"/>
      <c r="BR771" s="79"/>
      <c r="BS771" s="80" t="s">
        <v>288</v>
      </c>
      <c r="BT771" s="80" t="s">
        <v>174</v>
      </c>
      <c r="BU771" s="128" t="s">
        <v>5391</v>
      </c>
      <c r="BV771" s="71"/>
      <c r="BW771" s="79" t="s">
        <v>152</v>
      </c>
      <c r="BX771" s="79" t="s">
        <v>179</v>
      </c>
      <c r="BY771" s="71"/>
      <c r="BZ771" s="79">
        <v>73</v>
      </c>
      <c r="CA771" s="79">
        <v>2</v>
      </c>
      <c r="CB771" s="79">
        <f>BZ771+CA771</f>
        <v>75</v>
      </c>
      <c r="CC771" s="79" t="str">
        <f>_xlfn.TEXTJOIN(", ",TRUE,$CD771:$CF771)</f>
        <v>Ninguna</v>
      </c>
      <c r="CD771" s="79" t="s">
        <v>174</v>
      </c>
      <c r="CE771" s="79"/>
      <c r="CF771" s="79"/>
      <c r="CG771" s="83" t="s">
        <v>5392</v>
      </c>
      <c r="CH771" s="41"/>
      <c r="CI771" s="79" t="s">
        <v>153</v>
      </c>
      <c r="CJ771" s="71"/>
      <c r="CK771" s="79">
        <f>COUNTIF(CL771:CQ771,"*")</f>
        <v>0</v>
      </c>
      <c r="CL771" s="79"/>
      <c r="CM771" s="79"/>
      <c r="CN771" s="79"/>
      <c r="CO771" s="79"/>
      <c r="CP771" s="79"/>
      <c r="CQ771" s="79"/>
      <c r="CR771" s="83"/>
      <c r="CS771" s="83"/>
      <c r="CT771" s="83"/>
      <c r="CU771" s="83"/>
      <c r="CV771" s="83"/>
      <c r="CW771" s="83"/>
      <c r="CX771" s="79"/>
      <c r="CY771" s="79">
        <f>SUM(COUNTIF(CR771:CW771,"Realizado y Devuelto a la Ciudadanía"),COUNTIF(CR771:CW771,"Realizado y Trasladado por competencia"), COUNTIF(CR771:CW771,"Realizado y Gestionado"))</f>
        <v>0</v>
      </c>
      <c r="CZ771" s="79">
        <v>0</v>
      </c>
      <c r="DA771" s="79">
        <f>COUNTIF(CR771:CW771,"Realizado y Devuelto a la Ciudadanía")</f>
        <v>0</v>
      </c>
      <c r="DB771" s="84" t="str">
        <f>IFERROR(CY771/CK771,"")</f>
        <v/>
      </c>
      <c r="DC771" s="41"/>
      <c r="DD771" s="79"/>
      <c r="DE771" s="71"/>
      <c r="DF771" s="127" t="s">
        <v>5393</v>
      </c>
      <c r="DG771" s="79">
        <v>759</v>
      </c>
      <c r="DH771" s="86">
        <f>IF(EE771="Por completar",C771+3,"Completo")</f>
        <v>45499</v>
      </c>
      <c r="DI771" s="79" t="s">
        <v>1246</v>
      </c>
      <c r="DJ771" s="79" t="s">
        <v>2659</v>
      </c>
      <c r="DK771" s="79"/>
      <c r="DL771" s="79">
        <v>0</v>
      </c>
      <c r="DM771" s="79">
        <v>0</v>
      </c>
      <c r="DN771" s="79" t="s">
        <v>182</v>
      </c>
      <c r="DO771" s="79"/>
      <c r="DP771" s="79"/>
      <c r="DQ771" s="79"/>
      <c r="DR771" s="75" t="str">
        <f>IF(H771="SÍ", (DQ771/(BZ771*0.3)), "No aplica")</f>
        <v>No aplica</v>
      </c>
      <c r="DS771" s="79"/>
      <c r="DT771" s="79"/>
      <c r="DU771" s="75" t="str">
        <f>IF(H771="SÍ", (DT771/(BZ771*0.35)), "No aplica")</f>
        <v>No aplica</v>
      </c>
      <c r="DV771" s="79" t="s">
        <v>182</v>
      </c>
      <c r="DW771" s="79" t="s">
        <v>182</v>
      </c>
      <c r="DX771" s="79"/>
      <c r="DY771" s="79"/>
      <c r="DZ771" s="79"/>
      <c r="EA771" s="79"/>
      <c r="EB771" s="79" t="s">
        <v>182</v>
      </c>
      <c r="EC771" s="79" t="s">
        <v>5283</v>
      </c>
      <c r="ED771" s="79" t="s">
        <v>5284</v>
      </c>
      <c r="EE771" s="79" t="str">
        <f>IF(DI771="Subsanado","Completo","Por Completar")</f>
        <v>Por Completar</v>
      </c>
      <c r="EF771" s="41"/>
      <c r="EG771" s="79" t="s">
        <v>152</v>
      </c>
      <c r="EH771" s="71"/>
      <c r="EI771" s="80"/>
      <c r="EJ771" s="71"/>
      <c r="EK771" s="79"/>
      <c r="EL771" s="87" t="str">
        <f>IF(F771="NO","No requiere",IF(H771="No","No requiere",IF(DW771="","",IF(DW771&lt;&gt;"No aplica",IF(DX771&lt;&gt;"No aplica",IF(DX771&gt;=2,"Sí","No"),"No aplica"),"No aplica"))))</f>
        <v>No requiere</v>
      </c>
      <c r="EM771" s="87" t="str">
        <f>IF(F771="NO","No requiere",IF(H771="No","No requiere",IF(DW771="","",IF(DW771&lt;&gt;"No aplica",IF(DY771&lt;&gt;"No aplica",IF(DY771&gt;=1,"Sí","No"),"No aplica"),"No aplica"))))</f>
        <v>No requiere</v>
      </c>
      <c r="EN771" s="87" t="str">
        <f>IF(F771="NO","No requiere",IF(H771="No","No requiere",IF(CC771="","",IF(CD771&lt;&gt;"No aplica",IF(CD771&lt;&gt;"Ninguna",IF(COUNTIF(CD771:CF771,"*")&gt;=1,"Sí","No"),"No"),"No aplica"))))</f>
        <v>No requiere</v>
      </c>
      <c r="EO771" s="71"/>
      <c r="EP771" s="84" t="str">
        <f>IF(F771="NO","No requiere",IF(H771="No","No requiere",IF(DL771="","",IF(DL771&gt;=1,DM771/DL771,"No aplica"))))</f>
        <v>No requiere</v>
      </c>
      <c r="EQ771" s="88" t="str">
        <f>IFERROR(IF(F771="NO","No requiere",IF(H771="No","No requiere",DU771)),"")</f>
        <v>No requiere</v>
      </c>
      <c r="ER771" s="71"/>
      <c r="ES771" s="79"/>
      <c r="ET771" s="84" t="str">
        <f>IF(F771="NO","No requiere",IF(H771="No","No requiere",IFERROR(COUNTIF(DJ771:DW771,"Completo")/SUM(COUNTIF(DJ771:DW771,"Completo"),COUNTIF(DJ771:DW771,"Incompleto"),COUNTIF(DJ771:DW771,"No subido"),COUNTIF(DJ771:DW771,"No existente"),COUNTIF(DJ771:DW771,"Pendiente")),"")))</f>
        <v>No requiere</v>
      </c>
      <c r="EU771" s="84" t="str">
        <f>IF(F771="NO","No requiere",IF(H771="No","No requiere",IF(B771="","",IF(CX771="SÍ",IF(CK771&gt;=1,CY771/CK771,"Sin compromisos"),"Por verificar"))))</f>
        <v>No requiere</v>
      </c>
      <c r="EV771" s="84" t="str">
        <f>IF(EU771="Por verificar","Por verificar",IF(F771="NO","No requiere",IF(H771="No","No requiere",IFERROR(IF(EU771="","",IF(CK771&gt;=1,DA771/CZ771,"No aplica")),"No aplica"))))</f>
        <v>No requiere</v>
      </c>
      <c r="EW771" s="84" t="str">
        <f>IF(F771="NO","No requiere",IF(H771="No","No requiere",IFERROR(IF(BZ771="","",IF(EA771&lt;&gt;"No aplica",IF(EA771&gt;=1,DO771/EA771,"0%"),"No aplica")),"")))</f>
        <v>No requiere</v>
      </c>
      <c r="EX771" s="78"/>
      <c r="EY771" s="78"/>
    </row>
    <row r="772" spans="1:215" s="197" customFormat="1" ht="58.5" customHeight="1">
      <c r="A772" s="129">
        <v>768</v>
      </c>
      <c r="B772" s="148" t="s">
        <v>5394</v>
      </c>
      <c r="C772" s="149">
        <v>45497</v>
      </c>
      <c r="D772" s="150">
        <v>0.3125</v>
      </c>
      <c r="E772" s="129" t="s">
        <v>151</v>
      </c>
      <c r="F772" s="129" t="s">
        <v>153</v>
      </c>
      <c r="G772" s="129" t="s">
        <v>153</v>
      </c>
      <c r="H772" s="129" t="s">
        <v>153</v>
      </c>
      <c r="I772" s="129" t="s">
        <v>152</v>
      </c>
      <c r="J772" s="129" t="s">
        <v>154</v>
      </c>
      <c r="K772" s="129" t="s">
        <v>155</v>
      </c>
      <c r="L772" s="148" t="s">
        <v>4764</v>
      </c>
      <c r="M772" s="148" t="s">
        <v>241</v>
      </c>
      <c r="N772" s="129" t="s">
        <v>632</v>
      </c>
      <c r="O772" s="148" t="str">
        <f t="shared" ref="O772" si="1040">_xlfn.TEXTJOIN(", ",TRUE,P772:AN772)</f>
        <v>Nixon Sandoval Mateus, Nicolás Enrique Moncaleano</v>
      </c>
      <c r="P772" s="129" t="s">
        <v>644</v>
      </c>
      <c r="Q772" s="129" t="s">
        <v>966</v>
      </c>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t="s">
        <v>304</v>
      </c>
      <c r="AP772" s="129"/>
      <c r="AQ772" s="148" t="s">
        <v>4163</v>
      </c>
      <c r="AR772" s="152" t="s">
        <v>4992</v>
      </c>
      <c r="AS772" s="148" t="s">
        <v>4993</v>
      </c>
      <c r="AT772" s="148" t="str">
        <f t="shared" ref="AT772" si="1041">_xlfn.TEXTJOIN(", ",TRUE,$AU772:$AY772)</f>
        <v>Distrital</v>
      </c>
      <c r="AU772" s="129" t="s">
        <v>172</v>
      </c>
      <c r="AV772" s="129"/>
      <c r="AW772" s="129"/>
      <c r="AX772" s="129"/>
      <c r="AY772" s="129"/>
      <c r="AZ772" s="129"/>
      <c r="BA772" s="148" t="str">
        <f t="shared" ref="BA772" si="1042">_xlfn.TEXTJOIN(", ",TRUE,$BB772:$BG772)</f>
        <v>Distrital</v>
      </c>
      <c r="BB772" s="129" t="s">
        <v>172</v>
      </c>
      <c r="BC772" s="129"/>
      <c r="BD772" s="129"/>
      <c r="BE772" s="129"/>
      <c r="BF772" s="129"/>
      <c r="BG772" s="129"/>
      <c r="BH772" s="148" t="str">
        <f t="shared" ref="BH772" si="1043">_xlfn.TEXTJOIN(", ",TRUE,$BI772:$BR772)</f>
        <v>Distrital</v>
      </c>
      <c r="BI772" s="129" t="s">
        <v>172</v>
      </c>
      <c r="BJ772" s="129"/>
      <c r="BK772" s="129"/>
      <c r="BL772" s="129"/>
      <c r="BM772" s="129"/>
      <c r="BN772" s="129"/>
      <c r="BO772" s="129"/>
      <c r="BP772" s="129"/>
      <c r="BQ772" s="129"/>
      <c r="BR772" s="129"/>
      <c r="BS772" s="148" t="s">
        <v>5395</v>
      </c>
      <c r="BT772" s="148" t="s">
        <v>386</v>
      </c>
      <c r="BU772" s="148" t="s">
        <v>5396</v>
      </c>
      <c r="BV772" s="151"/>
      <c r="BW772" s="129" t="s">
        <v>153</v>
      </c>
      <c r="BX772" s="129" t="s">
        <v>4242</v>
      </c>
      <c r="BY772" s="151"/>
      <c r="BZ772" s="129">
        <v>58</v>
      </c>
      <c r="CA772" s="129">
        <v>14</v>
      </c>
      <c r="CB772" s="129">
        <f t="shared" si="1023"/>
        <v>72</v>
      </c>
      <c r="CC772" s="129" t="str">
        <f t="shared" si="382"/>
        <v>Contenidos adaptados</v>
      </c>
      <c r="CD772" s="129" t="s">
        <v>350</v>
      </c>
      <c r="CE772" s="129"/>
      <c r="CF772" s="129"/>
      <c r="CG772" s="152" t="s">
        <v>5397</v>
      </c>
      <c r="CH772" s="153"/>
      <c r="CI772" s="129" t="s">
        <v>153</v>
      </c>
      <c r="CJ772" s="151"/>
      <c r="CK772" s="129">
        <f t="shared" si="1024"/>
        <v>1</v>
      </c>
      <c r="CL772" s="129" t="s">
        <v>5398</v>
      </c>
      <c r="CM772" s="129"/>
      <c r="CN772" s="129"/>
      <c r="CO772" s="129"/>
      <c r="CP772" s="129"/>
      <c r="CQ772" s="129"/>
      <c r="CR772" s="152" t="s">
        <v>390</v>
      </c>
      <c r="CS772" s="152" t="s">
        <v>179</v>
      </c>
      <c r="CT772" s="152" t="s">
        <v>179</v>
      </c>
      <c r="CU772" s="152" t="s">
        <v>179</v>
      </c>
      <c r="CV772" s="152" t="s">
        <v>179</v>
      </c>
      <c r="CW772" s="152" t="s">
        <v>179</v>
      </c>
      <c r="CX772" s="129" t="s">
        <v>153</v>
      </c>
      <c r="CY772" s="129">
        <f t="shared" si="1025"/>
        <v>1</v>
      </c>
      <c r="CZ772" s="129">
        <v>0</v>
      </c>
      <c r="DA772" s="129">
        <f t="shared" si="1026"/>
        <v>1</v>
      </c>
      <c r="DB772" s="154">
        <f t="shared" si="1027"/>
        <v>1</v>
      </c>
      <c r="DC772" s="153"/>
      <c r="DD772" s="129" t="s">
        <v>153</v>
      </c>
      <c r="DE772" s="71"/>
      <c r="DF772" s="198" t="s">
        <v>5399</v>
      </c>
      <c r="DG772" s="79">
        <v>760</v>
      </c>
      <c r="DH772" s="155" t="str">
        <f t="shared" si="1028"/>
        <v>Completo</v>
      </c>
      <c r="DI772" s="129" t="s">
        <v>181</v>
      </c>
      <c r="DJ772" s="129" t="s">
        <v>182</v>
      </c>
      <c r="DK772" s="129" t="s">
        <v>153</v>
      </c>
      <c r="DL772" s="129">
        <v>5</v>
      </c>
      <c r="DM772" s="129">
        <v>5</v>
      </c>
      <c r="DN772" s="129" t="s">
        <v>182</v>
      </c>
      <c r="DO772" s="129"/>
      <c r="DP772" s="129" t="s">
        <v>182</v>
      </c>
      <c r="DQ772" s="129">
        <v>14</v>
      </c>
      <c r="DR772" s="156">
        <f t="shared" si="576"/>
        <v>0.8045977011494253</v>
      </c>
      <c r="DS772" s="129" t="s">
        <v>182</v>
      </c>
      <c r="DT772" s="129">
        <v>22</v>
      </c>
      <c r="DU772" s="156">
        <f t="shared" si="577"/>
        <v>1.0837438423645323</v>
      </c>
      <c r="DV772" s="129" t="s">
        <v>182</v>
      </c>
      <c r="DW772" s="129" t="s">
        <v>182</v>
      </c>
      <c r="DX772" s="129">
        <v>1</v>
      </c>
      <c r="DY772" s="129"/>
      <c r="DZ772" s="129"/>
      <c r="EA772" s="129"/>
      <c r="EB772" s="129"/>
      <c r="EC772" s="129"/>
      <c r="ED772" s="129" t="s">
        <v>3990</v>
      </c>
      <c r="EE772" s="129" t="str">
        <f t="shared" si="1029"/>
        <v>Completo</v>
      </c>
      <c r="EF772" s="153"/>
      <c r="EG772" s="129" t="s">
        <v>152</v>
      </c>
      <c r="EH772" s="151"/>
      <c r="EI772" s="311" t="s">
        <v>5400</v>
      </c>
      <c r="EJ772" s="151"/>
      <c r="EK772" s="129"/>
      <c r="EL772" s="157" t="str">
        <f t="shared" si="1030"/>
        <v>No</v>
      </c>
      <c r="EM772" s="157" t="str">
        <f t="shared" si="1031"/>
        <v>No</v>
      </c>
      <c r="EN772" s="157" t="str">
        <f t="shared" si="1032"/>
        <v>Sí</v>
      </c>
      <c r="EO772" s="151"/>
      <c r="EP772" s="154">
        <f t="shared" si="1033"/>
        <v>1</v>
      </c>
      <c r="EQ772" s="158">
        <f t="shared" si="1034"/>
        <v>1.0837438423645323</v>
      </c>
      <c r="ER772" s="151"/>
      <c r="ES772" s="129"/>
      <c r="ET772" s="154">
        <f t="shared" si="1035"/>
        <v>1</v>
      </c>
      <c r="EU772" s="154">
        <f t="shared" si="1036"/>
        <v>1</v>
      </c>
      <c r="EV772" s="154" t="str">
        <f t="shared" si="1037"/>
        <v>No aplica</v>
      </c>
      <c r="EW772" s="154" t="str">
        <f t="shared" si="581"/>
        <v>0%</v>
      </c>
      <c r="EX772" s="159"/>
      <c r="EY772" s="159"/>
    </row>
    <row r="773" spans="1:215" s="197" customFormat="1" ht="58.5" customHeight="1">
      <c r="A773" s="79">
        <v>769</v>
      </c>
      <c r="B773" s="80" t="s">
        <v>5401</v>
      </c>
      <c r="C773" s="81">
        <v>45497</v>
      </c>
      <c r="D773" s="82">
        <v>0.45833333333333331</v>
      </c>
      <c r="E773" s="79" t="s">
        <v>151</v>
      </c>
      <c r="F773" s="79" t="s">
        <v>153</v>
      </c>
      <c r="G773" s="79" t="s">
        <v>153</v>
      </c>
      <c r="H773" s="79" t="s">
        <v>152</v>
      </c>
      <c r="I773" s="79" t="s">
        <v>152</v>
      </c>
      <c r="J773" s="79" t="s">
        <v>3297</v>
      </c>
      <c r="K773" s="79" t="s">
        <v>155</v>
      </c>
      <c r="L773" s="80" t="s">
        <v>5402</v>
      </c>
      <c r="M773" s="80" t="s">
        <v>624</v>
      </c>
      <c r="N773" s="79" t="s">
        <v>195</v>
      </c>
      <c r="O773" s="80" t="s">
        <v>4960</v>
      </c>
      <c r="P773" s="79" t="s">
        <v>4960</v>
      </c>
      <c r="Q773" s="79"/>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t="s">
        <v>169</v>
      </c>
      <c r="AP773" s="79"/>
      <c r="AQ773" s="80" t="s">
        <v>171</v>
      </c>
      <c r="AR773" s="83" t="s">
        <v>171</v>
      </c>
      <c r="AS773" s="80" t="s">
        <v>171</v>
      </c>
      <c r="AT773" s="227" t="str">
        <f>_xlfn.TEXTJOIN(", ",TRUE,$AU773:$AY773)</f>
        <v>Distrital</v>
      </c>
      <c r="AU773" s="79" t="s">
        <v>172</v>
      </c>
      <c r="AV773" s="79"/>
      <c r="AW773" s="79"/>
      <c r="AX773" s="79"/>
      <c r="AY773" s="79"/>
      <c r="AZ773" s="79"/>
      <c r="BA773" s="227" t="str">
        <f>_xlfn.TEXTJOIN(", ",TRUE,$BB773:$BG773)</f>
        <v>Distrital</v>
      </c>
      <c r="BB773" s="79" t="s">
        <v>172</v>
      </c>
      <c r="BC773" s="79"/>
      <c r="BD773" s="79"/>
      <c r="BE773" s="79"/>
      <c r="BF773" s="79"/>
      <c r="BG773" s="79"/>
      <c r="BH773" s="80" t="str">
        <f>_xlfn.TEXTJOIN(", ",TRUE,$BI773:$BR773)</f>
        <v>Distrital</v>
      </c>
      <c r="BI773" s="79" t="s">
        <v>172</v>
      </c>
      <c r="BJ773" s="79"/>
      <c r="BK773" s="79"/>
      <c r="BL773" s="79"/>
      <c r="BM773" s="79"/>
      <c r="BN773" s="79"/>
      <c r="BO773" s="79"/>
      <c r="BP773" s="79"/>
      <c r="BQ773" s="79"/>
      <c r="BR773" s="79"/>
      <c r="BS773" s="80" t="s">
        <v>179</v>
      </c>
      <c r="BT773" s="80" t="s">
        <v>174</v>
      </c>
      <c r="BU773" s="80" t="s">
        <v>5403</v>
      </c>
      <c r="BV773" s="71"/>
      <c r="BW773" s="79" t="s">
        <v>152</v>
      </c>
      <c r="BX773" s="79" t="s">
        <v>179</v>
      </c>
      <c r="BY773" s="71"/>
      <c r="BZ773" s="79">
        <v>0</v>
      </c>
      <c r="CA773" s="79">
        <v>9</v>
      </c>
      <c r="CB773" s="79">
        <f>BZ773+CA773</f>
        <v>9</v>
      </c>
      <c r="CC773" s="79" t="str">
        <f>_xlfn.TEXTJOIN(", ",TRUE,$CD773:$CF773)</f>
        <v>Ninguna</v>
      </c>
      <c r="CD773" s="79" t="s">
        <v>174</v>
      </c>
      <c r="CE773" s="79"/>
      <c r="CF773" s="79"/>
      <c r="CG773" s="83" t="s">
        <v>5404</v>
      </c>
      <c r="CH773" s="41"/>
      <c r="CI773" s="79" t="s">
        <v>153</v>
      </c>
      <c r="CJ773" s="71"/>
      <c r="CK773" s="79">
        <f>COUNTIF(CL773:CQ773,"*")</f>
        <v>0</v>
      </c>
      <c r="CL773" s="79"/>
      <c r="CM773" s="79"/>
      <c r="CN773" s="79"/>
      <c r="CO773" s="79"/>
      <c r="CP773" s="79"/>
      <c r="CQ773" s="79"/>
      <c r="CR773" s="83" t="s">
        <v>179</v>
      </c>
      <c r="CS773" s="83" t="s">
        <v>179</v>
      </c>
      <c r="CT773" s="83" t="s">
        <v>179</v>
      </c>
      <c r="CU773" s="83" t="s">
        <v>179</v>
      </c>
      <c r="CV773" s="83" t="s">
        <v>179</v>
      </c>
      <c r="CW773" s="83" t="s">
        <v>179</v>
      </c>
      <c r="CX773" s="79" t="s">
        <v>153</v>
      </c>
      <c r="CY773" s="79">
        <f>SUM(COUNTIF(CR773:CW773,"Realizado y Devuelto a la Ciudadanía"),COUNTIF(CR773:CW773,"Realizado y Trasladado por competencia"), COUNTIF(CR773:CW773,"Realizado y Gestionado"))</f>
        <v>0</v>
      </c>
      <c r="CZ773" s="79">
        <v>0</v>
      </c>
      <c r="DA773" s="79">
        <f>COUNTIF(CR773:CW773,"Realizado y Devuelto a la Ciudadanía")</f>
        <v>0</v>
      </c>
      <c r="DB773" s="84" t="str">
        <f>IFERROR(CY773/CK773,"")</f>
        <v/>
      </c>
      <c r="DC773" s="41"/>
      <c r="DD773" s="79" t="s">
        <v>153</v>
      </c>
      <c r="DE773" s="71"/>
      <c r="DF773" s="127" t="s">
        <v>5405</v>
      </c>
      <c r="DG773" s="79">
        <v>761</v>
      </c>
      <c r="DH773" s="86" t="str">
        <f>IF(EE773="Por completar",C773+3,"Completo")</f>
        <v>Completo</v>
      </c>
      <c r="DI773" s="79" t="s">
        <v>181</v>
      </c>
      <c r="DJ773" s="79" t="s">
        <v>182</v>
      </c>
      <c r="DK773" s="79"/>
      <c r="DL773" s="79">
        <v>0</v>
      </c>
      <c r="DM773" s="79">
        <v>0</v>
      </c>
      <c r="DN773" s="79" t="s">
        <v>182</v>
      </c>
      <c r="DO773" s="79"/>
      <c r="DP773" s="79"/>
      <c r="DQ773" s="79"/>
      <c r="DR773" s="75" t="str">
        <f>IF(H773="SÍ", (DQ773/(BZ773*0.3)), "No aplica")</f>
        <v>No aplica</v>
      </c>
      <c r="DS773" s="79"/>
      <c r="DT773" s="79"/>
      <c r="DU773" s="75" t="str">
        <f>IF(H773="SÍ", (DT773/(BZ773*0.35)), "No aplica")</f>
        <v>No aplica</v>
      </c>
      <c r="DV773" s="79"/>
      <c r="DW773" s="79"/>
      <c r="DX773" s="79"/>
      <c r="DY773" s="79"/>
      <c r="DZ773" s="79"/>
      <c r="EA773" s="79"/>
      <c r="EB773" s="79" t="s">
        <v>182</v>
      </c>
      <c r="EC773" s="79" t="s">
        <v>5406</v>
      </c>
      <c r="ED773" s="79"/>
      <c r="EE773" s="79" t="str">
        <f>IF(DI773="Subsanado","Completo","Por Completar")</f>
        <v>Completo</v>
      </c>
      <c r="EF773" s="41"/>
      <c r="EG773" s="79" t="s">
        <v>153</v>
      </c>
      <c r="EH773" s="71"/>
      <c r="EI773" s="80"/>
      <c r="EJ773" s="71"/>
      <c r="EK773" s="79"/>
      <c r="EL773" s="87" t="str">
        <f>IF(F773="NO","No requiere",IF(H773="No","No requiere",IF(DW773="","",IF(DW773&lt;&gt;"No aplica",IF(DX773&lt;&gt;"No aplica",IF(DX773&gt;=2,"Sí","No"),"No aplica"),"No aplica"))))</f>
        <v>No requiere</v>
      </c>
      <c r="EM773" s="87" t="str">
        <f>IF(F773="NO","No requiere",IF(H773="No","No requiere",IF(DW773="","",IF(DW773&lt;&gt;"No aplica",IF(DY773&lt;&gt;"No aplica",IF(DY773&gt;=1,"Sí","No"),"No aplica"),"No aplica"))))</f>
        <v>No requiere</v>
      </c>
      <c r="EN773" s="87" t="str">
        <f>IF(F773="NO","No requiere",IF(H773="No","No requiere",IF(CC773="","",IF(CD773&lt;&gt;"No aplica",IF(CD773&lt;&gt;"Ninguna",IF(COUNTIF(CD773:CF773,"*")&gt;=1,"Sí","No"),"No"),"No aplica"))))</f>
        <v>No requiere</v>
      </c>
      <c r="EO773" s="71"/>
      <c r="EP773" s="84" t="str">
        <f>IF(F773="NO","No requiere",IF(H773="No","No requiere",IF(DL773="","",IF(DL773&gt;=1,DM773/DL773,"No aplica"))))</f>
        <v>No requiere</v>
      </c>
      <c r="EQ773" s="88" t="str">
        <f>IFERROR(IF(F773="NO","No requiere",IF(H773="No","No requiere",DU773)),"")</f>
        <v>No requiere</v>
      </c>
      <c r="ER773" s="71"/>
      <c r="ES773" s="79"/>
      <c r="ET773" s="84" t="str">
        <f>IF(F773="NO","No requiere",IF(H773="No","No requiere",IFERROR(COUNTIF(DJ773:DW773,"Completo")/SUM(COUNTIF(DJ773:DW773,"Completo"),COUNTIF(DJ773:DW773,"Incompleto"),COUNTIF(DJ773:DW773,"No subido"),COUNTIF(DJ773:DW773,"No existente"),COUNTIF(DJ773:DW773,"Pendiente")),"")))</f>
        <v>No requiere</v>
      </c>
      <c r="EU773" s="84" t="str">
        <f>IF(F773="NO","No requiere",IF(H773="No","No requiere",IF(B773="","",IF(CX773="SÍ",IF(CK773&gt;=1,CY773/CK773,"Sin compromisos"),"Por verificar"))))</f>
        <v>No requiere</v>
      </c>
      <c r="EV773" s="84" t="str">
        <f>IF(EU773="Por verificar","Por verificar",IF(F773="NO","No requiere",IF(H773="No","No requiere",IFERROR(IF(EU773="","",IF(CK773&gt;=1,DA773/CZ773,"No aplica")),"No aplica"))))</f>
        <v>No requiere</v>
      </c>
      <c r="EW773" s="84" t="str">
        <f>IF(F773="NO","No requiere",IF(H773="No","No requiere",IFERROR(IF(BZ773="","",IF(EA773&lt;&gt;"No aplica",IF(EA773&gt;=1,DO773/EA773,"0%"),"No aplica")),"")))</f>
        <v>No requiere</v>
      </c>
      <c r="EX773" s="78"/>
      <c r="EY773" s="78"/>
      <c r="EZ773" s="179"/>
      <c r="FA773" s="179"/>
      <c r="FB773" s="304"/>
      <c r="FC773" s="304"/>
      <c r="FD773" s="304"/>
      <c r="FE773" s="304"/>
      <c r="FF773" s="304"/>
      <c r="FG773" s="304"/>
      <c r="FH773" s="304"/>
      <c r="FI773" s="304"/>
      <c r="FJ773" s="304"/>
      <c r="FK773" s="304"/>
      <c r="FL773" s="304"/>
      <c r="FM773" s="304"/>
      <c r="FN773" s="304"/>
      <c r="FO773" s="304"/>
      <c r="FP773" s="304"/>
      <c r="FQ773" s="304"/>
      <c r="FR773" s="304"/>
      <c r="FS773" s="304"/>
      <c r="FT773" s="304"/>
      <c r="FU773" s="304"/>
      <c r="FV773" s="304"/>
      <c r="FW773" s="304"/>
      <c r="FX773" s="304"/>
      <c r="FY773" s="304"/>
      <c r="FZ773" s="304"/>
      <c r="GA773" s="304"/>
      <c r="GB773" s="304"/>
      <c r="GC773" s="304"/>
      <c r="GD773" s="304"/>
      <c r="GE773" s="304"/>
      <c r="GF773" s="304"/>
      <c r="GG773" s="304"/>
      <c r="GH773" s="304"/>
      <c r="GI773" s="304"/>
      <c r="GJ773" s="304"/>
      <c r="GK773" s="304"/>
      <c r="GL773" s="304"/>
      <c r="GM773" s="304"/>
      <c r="GN773" s="304"/>
      <c r="GO773" s="304"/>
      <c r="GP773" s="304"/>
      <c r="GQ773" s="304"/>
      <c r="GR773" s="304"/>
      <c r="GS773" s="304"/>
      <c r="GT773" s="304"/>
      <c r="GU773" s="304"/>
      <c r="GV773" s="304"/>
      <c r="GW773" s="304"/>
      <c r="GX773" s="304"/>
      <c r="GY773" s="304"/>
      <c r="GZ773" s="304"/>
      <c r="HA773" s="304"/>
      <c r="HB773" s="304"/>
      <c r="HC773" s="304"/>
      <c r="HD773" s="304"/>
      <c r="HE773" s="304"/>
      <c r="HF773" s="304"/>
      <c r="HG773" s="304"/>
    </row>
    <row r="774" spans="1:215" ht="46.5" customHeight="1">
      <c r="A774" s="79">
        <v>770</v>
      </c>
      <c r="B774" s="80" t="s">
        <v>5407</v>
      </c>
      <c r="C774" s="81">
        <v>45497</v>
      </c>
      <c r="D774" s="82">
        <v>0.58333333333333337</v>
      </c>
      <c r="E774" s="79" t="s">
        <v>151</v>
      </c>
      <c r="F774" s="79" t="s">
        <v>153</v>
      </c>
      <c r="G774" s="79" t="s">
        <v>153</v>
      </c>
      <c r="H774" s="79" t="s">
        <v>153</v>
      </c>
      <c r="I774" s="79" t="s">
        <v>152</v>
      </c>
      <c r="J774" s="79" t="s">
        <v>154</v>
      </c>
      <c r="K774" s="79" t="s">
        <v>155</v>
      </c>
      <c r="L774" s="80" t="s">
        <v>4764</v>
      </c>
      <c r="M774" s="80" t="s">
        <v>241</v>
      </c>
      <c r="N774" s="79" t="s">
        <v>328</v>
      </c>
      <c r="O774" s="80" t="str">
        <f t="shared" ref="O774:O776" si="1044">_xlfn.TEXTJOIN(", ",TRUE,P774:AN774)</f>
        <v>William Jair Gil, Paola Andrea González</v>
      </c>
      <c r="P774" s="79" t="s">
        <v>862</v>
      </c>
      <c r="Q774" s="79" t="s">
        <v>924</v>
      </c>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t="s">
        <v>304</v>
      </c>
      <c r="AP774" s="79"/>
      <c r="AQ774" s="80" t="s">
        <v>4163</v>
      </c>
      <c r="AR774" s="83" t="s">
        <v>4992</v>
      </c>
      <c r="AS774" s="80" t="s">
        <v>4993</v>
      </c>
      <c r="AT774" s="80" t="str">
        <f t="shared" ref="AT774" si="1045">_xlfn.TEXTJOIN(", ",TRUE,$AU774:$AY774)</f>
        <v>Distrital</v>
      </c>
      <c r="AU774" s="79" t="s">
        <v>172</v>
      </c>
      <c r="AV774" s="79"/>
      <c r="AW774" s="79"/>
      <c r="AX774" s="79"/>
      <c r="AY774" s="79"/>
      <c r="AZ774" s="79"/>
      <c r="BA774" s="80" t="str">
        <f t="shared" ref="BA774:BA775" si="1046">_xlfn.TEXTJOIN(", ",TRUE,$BB774:$BG774)</f>
        <v>Distrital</v>
      </c>
      <c r="BB774" s="79" t="s">
        <v>172</v>
      </c>
      <c r="BC774" s="79"/>
      <c r="BD774" s="79"/>
      <c r="BE774" s="79"/>
      <c r="BF774" s="79"/>
      <c r="BG774" s="79"/>
      <c r="BH774" s="80" t="str">
        <f t="shared" ref="BH774:BH775" si="1047">_xlfn.TEXTJOIN(", ",TRUE,$BI774:$BR774)</f>
        <v>Distrital</v>
      </c>
      <c r="BI774" s="79" t="s">
        <v>172</v>
      </c>
      <c r="BJ774" s="79"/>
      <c r="BK774" s="79"/>
      <c r="BL774" s="79"/>
      <c r="BM774" s="79"/>
      <c r="BN774" s="79"/>
      <c r="BO774" s="79"/>
      <c r="BP774" s="79"/>
      <c r="BQ774" s="79"/>
      <c r="BR774" s="79"/>
      <c r="BS774" s="80" t="s">
        <v>5408</v>
      </c>
      <c r="BT774" s="80" t="s">
        <v>386</v>
      </c>
      <c r="BU774" s="80" t="s">
        <v>5409</v>
      </c>
      <c r="BV774" s="71"/>
      <c r="BW774" s="79" t="s">
        <v>153</v>
      </c>
      <c r="BX774" s="79" t="s">
        <v>4242</v>
      </c>
      <c r="BY774" s="71"/>
      <c r="BZ774" s="79">
        <v>10</v>
      </c>
      <c r="CA774" s="79">
        <v>14</v>
      </c>
      <c r="CB774" s="79">
        <f t="shared" si="1023"/>
        <v>24</v>
      </c>
      <c r="CC774" s="79" t="str">
        <f t="shared" si="382"/>
        <v>Contenidos adaptados</v>
      </c>
      <c r="CD774" s="79" t="s">
        <v>350</v>
      </c>
      <c r="CE774" s="79"/>
      <c r="CF774" s="79"/>
      <c r="CG774" s="83" t="s">
        <v>5410</v>
      </c>
      <c r="CH774" s="41"/>
      <c r="CI774" s="79" t="s">
        <v>153</v>
      </c>
      <c r="CJ774" s="71"/>
      <c r="CK774" s="79">
        <v>1</v>
      </c>
      <c r="CL774" s="79" t="s">
        <v>4770</v>
      </c>
      <c r="CM774" s="79"/>
      <c r="CN774" s="79"/>
      <c r="CO774" s="79"/>
      <c r="CP774" s="79"/>
      <c r="CQ774" s="79"/>
      <c r="CR774" s="83" t="s">
        <v>390</v>
      </c>
      <c r="CS774" s="83" t="s">
        <v>179</v>
      </c>
      <c r="CT774" s="83" t="s">
        <v>179</v>
      </c>
      <c r="CU774" s="83" t="s">
        <v>179</v>
      </c>
      <c r="CV774" s="83" t="s">
        <v>179</v>
      </c>
      <c r="CW774" s="83" t="s">
        <v>179</v>
      </c>
      <c r="CX774" s="79" t="s">
        <v>153</v>
      </c>
      <c r="CY774" s="79">
        <f t="shared" si="1025"/>
        <v>1</v>
      </c>
      <c r="CZ774" s="79">
        <v>0</v>
      </c>
      <c r="DA774" s="79">
        <f t="shared" si="1026"/>
        <v>1</v>
      </c>
      <c r="DB774" s="84">
        <f t="shared" si="1027"/>
        <v>1</v>
      </c>
      <c r="DC774" s="41"/>
      <c r="DD774" s="79" t="s">
        <v>153</v>
      </c>
      <c r="DE774" s="71"/>
      <c r="DF774" s="305" t="s">
        <v>5411</v>
      </c>
      <c r="DG774" s="79">
        <v>762</v>
      </c>
      <c r="DH774" s="86" t="str">
        <f t="shared" si="1028"/>
        <v>Completo</v>
      </c>
      <c r="DI774" s="79" t="s">
        <v>181</v>
      </c>
      <c r="DJ774" s="79" t="s">
        <v>182</v>
      </c>
      <c r="DK774" s="79" t="s">
        <v>153</v>
      </c>
      <c r="DL774" s="79">
        <v>3</v>
      </c>
      <c r="DM774" s="79">
        <v>3</v>
      </c>
      <c r="DN774" s="79" t="s">
        <v>182</v>
      </c>
      <c r="DO774" s="79"/>
      <c r="DP774" s="79" t="s">
        <v>182</v>
      </c>
      <c r="DQ774" s="79">
        <v>5</v>
      </c>
      <c r="DR774" s="75">
        <f t="shared" si="576"/>
        <v>1.6666666666666667</v>
      </c>
      <c r="DS774" s="79" t="s">
        <v>182</v>
      </c>
      <c r="DT774" s="79">
        <v>10</v>
      </c>
      <c r="DU774" s="75">
        <f t="shared" si="577"/>
        <v>2.8571428571428572</v>
      </c>
      <c r="DV774" s="79" t="s">
        <v>182</v>
      </c>
      <c r="DW774" s="79" t="s">
        <v>182</v>
      </c>
      <c r="DX774" s="79">
        <v>2</v>
      </c>
      <c r="DY774" s="79"/>
      <c r="DZ774" s="79"/>
      <c r="EA774" s="79"/>
      <c r="EB774" s="79" t="s">
        <v>182</v>
      </c>
      <c r="EC774" s="79" t="s">
        <v>4829</v>
      </c>
      <c r="ED774" s="79" t="s">
        <v>3787</v>
      </c>
      <c r="EE774" s="79" t="str">
        <f t="shared" si="1029"/>
        <v>Completo</v>
      </c>
      <c r="EF774" s="41"/>
      <c r="EG774" s="79" t="s">
        <v>153</v>
      </c>
      <c r="EH774" s="71"/>
      <c r="EI774" s="311" t="s">
        <v>5412</v>
      </c>
      <c r="EJ774" s="71"/>
      <c r="EK774" s="79" t="s">
        <v>393</v>
      </c>
      <c r="EL774" s="87" t="str">
        <f t="shared" si="1030"/>
        <v>Sí</v>
      </c>
      <c r="EM774" s="87" t="str">
        <f t="shared" si="1031"/>
        <v>No</v>
      </c>
      <c r="EN774" s="87" t="str">
        <f t="shared" si="1032"/>
        <v>Sí</v>
      </c>
      <c r="EO774" s="71"/>
      <c r="EP774" s="84">
        <f t="shared" si="1033"/>
        <v>1</v>
      </c>
      <c r="EQ774" s="88">
        <f t="shared" si="1034"/>
        <v>2.8571428571428572</v>
      </c>
      <c r="ER774" s="71"/>
      <c r="ES774" s="79" t="s">
        <v>393</v>
      </c>
      <c r="ET774" s="84">
        <f t="shared" si="1035"/>
        <v>1</v>
      </c>
      <c r="EU774" s="84">
        <f t="shared" si="1036"/>
        <v>1</v>
      </c>
      <c r="EV774" s="84" t="str">
        <f t="shared" si="1037"/>
        <v>No aplica</v>
      </c>
      <c r="EW774" s="84" t="str">
        <f t="shared" si="581"/>
        <v>0%</v>
      </c>
      <c r="EX774" s="78"/>
      <c r="EY774" s="78"/>
    </row>
    <row r="775" spans="1:215" ht="46.5" customHeight="1">
      <c r="A775" s="79">
        <v>771</v>
      </c>
      <c r="B775" s="80" t="s">
        <v>5413</v>
      </c>
      <c r="C775" s="81">
        <v>45497</v>
      </c>
      <c r="D775" s="82">
        <v>0.60416666666666663</v>
      </c>
      <c r="E775" s="79" t="s">
        <v>151</v>
      </c>
      <c r="F775" s="79" t="s">
        <v>153</v>
      </c>
      <c r="G775" s="79" t="s">
        <v>152</v>
      </c>
      <c r="H775" s="79" t="s">
        <v>152</v>
      </c>
      <c r="I775" s="79" t="s">
        <v>152</v>
      </c>
      <c r="J775" s="79" t="s">
        <v>2153</v>
      </c>
      <c r="K775" s="79" t="s">
        <v>155</v>
      </c>
      <c r="L775" s="80" t="s">
        <v>5414</v>
      </c>
      <c r="M775" s="80" t="s">
        <v>157</v>
      </c>
      <c r="N775" s="79" t="s">
        <v>195</v>
      </c>
      <c r="O775" s="80" t="str">
        <f t="shared" si="1044"/>
        <v>Luna Paulina Benjumea</v>
      </c>
      <c r="P775" s="79" t="s">
        <v>4960</v>
      </c>
      <c r="Q775" s="79"/>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t="s">
        <v>304</v>
      </c>
      <c r="AP775" s="79"/>
      <c r="AQ775" s="83" t="s">
        <v>1989</v>
      </c>
      <c r="AR775" s="83" t="s">
        <v>1989</v>
      </c>
      <c r="AS775" s="83" t="s">
        <v>1989</v>
      </c>
      <c r="AT775" s="80" t="str">
        <f t="shared" si="950"/>
        <v>Distrital</v>
      </c>
      <c r="AU775" s="79" t="s">
        <v>172</v>
      </c>
      <c r="AV775" s="79"/>
      <c r="AW775" s="79"/>
      <c r="AX775" s="79"/>
      <c r="AY775" s="79"/>
      <c r="AZ775" s="79"/>
      <c r="BA775" s="80" t="str">
        <f t="shared" si="1046"/>
        <v>Distrital</v>
      </c>
      <c r="BB775" s="79" t="s">
        <v>172</v>
      </c>
      <c r="BC775" s="79"/>
      <c r="BD775" s="79"/>
      <c r="BE775" s="79"/>
      <c r="BF775" s="79"/>
      <c r="BG775" s="79"/>
      <c r="BH775" s="80" t="str">
        <f t="shared" si="1047"/>
        <v>Distrital</v>
      </c>
      <c r="BI775" s="79" t="s">
        <v>172</v>
      </c>
      <c r="BJ775" s="79"/>
      <c r="BK775" s="79"/>
      <c r="BL775" s="79"/>
      <c r="BM775" s="79"/>
      <c r="BN775" s="79"/>
      <c r="BO775" s="79"/>
      <c r="BP775" s="79"/>
      <c r="BQ775" s="79"/>
      <c r="BR775" s="79"/>
      <c r="BS775" s="80" t="s">
        <v>288</v>
      </c>
      <c r="BT775" s="80" t="s">
        <v>174</v>
      </c>
      <c r="BU775" s="80" t="s">
        <v>5178</v>
      </c>
      <c r="BV775" s="71"/>
      <c r="BW775" s="79" t="s">
        <v>152</v>
      </c>
      <c r="BX775" s="79" t="s">
        <v>179</v>
      </c>
      <c r="BY775" s="71"/>
      <c r="BZ775" s="79">
        <v>3</v>
      </c>
      <c r="CA775" s="79">
        <v>3</v>
      </c>
      <c r="CB775" s="79">
        <f t="shared" si="1023"/>
        <v>6</v>
      </c>
      <c r="CC775" s="79" t="str">
        <f t="shared" si="382"/>
        <v>Ninguna</v>
      </c>
      <c r="CD775" s="79" t="s">
        <v>174</v>
      </c>
      <c r="CE775" s="79"/>
      <c r="CF775" s="79"/>
      <c r="CG775" s="83" t="s">
        <v>5415</v>
      </c>
      <c r="CH775" s="41"/>
      <c r="CI775" s="79"/>
      <c r="CJ775" s="71"/>
      <c r="CK775" s="79">
        <f t="shared" si="1024"/>
        <v>0</v>
      </c>
      <c r="CL775" s="79"/>
      <c r="CM775" s="79"/>
      <c r="CN775" s="79"/>
      <c r="CO775" s="79"/>
      <c r="CP775" s="79"/>
      <c r="CQ775" s="79"/>
      <c r="CR775" s="83" t="s">
        <v>179</v>
      </c>
      <c r="CS775" s="83" t="s">
        <v>179</v>
      </c>
      <c r="CT775" s="83" t="s">
        <v>179</v>
      </c>
      <c r="CU775" s="83" t="s">
        <v>179</v>
      </c>
      <c r="CV775" s="83" t="s">
        <v>179</v>
      </c>
      <c r="CW775" s="83" t="s">
        <v>179</v>
      </c>
      <c r="CX775" s="79" t="s">
        <v>153</v>
      </c>
      <c r="CY775" s="79">
        <f t="shared" si="1025"/>
        <v>0</v>
      </c>
      <c r="CZ775" s="79">
        <v>0</v>
      </c>
      <c r="DA775" s="79">
        <f t="shared" si="1026"/>
        <v>0</v>
      </c>
      <c r="DB775" s="84" t="str">
        <f t="shared" si="1027"/>
        <v/>
      </c>
      <c r="DC775" s="41"/>
      <c r="DD775" s="79" t="s">
        <v>153</v>
      </c>
      <c r="DE775" s="71"/>
      <c r="DF775" s="127" t="s">
        <v>5416</v>
      </c>
      <c r="DG775" s="79">
        <v>763</v>
      </c>
      <c r="DH775" s="86" t="str">
        <f t="shared" si="1028"/>
        <v>Completo</v>
      </c>
      <c r="DI775" s="79" t="s">
        <v>181</v>
      </c>
      <c r="DJ775" s="79" t="s">
        <v>182</v>
      </c>
      <c r="DK775" s="79"/>
      <c r="DL775" s="79">
        <v>0</v>
      </c>
      <c r="DM775" s="79">
        <v>0</v>
      </c>
      <c r="DN775" s="79" t="s">
        <v>182</v>
      </c>
      <c r="DO775" s="79"/>
      <c r="DP775" s="79"/>
      <c r="DQ775" s="79"/>
      <c r="DR775" s="75" t="str">
        <f t="shared" si="576"/>
        <v>No aplica</v>
      </c>
      <c r="DS775" s="79"/>
      <c r="DT775" s="79"/>
      <c r="DU775" s="75" t="str">
        <f t="shared" si="577"/>
        <v>No aplica</v>
      </c>
      <c r="DV775" s="79" t="s">
        <v>191</v>
      </c>
      <c r="DW775" s="79"/>
      <c r="DX775" s="79"/>
      <c r="DY775" s="79"/>
      <c r="DZ775" s="79"/>
      <c r="EA775" s="79"/>
      <c r="EB775" s="79"/>
      <c r="EC775" s="79"/>
      <c r="ED775" s="79" t="s">
        <v>5385</v>
      </c>
      <c r="EE775" s="79" t="str">
        <f t="shared" si="1029"/>
        <v>Completo</v>
      </c>
      <c r="EF775" s="41"/>
      <c r="EG775" s="79" t="s">
        <v>153</v>
      </c>
      <c r="EH775" s="71"/>
      <c r="EI775" s="80"/>
      <c r="EJ775" s="71"/>
      <c r="EK775" s="79"/>
      <c r="EL775" s="87" t="str">
        <f t="shared" si="1030"/>
        <v>No requiere</v>
      </c>
      <c r="EM775" s="87" t="str">
        <f t="shared" si="1031"/>
        <v>No requiere</v>
      </c>
      <c r="EN775" s="87" t="str">
        <f t="shared" si="1032"/>
        <v>No requiere</v>
      </c>
      <c r="EO775" s="71"/>
      <c r="EP775" s="84" t="str">
        <f t="shared" si="1033"/>
        <v>No requiere</v>
      </c>
      <c r="EQ775" s="88" t="str">
        <f t="shared" si="1034"/>
        <v>No requiere</v>
      </c>
      <c r="ER775" s="71"/>
      <c r="ES775" s="79"/>
      <c r="ET775" s="84" t="str">
        <f t="shared" si="1035"/>
        <v>No requiere</v>
      </c>
      <c r="EU775" s="84" t="str">
        <f t="shared" si="1036"/>
        <v>No requiere</v>
      </c>
      <c r="EV775" s="84" t="str">
        <f t="shared" si="1037"/>
        <v>No requiere</v>
      </c>
      <c r="EW775" s="84" t="str">
        <f t="shared" si="581"/>
        <v>No requiere</v>
      </c>
      <c r="EX775" s="78"/>
      <c r="EY775" s="78"/>
    </row>
    <row r="776" spans="1:215" ht="46.5" customHeight="1">
      <c r="A776" s="79" t="str">
        <v/>
      </c>
      <c r="B776" s="80" t="s">
        <v>5417</v>
      </c>
      <c r="C776" s="81">
        <v>45497</v>
      </c>
      <c r="D776" s="82">
        <v>0.66666666666666663</v>
      </c>
      <c r="E776" s="79" t="s">
        <v>151</v>
      </c>
      <c r="F776" s="79" t="s">
        <v>152</v>
      </c>
      <c r="G776" s="79" t="s">
        <v>152</v>
      </c>
      <c r="H776" s="79" t="s">
        <v>152</v>
      </c>
      <c r="I776" s="79" t="s">
        <v>152</v>
      </c>
      <c r="J776" s="79" t="s">
        <v>2153</v>
      </c>
      <c r="K776" s="79" t="s">
        <v>202</v>
      </c>
      <c r="L776" s="80" t="s">
        <v>5418</v>
      </c>
      <c r="M776" s="80" t="s">
        <v>624</v>
      </c>
      <c r="N776" s="79" t="s">
        <v>3049</v>
      </c>
      <c r="O776" s="80" t="str">
        <f t="shared" si="1044"/>
        <v/>
      </c>
      <c r="P776" s="79"/>
      <c r="Q776" s="79"/>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t="s">
        <v>304</v>
      </c>
      <c r="AP776" s="79"/>
      <c r="AQ776" s="80" t="s">
        <v>5419</v>
      </c>
      <c r="AR776" s="83" t="s">
        <v>5420</v>
      </c>
      <c r="AS776" s="80" t="s">
        <v>5421</v>
      </c>
      <c r="AT776" s="80" t="str">
        <f t="shared" si="950"/>
        <v>Distrital</v>
      </c>
      <c r="AU776" s="79" t="s">
        <v>172</v>
      </c>
      <c r="AV776" s="79"/>
      <c r="AW776" s="79"/>
      <c r="AX776" s="79"/>
      <c r="AY776" s="79"/>
      <c r="AZ776" s="79"/>
      <c r="BA776" s="80" t="str">
        <f t="shared" si="1000"/>
        <v>Distrital</v>
      </c>
      <c r="BB776" s="79" t="s">
        <v>172</v>
      </c>
      <c r="BC776" s="79"/>
      <c r="BD776" s="79"/>
      <c r="BE776" s="79"/>
      <c r="BF776" s="79"/>
      <c r="BG776" s="79"/>
      <c r="BH776" s="80" t="str">
        <f t="shared" si="1001"/>
        <v>Distrital</v>
      </c>
      <c r="BI776" s="79" t="s">
        <v>172</v>
      </c>
      <c r="BJ776" s="79"/>
      <c r="BK776" s="79"/>
      <c r="BL776" s="79"/>
      <c r="BM776" s="79"/>
      <c r="BN776" s="79"/>
      <c r="BO776" s="79"/>
      <c r="BP776" s="79"/>
      <c r="BQ776" s="79"/>
      <c r="BR776" s="79"/>
      <c r="BS776" s="80" t="s">
        <v>288</v>
      </c>
      <c r="BT776" s="80" t="s">
        <v>174</v>
      </c>
      <c r="BU776" s="128" t="s">
        <v>3931</v>
      </c>
      <c r="BV776" s="71"/>
      <c r="BW776" s="79" t="s">
        <v>152</v>
      </c>
      <c r="BX776" s="79" t="s">
        <v>179</v>
      </c>
      <c r="BY776" s="71"/>
      <c r="BZ776" s="79">
        <v>9</v>
      </c>
      <c r="CA776" s="79">
        <v>2</v>
      </c>
      <c r="CB776" s="79">
        <f t="shared" si="1023"/>
        <v>11</v>
      </c>
      <c r="CC776" s="79" t="str">
        <f t="shared" si="382"/>
        <v>Ninguna</v>
      </c>
      <c r="CD776" s="79" t="s">
        <v>174</v>
      </c>
      <c r="CE776" s="79"/>
      <c r="CF776" s="79"/>
      <c r="CG776" s="83" t="s">
        <v>5422</v>
      </c>
      <c r="CH776" s="41"/>
      <c r="CI776" s="79"/>
      <c r="CJ776" s="71"/>
      <c r="CK776" s="79">
        <f t="shared" si="1024"/>
        <v>0</v>
      </c>
      <c r="CL776" s="79"/>
      <c r="CM776" s="79"/>
      <c r="CN776" s="79"/>
      <c r="CO776" s="79"/>
      <c r="CP776" s="79"/>
      <c r="CQ776" s="79"/>
      <c r="CR776" s="83"/>
      <c r="CS776" s="83"/>
      <c r="CT776" s="83"/>
      <c r="CU776" s="83"/>
      <c r="CV776" s="83"/>
      <c r="CW776" s="83"/>
      <c r="CX776" s="79"/>
      <c r="CY776" s="79">
        <f t="shared" si="1025"/>
        <v>0</v>
      </c>
      <c r="CZ776" s="79">
        <v>0</v>
      </c>
      <c r="DA776" s="79">
        <f t="shared" si="1026"/>
        <v>0</v>
      </c>
      <c r="DB776" s="84" t="str">
        <f t="shared" si="1027"/>
        <v/>
      </c>
      <c r="DC776" s="41"/>
      <c r="DD776" s="79" t="s">
        <v>152</v>
      </c>
      <c r="DE776" s="71"/>
      <c r="DF776" s="127" t="s">
        <v>5423</v>
      </c>
      <c r="DG776" s="79">
        <v>764</v>
      </c>
      <c r="DH776" s="86">
        <f t="shared" si="1028"/>
        <v>45500</v>
      </c>
      <c r="DI776" s="79" t="s">
        <v>3560</v>
      </c>
      <c r="DJ776" s="79"/>
      <c r="DK776" s="79"/>
      <c r="DL776" s="79">
        <v>0</v>
      </c>
      <c r="DM776" s="79">
        <v>0</v>
      </c>
      <c r="DN776" s="79"/>
      <c r="DO776" s="79"/>
      <c r="DP776" s="79"/>
      <c r="DQ776" s="79"/>
      <c r="DR776" s="75" t="str">
        <f t="shared" si="576"/>
        <v>No aplica</v>
      </c>
      <c r="DS776" s="79"/>
      <c r="DT776" s="79"/>
      <c r="DU776" s="75" t="str">
        <f t="shared" si="577"/>
        <v>No aplica</v>
      </c>
      <c r="DV776" s="79"/>
      <c r="DW776" s="79"/>
      <c r="DX776" s="79"/>
      <c r="DY776" s="79"/>
      <c r="DZ776" s="79"/>
      <c r="EA776" s="79"/>
      <c r="EB776" s="79"/>
      <c r="EC776" s="79"/>
      <c r="ED776" s="79" t="s">
        <v>770</v>
      </c>
      <c r="EE776" s="79" t="str">
        <f t="shared" si="1029"/>
        <v>Por Completar</v>
      </c>
      <c r="EF776" s="41"/>
      <c r="EG776" s="79"/>
      <c r="EH776" s="71"/>
      <c r="EI776" s="80"/>
      <c r="EJ776" s="71"/>
      <c r="EK776" s="79"/>
      <c r="EL776" s="87" t="str">
        <f t="shared" si="1030"/>
        <v>No requiere</v>
      </c>
      <c r="EM776" s="87" t="str">
        <f t="shared" si="1031"/>
        <v>No requiere</v>
      </c>
      <c r="EN776" s="87" t="str">
        <f t="shared" si="1032"/>
        <v>No requiere</v>
      </c>
      <c r="EO776" s="71"/>
      <c r="EP776" s="84" t="str">
        <f t="shared" si="1033"/>
        <v>No requiere</v>
      </c>
      <c r="EQ776" s="88" t="str">
        <f t="shared" si="1034"/>
        <v>No requiere</v>
      </c>
      <c r="ER776" s="71"/>
      <c r="ES776" s="79"/>
      <c r="ET776" s="84" t="str">
        <f t="shared" si="1035"/>
        <v>No requiere</v>
      </c>
      <c r="EU776" s="84" t="str">
        <f t="shared" si="1036"/>
        <v>No requiere</v>
      </c>
      <c r="EV776" s="84" t="str">
        <f t="shared" si="1037"/>
        <v>No requiere</v>
      </c>
      <c r="EW776" s="84" t="str">
        <f t="shared" si="581"/>
        <v>No requiere</v>
      </c>
      <c r="EX776" s="78"/>
      <c r="EY776" s="78"/>
    </row>
    <row r="777" spans="1:215" ht="46.5" customHeight="1">
      <c r="A777" s="79">
        <v>773</v>
      </c>
      <c r="B777" s="80" t="s">
        <v>5424</v>
      </c>
      <c r="C777" s="81">
        <v>45497</v>
      </c>
      <c r="D777" s="82">
        <v>0.70833333333333337</v>
      </c>
      <c r="E777" s="79" t="s">
        <v>151</v>
      </c>
      <c r="F777" s="79" t="s">
        <v>153</v>
      </c>
      <c r="G777" s="79" t="s">
        <v>153</v>
      </c>
      <c r="H777" s="79" t="s">
        <v>153</v>
      </c>
      <c r="I777" s="79" t="s">
        <v>153</v>
      </c>
      <c r="J777" s="79" t="s">
        <v>2752</v>
      </c>
      <c r="K777" s="79" t="s">
        <v>155</v>
      </c>
      <c r="L777" s="80" t="s">
        <v>5425</v>
      </c>
      <c r="M777" s="80" t="s">
        <v>229</v>
      </c>
      <c r="N777" s="79" t="s">
        <v>675</v>
      </c>
      <c r="O777" s="80" t="str">
        <f t="shared" si="636"/>
        <v>Germán Ramón Jacome, Luis Fernando Barreto , Nicolas Esteban Hernández, Nestor Jecfrid Sánchez, Aida Vanessa Rocha</v>
      </c>
      <c r="P777" s="79" t="s">
        <v>525</v>
      </c>
      <c r="Q777" s="79" t="s">
        <v>720</v>
      </c>
      <c r="R777" s="79" t="s">
        <v>645</v>
      </c>
      <c r="S777" s="79" t="s">
        <v>965</v>
      </c>
      <c r="T777" s="79" t="s">
        <v>801</v>
      </c>
      <c r="U777" s="79"/>
      <c r="V777" s="79"/>
      <c r="W777" s="79"/>
      <c r="X777" s="79"/>
      <c r="Y777" s="79"/>
      <c r="Z777" s="79"/>
      <c r="AA777" s="79"/>
      <c r="AB777" s="79"/>
      <c r="AC777" s="79"/>
      <c r="AD777" s="79"/>
      <c r="AE777" s="79"/>
      <c r="AF777" s="79"/>
      <c r="AG777" s="79"/>
      <c r="AH777" s="79"/>
      <c r="AI777" s="79"/>
      <c r="AJ777" s="79"/>
      <c r="AK777" s="79"/>
      <c r="AL777" s="79"/>
      <c r="AM777" s="79"/>
      <c r="AN777" s="79"/>
      <c r="AO777" s="79" t="s">
        <v>1226</v>
      </c>
      <c r="AP777" s="79"/>
      <c r="AQ777" s="80" t="s">
        <v>4163</v>
      </c>
      <c r="AR777" s="83" t="s">
        <v>4992</v>
      </c>
      <c r="AS777" s="80" t="s">
        <v>5426</v>
      </c>
      <c r="AT777" s="80" t="str">
        <f t="shared" si="950"/>
        <v>Rafael Uribe Uribe</v>
      </c>
      <c r="AU777" s="79" t="s">
        <v>635</v>
      </c>
      <c r="AV777" s="79"/>
      <c r="AW777" s="79"/>
      <c r="AX777" s="79"/>
      <c r="AY777" s="79"/>
      <c r="AZ777" s="79"/>
      <c r="BA777" s="80" t="str">
        <f t="shared" si="1000"/>
        <v>Centro Ampliado, Suroriente</v>
      </c>
      <c r="BB777" s="79" t="s">
        <v>636</v>
      </c>
      <c r="BC777" s="79" t="s">
        <v>218</v>
      </c>
      <c r="BD777" s="79"/>
      <c r="BE777" s="79"/>
      <c r="BF777" s="79"/>
      <c r="BG777" s="79"/>
      <c r="BH777" s="80" t="str">
        <f t="shared" si="1001"/>
        <v>Rafael Uribe, San Cristobal, Rafael Uribe</v>
      </c>
      <c r="BI777" s="79" t="s">
        <v>723</v>
      </c>
      <c r="BJ777" s="79" t="s">
        <v>571</v>
      </c>
      <c r="BK777" s="79" t="s">
        <v>723</v>
      </c>
      <c r="BL777" s="79"/>
      <c r="BM777" s="79"/>
      <c r="BN777" s="79"/>
      <c r="BO777" s="79"/>
      <c r="BP777" s="79"/>
      <c r="BQ777" s="79"/>
      <c r="BR777" s="79"/>
      <c r="BS777" s="80" t="s">
        <v>5032</v>
      </c>
      <c r="BT777" s="80" t="s">
        <v>2757</v>
      </c>
      <c r="BU777" s="203" t="s">
        <v>196</v>
      </c>
      <c r="BV777" s="71"/>
      <c r="BW777" s="79" t="s">
        <v>152</v>
      </c>
      <c r="BX777" s="79" t="s">
        <v>179</v>
      </c>
      <c r="BY777" s="71"/>
      <c r="BZ777" s="79">
        <v>31</v>
      </c>
      <c r="CA777" s="79">
        <v>6</v>
      </c>
      <c r="CB777" s="79">
        <f t="shared" si="1023"/>
        <v>37</v>
      </c>
      <c r="CC777" s="79" t="str">
        <f t="shared" si="382"/>
        <v>Horarios Acordes</v>
      </c>
      <c r="CD777" s="79" t="s">
        <v>351</v>
      </c>
      <c r="CE777" s="79"/>
      <c r="CF777" s="79"/>
      <c r="CG777" s="83" t="s">
        <v>5427</v>
      </c>
      <c r="CH777" s="41"/>
      <c r="CI777" s="79"/>
      <c r="CJ777" s="71"/>
      <c r="CK777" s="79">
        <v>1</v>
      </c>
      <c r="CL777" s="79" t="s">
        <v>5398</v>
      </c>
      <c r="CM777" s="79"/>
      <c r="CN777" s="79"/>
      <c r="CO777" s="79"/>
      <c r="CP777" s="79"/>
      <c r="CQ777" s="79"/>
      <c r="CR777" s="83" t="s">
        <v>390</v>
      </c>
      <c r="CS777" s="195" t="s">
        <v>179</v>
      </c>
      <c r="CT777" s="83" t="s">
        <v>179</v>
      </c>
      <c r="CU777" s="83" t="s">
        <v>179</v>
      </c>
      <c r="CV777" s="83" t="s">
        <v>179</v>
      </c>
      <c r="CW777" s="83" t="s">
        <v>179</v>
      </c>
      <c r="CX777" s="79" t="s">
        <v>153</v>
      </c>
      <c r="CY777" s="79">
        <f t="shared" si="1025"/>
        <v>1</v>
      </c>
      <c r="CZ777" s="79">
        <v>0</v>
      </c>
      <c r="DA777" s="79">
        <f t="shared" si="1026"/>
        <v>1</v>
      </c>
      <c r="DB777" s="84">
        <f t="shared" si="1027"/>
        <v>1</v>
      </c>
      <c r="DC777" s="41"/>
      <c r="DD777" s="79" t="s">
        <v>153</v>
      </c>
      <c r="DE777" s="71"/>
      <c r="DF777" s="133" t="s">
        <v>5428</v>
      </c>
      <c r="DG777" s="79">
        <v>765</v>
      </c>
      <c r="DH777" s="86" t="str">
        <f t="shared" si="722"/>
        <v>Completo</v>
      </c>
      <c r="DI777" s="79" t="s">
        <v>181</v>
      </c>
      <c r="DJ777" s="79" t="s">
        <v>182</v>
      </c>
      <c r="DK777" s="79"/>
      <c r="DL777" s="79">
        <v>0</v>
      </c>
      <c r="DM777" s="79">
        <v>0</v>
      </c>
      <c r="DN777" s="79" t="s">
        <v>182</v>
      </c>
      <c r="DO777" s="79"/>
      <c r="DP777" s="79" t="s">
        <v>182</v>
      </c>
      <c r="DQ777" s="79">
        <v>16</v>
      </c>
      <c r="DR777" s="75">
        <f t="shared" si="576"/>
        <v>1.720430107526882</v>
      </c>
      <c r="DS777" s="79" t="s">
        <v>182</v>
      </c>
      <c r="DT777" s="79">
        <v>18</v>
      </c>
      <c r="DU777" s="75">
        <f t="shared" si="577"/>
        <v>1.6589861751152075</v>
      </c>
      <c r="DV777" s="79" t="s">
        <v>182</v>
      </c>
      <c r="DW777" s="79" t="s">
        <v>182</v>
      </c>
      <c r="DX777" s="79">
        <v>4</v>
      </c>
      <c r="DY777" s="79"/>
      <c r="DZ777" s="79"/>
      <c r="EA777" s="79"/>
      <c r="EB777" s="79" t="s">
        <v>182</v>
      </c>
      <c r="EC777" s="79" t="s">
        <v>5429</v>
      </c>
      <c r="ED777" s="79" t="s">
        <v>5430</v>
      </c>
      <c r="EE777" s="79" t="str">
        <f t="shared" si="1029"/>
        <v>Completo</v>
      </c>
      <c r="EF777" s="41"/>
      <c r="EG777" s="79" t="s">
        <v>152</v>
      </c>
      <c r="EH777" s="71"/>
      <c r="EI777" s="312" t="s">
        <v>5431</v>
      </c>
      <c r="EJ777" s="71"/>
      <c r="EK777" s="79" t="s">
        <v>409</v>
      </c>
      <c r="EL777" s="87" t="str">
        <f t="shared" si="942"/>
        <v>Sí</v>
      </c>
      <c r="EM777" s="87" t="str">
        <f t="shared" si="943"/>
        <v>No</v>
      </c>
      <c r="EN777" s="87" t="str">
        <f t="shared" si="1032"/>
        <v>Sí</v>
      </c>
      <c r="EO777" s="71"/>
      <c r="EP777" s="84" t="str">
        <f t="shared" si="945"/>
        <v>No aplica</v>
      </c>
      <c r="EQ777" s="88">
        <f t="shared" si="946"/>
        <v>1.6589861751152075</v>
      </c>
      <c r="ER777" s="71"/>
      <c r="ES777" s="79" t="s">
        <v>409</v>
      </c>
      <c r="ET777" s="84">
        <f t="shared" si="947"/>
        <v>1</v>
      </c>
      <c r="EU777" s="84">
        <f t="shared" si="1036"/>
        <v>1</v>
      </c>
      <c r="EV777" s="84" t="str">
        <f t="shared" si="949"/>
        <v>No aplica</v>
      </c>
      <c r="EW777" s="84" t="str">
        <f t="shared" si="581"/>
        <v>0%</v>
      </c>
      <c r="EX777" s="78"/>
      <c r="EY777" s="78"/>
    </row>
    <row r="778" spans="1:215" s="197" customFormat="1" ht="46.5" customHeight="1">
      <c r="A778" s="129">
        <v>774</v>
      </c>
      <c r="B778" s="148" t="s">
        <v>5432</v>
      </c>
      <c r="C778" s="149">
        <v>45498</v>
      </c>
      <c r="D778" s="150">
        <v>0.3125</v>
      </c>
      <c r="E778" s="129" t="s">
        <v>151</v>
      </c>
      <c r="F778" s="129" t="s">
        <v>153</v>
      </c>
      <c r="G778" s="129" t="s">
        <v>153</v>
      </c>
      <c r="H778" s="129" t="s">
        <v>153</v>
      </c>
      <c r="I778" s="129" t="s">
        <v>152</v>
      </c>
      <c r="J778" s="129" t="s">
        <v>154</v>
      </c>
      <c r="K778" s="129" t="s">
        <v>155</v>
      </c>
      <c r="L778" s="148" t="s">
        <v>4764</v>
      </c>
      <c r="M778" s="148" t="s">
        <v>241</v>
      </c>
      <c r="N778" s="129" t="s">
        <v>1611</v>
      </c>
      <c r="O778" s="148" t="str">
        <f t="shared" ref="O778:O783" si="1048">_xlfn.TEXTJOIN(", ",TRUE,P778:AN778)</f>
        <v>Manuel Fernando Vergara, Andres Castro Latorre</v>
      </c>
      <c r="P778" s="129" t="s">
        <v>820</v>
      </c>
      <c r="Q778" s="306" t="s">
        <v>749</v>
      </c>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t="s">
        <v>1226</v>
      </c>
      <c r="AP778" s="129"/>
      <c r="AQ778" s="148" t="s">
        <v>4163</v>
      </c>
      <c r="AR778" s="152" t="s">
        <v>4992</v>
      </c>
      <c r="AS778" s="148" t="s">
        <v>4993</v>
      </c>
      <c r="AT778" s="148" t="str">
        <f t="shared" si="950"/>
        <v>Distrital</v>
      </c>
      <c r="AU778" s="129" t="s">
        <v>172</v>
      </c>
      <c r="AV778" s="129"/>
      <c r="AW778" s="129"/>
      <c r="AX778" s="129"/>
      <c r="AY778" s="129"/>
      <c r="AZ778" s="129"/>
      <c r="BA778" s="148" t="str">
        <f t="shared" si="1000"/>
        <v>Distrital</v>
      </c>
      <c r="BB778" s="129" t="s">
        <v>172</v>
      </c>
      <c r="BC778" s="129"/>
      <c r="BD778" s="129"/>
      <c r="BE778" s="129"/>
      <c r="BF778" s="129"/>
      <c r="BG778" s="129"/>
      <c r="BH778" s="148" t="str">
        <f t="shared" si="1001"/>
        <v>Distrital</v>
      </c>
      <c r="BI778" s="129" t="s">
        <v>172</v>
      </c>
      <c r="BJ778" s="129"/>
      <c r="BK778" s="129"/>
      <c r="BL778" s="129"/>
      <c r="BM778" s="129"/>
      <c r="BN778" s="129"/>
      <c r="BO778" s="129"/>
      <c r="BP778" s="129"/>
      <c r="BQ778" s="129"/>
      <c r="BR778" s="129"/>
      <c r="BS778" s="148" t="s">
        <v>288</v>
      </c>
      <c r="BT778" s="148" t="s">
        <v>2617</v>
      </c>
      <c r="BU778" s="148" t="s">
        <v>5433</v>
      </c>
      <c r="BV778" s="151"/>
      <c r="BW778" s="129" t="s">
        <v>153</v>
      </c>
      <c r="BX778" s="129" t="s">
        <v>4242</v>
      </c>
      <c r="BY778" s="151"/>
      <c r="BZ778" s="129">
        <v>28</v>
      </c>
      <c r="CA778" s="129">
        <v>12</v>
      </c>
      <c r="CB778" s="129">
        <f t="shared" si="1023"/>
        <v>40</v>
      </c>
      <c r="CC778" s="129" t="str">
        <f t="shared" si="382"/>
        <v>Horarios Acordes</v>
      </c>
      <c r="CD778" s="129" t="s">
        <v>351</v>
      </c>
      <c r="CE778" s="129"/>
      <c r="CF778" s="129"/>
      <c r="CG778" s="152" t="s">
        <v>5434</v>
      </c>
      <c r="CH778" s="153"/>
      <c r="CI778" s="129"/>
      <c r="CJ778" s="151"/>
      <c r="CK778" s="129">
        <v>1</v>
      </c>
      <c r="CL778" s="129" t="s">
        <v>5435</v>
      </c>
      <c r="CM778" s="129"/>
      <c r="CN778" s="129"/>
      <c r="CO778" s="129"/>
      <c r="CP778" s="129"/>
      <c r="CQ778" s="129"/>
      <c r="CR778" s="152" t="s">
        <v>390</v>
      </c>
      <c r="CS778" s="152" t="s">
        <v>179</v>
      </c>
      <c r="CT778" s="152" t="s">
        <v>179</v>
      </c>
      <c r="CU778" s="152" t="s">
        <v>179</v>
      </c>
      <c r="CV778" s="152" t="s">
        <v>179</v>
      </c>
      <c r="CW778" s="152" t="s">
        <v>179</v>
      </c>
      <c r="CX778" s="129" t="s">
        <v>153</v>
      </c>
      <c r="CY778" s="129">
        <f t="shared" si="1025"/>
        <v>1</v>
      </c>
      <c r="CZ778" s="129">
        <v>0</v>
      </c>
      <c r="DA778" s="129">
        <f t="shared" si="1026"/>
        <v>1</v>
      </c>
      <c r="DB778" s="154">
        <f t="shared" si="1027"/>
        <v>1</v>
      </c>
      <c r="DC778" s="153"/>
      <c r="DD778" s="129" t="s">
        <v>153</v>
      </c>
      <c r="DE778" s="71"/>
      <c r="DF778" s="162" t="s">
        <v>5436</v>
      </c>
      <c r="DG778" s="79">
        <v>766</v>
      </c>
      <c r="DH778" s="155" t="str">
        <f t="shared" ref="DH778:DH783" si="1049">IF(EE778="Por completar",C778+3,"Completo")</f>
        <v>Completo</v>
      </c>
      <c r="DI778" s="129" t="s">
        <v>181</v>
      </c>
      <c r="DJ778" s="129" t="s">
        <v>182</v>
      </c>
      <c r="DK778" s="129" t="s">
        <v>153</v>
      </c>
      <c r="DL778" s="129">
        <v>6</v>
      </c>
      <c r="DM778" s="129">
        <v>6</v>
      </c>
      <c r="DN778" s="129" t="s">
        <v>182</v>
      </c>
      <c r="DO778" s="129">
        <v>0</v>
      </c>
      <c r="DP778" s="129" t="s">
        <v>182</v>
      </c>
      <c r="DQ778" s="129"/>
      <c r="DR778" s="156">
        <f t="shared" si="576"/>
        <v>0</v>
      </c>
      <c r="DS778" s="129" t="s">
        <v>182</v>
      </c>
      <c r="DT778" s="129">
        <v>48</v>
      </c>
      <c r="DU778" s="156">
        <f t="shared" si="577"/>
        <v>4.8979591836734695</v>
      </c>
      <c r="DV778" s="129" t="s">
        <v>182</v>
      </c>
      <c r="DW778" s="129" t="s">
        <v>191</v>
      </c>
      <c r="DX778" s="129"/>
      <c r="DY778" s="129"/>
      <c r="DZ778" s="129"/>
      <c r="EA778" s="129"/>
      <c r="EB778" s="129" t="s">
        <v>182</v>
      </c>
      <c r="EC778" s="129" t="s">
        <v>5437</v>
      </c>
      <c r="ED778" s="129"/>
      <c r="EE778" s="129" t="str">
        <f t="shared" si="1029"/>
        <v>Completo</v>
      </c>
      <c r="EF778" s="153"/>
      <c r="EG778" s="129" t="s">
        <v>153</v>
      </c>
      <c r="EH778" s="151"/>
      <c r="EI778" s="310" t="s">
        <v>5438</v>
      </c>
      <c r="EJ778" s="151"/>
      <c r="EK778" s="129"/>
      <c r="EL778" s="157" t="str">
        <f t="shared" ref="EL778:EL783" si="1050">IF(F778="NO","No requiere",IF(H778="No","No requiere",IF(DW778="","",IF(DW778&lt;&gt;"No aplica",IF(DX778&lt;&gt;"No aplica",IF(DX778&gt;=2,"Sí","No"),"No aplica"),"No aplica"))))</f>
        <v>No</v>
      </c>
      <c r="EM778" s="157" t="str">
        <f t="shared" ref="EM778:EM783" si="1051">IF(F778="NO","No requiere",IF(H778="No","No requiere",IF(DW778="","",IF(DW778&lt;&gt;"No aplica",IF(DY778&lt;&gt;"No aplica",IF(DY778&gt;=1,"Sí","No"),"No aplica"),"No aplica"))))</f>
        <v>No</v>
      </c>
      <c r="EN778" s="157" t="str">
        <f t="shared" si="1032"/>
        <v>Sí</v>
      </c>
      <c r="EO778" s="151"/>
      <c r="EP778" s="154">
        <f t="shared" ref="EP778:EP783" si="1052">IF(F778="NO","No requiere",IF(H778="No","No requiere",IF(DL778="","",IF(DL778&gt;=1,DM778/DL778,"No aplica"))))</f>
        <v>1</v>
      </c>
      <c r="EQ778" s="158">
        <f t="shared" ref="EQ778:EQ783" si="1053">IFERROR(IF(F778="NO","No requiere",IF(H778="No","No requiere",DU778)),"")</f>
        <v>4.8979591836734695</v>
      </c>
      <c r="ER778" s="151"/>
      <c r="ES778" s="129"/>
      <c r="ET778" s="154">
        <f t="shared" ref="ET778:ET783" si="1054">IF(F778="NO","No requiere",IF(H778="No","No requiere",IFERROR(COUNTIF(DJ778:DW778,"Completo")/SUM(COUNTIF(DJ778:DW778,"Completo"),COUNTIF(DJ778:DW778,"Incompleto"),COUNTIF(DJ778:DW778,"No subido"),COUNTIF(DJ778:DW778,"No existente"),COUNTIF(DJ778:DW778,"Pendiente")),"")))</f>
        <v>0.83333333333333337</v>
      </c>
      <c r="EU778" s="154">
        <f t="shared" si="1036"/>
        <v>1</v>
      </c>
      <c r="EV778" s="154" t="str">
        <f t="shared" ref="EV778:EV783" si="1055">IF(EU778="Por verificar","Por verificar",IF(F778="NO","No requiere",IF(H778="No","No requiere",IFERROR(IF(EU778="","",IF(CK778&gt;=1,DA778/CZ778,"No aplica")),"No aplica"))))</f>
        <v>No aplica</v>
      </c>
      <c r="EW778" s="154" t="str">
        <f t="shared" si="581"/>
        <v>0%</v>
      </c>
      <c r="EX778" s="159"/>
      <c r="EY778" s="159"/>
    </row>
    <row r="779" spans="1:215" s="304" customFormat="1" ht="46.5" customHeight="1">
      <c r="A779" s="79">
        <v>775</v>
      </c>
      <c r="B779" s="80" t="s">
        <v>5439</v>
      </c>
      <c r="C779" s="81">
        <v>45498</v>
      </c>
      <c r="D779" s="82">
        <v>0.33333333333333331</v>
      </c>
      <c r="E779" s="79" t="s">
        <v>151</v>
      </c>
      <c r="F779" s="79" t="s">
        <v>153</v>
      </c>
      <c r="G779" s="79" t="s">
        <v>153</v>
      </c>
      <c r="H779" s="79" t="s">
        <v>152</v>
      </c>
      <c r="I779" s="79" t="s">
        <v>152</v>
      </c>
      <c r="J779" s="79" t="s">
        <v>3999</v>
      </c>
      <c r="K779" s="79" t="s">
        <v>155</v>
      </c>
      <c r="L779" s="80" t="s">
        <v>5440</v>
      </c>
      <c r="M779" s="80" t="s">
        <v>241</v>
      </c>
      <c r="N779" s="79" t="s">
        <v>1387</v>
      </c>
      <c r="O779" s="80" t="str">
        <f t="shared" si="1048"/>
        <v/>
      </c>
      <c r="P779" s="79"/>
      <c r="Q779" s="79"/>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t="s">
        <v>304</v>
      </c>
      <c r="AP779" s="79"/>
      <c r="AQ779" s="80" t="s">
        <v>4472</v>
      </c>
      <c r="AR779" s="83" t="s">
        <v>5441</v>
      </c>
      <c r="AS779" s="80" t="s">
        <v>5442</v>
      </c>
      <c r="AT779" s="80" t="str">
        <f t="shared" si="950"/>
        <v>Barrios Unidos</v>
      </c>
      <c r="AU779" s="79" t="s">
        <v>1031</v>
      </c>
      <c r="AV779" s="79"/>
      <c r="AW779" s="79"/>
      <c r="AX779" s="79"/>
      <c r="AY779" s="79"/>
      <c r="AZ779" s="79"/>
      <c r="BA779" s="80" t="str">
        <f t="shared" si="1000"/>
        <v>Centro Ampliado</v>
      </c>
      <c r="BB779" s="79" t="s">
        <v>636</v>
      </c>
      <c r="BC779" s="79"/>
      <c r="BD779" s="79"/>
      <c r="BE779" s="79"/>
      <c r="BF779" s="79"/>
      <c r="BG779" s="79"/>
      <c r="BH779" s="80" t="str">
        <f t="shared" si="1001"/>
        <v>Barrios Unidos</v>
      </c>
      <c r="BI779" s="79" t="s">
        <v>1031</v>
      </c>
      <c r="BJ779" s="79"/>
      <c r="BK779" s="79"/>
      <c r="BL779" s="79"/>
      <c r="BM779" s="79"/>
      <c r="BN779" s="79"/>
      <c r="BO779" s="79"/>
      <c r="BP779" s="79"/>
      <c r="BQ779" s="79"/>
      <c r="BR779" s="79"/>
      <c r="BS779" s="80" t="s">
        <v>3904</v>
      </c>
      <c r="BT779" s="80" t="s">
        <v>4412</v>
      </c>
      <c r="BU779" s="80" t="s">
        <v>5350</v>
      </c>
      <c r="BV779" s="71"/>
      <c r="BW779" s="79" t="s">
        <v>152</v>
      </c>
      <c r="BX779" s="79" t="s">
        <v>179</v>
      </c>
      <c r="BY779" s="71"/>
      <c r="BZ779" s="79">
        <v>25</v>
      </c>
      <c r="CA779" s="79">
        <v>1</v>
      </c>
      <c r="CB779" s="79">
        <f t="shared" si="1023"/>
        <v>26</v>
      </c>
      <c r="CC779" s="79" t="str">
        <f t="shared" si="382"/>
        <v>Ninguna</v>
      </c>
      <c r="CD779" s="79" t="s">
        <v>174</v>
      </c>
      <c r="CE779" s="79"/>
      <c r="CF779" s="79"/>
      <c r="CG779" s="83" t="s">
        <v>5443</v>
      </c>
      <c r="CH779" s="41"/>
      <c r="CI779" s="79" t="s">
        <v>152</v>
      </c>
      <c r="CJ779" s="71"/>
      <c r="CK779" s="79">
        <f t="shared" si="1024"/>
        <v>0</v>
      </c>
      <c r="CL779" s="79"/>
      <c r="CM779" s="79"/>
      <c r="CN779" s="79"/>
      <c r="CO779" s="79"/>
      <c r="CP779" s="79"/>
      <c r="CQ779" s="79"/>
      <c r="CR779" s="83" t="s">
        <v>1545</v>
      </c>
      <c r="CS779" s="83" t="s">
        <v>1545</v>
      </c>
      <c r="CT779" s="83" t="s">
        <v>1545</v>
      </c>
      <c r="CU779" s="83" t="s">
        <v>1545</v>
      </c>
      <c r="CV779" s="83" t="s">
        <v>1545</v>
      </c>
      <c r="CW779" s="83" t="s">
        <v>1545</v>
      </c>
      <c r="CX779" s="79" t="s">
        <v>153</v>
      </c>
      <c r="CY779" s="79">
        <f t="shared" si="1025"/>
        <v>0</v>
      </c>
      <c r="CZ779" s="79">
        <v>0</v>
      </c>
      <c r="DA779" s="79">
        <f t="shared" si="1026"/>
        <v>0</v>
      </c>
      <c r="DB779" s="84" t="str">
        <f t="shared" si="1027"/>
        <v/>
      </c>
      <c r="DC779" s="41"/>
      <c r="DD779" s="79" t="s">
        <v>153</v>
      </c>
      <c r="DE779" s="71"/>
      <c r="DF779" s="127" t="s">
        <v>5444</v>
      </c>
      <c r="DG779" s="79">
        <v>767</v>
      </c>
      <c r="DH779" s="86" t="str">
        <f t="shared" si="1049"/>
        <v>Completo</v>
      </c>
      <c r="DI779" s="79" t="s">
        <v>181</v>
      </c>
      <c r="DJ779" s="79" t="s">
        <v>182</v>
      </c>
      <c r="DK779" s="79"/>
      <c r="DL779" s="79">
        <v>0</v>
      </c>
      <c r="DM779" s="79">
        <v>0</v>
      </c>
      <c r="DN779" s="79" t="s">
        <v>182</v>
      </c>
      <c r="DO779" s="79"/>
      <c r="DP779" s="79"/>
      <c r="DQ779" s="79"/>
      <c r="DR779" s="75" t="str">
        <f t="shared" si="576"/>
        <v>No aplica</v>
      </c>
      <c r="DS779" s="79"/>
      <c r="DT779" s="79"/>
      <c r="DU779" s="75" t="str">
        <f t="shared" si="577"/>
        <v>No aplica</v>
      </c>
      <c r="DV779" s="79" t="s">
        <v>182</v>
      </c>
      <c r="DW779" s="79" t="s">
        <v>182</v>
      </c>
      <c r="DX779" s="79"/>
      <c r="DY779" s="79"/>
      <c r="DZ779" s="79"/>
      <c r="EA779" s="79"/>
      <c r="EB779" s="79" t="s">
        <v>182</v>
      </c>
      <c r="EC779" s="79" t="s">
        <v>5353</v>
      </c>
      <c r="ED779" s="79" t="s">
        <v>3866</v>
      </c>
      <c r="EE779" s="79" t="str">
        <f t="shared" si="1029"/>
        <v>Completo</v>
      </c>
      <c r="EF779" s="41"/>
      <c r="EG779" s="79" t="s">
        <v>153</v>
      </c>
      <c r="EH779" s="71"/>
      <c r="EI779" s="80"/>
      <c r="EJ779" s="71"/>
      <c r="EK779" s="79"/>
      <c r="EL779" s="87" t="str">
        <f t="shared" si="1050"/>
        <v>No requiere</v>
      </c>
      <c r="EM779" s="87" t="str">
        <f t="shared" si="1051"/>
        <v>No requiere</v>
      </c>
      <c r="EN779" s="87" t="str">
        <f t="shared" si="1032"/>
        <v>No requiere</v>
      </c>
      <c r="EO779" s="71"/>
      <c r="EP779" s="84" t="str">
        <f t="shared" si="1052"/>
        <v>No requiere</v>
      </c>
      <c r="EQ779" s="88" t="str">
        <f t="shared" si="1053"/>
        <v>No requiere</v>
      </c>
      <c r="ER779" s="71"/>
      <c r="ES779" s="79"/>
      <c r="ET779" s="84" t="str">
        <f t="shared" si="1054"/>
        <v>No requiere</v>
      </c>
      <c r="EU779" s="84" t="str">
        <f t="shared" si="1036"/>
        <v>No requiere</v>
      </c>
      <c r="EV779" s="84" t="str">
        <f t="shared" si="1055"/>
        <v>No requiere</v>
      </c>
      <c r="EW779" s="84" t="str">
        <f t="shared" si="581"/>
        <v>No requiere</v>
      </c>
      <c r="EX779" s="78"/>
      <c r="EY779" s="78"/>
      <c r="EZ779" s="179"/>
      <c r="FA779" s="179"/>
    </row>
    <row r="780" spans="1:215" ht="46.5" customHeight="1">
      <c r="A780" s="79">
        <v>776</v>
      </c>
      <c r="B780" s="80" t="s">
        <v>5445</v>
      </c>
      <c r="C780" s="81">
        <v>45498</v>
      </c>
      <c r="D780" s="82">
        <v>0.35416666666666669</v>
      </c>
      <c r="E780" s="79" t="s">
        <v>200</v>
      </c>
      <c r="F780" s="79" t="s">
        <v>153</v>
      </c>
      <c r="G780" s="79" t="s">
        <v>152</v>
      </c>
      <c r="H780" s="79" t="s">
        <v>152</v>
      </c>
      <c r="I780" s="79" t="s">
        <v>152</v>
      </c>
      <c r="J780" s="79" t="s">
        <v>504</v>
      </c>
      <c r="K780" s="79" t="s">
        <v>155</v>
      </c>
      <c r="L780" s="80" t="s">
        <v>5446</v>
      </c>
      <c r="M780" s="80" t="s">
        <v>624</v>
      </c>
      <c r="N780" s="79" t="s">
        <v>819</v>
      </c>
      <c r="O780" s="80" t="str">
        <f>_xlfn.TEXTJOIN(", ",TRUE,P780:AN780)</f>
        <v/>
      </c>
      <c r="P780" s="79"/>
      <c r="Q780" s="79"/>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t="s">
        <v>169</v>
      </c>
      <c r="AP780" s="79" t="s">
        <v>2702</v>
      </c>
      <c r="AQ780" s="80" t="s">
        <v>5447</v>
      </c>
      <c r="AR780" s="83" t="s">
        <v>171</v>
      </c>
      <c r="AS780" s="80" t="s">
        <v>5448</v>
      </c>
      <c r="AT780" s="80" t="str">
        <f>_xlfn.TEXTJOIN(", ",TRUE,$AU780:$AY780)</f>
        <v>Suba</v>
      </c>
      <c r="AU780" s="79" t="s">
        <v>602</v>
      </c>
      <c r="AV780" s="79"/>
      <c r="AW780" s="79"/>
      <c r="AX780" s="79"/>
      <c r="AY780" s="79"/>
      <c r="AZ780" s="79"/>
      <c r="BA780" s="80" t="str">
        <f>_xlfn.TEXTJOIN(", ",TRUE,$BB780:$BG780)</f>
        <v>Noroccidente</v>
      </c>
      <c r="BB780" s="79" t="s">
        <v>603</v>
      </c>
      <c r="BC780" s="79"/>
      <c r="BD780" s="79"/>
      <c r="BE780" s="79"/>
      <c r="BF780" s="79"/>
      <c r="BG780" s="79"/>
      <c r="BH780" s="80" t="str">
        <f>_xlfn.TEXTJOIN(", ",TRUE,$BI780:$BR780)</f>
        <v>Suba</v>
      </c>
      <c r="BI780" s="79" t="s">
        <v>602</v>
      </c>
      <c r="BJ780" s="79"/>
      <c r="BK780" s="79"/>
      <c r="BL780" s="79"/>
      <c r="BM780" s="79"/>
      <c r="BN780" s="79"/>
      <c r="BO780" s="79"/>
      <c r="BP780" s="79"/>
      <c r="BQ780" s="79"/>
      <c r="BR780" s="79"/>
      <c r="BS780" s="80" t="s">
        <v>288</v>
      </c>
      <c r="BT780" s="80" t="s">
        <v>4412</v>
      </c>
      <c r="BU780" s="80" t="s">
        <v>5449</v>
      </c>
      <c r="BV780" s="71"/>
      <c r="BW780" s="79" t="s">
        <v>152</v>
      </c>
      <c r="BX780" s="79" t="s">
        <v>179</v>
      </c>
      <c r="BY780" s="71"/>
      <c r="BZ780" s="79">
        <v>18</v>
      </c>
      <c r="CA780" s="79">
        <v>1</v>
      </c>
      <c r="CB780" s="79">
        <f>BZ780+CA780</f>
        <v>19</v>
      </c>
      <c r="CC780" s="79" t="str">
        <f>_xlfn.TEXTJOIN(", ",TRUE,$CD780:$CF780)</f>
        <v>Horarios Acordes</v>
      </c>
      <c r="CD780" s="79" t="s">
        <v>351</v>
      </c>
      <c r="CE780" s="79"/>
      <c r="CF780" s="79"/>
      <c r="CG780" s="83" t="s">
        <v>5450</v>
      </c>
      <c r="CH780" s="41"/>
      <c r="CI780" s="79"/>
      <c r="CJ780" s="71"/>
      <c r="CK780" s="79">
        <f>COUNTIF(CL780:CQ780,"*")</f>
        <v>0</v>
      </c>
      <c r="CL780" s="79"/>
      <c r="CM780" s="79"/>
      <c r="CN780" s="79"/>
      <c r="CO780" s="79"/>
      <c r="CP780" s="79"/>
      <c r="CQ780" s="79"/>
      <c r="CR780" s="83" t="s">
        <v>179</v>
      </c>
      <c r="CS780" s="83" t="s">
        <v>179</v>
      </c>
      <c r="CT780" s="83" t="s">
        <v>179</v>
      </c>
      <c r="CU780" s="83" t="s">
        <v>179</v>
      </c>
      <c r="CV780" s="83" t="s">
        <v>179</v>
      </c>
      <c r="CW780" s="83" t="s">
        <v>179</v>
      </c>
      <c r="CX780" s="79" t="s">
        <v>153</v>
      </c>
      <c r="CY780" s="79">
        <f>SUM(COUNTIF(CR780:CW780,"Realizado y Devuelto a la Ciudadanía"),COUNTIF(CR780:CW780,"Realizado y Trasladado por competencia"), COUNTIF(CR780:CW780,"Realizado y Gestionado"))</f>
        <v>0</v>
      </c>
      <c r="CZ780" s="79">
        <v>0</v>
      </c>
      <c r="DA780" s="79">
        <f>COUNTIF(CR780:CW780,"Realizado y Devuelto a la Ciudadanía")</f>
        <v>0</v>
      </c>
      <c r="DB780" s="84" t="str">
        <f>IFERROR(CY780/CK780,"")</f>
        <v/>
      </c>
      <c r="DC780" s="41"/>
      <c r="DD780" s="79" t="s">
        <v>153</v>
      </c>
      <c r="DE780" s="71"/>
      <c r="DF780" s="127" t="s">
        <v>5451</v>
      </c>
      <c r="DG780" s="79">
        <v>768</v>
      </c>
      <c r="DH780" s="86" t="str">
        <f>IF(EE780="Por completar",C780+3,"Completo")</f>
        <v>Completo</v>
      </c>
      <c r="DI780" s="79" t="s">
        <v>181</v>
      </c>
      <c r="DJ780" s="79" t="s">
        <v>182</v>
      </c>
      <c r="DK780" s="79"/>
      <c r="DL780" s="79">
        <v>0</v>
      </c>
      <c r="DM780" s="79">
        <v>0</v>
      </c>
      <c r="DN780" s="79" t="s">
        <v>182</v>
      </c>
      <c r="DO780" s="79"/>
      <c r="DP780" s="79"/>
      <c r="DQ780" s="79"/>
      <c r="DR780" s="75" t="str">
        <f>IF(H780="SÍ", (DQ780/(BZ780*0.3)), "No aplica")</f>
        <v>No aplica</v>
      </c>
      <c r="DS780" s="79"/>
      <c r="DT780" s="79"/>
      <c r="DU780" s="75" t="str">
        <f>IF(H780="SÍ", (DT780/(BZ780*0.35)), "No aplica")</f>
        <v>No aplica</v>
      </c>
      <c r="DV780" s="79" t="s">
        <v>182</v>
      </c>
      <c r="DW780" s="79" t="s">
        <v>182</v>
      </c>
      <c r="DX780" s="79"/>
      <c r="DY780" s="79"/>
      <c r="DZ780" s="79"/>
      <c r="EA780" s="79"/>
      <c r="EB780" s="79" t="s">
        <v>182</v>
      </c>
      <c r="EC780" s="79" t="s">
        <v>5452</v>
      </c>
      <c r="ED780" s="79" t="s">
        <v>4009</v>
      </c>
      <c r="EE780" s="79" t="str">
        <f>IF(DI780="Subsanado","Completo","Por Completar")</f>
        <v>Completo</v>
      </c>
      <c r="EF780" s="41"/>
      <c r="EG780" s="79" t="s">
        <v>153</v>
      </c>
      <c r="EH780" s="71"/>
      <c r="EI780" s="80"/>
      <c r="EJ780" s="71"/>
      <c r="EK780" s="79"/>
      <c r="EL780" s="87" t="str">
        <f>IF(F780="NO","No requiere",IF(H780="No","No requiere",IF(DW780="","",IF(DW780&lt;&gt;"No aplica",IF(DX780&lt;&gt;"No aplica",IF(DX780&gt;=2,"Sí","No"),"No aplica"),"No aplica"))))</f>
        <v>No requiere</v>
      </c>
      <c r="EM780" s="87" t="str">
        <f>IF(F780="NO","No requiere",IF(H780="No","No requiere",IF(DW780="","",IF(DW780&lt;&gt;"No aplica",IF(DY780&lt;&gt;"No aplica",IF(DY780&gt;=1,"Sí","No"),"No aplica"),"No aplica"))))</f>
        <v>No requiere</v>
      </c>
      <c r="EN780" s="87" t="str">
        <f>IF(F780="NO","No requiere",IF(H780="No","No requiere",IF(CC780="","",IF(CD780&lt;&gt;"No aplica",IF(CD780&lt;&gt;"Ninguna",IF(COUNTIF(CD780:CF780,"*")&gt;=1,"Sí","No"),"No"),"No aplica"))))</f>
        <v>No requiere</v>
      </c>
      <c r="EO780" s="71"/>
      <c r="EP780" s="84" t="str">
        <f>IF(F780="NO","No requiere",IF(H780="No","No requiere",IF(DL780="","",IF(DL780&gt;=1,DM780/DL780,"No aplica"))))</f>
        <v>No requiere</v>
      </c>
      <c r="EQ780" s="88" t="str">
        <f>IFERROR(IF(F780="NO","No requiere",IF(H780="No","No requiere",DU780)),"")</f>
        <v>No requiere</v>
      </c>
      <c r="ER780" s="71"/>
      <c r="ES780" s="79"/>
      <c r="ET780" s="84" t="str">
        <f>IF(F780="NO","No requiere",IF(H780="No","No requiere",IFERROR(COUNTIF(DJ780:DW780,"Completo")/SUM(COUNTIF(DJ780:DW780,"Completo"),COUNTIF(DJ780:DW780,"Incompleto"),COUNTIF(DJ780:DW780,"No subido"),COUNTIF(DJ780:DW780,"No existente"),COUNTIF(DJ780:DW780,"Pendiente")),"")))</f>
        <v>No requiere</v>
      </c>
      <c r="EU780" s="84" t="str">
        <f>IF(F780="NO","No requiere",IF(H780="No","No requiere",IF(B780="","",IF(CX780="SÍ",IF(CK780&gt;=1,CY780/CK780,"Sin compromisos"),"Por verificar"))))</f>
        <v>No requiere</v>
      </c>
      <c r="EV780" s="84" t="str">
        <f>IF(EU780="Por verificar","Por verificar",IF(F780="NO","No requiere",IF(H780="No","No requiere",IFERROR(IF(EU780="","",IF(CK780&gt;=1,DA780/CZ780,"No aplica")),"No aplica"))))</f>
        <v>No requiere</v>
      </c>
      <c r="EW780" s="84" t="str">
        <f>IF(F780="NO","No requiere",IF(H780="No","No requiere",IFERROR(IF(BZ780="","",IF(EA780&lt;&gt;"No aplica",IF(EA780&gt;=1,DO780/EA780,"0%"),"No aplica")),"")))</f>
        <v>No requiere</v>
      </c>
      <c r="EX780" s="78"/>
      <c r="EY780" s="78"/>
    </row>
    <row r="781" spans="1:215" ht="58.5" customHeight="1">
      <c r="A781" s="79" t="str">
        <v/>
      </c>
      <c r="B781" s="80" t="s">
        <v>5453</v>
      </c>
      <c r="C781" s="81">
        <v>45498</v>
      </c>
      <c r="D781" s="82">
        <v>0.58333333333333337</v>
      </c>
      <c r="E781" s="79" t="s">
        <v>151</v>
      </c>
      <c r="F781" s="79" t="s">
        <v>152</v>
      </c>
      <c r="G781" s="79" t="s">
        <v>152</v>
      </c>
      <c r="H781" s="79" t="s">
        <v>152</v>
      </c>
      <c r="I781" s="79" t="s">
        <v>152</v>
      </c>
      <c r="J781" s="79" t="s">
        <v>1711</v>
      </c>
      <c r="K781" s="79" t="s">
        <v>155</v>
      </c>
      <c r="L781" s="80" t="s">
        <v>5454</v>
      </c>
      <c r="M781" s="80" t="s">
        <v>157</v>
      </c>
      <c r="N781" s="79" t="s">
        <v>163</v>
      </c>
      <c r="O781" s="80" t="str">
        <f>_xlfn.TEXTJOIN(", ",TRUE,P781:AN781)</f>
        <v>Laura Camila Bechara, Luz Maritza Acero</v>
      </c>
      <c r="P781" s="79" t="s">
        <v>887</v>
      </c>
      <c r="Q781" s="79" t="s">
        <v>167</v>
      </c>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t="s">
        <v>230</v>
      </c>
      <c r="AP781" s="79" t="s">
        <v>347</v>
      </c>
      <c r="AQ781" s="80" t="s">
        <v>1713</v>
      </c>
      <c r="AR781" s="83" t="s">
        <v>5455</v>
      </c>
      <c r="AS781" s="80" t="s">
        <v>1714</v>
      </c>
      <c r="AT781" s="80" t="str">
        <f>_xlfn.TEXTJOIN(", ",TRUE,$AU781:$AY781)</f>
        <v>Distrital</v>
      </c>
      <c r="AU781" s="79" t="s">
        <v>172</v>
      </c>
      <c r="AV781" s="79"/>
      <c r="AW781" s="79"/>
      <c r="AX781" s="79"/>
      <c r="AY781" s="79"/>
      <c r="AZ781" s="79"/>
      <c r="BA781" s="80" t="str">
        <f>_xlfn.TEXTJOIN(", ",TRUE,$BB781:$BG781)</f>
        <v>Distrital</v>
      </c>
      <c r="BB781" s="79" t="s">
        <v>172</v>
      </c>
      <c r="BC781" s="79"/>
      <c r="BD781" s="79"/>
      <c r="BE781" s="79"/>
      <c r="BF781" s="79"/>
      <c r="BG781" s="79"/>
      <c r="BH781" s="80" t="str">
        <f>_xlfn.TEXTJOIN(", ",TRUE,$BI781:$BR781)</f>
        <v>Distrital</v>
      </c>
      <c r="BI781" s="79" t="s">
        <v>172</v>
      </c>
      <c r="BJ781" s="79"/>
      <c r="BK781" s="79"/>
      <c r="BL781" s="79"/>
      <c r="BM781" s="79"/>
      <c r="BN781" s="79"/>
      <c r="BO781" s="79"/>
      <c r="BP781" s="79"/>
      <c r="BQ781" s="79"/>
      <c r="BR781" s="79"/>
      <c r="BS781" s="80" t="s">
        <v>288</v>
      </c>
      <c r="BT781" s="80" t="s">
        <v>174</v>
      </c>
      <c r="BU781" s="80" t="s">
        <v>1715</v>
      </c>
      <c r="BV781" s="71"/>
      <c r="BW781" s="79" t="s">
        <v>152</v>
      </c>
      <c r="BX781" s="79" t="s">
        <v>179</v>
      </c>
      <c r="BY781" s="71"/>
      <c r="BZ781" s="79">
        <v>1</v>
      </c>
      <c r="CA781" s="79">
        <v>7</v>
      </c>
      <c r="CB781" s="79">
        <f>BZ781+CA781</f>
        <v>8</v>
      </c>
      <c r="CC781" s="79" t="str">
        <f>_xlfn.TEXTJOIN(", ",TRUE,$CD781:$CF781)</f>
        <v>Contenidos adaptados</v>
      </c>
      <c r="CD781" s="79" t="s">
        <v>350</v>
      </c>
      <c r="CE781" s="79"/>
      <c r="CF781" s="79"/>
      <c r="CG781" s="83" t="s">
        <v>5456</v>
      </c>
      <c r="CH781" s="41"/>
      <c r="CI781" s="79"/>
      <c r="CJ781" s="71"/>
      <c r="CK781" s="79">
        <f>COUNTIF(CL781:CQ781,"*")</f>
        <v>0</v>
      </c>
      <c r="CL781" s="79"/>
      <c r="CM781" s="79"/>
      <c r="CN781" s="79"/>
      <c r="CO781" s="79"/>
      <c r="CP781" s="79"/>
      <c r="CQ781" s="79"/>
      <c r="CR781" s="83" t="s">
        <v>179</v>
      </c>
      <c r="CS781" s="83" t="s">
        <v>179</v>
      </c>
      <c r="CT781" s="83" t="s">
        <v>179</v>
      </c>
      <c r="CU781" s="83" t="s">
        <v>179</v>
      </c>
      <c r="CV781" s="83" t="s">
        <v>179</v>
      </c>
      <c r="CW781" s="83" t="s">
        <v>179</v>
      </c>
      <c r="CX781" s="79" t="s">
        <v>153</v>
      </c>
      <c r="CY781" s="79">
        <f>SUM(COUNTIF(CR781:CW781,"Realizado y Devuelto a la Ciudadanía"),COUNTIF(CR781:CW781,"Realizado y Trasladado por competencia"), COUNTIF(CR781:CW781,"Realizado y Gestionado"))</f>
        <v>0</v>
      </c>
      <c r="CZ781" s="79">
        <v>0</v>
      </c>
      <c r="DA781" s="79">
        <f>COUNTIF(CR781:CW781,"Realizado y Devuelto a la Ciudadanía")</f>
        <v>0</v>
      </c>
      <c r="DB781" s="84" t="str">
        <f>IFERROR(CY781/CK781,"")</f>
        <v/>
      </c>
      <c r="DC781" s="41"/>
      <c r="DD781" s="79"/>
      <c r="DE781" s="71"/>
      <c r="DF781" s="127" t="s">
        <v>5457</v>
      </c>
      <c r="DG781" s="79">
        <v>769</v>
      </c>
      <c r="DH781" s="86" t="str">
        <f>IF(EE781="Por completar",C781+3,"Completo")</f>
        <v>Completo</v>
      </c>
      <c r="DI781" s="79" t="s">
        <v>181</v>
      </c>
      <c r="DJ781" s="79" t="s">
        <v>182</v>
      </c>
      <c r="DK781" s="79"/>
      <c r="DL781" s="79">
        <v>0</v>
      </c>
      <c r="DM781" s="79">
        <v>0</v>
      </c>
      <c r="DN781" s="79" t="s">
        <v>182</v>
      </c>
      <c r="DO781" s="79"/>
      <c r="DP781" s="79"/>
      <c r="DQ781" s="79"/>
      <c r="DR781" s="75" t="str">
        <f>IF(H781="SÍ", (DQ781/(BZ781*0.3)), "No aplica")</f>
        <v>No aplica</v>
      </c>
      <c r="DS781" s="79"/>
      <c r="DT781" s="79"/>
      <c r="DU781" s="75" t="str">
        <f>IF(H781="SÍ", (DT781/(BZ781*0.35)), "No aplica")</f>
        <v>No aplica</v>
      </c>
      <c r="DV781" s="79" t="s">
        <v>182</v>
      </c>
      <c r="DW781" s="79" t="s">
        <v>182</v>
      </c>
      <c r="DX781" s="79"/>
      <c r="DY781" s="79"/>
      <c r="DZ781" s="79"/>
      <c r="EA781" s="79"/>
      <c r="EB781" s="79"/>
      <c r="EC781" s="79"/>
      <c r="ED781" s="79" t="s">
        <v>5458</v>
      </c>
      <c r="EE781" s="79" t="str">
        <f>IF(DI781="Subsanado","Completo","Por Completar")</f>
        <v>Completo</v>
      </c>
      <c r="EF781" s="41"/>
      <c r="EG781" s="79" t="s">
        <v>153</v>
      </c>
      <c r="EH781" s="71"/>
      <c r="EI781" s="80"/>
      <c r="EJ781" s="71"/>
      <c r="EK781" s="79"/>
      <c r="EL781" s="87" t="str">
        <f>IF(F781="NO","No requiere",IF(H781="No","No requiere",IF(DW781="","",IF(DW781&lt;&gt;"No aplica",IF(DX781&lt;&gt;"No aplica",IF(DX781&gt;=2,"Sí","No"),"No aplica"),"No aplica"))))</f>
        <v>No requiere</v>
      </c>
      <c r="EM781" s="87" t="str">
        <f>IF(F781="NO","No requiere",IF(H781="No","No requiere",IF(DW781="","",IF(DW781&lt;&gt;"No aplica",IF(DY781&lt;&gt;"No aplica",IF(DY781&gt;=1,"Sí","No"),"No aplica"),"No aplica"))))</f>
        <v>No requiere</v>
      </c>
      <c r="EN781" s="87" t="str">
        <f>IF(F781="NO","No requiere",IF(H781="No","No requiere",IF(CC781="","",IF(CD781&lt;&gt;"No aplica",IF(CD781&lt;&gt;"Ninguna",IF(COUNTIF(CD781:CF781,"*")&gt;=1,"Sí","No"),"No"),"No aplica"))))</f>
        <v>No requiere</v>
      </c>
      <c r="EO781" s="71"/>
      <c r="EP781" s="84" t="str">
        <f>IF(F781="NO","No requiere",IF(H781="No","No requiere",IF(DL781="","",IF(DL781&gt;=1,DM781/DL781,"No aplica"))))</f>
        <v>No requiere</v>
      </c>
      <c r="EQ781" s="88" t="str">
        <f>IFERROR(IF(F781="NO","No requiere",IF(H781="No","No requiere",DU781)),"")</f>
        <v>No requiere</v>
      </c>
      <c r="ER781" s="71"/>
      <c r="ES781" s="79"/>
      <c r="ET781" s="84" t="str">
        <f>IF(F781="NO","No requiere",IF(H781="No","No requiere",IFERROR(COUNTIF(DJ781:DW781,"Completo")/SUM(COUNTIF(DJ781:DW781,"Completo"),COUNTIF(DJ781:DW781,"Incompleto"),COUNTIF(DJ781:DW781,"No subido"),COUNTIF(DJ781:DW781,"No existente"),COUNTIF(DJ781:DW781,"Pendiente")),"")))</f>
        <v>No requiere</v>
      </c>
      <c r="EU781" s="84" t="str">
        <f>IF(F781="NO","No requiere",IF(H781="No","No requiere",IF(B781="","",IF(CX781="SÍ",IF(CK781&gt;=1,CY781/CK781,"Sin compromisos"),"Por verificar"))))</f>
        <v>No requiere</v>
      </c>
      <c r="EV781" s="84" t="str">
        <f>IF(EU781="Por verificar","Por verificar",IF(F781="NO","No requiere",IF(H781="No","No requiere",IFERROR(IF(EU781="","",IF(CK781&gt;=1,DA781/CZ781,"No aplica")),"No aplica"))))</f>
        <v>No requiere</v>
      </c>
      <c r="EW781" s="84" t="str">
        <f>IF(F781="NO","No requiere",IF(H781="No","No requiere",IFERROR(IF(BZ781="","",IF(EA781&lt;&gt;"No aplica",IF(EA781&gt;=1,DO781/EA781,"0%"),"No aplica")),"")))</f>
        <v>No requiere</v>
      </c>
      <c r="EX781" s="78"/>
      <c r="EY781" s="78"/>
    </row>
    <row r="782" spans="1:215" ht="64.5" customHeight="1">
      <c r="A782" s="79">
        <v>778</v>
      </c>
      <c r="B782" s="80" t="s">
        <v>5459</v>
      </c>
      <c r="C782" s="81">
        <v>45498</v>
      </c>
      <c r="D782" s="82">
        <v>0.58333333333333337</v>
      </c>
      <c r="E782" s="79" t="s">
        <v>151</v>
      </c>
      <c r="F782" s="79" t="s">
        <v>153</v>
      </c>
      <c r="G782" s="79" t="s">
        <v>153</v>
      </c>
      <c r="H782" s="79" t="s">
        <v>153</v>
      </c>
      <c r="I782" s="79" t="s">
        <v>152</v>
      </c>
      <c r="J782" s="79" t="s">
        <v>154</v>
      </c>
      <c r="K782" s="79" t="s">
        <v>155</v>
      </c>
      <c r="L782" s="80" t="s">
        <v>5460</v>
      </c>
      <c r="M782" s="80" t="s">
        <v>241</v>
      </c>
      <c r="N782" s="79" t="s">
        <v>524</v>
      </c>
      <c r="O782" s="80" t="str">
        <f t="shared" si="1048"/>
        <v>Maria Angélica Higuera, Armando Alberto Montañez, Juan Pablo Serna, Manuel Fernando Vergara, Renata Rengifo Moyano</v>
      </c>
      <c r="P782" s="79" t="s">
        <v>328</v>
      </c>
      <c r="Q782" s="79" t="s">
        <v>1387</v>
      </c>
      <c r="R782" s="306" t="s">
        <v>818</v>
      </c>
      <c r="S782" s="79" t="s">
        <v>820</v>
      </c>
      <c r="T782" s="79" t="s">
        <v>1066</v>
      </c>
      <c r="U782" s="79"/>
      <c r="V782" s="79"/>
      <c r="W782" s="79"/>
      <c r="X782" s="79"/>
      <c r="Y782" s="79"/>
      <c r="Z782" s="79"/>
      <c r="AA782" s="79"/>
      <c r="AB782" s="79"/>
      <c r="AC782" s="79"/>
      <c r="AD782" s="79"/>
      <c r="AE782" s="79"/>
      <c r="AF782" s="79"/>
      <c r="AG782" s="79"/>
      <c r="AH782" s="79"/>
      <c r="AI782" s="79"/>
      <c r="AJ782" s="79"/>
      <c r="AK782" s="79"/>
      <c r="AL782" s="79"/>
      <c r="AM782" s="79"/>
      <c r="AN782" s="79"/>
      <c r="AO782" s="79" t="s">
        <v>230</v>
      </c>
      <c r="AP782" s="79" t="s">
        <v>242</v>
      </c>
      <c r="AQ782" s="80" t="s">
        <v>171</v>
      </c>
      <c r="AR782" s="83" t="s">
        <v>171</v>
      </c>
      <c r="AS782" s="80" t="s">
        <v>171</v>
      </c>
      <c r="AT782" s="80" t="str">
        <f t="shared" si="950"/>
        <v>Distrital</v>
      </c>
      <c r="AU782" s="79" t="s">
        <v>172</v>
      </c>
      <c r="AV782" s="79"/>
      <c r="AW782" s="79"/>
      <c r="AX782" s="79"/>
      <c r="AY782" s="79"/>
      <c r="AZ782" s="79"/>
      <c r="BA782" s="80" t="str">
        <f t="shared" si="1000"/>
        <v>Distrital</v>
      </c>
      <c r="BB782" s="79" t="s">
        <v>172</v>
      </c>
      <c r="BC782" s="79"/>
      <c r="BD782" s="79"/>
      <c r="BE782" s="79"/>
      <c r="BF782" s="79"/>
      <c r="BG782" s="79"/>
      <c r="BH782" s="80" t="str">
        <f t="shared" si="1001"/>
        <v>Distrital</v>
      </c>
      <c r="BI782" s="79" t="s">
        <v>172</v>
      </c>
      <c r="BJ782" s="79"/>
      <c r="BK782" s="79"/>
      <c r="BL782" s="79"/>
      <c r="BM782" s="79"/>
      <c r="BN782" s="79"/>
      <c r="BO782" s="79"/>
      <c r="BP782" s="79"/>
      <c r="BQ782" s="79"/>
      <c r="BR782" s="79"/>
      <c r="BS782" s="80" t="s">
        <v>288</v>
      </c>
      <c r="BT782" s="80" t="s">
        <v>5461</v>
      </c>
      <c r="BU782" s="80" t="s">
        <v>5462</v>
      </c>
      <c r="BV782" s="71"/>
      <c r="BW782" s="79" t="s">
        <v>153</v>
      </c>
      <c r="BX782" s="79" t="s">
        <v>4242</v>
      </c>
      <c r="BY782" s="71"/>
      <c r="BZ782" s="79">
        <v>37</v>
      </c>
      <c r="CA782" s="79">
        <v>7</v>
      </c>
      <c r="CB782" s="79">
        <f t="shared" si="1023"/>
        <v>44</v>
      </c>
      <c r="CC782" s="79" t="str">
        <f t="shared" si="382"/>
        <v>Ninguna</v>
      </c>
      <c r="CD782" s="79" t="s">
        <v>174</v>
      </c>
      <c r="CE782" s="79"/>
      <c r="CF782" s="79"/>
      <c r="CG782" s="83" t="s">
        <v>5463</v>
      </c>
      <c r="CH782" s="41"/>
      <c r="CI782" s="79"/>
      <c r="CJ782" s="71"/>
      <c r="CK782" s="79">
        <f t="shared" si="1024"/>
        <v>0</v>
      </c>
      <c r="CL782" s="79"/>
      <c r="CM782" s="79"/>
      <c r="CN782" s="79"/>
      <c r="CO782" s="79"/>
      <c r="CP782" s="79"/>
      <c r="CQ782" s="79"/>
      <c r="CR782" s="83"/>
      <c r="CS782" s="83"/>
      <c r="CT782" s="83"/>
      <c r="CU782" s="83"/>
      <c r="CV782" s="83"/>
      <c r="CW782" s="83"/>
      <c r="CX782" s="79"/>
      <c r="CY782" s="79">
        <f t="shared" si="1025"/>
        <v>0</v>
      </c>
      <c r="CZ782" s="79">
        <v>0</v>
      </c>
      <c r="DA782" s="79">
        <f t="shared" si="1026"/>
        <v>0</v>
      </c>
      <c r="DB782" s="84" t="str">
        <f t="shared" si="1027"/>
        <v/>
      </c>
      <c r="DC782" s="41"/>
      <c r="DD782" s="79" t="s">
        <v>152</v>
      </c>
      <c r="DE782" s="71"/>
      <c r="DF782" s="133" t="s">
        <v>5464</v>
      </c>
      <c r="DG782" s="79">
        <v>770</v>
      </c>
      <c r="DH782" s="86">
        <f t="shared" si="1049"/>
        <v>45501</v>
      </c>
      <c r="DI782" s="79" t="s">
        <v>1246</v>
      </c>
      <c r="DJ782" s="79" t="s">
        <v>2659</v>
      </c>
      <c r="DK782" s="79"/>
      <c r="DL782" s="79">
        <v>0</v>
      </c>
      <c r="DM782" s="79">
        <v>0</v>
      </c>
      <c r="DN782" s="79" t="s">
        <v>182</v>
      </c>
      <c r="DO782" s="79">
        <v>160</v>
      </c>
      <c r="DP782" s="79" t="s">
        <v>182</v>
      </c>
      <c r="DQ782" s="79">
        <v>25</v>
      </c>
      <c r="DR782" s="75">
        <f t="shared" si="576"/>
        <v>2.2522522522522523</v>
      </c>
      <c r="DS782" s="79" t="s">
        <v>191</v>
      </c>
      <c r="DT782" s="79"/>
      <c r="DU782" s="75">
        <f t="shared" si="577"/>
        <v>0</v>
      </c>
      <c r="DV782" s="79" t="s">
        <v>182</v>
      </c>
      <c r="DW782" s="79" t="s">
        <v>182</v>
      </c>
      <c r="DX782" s="79">
        <v>2</v>
      </c>
      <c r="DY782" s="79"/>
      <c r="DZ782" s="79"/>
      <c r="EA782" s="79"/>
      <c r="EB782" s="79" t="s">
        <v>182</v>
      </c>
      <c r="EC782" s="79" t="s">
        <v>5465</v>
      </c>
      <c r="ED782" s="79" t="s">
        <v>5466</v>
      </c>
      <c r="EE782" s="79" t="str">
        <f t="shared" si="1029"/>
        <v>Por Completar</v>
      </c>
      <c r="EF782" s="41"/>
      <c r="EG782" s="79" t="s">
        <v>152</v>
      </c>
      <c r="EH782" s="71"/>
      <c r="EI782" s="80"/>
      <c r="EJ782" s="71"/>
      <c r="EK782" s="79" t="s">
        <v>393</v>
      </c>
      <c r="EL782" s="87" t="str">
        <f t="shared" si="1050"/>
        <v>Sí</v>
      </c>
      <c r="EM782" s="87" t="str">
        <f t="shared" si="1051"/>
        <v>No</v>
      </c>
      <c r="EN782" s="87" t="str">
        <f t="shared" si="1032"/>
        <v>No</v>
      </c>
      <c r="EO782" s="71"/>
      <c r="EP782" s="84" t="str">
        <f t="shared" si="1052"/>
        <v>No aplica</v>
      </c>
      <c r="EQ782" s="88">
        <f t="shared" si="1053"/>
        <v>0</v>
      </c>
      <c r="ER782" s="71"/>
      <c r="ES782" s="79" t="s">
        <v>393</v>
      </c>
      <c r="ET782" s="84">
        <f t="shared" si="1054"/>
        <v>0.66666666666666663</v>
      </c>
      <c r="EU782" s="84" t="str">
        <f t="shared" si="1036"/>
        <v>Por verificar</v>
      </c>
      <c r="EV782" s="84" t="str">
        <f t="shared" si="1055"/>
        <v>Por verificar</v>
      </c>
      <c r="EW782" s="84" t="str">
        <f t="shared" si="581"/>
        <v>0%</v>
      </c>
      <c r="EX782" s="78"/>
      <c r="EY782" s="78"/>
    </row>
    <row r="783" spans="1:215" ht="64.5" customHeight="1">
      <c r="A783" s="79">
        <v>779</v>
      </c>
      <c r="B783" s="80" t="s">
        <v>4316</v>
      </c>
      <c r="C783" s="81">
        <v>45499</v>
      </c>
      <c r="D783" s="82">
        <v>0.375</v>
      </c>
      <c r="E783" s="79" t="s">
        <v>151</v>
      </c>
      <c r="F783" s="79" t="s">
        <v>153</v>
      </c>
      <c r="G783" s="79" t="s">
        <v>152</v>
      </c>
      <c r="H783" s="79" t="s">
        <v>152</v>
      </c>
      <c r="I783" s="79" t="s">
        <v>152</v>
      </c>
      <c r="J783" s="79" t="s">
        <v>2615</v>
      </c>
      <c r="K783" s="79" t="s">
        <v>155</v>
      </c>
      <c r="L783" s="80" t="s">
        <v>4317</v>
      </c>
      <c r="M783" s="80" t="s">
        <v>624</v>
      </c>
      <c r="N783" s="79" t="s">
        <v>632</v>
      </c>
      <c r="O783" s="80" t="str">
        <f t="shared" si="1048"/>
        <v>Freddy Martínez</v>
      </c>
      <c r="P783" s="79" t="s">
        <v>3049</v>
      </c>
      <c r="Q783" s="79"/>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t="s">
        <v>169</v>
      </c>
      <c r="AP783" s="79" t="s">
        <v>170</v>
      </c>
      <c r="AQ783" s="80" t="s">
        <v>5332</v>
      </c>
      <c r="AR783" s="83" t="s">
        <v>5333</v>
      </c>
      <c r="AS783" s="80" t="s">
        <v>5334</v>
      </c>
      <c r="AT783" s="80" t="str">
        <f>_xlfn.TEXTJOIN(", ",TRUE,$AU783:$AY783)</f>
        <v>Distrital</v>
      </c>
      <c r="AU783" s="79" t="s">
        <v>172</v>
      </c>
      <c r="AV783" s="79"/>
      <c r="AW783" s="79"/>
      <c r="AX783" s="79"/>
      <c r="AY783" s="79"/>
      <c r="AZ783" s="79"/>
      <c r="BA783" s="80" t="str">
        <f>_xlfn.TEXTJOIN(", ",TRUE,$BB783:$BG783)</f>
        <v>Distrital</v>
      </c>
      <c r="BB783" s="79" t="s">
        <v>172</v>
      </c>
      <c r="BC783" s="79"/>
      <c r="BD783" s="79"/>
      <c r="BE783" s="79"/>
      <c r="BF783" s="79"/>
      <c r="BG783" s="79"/>
      <c r="BH783" s="80" t="str">
        <f>_xlfn.TEXTJOIN(", ",TRUE,$BI783:$BR783)</f>
        <v>Distrital</v>
      </c>
      <c r="BI783" s="79" t="s">
        <v>172</v>
      </c>
      <c r="BJ783" s="79"/>
      <c r="BK783" s="79"/>
      <c r="BL783" s="79"/>
      <c r="BM783" s="79"/>
      <c r="BN783" s="79"/>
      <c r="BO783" s="79"/>
      <c r="BP783" s="79"/>
      <c r="BQ783" s="79"/>
      <c r="BR783" s="79"/>
      <c r="BS783" s="80" t="s">
        <v>5335</v>
      </c>
      <c r="BT783" s="80" t="s">
        <v>4321</v>
      </c>
      <c r="BU783" s="80" t="s">
        <v>5336</v>
      </c>
      <c r="BV783" s="71"/>
      <c r="BW783" s="79" t="s">
        <v>152</v>
      </c>
      <c r="BX783" s="79" t="s">
        <v>179</v>
      </c>
      <c r="BY783" s="71"/>
      <c r="BZ783" s="79">
        <v>14</v>
      </c>
      <c r="CA783" s="79">
        <v>3</v>
      </c>
      <c r="CB783" s="79">
        <f t="shared" si="1023"/>
        <v>17</v>
      </c>
      <c r="CC783" s="79" t="str">
        <f t="shared" si="382"/>
        <v>Ninguna</v>
      </c>
      <c r="CD783" s="79" t="s">
        <v>174</v>
      </c>
      <c r="CE783" s="79"/>
      <c r="CF783" s="79"/>
      <c r="CG783" s="83" t="s">
        <v>5230</v>
      </c>
      <c r="CH783" s="41"/>
      <c r="CI783" s="79" t="s">
        <v>153</v>
      </c>
      <c r="CJ783" s="71"/>
      <c r="CK783" s="79">
        <f t="shared" si="1024"/>
        <v>0</v>
      </c>
      <c r="CL783" s="79"/>
      <c r="CM783" s="79"/>
      <c r="CN783" s="79"/>
      <c r="CO783" s="79"/>
      <c r="CP783" s="79"/>
      <c r="CQ783" s="79"/>
      <c r="CR783" s="83" t="s">
        <v>179</v>
      </c>
      <c r="CS783" s="83" t="s">
        <v>179</v>
      </c>
      <c r="CT783" s="83" t="s">
        <v>179</v>
      </c>
      <c r="CU783" s="83" t="s">
        <v>179</v>
      </c>
      <c r="CV783" s="83" t="s">
        <v>179</v>
      </c>
      <c r="CW783" s="83" t="s">
        <v>179</v>
      </c>
      <c r="CX783" s="79" t="s">
        <v>153</v>
      </c>
      <c r="CY783" s="79">
        <f t="shared" si="1025"/>
        <v>0</v>
      </c>
      <c r="CZ783" s="79">
        <v>0</v>
      </c>
      <c r="DA783" s="79">
        <f t="shared" si="1026"/>
        <v>0</v>
      </c>
      <c r="DB783" s="84" t="str">
        <f t="shared" si="1027"/>
        <v/>
      </c>
      <c r="DC783" s="41"/>
      <c r="DD783" s="79" t="s">
        <v>153</v>
      </c>
      <c r="DE783" s="71"/>
      <c r="DF783" s="160" t="s">
        <v>5467</v>
      </c>
      <c r="DG783" s="79">
        <v>771</v>
      </c>
      <c r="DH783" s="86" t="str">
        <f t="shared" si="1049"/>
        <v>Completo</v>
      </c>
      <c r="DI783" s="79" t="s">
        <v>181</v>
      </c>
      <c r="DJ783" s="79" t="s">
        <v>182</v>
      </c>
      <c r="DK783" s="79"/>
      <c r="DL783" s="79">
        <v>0</v>
      </c>
      <c r="DM783" s="79">
        <v>0</v>
      </c>
      <c r="DN783" s="79" t="s">
        <v>182</v>
      </c>
      <c r="DO783" s="79"/>
      <c r="DP783" s="79"/>
      <c r="DQ783" s="79"/>
      <c r="DR783" s="75" t="str">
        <f t="shared" si="576"/>
        <v>No aplica</v>
      </c>
      <c r="DS783" s="79"/>
      <c r="DT783" s="79"/>
      <c r="DU783" s="75" t="str">
        <f t="shared" si="577"/>
        <v>No aplica</v>
      </c>
      <c r="DV783" s="79" t="s">
        <v>182</v>
      </c>
      <c r="DW783" s="79"/>
      <c r="DX783" s="79"/>
      <c r="DY783" s="79"/>
      <c r="DZ783" s="79"/>
      <c r="EA783" s="79"/>
      <c r="EB783" s="79" t="s">
        <v>182</v>
      </c>
      <c r="EC783" s="79" t="s">
        <v>5468</v>
      </c>
      <c r="ED783" s="79" t="s">
        <v>3866</v>
      </c>
      <c r="EE783" s="79" t="str">
        <f t="shared" si="1029"/>
        <v>Completo</v>
      </c>
      <c r="EF783" s="41"/>
      <c r="EG783" s="79" t="s">
        <v>153</v>
      </c>
      <c r="EH783" s="71"/>
      <c r="EI783" s="80"/>
      <c r="EJ783" s="71"/>
      <c r="EK783" s="79"/>
      <c r="EL783" s="87" t="str">
        <f t="shared" si="1050"/>
        <v>No requiere</v>
      </c>
      <c r="EM783" s="87" t="str">
        <f t="shared" si="1051"/>
        <v>No requiere</v>
      </c>
      <c r="EN783" s="87" t="str">
        <f t="shared" si="1032"/>
        <v>No requiere</v>
      </c>
      <c r="EO783" s="71"/>
      <c r="EP783" s="84" t="str">
        <f t="shared" si="1052"/>
        <v>No requiere</v>
      </c>
      <c r="EQ783" s="88" t="str">
        <f t="shared" si="1053"/>
        <v>No requiere</v>
      </c>
      <c r="ER783" s="71"/>
      <c r="ES783" s="79"/>
      <c r="ET783" s="84" t="str">
        <f t="shared" si="1054"/>
        <v>No requiere</v>
      </c>
      <c r="EU783" s="84" t="str">
        <f t="shared" si="1036"/>
        <v>No requiere</v>
      </c>
      <c r="EV783" s="84" t="str">
        <f t="shared" si="1055"/>
        <v>No requiere</v>
      </c>
      <c r="EW783" s="84" t="str">
        <f t="shared" si="581"/>
        <v>No requiere</v>
      </c>
      <c r="EX783" s="78"/>
      <c r="EY783" s="78"/>
    </row>
    <row r="784" spans="1:215" ht="46.5" customHeight="1">
      <c r="A784" s="79">
        <v>780</v>
      </c>
      <c r="B784" s="80" t="s">
        <v>5469</v>
      </c>
      <c r="C784" s="81">
        <v>45499</v>
      </c>
      <c r="D784" s="82">
        <v>0.39583333333333331</v>
      </c>
      <c r="E784" s="79" t="s">
        <v>151</v>
      </c>
      <c r="F784" s="79" t="s">
        <v>153</v>
      </c>
      <c r="G784" s="79" t="s">
        <v>153</v>
      </c>
      <c r="H784" s="79" t="s">
        <v>152</v>
      </c>
      <c r="I784" s="79" t="s">
        <v>153</v>
      </c>
      <c r="J784" s="79" t="s">
        <v>2645</v>
      </c>
      <c r="K784" s="79" t="s">
        <v>155</v>
      </c>
      <c r="L784" s="80" t="s">
        <v>5470</v>
      </c>
      <c r="M784" s="80" t="s">
        <v>241</v>
      </c>
      <c r="N784" s="79" t="s">
        <v>644</v>
      </c>
      <c r="O784" s="80" t="str">
        <f t="shared" ref="O784:O786" si="1056">_xlfn.TEXTJOIN(", ",TRUE,P784:AN784)</f>
        <v>Nathalia Guzmán Martínez</v>
      </c>
      <c r="P784" s="79" t="s">
        <v>166</v>
      </c>
      <c r="Q784" s="79"/>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t="s">
        <v>169</v>
      </c>
      <c r="AP784" s="79" t="s">
        <v>214</v>
      </c>
      <c r="AQ784" s="80" t="s">
        <v>5471</v>
      </c>
      <c r="AR784" s="83" t="s">
        <v>5472</v>
      </c>
      <c r="AS784" s="80" t="s">
        <v>5473</v>
      </c>
      <c r="AT784" s="80" t="str">
        <f t="shared" si="950"/>
        <v>Engativá</v>
      </c>
      <c r="AU784" s="79" t="s">
        <v>234</v>
      </c>
      <c r="AV784" s="79"/>
      <c r="AW784" s="79"/>
      <c r="AX784" s="79"/>
      <c r="AY784" s="79"/>
      <c r="AZ784" s="79"/>
      <c r="BA784" s="80" t="str">
        <f t="shared" si="1000"/>
        <v>Occidente</v>
      </c>
      <c r="BB784" s="79" t="s">
        <v>235</v>
      </c>
      <c r="BC784" s="79"/>
      <c r="BD784" s="79"/>
      <c r="BE784" s="79"/>
      <c r="BF784" s="79"/>
      <c r="BG784" s="79"/>
      <c r="BH784" s="80" t="str">
        <f t="shared" si="1001"/>
        <v>Tabora, Engativá</v>
      </c>
      <c r="BI784" s="79" t="s">
        <v>414</v>
      </c>
      <c r="BJ784" s="79" t="s">
        <v>234</v>
      </c>
      <c r="BK784" s="79"/>
      <c r="BL784" s="79"/>
      <c r="BM784" s="79"/>
      <c r="BN784" s="79"/>
      <c r="BO784" s="79"/>
      <c r="BP784" s="79"/>
      <c r="BQ784" s="79"/>
      <c r="BR784" s="79"/>
      <c r="BS784" s="80" t="s">
        <v>5474</v>
      </c>
      <c r="BT784" s="80" t="s">
        <v>236</v>
      </c>
      <c r="BU784" s="80" t="s">
        <v>3083</v>
      </c>
      <c r="BV784" s="71"/>
      <c r="BW784" s="79" t="s">
        <v>152</v>
      </c>
      <c r="BX784" s="79" t="s">
        <v>179</v>
      </c>
      <c r="BY784" s="71"/>
      <c r="BZ784" s="79">
        <v>11</v>
      </c>
      <c r="CA784" s="79">
        <v>5</v>
      </c>
      <c r="CB784" s="79">
        <f t="shared" si="1023"/>
        <v>16</v>
      </c>
      <c r="CC784" s="79" t="str">
        <f t="shared" si="382"/>
        <v>Accesibilidad Universal</v>
      </c>
      <c r="CD784" s="79" t="s">
        <v>397</v>
      </c>
      <c r="CE784" s="79"/>
      <c r="CF784" s="79"/>
      <c r="CG784" s="83" t="s">
        <v>5475</v>
      </c>
      <c r="CH784" s="41"/>
      <c r="CI784" s="79" t="s">
        <v>153</v>
      </c>
      <c r="CJ784" s="71"/>
      <c r="CK784" s="79">
        <f t="shared" si="1024"/>
        <v>0</v>
      </c>
      <c r="CL784" s="79"/>
      <c r="CM784" s="79"/>
      <c r="CN784" s="79"/>
      <c r="CO784" s="79"/>
      <c r="CP784" s="79"/>
      <c r="CQ784" s="79"/>
      <c r="CR784" s="83" t="s">
        <v>179</v>
      </c>
      <c r="CS784" s="83" t="s">
        <v>179</v>
      </c>
      <c r="CT784" s="83" t="s">
        <v>179</v>
      </c>
      <c r="CU784" s="83" t="s">
        <v>179</v>
      </c>
      <c r="CV784" s="83" t="s">
        <v>179</v>
      </c>
      <c r="CW784" s="83" t="s">
        <v>179</v>
      </c>
      <c r="CX784" s="79" t="s">
        <v>153</v>
      </c>
      <c r="CY784" s="79">
        <f t="shared" si="1025"/>
        <v>0</v>
      </c>
      <c r="CZ784" s="79">
        <v>0</v>
      </c>
      <c r="DA784" s="79">
        <f t="shared" si="1026"/>
        <v>0</v>
      </c>
      <c r="DB784" s="84" t="str">
        <f t="shared" si="1027"/>
        <v/>
      </c>
      <c r="DC784" s="41"/>
      <c r="DD784" s="79" t="s">
        <v>153</v>
      </c>
      <c r="DE784" s="71"/>
      <c r="DF784" s="127" t="s">
        <v>5476</v>
      </c>
      <c r="DG784" s="79">
        <v>772</v>
      </c>
      <c r="DH784" s="86" t="str">
        <f t="shared" ref="DH784:DH786" si="1057">IF(EE784="Por completar",C784+3,"Completo")</f>
        <v>Completo</v>
      </c>
      <c r="DI784" s="79" t="s">
        <v>181</v>
      </c>
      <c r="DJ784" s="79" t="s">
        <v>182</v>
      </c>
      <c r="DK784" s="79"/>
      <c r="DL784" s="79">
        <v>0</v>
      </c>
      <c r="DM784" s="79">
        <v>0</v>
      </c>
      <c r="DN784" s="79" t="s">
        <v>182</v>
      </c>
      <c r="DO784" s="79"/>
      <c r="DP784" s="79"/>
      <c r="DQ784" s="79"/>
      <c r="DR784" s="75" t="str">
        <f t="shared" si="576"/>
        <v>No aplica</v>
      </c>
      <c r="DS784" s="79"/>
      <c r="DT784" s="79"/>
      <c r="DU784" s="75" t="str">
        <f t="shared" si="577"/>
        <v>No aplica</v>
      </c>
      <c r="DV784" s="79" t="s">
        <v>182</v>
      </c>
      <c r="DW784" s="79"/>
      <c r="DX784" s="79"/>
      <c r="DY784" s="79"/>
      <c r="DZ784" s="79"/>
      <c r="EA784" s="79"/>
      <c r="EB784" s="79" t="s">
        <v>182</v>
      </c>
      <c r="EC784" s="79" t="s">
        <v>5477</v>
      </c>
      <c r="ED784" s="79" t="s">
        <v>3787</v>
      </c>
      <c r="EE784" s="79" t="str">
        <f t="shared" si="1029"/>
        <v>Completo</v>
      </c>
      <c r="EF784" s="41"/>
      <c r="EG784" s="79" t="s">
        <v>153</v>
      </c>
      <c r="EH784" s="71"/>
      <c r="EI784" s="80"/>
      <c r="EJ784" s="71"/>
      <c r="EK784" s="79"/>
      <c r="EL784" s="87" t="str">
        <f t="shared" ref="EL784:EL786" si="1058">IF(F784="NO","No requiere",IF(H784="No","No requiere",IF(DW784="","",IF(DW784&lt;&gt;"No aplica",IF(DX784&lt;&gt;"No aplica",IF(DX784&gt;=2,"Sí","No"),"No aplica"),"No aplica"))))</f>
        <v>No requiere</v>
      </c>
      <c r="EM784" s="87" t="str">
        <f t="shared" ref="EM784:EM786" si="1059">IF(F784="NO","No requiere",IF(H784="No","No requiere",IF(DW784="","",IF(DW784&lt;&gt;"No aplica",IF(DY784&lt;&gt;"No aplica",IF(DY784&gt;=1,"Sí","No"),"No aplica"),"No aplica"))))</f>
        <v>No requiere</v>
      </c>
      <c r="EN784" s="87" t="str">
        <f t="shared" si="1032"/>
        <v>No requiere</v>
      </c>
      <c r="EO784" s="71"/>
      <c r="EP784" s="84" t="str">
        <f t="shared" ref="EP784:EP786" si="1060">IF(F784="NO","No requiere",IF(H784="No","No requiere",IF(DL784="","",IF(DL784&gt;=1,DM784/DL784,"No aplica"))))</f>
        <v>No requiere</v>
      </c>
      <c r="EQ784" s="88" t="str">
        <f t="shared" ref="EQ784:EQ786" si="1061">IFERROR(IF(F784="NO","No requiere",IF(H784="No","No requiere",DU784)),"")</f>
        <v>No requiere</v>
      </c>
      <c r="ER784" s="71"/>
      <c r="ES784" s="79"/>
      <c r="ET784" s="84" t="str">
        <f t="shared" ref="ET784:ET786" si="1062">IF(F784="NO","No requiere",IF(H784="No","No requiere",IFERROR(COUNTIF(DJ784:DW784,"Completo")/SUM(COUNTIF(DJ784:DW784,"Completo"),COUNTIF(DJ784:DW784,"Incompleto"),COUNTIF(DJ784:DW784,"No subido"),COUNTIF(DJ784:DW784,"No existente"),COUNTIF(DJ784:DW784,"Pendiente")),"")))</f>
        <v>No requiere</v>
      </c>
      <c r="EU784" s="84" t="str">
        <f t="shared" si="1036"/>
        <v>No requiere</v>
      </c>
      <c r="EV784" s="84" t="str">
        <f t="shared" ref="EV784:EV786" si="1063">IF(EU784="Por verificar","Por verificar",IF(F784="NO","No requiere",IF(H784="No","No requiere",IFERROR(IF(EU784="","",IF(CK784&gt;=1,DA784/CZ784,"No aplica")),"No aplica"))))</f>
        <v>No requiere</v>
      </c>
      <c r="EW784" s="84" t="str">
        <f t="shared" si="581"/>
        <v>No requiere</v>
      </c>
      <c r="EX784" s="78"/>
      <c r="EY784" s="78"/>
    </row>
    <row r="785" spans="1:155" ht="46.5" customHeight="1">
      <c r="A785" s="79">
        <v>781</v>
      </c>
      <c r="B785" s="80" t="s">
        <v>5478</v>
      </c>
      <c r="C785" s="81">
        <v>45499</v>
      </c>
      <c r="D785" s="82">
        <v>0.4375</v>
      </c>
      <c r="E785" s="79" t="s">
        <v>151</v>
      </c>
      <c r="F785" s="79" t="s">
        <v>153</v>
      </c>
      <c r="G785" s="79" t="s">
        <v>153</v>
      </c>
      <c r="H785" s="79" t="s">
        <v>152</v>
      </c>
      <c r="I785" s="79" t="s">
        <v>153</v>
      </c>
      <c r="J785" s="79" t="s">
        <v>1768</v>
      </c>
      <c r="K785" s="79" t="s">
        <v>155</v>
      </c>
      <c r="L785" s="80" t="s">
        <v>5479</v>
      </c>
      <c r="M785" s="80" t="s">
        <v>229</v>
      </c>
      <c r="N785" s="79" t="s">
        <v>644</v>
      </c>
      <c r="O785" s="80" t="str">
        <f t="shared" si="1056"/>
        <v>Nathalia Guzmán Martínez</v>
      </c>
      <c r="P785" s="79" t="s">
        <v>166</v>
      </c>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t="s">
        <v>169</v>
      </c>
      <c r="AP785" s="79" t="s">
        <v>214</v>
      </c>
      <c r="AQ785" s="80" t="s">
        <v>5471</v>
      </c>
      <c r="AR785" s="83" t="s">
        <v>5472</v>
      </c>
      <c r="AS785" s="80" t="s">
        <v>5473</v>
      </c>
      <c r="AT785" s="80" t="str">
        <f t="shared" si="950"/>
        <v>Engativá</v>
      </c>
      <c r="AU785" s="79" t="s">
        <v>234</v>
      </c>
      <c r="AV785" s="79"/>
      <c r="AW785" s="79"/>
      <c r="AX785" s="79"/>
      <c r="AY785" s="79"/>
      <c r="AZ785" s="79"/>
      <c r="BA785" s="80" t="str">
        <f t="shared" si="1000"/>
        <v>Occidente</v>
      </c>
      <c r="BB785" s="79" t="s">
        <v>235</v>
      </c>
      <c r="BC785" s="79"/>
      <c r="BD785" s="79"/>
      <c r="BE785" s="79"/>
      <c r="BF785" s="79"/>
      <c r="BG785" s="79"/>
      <c r="BH785" s="80" t="str">
        <f t="shared" si="1001"/>
        <v>Tabora, Engativá</v>
      </c>
      <c r="BI785" s="79" t="s">
        <v>414</v>
      </c>
      <c r="BJ785" s="79" t="s">
        <v>234</v>
      </c>
      <c r="BK785" s="79"/>
      <c r="BL785" s="79"/>
      <c r="BM785" s="79"/>
      <c r="BN785" s="79"/>
      <c r="BO785" s="79"/>
      <c r="BP785" s="79"/>
      <c r="BQ785" s="79"/>
      <c r="BR785" s="79"/>
      <c r="BS785" s="80" t="s">
        <v>5474</v>
      </c>
      <c r="BT785" s="80" t="s">
        <v>236</v>
      </c>
      <c r="BU785" s="80" t="s">
        <v>3083</v>
      </c>
      <c r="BV785" s="71"/>
      <c r="BW785" s="79" t="s">
        <v>152</v>
      </c>
      <c r="BX785" s="79" t="s">
        <v>179</v>
      </c>
      <c r="BY785" s="71"/>
      <c r="BZ785" s="79">
        <v>11</v>
      </c>
      <c r="CA785" s="79">
        <v>5</v>
      </c>
      <c r="CB785" s="79">
        <f t="shared" si="1023"/>
        <v>16</v>
      </c>
      <c r="CC785" s="79" t="str">
        <f t="shared" si="382"/>
        <v>Accesibilidad Universal</v>
      </c>
      <c r="CD785" s="79" t="s">
        <v>397</v>
      </c>
      <c r="CE785" s="79"/>
      <c r="CF785" s="79"/>
      <c r="CG785" s="83" t="s">
        <v>5480</v>
      </c>
      <c r="CH785" s="41"/>
      <c r="CI785" s="79" t="s">
        <v>153</v>
      </c>
      <c r="CJ785" s="71"/>
      <c r="CK785" s="79">
        <f t="shared" si="1024"/>
        <v>0</v>
      </c>
      <c r="CL785" s="79"/>
      <c r="CM785" s="79"/>
      <c r="CN785" s="79"/>
      <c r="CO785" s="79"/>
      <c r="CP785" s="79"/>
      <c r="CQ785" s="79"/>
      <c r="CR785" s="83" t="s">
        <v>179</v>
      </c>
      <c r="CS785" s="83" t="s">
        <v>179</v>
      </c>
      <c r="CT785" s="83" t="s">
        <v>179</v>
      </c>
      <c r="CU785" s="83" t="s">
        <v>179</v>
      </c>
      <c r="CV785" s="83" t="s">
        <v>179</v>
      </c>
      <c r="CW785" s="83" t="s">
        <v>179</v>
      </c>
      <c r="CX785" s="79" t="s">
        <v>153</v>
      </c>
      <c r="CY785" s="79">
        <f t="shared" si="1025"/>
        <v>0</v>
      </c>
      <c r="CZ785" s="79">
        <v>0</v>
      </c>
      <c r="DA785" s="79">
        <f t="shared" si="1026"/>
        <v>0</v>
      </c>
      <c r="DB785" s="84" t="str">
        <f t="shared" si="1027"/>
        <v/>
      </c>
      <c r="DC785" s="41"/>
      <c r="DD785" s="79" t="s">
        <v>153</v>
      </c>
      <c r="DE785" s="71"/>
      <c r="DF785" s="127" t="s">
        <v>5481</v>
      </c>
      <c r="DG785" s="79">
        <v>773</v>
      </c>
      <c r="DH785" s="86" t="str">
        <f t="shared" si="1057"/>
        <v>Completo</v>
      </c>
      <c r="DI785" s="79" t="s">
        <v>181</v>
      </c>
      <c r="DJ785" s="79" t="s">
        <v>182</v>
      </c>
      <c r="DK785" s="79"/>
      <c r="DL785" s="79">
        <v>0</v>
      </c>
      <c r="DM785" s="79">
        <v>0</v>
      </c>
      <c r="DN785" s="79" t="s">
        <v>182</v>
      </c>
      <c r="DO785" s="79"/>
      <c r="DP785" s="79"/>
      <c r="DQ785" s="79"/>
      <c r="DR785" s="75" t="str">
        <f t="shared" si="576"/>
        <v>No aplica</v>
      </c>
      <c r="DS785" s="79"/>
      <c r="DT785" s="79"/>
      <c r="DU785" s="75" t="str">
        <f t="shared" si="577"/>
        <v>No aplica</v>
      </c>
      <c r="DV785" s="79" t="s">
        <v>182</v>
      </c>
      <c r="DW785" s="79"/>
      <c r="DX785" s="79"/>
      <c r="DY785" s="79"/>
      <c r="DZ785" s="79"/>
      <c r="EA785" s="79"/>
      <c r="EB785" s="79" t="s">
        <v>182</v>
      </c>
      <c r="EC785" s="79"/>
      <c r="ED785" s="79" t="s">
        <v>3787</v>
      </c>
      <c r="EE785" s="79" t="str">
        <f t="shared" si="1029"/>
        <v>Completo</v>
      </c>
      <c r="EF785" s="41"/>
      <c r="EG785" s="79" t="s">
        <v>153</v>
      </c>
      <c r="EH785" s="71"/>
      <c r="EI785" s="80"/>
      <c r="EJ785" s="71"/>
      <c r="EK785" s="79"/>
      <c r="EL785" s="87" t="str">
        <f t="shared" si="1058"/>
        <v>No requiere</v>
      </c>
      <c r="EM785" s="87" t="str">
        <f t="shared" si="1059"/>
        <v>No requiere</v>
      </c>
      <c r="EN785" s="87" t="str">
        <f t="shared" si="1032"/>
        <v>No requiere</v>
      </c>
      <c r="EO785" s="71"/>
      <c r="EP785" s="84" t="str">
        <f t="shared" si="1060"/>
        <v>No requiere</v>
      </c>
      <c r="EQ785" s="88" t="str">
        <f t="shared" si="1061"/>
        <v>No requiere</v>
      </c>
      <c r="ER785" s="71"/>
      <c r="ES785" s="79"/>
      <c r="ET785" s="84" t="str">
        <f t="shared" si="1062"/>
        <v>No requiere</v>
      </c>
      <c r="EU785" s="84" t="str">
        <f t="shared" si="1036"/>
        <v>No requiere</v>
      </c>
      <c r="EV785" s="84" t="str">
        <f t="shared" si="1063"/>
        <v>No requiere</v>
      </c>
      <c r="EW785" s="84" t="str">
        <f t="shared" si="581"/>
        <v>No requiere</v>
      </c>
      <c r="EX785" s="78"/>
      <c r="EY785" s="78"/>
    </row>
    <row r="786" spans="1:155" ht="46.5" customHeight="1">
      <c r="A786" s="79">
        <v>782</v>
      </c>
      <c r="B786" s="80" t="s">
        <v>5482</v>
      </c>
      <c r="C786" s="81">
        <v>45499</v>
      </c>
      <c r="D786" s="82">
        <v>0.58333333333333337</v>
      </c>
      <c r="E786" s="79" t="s">
        <v>200</v>
      </c>
      <c r="F786" s="79" t="s">
        <v>153</v>
      </c>
      <c r="G786" s="79" t="s">
        <v>152</v>
      </c>
      <c r="H786" s="79" t="s">
        <v>152</v>
      </c>
      <c r="I786" s="79" t="s">
        <v>152</v>
      </c>
      <c r="J786" s="79" t="s">
        <v>2715</v>
      </c>
      <c r="K786" s="79" t="s">
        <v>155</v>
      </c>
      <c r="L786" s="80" t="s">
        <v>5483</v>
      </c>
      <c r="M786" s="80" t="s">
        <v>624</v>
      </c>
      <c r="N786" s="79" t="s">
        <v>546</v>
      </c>
      <c r="O786" s="80" t="str">
        <f t="shared" si="1056"/>
        <v/>
      </c>
      <c r="P786" s="79"/>
      <c r="Q786" s="79"/>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t="s">
        <v>304</v>
      </c>
      <c r="AP786" s="79"/>
      <c r="AQ786" s="80" t="s">
        <v>5484</v>
      </c>
      <c r="AR786" s="83" t="s">
        <v>5485</v>
      </c>
      <c r="AS786" s="80" t="s">
        <v>5486</v>
      </c>
      <c r="AT786" s="80" t="str">
        <f t="shared" si="950"/>
        <v>No Especifica</v>
      </c>
      <c r="AU786" s="79" t="s">
        <v>5085</v>
      </c>
      <c r="AV786" s="79"/>
      <c r="AW786" s="79"/>
      <c r="AX786" s="79"/>
      <c r="AY786" s="79"/>
      <c r="AZ786" s="79"/>
      <c r="BA786" s="80" t="str">
        <f t="shared" si="1000"/>
        <v>Distrital</v>
      </c>
      <c r="BB786" s="79" t="s">
        <v>172</v>
      </c>
      <c r="BC786" s="79"/>
      <c r="BD786" s="79"/>
      <c r="BE786" s="79"/>
      <c r="BF786" s="79"/>
      <c r="BG786" s="79"/>
      <c r="BH786" s="80" t="str">
        <f t="shared" si="1001"/>
        <v>Distrital</v>
      </c>
      <c r="BI786" s="79" t="s">
        <v>172</v>
      </c>
      <c r="BJ786" s="79"/>
      <c r="BK786" s="79"/>
      <c r="BL786" s="79"/>
      <c r="BM786" s="79"/>
      <c r="BN786" s="79"/>
      <c r="BO786" s="79"/>
      <c r="BP786" s="79"/>
      <c r="BQ786" s="79"/>
      <c r="BR786" s="79"/>
      <c r="BS786" s="80" t="s">
        <v>288</v>
      </c>
      <c r="BT786" s="80" t="s">
        <v>174</v>
      </c>
      <c r="BU786" s="80" t="s">
        <v>5487</v>
      </c>
      <c r="BV786" s="71"/>
      <c r="BW786" s="79" t="s">
        <v>152</v>
      </c>
      <c r="BX786" s="79" t="s">
        <v>179</v>
      </c>
      <c r="BY786" s="71"/>
      <c r="BZ786" s="79">
        <v>18</v>
      </c>
      <c r="CA786" s="79">
        <v>1</v>
      </c>
      <c r="CB786" s="79">
        <f t="shared" si="1023"/>
        <v>19</v>
      </c>
      <c r="CC786" s="79" t="str">
        <f t="shared" si="382"/>
        <v>Accesibilidad Universal</v>
      </c>
      <c r="CD786" s="79" t="s">
        <v>397</v>
      </c>
      <c r="CE786" s="79"/>
      <c r="CF786" s="79"/>
      <c r="CG786" s="83" t="s">
        <v>5488</v>
      </c>
      <c r="CH786" s="41"/>
      <c r="CI786" s="79"/>
      <c r="CJ786" s="71"/>
      <c r="CK786" s="79">
        <f t="shared" si="1024"/>
        <v>0</v>
      </c>
      <c r="CL786" s="79"/>
      <c r="CM786" s="79"/>
      <c r="CN786" s="79"/>
      <c r="CO786" s="79"/>
      <c r="CP786" s="79"/>
      <c r="CQ786" s="79"/>
      <c r="CR786" s="83" t="s">
        <v>179</v>
      </c>
      <c r="CS786" s="83" t="s">
        <v>179</v>
      </c>
      <c r="CT786" s="83" t="s">
        <v>179</v>
      </c>
      <c r="CU786" s="83" t="s">
        <v>179</v>
      </c>
      <c r="CV786" s="83" t="s">
        <v>179</v>
      </c>
      <c r="CW786" s="83" t="s">
        <v>179</v>
      </c>
      <c r="CX786" s="79" t="s">
        <v>153</v>
      </c>
      <c r="CY786" s="79">
        <f t="shared" si="1025"/>
        <v>0</v>
      </c>
      <c r="CZ786" s="79">
        <v>0</v>
      </c>
      <c r="DA786" s="79">
        <f t="shared" si="1026"/>
        <v>0</v>
      </c>
      <c r="DB786" s="84" t="str">
        <f t="shared" si="1027"/>
        <v/>
      </c>
      <c r="DC786" s="41"/>
      <c r="DD786" s="79" t="s">
        <v>153</v>
      </c>
      <c r="DE786" s="71"/>
      <c r="DF786" s="127" t="s">
        <v>5489</v>
      </c>
      <c r="DG786" s="79">
        <v>774</v>
      </c>
      <c r="DH786" s="86" t="str">
        <f t="shared" si="1057"/>
        <v>Completo</v>
      </c>
      <c r="DI786" s="79" t="s">
        <v>181</v>
      </c>
      <c r="DJ786" s="79" t="s">
        <v>182</v>
      </c>
      <c r="DK786" s="79"/>
      <c r="DL786" s="79">
        <v>0</v>
      </c>
      <c r="DM786" s="79">
        <v>0</v>
      </c>
      <c r="DN786" s="79" t="s">
        <v>182</v>
      </c>
      <c r="DO786" s="79"/>
      <c r="DP786" s="79"/>
      <c r="DQ786" s="79"/>
      <c r="DR786" s="75" t="str">
        <f t="shared" si="576"/>
        <v>No aplica</v>
      </c>
      <c r="DS786" s="79"/>
      <c r="DT786" s="79"/>
      <c r="DU786" s="75" t="str">
        <f t="shared" si="577"/>
        <v>No aplica</v>
      </c>
      <c r="DV786" s="79" t="s">
        <v>182</v>
      </c>
      <c r="DW786" s="79" t="s">
        <v>182</v>
      </c>
      <c r="DX786" s="79"/>
      <c r="DY786" s="79"/>
      <c r="DZ786" s="79"/>
      <c r="EA786" s="79"/>
      <c r="EB786" s="79"/>
      <c r="EC786" s="79"/>
      <c r="ED786" s="79"/>
      <c r="EE786" s="79" t="str">
        <f t="shared" si="1029"/>
        <v>Completo</v>
      </c>
      <c r="EF786" s="41"/>
      <c r="EG786" s="79" t="s">
        <v>153</v>
      </c>
      <c r="EH786" s="71"/>
      <c r="EI786" s="80"/>
      <c r="EJ786" s="71"/>
      <c r="EK786" s="79"/>
      <c r="EL786" s="87" t="str">
        <f t="shared" si="1058"/>
        <v>No requiere</v>
      </c>
      <c r="EM786" s="87" t="str">
        <f t="shared" si="1059"/>
        <v>No requiere</v>
      </c>
      <c r="EN786" s="87" t="str">
        <f t="shared" si="1032"/>
        <v>No requiere</v>
      </c>
      <c r="EO786" s="71"/>
      <c r="EP786" s="84" t="str">
        <f t="shared" si="1060"/>
        <v>No requiere</v>
      </c>
      <c r="EQ786" s="88" t="str">
        <f t="shared" si="1061"/>
        <v>No requiere</v>
      </c>
      <c r="ER786" s="71"/>
      <c r="ES786" s="79"/>
      <c r="ET786" s="84" t="str">
        <f t="shared" si="1062"/>
        <v>No requiere</v>
      </c>
      <c r="EU786" s="84" t="str">
        <f t="shared" si="1036"/>
        <v>No requiere</v>
      </c>
      <c r="EV786" s="84" t="str">
        <f t="shared" si="1063"/>
        <v>No requiere</v>
      </c>
      <c r="EW786" s="84" t="str">
        <f t="shared" si="581"/>
        <v>No requiere</v>
      </c>
      <c r="EX786" s="78"/>
      <c r="EY786" s="78"/>
    </row>
    <row r="787" spans="1:155" ht="58.5" customHeight="1">
      <c r="A787" s="79">
        <v>783</v>
      </c>
      <c r="B787" s="80" t="s">
        <v>5490</v>
      </c>
      <c r="C787" s="81">
        <v>45499</v>
      </c>
      <c r="D787" s="82">
        <v>0.72916666666666663</v>
      </c>
      <c r="E787" s="79" t="s">
        <v>151</v>
      </c>
      <c r="F787" s="79" t="s">
        <v>153</v>
      </c>
      <c r="G787" s="79" t="s">
        <v>153</v>
      </c>
      <c r="H787" s="79" t="s">
        <v>152</v>
      </c>
      <c r="I787" s="79" t="s">
        <v>152</v>
      </c>
      <c r="J787" s="79" t="s">
        <v>3999</v>
      </c>
      <c r="K787" s="79" t="s">
        <v>155</v>
      </c>
      <c r="L787" s="80" t="s">
        <v>5491</v>
      </c>
      <c r="M787" s="80" t="s">
        <v>241</v>
      </c>
      <c r="N787" s="79" t="s">
        <v>632</v>
      </c>
      <c r="O787" s="80" t="str">
        <f t="shared" ref="O787:O788" si="1064">_xlfn.TEXTJOIN(", ",TRUE,P787:AN787)</f>
        <v/>
      </c>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t="s">
        <v>230</v>
      </c>
      <c r="AP787" s="79" t="s">
        <v>231</v>
      </c>
      <c r="AQ787" s="80" t="s">
        <v>5492</v>
      </c>
      <c r="AR787" s="83" t="s">
        <v>5493</v>
      </c>
      <c r="AS787" s="80" t="s">
        <v>171</v>
      </c>
      <c r="AT787" s="80" t="str">
        <f t="shared" si="950"/>
        <v>Fontibón</v>
      </c>
      <c r="AU787" s="79" t="s">
        <v>646</v>
      </c>
      <c r="AV787" s="79"/>
      <c r="AW787" s="79"/>
      <c r="AX787" s="79"/>
      <c r="AY787" s="79"/>
      <c r="AZ787" s="79"/>
      <c r="BA787" s="80" t="str">
        <f t="shared" si="1000"/>
        <v>Occidente</v>
      </c>
      <c r="BB787" s="79" t="s">
        <v>235</v>
      </c>
      <c r="BC787" s="79"/>
      <c r="BD787" s="79"/>
      <c r="BE787" s="79"/>
      <c r="BF787" s="79"/>
      <c r="BG787" s="79"/>
      <c r="BH787" s="80" t="str">
        <f t="shared" si="1001"/>
        <v>Fontibón</v>
      </c>
      <c r="BI787" s="79" t="s">
        <v>646</v>
      </c>
      <c r="BJ787" s="79"/>
      <c r="BK787" s="79"/>
      <c r="BL787" s="79"/>
      <c r="BM787" s="79"/>
      <c r="BN787" s="79"/>
      <c r="BO787" s="79"/>
      <c r="BP787" s="79"/>
      <c r="BQ787" s="79"/>
      <c r="BR787" s="79"/>
      <c r="BS787" s="80" t="s">
        <v>5494</v>
      </c>
      <c r="BT787" s="80" t="s">
        <v>174</v>
      </c>
      <c r="BU787" s="80" t="s">
        <v>5495</v>
      </c>
      <c r="BV787" s="71"/>
      <c r="BW787" s="79" t="s">
        <v>152</v>
      </c>
      <c r="BX787" s="79" t="s">
        <v>179</v>
      </c>
      <c r="BY787" s="71"/>
      <c r="BZ787" s="79">
        <v>5</v>
      </c>
      <c r="CA787" s="79">
        <v>1</v>
      </c>
      <c r="CB787" s="79">
        <f t="shared" ref="CB787:CB788" si="1065">BZ787+CA787</f>
        <v>6</v>
      </c>
      <c r="CC787" s="79" t="str">
        <f t="shared" si="382"/>
        <v>Ninguna</v>
      </c>
      <c r="CD787" s="79" t="s">
        <v>174</v>
      </c>
      <c r="CE787" s="79"/>
      <c r="CF787" s="79"/>
      <c r="CG787" s="83" t="s">
        <v>5496</v>
      </c>
      <c r="CH787" s="41"/>
      <c r="CI787" s="79"/>
      <c r="CJ787" s="71"/>
      <c r="CK787" s="79">
        <v>1</v>
      </c>
      <c r="CL787" s="79" t="s">
        <v>4099</v>
      </c>
      <c r="CM787" s="79"/>
      <c r="CN787" s="79"/>
      <c r="CO787" s="79"/>
      <c r="CP787" s="79"/>
      <c r="CQ787" s="79"/>
      <c r="CR787" s="83" t="s">
        <v>390</v>
      </c>
      <c r="CS787" s="83" t="s">
        <v>179</v>
      </c>
      <c r="CT787" s="83" t="s">
        <v>179</v>
      </c>
      <c r="CU787" s="83" t="s">
        <v>179</v>
      </c>
      <c r="CV787" s="83" t="s">
        <v>179</v>
      </c>
      <c r="CW787" s="83" t="s">
        <v>179</v>
      </c>
      <c r="CX787" s="79" t="s">
        <v>153</v>
      </c>
      <c r="CY787" s="79">
        <f t="shared" ref="CY787:CY788" si="1066">SUM(COUNTIF(CR787:CW787,"Realizado y Devuelto a la Ciudadanía"),COUNTIF(CR787:CW787,"Realizado y Trasladado por competencia"), COUNTIF(CR787:CW787,"Realizado y Gestionado"))</f>
        <v>1</v>
      </c>
      <c r="CZ787" s="79">
        <v>0</v>
      </c>
      <c r="DA787" s="79">
        <f t="shared" ref="DA787:DA788" si="1067">COUNTIF(CR787:CW787,"Realizado y Devuelto a la Ciudadanía")</f>
        <v>1</v>
      </c>
      <c r="DB787" s="84">
        <f t="shared" ref="DB787:DB788" si="1068">IFERROR(CY787/CK787,"")</f>
        <v>1</v>
      </c>
      <c r="DC787" s="41"/>
      <c r="DD787" s="79" t="s">
        <v>153</v>
      </c>
      <c r="DE787" s="71"/>
      <c r="DF787" s="127" t="s">
        <v>5497</v>
      </c>
      <c r="DG787" s="79">
        <v>775</v>
      </c>
      <c r="DH787" s="86" t="str">
        <f t="shared" ref="DH787:DH788" si="1069">IF(EE787="Por completar",C787+3,"Completo")</f>
        <v>Completo</v>
      </c>
      <c r="DI787" s="79" t="s">
        <v>181</v>
      </c>
      <c r="DJ787" s="79" t="s">
        <v>182</v>
      </c>
      <c r="DK787" s="79"/>
      <c r="DL787" s="79">
        <v>0</v>
      </c>
      <c r="DM787" s="79">
        <v>0</v>
      </c>
      <c r="DN787" s="79" t="s">
        <v>182</v>
      </c>
      <c r="DO787" s="79"/>
      <c r="DP787" s="79"/>
      <c r="DQ787" s="79"/>
      <c r="DR787" s="75" t="str">
        <f t="shared" ref="DR787:DR788" si="1070">IF(H787="SÍ", (DQ787/(BZ787*0.3)), "No aplica")</f>
        <v>No aplica</v>
      </c>
      <c r="DS787" s="79"/>
      <c r="DT787" s="79"/>
      <c r="DU787" s="75" t="str">
        <f t="shared" ref="DU787:DU788" si="1071">IF(H787="SÍ", (DT787/(BZ787*0.35)), "No aplica")</f>
        <v>No aplica</v>
      </c>
      <c r="DV787" s="79" t="s">
        <v>182</v>
      </c>
      <c r="DW787" s="79"/>
      <c r="DX787" s="79"/>
      <c r="DY787" s="79"/>
      <c r="DZ787" s="79"/>
      <c r="EA787" s="79"/>
      <c r="EB787" s="79"/>
      <c r="EC787" s="79"/>
      <c r="ED787" s="79" t="s">
        <v>3866</v>
      </c>
      <c r="EE787" s="79" t="str">
        <f t="shared" ref="EE787:EE788" si="1072">IF(DI787="Subsanado","Completo","Por Completar")</f>
        <v>Completo</v>
      </c>
      <c r="EF787" s="41"/>
      <c r="EG787" s="79" t="s">
        <v>153</v>
      </c>
      <c r="EH787" s="71"/>
      <c r="EI787" s="80"/>
      <c r="EJ787" s="71"/>
      <c r="EK787" s="79"/>
      <c r="EL787" s="87" t="str">
        <f t="shared" ref="EL787:EL788" si="1073">IF(F787="NO","No requiere",IF(H787="No","No requiere",IF(DW787="","",IF(DW787&lt;&gt;"No aplica",IF(DX787&lt;&gt;"No aplica",IF(DX787&gt;=2,"Sí","No"),"No aplica"),"No aplica"))))</f>
        <v>No requiere</v>
      </c>
      <c r="EM787" s="87" t="str">
        <f t="shared" ref="EM787:EM788" si="1074">IF(F787="NO","No requiere",IF(H787="No","No requiere",IF(DW787="","",IF(DW787&lt;&gt;"No aplica",IF(DY787&lt;&gt;"No aplica",IF(DY787&gt;=1,"Sí","No"),"No aplica"),"No aplica"))))</f>
        <v>No requiere</v>
      </c>
      <c r="EN787" s="87" t="str">
        <f t="shared" ref="EN787:EN788" si="1075">IF(F787="NO","No requiere",IF(H787="No","No requiere",IF(CC787="","",IF(CD787&lt;&gt;"No aplica",IF(CD787&lt;&gt;"Ninguna",IF(COUNTIF(CD787:CF787,"*")&gt;=1,"Sí","No"),"No"),"No aplica"))))</f>
        <v>No requiere</v>
      </c>
      <c r="EO787" s="71"/>
      <c r="EP787" s="84" t="str">
        <f t="shared" ref="EP787:EP788" si="1076">IF(F787="NO","No requiere",IF(H787="No","No requiere",IF(DL787="","",IF(DL787&gt;=1,DM787/DL787,"No aplica"))))</f>
        <v>No requiere</v>
      </c>
      <c r="EQ787" s="88" t="str">
        <f t="shared" ref="EQ787:EQ788" si="1077">IFERROR(IF(F787="NO","No requiere",IF(H787="No","No requiere",DU787)),"")</f>
        <v>No requiere</v>
      </c>
      <c r="ER787" s="71"/>
      <c r="ES787" s="79"/>
      <c r="ET787" s="84" t="str">
        <f t="shared" ref="ET787:ET788" si="1078">IF(F787="NO","No requiere",IF(H787="No","No requiere",IFERROR(COUNTIF(DJ787:DW787,"Completo")/SUM(COUNTIF(DJ787:DW787,"Completo"),COUNTIF(DJ787:DW787,"Incompleto"),COUNTIF(DJ787:DW787,"No subido"),COUNTIF(DJ787:DW787,"No existente"),COUNTIF(DJ787:DW787,"Pendiente")),"")))</f>
        <v>No requiere</v>
      </c>
      <c r="EU787" s="84" t="str">
        <f t="shared" ref="EU787:EU788" si="1079">IF(F787="NO","No requiere",IF(H787="No","No requiere",IF(B787="","",IF(CX787="SÍ",IF(CK787&gt;=1,CY787/CK787,"Sin compromisos"),"Por verificar"))))</f>
        <v>No requiere</v>
      </c>
      <c r="EV787" s="84" t="str">
        <f t="shared" ref="EV787:EV788" si="1080">IF(EU787="Por verificar","Por verificar",IF(F787="NO","No requiere",IF(H787="No","No requiere",IFERROR(IF(EU787="","",IF(CK787&gt;=1,DA787/CZ787,"No aplica")),"No aplica"))))</f>
        <v>No requiere</v>
      </c>
      <c r="EW787" s="84" t="str">
        <f t="shared" ref="EW787:EW788" si="1081">IF(F787="NO","No requiere",IF(H787="No","No requiere",IFERROR(IF(BZ787="","",IF(EA787&lt;&gt;"No aplica",IF(EA787&gt;=1,DO787/EA787,"0%"),"No aplica")),"")))</f>
        <v>No requiere</v>
      </c>
      <c r="EX787" s="78"/>
      <c r="EY787" s="78"/>
    </row>
    <row r="788" spans="1:155" ht="58.5" customHeight="1">
      <c r="A788" s="79">
        <v>784</v>
      </c>
      <c r="B788" s="80" t="s">
        <v>5498</v>
      </c>
      <c r="C788" s="81">
        <v>45499</v>
      </c>
      <c r="D788" s="82">
        <v>0.75</v>
      </c>
      <c r="E788" s="79" t="s">
        <v>200</v>
      </c>
      <c r="F788" s="79" t="s">
        <v>153</v>
      </c>
      <c r="G788" s="79" t="s">
        <v>152</v>
      </c>
      <c r="H788" s="79" t="s">
        <v>152</v>
      </c>
      <c r="I788" s="79" t="s">
        <v>152</v>
      </c>
      <c r="J788" s="79" t="s">
        <v>211</v>
      </c>
      <c r="K788" s="79" t="s">
        <v>202</v>
      </c>
      <c r="L788" s="80" t="s">
        <v>5499</v>
      </c>
      <c r="M788" s="80" t="s">
        <v>624</v>
      </c>
      <c r="N788" s="79" t="s">
        <v>524</v>
      </c>
      <c r="O788" s="80" t="str">
        <f t="shared" si="1064"/>
        <v/>
      </c>
      <c r="P788" s="79"/>
      <c r="Q788" s="79"/>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t="s">
        <v>230</v>
      </c>
      <c r="AP788" s="79" t="s">
        <v>242</v>
      </c>
      <c r="AQ788" s="80" t="s">
        <v>4737</v>
      </c>
      <c r="AR788" s="83" t="s">
        <v>4297</v>
      </c>
      <c r="AS788" s="80" t="s">
        <v>4298</v>
      </c>
      <c r="AT788" s="80" t="str">
        <f>_xlfn.TEXTJOIN(", ",TRUE,$AU788:$AY788)</f>
        <v>Distrital</v>
      </c>
      <c r="AU788" s="79" t="s">
        <v>172</v>
      </c>
      <c r="AV788" s="79"/>
      <c r="AW788" s="79"/>
      <c r="AX788" s="79"/>
      <c r="AY788" s="79"/>
      <c r="AZ788" s="79"/>
      <c r="BA788" s="80" t="str">
        <f>_xlfn.TEXTJOIN(", ",TRUE,$BB788:$BG788)</f>
        <v>Distrital</v>
      </c>
      <c r="BB788" s="79" t="s">
        <v>172</v>
      </c>
      <c r="BC788" s="79"/>
      <c r="BD788" s="79"/>
      <c r="BE788" s="79"/>
      <c r="BF788" s="79"/>
      <c r="BG788" s="79"/>
      <c r="BH788" s="80" t="str">
        <f>_xlfn.TEXTJOIN(", ",TRUE,$BI788:$BR788)</f>
        <v>Distrital</v>
      </c>
      <c r="BI788" s="79" t="s">
        <v>172</v>
      </c>
      <c r="BJ788" s="79"/>
      <c r="BK788" s="79"/>
      <c r="BL788" s="79"/>
      <c r="BM788" s="79"/>
      <c r="BN788" s="79"/>
      <c r="BO788" s="79"/>
      <c r="BP788" s="79"/>
      <c r="BQ788" s="79"/>
      <c r="BR788" s="79"/>
      <c r="BS788" s="80" t="s">
        <v>288</v>
      </c>
      <c r="BT788" s="80" t="s">
        <v>174</v>
      </c>
      <c r="BU788" s="128" t="s">
        <v>3931</v>
      </c>
      <c r="BV788" s="71"/>
      <c r="BW788" s="79" t="s">
        <v>152</v>
      </c>
      <c r="BX788" s="79" t="s">
        <v>179</v>
      </c>
      <c r="BY788" s="71"/>
      <c r="BZ788" s="79">
        <v>10</v>
      </c>
      <c r="CA788" s="79">
        <v>1</v>
      </c>
      <c r="CB788" s="79">
        <f t="shared" si="1065"/>
        <v>11</v>
      </c>
      <c r="CC788" s="79" t="str">
        <f t="shared" si="382"/>
        <v>Ninguna</v>
      </c>
      <c r="CD788" s="79" t="s">
        <v>174</v>
      </c>
      <c r="CE788" s="79"/>
      <c r="CF788" s="79"/>
      <c r="CG788" s="83" t="s">
        <v>5500</v>
      </c>
      <c r="CH788" s="41"/>
      <c r="CI788" s="79"/>
      <c r="CJ788" s="71"/>
      <c r="CK788" s="79">
        <f t="shared" ref="CK788" si="1082">COUNTIF(CL788:CQ788,"*")</f>
        <v>0</v>
      </c>
      <c r="CL788" s="79"/>
      <c r="CM788" s="79"/>
      <c r="CN788" s="79"/>
      <c r="CO788" s="79"/>
      <c r="CP788" s="79"/>
      <c r="CQ788" s="79"/>
      <c r="CR788" s="83"/>
      <c r="CS788" s="83"/>
      <c r="CT788" s="83"/>
      <c r="CU788" s="83"/>
      <c r="CV788" s="83"/>
      <c r="CW788" s="83"/>
      <c r="CX788" s="79"/>
      <c r="CY788" s="79">
        <f t="shared" si="1066"/>
        <v>0</v>
      </c>
      <c r="CZ788" s="79">
        <v>0</v>
      </c>
      <c r="DA788" s="79">
        <f t="shared" si="1067"/>
        <v>0</v>
      </c>
      <c r="DB788" s="84" t="str">
        <f t="shared" si="1068"/>
        <v/>
      </c>
      <c r="DC788" s="41"/>
      <c r="DD788" s="79"/>
      <c r="DE788" s="71"/>
      <c r="DF788" s="127" t="s">
        <v>5501</v>
      </c>
      <c r="DG788" s="79">
        <v>776</v>
      </c>
      <c r="DH788" s="86">
        <f t="shared" si="1069"/>
        <v>45502</v>
      </c>
      <c r="DI788" s="79" t="s">
        <v>1246</v>
      </c>
      <c r="DJ788" s="79" t="s">
        <v>2659</v>
      </c>
      <c r="DK788" s="79"/>
      <c r="DL788" s="79">
        <v>0</v>
      </c>
      <c r="DM788" s="79">
        <v>0</v>
      </c>
      <c r="DN788" s="79" t="s">
        <v>182</v>
      </c>
      <c r="DO788" s="79"/>
      <c r="DP788" s="79"/>
      <c r="DQ788" s="79"/>
      <c r="DR788" s="75" t="str">
        <f t="shared" si="1070"/>
        <v>No aplica</v>
      </c>
      <c r="DS788" s="79"/>
      <c r="DT788" s="79"/>
      <c r="DU788" s="75" t="str">
        <f t="shared" si="1071"/>
        <v>No aplica</v>
      </c>
      <c r="DV788" s="79" t="s">
        <v>182</v>
      </c>
      <c r="DW788" s="79" t="s">
        <v>182</v>
      </c>
      <c r="DX788" s="79"/>
      <c r="DY788" s="79"/>
      <c r="DZ788" s="79"/>
      <c r="EA788" s="79"/>
      <c r="EB788" s="79" t="s">
        <v>182</v>
      </c>
      <c r="EC788" s="79" t="s">
        <v>5502</v>
      </c>
      <c r="ED788" s="79" t="s">
        <v>5503</v>
      </c>
      <c r="EE788" s="79" t="str">
        <f t="shared" si="1072"/>
        <v>Por Completar</v>
      </c>
      <c r="EF788" s="41"/>
      <c r="EG788" s="79"/>
      <c r="EH788" s="71"/>
      <c r="EI788" s="80"/>
      <c r="EJ788" s="71"/>
      <c r="EK788" s="79"/>
      <c r="EL788" s="87" t="str">
        <f t="shared" si="1073"/>
        <v>No requiere</v>
      </c>
      <c r="EM788" s="87" t="str">
        <f t="shared" si="1074"/>
        <v>No requiere</v>
      </c>
      <c r="EN788" s="87" t="str">
        <f t="shared" si="1075"/>
        <v>No requiere</v>
      </c>
      <c r="EO788" s="71"/>
      <c r="EP788" s="84" t="str">
        <f t="shared" si="1076"/>
        <v>No requiere</v>
      </c>
      <c r="EQ788" s="88" t="str">
        <f t="shared" si="1077"/>
        <v>No requiere</v>
      </c>
      <c r="ER788" s="71"/>
      <c r="ES788" s="79"/>
      <c r="ET788" s="84" t="str">
        <f t="shared" si="1078"/>
        <v>No requiere</v>
      </c>
      <c r="EU788" s="84" t="str">
        <f t="shared" si="1079"/>
        <v>No requiere</v>
      </c>
      <c r="EV788" s="84" t="str">
        <f t="shared" si="1080"/>
        <v>No requiere</v>
      </c>
      <c r="EW788" s="84" t="str">
        <f t="shared" si="1081"/>
        <v>No requiere</v>
      </c>
      <c r="EX788" s="78"/>
      <c r="EY788" s="78"/>
    </row>
    <row r="789" spans="1:155" ht="87" customHeight="1">
      <c r="A789" s="79">
        <v>785</v>
      </c>
      <c r="B789" s="80" t="s">
        <v>5504</v>
      </c>
      <c r="C789" s="81">
        <v>45500</v>
      </c>
      <c r="D789" s="82">
        <v>0.33333333333333331</v>
      </c>
      <c r="E789" s="79" t="s">
        <v>151</v>
      </c>
      <c r="F789" s="79" t="s">
        <v>153</v>
      </c>
      <c r="G789" s="79" t="s">
        <v>153</v>
      </c>
      <c r="H789" s="79" t="s">
        <v>153</v>
      </c>
      <c r="I789" s="79" t="s">
        <v>152</v>
      </c>
      <c r="J789" s="79" t="s">
        <v>154</v>
      </c>
      <c r="K789" s="79" t="s">
        <v>155</v>
      </c>
      <c r="L789" s="80" t="s">
        <v>4764</v>
      </c>
      <c r="M789" s="80" t="s">
        <v>241</v>
      </c>
      <c r="N789" s="129" t="s">
        <v>801</v>
      </c>
      <c r="O789" s="80" t="str">
        <f t="shared" si="636"/>
        <v>Carlos Eduardo Escandón, Manuel Fernando Vergara, James Fernando Núñez, Nixon Sandoval Mateus, Maria Angélica Higuera, Andres Castro Latorre, Armando Alberto Montañez, Juan Pablo Serna, Germán Ramón Jacome, Nicolás Esteban Flórez, Daniela Velasco Vega</v>
      </c>
      <c r="P789" s="129" t="s">
        <v>819</v>
      </c>
      <c r="Q789" s="129" t="s">
        <v>820</v>
      </c>
      <c r="R789" s="129" t="s">
        <v>632</v>
      </c>
      <c r="S789" s="129" t="s">
        <v>644</v>
      </c>
      <c r="T789" s="129" t="s">
        <v>328</v>
      </c>
      <c r="U789" s="129" t="s">
        <v>749</v>
      </c>
      <c r="V789" s="129" t="s">
        <v>1387</v>
      </c>
      <c r="W789" s="129" t="s">
        <v>818</v>
      </c>
      <c r="X789" s="129" t="s">
        <v>525</v>
      </c>
      <c r="Y789" s="129" t="s">
        <v>472</v>
      </c>
      <c r="Z789" s="129" t="s">
        <v>660</v>
      </c>
      <c r="AA789" s="164"/>
      <c r="AB789" s="164"/>
      <c r="AC789" s="79"/>
      <c r="AD789" s="79"/>
      <c r="AE789" s="79"/>
      <c r="AF789" s="79"/>
      <c r="AG789" s="79"/>
      <c r="AH789" s="79"/>
      <c r="AI789" s="79"/>
      <c r="AJ789" s="79"/>
      <c r="AK789" s="79"/>
      <c r="AL789" s="79"/>
      <c r="AM789" s="79"/>
      <c r="AN789" s="79"/>
      <c r="AO789" s="79" t="s">
        <v>304</v>
      </c>
      <c r="AP789" s="79"/>
      <c r="AQ789" s="80" t="s">
        <v>171</v>
      </c>
      <c r="AR789" s="80" t="s">
        <v>171</v>
      </c>
      <c r="AS789" s="80" t="s">
        <v>171</v>
      </c>
      <c r="AT789" s="80" t="str">
        <f t="shared" si="950"/>
        <v>Usaquén</v>
      </c>
      <c r="AU789" s="79" t="s">
        <v>661</v>
      </c>
      <c r="AV789" s="79"/>
      <c r="AW789" s="79"/>
      <c r="AX789" s="79"/>
      <c r="AY789" s="79"/>
      <c r="AZ789" s="79"/>
      <c r="BA789" s="80" t="str">
        <f t="shared" si="1000"/>
        <v>Norte</v>
      </c>
      <c r="BB789" s="79" t="s">
        <v>662</v>
      </c>
      <c r="BC789" s="79"/>
      <c r="BD789" s="79"/>
      <c r="BE789" s="79"/>
      <c r="BF789" s="79"/>
      <c r="BG789" s="79"/>
      <c r="BH789" s="80" t="str">
        <f t="shared" si="1001"/>
        <v>Usaquén, Britalia, Torca, Toberín, Niza</v>
      </c>
      <c r="BI789" s="79" t="s">
        <v>661</v>
      </c>
      <c r="BJ789" s="79" t="s">
        <v>1313</v>
      </c>
      <c r="BK789" s="79" t="s">
        <v>805</v>
      </c>
      <c r="BL789" s="79" t="s">
        <v>804</v>
      </c>
      <c r="BM789" s="79" t="s">
        <v>865</v>
      </c>
      <c r="BN789" s="79"/>
      <c r="BO789" s="79"/>
      <c r="BP789" s="79"/>
      <c r="BQ789" s="79"/>
      <c r="BR789" s="79"/>
      <c r="BS789" s="80" t="s">
        <v>662</v>
      </c>
      <c r="BT789" s="80" t="s">
        <v>5505</v>
      </c>
      <c r="BU789" s="92" t="s">
        <v>5506</v>
      </c>
      <c r="BV789" s="71"/>
      <c r="BW789" s="79" t="s">
        <v>153</v>
      </c>
      <c r="BX789" s="79" t="s">
        <v>4242</v>
      </c>
      <c r="BY789" s="71"/>
      <c r="BZ789" s="79">
        <v>70</v>
      </c>
      <c r="CA789" s="79">
        <v>24</v>
      </c>
      <c r="CB789" s="79">
        <f t="shared" ref="CB789:CB791" si="1083">BZ789+CA789</f>
        <v>94</v>
      </c>
      <c r="CC789" s="79" t="str">
        <f t="shared" si="382"/>
        <v>Ninguna</v>
      </c>
      <c r="CD789" s="79" t="s">
        <v>174</v>
      </c>
      <c r="CE789" s="79"/>
      <c r="CF789" s="79"/>
      <c r="CG789" s="83" t="s">
        <v>5507</v>
      </c>
      <c r="CH789" s="41"/>
      <c r="CI789" s="79"/>
      <c r="CJ789" s="71"/>
      <c r="CK789" s="79">
        <v>1</v>
      </c>
      <c r="CL789" s="79" t="s">
        <v>5398</v>
      </c>
      <c r="CM789" s="79"/>
      <c r="CN789" s="79"/>
      <c r="CO789" s="79"/>
      <c r="CP789" s="79"/>
      <c r="CQ789" s="79"/>
      <c r="CR789" s="83" t="s">
        <v>390</v>
      </c>
      <c r="CS789" s="83" t="s">
        <v>179</v>
      </c>
      <c r="CT789" s="83" t="s">
        <v>179</v>
      </c>
      <c r="CU789" s="83" t="s">
        <v>179</v>
      </c>
      <c r="CV789" s="83" t="s">
        <v>179</v>
      </c>
      <c r="CW789" s="83" t="s">
        <v>179</v>
      </c>
      <c r="CX789" s="79" t="s">
        <v>153</v>
      </c>
      <c r="CY789" s="79">
        <f t="shared" ref="CY789:CY791" si="1084">SUM(COUNTIF(CR789:CW789,"Realizado y Devuelto a la Ciudadanía"),COUNTIF(CR789:CW789,"Realizado y Trasladado por competencia"), COUNTIF(CR789:CW789,"Realizado y Gestionado"))</f>
        <v>1</v>
      </c>
      <c r="CZ789" s="79">
        <v>0</v>
      </c>
      <c r="DA789" s="79">
        <f t="shared" ref="DA789:DA791" si="1085">COUNTIF(CR789:CW789,"Realizado y Devuelto a la Ciudadanía")</f>
        <v>1</v>
      </c>
      <c r="DB789" s="84">
        <f t="shared" ref="DB789:DB791" si="1086">IFERROR(CY789/CK789,"")</f>
        <v>1</v>
      </c>
      <c r="DC789" s="41"/>
      <c r="DD789" s="79" t="s">
        <v>153</v>
      </c>
      <c r="DE789" s="71"/>
      <c r="DF789" s="133" t="s">
        <v>5508</v>
      </c>
      <c r="DG789" s="79">
        <v>777</v>
      </c>
      <c r="DH789" s="86" t="str">
        <f t="shared" si="722"/>
        <v>Completo</v>
      </c>
      <c r="DI789" s="79" t="s">
        <v>181</v>
      </c>
      <c r="DJ789" s="79" t="s">
        <v>182</v>
      </c>
      <c r="DK789" s="79" t="s">
        <v>153</v>
      </c>
      <c r="DL789" s="79">
        <v>0</v>
      </c>
      <c r="DM789" s="79">
        <v>0</v>
      </c>
      <c r="DN789" s="79" t="s">
        <v>182</v>
      </c>
      <c r="DO789" s="79"/>
      <c r="DP789" s="79" t="s">
        <v>182</v>
      </c>
      <c r="DQ789" s="79">
        <v>22</v>
      </c>
      <c r="DR789" s="75">
        <f t="shared" si="576"/>
        <v>1.0476190476190477</v>
      </c>
      <c r="DS789" s="79" t="s">
        <v>182</v>
      </c>
      <c r="DT789" s="79">
        <v>25</v>
      </c>
      <c r="DU789" s="75">
        <f t="shared" si="577"/>
        <v>1.0204081632653061</v>
      </c>
      <c r="DV789" s="79" t="s">
        <v>182</v>
      </c>
      <c r="DW789" s="79" t="s">
        <v>182</v>
      </c>
      <c r="DX789" s="79">
        <v>5</v>
      </c>
      <c r="DY789" s="79"/>
      <c r="DZ789" s="79"/>
      <c r="EA789" s="79"/>
      <c r="EB789" s="79" t="s">
        <v>182</v>
      </c>
      <c r="EC789" s="79" t="s">
        <v>5509</v>
      </c>
      <c r="ED789" s="79" t="s">
        <v>5510</v>
      </c>
      <c r="EE789" s="79" t="str">
        <f t="shared" ref="EE789:EE791" si="1087">IF(DI789="Subsanado","Completo","Por Completar")</f>
        <v>Completo</v>
      </c>
      <c r="EF789" s="41"/>
      <c r="EG789" s="79" t="s">
        <v>153</v>
      </c>
      <c r="EH789" s="71"/>
      <c r="EI789" s="312" t="s">
        <v>5511</v>
      </c>
      <c r="EJ789" s="71"/>
      <c r="EK789" s="79" t="s">
        <v>409</v>
      </c>
      <c r="EL789" s="87" t="str">
        <f t="shared" si="942"/>
        <v>Sí</v>
      </c>
      <c r="EM789" s="87" t="str">
        <f t="shared" si="943"/>
        <v>No</v>
      </c>
      <c r="EN789" s="87" t="str">
        <f t="shared" ref="EN789:EN791" si="1088">IF(F789="NO","No requiere",IF(H789="No","No requiere",IF(CC789="","",IF(CD789&lt;&gt;"No aplica",IF(CD789&lt;&gt;"Ninguna",IF(COUNTIF(CD789:CF789,"*")&gt;=1,"Sí","No"),"No"),"No aplica"))))</f>
        <v>No</v>
      </c>
      <c r="EO789" s="71"/>
      <c r="EP789" s="84" t="str">
        <f t="shared" si="945"/>
        <v>No aplica</v>
      </c>
      <c r="EQ789" s="88">
        <f t="shared" si="946"/>
        <v>1.0204081632653061</v>
      </c>
      <c r="ER789" s="71"/>
      <c r="ES789" s="79" t="s">
        <v>409</v>
      </c>
      <c r="ET789" s="84">
        <f t="shared" si="947"/>
        <v>1</v>
      </c>
      <c r="EU789" s="84">
        <f t="shared" ref="EU789:EU791" si="1089">IF(F789="NO","No requiere",IF(H789="No","No requiere",IF(B789="","",IF(CX789="SÍ",IF(CK789&gt;=1,CY789/CK789,"Sin compromisos"),"Por verificar"))))</f>
        <v>1</v>
      </c>
      <c r="EV789" s="84" t="str">
        <f t="shared" si="949"/>
        <v>No aplica</v>
      </c>
      <c r="EW789" s="84" t="str">
        <f t="shared" si="581"/>
        <v>0%</v>
      </c>
      <c r="EX789" s="78"/>
      <c r="EY789" s="78"/>
    </row>
    <row r="790" spans="1:155" ht="61.5" customHeight="1">
      <c r="A790" s="79">
        <v>786</v>
      </c>
      <c r="B790" s="80" t="s">
        <v>5512</v>
      </c>
      <c r="C790" s="81">
        <v>45500</v>
      </c>
      <c r="D790" s="82">
        <v>0.41666666666666669</v>
      </c>
      <c r="E790" s="79" t="s">
        <v>151</v>
      </c>
      <c r="F790" s="79" t="s">
        <v>153</v>
      </c>
      <c r="G790" s="79" t="s">
        <v>153</v>
      </c>
      <c r="H790" s="79" t="s">
        <v>153</v>
      </c>
      <c r="I790" s="79" t="s">
        <v>152</v>
      </c>
      <c r="J790" s="79" t="s">
        <v>1711</v>
      </c>
      <c r="K790" s="79" t="s">
        <v>155</v>
      </c>
      <c r="L790" s="80" t="s">
        <v>5513</v>
      </c>
      <c r="M790" s="80" t="s">
        <v>229</v>
      </c>
      <c r="N790" s="79" t="s">
        <v>163</v>
      </c>
      <c r="O790" s="80" t="str">
        <f t="shared" ref="O790:O791" si="1090">_xlfn.TEXTJOIN(", ",TRUE,P790:AN790)</f>
        <v>Laura Camila Bechara, Diego Nicolás Gutiérrez, Dayanna Alexandra Cortes</v>
      </c>
      <c r="P790" s="79" t="s">
        <v>887</v>
      </c>
      <c r="Q790" s="306" t="s">
        <v>888</v>
      </c>
      <c r="R790" s="79" t="s">
        <v>4765</v>
      </c>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t="s">
        <v>230</v>
      </c>
      <c r="AP790" s="79" t="s">
        <v>347</v>
      </c>
      <c r="AQ790" s="80" t="s">
        <v>1713</v>
      </c>
      <c r="AR790" s="83" t="s">
        <v>5455</v>
      </c>
      <c r="AS790" s="80" t="s">
        <v>1714</v>
      </c>
      <c r="AT790" s="80" t="str">
        <f t="shared" si="950"/>
        <v>Distrital</v>
      </c>
      <c r="AU790" s="79" t="s">
        <v>172</v>
      </c>
      <c r="AV790" s="79"/>
      <c r="AW790" s="79"/>
      <c r="AX790" s="79"/>
      <c r="AY790" s="79"/>
      <c r="AZ790" s="79"/>
      <c r="BA790" s="80" t="str">
        <f t="shared" si="1000"/>
        <v>Distrital</v>
      </c>
      <c r="BB790" s="79" t="s">
        <v>172</v>
      </c>
      <c r="BC790" s="79"/>
      <c r="BD790" s="79"/>
      <c r="BE790" s="79"/>
      <c r="BF790" s="79"/>
      <c r="BG790" s="79"/>
      <c r="BH790" s="80" t="str">
        <f t="shared" si="1001"/>
        <v>Distrital</v>
      </c>
      <c r="BI790" s="79" t="s">
        <v>172</v>
      </c>
      <c r="BJ790" s="79"/>
      <c r="BK790" s="79"/>
      <c r="BL790" s="79"/>
      <c r="BM790" s="79"/>
      <c r="BN790" s="79"/>
      <c r="BO790" s="79"/>
      <c r="BP790" s="79"/>
      <c r="BQ790" s="79"/>
      <c r="BR790" s="79"/>
      <c r="BS790" s="80" t="s">
        <v>2609</v>
      </c>
      <c r="BT790" s="80" t="s">
        <v>174</v>
      </c>
      <c r="BU790" s="80" t="s">
        <v>4241</v>
      </c>
      <c r="BV790" s="71"/>
      <c r="BW790" s="79" t="s">
        <v>152</v>
      </c>
      <c r="BX790" s="79" t="s">
        <v>179</v>
      </c>
      <c r="BY790" s="71"/>
      <c r="BZ790" s="79">
        <v>46</v>
      </c>
      <c r="CA790" s="79">
        <v>9</v>
      </c>
      <c r="CB790" s="79">
        <f t="shared" si="1083"/>
        <v>55</v>
      </c>
      <c r="CC790" s="79" t="str">
        <f t="shared" si="382"/>
        <v>Ninguna</v>
      </c>
      <c r="CD790" s="79" t="s">
        <v>174</v>
      </c>
      <c r="CE790" s="79"/>
      <c r="CF790" s="79"/>
      <c r="CG790" s="83" t="s">
        <v>5514</v>
      </c>
      <c r="CH790" s="41"/>
      <c r="CI790" s="79"/>
      <c r="CJ790" s="71"/>
      <c r="CK790" s="79">
        <v>1</v>
      </c>
      <c r="CL790" s="79" t="s">
        <v>5515</v>
      </c>
      <c r="CM790" s="79"/>
      <c r="CN790" s="79"/>
      <c r="CO790" s="79"/>
      <c r="CP790" s="79"/>
      <c r="CQ790" s="79"/>
      <c r="CR790" s="83" t="s">
        <v>390</v>
      </c>
      <c r="CS790" s="83" t="s">
        <v>179</v>
      </c>
      <c r="CT790" s="83" t="s">
        <v>179</v>
      </c>
      <c r="CU790" s="83" t="s">
        <v>179</v>
      </c>
      <c r="CV790" s="83" t="s">
        <v>179</v>
      </c>
      <c r="CW790" s="83" t="s">
        <v>179</v>
      </c>
      <c r="CX790" s="79" t="s">
        <v>153</v>
      </c>
      <c r="CY790" s="79">
        <f t="shared" si="1084"/>
        <v>1</v>
      </c>
      <c r="CZ790" s="79">
        <v>0</v>
      </c>
      <c r="DA790" s="79">
        <f t="shared" si="1085"/>
        <v>1</v>
      </c>
      <c r="DB790" s="84">
        <f t="shared" si="1086"/>
        <v>1</v>
      </c>
      <c r="DC790" s="41"/>
      <c r="DD790" s="79" t="s">
        <v>153</v>
      </c>
      <c r="DE790" s="71"/>
      <c r="DF790" s="160" t="s">
        <v>5516</v>
      </c>
      <c r="DG790" s="79">
        <v>778</v>
      </c>
      <c r="DH790" s="86" t="str">
        <f t="shared" ref="DH790:DH791" si="1091">IF(EE790="Por completar",C790+3,"Completo")</f>
        <v>Completo</v>
      </c>
      <c r="DI790" s="79" t="s">
        <v>181</v>
      </c>
      <c r="DJ790" s="79" t="s">
        <v>182</v>
      </c>
      <c r="DK790" s="79" t="s">
        <v>153</v>
      </c>
      <c r="DL790" s="79">
        <v>0</v>
      </c>
      <c r="DM790" s="79">
        <v>0</v>
      </c>
      <c r="DN790" s="79" t="s">
        <v>182</v>
      </c>
      <c r="DO790" s="79"/>
      <c r="DP790" s="79" t="s">
        <v>182</v>
      </c>
      <c r="DQ790" s="79">
        <v>14</v>
      </c>
      <c r="DR790" s="75">
        <f t="shared" si="576"/>
        <v>1.0144927536231885</v>
      </c>
      <c r="DS790" s="79" t="s">
        <v>191</v>
      </c>
      <c r="DT790" s="79"/>
      <c r="DU790" s="75">
        <f t="shared" si="577"/>
        <v>0</v>
      </c>
      <c r="DV790" s="79" t="s">
        <v>182</v>
      </c>
      <c r="DW790" s="79" t="s">
        <v>182</v>
      </c>
      <c r="DX790" s="79"/>
      <c r="DY790" s="79"/>
      <c r="DZ790" s="79"/>
      <c r="EA790" s="79"/>
      <c r="EB790" s="79"/>
      <c r="EC790" s="79"/>
      <c r="ED790" s="79"/>
      <c r="EE790" s="79" t="str">
        <f t="shared" si="1087"/>
        <v>Completo</v>
      </c>
      <c r="EF790" s="41"/>
      <c r="EG790" s="79" t="s">
        <v>153</v>
      </c>
      <c r="EH790" s="71"/>
      <c r="EI790" s="312" t="s">
        <v>5517</v>
      </c>
      <c r="EJ790" s="71"/>
      <c r="EK790" s="79" t="s">
        <v>409</v>
      </c>
      <c r="EL790" s="87" t="str">
        <f t="shared" ref="EL790:EL791" si="1092">IF(F790="NO","No requiere",IF(H790="No","No requiere",IF(DW790="","",IF(DW790&lt;&gt;"No aplica",IF(DX790&lt;&gt;"No aplica",IF(DX790&gt;=2,"Sí","No"),"No aplica"),"No aplica"))))</f>
        <v>No</v>
      </c>
      <c r="EM790" s="87" t="str">
        <f t="shared" ref="EM790:EM791" si="1093">IF(F790="NO","No requiere",IF(H790="No","No requiere",IF(DW790="","",IF(DW790&lt;&gt;"No aplica",IF(DY790&lt;&gt;"No aplica",IF(DY790&gt;=1,"Sí","No"),"No aplica"),"No aplica"))))</f>
        <v>No</v>
      </c>
      <c r="EN790" s="87" t="str">
        <f t="shared" si="1088"/>
        <v>No</v>
      </c>
      <c r="EO790" s="71"/>
      <c r="EP790" s="84" t="str">
        <f t="shared" ref="EP790:EP791" si="1094">IF(F790="NO","No requiere",IF(H790="No","No requiere",IF(DL790="","",IF(DL790&gt;=1,DM790/DL790,"No aplica"))))</f>
        <v>No aplica</v>
      </c>
      <c r="EQ790" s="88">
        <f t="shared" ref="EQ790:EQ791" si="1095">IFERROR(IF(F790="NO","No requiere",IF(H790="No","No requiere",DU790)),"")</f>
        <v>0</v>
      </c>
      <c r="ER790" s="71"/>
      <c r="ES790" s="79" t="s">
        <v>409</v>
      </c>
      <c r="ET790" s="84">
        <f t="shared" ref="ET790:ET791" si="1096">IF(F790="NO","No requiere",IF(H790="No","No requiere",IFERROR(COUNTIF(DJ790:DW790,"Completo")/SUM(COUNTIF(DJ790:DW790,"Completo"),COUNTIF(DJ790:DW790,"Incompleto"),COUNTIF(DJ790:DW790,"No subido"),COUNTIF(DJ790:DW790,"No existente"),COUNTIF(DJ790:DW790,"Pendiente")),"")))</f>
        <v>0.83333333333333337</v>
      </c>
      <c r="EU790" s="84">
        <f t="shared" si="1089"/>
        <v>1</v>
      </c>
      <c r="EV790" s="84" t="str">
        <f t="shared" ref="EV790:EV791" si="1097">IF(EU790="Por verificar","Por verificar",IF(F790="NO","No requiere",IF(H790="No","No requiere",IFERROR(IF(EU790="","",IF(CK790&gt;=1,DA790/CZ790,"No aplica")),"No aplica"))))</f>
        <v>No aplica</v>
      </c>
      <c r="EW790" s="84" t="str">
        <f t="shared" si="581"/>
        <v>0%</v>
      </c>
      <c r="EX790" s="78"/>
      <c r="EY790" s="78"/>
    </row>
    <row r="791" spans="1:155" ht="45.75" customHeight="1">
      <c r="A791" s="79">
        <v>787</v>
      </c>
      <c r="B791" s="80" t="s">
        <v>5518</v>
      </c>
      <c r="C791" s="81">
        <v>45500</v>
      </c>
      <c r="D791" s="82">
        <v>0.58333333333333337</v>
      </c>
      <c r="E791" s="79" t="s">
        <v>151</v>
      </c>
      <c r="F791" s="79" t="s">
        <v>153</v>
      </c>
      <c r="G791" s="79" t="s">
        <v>153</v>
      </c>
      <c r="H791" s="79" t="s">
        <v>152</v>
      </c>
      <c r="I791" s="79" t="s">
        <v>152</v>
      </c>
      <c r="J791" s="79" t="s">
        <v>3999</v>
      </c>
      <c r="K791" s="79" t="s">
        <v>155</v>
      </c>
      <c r="L791" s="80" t="s">
        <v>5519</v>
      </c>
      <c r="M791" s="80" t="s">
        <v>241</v>
      </c>
      <c r="N791" s="79" t="s">
        <v>632</v>
      </c>
      <c r="O791" s="80" t="str">
        <f t="shared" si="1090"/>
        <v/>
      </c>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t="s">
        <v>230</v>
      </c>
      <c r="AP791" s="79" t="s">
        <v>231</v>
      </c>
      <c r="AQ791" s="80" t="s">
        <v>5520</v>
      </c>
      <c r="AR791" s="83" t="s">
        <v>5521</v>
      </c>
      <c r="AS791" s="80" t="s">
        <v>171</v>
      </c>
      <c r="AT791" s="80" t="str">
        <f t="shared" si="950"/>
        <v>Fontibón</v>
      </c>
      <c r="AU791" s="79" t="s">
        <v>646</v>
      </c>
      <c r="AV791" s="79"/>
      <c r="AW791" s="79"/>
      <c r="AX791" s="79"/>
      <c r="AY791" s="79"/>
      <c r="AZ791" s="79"/>
      <c r="BA791" s="80" t="str">
        <f t="shared" si="1000"/>
        <v>Occidente</v>
      </c>
      <c r="BB791" s="79" t="s">
        <v>235</v>
      </c>
      <c r="BC791" s="79"/>
      <c r="BD791" s="79"/>
      <c r="BE791" s="79"/>
      <c r="BF791" s="79"/>
      <c r="BG791" s="79"/>
      <c r="BH791" s="80" t="str">
        <f t="shared" si="1001"/>
        <v>Fontibón</v>
      </c>
      <c r="BI791" s="79" t="s">
        <v>646</v>
      </c>
      <c r="BJ791" s="79"/>
      <c r="BK791" s="79"/>
      <c r="BL791" s="79"/>
      <c r="BM791" s="79"/>
      <c r="BN791" s="79"/>
      <c r="BO791" s="79"/>
      <c r="BP791" s="79"/>
      <c r="BQ791" s="79"/>
      <c r="BR791" s="79"/>
      <c r="BS791" s="80" t="s">
        <v>5522</v>
      </c>
      <c r="BT791" s="80" t="s">
        <v>174</v>
      </c>
      <c r="BU791" s="80" t="s">
        <v>5523</v>
      </c>
      <c r="BV791" s="71"/>
      <c r="BW791" s="79" t="s">
        <v>152</v>
      </c>
      <c r="BX791" s="79" t="s">
        <v>179</v>
      </c>
      <c r="BY791" s="71"/>
      <c r="BZ791" s="79">
        <v>2</v>
      </c>
      <c r="CA791" s="79">
        <v>1</v>
      </c>
      <c r="CB791" s="79">
        <f t="shared" si="1083"/>
        <v>3</v>
      </c>
      <c r="CC791" s="79" t="str">
        <f t="shared" si="382"/>
        <v>Horarios Acordes</v>
      </c>
      <c r="CD791" s="79" t="s">
        <v>351</v>
      </c>
      <c r="CE791" s="79"/>
      <c r="CF791" s="79"/>
      <c r="CG791" s="83" t="s">
        <v>5524</v>
      </c>
      <c r="CH791" s="41"/>
      <c r="CI791" s="79"/>
      <c r="CJ791" s="71"/>
      <c r="CK791" s="79">
        <v>1</v>
      </c>
      <c r="CL791" s="79" t="s">
        <v>4099</v>
      </c>
      <c r="CM791" s="79"/>
      <c r="CN791" s="79"/>
      <c r="CO791" s="79"/>
      <c r="CP791" s="79"/>
      <c r="CQ791" s="79"/>
      <c r="CR791" s="83" t="s">
        <v>390</v>
      </c>
      <c r="CS791" s="83" t="s">
        <v>179</v>
      </c>
      <c r="CT791" s="83" t="s">
        <v>179</v>
      </c>
      <c r="CU791" s="83" t="s">
        <v>179</v>
      </c>
      <c r="CV791" s="83" t="s">
        <v>179</v>
      </c>
      <c r="CW791" s="83" t="s">
        <v>179</v>
      </c>
      <c r="CX791" s="79" t="s">
        <v>153</v>
      </c>
      <c r="CY791" s="79">
        <f t="shared" si="1084"/>
        <v>1</v>
      </c>
      <c r="CZ791" s="79">
        <v>0</v>
      </c>
      <c r="DA791" s="79">
        <f t="shared" si="1085"/>
        <v>1</v>
      </c>
      <c r="DB791" s="84">
        <f t="shared" si="1086"/>
        <v>1</v>
      </c>
      <c r="DC791" s="41"/>
      <c r="DD791" s="79" t="s">
        <v>153</v>
      </c>
      <c r="DE791" s="71"/>
      <c r="DF791" s="127" t="s">
        <v>5525</v>
      </c>
      <c r="DG791" s="79">
        <v>779</v>
      </c>
      <c r="DH791" s="86" t="str">
        <f t="shared" si="1091"/>
        <v>Completo</v>
      </c>
      <c r="DI791" s="79" t="s">
        <v>181</v>
      </c>
      <c r="DJ791" s="79" t="s">
        <v>182</v>
      </c>
      <c r="DK791" s="79"/>
      <c r="DL791" s="79">
        <v>0</v>
      </c>
      <c r="DM791" s="79">
        <v>0</v>
      </c>
      <c r="DN791" s="79" t="s">
        <v>182</v>
      </c>
      <c r="DO791" s="79"/>
      <c r="DP791" s="79"/>
      <c r="DQ791" s="79"/>
      <c r="DR791" s="75" t="str">
        <f t="shared" si="576"/>
        <v>No aplica</v>
      </c>
      <c r="DS791" s="79"/>
      <c r="DT791" s="79"/>
      <c r="DU791" s="75" t="str">
        <f t="shared" si="577"/>
        <v>No aplica</v>
      </c>
      <c r="DV791" s="79" t="s">
        <v>182</v>
      </c>
      <c r="DW791" s="79"/>
      <c r="DX791" s="79"/>
      <c r="DY791" s="79"/>
      <c r="DZ791" s="79"/>
      <c r="EA791" s="79"/>
      <c r="EB791" s="79"/>
      <c r="EC791" s="79"/>
      <c r="ED791" s="79" t="s">
        <v>3866</v>
      </c>
      <c r="EE791" s="79" t="str">
        <f t="shared" si="1087"/>
        <v>Completo</v>
      </c>
      <c r="EF791" s="41"/>
      <c r="EG791" s="79" t="s">
        <v>153</v>
      </c>
      <c r="EH791" s="71"/>
      <c r="EI791" s="80"/>
      <c r="EJ791" s="71"/>
      <c r="EK791" s="79"/>
      <c r="EL791" s="87" t="str">
        <f t="shared" si="1092"/>
        <v>No requiere</v>
      </c>
      <c r="EM791" s="87" t="str">
        <f t="shared" si="1093"/>
        <v>No requiere</v>
      </c>
      <c r="EN791" s="87" t="str">
        <f t="shared" si="1088"/>
        <v>No requiere</v>
      </c>
      <c r="EO791" s="71"/>
      <c r="EP791" s="84" t="str">
        <f t="shared" si="1094"/>
        <v>No requiere</v>
      </c>
      <c r="EQ791" s="88" t="str">
        <f t="shared" si="1095"/>
        <v>No requiere</v>
      </c>
      <c r="ER791" s="71"/>
      <c r="ES791" s="79"/>
      <c r="ET791" s="84" t="str">
        <f t="shared" si="1096"/>
        <v>No requiere</v>
      </c>
      <c r="EU791" s="84" t="str">
        <f t="shared" si="1089"/>
        <v>No requiere</v>
      </c>
      <c r="EV791" s="84" t="str">
        <f t="shared" si="1097"/>
        <v>No requiere</v>
      </c>
      <c r="EW791" s="84" t="str">
        <f t="shared" si="581"/>
        <v>No requiere</v>
      </c>
      <c r="EX791" s="78"/>
      <c r="EY791" s="78"/>
    </row>
    <row r="792" spans="1:155" ht="75" customHeight="1">
      <c r="A792" s="79">
        <v>788</v>
      </c>
      <c r="B792" s="191" t="s">
        <v>5526</v>
      </c>
      <c r="C792" s="81">
        <v>45501</v>
      </c>
      <c r="D792" s="82">
        <v>0.33333333333333331</v>
      </c>
      <c r="E792" s="79" t="s">
        <v>151</v>
      </c>
      <c r="F792" s="79" t="s">
        <v>153</v>
      </c>
      <c r="G792" s="79" t="s">
        <v>153</v>
      </c>
      <c r="H792" s="79" t="s">
        <v>153</v>
      </c>
      <c r="I792" s="79" t="s">
        <v>152</v>
      </c>
      <c r="J792" s="79" t="s">
        <v>154</v>
      </c>
      <c r="K792" s="79" t="s">
        <v>155</v>
      </c>
      <c r="L792" s="80" t="s">
        <v>4764</v>
      </c>
      <c r="M792" s="80" t="s">
        <v>241</v>
      </c>
      <c r="N792" s="79" t="s">
        <v>720</v>
      </c>
      <c r="O792" s="80" t="str">
        <f t="shared" si="636"/>
        <v>Nathalia Guzmán Martínez, Nicolás Enrique Moncaleano, César Augusto Barrantes, Nicolas Esteban Hernández, Reinaldo Terrios Andrade, Paola Andrea González, Joan Sebastian García, Nestor Jecfrid Sánchez, Laura Sofia Morales, William Jair Gil, Luna Paulina Benjumea</v>
      </c>
      <c r="P792" s="79" t="s">
        <v>166</v>
      </c>
      <c r="Q792" s="79" t="s">
        <v>966</v>
      </c>
      <c r="R792" s="79" t="s">
        <v>729</v>
      </c>
      <c r="S792" s="79" t="s">
        <v>645</v>
      </c>
      <c r="T792" s="79" t="s">
        <v>675</v>
      </c>
      <c r="U792" s="79" t="s">
        <v>924</v>
      </c>
      <c r="V792" s="79" t="s">
        <v>728</v>
      </c>
      <c r="W792" s="79" t="s">
        <v>965</v>
      </c>
      <c r="X792" s="79" t="s">
        <v>506</v>
      </c>
      <c r="Y792" s="79" t="s">
        <v>862</v>
      </c>
      <c r="Z792" s="79" t="s">
        <v>4960</v>
      </c>
      <c r="AA792" s="79"/>
      <c r="AB792" s="79"/>
      <c r="AC792" s="79"/>
      <c r="AD792" s="79"/>
      <c r="AE792" s="79"/>
      <c r="AF792" s="79"/>
      <c r="AG792" s="79"/>
      <c r="AH792" s="79"/>
      <c r="AI792" s="79"/>
      <c r="AJ792" s="79"/>
      <c r="AK792" s="79"/>
      <c r="AL792" s="79"/>
      <c r="AM792" s="79"/>
      <c r="AN792" s="79"/>
      <c r="AO792" s="79" t="s">
        <v>304</v>
      </c>
      <c r="AP792" s="79"/>
      <c r="AQ792" s="80" t="s">
        <v>171</v>
      </c>
      <c r="AR792" s="80" t="s">
        <v>171</v>
      </c>
      <c r="AS792" s="80" t="s">
        <v>171</v>
      </c>
      <c r="AT792" s="80" t="str">
        <f t="shared" si="950"/>
        <v>Rafael Uribe Uribe</v>
      </c>
      <c r="AU792" s="79" t="s">
        <v>635</v>
      </c>
      <c r="AV792" s="79"/>
      <c r="AW792" s="79"/>
      <c r="AX792" s="79"/>
      <c r="AY792" s="79"/>
      <c r="AZ792" s="79"/>
      <c r="BA792" s="80" t="str">
        <f t="shared" si="1000"/>
        <v>Suroriente</v>
      </c>
      <c r="BB792" s="79" t="s">
        <v>218</v>
      </c>
      <c r="BC792" s="79"/>
      <c r="BD792" s="79"/>
      <c r="BE792" s="79"/>
      <c r="BF792" s="79"/>
      <c r="BG792" s="79"/>
      <c r="BH792" s="80" t="str">
        <f t="shared" si="1001"/>
        <v>San Cristobal, Usme Entrenubes, Rafael Uribe, Tunjuelito, Lucero, Arborizadora</v>
      </c>
      <c r="BI792" s="79" t="s">
        <v>571</v>
      </c>
      <c r="BJ792" s="79" t="s">
        <v>1010</v>
      </c>
      <c r="BK792" s="79" t="s">
        <v>723</v>
      </c>
      <c r="BL792" s="79" t="s">
        <v>937</v>
      </c>
      <c r="BM792" s="79" t="s">
        <v>221</v>
      </c>
      <c r="BN792" s="79" t="s">
        <v>220</v>
      </c>
      <c r="BO792" s="79"/>
      <c r="BP792" s="79"/>
      <c r="BQ792" s="79"/>
      <c r="BR792" s="79"/>
      <c r="BS792" s="80" t="s">
        <v>218</v>
      </c>
      <c r="BT792" s="80" t="s">
        <v>5527</v>
      </c>
      <c r="BU792" s="80" t="s">
        <v>5528</v>
      </c>
      <c r="BV792" s="71"/>
      <c r="BW792" s="79" t="s">
        <v>153</v>
      </c>
      <c r="BX792" s="79" t="s">
        <v>4242</v>
      </c>
      <c r="BY792" s="71"/>
      <c r="BZ792" s="79">
        <v>52</v>
      </c>
      <c r="CA792" s="79">
        <v>13</v>
      </c>
      <c r="CB792" s="79">
        <f t="shared" ref="CB792:CB793" si="1098">BZ792+CA792</f>
        <v>65</v>
      </c>
      <c r="CC792" s="79" t="str">
        <f t="shared" si="382"/>
        <v>Ninguna</v>
      </c>
      <c r="CD792" s="79" t="s">
        <v>174</v>
      </c>
      <c r="CE792" s="79"/>
      <c r="CF792" s="79"/>
      <c r="CG792" s="83" t="s">
        <v>5529</v>
      </c>
      <c r="CH792" s="41"/>
      <c r="CI792" s="79"/>
      <c r="CJ792" s="71"/>
      <c r="CK792" s="79">
        <f t="shared" ref="CK792:CK801" si="1099">COUNTIF(CL792:CQ792,"*")</f>
        <v>0</v>
      </c>
      <c r="CL792" s="79"/>
      <c r="CM792" s="79"/>
      <c r="CN792" s="79"/>
      <c r="CO792" s="79"/>
      <c r="CP792" s="79"/>
      <c r="CQ792" s="79"/>
      <c r="CR792" s="83"/>
      <c r="CS792" s="83"/>
      <c r="CT792" s="83"/>
      <c r="CU792" s="83"/>
      <c r="CV792" s="83"/>
      <c r="CW792" s="83"/>
      <c r="CX792" s="79"/>
      <c r="CY792" s="79">
        <f t="shared" ref="CY792:CY801" si="1100">SUM(COUNTIF(CR792:CW792,"Realizado y Devuelto a la Ciudadanía"),COUNTIF(CR792:CW792,"Realizado y Trasladado por competencia"), COUNTIF(CR792:CW792,"Realizado y Gestionado"))</f>
        <v>0</v>
      </c>
      <c r="CZ792" s="79">
        <v>0</v>
      </c>
      <c r="DA792" s="79">
        <f t="shared" ref="DA792:DA801" si="1101">COUNTIF(CR792:CW792,"Realizado y Devuelto a la Ciudadanía")</f>
        <v>0</v>
      </c>
      <c r="DB792" s="84" t="str">
        <f t="shared" ref="DB792:DB801" si="1102">IFERROR(CY792/CK792,"")</f>
        <v/>
      </c>
      <c r="DC792" s="41"/>
      <c r="DD792" s="79"/>
      <c r="DE792" s="71"/>
      <c r="DF792" s="133" t="s">
        <v>5530</v>
      </c>
      <c r="DG792" s="79">
        <v>780</v>
      </c>
      <c r="DH792" s="86">
        <f t="shared" si="722"/>
        <v>45504</v>
      </c>
      <c r="DI792" s="79" t="s">
        <v>3560</v>
      </c>
      <c r="DJ792" s="79" t="s">
        <v>3407</v>
      </c>
      <c r="DK792" s="79"/>
      <c r="DL792" s="79">
        <v>0</v>
      </c>
      <c r="DM792" s="79">
        <v>0</v>
      </c>
      <c r="DN792" s="79" t="s">
        <v>3407</v>
      </c>
      <c r="DO792" s="79"/>
      <c r="DP792" s="79" t="s">
        <v>182</v>
      </c>
      <c r="DQ792" s="79">
        <v>18</v>
      </c>
      <c r="DR792" s="75">
        <f t="shared" si="576"/>
        <v>1.153846153846154</v>
      </c>
      <c r="DS792" s="79" t="s">
        <v>2659</v>
      </c>
      <c r="DT792" s="79"/>
      <c r="DU792" s="75">
        <f t="shared" si="577"/>
        <v>0</v>
      </c>
      <c r="DV792" s="79" t="s">
        <v>182</v>
      </c>
      <c r="DW792" s="79" t="s">
        <v>3407</v>
      </c>
      <c r="DX792" s="79">
        <v>3</v>
      </c>
      <c r="DY792" s="79"/>
      <c r="DZ792" s="79"/>
      <c r="EA792" s="79"/>
      <c r="EB792" s="79" t="s">
        <v>2659</v>
      </c>
      <c r="EC792" s="79"/>
      <c r="ED792" s="79" t="s">
        <v>5531</v>
      </c>
      <c r="EE792" s="79" t="str">
        <f t="shared" ref="EE792:EE793" si="1103">IF(DI792="Subsanado","Completo","Por Completar")</f>
        <v>Por Completar</v>
      </c>
      <c r="EF792" s="41"/>
      <c r="EG792" s="79"/>
      <c r="EH792" s="71"/>
      <c r="EI792" s="80"/>
      <c r="EJ792" s="71"/>
      <c r="EK792" s="79" t="s">
        <v>409</v>
      </c>
      <c r="EL792" s="87" t="str">
        <f t="shared" si="942"/>
        <v>Sí</v>
      </c>
      <c r="EM792" s="87" t="str">
        <f t="shared" si="943"/>
        <v>No</v>
      </c>
      <c r="EN792" s="87" t="str">
        <f t="shared" ref="EN792:EN801" si="1104">IF(F792="NO","No requiere",IF(H792="No","No requiere",IF(CC792="","",IF(CD792&lt;&gt;"No aplica",IF(CD792&lt;&gt;"Ninguna",IF(COUNTIF(CD792:CF792,"*")&gt;=1,"Sí","No"),"No"),"No aplica"))))</f>
        <v>No</v>
      </c>
      <c r="EO792" s="71"/>
      <c r="EP792" s="84" t="str">
        <f t="shared" si="945"/>
        <v>No aplica</v>
      </c>
      <c r="EQ792" s="88">
        <f t="shared" si="946"/>
        <v>0</v>
      </c>
      <c r="ER792" s="71"/>
      <c r="ES792" s="79" t="s">
        <v>409</v>
      </c>
      <c r="ET792" s="84">
        <f t="shared" si="947"/>
        <v>0.33333333333333331</v>
      </c>
      <c r="EU792" s="84" t="str">
        <f t="shared" ref="EU792:EU801" si="1105">IF(F792="NO","No requiere",IF(H792="No","No requiere",IF(B792="","",IF(CX792="SÍ",IF(CK792&gt;=1,CY792/CK792,"Sin compromisos"),"Por verificar"))))</f>
        <v>Por verificar</v>
      </c>
      <c r="EV792" s="84" t="str">
        <f t="shared" si="949"/>
        <v>Por verificar</v>
      </c>
      <c r="EW792" s="84" t="str">
        <f t="shared" si="581"/>
        <v>0%</v>
      </c>
      <c r="EX792" s="78"/>
      <c r="EY792" s="78"/>
    </row>
    <row r="793" spans="1:155" ht="75" customHeight="1">
      <c r="A793" s="79">
        <v>789</v>
      </c>
      <c r="B793" s="80" t="s">
        <v>5532</v>
      </c>
      <c r="C793" s="81">
        <v>45502</v>
      </c>
      <c r="D793" s="82">
        <v>0.58333333333333337</v>
      </c>
      <c r="E793" s="79" t="s">
        <v>151</v>
      </c>
      <c r="F793" s="79" t="s">
        <v>153</v>
      </c>
      <c r="G793" s="79" t="s">
        <v>152</v>
      </c>
      <c r="H793" s="79" t="s">
        <v>152</v>
      </c>
      <c r="I793" s="79" t="s">
        <v>152</v>
      </c>
      <c r="J793" s="79" t="s">
        <v>3649</v>
      </c>
      <c r="K793" s="79" t="s">
        <v>202</v>
      </c>
      <c r="L793" s="80" t="s">
        <v>5533</v>
      </c>
      <c r="M793" s="80" t="s">
        <v>303</v>
      </c>
      <c r="N793" s="79" t="s">
        <v>548</v>
      </c>
      <c r="O793" s="80" t="str">
        <f t="shared" si="636"/>
        <v>Julio César Martínez, Michael Cruz Roa</v>
      </c>
      <c r="P793" s="79" t="s">
        <v>601</v>
      </c>
      <c r="Q793" s="79" t="s">
        <v>265</v>
      </c>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t="s">
        <v>5534</v>
      </c>
      <c r="AP793" s="79"/>
      <c r="AQ793" s="80" t="s">
        <v>5535</v>
      </c>
      <c r="AR793" s="83" t="s">
        <v>5536</v>
      </c>
      <c r="AS793" s="80" t="s">
        <v>5537</v>
      </c>
      <c r="AT793" s="80" t="str">
        <f t="shared" si="950"/>
        <v>Distrital</v>
      </c>
      <c r="AU793" s="79" t="s">
        <v>172</v>
      </c>
      <c r="AV793" s="79"/>
      <c r="AW793" s="79"/>
      <c r="AX793" s="79"/>
      <c r="AY793" s="79"/>
      <c r="AZ793" s="79"/>
      <c r="BA793" s="80" t="str">
        <f t="shared" si="1000"/>
        <v>Distrital</v>
      </c>
      <c r="BB793" s="79" t="s">
        <v>172</v>
      </c>
      <c r="BC793" s="79"/>
      <c r="BD793" s="79"/>
      <c r="BE793" s="79"/>
      <c r="BF793" s="79"/>
      <c r="BG793" s="79"/>
      <c r="BH793" s="80" t="str">
        <f t="shared" si="1001"/>
        <v>Distrital</v>
      </c>
      <c r="BI793" s="79" t="s">
        <v>172</v>
      </c>
      <c r="BJ793" s="79"/>
      <c r="BK793" s="79"/>
      <c r="BL793" s="79"/>
      <c r="BM793" s="79"/>
      <c r="BN793" s="79"/>
      <c r="BO793" s="79"/>
      <c r="BP793" s="79"/>
      <c r="BQ793" s="79"/>
      <c r="BR793" s="79"/>
      <c r="BS793" s="80" t="s">
        <v>288</v>
      </c>
      <c r="BT793" s="80" t="s">
        <v>174</v>
      </c>
      <c r="BU793" s="128" t="s">
        <v>3931</v>
      </c>
      <c r="BV793" s="71"/>
      <c r="BW793" s="79" t="s">
        <v>152</v>
      </c>
      <c r="BX793" s="79" t="s">
        <v>179</v>
      </c>
      <c r="BY793" s="71"/>
      <c r="BZ793" s="79">
        <v>5</v>
      </c>
      <c r="CA793" s="79">
        <v>2</v>
      </c>
      <c r="CB793" s="79">
        <f t="shared" si="1098"/>
        <v>7</v>
      </c>
      <c r="CC793" s="79" t="str">
        <f t="shared" si="382"/>
        <v>Ninguna</v>
      </c>
      <c r="CD793" s="79" t="s">
        <v>174</v>
      </c>
      <c r="CE793" s="79"/>
      <c r="CF793" s="79"/>
      <c r="CG793" s="83" t="s">
        <v>5538</v>
      </c>
      <c r="CH793" s="41"/>
      <c r="CI793" s="79"/>
      <c r="CJ793" s="71"/>
      <c r="CK793" s="79">
        <f t="shared" si="1099"/>
        <v>0</v>
      </c>
      <c r="CL793" s="79"/>
      <c r="CM793" s="79"/>
      <c r="CN793" s="79"/>
      <c r="CO793" s="79"/>
      <c r="CP793" s="79"/>
      <c r="CQ793" s="79"/>
      <c r="CR793" s="83" t="s">
        <v>179</v>
      </c>
      <c r="CS793" s="83" t="s">
        <v>179</v>
      </c>
      <c r="CT793" s="83" t="s">
        <v>179</v>
      </c>
      <c r="CU793" s="83" t="s">
        <v>179</v>
      </c>
      <c r="CV793" s="83" t="s">
        <v>179</v>
      </c>
      <c r="CW793" s="83" t="s">
        <v>179</v>
      </c>
      <c r="CX793" s="79" t="s">
        <v>153</v>
      </c>
      <c r="CY793" s="79">
        <f t="shared" si="1100"/>
        <v>0</v>
      </c>
      <c r="CZ793" s="79">
        <v>0</v>
      </c>
      <c r="DA793" s="79">
        <f t="shared" si="1101"/>
        <v>0</v>
      </c>
      <c r="DB793" s="84" t="str">
        <f t="shared" si="1102"/>
        <v/>
      </c>
      <c r="DC793" s="41"/>
      <c r="DD793" s="79" t="s">
        <v>153</v>
      </c>
      <c r="DE793" s="71"/>
      <c r="DF793" s="127" t="s">
        <v>5539</v>
      </c>
      <c r="DG793" s="79">
        <v>781</v>
      </c>
      <c r="DH793" s="86" t="str">
        <f t="shared" ref="DH793" si="1106">IF(EE793="Por completar",C793+3,"Completo")</f>
        <v>Completo</v>
      </c>
      <c r="DI793" s="79" t="s">
        <v>181</v>
      </c>
      <c r="DJ793" s="79" t="s">
        <v>182</v>
      </c>
      <c r="DK793" s="79"/>
      <c r="DL793" s="79">
        <v>0</v>
      </c>
      <c r="DM793" s="79">
        <v>0</v>
      </c>
      <c r="DN793" s="79" t="s">
        <v>182</v>
      </c>
      <c r="DO793" s="79"/>
      <c r="DP793" s="79"/>
      <c r="DQ793" s="79"/>
      <c r="DR793" s="75" t="str">
        <f t="shared" si="576"/>
        <v>No aplica</v>
      </c>
      <c r="DS793" s="79"/>
      <c r="DT793" s="79"/>
      <c r="DU793" s="75" t="str">
        <f t="shared" si="577"/>
        <v>No aplica</v>
      </c>
      <c r="DV793" s="79" t="s">
        <v>182</v>
      </c>
      <c r="DW793" s="79"/>
      <c r="DX793" s="79"/>
      <c r="DY793" s="79"/>
      <c r="DZ793" s="79"/>
      <c r="EA793" s="79"/>
      <c r="EB793" s="79"/>
      <c r="EC793" s="79"/>
      <c r="ED793" s="79" t="s">
        <v>5540</v>
      </c>
      <c r="EE793" s="79" t="str">
        <f t="shared" si="1103"/>
        <v>Completo</v>
      </c>
      <c r="EF793" s="41"/>
      <c r="EG793" s="79" t="s">
        <v>153</v>
      </c>
      <c r="EH793" s="71"/>
      <c r="EI793" s="80"/>
      <c r="EJ793" s="71"/>
      <c r="EK793" s="79"/>
      <c r="EL793" s="87" t="str">
        <f>IF(F793="NO","No requiere",IF(H793="No","No requiere",IF(DW793="","",IF(DW793&lt;&gt;"No aplica",IF(DX793&lt;&gt;"No aplica",IF(DX793&gt;=2,"Sí","No"),"No aplica"),"No aplica"))))</f>
        <v>No requiere</v>
      </c>
      <c r="EM793" s="87" t="str">
        <f>IF(F793="NO","No requiere",IF(H793="No","No requiere",IF(DW793="","",IF(DW793&lt;&gt;"No aplica",IF(DY793&lt;&gt;"No aplica",IF(DY793&gt;=1,"Sí","No"),"No aplica"),"No aplica"))))</f>
        <v>No requiere</v>
      </c>
      <c r="EN793" s="87" t="str">
        <f>IF(F793="NO","No requiere",IF(H793="No","No requiere",IF(CC793="","",IF(CD793&lt;&gt;"No aplica",IF(CD793&lt;&gt;"Ninguna",IF(COUNTIF(CD793:CF793,"*")&gt;=1,"Sí","No"),"No"),"No aplica"))))</f>
        <v>No requiere</v>
      </c>
      <c r="EO793" s="71"/>
      <c r="EP793" s="84" t="str">
        <f>IF(F793="NO","No requiere",IF(H793="No","No requiere",IF(DL793="","",IF(DL793&gt;=1,DM793/DL793,"No aplica"))))</f>
        <v>No requiere</v>
      </c>
      <c r="EQ793" s="88" t="str">
        <f>IFERROR(IF(F793="NO","No requiere",IF(H793="No","No requiere",DU793)),"")</f>
        <v>No requiere</v>
      </c>
      <c r="ER793" s="71"/>
      <c r="ES793" s="79"/>
      <c r="ET793" s="84" t="str">
        <f t="shared" ref="ET793" si="1107">IF(F793="NO","No requiere",IF(H793="No","No requiere",IFERROR(COUNTIF(DJ793:DW793,"Completo")/SUM(COUNTIF(DJ793:DW793,"Completo"),COUNTIF(DJ793:DW793,"Incompleto"),COUNTIF(DJ793:DW793,"No subido"),COUNTIF(DJ793:DW793,"No existente"),COUNTIF(DJ793:DW793,"Pendiente")),"")))</f>
        <v>No requiere</v>
      </c>
      <c r="EU793" s="84" t="str">
        <f t="shared" si="1105"/>
        <v>No requiere</v>
      </c>
      <c r="EV793" s="84" t="str">
        <f t="shared" ref="EV793" si="1108">IF(EU793="Por verificar","Por verificar",IF(F793="NO","No requiere",IF(H793="No","No requiere",IFERROR(IF(EU793="","",IF(CK793&gt;=1,DA793/CZ793,"No aplica")),"No aplica"))))</f>
        <v>No requiere</v>
      </c>
      <c r="EW793" s="84" t="str">
        <f t="shared" si="581"/>
        <v>No requiere</v>
      </c>
      <c r="EX793" s="78"/>
      <c r="EY793" s="78"/>
    </row>
    <row r="794" spans="1:155" ht="75" customHeight="1">
      <c r="A794" s="79">
        <v>790</v>
      </c>
      <c r="B794" s="80" t="s">
        <v>5541</v>
      </c>
      <c r="C794" s="81">
        <v>45502</v>
      </c>
      <c r="D794" s="82">
        <v>0.70833333333333337</v>
      </c>
      <c r="E794" s="79" t="s">
        <v>200</v>
      </c>
      <c r="F794" s="79" t="s">
        <v>153</v>
      </c>
      <c r="G794" s="79" t="s">
        <v>152</v>
      </c>
      <c r="H794" s="79" t="s">
        <v>152</v>
      </c>
      <c r="I794" s="79" t="s">
        <v>152</v>
      </c>
      <c r="J794" s="79" t="s">
        <v>211</v>
      </c>
      <c r="K794" s="79" t="s">
        <v>155</v>
      </c>
      <c r="L794" s="80" t="s">
        <v>5542</v>
      </c>
      <c r="M794" s="80" t="s">
        <v>624</v>
      </c>
      <c r="N794" s="79" t="s">
        <v>524</v>
      </c>
      <c r="O794" s="80" t="str">
        <f t="shared" si="636"/>
        <v/>
      </c>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t="s">
        <v>230</v>
      </c>
      <c r="AP794" s="79" t="s">
        <v>242</v>
      </c>
      <c r="AQ794" s="80" t="s">
        <v>1945</v>
      </c>
      <c r="AR794" s="83" t="s">
        <v>4456</v>
      </c>
      <c r="AS794" s="80" t="s">
        <v>682</v>
      </c>
      <c r="AT794" s="80" t="str">
        <f>_xlfn.TEXTJOIN(", ",TRUE,$AU794:$AY794)</f>
        <v>Distrital</v>
      </c>
      <c r="AU794" s="79" t="s">
        <v>172</v>
      </c>
      <c r="AV794" s="79"/>
      <c r="AW794" s="79"/>
      <c r="AX794" s="79"/>
      <c r="AY794" s="79"/>
      <c r="AZ794" s="79"/>
      <c r="BA794" s="80" t="str">
        <f>_xlfn.TEXTJOIN(", ",TRUE,$BB794:$BG794)</f>
        <v>Distrital</v>
      </c>
      <c r="BB794" s="79" t="s">
        <v>172</v>
      </c>
      <c r="BC794" s="79"/>
      <c r="BD794" s="79"/>
      <c r="BE794" s="79"/>
      <c r="BF794" s="79"/>
      <c r="BG794" s="79"/>
      <c r="BH794" s="80" t="str">
        <f>_xlfn.TEXTJOIN(", ",TRUE,$BI794:$BR794)</f>
        <v>Distrital</v>
      </c>
      <c r="BI794" s="79" t="s">
        <v>172</v>
      </c>
      <c r="BJ794" s="79"/>
      <c r="BK794" s="79"/>
      <c r="BL794" s="79"/>
      <c r="BM794" s="79"/>
      <c r="BN794" s="79"/>
      <c r="BO794" s="79"/>
      <c r="BP794" s="79"/>
      <c r="BQ794" s="79"/>
      <c r="BR794" s="79"/>
      <c r="BS794" s="80" t="s">
        <v>288</v>
      </c>
      <c r="BT794" s="80" t="s">
        <v>174</v>
      </c>
      <c r="BU794" s="80" t="s">
        <v>5543</v>
      </c>
      <c r="BV794" s="71"/>
      <c r="BW794" s="79" t="s">
        <v>152</v>
      </c>
      <c r="BX794" s="79" t="s">
        <v>179</v>
      </c>
      <c r="BY794" s="71"/>
      <c r="BZ794" s="79">
        <v>4</v>
      </c>
      <c r="CA794" s="79">
        <v>4</v>
      </c>
      <c r="CB794" s="79">
        <f>BZ794+CA794</f>
        <v>8</v>
      </c>
      <c r="CC794" s="79" t="str">
        <f>_xlfn.TEXTJOIN(", ",TRUE,$CD794:$CF794)</f>
        <v>Ninguna</v>
      </c>
      <c r="CD794" s="79" t="s">
        <v>174</v>
      </c>
      <c r="CE794" s="79"/>
      <c r="CF794" s="79"/>
      <c r="CG794" s="83" t="s">
        <v>5544</v>
      </c>
      <c r="CH794" s="41"/>
      <c r="CI794" s="79" t="s">
        <v>153</v>
      </c>
      <c r="CJ794" s="71"/>
      <c r="CK794" s="79">
        <f>COUNTIF(CL794:CQ794,"*")</f>
        <v>0</v>
      </c>
      <c r="CL794" s="79"/>
      <c r="CM794" s="79"/>
      <c r="CN794" s="79"/>
      <c r="CO794" s="79"/>
      <c r="CP794" s="79"/>
      <c r="CQ794" s="79"/>
      <c r="CR794" s="83" t="s">
        <v>179</v>
      </c>
      <c r="CS794" s="83" t="s">
        <v>179</v>
      </c>
      <c r="CT794" s="83" t="s">
        <v>179</v>
      </c>
      <c r="CU794" s="83" t="s">
        <v>179</v>
      </c>
      <c r="CV794" s="83" t="s">
        <v>179</v>
      </c>
      <c r="CW794" s="83" t="s">
        <v>179</v>
      </c>
      <c r="CX794" s="79" t="s">
        <v>153</v>
      </c>
      <c r="CY794" s="79">
        <f>SUM(COUNTIF(CR794:CW794,"Realizado y Devuelto a la Ciudadanía"),COUNTIF(CR794:CW794,"Realizado y Trasladado por competencia"), COUNTIF(CR794:CW794,"Realizado y Gestionado"))</f>
        <v>0</v>
      </c>
      <c r="CZ794" s="79">
        <v>0</v>
      </c>
      <c r="DA794" s="79">
        <f>COUNTIF(CR794:CW794,"Realizado y Devuelto a la Ciudadanía")</f>
        <v>0</v>
      </c>
      <c r="DB794" s="84" t="str">
        <f>IFERROR(CY794/CK794,"")</f>
        <v/>
      </c>
      <c r="DC794" s="41"/>
      <c r="DD794" s="79" t="s">
        <v>153</v>
      </c>
      <c r="DE794" s="71"/>
      <c r="DF794" s="127" t="s">
        <v>5545</v>
      </c>
      <c r="DG794" s="79">
        <v>782</v>
      </c>
      <c r="DH794" s="86" t="str">
        <f>IF(EE794="Por completar",C794+3,"Completo")</f>
        <v>Completo</v>
      </c>
      <c r="DI794" s="79" t="s">
        <v>181</v>
      </c>
      <c r="DJ794" s="79" t="s">
        <v>182</v>
      </c>
      <c r="DK794" s="79"/>
      <c r="DL794" s="79">
        <v>0</v>
      </c>
      <c r="DM794" s="79">
        <v>0</v>
      </c>
      <c r="DN794" s="79" t="s">
        <v>182</v>
      </c>
      <c r="DO794" s="79"/>
      <c r="DP794" s="79"/>
      <c r="DQ794" s="79"/>
      <c r="DR794" s="75" t="str">
        <f>IF(H794="SÍ", (DQ794/(BZ794*0.3)), "No aplica")</f>
        <v>No aplica</v>
      </c>
      <c r="DS794" s="79"/>
      <c r="DT794" s="79"/>
      <c r="DU794" s="75" t="str">
        <f>IF(H794="SÍ", (DT794/(BZ794*0.35)), "No aplica")</f>
        <v>No aplica</v>
      </c>
      <c r="DV794" s="79"/>
      <c r="DW794" s="79" t="s">
        <v>182</v>
      </c>
      <c r="DX794" s="79">
        <v>1</v>
      </c>
      <c r="DY794" s="79"/>
      <c r="DZ794" s="79"/>
      <c r="EA794" s="79"/>
      <c r="EB794" s="79" t="s">
        <v>182</v>
      </c>
      <c r="EC794" s="79" t="s">
        <v>5546</v>
      </c>
      <c r="ED794" s="79" t="s">
        <v>5547</v>
      </c>
      <c r="EE794" s="79" t="str">
        <f>IF(DI794="Subsanado","Completo","Por Completar")</f>
        <v>Completo</v>
      </c>
      <c r="EF794" s="41"/>
      <c r="EG794" s="79" t="s">
        <v>153</v>
      </c>
      <c r="EH794" s="71"/>
      <c r="EI794" s="80"/>
      <c r="EJ794" s="71"/>
      <c r="EK794" s="79"/>
      <c r="EL794" s="87" t="str">
        <f>IF(F794="NO","No requiere",IF(H794="No","No requiere",IF(DW794="","",IF(DW794&lt;&gt;"No aplica",IF(DX794&lt;&gt;"No aplica",IF(DX794&gt;=2,"Sí","No"),"No aplica"),"No aplica"))))</f>
        <v>No requiere</v>
      </c>
      <c r="EM794" s="87" t="str">
        <f>IF(F794="NO","No requiere",IF(H794="No","No requiere",IF(DW794="","",IF(DW794&lt;&gt;"No aplica",IF(DY794&lt;&gt;"No aplica",IF(DY794&gt;=1,"Sí","No"),"No aplica"),"No aplica"))))</f>
        <v>No requiere</v>
      </c>
      <c r="EN794" s="87" t="str">
        <f>IF(F794="NO","No requiere",IF(H794="No","No requiere",IF(CC794="","",IF(CD794&lt;&gt;"No aplica",IF(CD794&lt;&gt;"Ninguna",IF(COUNTIF(CD794:CF794,"*")&gt;=1,"Sí","No"),"No"),"No aplica"))))</f>
        <v>No requiere</v>
      </c>
      <c r="EO794" s="71"/>
      <c r="EP794" s="84" t="str">
        <f>IF(F794="NO","No requiere",IF(H794="No","No requiere",IF(DL794="","",IF(DL794&gt;=1,DM794/DL794,"No aplica"))))</f>
        <v>No requiere</v>
      </c>
      <c r="EQ794" s="88" t="str">
        <f>IFERROR(IF(F794="NO","No requiere",IF(H794="No","No requiere",DU794)),"")</f>
        <v>No requiere</v>
      </c>
      <c r="ER794" s="71"/>
      <c r="ES794" s="79"/>
      <c r="ET794" s="84" t="str">
        <f>IF(F794="NO","No requiere",IF(H794="No","No requiere",IFERROR(COUNTIF(DJ794:DW794,"Completo")/SUM(COUNTIF(DJ794:DW794,"Completo"),COUNTIF(DJ794:DW794,"Incompleto"),COUNTIF(DJ794:DW794,"No subido"),COUNTIF(DJ794:DW794,"No existente"),COUNTIF(DJ794:DW794,"Pendiente")),"")))</f>
        <v>No requiere</v>
      </c>
      <c r="EU794" s="84" t="str">
        <f>IF(F794="NO","No requiere",IF(H794="No","No requiere",IF(B794="","",IF(CX794="SÍ",IF(CK794&gt;=1,CY794/CK794,"Sin compromisos"),"Por verificar"))))</f>
        <v>No requiere</v>
      </c>
      <c r="EV794" s="84" t="str">
        <f>IF(EU794="Por verificar","Por verificar",IF(F794="NO","No requiere",IF(H794="No","No requiere",IFERROR(IF(EU794="","",IF(CK794&gt;=1,DA794/CZ794,"No aplica")),"No aplica"))))</f>
        <v>No requiere</v>
      </c>
      <c r="EW794" s="84" t="str">
        <f>IF(F794="NO","No requiere",IF(H794="No","No requiere",IFERROR(IF(BZ794="","",IF(EA794&lt;&gt;"No aplica",IF(EA794&gt;=1,DO794/EA794,"0%"),"No aplica")),"")))</f>
        <v>No requiere</v>
      </c>
      <c r="EX794" s="78"/>
      <c r="EY794" s="78"/>
    </row>
    <row r="795" spans="1:155" ht="75" customHeight="1">
      <c r="A795" s="79">
        <v>791</v>
      </c>
      <c r="B795" s="80" t="s">
        <v>5548</v>
      </c>
      <c r="C795" s="81">
        <v>45503</v>
      </c>
      <c r="D795" s="82">
        <v>0.45833333333333331</v>
      </c>
      <c r="E795" s="79" t="s">
        <v>200</v>
      </c>
      <c r="F795" s="79" t="s">
        <v>153</v>
      </c>
      <c r="G795" s="79" t="s">
        <v>152</v>
      </c>
      <c r="H795" s="79" t="s">
        <v>152</v>
      </c>
      <c r="I795" s="79" t="s">
        <v>152</v>
      </c>
      <c r="J795" s="79" t="s">
        <v>504</v>
      </c>
      <c r="K795" s="79" t="s">
        <v>155</v>
      </c>
      <c r="L795" s="80" t="s">
        <v>5549</v>
      </c>
      <c r="M795" s="80" t="s">
        <v>624</v>
      </c>
      <c r="N795" s="79" t="s">
        <v>749</v>
      </c>
      <c r="O795" s="80" t="str">
        <f t="shared" si="636"/>
        <v/>
      </c>
      <c r="P795" s="79"/>
      <c r="Q795" s="79"/>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t="s">
        <v>169</v>
      </c>
      <c r="AP795" s="79" t="s">
        <v>2702</v>
      </c>
      <c r="AQ795" s="80" t="s">
        <v>750</v>
      </c>
      <c r="AR795" s="83" t="s">
        <v>171</v>
      </c>
      <c r="AS795" s="80" t="s">
        <v>752</v>
      </c>
      <c r="AT795" s="80" t="str">
        <f>_xlfn.TEXTJOIN(", ",TRUE,$AU795:$AY795)</f>
        <v>Los Mártires</v>
      </c>
      <c r="AU795" s="79" t="s">
        <v>823</v>
      </c>
      <c r="AV795" s="79"/>
      <c r="AW795" s="79"/>
      <c r="AX795" s="79"/>
      <c r="AY795" s="79"/>
      <c r="AZ795" s="79"/>
      <c r="BA795" s="80" t="str">
        <f>_xlfn.TEXTJOIN(", ",TRUE,$BB795:$BG795)</f>
        <v>Centro Ampliado</v>
      </c>
      <c r="BB795" s="79" t="s">
        <v>636</v>
      </c>
      <c r="BC795" s="79"/>
      <c r="BD795" s="79"/>
      <c r="BE795" s="79"/>
      <c r="BF795" s="79"/>
      <c r="BG795" s="79"/>
      <c r="BH795" s="80" t="str">
        <f>_xlfn.TEXTJOIN(", ",TRUE,$BI795:$BR795)</f>
        <v>Centro Histórico</v>
      </c>
      <c r="BI795" s="79" t="s">
        <v>754</v>
      </c>
      <c r="BJ795" s="79"/>
      <c r="BK795" s="79"/>
      <c r="BL795" s="79"/>
      <c r="BM795" s="79"/>
      <c r="BN795" s="79"/>
      <c r="BO795" s="79"/>
      <c r="BP795" s="79"/>
      <c r="BQ795" s="79"/>
      <c r="BR795" s="79"/>
      <c r="BS795" s="80" t="s">
        <v>3492</v>
      </c>
      <c r="BT795" s="80" t="s">
        <v>174</v>
      </c>
      <c r="BU795" s="80" t="s">
        <v>5550</v>
      </c>
      <c r="BV795" s="71"/>
      <c r="BW795" s="79" t="s">
        <v>152</v>
      </c>
      <c r="BX795" s="79" t="s">
        <v>179</v>
      </c>
      <c r="BY795" s="71"/>
      <c r="BZ795" s="79">
        <v>14</v>
      </c>
      <c r="CA795" s="79">
        <v>1</v>
      </c>
      <c r="CB795" s="79">
        <f>BZ795+CA795</f>
        <v>15</v>
      </c>
      <c r="CC795" s="79" t="str">
        <f>_xlfn.TEXTJOIN(", ",TRUE,$CD795:$CF795)</f>
        <v>Ninguna</v>
      </c>
      <c r="CD795" s="79" t="s">
        <v>174</v>
      </c>
      <c r="CE795" s="79"/>
      <c r="CF795" s="79"/>
      <c r="CG795" s="83" t="s">
        <v>5551</v>
      </c>
      <c r="CH795" s="41"/>
      <c r="CI795" s="79" t="s">
        <v>153</v>
      </c>
      <c r="CJ795" s="71"/>
      <c r="CK795" s="79">
        <f>COUNTIF(CL795:CQ795,"*")</f>
        <v>0</v>
      </c>
      <c r="CL795" s="79"/>
      <c r="CM795" s="79"/>
      <c r="CN795" s="79"/>
      <c r="CO795" s="79"/>
      <c r="CP795" s="79"/>
      <c r="CQ795" s="79"/>
      <c r="CR795" s="83" t="s">
        <v>179</v>
      </c>
      <c r="CS795" s="83" t="s">
        <v>179</v>
      </c>
      <c r="CT795" s="83" t="s">
        <v>179</v>
      </c>
      <c r="CU795" s="83" t="s">
        <v>179</v>
      </c>
      <c r="CV795" s="83" t="s">
        <v>179</v>
      </c>
      <c r="CW795" s="83" t="s">
        <v>179</v>
      </c>
      <c r="CX795" s="79" t="s">
        <v>153</v>
      </c>
      <c r="CY795" s="79">
        <f>SUM(COUNTIF(CR795:CW795,"Realizado y Devuelto a la Ciudadanía"),COUNTIF(CR795:CW795,"Realizado y Trasladado por competencia"), COUNTIF(CR795:CW795,"Realizado y Gestionado"))</f>
        <v>0</v>
      </c>
      <c r="CZ795" s="79">
        <v>0</v>
      </c>
      <c r="DA795" s="79">
        <f>COUNTIF(CR795:CW795,"Realizado y Devuelto a la Ciudadanía")</f>
        <v>0</v>
      </c>
      <c r="DB795" s="84" t="str">
        <f>IFERROR(CY795/CK795,"")</f>
        <v/>
      </c>
      <c r="DC795" s="41"/>
      <c r="DD795" s="79" t="s">
        <v>153</v>
      </c>
      <c r="DE795" s="71"/>
      <c r="DF795" s="127" t="s">
        <v>5552</v>
      </c>
      <c r="DG795" s="79">
        <v>783</v>
      </c>
      <c r="DH795" s="86" t="str">
        <f>IF(EE795="Por completar",C795+3,"Completo")</f>
        <v>Completo</v>
      </c>
      <c r="DI795" s="79" t="s">
        <v>181</v>
      </c>
      <c r="DJ795" s="79" t="s">
        <v>182</v>
      </c>
      <c r="DK795" s="79"/>
      <c r="DL795" s="79">
        <v>0</v>
      </c>
      <c r="DM795" s="79">
        <v>0</v>
      </c>
      <c r="DN795" s="79" t="s">
        <v>182</v>
      </c>
      <c r="DO795" s="79"/>
      <c r="DP795" s="79"/>
      <c r="DQ795" s="79"/>
      <c r="DR795" s="75" t="str">
        <f>IF(H795="SÍ", (DQ795/(BZ795*0.3)), "No aplica")</f>
        <v>No aplica</v>
      </c>
      <c r="DS795" s="79"/>
      <c r="DT795" s="79"/>
      <c r="DU795" s="75" t="str">
        <f>IF(H795="SÍ", (DT795/(BZ795*0.35)), "No aplica")</f>
        <v>No aplica</v>
      </c>
      <c r="DV795" s="79" t="s">
        <v>182</v>
      </c>
      <c r="DW795" s="79" t="s">
        <v>182</v>
      </c>
      <c r="DX795" s="79"/>
      <c r="DY795" s="79"/>
      <c r="DZ795" s="79"/>
      <c r="EA795" s="79"/>
      <c r="EB795" s="79"/>
      <c r="EC795" s="79"/>
      <c r="ED795" s="79" t="s">
        <v>4009</v>
      </c>
      <c r="EE795" s="79" t="str">
        <f>IF(DI795="Subsanado","Completo","Por Completar")</f>
        <v>Completo</v>
      </c>
      <c r="EF795" s="41"/>
      <c r="EG795" s="79" t="s">
        <v>153</v>
      </c>
      <c r="EH795" s="71"/>
      <c r="EI795" s="80"/>
      <c r="EJ795" s="71"/>
      <c r="EK795" s="79"/>
      <c r="EL795" s="87" t="str">
        <f>IF(F795="NO","No requiere",IF(H795="No","No requiere",IF(DW795="","",IF(DW795&lt;&gt;"No aplica",IF(DX795&lt;&gt;"No aplica",IF(DX795&gt;=2,"Sí","No"),"No aplica"),"No aplica"))))</f>
        <v>No requiere</v>
      </c>
      <c r="EM795" s="87" t="str">
        <f>IF(F795="NO","No requiere",IF(H795="No","No requiere",IF(DW795="","",IF(DW795&lt;&gt;"No aplica",IF(DY795&lt;&gt;"No aplica",IF(DY795&gt;=1,"Sí","No"),"No aplica"),"No aplica"))))</f>
        <v>No requiere</v>
      </c>
      <c r="EN795" s="87" t="str">
        <f>IF(F795="NO","No requiere",IF(H795="No","No requiere",IF(CC795="","",IF(CD795&lt;&gt;"No aplica",IF(CD795&lt;&gt;"Ninguna",IF(COUNTIF(CD795:CF795,"*")&gt;=1,"Sí","No"),"No"),"No aplica"))))</f>
        <v>No requiere</v>
      </c>
      <c r="EO795" s="71"/>
      <c r="EP795" s="84" t="str">
        <f>IF(F795="NO","No requiere",IF(H795="No","No requiere",IF(DL795="","",IF(DL795&gt;=1,DM795/DL795,"No aplica"))))</f>
        <v>No requiere</v>
      </c>
      <c r="EQ795" s="88" t="str">
        <f>IFERROR(IF(F795="NO","No requiere",IF(H795="No","No requiere",DU795)),"")</f>
        <v>No requiere</v>
      </c>
      <c r="ER795" s="71"/>
      <c r="ES795" s="79"/>
      <c r="ET795" s="84" t="str">
        <f>IF(F795="NO","No requiere",IF(H795="No","No requiere",IFERROR(COUNTIF(DJ795:DW795,"Completo")/SUM(COUNTIF(DJ795:DW795,"Completo"),COUNTIF(DJ795:DW795,"Incompleto"),COUNTIF(DJ795:DW795,"No subido"),COUNTIF(DJ795:DW795,"No existente"),COUNTIF(DJ795:DW795,"Pendiente")),"")))</f>
        <v>No requiere</v>
      </c>
      <c r="EU795" s="84" t="str">
        <f>IF(F795="NO","No requiere",IF(H795="No","No requiere",IF(B795="","",IF(CX795="SÍ",IF(CK795&gt;=1,CY795/CK795,"Sin compromisos"),"Por verificar"))))</f>
        <v>No requiere</v>
      </c>
      <c r="EV795" s="84" t="str">
        <f>IF(EU795="Por verificar","Por verificar",IF(F795="NO","No requiere",IF(H795="No","No requiere",IFERROR(IF(EU795="","",IF(CK795&gt;=1,DA795/CZ795,"No aplica")),"No aplica"))))</f>
        <v>No requiere</v>
      </c>
      <c r="EW795" s="84" t="str">
        <f>IF(F795="NO","No requiere",IF(H795="No","No requiere",IFERROR(IF(BZ795="","",IF(EA795&lt;&gt;"No aplica",IF(EA795&gt;=1,DO795/EA795,"0%"),"No aplica")),"")))</f>
        <v>No requiere</v>
      </c>
      <c r="EX795" s="78"/>
      <c r="EY795" s="78"/>
    </row>
    <row r="796" spans="1:155" ht="47.25" customHeight="1">
      <c r="A796" s="79">
        <v>792</v>
      </c>
      <c r="B796" s="80" t="s">
        <v>680</v>
      </c>
      <c r="C796" s="81">
        <v>45503</v>
      </c>
      <c r="D796" s="82">
        <v>0.70833333333333337</v>
      </c>
      <c r="E796" s="79" t="s">
        <v>200</v>
      </c>
      <c r="F796" s="79" t="s">
        <v>153</v>
      </c>
      <c r="G796" s="79" t="s">
        <v>152</v>
      </c>
      <c r="H796" s="79" t="s">
        <v>152</v>
      </c>
      <c r="I796" s="79" t="s">
        <v>152</v>
      </c>
      <c r="J796" s="79" t="s">
        <v>211</v>
      </c>
      <c r="K796" s="79" t="s">
        <v>202</v>
      </c>
      <c r="L796" s="80" t="s">
        <v>5553</v>
      </c>
      <c r="M796" s="80" t="s">
        <v>624</v>
      </c>
      <c r="N796" s="79" t="s">
        <v>524</v>
      </c>
      <c r="O796" s="80" t="str">
        <f t="shared" si="636"/>
        <v/>
      </c>
      <c r="P796" s="79"/>
      <c r="Q796" s="79"/>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t="s">
        <v>230</v>
      </c>
      <c r="AP796" s="79" t="s">
        <v>242</v>
      </c>
      <c r="AQ796" s="80" t="s">
        <v>1945</v>
      </c>
      <c r="AR796" s="83" t="s">
        <v>4456</v>
      </c>
      <c r="AS796" s="80" t="s">
        <v>682</v>
      </c>
      <c r="AT796" s="80" t="str">
        <f t="shared" si="950"/>
        <v>Distrital</v>
      </c>
      <c r="AU796" s="79" t="s">
        <v>172</v>
      </c>
      <c r="AV796" s="79"/>
      <c r="AW796" s="79"/>
      <c r="AX796" s="79"/>
      <c r="AY796" s="79"/>
      <c r="AZ796" s="79"/>
      <c r="BA796" s="80" t="str">
        <f>_xlfn.TEXTJOIN(", ",TRUE,$BB796:$BG796)</f>
        <v>Distrital</v>
      </c>
      <c r="BB796" s="79" t="s">
        <v>172</v>
      </c>
      <c r="BC796" s="79"/>
      <c r="BD796" s="79"/>
      <c r="BE796" s="79"/>
      <c r="BF796" s="79"/>
      <c r="BG796" s="79"/>
      <c r="BH796" s="80" t="str">
        <f>_xlfn.TEXTJOIN(", ",TRUE,$BI796:$BR796)</f>
        <v>Distrital</v>
      </c>
      <c r="BI796" s="79" t="s">
        <v>172</v>
      </c>
      <c r="BJ796" s="79"/>
      <c r="BK796" s="79"/>
      <c r="BL796" s="79"/>
      <c r="BM796" s="79"/>
      <c r="BN796" s="79"/>
      <c r="BO796" s="79"/>
      <c r="BP796" s="79"/>
      <c r="BQ796" s="79"/>
      <c r="BR796" s="79"/>
      <c r="BS796" s="80" t="s">
        <v>179</v>
      </c>
      <c r="BT796" s="80" t="s">
        <v>179</v>
      </c>
      <c r="BU796" s="128" t="s">
        <v>3931</v>
      </c>
      <c r="BV796" s="71"/>
      <c r="BW796" s="79" t="s">
        <v>152</v>
      </c>
      <c r="BX796" s="79" t="s">
        <v>179</v>
      </c>
      <c r="BY796" s="71"/>
      <c r="BZ796" s="79">
        <v>73</v>
      </c>
      <c r="CA796" s="79">
        <v>2</v>
      </c>
      <c r="CB796" s="79">
        <f t="shared" ref="CB796:CB837" si="1109">BZ796+CA796</f>
        <v>75</v>
      </c>
      <c r="CC796" s="79" t="str">
        <f t="shared" si="382"/>
        <v>Ninguna</v>
      </c>
      <c r="CD796" s="79" t="s">
        <v>174</v>
      </c>
      <c r="CE796" s="79"/>
      <c r="CF796" s="79"/>
      <c r="CG796" s="83" t="s">
        <v>5554</v>
      </c>
      <c r="CH796" s="41"/>
      <c r="CI796" s="79" t="s">
        <v>153</v>
      </c>
      <c r="CJ796" s="71"/>
      <c r="CK796" s="79">
        <f t="shared" ref="CK796:CK797" si="1110">COUNTIF(CL796:CQ796,"*")</f>
        <v>0</v>
      </c>
      <c r="CL796" s="79"/>
      <c r="CM796" s="79"/>
      <c r="CN796" s="79"/>
      <c r="CO796" s="79"/>
      <c r="CP796" s="79"/>
      <c r="CQ796" s="79"/>
      <c r="CR796" s="83"/>
      <c r="CS796" s="83"/>
      <c r="CT796" s="83"/>
      <c r="CU796" s="83"/>
      <c r="CV796" s="83"/>
      <c r="CW796" s="83"/>
      <c r="CX796" s="79"/>
      <c r="CY796" s="79">
        <f t="shared" ref="CY796:CY797" si="1111">SUM(COUNTIF(CR796:CW796,"Realizado y Devuelto a la Ciudadanía"),COUNTIF(CR796:CW796,"Realizado y Trasladado por competencia"), COUNTIF(CR796:CW796,"Realizado y Gestionado"))</f>
        <v>0</v>
      </c>
      <c r="CZ796" s="79">
        <v>0</v>
      </c>
      <c r="DA796" s="79">
        <f t="shared" ref="DA796:DA797" si="1112">COUNTIF(CR796:CW796,"Realizado y Devuelto a la Ciudadanía")</f>
        <v>0</v>
      </c>
      <c r="DB796" s="84" t="str">
        <f t="shared" ref="DB796:DB797" si="1113">IFERROR(CY796/CK796,"")</f>
        <v/>
      </c>
      <c r="DC796" s="41"/>
      <c r="DD796" s="79" t="s">
        <v>153</v>
      </c>
      <c r="DE796" s="71"/>
      <c r="DF796" s="127" t="s">
        <v>5555</v>
      </c>
      <c r="DG796" s="79">
        <v>784</v>
      </c>
      <c r="DH796" s="86">
        <f t="shared" ref="DH796:DH800" si="1114">IF(EE796="Por completar",C796+3,"Completo")</f>
        <v>45506</v>
      </c>
      <c r="DI796" s="79" t="s">
        <v>1246</v>
      </c>
      <c r="DJ796" s="79" t="s">
        <v>2659</v>
      </c>
      <c r="DK796" s="79"/>
      <c r="DL796" s="79">
        <v>0</v>
      </c>
      <c r="DM796" s="79">
        <v>0</v>
      </c>
      <c r="DN796" s="79" t="s">
        <v>182</v>
      </c>
      <c r="DO796" s="79"/>
      <c r="DP796" s="79"/>
      <c r="DQ796" s="79"/>
      <c r="DR796" s="75" t="str">
        <f t="shared" ref="DR796:DR797" si="1115">IF(H796="SÍ", (DQ796/(BZ796*0.3)), "No aplica")</f>
        <v>No aplica</v>
      </c>
      <c r="DS796" s="79"/>
      <c r="DT796" s="79"/>
      <c r="DU796" s="75" t="str">
        <f t="shared" ref="DU796:DU797" si="1116">IF(H796="SÍ", (DT796/(BZ796*0.35)), "No aplica")</f>
        <v>No aplica</v>
      </c>
      <c r="DV796" s="79" t="s">
        <v>182</v>
      </c>
      <c r="DW796" s="79" t="s">
        <v>182</v>
      </c>
      <c r="DX796" s="79"/>
      <c r="DY796" s="79"/>
      <c r="DZ796" s="79"/>
      <c r="EA796" s="79"/>
      <c r="EB796" s="79" t="s">
        <v>182</v>
      </c>
      <c r="EC796" s="79" t="s">
        <v>5556</v>
      </c>
      <c r="ED796" s="79" t="s">
        <v>5503</v>
      </c>
      <c r="EE796" s="79" t="str">
        <f t="shared" ref="EE796:EE803" si="1117">IF(DI796="Subsanado","Completo","Por Completar")</f>
        <v>Por Completar</v>
      </c>
      <c r="EF796" s="41"/>
      <c r="EG796" s="79" t="s">
        <v>152</v>
      </c>
      <c r="EH796" s="71"/>
      <c r="EI796" s="80"/>
      <c r="EJ796" s="71"/>
      <c r="EK796" s="79"/>
      <c r="EL796" s="87" t="str">
        <f>IF(F796="NO","No requiere",IF(H796="No","No requiere",IF(DW796="","",IF(DW796&lt;&gt;"No aplica",IF(DX796&lt;&gt;"No aplica",IF(DX796&gt;=2,"Sí","No"),"No aplica"),"No aplica"))))</f>
        <v>No requiere</v>
      </c>
      <c r="EM796" s="87" t="str">
        <f>IF(F796="NO","No requiere",IF(H796="No","No requiere",IF(DW796="","",IF(DW796&lt;&gt;"No aplica",IF(DY796&lt;&gt;"No aplica",IF(DY796&gt;=1,"Sí","No"),"No aplica"),"No aplica"))))</f>
        <v>No requiere</v>
      </c>
      <c r="EN796" s="87" t="str">
        <f>IF(F796="NO","No requiere",IF(H796="No","No requiere",IF(CC796="","",IF(CD796&lt;&gt;"No aplica",IF(CD796&lt;&gt;"Ninguna",IF(COUNTIF(CD796:CF796,"*")&gt;=1,"Sí","No"),"No"),"No aplica"))))</f>
        <v>No requiere</v>
      </c>
      <c r="EO796" s="71"/>
      <c r="EP796" s="84" t="str">
        <f>IF(F796="NO","No requiere",IF(H796="No","No requiere",IF(DL796="","",IF(DL796&gt;=1,DM796/DL796,"No aplica"))))</f>
        <v>No requiere</v>
      </c>
      <c r="EQ796" s="88" t="str">
        <f>IFERROR(IF(F796="NO","No requiere",IF(H796="No","No requiere",DU796)),"")</f>
        <v>No requiere</v>
      </c>
      <c r="ER796" s="71"/>
      <c r="ES796" s="79"/>
      <c r="ET796" s="84" t="str">
        <f t="shared" ref="ET796:ET797" si="1118">IF(F796="NO","No requiere",IF(H796="No","No requiere",IFERROR(COUNTIF(DJ796:DW796,"Completo")/SUM(COUNTIF(DJ796:DW796,"Completo"),COUNTIF(DJ796:DW796,"Incompleto"),COUNTIF(DJ796:DW796,"No subido"),COUNTIF(DJ796:DW796,"No existente"),COUNTIF(DJ796:DW796,"Pendiente")),"")))</f>
        <v>No requiere</v>
      </c>
      <c r="EU796" s="84" t="str">
        <f t="shared" ref="EU796:EU797" si="1119">IF(F796="NO","No requiere",IF(H796="No","No requiere",IF(B796="","",IF(CX796="SÍ",IF(CK796&gt;=1,CY796/CK796,"Sin compromisos"),"Por verificar"))))</f>
        <v>No requiere</v>
      </c>
      <c r="EV796" s="84" t="str">
        <f t="shared" ref="EV796:EV797" si="1120">IF(EU796="Por verificar","Por verificar",IF(F796="NO","No requiere",IF(H796="No","No requiere",IFERROR(IF(EU796="","",IF(CK796&gt;=1,DA796/CZ796,"No aplica")),"No aplica"))))</f>
        <v>No requiere</v>
      </c>
      <c r="EW796" s="84" t="str">
        <f t="shared" ref="EW796:EW797" si="1121">IF(F796="NO","No requiere",IF(H796="No","No requiere",IFERROR(IF(BZ796="","",IF(EA796&lt;&gt;"No aplica",IF(EA796&gt;=1,DO796/EA796,"0%"),"No aplica")),"")))</f>
        <v>No requiere</v>
      </c>
      <c r="EX796" s="78"/>
      <c r="EY796" s="78"/>
    </row>
    <row r="797" spans="1:155" ht="47.25" customHeight="1">
      <c r="A797" s="79">
        <v>793</v>
      </c>
      <c r="B797" s="80" t="s">
        <v>5557</v>
      </c>
      <c r="C797" s="81">
        <v>45504</v>
      </c>
      <c r="D797" s="82">
        <v>0.375</v>
      </c>
      <c r="E797" s="79" t="s">
        <v>151</v>
      </c>
      <c r="F797" s="79" t="s">
        <v>153</v>
      </c>
      <c r="G797" s="79" t="s">
        <v>153</v>
      </c>
      <c r="H797" s="79" t="s">
        <v>152</v>
      </c>
      <c r="I797" s="79" t="s">
        <v>152</v>
      </c>
      <c r="J797" s="79" t="s">
        <v>3999</v>
      </c>
      <c r="K797" s="79" t="s">
        <v>155</v>
      </c>
      <c r="L797" s="80" t="s">
        <v>5558</v>
      </c>
      <c r="M797" s="80" t="s">
        <v>241</v>
      </c>
      <c r="N797" s="79" t="s">
        <v>632</v>
      </c>
      <c r="O797" s="80" t="str">
        <f t="shared" si="636"/>
        <v/>
      </c>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t="s">
        <v>230</v>
      </c>
      <c r="AP797" s="79" t="s">
        <v>231</v>
      </c>
      <c r="AQ797" s="80" t="s">
        <v>171</v>
      </c>
      <c r="AR797" s="80" t="s">
        <v>171</v>
      </c>
      <c r="AS797" s="80" t="s">
        <v>171</v>
      </c>
      <c r="AT797" s="80" t="str">
        <f t="shared" si="950"/>
        <v>Engativá</v>
      </c>
      <c r="AU797" s="79" t="s">
        <v>234</v>
      </c>
      <c r="AV797" s="79"/>
      <c r="AW797" s="79"/>
      <c r="AX797" s="79"/>
      <c r="AY797" s="79"/>
      <c r="AZ797" s="79"/>
      <c r="BA797" s="80" t="str">
        <f t="shared" si="1000"/>
        <v>Occidente</v>
      </c>
      <c r="BB797" s="79" t="s">
        <v>235</v>
      </c>
      <c r="BC797" s="79"/>
      <c r="BD797" s="79"/>
      <c r="BE797" s="79"/>
      <c r="BF797" s="79"/>
      <c r="BG797" s="79"/>
      <c r="BH797" s="80" t="str">
        <f t="shared" si="1001"/>
        <v>Engativá</v>
      </c>
      <c r="BI797" s="79" t="s">
        <v>234</v>
      </c>
      <c r="BJ797" s="79"/>
      <c r="BK797" s="79"/>
      <c r="BL797" s="79"/>
      <c r="BM797" s="79"/>
      <c r="BN797" s="79"/>
      <c r="BO797" s="79"/>
      <c r="BP797" s="79"/>
      <c r="BQ797" s="79"/>
      <c r="BR797" s="79"/>
      <c r="BS797" s="80" t="s">
        <v>5559</v>
      </c>
      <c r="BT797" s="80" t="s">
        <v>174</v>
      </c>
      <c r="BU797" s="80" t="s">
        <v>5560</v>
      </c>
      <c r="BV797" s="71"/>
      <c r="BW797" s="79" t="s">
        <v>152</v>
      </c>
      <c r="BX797" s="79" t="s">
        <v>179</v>
      </c>
      <c r="BY797" s="71"/>
      <c r="BZ797" s="79">
        <v>4</v>
      </c>
      <c r="CA797" s="79">
        <v>1</v>
      </c>
      <c r="CB797" s="79">
        <f t="shared" si="1109"/>
        <v>5</v>
      </c>
      <c r="CC797" s="79" t="str">
        <f t="shared" si="382"/>
        <v>Ninguna</v>
      </c>
      <c r="CD797" s="79" t="s">
        <v>174</v>
      </c>
      <c r="CE797" s="79"/>
      <c r="CF797" s="79"/>
      <c r="CG797" s="83" t="s">
        <v>5561</v>
      </c>
      <c r="CH797" s="41"/>
      <c r="CI797" s="79" t="s">
        <v>153</v>
      </c>
      <c r="CJ797" s="71"/>
      <c r="CK797" s="79">
        <f t="shared" si="1110"/>
        <v>0</v>
      </c>
      <c r="CL797" s="79"/>
      <c r="CM797" s="79"/>
      <c r="CN797" s="79"/>
      <c r="CO797" s="79"/>
      <c r="CP797" s="79"/>
      <c r="CQ797" s="79"/>
      <c r="CR797" s="83" t="s">
        <v>179</v>
      </c>
      <c r="CS797" s="83" t="s">
        <v>179</v>
      </c>
      <c r="CT797" s="83" t="s">
        <v>179</v>
      </c>
      <c r="CU797" s="83" t="s">
        <v>179</v>
      </c>
      <c r="CV797" s="83" t="s">
        <v>179</v>
      </c>
      <c r="CW797" s="83" t="s">
        <v>179</v>
      </c>
      <c r="CX797" s="79" t="s">
        <v>153</v>
      </c>
      <c r="CY797" s="79">
        <f t="shared" si="1111"/>
        <v>0</v>
      </c>
      <c r="CZ797" s="79">
        <v>0</v>
      </c>
      <c r="DA797" s="79">
        <f t="shared" si="1112"/>
        <v>0</v>
      </c>
      <c r="DB797" s="84" t="str">
        <f t="shared" si="1113"/>
        <v/>
      </c>
      <c r="DC797" s="41"/>
      <c r="DD797" s="79" t="s">
        <v>153</v>
      </c>
      <c r="DE797" s="71"/>
      <c r="DF797" s="127" t="s">
        <v>5562</v>
      </c>
      <c r="DG797" s="79">
        <v>785</v>
      </c>
      <c r="DH797" s="86" t="str">
        <f t="shared" si="1114"/>
        <v>Completo</v>
      </c>
      <c r="DI797" s="79" t="s">
        <v>181</v>
      </c>
      <c r="DJ797" s="79" t="s">
        <v>182</v>
      </c>
      <c r="DK797" s="79"/>
      <c r="DL797" s="79">
        <v>0</v>
      </c>
      <c r="DM797" s="79">
        <v>0</v>
      </c>
      <c r="DN797" s="79" t="s">
        <v>182</v>
      </c>
      <c r="DO797" s="79"/>
      <c r="DP797" s="79"/>
      <c r="DQ797" s="79"/>
      <c r="DR797" s="75" t="str">
        <f t="shared" si="1115"/>
        <v>No aplica</v>
      </c>
      <c r="DS797" s="79"/>
      <c r="DT797" s="79"/>
      <c r="DU797" s="75" t="str">
        <f t="shared" si="1116"/>
        <v>No aplica</v>
      </c>
      <c r="DV797" s="79" t="s">
        <v>182</v>
      </c>
      <c r="DW797" s="79"/>
      <c r="DX797" s="79"/>
      <c r="DY797" s="79"/>
      <c r="DZ797" s="79"/>
      <c r="EA797" s="79"/>
      <c r="EB797" s="79"/>
      <c r="EC797" s="79"/>
      <c r="ED797" s="79" t="s">
        <v>3866</v>
      </c>
      <c r="EE797" s="79" t="str">
        <f t="shared" si="1117"/>
        <v>Completo</v>
      </c>
      <c r="EF797" s="41"/>
      <c r="EG797" s="79" t="s">
        <v>153</v>
      </c>
      <c r="EH797" s="71"/>
      <c r="EI797" s="80"/>
      <c r="EJ797" s="71"/>
      <c r="EK797" s="79"/>
      <c r="EL797" s="87" t="str">
        <f>IF(F797="NO","No requiere",IF(H797="No","No requiere",IF(DW797="","",IF(DW797&lt;&gt;"No aplica",IF(DX797&lt;&gt;"No aplica",IF(DX797&gt;=2,"Sí","No"),"No aplica"),"No aplica"))))</f>
        <v>No requiere</v>
      </c>
      <c r="EM797" s="87" t="str">
        <f>IF(F797="NO","No requiere",IF(H797="No","No requiere",IF(DW797="","",IF(DW797&lt;&gt;"No aplica",IF(DY797&lt;&gt;"No aplica",IF(DY797&gt;=1,"Sí","No"),"No aplica"),"No aplica"))))</f>
        <v>No requiere</v>
      </c>
      <c r="EN797" s="87" t="str">
        <f>IF(F797="NO","No requiere",IF(H797="No","No requiere",IF(CC797="","",IF(CD797&lt;&gt;"No aplica",IF(CD797&lt;&gt;"Ninguna",IF(COUNTIF(CD797:CF797,"*")&gt;=1,"Sí","No"),"No"),"No aplica"))))</f>
        <v>No requiere</v>
      </c>
      <c r="EO797" s="71"/>
      <c r="EP797" s="84" t="str">
        <f>IF(F797="NO","No requiere",IF(H797="No","No requiere",IF(DL797="","",IF(DL797&gt;=1,DM797/DL797,"No aplica"))))</f>
        <v>No requiere</v>
      </c>
      <c r="EQ797" s="88" t="str">
        <f>IFERROR(IF(F797="NO","No requiere",IF(H797="No","No requiere",DU797)),"")</f>
        <v>No requiere</v>
      </c>
      <c r="ER797" s="71"/>
      <c r="ES797" s="79"/>
      <c r="ET797" s="84" t="str">
        <f t="shared" si="1118"/>
        <v>No requiere</v>
      </c>
      <c r="EU797" s="84" t="str">
        <f t="shared" si="1119"/>
        <v>No requiere</v>
      </c>
      <c r="EV797" s="84" t="str">
        <f t="shared" si="1120"/>
        <v>No requiere</v>
      </c>
      <c r="EW797" s="84" t="str">
        <f t="shared" si="1121"/>
        <v>No requiere</v>
      </c>
      <c r="EX797" s="78"/>
      <c r="EY797" s="78"/>
    </row>
    <row r="798" spans="1:155" ht="47.25" customHeight="1">
      <c r="A798" s="79">
        <v>794</v>
      </c>
      <c r="B798" s="80" t="s">
        <v>5563</v>
      </c>
      <c r="C798" s="81">
        <v>45505</v>
      </c>
      <c r="D798" s="82" t="s">
        <v>5564</v>
      </c>
      <c r="E798" s="79" t="s">
        <v>151</v>
      </c>
      <c r="F798" s="79" t="s">
        <v>153</v>
      </c>
      <c r="G798" s="79" t="s">
        <v>152</v>
      </c>
      <c r="H798" s="79" t="s">
        <v>152</v>
      </c>
      <c r="I798" s="79" t="s">
        <v>152</v>
      </c>
      <c r="J798" s="79" t="s">
        <v>272</v>
      </c>
      <c r="K798" s="79" t="s">
        <v>155</v>
      </c>
      <c r="L798" s="80" t="s">
        <v>5565</v>
      </c>
      <c r="M798" s="80" t="s">
        <v>157</v>
      </c>
      <c r="N798" s="79" t="s">
        <v>195</v>
      </c>
      <c r="O798" s="80" t="str">
        <f t="shared" si="636"/>
        <v/>
      </c>
      <c r="P798" s="79"/>
      <c r="Q798" s="79"/>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t="s">
        <v>304</v>
      </c>
      <c r="AP798" s="79"/>
      <c r="AQ798" s="80" t="s">
        <v>179</v>
      </c>
      <c r="AR798" s="80" t="s">
        <v>179</v>
      </c>
      <c r="AS798" s="80" t="s">
        <v>179</v>
      </c>
      <c r="AT798" s="80" t="str">
        <f t="shared" si="950"/>
        <v>Distrital</v>
      </c>
      <c r="AU798" s="79" t="s">
        <v>172</v>
      </c>
      <c r="AV798" s="79"/>
      <c r="AW798" s="79"/>
      <c r="AX798" s="79"/>
      <c r="AY798" s="79"/>
      <c r="AZ798" s="79"/>
      <c r="BA798" s="80" t="str">
        <f t="shared" si="1000"/>
        <v>Distrital</v>
      </c>
      <c r="BB798" s="79" t="s">
        <v>172</v>
      </c>
      <c r="BC798" s="79"/>
      <c r="BD798" s="79"/>
      <c r="BE798" s="79"/>
      <c r="BF798" s="79"/>
      <c r="BG798" s="79"/>
      <c r="BH798" s="80" t="str">
        <f t="shared" si="1001"/>
        <v>Distrital</v>
      </c>
      <c r="BI798" s="79" t="s">
        <v>172</v>
      </c>
      <c r="BJ798" s="79"/>
      <c r="BK798" s="79"/>
      <c r="BL798" s="79"/>
      <c r="BM798" s="79"/>
      <c r="BN798" s="79"/>
      <c r="BO798" s="79"/>
      <c r="BP798" s="79"/>
      <c r="BQ798" s="79"/>
      <c r="BR798" s="79"/>
      <c r="BS798" s="80" t="s">
        <v>179</v>
      </c>
      <c r="BT798" s="80" t="s">
        <v>174</v>
      </c>
      <c r="BU798" s="80" t="s">
        <v>5566</v>
      </c>
      <c r="BV798" s="71"/>
      <c r="BW798" s="79" t="s">
        <v>152</v>
      </c>
      <c r="BX798" s="79" t="s">
        <v>179</v>
      </c>
      <c r="BY798" s="71"/>
      <c r="BZ798" s="79">
        <v>3</v>
      </c>
      <c r="CA798" s="79">
        <v>2</v>
      </c>
      <c r="CB798" s="79">
        <f t="shared" si="1109"/>
        <v>5</v>
      </c>
      <c r="CC798" s="79" t="str">
        <f t="shared" si="382"/>
        <v>Ninguna</v>
      </c>
      <c r="CD798" s="79" t="s">
        <v>174</v>
      </c>
      <c r="CE798" s="79"/>
      <c r="CF798" s="79"/>
      <c r="CG798" s="83" t="s">
        <v>5567</v>
      </c>
      <c r="CH798" s="41"/>
      <c r="CI798" s="79" t="s">
        <v>153</v>
      </c>
      <c r="CJ798" s="71"/>
      <c r="CK798" s="79">
        <v>0</v>
      </c>
      <c r="CL798" s="79"/>
      <c r="CM798" s="79"/>
      <c r="CN798" s="79"/>
      <c r="CO798" s="79"/>
      <c r="CP798" s="79"/>
      <c r="CQ798" s="79"/>
      <c r="CR798" s="83" t="s">
        <v>179</v>
      </c>
      <c r="CS798" s="83" t="s">
        <v>179</v>
      </c>
      <c r="CT798" s="83" t="s">
        <v>179</v>
      </c>
      <c r="CU798" s="83" t="s">
        <v>179</v>
      </c>
      <c r="CV798" s="83" t="s">
        <v>179</v>
      </c>
      <c r="CW798" s="83" t="s">
        <v>179</v>
      </c>
      <c r="CX798" s="79" t="s">
        <v>153</v>
      </c>
      <c r="CY798" s="79">
        <v>0</v>
      </c>
      <c r="CZ798" s="79">
        <v>0</v>
      </c>
      <c r="DA798" s="79">
        <v>0</v>
      </c>
      <c r="DB798" s="84" t="s">
        <v>316</v>
      </c>
      <c r="DC798" s="41"/>
      <c r="DD798" s="79" t="s">
        <v>153</v>
      </c>
      <c r="DE798" s="71"/>
      <c r="DF798" s="127" t="s">
        <v>5568</v>
      </c>
      <c r="DG798" s="79">
        <v>786</v>
      </c>
      <c r="DH798" s="86" t="str">
        <f t="shared" si="1114"/>
        <v>Completo</v>
      </c>
      <c r="DI798" s="79" t="s">
        <v>181</v>
      </c>
      <c r="DJ798" s="79" t="s">
        <v>182</v>
      </c>
      <c r="DK798" s="79"/>
      <c r="DL798" s="79">
        <v>0</v>
      </c>
      <c r="DM798" s="79">
        <v>0</v>
      </c>
      <c r="DN798" s="79" t="s">
        <v>182</v>
      </c>
      <c r="DO798" s="79"/>
      <c r="DP798" s="79"/>
      <c r="DQ798" s="79"/>
      <c r="DR798" s="75" t="s">
        <v>179</v>
      </c>
      <c r="DS798" s="79"/>
      <c r="DT798" s="79"/>
      <c r="DU798" s="75" t="s">
        <v>179</v>
      </c>
      <c r="DV798" s="79" t="s">
        <v>191</v>
      </c>
      <c r="DW798" s="79" t="s">
        <v>179</v>
      </c>
      <c r="DX798" s="79"/>
      <c r="DY798" s="79"/>
      <c r="DZ798" s="79"/>
      <c r="EA798" s="79"/>
      <c r="EB798" s="79"/>
      <c r="EC798" s="79"/>
      <c r="ED798" s="79" t="s">
        <v>5569</v>
      </c>
      <c r="EE798" s="79" t="str">
        <f t="shared" si="1117"/>
        <v>Completo</v>
      </c>
      <c r="EF798" s="41"/>
      <c r="EG798" s="79" t="s">
        <v>153</v>
      </c>
      <c r="EH798" s="71"/>
      <c r="EI798" s="80"/>
      <c r="EJ798" s="71"/>
      <c r="EK798" s="79"/>
      <c r="EL798" s="87" t="str">
        <f>IF(F798="NO","No requiere",IF(H798="No","No requiere",IF(DW798="","",IF(DW798&lt;&gt;"No aplica",IF(DX798&lt;&gt;"No aplica",IF(DX798&gt;=2,"Sí","No"),"No aplica"),"No aplica"))))</f>
        <v>No requiere</v>
      </c>
      <c r="EM798" s="87" t="str">
        <f>IF(F798="NO","No requiere",IF(H798="No","No requiere",IF(DW798="","",IF(DW798&lt;&gt;"No aplica",IF(DY798&lt;&gt;"No aplica",IF(DY798&gt;=1,"Sí","No"),"No aplica"),"No aplica"))))</f>
        <v>No requiere</v>
      </c>
      <c r="EN798" s="87" t="str">
        <f>IF(F798="NO","No requiere",IF(H798="No","No requiere",IF(CC798="","",IF(CD798&lt;&gt;"No aplica",IF(CD798&lt;&gt;"Ninguna",IF(COUNTIF(CD798:CF798,"*")&gt;=1,"Sí","No"),"No"),"No aplica"))))</f>
        <v>No requiere</v>
      </c>
      <c r="EO798" s="71"/>
      <c r="EP798" s="84" t="str">
        <f>IF(F798="NO","No requiere",IF(H798="No","No requiere",IF(DL798="","",IF(DL798&gt;=1,DM798/DL798,"No aplica"))))</f>
        <v>No requiere</v>
      </c>
      <c r="EQ798" s="88" t="str">
        <f>IFERROR(IF(F798="NO","No requiere",IF(H798="No","No requiere",DU798)),"")</f>
        <v>No requiere</v>
      </c>
      <c r="ER798" s="71"/>
      <c r="ES798" s="79"/>
      <c r="ET798" s="84" t="s">
        <v>316</v>
      </c>
      <c r="EU798" s="84" t="s">
        <v>316</v>
      </c>
      <c r="EV798" s="84" t="s">
        <v>316</v>
      </c>
      <c r="EW798" s="84" t="s">
        <v>316</v>
      </c>
      <c r="EX798" s="78"/>
      <c r="EY798" s="78"/>
    </row>
    <row r="799" spans="1:155" ht="47.25" customHeight="1">
      <c r="A799" s="79">
        <v>795</v>
      </c>
      <c r="B799" s="80" t="s">
        <v>5570</v>
      </c>
      <c r="C799" s="81">
        <v>45505</v>
      </c>
      <c r="D799" s="82">
        <v>0.625</v>
      </c>
      <c r="E799" s="79" t="s">
        <v>853</v>
      </c>
      <c r="F799" s="79" t="s">
        <v>153</v>
      </c>
      <c r="G799" s="79" t="s">
        <v>152</v>
      </c>
      <c r="H799" s="79" t="s">
        <v>152</v>
      </c>
      <c r="I799" s="79" t="s">
        <v>152</v>
      </c>
      <c r="J799" s="79" t="s">
        <v>2201</v>
      </c>
      <c r="K799" s="79" t="s">
        <v>155</v>
      </c>
      <c r="L799" s="80" t="s">
        <v>5571</v>
      </c>
      <c r="M799" s="80" t="s">
        <v>241</v>
      </c>
      <c r="N799" s="79" t="s">
        <v>1066</v>
      </c>
      <c r="O799" s="80" t="str">
        <f t="shared" si="636"/>
        <v/>
      </c>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t="s">
        <v>304</v>
      </c>
      <c r="AP799" s="79"/>
      <c r="AQ799" s="80" t="s">
        <v>690</v>
      </c>
      <c r="AR799" s="80" t="s">
        <v>1282</v>
      </c>
      <c r="AS799" s="80" t="s">
        <v>1283</v>
      </c>
      <c r="AT799" s="80" t="str">
        <f>_xlfn.TEXTJOIN(", ",TRUE,$AU799:$AY799)</f>
        <v>Teusaquillo</v>
      </c>
      <c r="AU799" s="79" t="s">
        <v>1004</v>
      </c>
      <c r="AV799" s="79"/>
      <c r="AW799" s="79"/>
      <c r="AX799" s="79"/>
      <c r="AY799" s="79"/>
      <c r="AZ799" s="79"/>
      <c r="BA799" s="80" t="str">
        <f>_xlfn.TEXTJOIN(", ",TRUE,$BB799:$BG799)</f>
        <v>Centro Ampliado</v>
      </c>
      <c r="BB799" s="79" t="s">
        <v>636</v>
      </c>
      <c r="BC799" s="79"/>
      <c r="BD799" s="79"/>
      <c r="BE799" s="79"/>
      <c r="BF799" s="79"/>
      <c r="BG799" s="79"/>
      <c r="BH799" s="80" t="str">
        <f>_xlfn.TEXTJOIN(", ",TRUE,$BI799:$BR799)</f>
        <v>Teusaquillo</v>
      </c>
      <c r="BI799" s="79" t="s">
        <v>1004</v>
      </c>
      <c r="BJ799" s="79"/>
      <c r="BK799" s="79"/>
      <c r="BL799" s="79"/>
      <c r="BM799" s="79"/>
      <c r="BN799" s="79"/>
      <c r="BO799" s="79"/>
      <c r="BP799" s="79"/>
      <c r="BQ799" s="79"/>
      <c r="BR799" s="79"/>
      <c r="BS799" s="80" t="s">
        <v>1004</v>
      </c>
      <c r="BT799" s="80" t="s">
        <v>171</v>
      </c>
      <c r="BU799" s="80" t="s">
        <v>5572</v>
      </c>
      <c r="BV799" s="71"/>
      <c r="BW799" s="79" t="s">
        <v>153</v>
      </c>
      <c r="BX799" s="79" t="s">
        <v>4242</v>
      </c>
      <c r="BY799" s="71"/>
      <c r="BZ799" s="79">
        <v>17</v>
      </c>
      <c r="CA799" s="79">
        <v>4</v>
      </c>
      <c r="CB799" s="79">
        <f t="shared" si="1109"/>
        <v>21</v>
      </c>
      <c r="CC799" s="79" t="str">
        <f t="shared" si="382"/>
        <v>Ninguna</v>
      </c>
      <c r="CD799" s="79" t="s">
        <v>174</v>
      </c>
      <c r="CE799" s="79"/>
      <c r="CF799" s="79"/>
      <c r="CG799" s="83" t="s">
        <v>5573</v>
      </c>
      <c r="CH799" s="41"/>
      <c r="CI799" s="79" t="s">
        <v>153</v>
      </c>
      <c r="CJ799" s="71"/>
      <c r="CK799" s="79">
        <v>0</v>
      </c>
      <c r="CL799" s="79"/>
      <c r="CM799" s="79"/>
      <c r="CN799" s="79"/>
      <c r="CO799" s="79"/>
      <c r="CP799" s="79"/>
      <c r="CQ799" s="79"/>
      <c r="CR799" s="83" t="s">
        <v>179</v>
      </c>
      <c r="CS799" s="83" t="s">
        <v>179</v>
      </c>
      <c r="CT799" s="83" t="s">
        <v>179</v>
      </c>
      <c r="CU799" s="83" t="s">
        <v>179</v>
      </c>
      <c r="CV799" s="83" t="s">
        <v>179</v>
      </c>
      <c r="CW799" s="83" t="s">
        <v>179</v>
      </c>
      <c r="CX799" s="79" t="s">
        <v>153</v>
      </c>
      <c r="CY799" s="79">
        <v>0</v>
      </c>
      <c r="CZ799" s="79">
        <v>0</v>
      </c>
      <c r="DA799" s="79">
        <v>0</v>
      </c>
      <c r="DB799" s="84" t="s">
        <v>316</v>
      </c>
      <c r="DC799" s="41"/>
      <c r="DD799" s="79" t="s">
        <v>153</v>
      </c>
      <c r="DE799" s="71"/>
      <c r="DF799" s="127" t="s">
        <v>5574</v>
      </c>
      <c r="DG799" s="79">
        <v>787</v>
      </c>
      <c r="DH799" s="86" t="str">
        <f t="shared" si="1114"/>
        <v>Completo</v>
      </c>
      <c r="DI799" s="79" t="s">
        <v>181</v>
      </c>
      <c r="DJ799" s="79" t="s">
        <v>182</v>
      </c>
      <c r="DK799" s="79"/>
      <c r="DL799" s="79">
        <v>0</v>
      </c>
      <c r="DM799" s="79">
        <v>0</v>
      </c>
      <c r="DN799" s="79" t="s">
        <v>182</v>
      </c>
      <c r="DO799" s="79"/>
      <c r="DP799" s="79"/>
      <c r="DQ799" s="79"/>
      <c r="DR799" s="75" t="s">
        <v>179</v>
      </c>
      <c r="DS799" s="79"/>
      <c r="DT799" s="79"/>
      <c r="DU799" s="75" t="s">
        <v>179</v>
      </c>
      <c r="DV799" s="79" t="s">
        <v>182</v>
      </c>
      <c r="DW799" s="79" t="s">
        <v>182</v>
      </c>
      <c r="DX799" s="79"/>
      <c r="DY799" s="79"/>
      <c r="DZ799" s="79"/>
      <c r="EA799" s="79"/>
      <c r="EB799" s="79"/>
      <c r="EC799" s="79"/>
      <c r="ED799" s="79" t="s">
        <v>5569</v>
      </c>
      <c r="EE799" s="79" t="str">
        <f t="shared" si="1117"/>
        <v>Completo</v>
      </c>
      <c r="EF799" s="41"/>
      <c r="EG799" s="79" t="s">
        <v>153</v>
      </c>
      <c r="EH799" s="71"/>
      <c r="EI799" s="80"/>
      <c r="EJ799" s="71"/>
      <c r="EK799" s="79"/>
      <c r="EL799" s="87" t="str">
        <f>IF(F799="NO","No requiere",IF(H799="No","No requiere",IF(DW799="","",IF(DW799&lt;&gt;"No aplica",IF(DX799&lt;&gt;"No aplica",IF(DX799&gt;=2,"Sí","No"),"No aplica"),"No aplica"))))</f>
        <v>No requiere</v>
      </c>
      <c r="EM799" s="87" t="str">
        <f>IF(F799="NO","No requiere",IF(H799="No","No requiere",IF(DW799="","",IF(DW799&lt;&gt;"No aplica",IF(DY799&lt;&gt;"No aplica",IF(DY799&gt;=1,"Sí","No"),"No aplica"),"No aplica"))))</f>
        <v>No requiere</v>
      </c>
      <c r="EN799" s="87" t="str">
        <f>IF(F799="NO","No requiere",IF(H799="No","No requiere",IF(CC799="","",IF(CD799&lt;&gt;"No aplica",IF(CD799&lt;&gt;"Ninguna",IF(COUNTIF(CD799:CF799,"*")&gt;=1,"Sí","No"),"No"),"No aplica"))))</f>
        <v>No requiere</v>
      </c>
      <c r="EO799" s="71"/>
      <c r="EP799" s="84" t="str">
        <f>IF(F799="NO","No requiere",IF(H799="No","No requiere",IF(DL799="","",IF(DL799&gt;=1,DM799/DL799,"No aplica"))))</f>
        <v>No requiere</v>
      </c>
      <c r="EQ799" s="88" t="str">
        <f>IFERROR(IF(F799="NO","No requiere",IF(H799="No","No requiere",DU799)),"")</f>
        <v>No requiere</v>
      </c>
      <c r="ER799" s="71"/>
      <c r="ES799" s="79"/>
      <c r="ET799" s="84" t="s">
        <v>316</v>
      </c>
      <c r="EU799" s="84" t="s">
        <v>316</v>
      </c>
      <c r="EV799" s="84" t="s">
        <v>316</v>
      </c>
      <c r="EW799" s="84" t="s">
        <v>316</v>
      </c>
      <c r="EX799" s="78"/>
      <c r="EY799" s="78"/>
    </row>
    <row r="800" spans="1:155" ht="47.25" customHeight="1">
      <c r="A800" s="79">
        <v>796</v>
      </c>
      <c r="B800" s="80" t="s">
        <v>5575</v>
      </c>
      <c r="C800" s="81">
        <v>45506</v>
      </c>
      <c r="D800" s="82">
        <v>0.58333333333333337</v>
      </c>
      <c r="E800" s="79" t="s">
        <v>151</v>
      </c>
      <c r="F800" s="79" t="s">
        <v>153</v>
      </c>
      <c r="G800" s="79" t="s">
        <v>153</v>
      </c>
      <c r="H800" s="79" t="s">
        <v>152</v>
      </c>
      <c r="I800" s="79" t="s">
        <v>153</v>
      </c>
      <c r="J800" s="79" t="s">
        <v>227</v>
      </c>
      <c r="K800" s="79" t="s">
        <v>155</v>
      </c>
      <c r="L800" s="80" t="s">
        <v>5576</v>
      </c>
      <c r="M800" s="80" t="s">
        <v>303</v>
      </c>
      <c r="N800" s="79" t="s">
        <v>373</v>
      </c>
      <c r="O800" s="80" t="str">
        <f t="shared" si="636"/>
        <v/>
      </c>
      <c r="P800" s="79"/>
      <c r="Q800" s="79"/>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t="s">
        <v>230</v>
      </c>
      <c r="AP800" s="79" t="s">
        <v>1996</v>
      </c>
      <c r="AQ800" s="80" t="s">
        <v>2083</v>
      </c>
      <c r="AR800" s="80" t="s">
        <v>4026</v>
      </c>
      <c r="AS800" s="80" t="s">
        <v>171</v>
      </c>
      <c r="AT800" s="80" t="str">
        <f>_xlfn.TEXTJOIN(", ",TRUE,$AU800:$AY800)</f>
        <v>Fontibón, Engativá</v>
      </c>
      <c r="AU800" s="79" t="s">
        <v>646</v>
      </c>
      <c r="AV800" s="79" t="s">
        <v>234</v>
      </c>
      <c r="AW800" s="79"/>
      <c r="AX800" s="79"/>
      <c r="AY800" s="79"/>
      <c r="AZ800" s="79"/>
      <c r="BA800" s="80" t="str">
        <f>_xlfn.TEXTJOIN(", ",TRUE,$BB800:$BG800)</f>
        <v>Occidente</v>
      </c>
      <c r="BB800" s="79" t="s">
        <v>235</v>
      </c>
      <c r="BC800" s="79"/>
      <c r="BD800" s="79"/>
      <c r="BE800" s="79"/>
      <c r="BF800" s="79"/>
      <c r="BG800" s="79"/>
      <c r="BH800" s="80" t="str">
        <f>_xlfn.TEXTJOIN(", ",TRUE,$BI800:$BR800)</f>
        <v>Fontibón</v>
      </c>
      <c r="BI800" s="79" t="s">
        <v>646</v>
      </c>
      <c r="BJ800" s="79"/>
      <c r="BK800" s="79"/>
      <c r="BL800" s="79"/>
      <c r="BM800" s="79"/>
      <c r="BN800" s="79"/>
      <c r="BO800" s="79"/>
      <c r="BP800" s="79"/>
      <c r="BQ800" s="79"/>
      <c r="BR800" s="79"/>
      <c r="BS800" s="80" t="s">
        <v>646</v>
      </c>
      <c r="BT800" s="80" t="s">
        <v>171</v>
      </c>
      <c r="BU800" s="80" t="s">
        <v>5577</v>
      </c>
      <c r="BV800" s="71"/>
      <c r="BW800" s="79" t="s">
        <v>152</v>
      </c>
      <c r="BX800" s="79" t="s">
        <v>179</v>
      </c>
      <c r="BY800" s="71"/>
      <c r="BZ800" s="79">
        <v>5</v>
      </c>
      <c r="CA800" s="79">
        <v>5</v>
      </c>
      <c r="CB800" s="79">
        <f t="shared" si="1109"/>
        <v>10</v>
      </c>
      <c r="CC800" s="79" t="str">
        <f t="shared" si="382"/>
        <v>Horarios Acordes</v>
      </c>
      <c r="CD800" s="79" t="s">
        <v>351</v>
      </c>
      <c r="CE800" s="79"/>
      <c r="CF800" s="79"/>
      <c r="CG800" s="83" t="s">
        <v>5578</v>
      </c>
      <c r="CH800" s="41"/>
      <c r="CI800" s="79" t="s">
        <v>153</v>
      </c>
      <c r="CJ800" s="71"/>
      <c r="CK800" s="79">
        <v>0</v>
      </c>
      <c r="CL800" s="79"/>
      <c r="CM800" s="79"/>
      <c r="CN800" s="79"/>
      <c r="CO800" s="79"/>
      <c r="CP800" s="79"/>
      <c r="CQ800" s="79"/>
      <c r="CR800" s="83" t="s">
        <v>179</v>
      </c>
      <c r="CS800" s="83" t="s">
        <v>179</v>
      </c>
      <c r="CT800" s="83" t="s">
        <v>179</v>
      </c>
      <c r="CU800" s="83" t="s">
        <v>179</v>
      </c>
      <c r="CV800" s="83" t="s">
        <v>179</v>
      </c>
      <c r="CW800" s="83" t="s">
        <v>179</v>
      </c>
      <c r="CX800" s="79" t="s">
        <v>153</v>
      </c>
      <c r="CY800" s="79">
        <v>0</v>
      </c>
      <c r="CZ800" s="79">
        <v>0</v>
      </c>
      <c r="DA800" s="79">
        <v>0</v>
      </c>
      <c r="DB800" s="84" t="s">
        <v>316</v>
      </c>
      <c r="DC800" s="41"/>
      <c r="DD800" s="79" t="s">
        <v>153</v>
      </c>
      <c r="DE800" s="71"/>
      <c r="DF800" s="127" t="s">
        <v>5579</v>
      </c>
      <c r="DG800" s="79">
        <v>788</v>
      </c>
      <c r="DH800" s="86" t="str">
        <f t="shared" si="1114"/>
        <v>Completo</v>
      </c>
      <c r="DI800" s="79" t="s">
        <v>181</v>
      </c>
      <c r="DJ800" s="79" t="s">
        <v>182</v>
      </c>
      <c r="DK800" s="79"/>
      <c r="DL800" s="79">
        <v>0</v>
      </c>
      <c r="DM800" s="79">
        <v>0</v>
      </c>
      <c r="DN800" s="79" t="s">
        <v>182</v>
      </c>
      <c r="DO800" s="79"/>
      <c r="DP800" s="79"/>
      <c r="DQ800" s="79"/>
      <c r="DR800" s="75" t="s">
        <v>179</v>
      </c>
      <c r="DS800" s="79"/>
      <c r="DT800" s="79"/>
      <c r="DU800" s="75" t="s">
        <v>179</v>
      </c>
      <c r="DV800" s="79" t="s">
        <v>182</v>
      </c>
      <c r="DW800" s="79" t="s">
        <v>179</v>
      </c>
      <c r="DX800" s="79"/>
      <c r="DY800" s="79"/>
      <c r="DZ800" s="79"/>
      <c r="EA800" s="79"/>
      <c r="EB800" s="79"/>
      <c r="EC800" s="79"/>
      <c r="ED800" s="79" t="s">
        <v>3990</v>
      </c>
      <c r="EE800" s="79" t="str">
        <f t="shared" si="1117"/>
        <v>Completo</v>
      </c>
      <c r="EF800" s="41"/>
      <c r="EG800" s="79" t="s">
        <v>153</v>
      </c>
      <c r="EH800" s="71"/>
      <c r="EI800" s="80"/>
      <c r="EJ800" s="71"/>
      <c r="EK800" s="79"/>
      <c r="EL800" s="87" t="str">
        <f>IF(F800="NO","No requiere",IF(H800="No","No requiere",IF(DW800="","",IF(DW800&lt;&gt;"No aplica",IF(DX800&lt;&gt;"No aplica",IF(DX800&gt;=2,"Sí","No"),"No aplica"),"No aplica"))))</f>
        <v>No requiere</v>
      </c>
      <c r="EM800" s="87" t="str">
        <f>IF(F800="NO","No requiere",IF(H800="No","No requiere",IF(DW800="","",IF(DW800&lt;&gt;"No aplica",IF(DY800&lt;&gt;"No aplica",IF(DY800&gt;=1,"Sí","No"),"No aplica"),"No aplica"))))</f>
        <v>No requiere</v>
      </c>
      <c r="EN800" s="87" t="str">
        <f>IF(F800="NO","No requiere",IF(H800="No","No requiere",IF(CC800="","",IF(CD800&lt;&gt;"No aplica",IF(CD800&lt;&gt;"Ninguna",IF(COUNTIF(CD800:CF800,"*")&gt;=1,"Sí","No"),"No"),"No aplica"))))</f>
        <v>No requiere</v>
      </c>
      <c r="EO800" s="71"/>
      <c r="EP800" s="84" t="str">
        <f>IF(F800="NO","No requiere",IF(H800="No","No requiere",IF(DL800="","",IF(DL800&gt;=1,DM800/DL800,"No aplica"))))</f>
        <v>No requiere</v>
      </c>
      <c r="EQ800" s="88" t="str">
        <f>IFERROR(IF(F800="NO","No requiere",IF(H800="No","No requiere",DU800)),"")</f>
        <v>No requiere</v>
      </c>
      <c r="ER800" s="71"/>
      <c r="ES800" s="79"/>
      <c r="ET800" s="84" t="s">
        <v>316</v>
      </c>
      <c r="EU800" s="84" t="s">
        <v>316</v>
      </c>
      <c r="EV800" s="84" t="s">
        <v>316</v>
      </c>
      <c r="EW800" s="84" t="s">
        <v>316</v>
      </c>
      <c r="EX800" s="78"/>
      <c r="EY800" s="78"/>
    </row>
    <row r="801" spans="1:155" ht="40.5" customHeight="1">
      <c r="A801" s="79">
        <v>797</v>
      </c>
      <c r="B801" s="80" t="s">
        <v>5580</v>
      </c>
      <c r="C801" s="81">
        <v>45508</v>
      </c>
      <c r="D801" s="82">
        <v>0.33333333333333331</v>
      </c>
      <c r="E801" s="79" t="s">
        <v>151</v>
      </c>
      <c r="F801" s="79" t="s">
        <v>153</v>
      </c>
      <c r="G801" s="79" t="s">
        <v>152</v>
      </c>
      <c r="H801" s="79" t="s">
        <v>152</v>
      </c>
      <c r="I801" s="79" t="s">
        <v>152</v>
      </c>
      <c r="J801" s="79" t="s">
        <v>5581</v>
      </c>
      <c r="K801" s="79" t="s">
        <v>155</v>
      </c>
      <c r="L801" s="80" t="s">
        <v>5582</v>
      </c>
      <c r="M801" s="80" t="s">
        <v>241</v>
      </c>
      <c r="N801" s="79" t="s">
        <v>862</v>
      </c>
      <c r="O801" s="80" t="str">
        <f t="shared" si="636"/>
        <v/>
      </c>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t="s">
        <v>1226</v>
      </c>
      <c r="AP801" s="79"/>
      <c r="AQ801" s="80" t="s">
        <v>5583</v>
      </c>
      <c r="AR801" s="83">
        <v>3046010799</v>
      </c>
      <c r="AS801" s="128" t="s">
        <v>5584</v>
      </c>
      <c r="AT801" s="80" t="str">
        <f t="shared" si="950"/>
        <v>Ciudad Bolívar, Tunjuelito</v>
      </c>
      <c r="AU801" s="79" t="s">
        <v>217</v>
      </c>
      <c r="AV801" s="79" t="s">
        <v>937</v>
      </c>
      <c r="AW801" s="79"/>
      <c r="AX801" s="79"/>
      <c r="AY801" s="79"/>
      <c r="AZ801" s="79"/>
      <c r="BA801" s="80" t="str">
        <f t="shared" si="1000"/>
        <v>Suroriente</v>
      </c>
      <c r="BB801" s="79" t="s">
        <v>218</v>
      </c>
      <c r="BC801" s="79"/>
      <c r="BD801" s="79"/>
      <c r="BE801" s="79"/>
      <c r="BF801" s="79"/>
      <c r="BG801" s="79"/>
      <c r="BH801" s="80" t="str">
        <f>_xlfn.TEXTJOIN(", ",TRUE,$BI801:$BR801)</f>
        <v>Arborizadora</v>
      </c>
      <c r="BI801" s="79" t="s">
        <v>220</v>
      </c>
      <c r="BJ801" s="79"/>
      <c r="BK801" s="79"/>
      <c r="BL801" s="79"/>
      <c r="BM801" s="79"/>
      <c r="BN801" s="79"/>
      <c r="BO801" s="79"/>
      <c r="BP801" s="79"/>
      <c r="BQ801" s="79"/>
      <c r="BR801" s="79"/>
      <c r="BS801" s="80" t="s">
        <v>220</v>
      </c>
      <c r="BT801" s="80" t="s">
        <v>174</v>
      </c>
      <c r="BU801" s="80" t="s">
        <v>177</v>
      </c>
      <c r="BV801" s="71"/>
      <c r="BW801" s="79" t="s">
        <v>152</v>
      </c>
      <c r="BX801" s="79" t="s">
        <v>179</v>
      </c>
      <c r="BY801" s="71"/>
      <c r="BZ801" s="79">
        <v>0</v>
      </c>
      <c r="CA801" s="79">
        <v>1</v>
      </c>
      <c r="CB801" s="79">
        <f t="shared" si="1109"/>
        <v>1</v>
      </c>
      <c r="CC801" s="79" t="str">
        <f t="shared" si="382"/>
        <v>Ninguna</v>
      </c>
      <c r="CD801" s="79" t="s">
        <v>174</v>
      </c>
      <c r="CE801" s="79"/>
      <c r="CF801" s="79"/>
      <c r="CG801" s="83"/>
      <c r="CH801" s="41"/>
      <c r="CI801" s="79"/>
      <c r="CJ801" s="71"/>
      <c r="CK801" s="79">
        <f t="shared" si="1099"/>
        <v>0</v>
      </c>
      <c r="CL801" s="79"/>
      <c r="CM801" s="79"/>
      <c r="CN801" s="79"/>
      <c r="CO801" s="79"/>
      <c r="CP801" s="79"/>
      <c r="CQ801" s="79"/>
      <c r="CR801" s="83" t="s">
        <v>179</v>
      </c>
      <c r="CS801" s="83" t="s">
        <v>179</v>
      </c>
      <c r="CT801" s="83" t="s">
        <v>179</v>
      </c>
      <c r="CU801" s="83" t="s">
        <v>179</v>
      </c>
      <c r="CV801" s="83" t="s">
        <v>179</v>
      </c>
      <c r="CW801" s="83" t="s">
        <v>179</v>
      </c>
      <c r="CX801" s="79" t="s">
        <v>153</v>
      </c>
      <c r="CY801" s="79">
        <f t="shared" si="1100"/>
        <v>0</v>
      </c>
      <c r="CZ801" s="79">
        <v>0</v>
      </c>
      <c r="DA801" s="79">
        <f t="shared" si="1101"/>
        <v>0</v>
      </c>
      <c r="DB801" s="84" t="str">
        <f t="shared" si="1102"/>
        <v/>
      </c>
      <c r="DC801" s="41"/>
      <c r="DD801" s="79" t="s">
        <v>153</v>
      </c>
      <c r="DE801" s="71"/>
      <c r="DF801" s="127" t="s">
        <v>5585</v>
      </c>
      <c r="DG801" s="79">
        <v>790</v>
      </c>
      <c r="DH801" s="86" t="str">
        <f t="shared" ref="DH801" si="1122">IF(EE801="Por completar",C801+3,"Completo")</f>
        <v>Completo</v>
      </c>
      <c r="DI801" s="79" t="s">
        <v>181</v>
      </c>
      <c r="DJ801" s="79"/>
      <c r="DK801" s="79"/>
      <c r="DL801" s="79">
        <v>0</v>
      </c>
      <c r="DM801" s="79">
        <v>0</v>
      </c>
      <c r="DN801" s="79" t="s">
        <v>182</v>
      </c>
      <c r="DO801" s="79"/>
      <c r="DP801" s="79"/>
      <c r="DQ801" s="79"/>
      <c r="DR801" s="75" t="str">
        <f t="shared" si="576"/>
        <v>No aplica</v>
      </c>
      <c r="DS801" s="79"/>
      <c r="DT801" s="79"/>
      <c r="DU801" s="75" t="str">
        <f t="shared" si="577"/>
        <v>No aplica</v>
      </c>
      <c r="DV801" s="79" t="s">
        <v>182</v>
      </c>
      <c r="DW801" s="79"/>
      <c r="DX801" s="79"/>
      <c r="DY801" s="79"/>
      <c r="DZ801" s="79"/>
      <c r="EA801" s="79"/>
      <c r="EB801" s="79"/>
      <c r="EC801" s="79"/>
      <c r="ED801" s="79" t="s">
        <v>5586</v>
      </c>
      <c r="EE801" s="79" t="str">
        <f t="shared" si="1117"/>
        <v>Completo</v>
      </c>
      <c r="EF801" s="41"/>
      <c r="EG801" s="79" t="s">
        <v>153</v>
      </c>
      <c r="EH801" s="71"/>
      <c r="EI801" s="80"/>
      <c r="EJ801" s="71"/>
      <c r="EK801" s="79"/>
      <c r="EL801" s="87" t="str">
        <f>IF(F801="NO","No requiere",IF(H801="No","No requiere",IF(DW801="","",IF(DW801&lt;&gt;"No aplica",IF(DX801&lt;&gt;"No aplica",IF(DX801&gt;=2,"Sí","No"),"No aplica"),"No aplica"))))</f>
        <v>No requiere</v>
      </c>
      <c r="EM801" s="87" t="str">
        <f>IF(F801="NO","No requiere",IF(H801="No","No requiere",IF(DW801="","",IF(DW801&lt;&gt;"No aplica",IF(DY801&lt;&gt;"No aplica",IF(DY801&gt;=1,"Sí","No"),"No aplica"),"No aplica"))))</f>
        <v>No requiere</v>
      </c>
      <c r="EN801" s="87" t="str">
        <f>IF(F801="NO","No requiere",IF(H801="No","No requiere",IF(CC801="","",IF(CD801&lt;&gt;"No aplica",IF(CD801&lt;&gt;"Ninguna",IF(COUNTIF(CD801:CF801,"*")&gt;=1,"Sí","No"),"No"),"No aplica"))))</f>
        <v>No requiere</v>
      </c>
      <c r="EO801" s="71"/>
      <c r="EP801" s="84" t="str">
        <f>IF(F801="NO","No requiere",IF(H801="No","No requiere",IF(DL801="","",IF(DL801&gt;=1,DM801/DL801,"No aplica"))))</f>
        <v>No requiere</v>
      </c>
      <c r="EQ801" s="88" t="str">
        <f>IFERROR(IF(F801="NO","No requiere",IF(H801="No","No requiere",DU801)),"")</f>
        <v>No requiere</v>
      </c>
      <c r="ER801" s="71"/>
      <c r="ES801" s="79"/>
      <c r="ET801" s="84" t="str">
        <f t="shared" ref="ET801" si="1123">IF(F801="NO","No requiere",IF(H801="No","No requiere",IFERROR(COUNTIF(DJ801:DW801,"Completo")/SUM(COUNTIF(DJ801:DW801,"Completo"),COUNTIF(DJ801:DW801,"Incompleto"),COUNTIF(DJ801:DW801,"No subido"),COUNTIF(DJ801:DW801,"No existente"),COUNTIF(DJ801:DW801,"Pendiente")),"")))</f>
        <v>No requiere</v>
      </c>
      <c r="EU801" s="84" t="str">
        <f t="shared" si="1105"/>
        <v>No requiere</v>
      </c>
      <c r="EV801" s="84" t="str">
        <f t="shared" ref="EV801" si="1124">IF(EU801="Por verificar","Por verificar",IF(F801="NO","No requiere",IF(H801="No","No requiere",IFERROR(IF(EU801="","",IF(CK801&gt;=1,DA801/CZ801,"No aplica")),"No aplica"))))</f>
        <v>No requiere</v>
      </c>
      <c r="EW801" s="84" t="str">
        <f t="shared" si="581"/>
        <v>No requiere</v>
      </c>
      <c r="EX801" s="78"/>
      <c r="EY801" s="78"/>
    </row>
    <row r="802" spans="1:155" ht="40.5" customHeight="1">
      <c r="A802" s="79">
        <v>798</v>
      </c>
      <c r="B802" s="80" t="s">
        <v>5587</v>
      </c>
      <c r="C802" s="81">
        <v>45508</v>
      </c>
      <c r="D802" s="82">
        <v>0.33333333333333331</v>
      </c>
      <c r="E802" s="79" t="s">
        <v>151</v>
      </c>
      <c r="F802" s="79" t="s">
        <v>153</v>
      </c>
      <c r="G802" s="79" t="s">
        <v>152</v>
      </c>
      <c r="H802" s="79" t="s">
        <v>152</v>
      </c>
      <c r="I802" s="79" t="s">
        <v>152</v>
      </c>
      <c r="J802" s="79" t="s">
        <v>5581</v>
      </c>
      <c r="K802" s="79" t="s">
        <v>155</v>
      </c>
      <c r="L802" s="80" t="s">
        <v>5582</v>
      </c>
      <c r="M802" s="80" t="s">
        <v>241</v>
      </c>
      <c r="N802" s="79" t="s">
        <v>4765</v>
      </c>
      <c r="O802" s="80" t="str">
        <f t="shared" si="636"/>
        <v/>
      </c>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t="s">
        <v>1226</v>
      </c>
      <c r="AP802" s="79"/>
      <c r="AQ802" s="80" t="s">
        <v>5583</v>
      </c>
      <c r="AR802" s="83">
        <v>3046010799</v>
      </c>
      <c r="AS802" s="128" t="s">
        <v>5584</v>
      </c>
      <c r="AT802" s="80" t="str">
        <f t="shared" si="950"/>
        <v>Ciudad Bolívar</v>
      </c>
      <c r="AU802" s="79" t="s">
        <v>217</v>
      </c>
      <c r="AV802" s="79"/>
      <c r="AW802" s="79"/>
      <c r="AX802" s="79"/>
      <c r="AY802" s="79"/>
      <c r="AZ802" s="79"/>
      <c r="BA802" s="80" t="str">
        <f t="shared" si="1000"/>
        <v>Suroriente</v>
      </c>
      <c r="BB802" s="79" t="s">
        <v>218</v>
      </c>
      <c r="BC802" s="79"/>
      <c r="BD802" s="79"/>
      <c r="BE802" s="79"/>
      <c r="BF802" s="79"/>
      <c r="BG802" s="79"/>
      <c r="BH802" s="80" t="str">
        <f>_xlfn.TEXTJOIN(", ",TRUE,$BI802:$BR802)</f>
        <v>Lucero</v>
      </c>
      <c r="BI802" s="79" t="s">
        <v>221</v>
      </c>
      <c r="BJ802" s="79"/>
      <c r="BK802" s="79"/>
      <c r="BL802" s="79"/>
      <c r="BM802" s="79"/>
      <c r="BN802" s="79"/>
      <c r="BO802" s="79"/>
      <c r="BP802" s="79"/>
      <c r="BQ802" s="79"/>
      <c r="BR802" s="79"/>
      <c r="BS802" s="80" t="s">
        <v>221</v>
      </c>
      <c r="BT802" s="80" t="s">
        <v>174</v>
      </c>
      <c r="BU802" s="80" t="s">
        <v>179</v>
      </c>
      <c r="BV802" s="71"/>
      <c r="BW802" s="79" t="s">
        <v>152</v>
      </c>
      <c r="BX802" s="79" t="s">
        <v>179</v>
      </c>
      <c r="BY802" s="71"/>
      <c r="BZ802" s="79">
        <v>4</v>
      </c>
      <c r="CA802" s="79">
        <v>1</v>
      </c>
      <c r="CB802" s="79">
        <f t="shared" si="1109"/>
        <v>5</v>
      </c>
      <c r="CC802" s="79" t="str">
        <f t="shared" si="382"/>
        <v>Ninguna</v>
      </c>
      <c r="CD802" s="79" t="s">
        <v>174</v>
      </c>
      <c r="CE802" s="79"/>
      <c r="CF802" s="79"/>
      <c r="CG802" s="83"/>
      <c r="CH802" s="41"/>
      <c r="CI802" s="79"/>
      <c r="CJ802" s="71"/>
      <c r="CK802" s="79">
        <f>COUNTIF(CL802:CQ802,"*")</f>
        <v>0</v>
      </c>
      <c r="CL802" s="79"/>
      <c r="CM802" s="79"/>
      <c r="CN802" s="79"/>
      <c r="CO802" s="79"/>
      <c r="CP802" s="79"/>
      <c r="CQ802" s="79"/>
      <c r="CR802" s="83" t="s">
        <v>179</v>
      </c>
      <c r="CS802" s="83" t="s">
        <v>179</v>
      </c>
      <c r="CT802" s="83" t="s">
        <v>179</v>
      </c>
      <c r="CU802" s="83" t="s">
        <v>179</v>
      </c>
      <c r="CV802" s="83" t="s">
        <v>179</v>
      </c>
      <c r="CW802" s="83" t="s">
        <v>179</v>
      </c>
      <c r="CX802" s="79" t="s">
        <v>153</v>
      </c>
      <c r="CY802" s="79">
        <f>SUM(COUNTIF(CR802:CW802,"Realizado y Devuelto a la Ciudadanía"),COUNTIF(CR802:CW802,"Realizado y Trasladado por competencia"), COUNTIF(CR802:CW802,"Realizado y Gestionado"))</f>
        <v>0</v>
      </c>
      <c r="CZ802" s="79">
        <v>0</v>
      </c>
      <c r="DA802" s="79">
        <f>COUNTIF(CR802:CW802,"Realizado y Devuelto a la Ciudadanía")</f>
        <v>0</v>
      </c>
      <c r="DB802" s="84" t="str">
        <f>IFERROR(CY802/CK802,"")</f>
        <v/>
      </c>
      <c r="DC802" s="41"/>
      <c r="DD802" s="79" t="s">
        <v>153</v>
      </c>
      <c r="DE802" s="71"/>
      <c r="DF802" s="127" t="s">
        <v>5588</v>
      </c>
      <c r="DG802" s="79">
        <v>791</v>
      </c>
      <c r="DH802" s="86" t="str">
        <f>IF(EE802="Por completar",C802+3,"Completo")</f>
        <v>Completo</v>
      </c>
      <c r="DI802" s="79" t="s">
        <v>181</v>
      </c>
      <c r="DJ802" s="79"/>
      <c r="DK802" s="79"/>
      <c r="DL802" s="79">
        <v>0</v>
      </c>
      <c r="DM802" s="79">
        <v>0</v>
      </c>
      <c r="DN802" s="79" t="s">
        <v>182</v>
      </c>
      <c r="DO802" s="79"/>
      <c r="DP802" s="79"/>
      <c r="DQ802" s="79"/>
      <c r="DR802" s="75" t="str">
        <f>IF(H802="SÍ", (DQ802/(BZ802*0.3)), "No aplica")</f>
        <v>No aplica</v>
      </c>
      <c r="DS802" s="79"/>
      <c r="DT802" s="79"/>
      <c r="DU802" s="75" t="str">
        <f>IF(H802="SÍ", (DT802/(BZ802*0.35)), "No aplica")</f>
        <v>No aplica</v>
      </c>
      <c r="DV802" s="79" t="s">
        <v>182</v>
      </c>
      <c r="DW802" s="79"/>
      <c r="DX802" s="79"/>
      <c r="DY802" s="79"/>
      <c r="DZ802" s="79"/>
      <c r="EA802" s="79"/>
      <c r="EB802" s="79"/>
      <c r="EC802" s="79"/>
      <c r="ED802" s="79" t="s">
        <v>5589</v>
      </c>
      <c r="EE802" s="79" t="str">
        <f t="shared" si="1117"/>
        <v>Completo</v>
      </c>
      <c r="EF802" s="41"/>
      <c r="EG802" s="79" t="s">
        <v>153</v>
      </c>
      <c r="EH802" s="71"/>
      <c r="EI802" s="80"/>
      <c r="EJ802" s="71"/>
      <c r="EK802" s="79"/>
      <c r="EL802" s="87" t="str">
        <f>IF(F802="NO","No requiere",IF(H802="No","No requiere",IF(DW802="","",IF(DW802&lt;&gt;"No aplica",IF(DX802&lt;&gt;"No aplica",IF(DX802&gt;=2,"Sí","No"),"No aplica"),"No aplica"))))</f>
        <v>No requiere</v>
      </c>
      <c r="EM802" s="87" t="str">
        <f>IF(F802="NO","No requiere",IF(H802="No","No requiere",IF(DW802="","",IF(DW802&lt;&gt;"No aplica",IF(DY802&lt;&gt;"No aplica",IF(DY802&gt;=1,"Sí","No"),"No aplica"),"No aplica"))))</f>
        <v>No requiere</v>
      </c>
      <c r="EN802" s="87" t="str">
        <f>IF(F802="NO","No requiere",IF(H802="No","No requiere",IF(CC802="","",IF(CD802&lt;&gt;"No aplica",IF(CD802&lt;&gt;"Ninguna",IF(COUNTIF(CD802:CF802,"*")&gt;=1,"Sí","No"),"No"),"No aplica"))))</f>
        <v>No requiere</v>
      </c>
      <c r="EO802" s="71"/>
      <c r="EP802" s="84" t="str">
        <f>IF(F802="NO","No requiere",IF(H802="No","No requiere",IF(DL802="","",IF(DL802&gt;=1,DM802/DL802,"No aplica"))))</f>
        <v>No requiere</v>
      </c>
      <c r="EQ802" s="88" t="str">
        <f>IFERROR(IF(F802="NO","No requiere",IF(H802="No","No requiere",DU802)),"")</f>
        <v>No requiere</v>
      </c>
      <c r="ER802" s="71"/>
      <c r="ES802" s="79"/>
      <c r="ET802" s="84" t="str">
        <f>IF(F802="NO","No requiere",IF(H802="No","No requiere",IFERROR(COUNTIF(DJ802:DW802,"Completo")/SUM(COUNTIF(DJ802:DW802,"Completo"),COUNTIF(DJ802:DW802,"Incompleto"),COUNTIF(DJ802:DW802,"No subido"),COUNTIF(DJ802:DW802,"No existente"),COUNTIF(DJ802:DW802,"Pendiente")),"")))</f>
        <v>No requiere</v>
      </c>
      <c r="EU802" s="84" t="str">
        <f>IF(F802="NO","No requiere",IF(H802="No","No requiere",IF(B802="","",IF(CX802="SÍ",IF(CK802&gt;=1,CY802/CK802,"Sin compromisos"),"Por verificar"))))</f>
        <v>No requiere</v>
      </c>
      <c r="EV802" s="84" t="str">
        <f>IF(EU802="Por verificar","Por verificar",IF(F802="NO","No requiere",IF(H802="No","No requiere",IFERROR(IF(EU802="","",IF(CK802&gt;=1,DA802/CZ802,"No aplica")),"No aplica"))))</f>
        <v>No requiere</v>
      </c>
      <c r="EW802" s="84" t="str">
        <f>IF(F802="NO","No requiere",IF(H802="No","No requiere",IFERROR(IF(BZ802="","",IF(EA802&lt;&gt;"No aplica",IF(EA802&gt;=1,DO802/EA802,"0%"),"No aplica")),"")))</f>
        <v>No requiere</v>
      </c>
      <c r="EX802" s="78"/>
      <c r="EY802" s="78"/>
    </row>
    <row r="803" spans="1:155" ht="40.5" customHeight="1">
      <c r="A803" s="79">
        <v>799</v>
      </c>
      <c r="B803" s="80" t="s">
        <v>5590</v>
      </c>
      <c r="C803" s="81">
        <v>45508</v>
      </c>
      <c r="D803" s="82">
        <v>0.33333333333333331</v>
      </c>
      <c r="E803" s="79" t="s">
        <v>151</v>
      </c>
      <c r="F803" s="79" t="s">
        <v>153</v>
      </c>
      <c r="G803" s="79" t="s">
        <v>152</v>
      </c>
      <c r="H803" s="79" t="s">
        <v>152</v>
      </c>
      <c r="I803" s="79" t="s">
        <v>152</v>
      </c>
      <c r="J803" s="79" t="s">
        <v>5581</v>
      </c>
      <c r="K803" s="79" t="s">
        <v>155</v>
      </c>
      <c r="L803" s="80" t="s">
        <v>5582</v>
      </c>
      <c r="M803" s="80" t="s">
        <v>241</v>
      </c>
      <c r="N803" s="79" t="s">
        <v>645</v>
      </c>
      <c r="O803" s="80" t="str">
        <f t="shared" si="636"/>
        <v/>
      </c>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t="s">
        <v>1226</v>
      </c>
      <c r="AP803" s="79"/>
      <c r="AQ803" s="80" t="s">
        <v>5583</v>
      </c>
      <c r="AR803" s="83">
        <v>3046010799</v>
      </c>
      <c r="AS803" s="128" t="s">
        <v>5584</v>
      </c>
      <c r="AT803" s="80" t="str">
        <f t="shared" si="950"/>
        <v>Usme</v>
      </c>
      <c r="AU803" s="79" t="s">
        <v>1009</v>
      </c>
      <c r="AV803" s="79"/>
      <c r="AW803" s="79"/>
      <c r="AX803" s="79"/>
      <c r="AY803" s="79"/>
      <c r="AZ803" s="79"/>
      <c r="BA803" s="80" t="str">
        <f t="shared" si="1000"/>
        <v>Suroriente</v>
      </c>
      <c r="BB803" s="79" t="s">
        <v>218</v>
      </c>
      <c r="BC803" s="79"/>
      <c r="BD803" s="79"/>
      <c r="BE803" s="79"/>
      <c r="BF803" s="79"/>
      <c r="BG803" s="79"/>
      <c r="BH803" s="80" t="s">
        <v>1010</v>
      </c>
      <c r="BI803" s="79" t="s">
        <v>1010</v>
      </c>
      <c r="BJ803" s="79"/>
      <c r="BK803" s="79"/>
      <c r="BL803" s="79"/>
      <c r="BM803" s="79"/>
      <c r="BN803" s="79"/>
      <c r="BO803" s="79"/>
      <c r="BP803" s="79"/>
      <c r="BQ803" s="79"/>
      <c r="BR803" s="79"/>
      <c r="BS803" s="80" t="s">
        <v>1009</v>
      </c>
      <c r="BT803" s="80" t="s">
        <v>174</v>
      </c>
      <c r="BU803" s="80" t="s">
        <v>179</v>
      </c>
      <c r="BV803" s="71"/>
      <c r="BW803" s="79" t="s">
        <v>152</v>
      </c>
      <c r="BX803" s="79" t="s">
        <v>179</v>
      </c>
      <c r="BY803" s="71"/>
      <c r="BZ803" s="79">
        <v>4</v>
      </c>
      <c r="CA803" s="79">
        <v>1</v>
      </c>
      <c r="CB803" s="79">
        <f t="shared" si="1109"/>
        <v>5</v>
      </c>
      <c r="CC803" s="79" t="str">
        <f t="shared" si="382"/>
        <v>Ninguna</v>
      </c>
      <c r="CD803" s="79" t="s">
        <v>174</v>
      </c>
      <c r="CE803" s="79"/>
      <c r="CF803" s="79"/>
      <c r="CG803" s="83"/>
      <c r="CH803" s="41"/>
      <c r="CI803" s="79"/>
      <c r="CJ803" s="71"/>
      <c r="CK803" s="79">
        <f t="shared" ref="CK803:CK829" si="1125">COUNTIF(CL803:CQ803,"*")</f>
        <v>0</v>
      </c>
      <c r="CL803" s="79"/>
      <c r="CM803" s="79"/>
      <c r="CN803" s="79"/>
      <c r="CO803" s="79"/>
      <c r="CP803" s="79"/>
      <c r="CQ803" s="79"/>
      <c r="CR803" s="83" t="s">
        <v>179</v>
      </c>
      <c r="CS803" s="83" t="s">
        <v>179</v>
      </c>
      <c r="CT803" s="83" t="s">
        <v>179</v>
      </c>
      <c r="CU803" s="83" t="s">
        <v>179</v>
      </c>
      <c r="CV803" s="83" t="s">
        <v>179</v>
      </c>
      <c r="CW803" s="83" t="s">
        <v>179</v>
      </c>
      <c r="CX803" s="79" t="s">
        <v>153</v>
      </c>
      <c r="CY803" s="79">
        <f t="shared" ref="CY803:CY829" si="1126">SUM(COUNTIF(CR803:CW803,"Realizado y Devuelto a la Ciudadanía"),COUNTIF(CR803:CW803,"Realizado y Trasladado por competencia"), COUNTIF(CR803:CW803,"Realizado y Gestionado"))</f>
        <v>0</v>
      </c>
      <c r="CZ803" s="79">
        <v>0</v>
      </c>
      <c r="DA803" s="79">
        <f t="shared" ref="DA803:DA829" si="1127">COUNTIF(CR803:CW803,"Realizado y Devuelto a la Ciudadanía")</f>
        <v>0</v>
      </c>
      <c r="DB803" s="84" t="str">
        <f t="shared" ref="DB803:DB829" si="1128">IFERROR(CY803/CK803,"")</f>
        <v/>
      </c>
      <c r="DC803" s="41"/>
      <c r="DD803" s="79" t="s">
        <v>153</v>
      </c>
      <c r="DE803" s="71"/>
      <c r="DF803" s="127" t="s">
        <v>5591</v>
      </c>
      <c r="DG803" s="79">
        <v>792</v>
      </c>
      <c r="DH803" s="86" t="str">
        <f t="shared" ref="DH803:DH829" si="1129">IF(EE803="Por completar",C803+3,"Completo")</f>
        <v>Completo</v>
      </c>
      <c r="DI803" s="79" t="s">
        <v>181</v>
      </c>
      <c r="DJ803" s="79"/>
      <c r="DK803" s="79"/>
      <c r="DL803" s="79">
        <v>0</v>
      </c>
      <c r="DM803" s="79">
        <v>0</v>
      </c>
      <c r="DN803" s="79" t="s">
        <v>182</v>
      </c>
      <c r="DO803" s="79"/>
      <c r="DP803" s="79"/>
      <c r="DQ803" s="79"/>
      <c r="DR803" s="75" t="str">
        <f t="shared" ref="DR803:DR829" si="1130">IF(H803="SÍ", (DQ803/(BZ803*0.3)), "No aplica")</f>
        <v>No aplica</v>
      </c>
      <c r="DS803" s="79"/>
      <c r="DT803" s="79"/>
      <c r="DU803" s="75" t="str">
        <f t="shared" ref="DU803:DU867" si="1131">IF(H803="SÍ", (DT803/(BZ803*0.35)), "No aplica")</f>
        <v>No aplica</v>
      </c>
      <c r="DV803" s="79" t="s">
        <v>182</v>
      </c>
      <c r="DW803" s="79"/>
      <c r="DX803" s="79"/>
      <c r="DY803" s="79"/>
      <c r="DZ803" s="79"/>
      <c r="EA803" s="79"/>
      <c r="EB803" s="79"/>
      <c r="EC803" s="79"/>
      <c r="ED803" s="79" t="s">
        <v>5589</v>
      </c>
      <c r="EE803" s="79" t="str">
        <f t="shared" si="1117"/>
        <v>Completo</v>
      </c>
      <c r="EF803" s="41"/>
      <c r="EG803" s="79" t="s">
        <v>153</v>
      </c>
      <c r="EH803" s="71"/>
      <c r="EI803" s="80"/>
      <c r="EJ803" s="71"/>
      <c r="EK803" s="79"/>
      <c r="EL803" s="87" t="str">
        <f>IF(F803="NO","No requiere",IF(H803="No","No requiere",IF(DW803="","",IF(DW803&lt;&gt;"No aplica",IF(DX803&lt;&gt;"No aplica",IF(DX803&gt;=2,"Sí","No"),"No aplica"),"No aplica"))))</f>
        <v>No requiere</v>
      </c>
      <c r="EM803" s="87" t="str">
        <f>IF(F803="NO","No requiere",IF(H803="No","No requiere",IF(DW803="","",IF(DW803&lt;&gt;"No aplica",IF(DY803&lt;&gt;"No aplica",IF(DY803&gt;=1,"Sí","No"),"No aplica"),"No aplica"))))</f>
        <v>No requiere</v>
      </c>
      <c r="EN803" s="87" t="str">
        <f>IF(F803="NO","No requiere",IF(H803="No","No requiere",IF(CC803="","",IF(CD803&lt;&gt;"No aplica",IF(CD803&lt;&gt;"Ninguna",IF(COUNTIF(CD803:CF803,"*")&gt;=1,"Sí","No"),"No"),"No aplica"))))</f>
        <v>No requiere</v>
      </c>
      <c r="EO803" s="71"/>
      <c r="EP803" s="84" t="str">
        <f>IF(F803="NO","No requiere",IF(H803="No","No requiere",IF(DL803="","",IF(DL803&gt;=1,DM803/DL803,"No aplica"))))</f>
        <v>No requiere</v>
      </c>
      <c r="EQ803" s="88" t="str">
        <f>IFERROR(IF(F803="NO","No requiere",IF(H803="No","No requiere",DU803)),"")</f>
        <v>No requiere</v>
      </c>
      <c r="ER803" s="71"/>
      <c r="ES803" s="79"/>
      <c r="ET803" s="84" t="str">
        <f t="shared" ref="ET803:ET829" si="1132">IF(F803="NO","No requiere",IF(H803="No","No requiere",IFERROR(COUNTIF(DJ803:DW803,"Completo")/SUM(COUNTIF(DJ803:DW803,"Completo"),COUNTIF(DJ803:DW803,"Incompleto"),COUNTIF(DJ803:DW803,"No subido"),COUNTIF(DJ803:DW803,"No existente"),COUNTIF(DJ803:DW803,"Pendiente")),"")))</f>
        <v>No requiere</v>
      </c>
      <c r="EU803" s="84" t="str">
        <f t="shared" ref="EU803:EU829" si="1133">IF(F803="NO","No requiere",IF(H803="No","No requiere",IF(B803="","",IF(CX803="SÍ",IF(CK803&gt;=1,CY803/CK803,"Sin compromisos"),"Por verificar"))))</f>
        <v>No requiere</v>
      </c>
      <c r="EV803" s="84" t="str">
        <f t="shared" ref="EV803:EV829" si="1134">IF(EU803="Por verificar","Por verificar",IF(F803="NO","No requiere",IF(H803="No","No requiere",IFERROR(IF(EU803="","",IF(CK803&gt;=1,DA803/CZ803,"No aplica")),"No aplica"))))</f>
        <v>No requiere</v>
      </c>
      <c r="EW803" s="84" t="str">
        <f t="shared" ref="EW803:EW829" si="1135">IF(F803="NO","No requiere",IF(H803="No","No requiere",IFERROR(IF(BZ803="","",IF(EA803&lt;&gt;"No aplica",IF(EA803&gt;=1,DO803/EA803,"0%"),"No aplica")),"")))</f>
        <v>No requiere</v>
      </c>
      <c r="EX803" s="78"/>
      <c r="EY803" s="78"/>
    </row>
    <row r="804" spans="1:155" ht="40.5" customHeight="1">
      <c r="A804" s="79">
        <v>800</v>
      </c>
      <c r="B804" s="80" t="s">
        <v>5592</v>
      </c>
      <c r="C804" s="81">
        <v>45508</v>
      </c>
      <c r="D804" s="82">
        <v>0.33333333333333331</v>
      </c>
      <c r="E804" s="79" t="s">
        <v>151</v>
      </c>
      <c r="F804" s="79" t="s">
        <v>153</v>
      </c>
      <c r="G804" s="79" t="s">
        <v>152</v>
      </c>
      <c r="H804" s="79" t="s">
        <v>152</v>
      </c>
      <c r="I804" s="79" t="s">
        <v>152</v>
      </c>
      <c r="J804" s="79" t="s">
        <v>5581</v>
      </c>
      <c r="K804" s="79" t="s">
        <v>155</v>
      </c>
      <c r="L804" s="80" t="s">
        <v>5582</v>
      </c>
      <c r="M804" s="80" t="s">
        <v>241</v>
      </c>
      <c r="N804" s="79" t="s">
        <v>886</v>
      </c>
      <c r="O804" s="80" t="str">
        <f t="shared" si="636"/>
        <v/>
      </c>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t="s">
        <v>1226</v>
      </c>
      <c r="AP804" s="79"/>
      <c r="AQ804" s="80" t="s">
        <v>5583</v>
      </c>
      <c r="AR804" s="83">
        <v>3046010799</v>
      </c>
      <c r="AS804" s="128" t="s">
        <v>5584</v>
      </c>
      <c r="AT804" s="80" t="str">
        <f t="shared" si="950"/>
        <v>Suba, Usaquén</v>
      </c>
      <c r="AU804" s="79" t="s">
        <v>602</v>
      </c>
      <c r="AV804" s="79" t="s">
        <v>661</v>
      </c>
      <c r="AW804" s="79"/>
      <c r="AX804" s="79"/>
      <c r="AY804" s="79"/>
      <c r="AZ804" s="79"/>
      <c r="BA804" s="80" t="str">
        <f t="shared" si="1000"/>
        <v>Norte</v>
      </c>
      <c r="BB804" s="79" t="s">
        <v>662</v>
      </c>
      <c r="BC804" s="79"/>
      <c r="BD804" s="79"/>
      <c r="BE804" s="79"/>
      <c r="BF804" s="79"/>
      <c r="BG804" s="79"/>
      <c r="BH804" s="80" t="str">
        <f t="shared" si="1001"/>
        <v>Torca</v>
      </c>
      <c r="BI804" s="79" t="s">
        <v>805</v>
      </c>
      <c r="BJ804" s="79"/>
      <c r="BK804" s="79"/>
      <c r="BL804" s="79"/>
      <c r="BM804" s="79"/>
      <c r="BN804" s="79"/>
      <c r="BO804" s="79"/>
      <c r="BP804" s="79"/>
      <c r="BQ804" s="79"/>
      <c r="BR804" s="79"/>
      <c r="BS804" s="80" t="s">
        <v>805</v>
      </c>
      <c r="BT804" s="80" t="s">
        <v>174</v>
      </c>
      <c r="BU804" s="80" t="s">
        <v>179</v>
      </c>
      <c r="BV804" s="71"/>
      <c r="BW804" s="79" t="s">
        <v>152</v>
      </c>
      <c r="BX804" s="79" t="s">
        <v>179</v>
      </c>
      <c r="BY804" s="71"/>
      <c r="BZ804" s="79">
        <v>0</v>
      </c>
      <c r="CA804" s="79">
        <v>1</v>
      </c>
      <c r="CB804" s="79">
        <f t="shared" si="1109"/>
        <v>1</v>
      </c>
      <c r="CC804" s="79" t="str">
        <f t="shared" si="382"/>
        <v>Ninguna</v>
      </c>
      <c r="CD804" s="79" t="s">
        <v>174</v>
      </c>
      <c r="CE804" s="79"/>
      <c r="CF804" s="79"/>
      <c r="CG804" s="83"/>
      <c r="CH804" s="41"/>
      <c r="CI804" s="79"/>
      <c r="CJ804" s="71"/>
      <c r="CK804" s="79">
        <f t="shared" si="1125"/>
        <v>0</v>
      </c>
      <c r="CL804" s="79"/>
      <c r="CM804" s="79"/>
      <c r="CN804" s="79"/>
      <c r="CO804" s="79"/>
      <c r="CP804" s="79"/>
      <c r="CQ804" s="79"/>
      <c r="CR804" s="83" t="s">
        <v>179</v>
      </c>
      <c r="CS804" s="83" t="s">
        <v>179</v>
      </c>
      <c r="CT804" s="83" t="s">
        <v>179</v>
      </c>
      <c r="CU804" s="83" t="s">
        <v>179</v>
      </c>
      <c r="CV804" s="83" t="s">
        <v>179</v>
      </c>
      <c r="CW804" s="83" t="s">
        <v>179</v>
      </c>
      <c r="CX804" s="79" t="s">
        <v>153</v>
      </c>
      <c r="CY804" s="79">
        <f t="shared" si="1126"/>
        <v>0</v>
      </c>
      <c r="CZ804" s="79">
        <v>0</v>
      </c>
      <c r="DA804" s="79">
        <f t="shared" si="1127"/>
        <v>0</v>
      </c>
      <c r="DB804" s="84" t="str">
        <f t="shared" si="1128"/>
        <v/>
      </c>
      <c r="DC804" s="41"/>
      <c r="DD804" s="79" t="s">
        <v>153</v>
      </c>
      <c r="DE804" s="71"/>
      <c r="DF804" s="127" t="s">
        <v>5593</v>
      </c>
      <c r="DG804" s="79">
        <v>793</v>
      </c>
      <c r="DH804" s="86" t="str">
        <f t="shared" si="1129"/>
        <v>Completo</v>
      </c>
      <c r="DI804" s="79" t="s">
        <v>181</v>
      </c>
      <c r="DJ804" s="79"/>
      <c r="DK804" s="79"/>
      <c r="DL804" s="79">
        <v>0</v>
      </c>
      <c r="DM804" s="79">
        <v>0</v>
      </c>
      <c r="DN804" s="79" t="s">
        <v>182</v>
      </c>
      <c r="DO804" s="79"/>
      <c r="DP804" s="79"/>
      <c r="DQ804" s="79"/>
      <c r="DR804" s="75" t="str">
        <f t="shared" si="1130"/>
        <v>No aplica</v>
      </c>
      <c r="DS804" s="79"/>
      <c r="DT804" s="79"/>
      <c r="DU804" s="75" t="str">
        <f t="shared" si="1131"/>
        <v>No aplica</v>
      </c>
      <c r="DV804" s="79" t="s">
        <v>182</v>
      </c>
      <c r="DW804" s="79"/>
      <c r="DX804" s="79"/>
      <c r="DY804" s="79"/>
      <c r="DZ804" s="79"/>
      <c r="EA804" s="79"/>
      <c r="EB804" s="79"/>
      <c r="EC804" s="79"/>
      <c r="ED804" s="79" t="s">
        <v>5589</v>
      </c>
      <c r="EE804" s="79" t="str">
        <f t="shared" ref="EE804:EE829" si="1136">IF(DI804="Subsanado","Completo","Por Completar")</f>
        <v>Completo</v>
      </c>
      <c r="EF804" s="41"/>
      <c r="EG804" s="79" t="s">
        <v>153</v>
      </c>
      <c r="EH804" s="71"/>
      <c r="EI804" s="80"/>
      <c r="EJ804" s="71"/>
      <c r="EK804" s="79"/>
      <c r="EL804" s="87" t="str">
        <f>IF(F804="NO","No requiere",IF(H804="No","No requiere",IF(DW804="","",IF(DW804&lt;&gt;"No aplica",IF(DX804&lt;&gt;"No aplica",IF(DX804&gt;=2,"Sí","No"),"No aplica"),"No aplica"))))</f>
        <v>No requiere</v>
      </c>
      <c r="EM804" s="87" t="str">
        <f>IF(F804="NO","No requiere",IF(H804="No","No requiere",IF(DW804="","",IF(DW804&lt;&gt;"No aplica",IF(DY804&lt;&gt;"No aplica",IF(DY804&gt;=1,"Sí","No"),"No aplica"),"No aplica"))))</f>
        <v>No requiere</v>
      </c>
      <c r="EN804" s="87" t="str">
        <f>IF(F804="NO","No requiere",IF(H804="No","No requiere",IF(CC804="","",IF(CD804&lt;&gt;"No aplica",IF(CD804&lt;&gt;"Ninguna",IF(COUNTIF(CD804:CF804,"*")&gt;=1,"Sí","No"),"No"),"No aplica"))))</f>
        <v>No requiere</v>
      </c>
      <c r="EO804" s="71"/>
      <c r="EP804" s="84" t="str">
        <f>IF(F804="NO","No requiere",IF(H804="No","No requiere",IF(DL804="","",IF(DL804&gt;=1,DM804/DL804,"No aplica"))))</f>
        <v>No requiere</v>
      </c>
      <c r="EQ804" s="88" t="str">
        <f>IFERROR(IF(F804="NO","No requiere",IF(H804="No","No requiere",DU804)),"")</f>
        <v>No requiere</v>
      </c>
      <c r="ER804" s="71"/>
      <c r="ES804" s="79"/>
      <c r="ET804" s="84" t="str">
        <f t="shared" si="1132"/>
        <v>No requiere</v>
      </c>
      <c r="EU804" s="84" t="str">
        <f t="shared" si="1133"/>
        <v>No requiere</v>
      </c>
      <c r="EV804" s="84" t="str">
        <f t="shared" si="1134"/>
        <v>No requiere</v>
      </c>
      <c r="EW804" s="84" t="str">
        <f t="shared" si="1135"/>
        <v>No requiere</v>
      </c>
      <c r="EX804" s="78"/>
      <c r="EY804" s="78"/>
    </row>
    <row r="805" spans="1:155" ht="40.5" customHeight="1">
      <c r="A805" s="79">
        <v>801</v>
      </c>
      <c r="B805" s="80" t="s">
        <v>5594</v>
      </c>
      <c r="C805" s="81">
        <v>45508</v>
      </c>
      <c r="D805" s="82">
        <v>0.33333333333333331</v>
      </c>
      <c r="E805" s="79" t="s">
        <v>151</v>
      </c>
      <c r="F805" s="79" t="s">
        <v>153</v>
      </c>
      <c r="G805" s="79" t="s">
        <v>152</v>
      </c>
      <c r="H805" s="79" t="s">
        <v>152</v>
      </c>
      <c r="I805" s="79" t="s">
        <v>152</v>
      </c>
      <c r="J805" s="79" t="s">
        <v>5581</v>
      </c>
      <c r="K805" s="79" t="s">
        <v>155</v>
      </c>
      <c r="L805" s="80" t="s">
        <v>5582</v>
      </c>
      <c r="M805" s="80" t="s">
        <v>241</v>
      </c>
      <c r="N805" s="79" t="s">
        <v>729</v>
      </c>
      <c r="O805" s="80" t="str">
        <f t="shared" si="636"/>
        <v/>
      </c>
      <c r="P805" s="79"/>
      <c r="Q805" s="79"/>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t="s">
        <v>1226</v>
      </c>
      <c r="AP805" s="79"/>
      <c r="AQ805" s="80" t="s">
        <v>5583</v>
      </c>
      <c r="AR805" s="83">
        <v>3046010799</v>
      </c>
      <c r="AS805" s="128" t="s">
        <v>5584</v>
      </c>
      <c r="AT805" s="80" t="str">
        <f t="shared" si="950"/>
        <v>Suba</v>
      </c>
      <c r="AU805" s="79" t="s">
        <v>602</v>
      </c>
      <c r="AV805" s="79"/>
      <c r="AW805" s="79"/>
      <c r="AX805" s="79"/>
      <c r="AY805" s="79"/>
      <c r="AZ805" s="79"/>
      <c r="BA805" s="80" t="s">
        <v>662</v>
      </c>
      <c r="BB805" s="79" t="s">
        <v>662</v>
      </c>
      <c r="BC805" s="79"/>
      <c r="BD805" s="79"/>
      <c r="BE805" s="79"/>
      <c r="BF805" s="79"/>
      <c r="BG805" s="79"/>
      <c r="BH805" s="80" t="s">
        <v>1313</v>
      </c>
      <c r="BI805" s="79" t="s">
        <v>1313</v>
      </c>
      <c r="BJ805" s="79"/>
      <c r="BK805" s="79"/>
      <c r="BL805" s="79"/>
      <c r="BM805" s="79"/>
      <c r="BN805" s="79"/>
      <c r="BO805" s="79"/>
      <c r="BP805" s="79"/>
      <c r="BQ805" s="79"/>
      <c r="BR805" s="79"/>
      <c r="BS805" s="80" t="s">
        <v>1313</v>
      </c>
      <c r="BT805" s="80" t="s">
        <v>174</v>
      </c>
      <c r="BU805" s="80" t="s">
        <v>179</v>
      </c>
      <c r="BV805" s="71"/>
      <c r="BW805" s="79" t="s">
        <v>152</v>
      </c>
      <c r="BX805" s="79" t="s">
        <v>179</v>
      </c>
      <c r="BY805" s="71"/>
      <c r="BZ805" s="79">
        <v>0</v>
      </c>
      <c r="CA805" s="79">
        <v>1</v>
      </c>
      <c r="CB805" s="79">
        <f t="shared" si="1109"/>
        <v>1</v>
      </c>
      <c r="CC805" s="79" t="str">
        <f t="shared" si="382"/>
        <v>Ninguna</v>
      </c>
      <c r="CD805" s="79" t="s">
        <v>174</v>
      </c>
      <c r="CE805" s="79"/>
      <c r="CF805" s="79"/>
      <c r="CG805" s="83"/>
      <c r="CH805" s="41"/>
      <c r="CI805" s="79"/>
      <c r="CJ805" s="71"/>
      <c r="CK805" s="79">
        <f t="shared" si="1125"/>
        <v>0</v>
      </c>
      <c r="CL805" s="79"/>
      <c r="CM805" s="79"/>
      <c r="CN805" s="79"/>
      <c r="CO805" s="79"/>
      <c r="CP805" s="79"/>
      <c r="CQ805" s="79"/>
      <c r="CR805" s="83" t="s">
        <v>179</v>
      </c>
      <c r="CS805" s="83" t="s">
        <v>179</v>
      </c>
      <c r="CT805" s="83" t="s">
        <v>179</v>
      </c>
      <c r="CU805" s="83" t="s">
        <v>179</v>
      </c>
      <c r="CV805" s="83" t="s">
        <v>179</v>
      </c>
      <c r="CW805" s="83" t="s">
        <v>179</v>
      </c>
      <c r="CX805" s="79" t="s">
        <v>153</v>
      </c>
      <c r="CY805" s="79">
        <f t="shared" si="1126"/>
        <v>0</v>
      </c>
      <c r="CZ805" s="79">
        <v>0</v>
      </c>
      <c r="DA805" s="79">
        <f t="shared" si="1127"/>
        <v>0</v>
      </c>
      <c r="DB805" s="84" t="str">
        <f t="shared" si="1128"/>
        <v/>
      </c>
      <c r="DC805" s="41"/>
      <c r="DD805" s="79" t="s">
        <v>153</v>
      </c>
      <c r="DE805" s="71"/>
      <c r="DF805" s="127" t="s">
        <v>5595</v>
      </c>
      <c r="DG805" s="79">
        <v>794</v>
      </c>
      <c r="DH805" s="86" t="str">
        <f t="shared" si="1129"/>
        <v>Completo</v>
      </c>
      <c r="DI805" s="79" t="s">
        <v>181</v>
      </c>
      <c r="DJ805" s="79"/>
      <c r="DK805" s="79"/>
      <c r="DL805" s="79">
        <v>0</v>
      </c>
      <c r="DM805" s="79">
        <v>0</v>
      </c>
      <c r="DN805" s="79" t="s">
        <v>182</v>
      </c>
      <c r="DO805" s="79"/>
      <c r="DP805" s="79"/>
      <c r="DQ805" s="79"/>
      <c r="DR805" s="75" t="str">
        <f t="shared" si="1130"/>
        <v>No aplica</v>
      </c>
      <c r="DS805" s="79"/>
      <c r="DT805" s="79"/>
      <c r="DU805" s="75" t="str">
        <f t="shared" si="1131"/>
        <v>No aplica</v>
      </c>
      <c r="DV805" s="79" t="s">
        <v>182</v>
      </c>
      <c r="DW805" s="79"/>
      <c r="DX805" s="79"/>
      <c r="DY805" s="79"/>
      <c r="DZ805" s="79"/>
      <c r="EA805" s="79"/>
      <c r="EB805" s="79"/>
      <c r="EC805" s="79"/>
      <c r="ED805" s="79" t="s">
        <v>5596</v>
      </c>
      <c r="EE805" s="79" t="str">
        <f t="shared" si="1136"/>
        <v>Completo</v>
      </c>
      <c r="EF805" s="41"/>
      <c r="EG805" s="79" t="s">
        <v>153</v>
      </c>
      <c r="EH805" s="71"/>
      <c r="EI805" s="80"/>
      <c r="EJ805" s="71"/>
      <c r="EK805" s="79"/>
      <c r="EL805" s="87" t="str">
        <f>IF(F805="NO","No requiere",IF(H805="No","No requiere",IF(DW805="","",IF(DW805&lt;&gt;"No aplica",IF(DX805&lt;&gt;"No aplica",IF(DX805&gt;=2,"Sí","No"),"No aplica"),"No aplica"))))</f>
        <v>No requiere</v>
      </c>
      <c r="EM805" s="87" t="str">
        <f>IF(F805="NO","No requiere",IF(H805="No","No requiere",IF(DW805="","",IF(DW805&lt;&gt;"No aplica",IF(DY805&lt;&gt;"No aplica",IF(DY805&gt;=1,"Sí","No"),"No aplica"),"No aplica"))))</f>
        <v>No requiere</v>
      </c>
      <c r="EN805" s="87" t="str">
        <f>IF(F805="NO","No requiere",IF(H805="No","No requiere",IF(CC805="","",IF(CD805&lt;&gt;"No aplica",IF(CD805&lt;&gt;"Ninguna",IF(COUNTIF(CD805:CF805,"*")&gt;=1,"Sí","No"),"No"),"No aplica"))))</f>
        <v>No requiere</v>
      </c>
      <c r="EO805" s="71"/>
      <c r="EP805" s="84" t="str">
        <f>IF(F805="NO","No requiere",IF(H805="No","No requiere",IF(DL805="","",IF(DL805&gt;=1,DM805/DL805,"No aplica"))))</f>
        <v>No requiere</v>
      </c>
      <c r="EQ805" s="88" t="str">
        <f>IFERROR(IF(F805="NO","No requiere",IF(H805="No","No requiere",DU805)),"")</f>
        <v>No requiere</v>
      </c>
      <c r="ER805" s="71"/>
      <c r="ES805" s="79"/>
      <c r="ET805" s="84" t="str">
        <f t="shared" si="1132"/>
        <v>No requiere</v>
      </c>
      <c r="EU805" s="84" t="str">
        <f t="shared" si="1133"/>
        <v>No requiere</v>
      </c>
      <c r="EV805" s="84" t="str">
        <f t="shared" si="1134"/>
        <v>No requiere</v>
      </c>
      <c r="EW805" s="84" t="str">
        <f t="shared" si="1135"/>
        <v>No requiere</v>
      </c>
      <c r="EX805" s="78"/>
      <c r="EY805" s="78"/>
    </row>
    <row r="806" spans="1:155" ht="40.5" customHeight="1">
      <c r="A806" s="79">
        <v>802</v>
      </c>
      <c r="B806" s="80" t="s">
        <v>5597</v>
      </c>
      <c r="C806" s="81">
        <v>45508</v>
      </c>
      <c r="D806" s="82">
        <v>0.33333333333333331</v>
      </c>
      <c r="E806" s="79" t="s">
        <v>151</v>
      </c>
      <c r="F806" s="79" t="s">
        <v>153</v>
      </c>
      <c r="G806" s="79" t="s">
        <v>152</v>
      </c>
      <c r="H806" s="79" t="s">
        <v>152</v>
      </c>
      <c r="I806" s="79" t="s">
        <v>152</v>
      </c>
      <c r="J806" s="79" t="s">
        <v>5581</v>
      </c>
      <c r="K806" s="79" t="s">
        <v>155</v>
      </c>
      <c r="L806" s="80" t="s">
        <v>5582</v>
      </c>
      <c r="M806" s="80" t="s">
        <v>241</v>
      </c>
      <c r="N806" s="79" t="s">
        <v>820</v>
      </c>
      <c r="O806" s="80" t="str">
        <f t="shared" si="636"/>
        <v/>
      </c>
      <c r="P806" s="79"/>
      <c r="Q806" s="79"/>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t="s">
        <v>1226</v>
      </c>
      <c r="AP806" s="79"/>
      <c r="AQ806" s="80" t="s">
        <v>5583</v>
      </c>
      <c r="AR806" s="83">
        <v>3046010799</v>
      </c>
      <c r="AS806" s="128" t="s">
        <v>5584</v>
      </c>
      <c r="AT806" s="80" t="str">
        <f t="shared" si="950"/>
        <v>Suba</v>
      </c>
      <c r="AU806" s="79" t="s">
        <v>602</v>
      </c>
      <c r="AV806" s="79"/>
      <c r="AW806" s="79"/>
      <c r="AX806" s="79"/>
      <c r="AY806" s="79"/>
      <c r="AZ806" s="79"/>
      <c r="BA806" s="80" t="str">
        <f t="shared" si="1000"/>
        <v>Noroccidente</v>
      </c>
      <c r="BB806" s="79" t="s">
        <v>603</v>
      </c>
      <c r="BC806" s="79"/>
      <c r="BD806" s="79"/>
      <c r="BE806" s="79"/>
      <c r="BF806" s="79"/>
      <c r="BG806" s="79"/>
      <c r="BH806" s="80" t="s">
        <v>602</v>
      </c>
      <c r="BI806" s="79" t="s">
        <v>602</v>
      </c>
      <c r="BJ806" s="79"/>
      <c r="BK806" s="79"/>
      <c r="BL806" s="79"/>
      <c r="BM806" s="79"/>
      <c r="BN806" s="79"/>
      <c r="BO806" s="79"/>
      <c r="BP806" s="79"/>
      <c r="BQ806" s="79"/>
      <c r="BR806" s="79"/>
      <c r="BS806" s="80" t="s">
        <v>602</v>
      </c>
      <c r="BT806" s="80" t="s">
        <v>174</v>
      </c>
      <c r="BU806" s="80" t="s">
        <v>179</v>
      </c>
      <c r="BV806" s="71"/>
      <c r="BW806" s="79" t="s">
        <v>152</v>
      </c>
      <c r="BX806" s="79" t="s">
        <v>179</v>
      </c>
      <c r="BY806" s="71"/>
      <c r="BZ806" s="79">
        <v>15</v>
      </c>
      <c r="CA806" s="79">
        <v>1</v>
      </c>
      <c r="CB806" s="79">
        <f t="shared" si="1109"/>
        <v>16</v>
      </c>
      <c r="CC806" s="79" t="str">
        <f t="shared" si="382"/>
        <v>Ninguna</v>
      </c>
      <c r="CD806" s="79" t="s">
        <v>174</v>
      </c>
      <c r="CE806" s="79"/>
      <c r="CF806" s="79"/>
      <c r="CG806" s="83"/>
      <c r="CH806" s="41"/>
      <c r="CI806" s="79"/>
      <c r="CJ806" s="71"/>
      <c r="CK806" s="79">
        <f t="shared" si="1125"/>
        <v>0</v>
      </c>
      <c r="CL806" s="79"/>
      <c r="CM806" s="79"/>
      <c r="CN806" s="79"/>
      <c r="CO806" s="79"/>
      <c r="CP806" s="79"/>
      <c r="CQ806" s="79"/>
      <c r="CR806" s="83" t="s">
        <v>179</v>
      </c>
      <c r="CS806" s="83" t="s">
        <v>179</v>
      </c>
      <c r="CT806" s="83" t="s">
        <v>179</v>
      </c>
      <c r="CU806" s="83" t="s">
        <v>179</v>
      </c>
      <c r="CV806" s="83" t="s">
        <v>179</v>
      </c>
      <c r="CW806" s="83" t="s">
        <v>179</v>
      </c>
      <c r="CX806" s="79" t="s">
        <v>153</v>
      </c>
      <c r="CY806" s="79">
        <f t="shared" si="1126"/>
        <v>0</v>
      </c>
      <c r="CZ806" s="79">
        <v>0</v>
      </c>
      <c r="DA806" s="79">
        <f t="shared" si="1127"/>
        <v>0</v>
      </c>
      <c r="DB806" s="84" t="str">
        <f t="shared" si="1128"/>
        <v/>
      </c>
      <c r="DC806" s="41"/>
      <c r="DD806" s="79" t="s">
        <v>153</v>
      </c>
      <c r="DE806" s="71"/>
      <c r="DF806" s="127" t="s">
        <v>5598</v>
      </c>
      <c r="DG806" s="79">
        <v>795</v>
      </c>
      <c r="DH806" s="86" t="str">
        <f t="shared" si="1129"/>
        <v>Completo</v>
      </c>
      <c r="DI806" s="79" t="s">
        <v>181</v>
      </c>
      <c r="DJ806" s="79"/>
      <c r="DK806" s="79"/>
      <c r="DL806" s="79">
        <v>0</v>
      </c>
      <c r="DM806" s="79">
        <v>0</v>
      </c>
      <c r="DN806" s="79" t="s">
        <v>182</v>
      </c>
      <c r="DO806" s="79"/>
      <c r="DP806" s="79"/>
      <c r="DQ806" s="79"/>
      <c r="DR806" s="75" t="str">
        <f t="shared" si="1130"/>
        <v>No aplica</v>
      </c>
      <c r="DS806" s="79"/>
      <c r="DT806" s="79"/>
      <c r="DU806" s="75" t="str">
        <f t="shared" si="1131"/>
        <v>No aplica</v>
      </c>
      <c r="DV806" s="79" t="s">
        <v>182</v>
      </c>
      <c r="DW806" s="79"/>
      <c r="DX806" s="79"/>
      <c r="DY806" s="79"/>
      <c r="DZ806" s="79"/>
      <c r="EA806" s="79"/>
      <c r="EB806" s="79"/>
      <c r="EC806" s="79"/>
      <c r="ED806" s="79" t="s">
        <v>5599</v>
      </c>
      <c r="EE806" s="79" t="str">
        <f t="shared" si="1136"/>
        <v>Completo</v>
      </c>
      <c r="EF806" s="41"/>
      <c r="EG806" s="79" t="s">
        <v>153</v>
      </c>
      <c r="EH806" s="71"/>
      <c r="EI806" s="80"/>
      <c r="EJ806" s="71"/>
      <c r="EK806" s="79"/>
      <c r="EL806" s="87" t="str">
        <f>IF(F806="NO","No requiere",IF(H806="No","No requiere",IF(DW806="","",IF(DW806&lt;&gt;"No aplica",IF(DX806&lt;&gt;"No aplica",IF(DX806&gt;=2,"Sí","No"),"No aplica"),"No aplica"))))</f>
        <v>No requiere</v>
      </c>
      <c r="EM806" s="87" t="str">
        <f>IF(F806="NO","No requiere",IF(H806="No","No requiere",IF(DW806="","",IF(DW806&lt;&gt;"No aplica",IF(DY806&lt;&gt;"No aplica",IF(DY806&gt;=1,"Sí","No"),"No aplica"),"No aplica"))))</f>
        <v>No requiere</v>
      </c>
      <c r="EN806" s="87" t="str">
        <f>IF(F806="NO","No requiere",IF(H806="No","No requiere",IF(CC806="","",IF(CD806&lt;&gt;"No aplica",IF(CD806&lt;&gt;"Ninguna",IF(COUNTIF(CD806:CF806,"*")&gt;=1,"Sí","No"),"No"),"No aplica"))))</f>
        <v>No requiere</v>
      </c>
      <c r="EO806" s="71"/>
      <c r="EP806" s="84" t="str">
        <f>IF(F806="NO","No requiere",IF(H806="No","No requiere",IF(DL806="","",IF(DL806&gt;=1,DM806/DL806,"No aplica"))))</f>
        <v>No requiere</v>
      </c>
      <c r="EQ806" s="88" t="str">
        <f>IFERROR(IF(F806="NO","No requiere",IF(H806="No","No requiere",DU806)),"")</f>
        <v>No requiere</v>
      </c>
      <c r="ER806" s="71"/>
      <c r="ES806" s="79"/>
      <c r="ET806" s="84" t="str">
        <f t="shared" si="1132"/>
        <v>No requiere</v>
      </c>
      <c r="EU806" s="84" t="str">
        <f t="shared" si="1133"/>
        <v>No requiere</v>
      </c>
      <c r="EV806" s="84" t="str">
        <f t="shared" si="1134"/>
        <v>No requiere</v>
      </c>
      <c r="EW806" s="84" t="str">
        <f t="shared" si="1135"/>
        <v>No requiere</v>
      </c>
      <c r="EX806" s="78"/>
      <c r="EY806" s="78"/>
    </row>
    <row r="807" spans="1:155" ht="40.5" customHeight="1">
      <c r="A807" s="79">
        <v>803</v>
      </c>
      <c r="B807" s="80" t="s">
        <v>5600</v>
      </c>
      <c r="C807" s="81">
        <v>45508</v>
      </c>
      <c r="D807" s="82">
        <v>0.33333333333333331</v>
      </c>
      <c r="E807" s="79" t="s">
        <v>151</v>
      </c>
      <c r="F807" s="79" t="s">
        <v>153</v>
      </c>
      <c r="G807" s="79" t="s">
        <v>152</v>
      </c>
      <c r="H807" s="79" t="s">
        <v>152</v>
      </c>
      <c r="I807" s="79" t="s">
        <v>152</v>
      </c>
      <c r="J807" s="79" t="s">
        <v>5581</v>
      </c>
      <c r="K807" s="79" t="s">
        <v>155</v>
      </c>
      <c r="L807" s="80" t="s">
        <v>5582</v>
      </c>
      <c r="M807" s="80" t="s">
        <v>241</v>
      </c>
      <c r="N807" s="79" t="s">
        <v>819</v>
      </c>
      <c r="O807" s="80" t="str">
        <f t="shared" si="636"/>
        <v/>
      </c>
      <c r="P807" s="79"/>
      <c r="Q807" s="79"/>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t="s">
        <v>1226</v>
      </c>
      <c r="AP807" s="79"/>
      <c r="AQ807" s="80" t="s">
        <v>5583</v>
      </c>
      <c r="AR807" s="83">
        <v>3046010799</v>
      </c>
      <c r="AS807" s="128" t="s">
        <v>5584</v>
      </c>
      <c r="AT807" s="80" t="str">
        <f t="shared" si="950"/>
        <v>Suba</v>
      </c>
      <c r="AU807" s="79" t="s">
        <v>602</v>
      </c>
      <c r="AV807" s="79"/>
      <c r="AW807" s="79"/>
      <c r="AX807" s="79"/>
      <c r="AY807" s="79"/>
      <c r="AZ807" s="79"/>
      <c r="BA807" s="80" t="str">
        <f t="shared" si="1000"/>
        <v>Noroccidente</v>
      </c>
      <c r="BB807" s="79" t="s">
        <v>603</v>
      </c>
      <c r="BC807" s="79"/>
      <c r="BD807" s="79"/>
      <c r="BE807" s="79"/>
      <c r="BF807" s="79"/>
      <c r="BG807" s="79"/>
      <c r="BH807" s="80" t="str">
        <f t="shared" si="1001"/>
        <v>Tibabuyes</v>
      </c>
      <c r="BI807" s="79" t="s">
        <v>1378</v>
      </c>
      <c r="BJ807" s="79"/>
      <c r="BK807" s="79"/>
      <c r="BL807" s="79"/>
      <c r="BM807" s="79"/>
      <c r="BN807" s="79"/>
      <c r="BO807" s="79"/>
      <c r="BP807" s="79"/>
      <c r="BQ807" s="79"/>
      <c r="BR807" s="79"/>
      <c r="BS807" s="80" t="s">
        <v>1378</v>
      </c>
      <c r="BT807" s="80" t="s">
        <v>174</v>
      </c>
      <c r="BU807" s="80" t="s">
        <v>179</v>
      </c>
      <c r="BV807" s="71"/>
      <c r="BW807" s="79" t="s">
        <v>152</v>
      </c>
      <c r="BX807" s="79" t="s">
        <v>179</v>
      </c>
      <c r="BY807" s="71"/>
      <c r="BZ807" s="79">
        <v>14</v>
      </c>
      <c r="CA807" s="79">
        <v>1</v>
      </c>
      <c r="CB807" s="79">
        <f t="shared" si="1109"/>
        <v>15</v>
      </c>
      <c r="CC807" s="79" t="str">
        <f t="shared" si="382"/>
        <v>Ninguna</v>
      </c>
      <c r="CD807" s="79" t="s">
        <v>174</v>
      </c>
      <c r="CE807" s="79"/>
      <c r="CF807" s="79"/>
      <c r="CG807" s="83"/>
      <c r="CH807" s="41"/>
      <c r="CI807" s="79"/>
      <c r="CJ807" s="71"/>
      <c r="CK807" s="79">
        <f t="shared" si="1125"/>
        <v>0</v>
      </c>
      <c r="CL807" s="79"/>
      <c r="CM807" s="79"/>
      <c r="CN807" s="79"/>
      <c r="CO807" s="79"/>
      <c r="CP807" s="79"/>
      <c r="CQ807" s="79"/>
      <c r="CR807" s="83" t="s">
        <v>1545</v>
      </c>
      <c r="CS807" s="83" t="s">
        <v>1545</v>
      </c>
      <c r="CT807" s="83" t="s">
        <v>1545</v>
      </c>
      <c r="CU807" s="83" t="s">
        <v>1545</v>
      </c>
      <c r="CV807" s="83" t="s">
        <v>1545</v>
      </c>
      <c r="CW807" s="83" t="s">
        <v>1545</v>
      </c>
      <c r="CX807" s="79" t="s">
        <v>153</v>
      </c>
      <c r="CY807" s="79">
        <f t="shared" si="1126"/>
        <v>0</v>
      </c>
      <c r="CZ807" s="79">
        <v>0</v>
      </c>
      <c r="DA807" s="79">
        <f t="shared" si="1127"/>
        <v>0</v>
      </c>
      <c r="DB807" s="84" t="str">
        <f t="shared" si="1128"/>
        <v/>
      </c>
      <c r="DC807" s="41"/>
      <c r="DD807" s="79" t="s">
        <v>153</v>
      </c>
      <c r="DE807" s="71"/>
      <c r="DF807" s="127" t="s">
        <v>5601</v>
      </c>
      <c r="DG807" s="79">
        <v>796</v>
      </c>
      <c r="DH807" s="86" t="str">
        <f t="shared" si="1129"/>
        <v>Completo</v>
      </c>
      <c r="DI807" s="79" t="s">
        <v>181</v>
      </c>
      <c r="DJ807" s="79"/>
      <c r="DK807" s="79"/>
      <c r="DL807" s="79">
        <v>0</v>
      </c>
      <c r="DM807" s="79">
        <v>0</v>
      </c>
      <c r="DN807" s="79" t="s">
        <v>182</v>
      </c>
      <c r="DO807" s="79"/>
      <c r="DP807" s="79"/>
      <c r="DQ807" s="79"/>
      <c r="DR807" s="75" t="str">
        <f t="shared" si="1130"/>
        <v>No aplica</v>
      </c>
      <c r="DS807" s="79"/>
      <c r="DT807" s="79"/>
      <c r="DU807" s="75" t="str">
        <f t="shared" si="1131"/>
        <v>No aplica</v>
      </c>
      <c r="DV807" s="79" t="s">
        <v>182</v>
      </c>
      <c r="DW807" s="79"/>
      <c r="DX807" s="79"/>
      <c r="DY807" s="79"/>
      <c r="DZ807" s="79"/>
      <c r="EA807" s="79"/>
      <c r="EB807" s="79"/>
      <c r="EC807" s="79"/>
      <c r="ED807" s="79" t="s">
        <v>5602</v>
      </c>
      <c r="EE807" s="79" t="str">
        <f t="shared" si="1136"/>
        <v>Completo</v>
      </c>
      <c r="EF807" s="41"/>
      <c r="EG807" s="79" t="s">
        <v>153</v>
      </c>
      <c r="EH807" s="71"/>
      <c r="EI807" s="80"/>
      <c r="EJ807" s="71"/>
      <c r="EK807" s="79"/>
      <c r="EL807" s="87" t="str">
        <f>IF(F807="NO","No requiere",IF(H807="No","No requiere",IF(DW807="","",IF(DW807&lt;&gt;"No aplica",IF(DX807&lt;&gt;"No aplica",IF(DX807&gt;=2,"Sí","No"),"No aplica"),"No aplica"))))</f>
        <v>No requiere</v>
      </c>
      <c r="EM807" s="87" t="str">
        <f>IF(F807="NO","No requiere",IF(H807="No","No requiere",IF(DW807="","",IF(DW807&lt;&gt;"No aplica",IF(DY807&lt;&gt;"No aplica",IF(DY807&gt;=1,"Sí","No"),"No aplica"),"No aplica"))))</f>
        <v>No requiere</v>
      </c>
      <c r="EN807" s="87" t="str">
        <f>IF(F807="NO","No requiere",IF(H807="No","No requiere",IF(CC807="","",IF(CD807&lt;&gt;"No aplica",IF(CD807&lt;&gt;"Ninguna",IF(COUNTIF(CD807:CF807,"*")&gt;=1,"Sí","No"),"No"),"No aplica"))))</f>
        <v>No requiere</v>
      </c>
      <c r="EO807" s="71"/>
      <c r="EP807" s="84" t="str">
        <f>IF(F807="NO","No requiere",IF(H807="No","No requiere",IF(DL807="","",IF(DL807&gt;=1,DM807/DL807,"No aplica"))))</f>
        <v>No requiere</v>
      </c>
      <c r="EQ807" s="88" t="str">
        <f>IFERROR(IF(F807="NO","No requiere",IF(H807="No","No requiere",DU807)),"")</f>
        <v>No requiere</v>
      </c>
      <c r="ER807" s="71"/>
      <c r="ES807" s="79"/>
      <c r="ET807" s="84" t="str">
        <f t="shared" si="1132"/>
        <v>No requiere</v>
      </c>
      <c r="EU807" s="84" t="str">
        <f t="shared" si="1133"/>
        <v>No requiere</v>
      </c>
      <c r="EV807" s="84" t="str">
        <f t="shared" si="1134"/>
        <v>No requiere</v>
      </c>
      <c r="EW807" s="84" t="str">
        <f t="shared" si="1135"/>
        <v>No requiere</v>
      </c>
      <c r="EX807" s="78"/>
      <c r="EY807" s="78"/>
    </row>
    <row r="808" spans="1:155" ht="40.5" customHeight="1">
      <c r="A808" s="79">
        <v>804</v>
      </c>
      <c r="B808" s="80" t="s">
        <v>5603</v>
      </c>
      <c r="C808" s="81">
        <v>45508</v>
      </c>
      <c r="D808" s="82">
        <v>0.33333333333333331</v>
      </c>
      <c r="E808" s="79" t="s">
        <v>151</v>
      </c>
      <c r="F808" s="79" t="s">
        <v>153</v>
      </c>
      <c r="G808" s="79" t="s">
        <v>152</v>
      </c>
      <c r="H808" s="79" t="s">
        <v>152</v>
      </c>
      <c r="I808" s="79" t="s">
        <v>152</v>
      </c>
      <c r="J808" s="79" t="s">
        <v>5581</v>
      </c>
      <c r="K808" s="79" t="s">
        <v>155</v>
      </c>
      <c r="L808" s="80" t="s">
        <v>5582</v>
      </c>
      <c r="M808" s="80" t="s">
        <v>241</v>
      </c>
      <c r="N808" s="79" t="s">
        <v>644</v>
      </c>
      <c r="O808" s="80" t="str">
        <f t="shared" si="636"/>
        <v/>
      </c>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t="s">
        <v>1226</v>
      </c>
      <c r="AP808" s="79"/>
      <c r="AQ808" s="80" t="s">
        <v>5583</v>
      </c>
      <c r="AR808" s="83">
        <v>3046010799</v>
      </c>
      <c r="AS808" s="128" t="s">
        <v>5584</v>
      </c>
      <c r="AT808" s="80" t="str">
        <f t="shared" si="950"/>
        <v>Engativá</v>
      </c>
      <c r="AU808" s="79" t="s">
        <v>234</v>
      </c>
      <c r="AV808" s="79"/>
      <c r="AW808" s="79"/>
      <c r="AX808" s="79"/>
      <c r="AY808" s="79"/>
      <c r="AZ808" s="79"/>
      <c r="BA808" s="80" t="str">
        <f t="shared" si="1000"/>
        <v>Occidente</v>
      </c>
      <c r="BB808" s="79" t="s">
        <v>235</v>
      </c>
      <c r="BC808" s="79"/>
      <c r="BD808" s="79"/>
      <c r="BE808" s="79"/>
      <c r="BF808" s="79"/>
      <c r="BG808" s="79"/>
      <c r="BH808" s="80" t="str">
        <f t="shared" si="1001"/>
        <v>Engativá</v>
      </c>
      <c r="BI808" s="79" t="s">
        <v>234</v>
      </c>
      <c r="BJ808" s="79"/>
      <c r="BK808" s="79"/>
      <c r="BL808" s="79"/>
      <c r="BM808" s="79"/>
      <c r="BN808" s="79"/>
      <c r="BO808" s="79"/>
      <c r="BP808" s="79"/>
      <c r="BQ808" s="79"/>
      <c r="BR808" s="79"/>
      <c r="BS808" s="80" t="s">
        <v>234</v>
      </c>
      <c r="BT808" s="80" t="s">
        <v>174</v>
      </c>
      <c r="BU808" s="80" t="s">
        <v>179</v>
      </c>
      <c r="BV808" s="71"/>
      <c r="BW808" s="79" t="s">
        <v>152</v>
      </c>
      <c r="BX808" s="79" t="s">
        <v>179</v>
      </c>
      <c r="BY808" s="71"/>
      <c r="BZ808" s="79">
        <v>0</v>
      </c>
      <c r="CA808" s="79">
        <v>1</v>
      </c>
      <c r="CB808" s="79">
        <f t="shared" si="1109"/>
        <v>1</v>
      </c>
      <c r="CC808" s="79" t="str">
        <f t="shared" ref="CC808:CC859" si="1137">_xlfn.TEXTJOIN(", ",TRUE,$CD808:$CF808)</f>
        <v>Ninguna</v>
      </c>
      <c r="CD808" s="79" t="s">
        <v>174</v>
      </c>
      <c r="CE808" s="79"/>
      <c r="CF808" s="79"/>
      <c r="CG808" s="83"/>
      <c r="CH808" s="41"/>
      <c r="CI808" s="79"/>
      <c r="CJ808" s="71"/>
      <c r="CK808" s="79">
        <f t="shared" si="1125"/>
        <v>0</v>
      </c>
      <c r="CL808" s="79"/>
      <c r="CM808" s="79"/>
      <c r="CN808" s="79"/>
      <c r="CO808" s="79"/>
      <c r="CP808" s="79"/>
      <c r="CQ808" s="79"/>
      <c r="CR808" s="83" t="s">
        <v>179</v>
      </c>
      <c r="CS808" s="83" t="s">
        <v>179</v>
      </c>
      <c r="CT808" s="83" t="s">
        <v>179</v>
      </c>
      <c r="CU808" s="83" t="s">
        <v>179</v>
      </c>
      <c r="CV808" s="83" t="s">
        <v>179</v>
      </c>
      <c r="CW808" s="83" t="s">
        <v>179</v>
      </c>
      <c r="CX808" s="79" t="s">
        <v>153</v>
      </c>
      <c r="CY808" s="79">
        <f t="shared" si="1126"/>
        <v>0</v>
      </c>
      <c r="CZ808" s="79">
        <v>0</v>
      </c>
      <c r="DA808" s="79">
        <f t="shared" si="1127"/>
        <v>0</v>
      </c>
      <c r="DB808" s="84" t="str">
        <f t="shared" si="1128"/>
        <v/>
      </c>
      <c r="DC808" s="41"/>
      <c r="DD808" s="79" t="s">
        <v>153</v>
      </c>
      <c r="DE808" s="71"/>
      <c r="DF808" s="127" t="s">
        <v>5604</v>
      </c>
      <c r="DG808" s="79">
        <v>797</v>
      </c>
      <c r="DH808" s="86" t="str">
        <f t="shared" si="1129"/>
        <v>Completo</v>
      </c>
      <c r="DI808" s="79" t="s">
        <v>181</v>
      </c>
      <c r="DJ808" s="79"/>
      <c r="DK808" s="79"/>
      <c r="DL808" s="79">
        <v>0</v>
      </c>
      <c r="DM808" s="79">
        <v>0</v>
      </c>
      <c r="DN808" s="79" t="s">
        <v>182</v>
      </c>
      <c r="DO808" s="79"/>
      <c r="DP808" s="79"/>
      <c r="DQ808" s="79"/>
      <c r="DR808" s="75" t="str">
        <f t="shared" si="1130"/>
        <v>No aplica</v>
      </c>
      <c r="DS808" s="79"/>
      <c r="DT808" s="79"/>
      <c r="DU808" s="75" t="str">
        <f t="shared" si="1131"/>
        <v>No aplica</v>
      </c>
      <c r="DV808" s="79" t="s">
        <v>182</v>
      </c>
      <c r="DW808" s="79"/>
      <c r="DX808" s="79"/>
      <c r="DY808" s="79"/>
      <c r="DZ808" s="79"/>
      <c r="EA808" s="79"/>
      <c r="EB808" s="79"/>
      <c r="EC808" s="79"/>
      <c r="ED808" s="79" t="s">
        <v>5605</v>
      </c>
      <c r="EE808" s="79" t="str">
        <f t="shared" si="1136"/>
        <v>Completo</v>
      </c>
      <c r="EF808" s="41"/>
      <c r="EG808" s="79" t="s">
        <v>153</v>
      </c>
      <c r="EH808" s="71"/>
      <c r="EI808" s="80"/>
      <c r="EJ808" s="71"/>
      <c r="EK808" s="79"/>
      <c r="EL808" s="87" t="str">
        <f>IF(F808="NO","No requiere",IF(H808="No","No requiere",IF(DW808="","",IF(DW808&lt;&gt;"No aplica",IF(DX808&lt;&gt;"No aplica",IF(DX808&gt;=2,"Sí","No"),"No aplica"),"No aplica"))))</f>
        <v>No requiere</v>
      </c>
      <c r="EM808" s="87" t="str">
        <f>IF(F808="NO","No requiere",IF(H808="No","No requiere",IF(DW808="","",IF(DW808&lt;&gt;"No aplica",IF(DY808&lt;&gt;"No aplica",IF(DY808&gt;=1,"Sí","No"),"No aplica"),"No aplica"))))</f>
        <v>No requiere</v>
      </c>
      <c r="EN808" s="87" t="str">
        <f>IF(F808="NO","No requiere",IF(H808="No","No requiere",IF(CC808="","",IF(CD808&lt;&gt;"No aplica",IF(CD808&lt;&gt;"Ninguna",IF(COUNTIF(CD808:CF808,"*")&gt;=1,"Sí","No"),"No"),"No aplica"))))</f>
        <v>No requiere</v>
      </c>
      <c r="EO808" s="71"/>
      <c r="EP808" s="84" t="str">
        <f>IF(F808="NO","No requiere",IF(H808="No","No requiere",IF(DL808="","",IF(DL808&gt;=1,DM808/DL808,"No aplica"))))</f>
        <v>No requiere</v>
      </c>
      <c r="EQ808" s="88" t="str">
        <f>IFERROR(IF(F808="NO","No requiere",IF(H808="No","No requiere",DU808)),"")</f>
        <v>No requiere</v>
      </c>
      <c r="ER808" s="71"/>
      <c r="ES808" s="79"/>
      <c r="ET808" s="84" t="str">
        <f t="shared" si="1132"/>
        <v>No requiere</v>
      </c>
      <c r="EU808" s="84" t="str">
        <f t="shared" si="1133"/>
        <v>No requiere</v>
      </c>
      <c r="EV808" s="84" t="str">
        <f t="shared" si="1134"/>
        <v>No requiere</v>
      </c>
      <c r="EW808" s="84" t="str">
        <f t="shared" si="1135"/>
        <v>No requiere</v>
      </c>
      <c r="EX808" s="78"/>
      <c r="EY808" s="78"/>
    </row>
    <row r="809" spans="1:155" ht="40.5" customHeight="1">
      <c r="A809" s="79">
        <v>805</v>
      </c>
      <c r="B809" s="80" t="s">
        <v>5606</v>
      </c>
      <c r="C809" s="81">
        <v>45508</v>
      </c>
      <c r="D809" s="82">
        <v>0.33333333333333331</v>
      </c>
      <c r="E809" s="79" t="s">
        <v>151</v>
      </c>
      <c r="F809" s="79" t="s">
        <v>153</v>
      </c>
      <c r="G809" s="79" t="s">
        <v>152</v>
      </c>
      <c r="H809" s="79" t="s">
        <v>152</v>
      </c>
      <c r="I809" s="79" t="s">
        <v>152</v>
      </c>
      <c r="J809" s="79" t="s">
        <v>5581</v>
      </c>
      <c r="K809" s="79" t="s">
        <v>155</v>
      </c>
      <c r="L809" s="80" t="s">
        <v>5582</v>
      </c>
      <c r="M809" s="80" t="s">
        <v>241</v>
      </c>
      <c r="N809" s="79" t="s">
        <v>888</v>
      </c>
      <c r="O809" s="80" t="str">
        <f t="shared" si="636"/>
        <v/>
      </c>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t="s">
        <v>1226</v>
      </c>
      <c r="AP809" s="79"/>
      <c r="AQ809" s="80" t="s">
        <v>5583</v>
      </c>
      <c r="AR809" s="83">
        <v>3046010799</v>
      </c>
      <c r="AS809" s="128" t="s">
        <v>5584</v>
      </c>
      <c r="AT809" s="80" t="str">
        <f t="shared" si="950"/>
        <v>Fontibón</v>
      </c>
      <c r="AU809" s="79" t="s">
        <v>646</v>
      </c>
      <c r="AV809" s="79"/>
      <c r="AW809" s="79"/>
      <c r="AX809" s="79"/>
      <c r="AY809" s="79"/>
      <c r="AZ809" s="79"/>
      <c r="BA809" s="80" t="str">
        <f t="shared" si="1000"/>
        <v>Occidente</v>
      </c>
      <c r="BB809" s="79" t="s">
        <v>235</v>
      </c>
      <c r="BC809" s="79"/>
      <c r="BD809" s="79"/>
      <c r="BE809" s="79"/>
      <c r="BF809" s="79"/>
      <c r="BG809" s="79"/>
      <c r="BH809" s="80" t="str">
        <f t="shared" si="1001"/>
        <v>Fontibón</v>
      </c>
      <c r="BI809" s="79" t="s">
        <v>646</v>
      </c>
      <c r="BJ809" s="79"/>
      <c r="BK809" s="79"/>
      <c r="BL809" s="79"/>
      <c r="BM809" s="79"/>
      <c r="BN809" s="79"/>
      <c r="BO809" s="79"/>
      <c r="BP809" s="79"/>
      <c r="BQ809" s="79"/>
      <c r="BR809" s="79"/>
      <c r="BS809" s="80" t="s">
        <v>646</v>
      </c>
      <c r="BT809" s="80" t="s">
        <v>174</v>
      </c>
      <c r="BU809" s="80" t="s">
        <v>179</v>
      </c>
      <c r="BV809" s="71"/>
      <c r="BW809" s="79" t="s">
        <v>152</v>
      </c>
      <c r="BX809" s="79" t="s">
        <v>179</v>
      </c>
      <c r="BY809" s="71"/>
      <c r="BZ809" s="79">
        <v>4</v>
      </c>
      <c r="CA809" s="79">
        <v>1</v>
      </c>
      <c r="CB809" s="79">
        <f t="shared" si="1109"/>
        <v>5</v>
      </c>
      <c r="CC809" s="79" t="str">
        <f t="shared" si="1137"/>
        <v>Ninguna</v>
      </c>
      <c r="CD809" s="79" t="s">
        <v>174</v>
      </c>
      <c r="CE809" s="79"/>
      <c r="CF809" s="79"/>
      <c r="CG809" s="83"/>
      <c r="CH809" s="41"/>
      <c r="CI809" s="79"/>
      <c r="CJ809" s="71"/>
      <c r="CK809" s="79">
        <f t="shared" si="1125"/>
        <v>0</v>
      </c>
      <c r="CL809" s="79"/>
      <c r="CM809" s="79"/>
      <c r="CN809" s="79"/>
      <c r="CO809" s="79"/>
      <c r="CP809" s="79"/>
      <c r="CQ809" s="79"/>
      <c r="CR809" s="83" t="s">
        <v>179</v>
      </c>
      <c r="CS809" s="83" t="s">
        <v>179</v>
      </c>
      <c r="CT809" s="83" t="s">
        <v>179</v>
      </c>
      <c r="CU809" s="83" t="s">
        <v>179</v>
      </c>
      <c r="CV809" s="83" t="s">
        <v>179</v>
      </c>
      <c r="CW809" s="83" t="s">
        <v>179</v>
      </c>
      <c r="CX809" s="79" t="s">
        <v>153</v>
      </c>
      <c r="CY809" s="79">
        <f t="shared" si="1126"/>
        <v>0</v>
      </c>
      <c r="CZ809" s="79">
        <v>0</v>
      </c>
      <c r="DA809" s="79">
        <f t="shared" si="1127"/>
        <v>0</v>
      </c>
      <c r="DB809" s="84" t="str">
        <f t="shared" si="1128"/>
        <v/>
      </c>
      <c r="DC809" s="41"/>
      <c r="DD809" s="79" t="s">
        <v>153</v>
      </c>
      <c r="DE809" s="71"/>
      <c r="DF809" s="127" t="s">
        <v>5607</v>
      </c>
      <c r="DG809" s="79">
        <v>798</v>
      </c>
      <c r="DH809" s="86" t="str">
        <f t="shared" si="1129"/>
        <v>Completo</v>
      </c>
      <c r="DI809" s="79" t="s">
        <v>181</v>
      </c>
      <c r="DJ809" s="79"/>
      <c r="DK809" s="79"/>
      <c r="DL809" s="79">
        <v>0</v>
      </c>
      <c r="DM809" s="79">
        <v>0</v>
      </c>
      <c r="DN809" s="79" t="s">
        <v>182</v>
      </c>
      <c r="DO809" s="79"/>
      <c r="DP809" s="79"/>
      <c r="DQ809" s="79"/>
      <c r="DR809" s="75" t="str">
        <f t="shared" si="1130"/>
        <v>No aplica</v>
      </c>
      <c r="DS809" s="79"/>
      <c r="DT809" s="79"/>
      <c r="DU809" s="75" t="str">
        <f t="shared" si="1131"/>
        <v>No aplica</v>
      </c>
      <c r="DV809" s="79" t="s">
        <v>182</v>
      </c>
      <c r="DW809" s="79"/>
      <c r="DX809" s="79"/>
      <c r="DY809" s="79"/>
      <c r="DZ809" s="79"/>
      <c r="EA809" s="79"/>
      <c r="EB809" s="79"/>
      <c r="EC809" s="79" t="s">
        <v>5608</v>
      </c>
      <c r="ED809" s="79"/>
      <c r="EE809" s="79" t="str">
        <f t="shared" si="1136"/>
        <v>Completo</v>
      </c>
      <c r="EF809" s="41"/>
      <c r="EG809" s="79" t="s">
        <v>153</v>
      </c>
      <c r="EH809" s="71"/>
      <c r="EI809" s="80"/>
      <c r="EJ809" s="71"/>
      <c r="EK809" s="79"/>
      <c r="EL809" s="87" t="str">
        <f>IF(F809="NO","No requiere",IF(H809="No","No requiere",IF(DW809="","",IF(DW809&lt;&gt;"No aplica",IF(DX809&lt;&gt;"No aplica",IF(DX809&gt;=2,"Sí","No"),"No aplica"),"No aplica"))))</f>
        <v>No requiere</v>
      </c>
      <c r="EM809" s="87" t="str">
        <f>IF(F809="NO","No requiere",IF(H809="No","No requiere",IF(DW809="","",IF(DW809&lt;&gt;"No aplica",IF(DY809&lt;&gt;"No aplica",IF(DY809&gt;=1,"Sí","No"),"No aplica"),"No aplica"))))</f>
        <v>No requiere</v>
      </c>
      <c r="EN809" s="87" t="str">
        <f>IF(F809="NO","No requiere",IF(H809="No","No requiere",IF(CC809="","",IF(CD809&lt;&gt;"No aplica",IF(CD809&lt;&gt;"Ninguna",IF(COUNTIF(CD809:CF809,"*")&gt;=1,"Sí","No"),"No"),"No aplica"))))</f>
        <v>No requiere</v>
      </c>
      <c r="EO809" s="71"/>
      <c r="EP809" s="84" t="str">
        <f>IF(F809="NO","No requiere",IF(H809="No","No requiere",IF(DL809="","",IF(DL809&gt;=1,DM809/DL809,"No aplica"))))</f>
        <v>No requiere</v>
      </c>
      <c r="EQ809" s="88" t="str">
        <f>IFERROR(IF(F809="NO","No requiere",IF(H809="No","No requiere",DU809)),"")</f>
        <v>No requiere</v>
      </c>
      <c r="ER809" s="71"/>
      <c r="ES809" s="79"/>
      <c r="ET809" s="84" t="str">
        <f t="shared" si="1132"/>
        <v>No requiere</v>
      </c>
      <c r="EU809" s="84" t="str">
        <f t="shared" si="1133"/>
        <v>No requiere</v>
      </c>
      <c r="EV809" s="84" t="str">
        <f t="shared" si="1134"/>
        <v>No requiere</v>
      </c>
      <c r="EW809" s="84" t="str">
        <f t="shared" si="1135"/>
        <v>No requiere</v>
      </c>
      <c r="EX809" s="78"/>
      <c r="EY809" s="78"/>
    </row>
    <row r="810" spans="1:155" ht="40.5" customHeight="1">
      <c r="A810" s="79">
        <v>806</v>
      </c>
      <c r="B810" s="80" t="s">
        <v>5609</v>
      </c>
      <c r="C810" s="81">
        <v>45508</v>
      </c>
      <c r="D810" s="82">
        <v>0.33333333333333331</v>
      </c>
      <c r="E810" s="79" t="s">
        <v>151</v>
      </c>
      <c r="F810" s="79" t="s">
        <v>153</v>
      </c>
      <c r="G810" s="79" t="s">
        <v>152</v>
      </c>
      <c r="H810" s="79" t="s">
        <v>152</v>
      </c>
      <c r="I810" s="79" t="s">
        <v>152</v>
      </c>
      <c r="J810" s="79" t="s">
        <v>5581</v>
      </c>
      <c r="K810" s="79" t="s">
        <v>155</v>
      </c>
      <c r="L810" s="80" t="s">
        <v>5582</v>
      </c>
      <c r="M810" s="80" t="s">
        <v>241</v>
      </c>
      <c r="N810" s="79" t="s">
        <v>1066</v>
      </c>
      <c r="O810" s="80" t="str">
        <f t="shared" si="636"/>
        <v/>
      </c>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t="s">
        <v>1226</v>
      </c>
      <c r="AP810" s="79"/>
      <c r="AQ810" s="80" t="s">
        <v>5583</v>
      </c>
      <c r="AR810" s="83">
        <v>3046010799</v>
      </c>
      <c r="AS810" s="128" t="s">
        <v>5584</v>
      </c>
      <c r="AT810" s="80" t="str">
        <f t="shared" si="950"/>
        <v>Kennedy</v>
      </c>
      <c r="AU810" s="79" t="s">
        <v>731</v>
      </c>
      <c r="AV810" s="79"/>
      <c r="AW810" s="79"/>
      <c r="AX810" s="79"/>
      <c r="AY810" s="79"/>
      <c r="AZ810" s="79"/>
      <c r="BA810" s="80" t="str">
        <f t="shared" si="1000"/>
        <v>Suroccidente</v>
      </c>
      <c r="BB810" s="79" t="s">
        <v>732</v>
      </c>
      <c r="BC810" s="79"/>
      <c r="BD810" s="79"/>
      <c r="BE810" s="79"/>
      <c r="BF810" s="79"/>
      <c r="BG810" s="79"/>
      <c r="BH810" s="80" t="str">
        <f t="shared" si="1001"/>
        <v>Tintal</v>
      </c>
      <c r="BI810" s="79" t="s">
        <v>1697</v>
      </c>
      <c r="BJ810" s="79"/>
      <c r="BK810" s="79"/>
      <c r="BL810" s="79"/>
      <c r="BM810" s="79"/>
      <c r="BN810" s="79"/>
      <c r="BO810" s="79"/>
      <c r="BP810" s="79"/>
      <c r="BQ810" s="79"/>
      <c r="BR810" s="79"/>
      <c r="BS810" s="80" t="s">
        <v>1697</v>
      </c>
      <c r="BT810" s="80" t="s">
        <v>174</v>
      </c>
      <c r="BU810" s="80" t="s">
        <v>179</v>
      </c>
      <c r="BV810" s="71"/>
      <c r="BW810" s="79" t="s">
        <v>152</v>
      </c>
      <c r="BX810" s="79" t="s">
        <v>179</v>
      </c>
      <c r="BY810" s="71"/>
      <c r="BZ810" s="79">
        <v>0</v>
      </c>
      <c r="CA810" s="79">
        <v>1</v>
      </c>
      <c r="CB810" s="79">
        <f t="shared" si="1109"/>
        <v>1</v>
      </c>
      <c r="CC810" s="79" t="str">
        <f t="shared" si="1137"/>
        <v>Ninguna</v>
      </c>
      <c r="CD810" s="79" t="s">
        <v>174</v>
      </c>
      <c r="CE810" s="79"/>
      <c r="CF810" s="79"/>
      <c r="CG810" s="83"/>
      <c r="CH810" s="41"/>
      <c r="CI810" s="79"/>
      <c r="CJ810" s="71"/>
      <c r="CK810" s="79">
        <f t="shared" si="1125"/>
        <v>0</v>
      </c>
      <c r="CL810" s="79"/>
      <c r="CM810" s="79"/>
      <c r="CN810" s="79"/>
      <c r="CO810" s="79"/>
      <c r="CP810" s="79"/>
      <c r="CQ810" s="79"/>
      <c r="CR810" s="83"/>
      <c r="CS810" s="83"/>
      <c r="CT810" s="83"/>
      <c r="CU810" s="83"/>
      <c r="CV810" s="83"/>
      <c r="CW810" s="83"/>
      <c r="CX810" s="79"/>
      <c r="CY810" s="79">
        <f t="shared" si="1126"/>
        <v>0</v>
      </c>
      <c r="CZ810" s="79">
        <v>0</v>
      </c>
      <c r="DA810" s="79">
        <f t="shared" si="1127"/>
        <v>0</v>
      </c>
      <c r="DB810" s="84" t="str">
        <f t="shared" si="1128"/>
        <v/>
      </c>
      <c r="DC810" s="41"/>
      <c r="DD810" s="79" t="s">
        <v>153</v>
      </c>
      <c r="DE810" s="71"/>
      <c r="DF810" s="127" t="s">
        <v>5610</v>
      </c>
      <c r="DG810" s="79">
        <v>799</v>
      </c>
      <c r="DH810" s="86" t="str">
        <f t="shared" si="1129"/>
        <v>Completo</v>
      </c>
      <c r="DI810" s="79" t="s">
        <v>181</v>
      </c>
      <c r="DJ810" s="79"/>
      <c r="DK810" s="79"/>
      <c r="DL810" s="79">
        <v>0</v>
      </c>
      <c r="DM810" s="79">
        <v>0</v>
      </c>
      <c r="DN810" s="79" t="s">
        <v>182</v>
      </c>
      <c r="DO810" s="79"/>
      <c r="DP810" s="79"/>
      <c r="DQ810" s="79"/>
      <c r="DR810" s="75" t="str">
        <f t="shared" si="1130"/>
        <v>No aplica</v>
      </c>
      <c r="DS810" s="79"/>
      <c r="DT810" s="79"/>
      <c r="DU810" s="75" t="str">
        <f t="shared" si="1131"/>
        <v>No aplica</v>
      </c>
      <c r="DV810" s="79" t="s">
        <v>182</v>
      </c>
      <c r="DW810" s="79"/>
      <c r="DX810" s="79"/>
      <c r="DY810" s="79"/>
      <c r="DZ810" s="79"/>
      <c r="EA810" s="79"/>
      <c r="EB810" s="79"/>
      <c r="EC810" s="79"/>
      <c r="ED810" s="79" t="s">
        <v>5611</v>
      </c>
      <c r="EE810" s="79" t="str">
        <f t="shared" si="1136"/>
        <v>Completo</v>
      </c>
      <c r="EF810" s="41"/>
      <c r="EG810" s="79" t="s">
        <v>153</v>
      </c>
      <c r="EH810" s="71"/>
      <c r="EI810" s="80"/>
      <c r="EJ810" s="71"/>
      <c r="EK810" s="79"/>
      <c r="EL810" s="87" t="str">
        <f>IF(F810="NO","No requiere",IF(H810="No","No requiere",IF(DW810="","",IF(DW810&lt;&gt;"No aplica",IF(DX810&lt;&gt;"No aplica",IF(DX810&gt;=2,"Sí","No"),"No aplica"),"No aplica"))))</f>
        <v>No requiere</v>
      </c>
      <c r="EM810" s="87" t="str">
        <f>IF(F810="NO","No requiere",IF(H810="No","No requiere",IF(DW810="","",IF(DW810&lt;&gt;"No aplica",IF(DY810&lt;&gt;"No aplica",IF(DY810&gt;=1,"Sí","No"),"No aplica"),"No aplica"))))</f>
        <v>No requiere</v>
      </c>
      <c r="EN810" s="87" t="str">
        <f>IF(F810="NO","No requiere",IF(H810="No","No requiere",IF(CC810="","",IF(CD810&lt;&gt;"No aplica",IF(CD810&lt;&gt;"Ninguna",IF(COUNTIF(CD810:CF810,"*")&gt;=1,"Sí","No"),"No"),"No aplica"))))</f>
        <v>No requiere</v>
      </c>
      <c r="EO810" s="71"/>
      <c r="EP810" s="84" t="str">
        <f>IF(F810="NO","No requiere",IF(H810="No","No requiere",IF(DL810="","",IF(DL810&gt;=1,DM810/DL810,"No aplica"))))</f>
        <v>No requiere</v>
      </c>
      <c r="EQ810" s="88" t="str">
        <f>IFERROR(IF(F810="NO","No requiere",IF(H810="No","No requiere",DU810)),"")</f>
        <v>No requiere</v>
      </c>
      <c r="ER810" s="71"/>
      <c r="ES810" s="79"/>
      <c r="ET810" s="84" t="str">
        <f t="shared" si="1132"/>
        <v>No requiere</v>
      </c>
      <c r="EU810" s="84" t="str">
        <f t="shared" si="1133"/>
        <v>No requiere</v>
      </c>
      <c r="EV810" s="84" t="str">
        <f t="shared" si="1134"/>
        <v>No requiere</v>
      </c>
      <c r="EW810" s="84" t="str">
        <f t="shared" si="1135"/>
        <v>No requiere</v>
      </c>
      <c r="EX810" s="78"/>
      <c r="EY810" s="78"/>
    </row>
    <row r="811" spans="1:155" ht="40.5" customHeight="1">
      <c r="A811" s="79">
        <v>807</v>
      </c>
      <c r="B811" s="80" t="s">
        <v>5612</v>
      </c>
      <c r="C811" s="81">
        <v>45508</v>
      </c>
      <c r="D811" s="82">
        <v>0.33333333333333331</v>
      </c>
      <c r="E811" s="79" t="s">
        <v>151</v>
      </c>
      <c r="F811" s="79" t="s">
        <v>153</v>
      </c>
      <c r="G811" s="79" t="s">
        <v>152</v>
      </c>
      <c r="H811" s="79" t="s">
        <v>152</v>
      </c>
      <c r="I811" s="79" t="s">
        <v>152</v>
      </c>
      <c r="J811" s="79" t="s">
        <v>5581</v>
      </c>
      <c r="K811" s="79" t="s">
        <v>155</v>
      </c>
      <c r="L811" s="80" t="s">
        <v>5582</v>
      </c>
      <c r="M811" s="80" t="s">
        <v>241</v>
      </c>
      <c r="N811" s="79" t="s">
        <v>965</v>
      </c>
      <c r="O811" s="80" t="str">
        <f t="shared" si="636"/>
        <v/>
      </c>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t="s">
        <v>1226</v>
      </c>
      <c r="AP811" s="79"/>
      <c r="AQ811" s="80" t="s">
        <v>5583</v>
      </c>
      <c r="AR811" s="83">
        <v>3046010799</v>
      </c>
      <c r="AS811" s="128" t="s">
        <v>5584</v>
      </c>
      <c r="AT811" s="80" t="str">
        <f t="shared" si="950"/>
        <v>Kennedy</v>
      </c>
      <c r="AU811" s="79" t="s">
        <v>731</v>
      </c>
      <c r="AV811" s="79"/>
      <c r="AW811" s="79"/>
      <c r="AX811" s="79"/>
      <c r="AY811" s="79"/>
      <c r="AZ811" s="79"/>
      <c r="BA811" s="80" t="str">
        <f t="shared" si="1000"/>
        <v>Suroccidente</v>
      </c>
      <c r="BB811" s="79" t="s">
        <v>732</v>
      </c>
      <c r="BC811" s="79"/>
      <c r="BD811" s="79"/>
      <c r="BE811" s="79"/>
      <c r="BF811" s="79"/>
      <c r="BG811" s="79"/>
      <c r="BH811" s="80" t="str">
        <f t="shared" si="1001"/>
        <v>Patio Bonito</v>
      </c>
      <c r="BI811" s="79" t="s">
        <v>967</v>
      </c>
      <c r="BJ811" s="79"/>
      <c r="BK811" s="79"/>
      <c r="BL811" s="79"/>
      <c r="BM811" s="79"/>
      <c r="BN811" s="79"/>
      <c r="BO811" s="79"/>
      <c r="BP811" s="79"/>
      <c r="BQ811" s="79"/>
      <c r="BR811" s="79"/>
      <c r="BS811" s="80" t="s">
        <v>967</v>
      </c>
      <c r="BT811" s="80" t="s">
        <v>174</v>
      </c>
      <c r="BU811" s="80" t="s">
        <v>179</v>
      </c>
      <c r="BV811" s="71"/>
      <c r="BW811" s="79" t="s">
        <v>152</v>
      </c>
      <c r="BX811" s="79" t="s">
        <v>179</v>
      </c>
      <c r="BY811" s="71"/>
      <c r="BZ811" s="79">
        <v>0</v>
      </c>
      <c r="CA811" s="79">
        <v>1</v>
      </c>
      <c r="CB811" s="79">
        <f t="shared" si="1109"/>
        <v>1</v>
      </c>
      <c r="CC811" s="79" t="str">
        <f t="shared" si="1137"/>
        <v>Ninguna</v>
      </c>
      <c r="CD811" s="79" t="s">
        <v>174</v>
      </c>
      <c r="CE811" s="79"/>
      <c r="CF811" s="79"/>
      <c r="CG811" s="83"/>
      <c r="CH811" s="41"/>
      <c r="CI811" s="79"/>
      <c r="CJ811" s="71"/>
      <c r="CK811" s="79">
        <f t="shared" si="1125"/>
        <v>0</v>
      </c>
      <c r="CL811" s="79"/>
      <c r="CM811" s="79"/>
      <c r="CN811" s="79"/>
      <c r="CO811" s="79"/>
      <c r="CP811" s="79"/>
      <c r="CQ811" s="79"/>
      <c r="CR811" s="83" t="s">
        <v>179</v>
      </c>
      <c r="CS811" s="83" t="s">
        <v>179</v>
      </c>
      <c r="CT811" s="83" t="s">
        <v>179</v>
      </c>
      <c r="CU811" s="83" t="s">
        <v>179</v>
      </c>
      <c r="CV811" s="83" t="s">
        <v>179</v>
      </c>
      <c r="CW811" s="83" t="s">
        <v>179</v>
      </c>
      <c r="CX811" s="79" t="s">
        <v>153</v>
      </c>
      <c r="CY811" s="79">
        <f t="shared" si="1126"/>
        <v>0</v>
      </c>
      <c r="CZ811" s="79">
        <v>0</v>
      </c>
      <c r="DA811" s="79">
        <f t="shared" si="1127"/>
        <v>0</v>
      </c>
      <c r="DB811" s="84" t="str">
        <f t="shared" si="1128"/>
        <v/>
      </c>
      <c r="DC811" s="41"/>
      <c r="DD811" s="79" t="s">
        <v>153</v>
      </c>
      <c r="DE811" s="71"/>
      <c r="DF811" s="127" t="s">
        <v>5613</v>
      </c>
      <c r="DG811" s="79">
        <v>800</v>
      </c>
      <c r="DH811" s="86" t="str">
        <f t="shared" si="1129"/>
        <v>Completo</v>
      </c>
      <c r="DI811" s="79" t="s">
        <v>181</v>
      </c>
      <c r="DJ811" s="79"/>
      <c r="DK811" s="79"/>
      <c r="DL811" s="79">
        <v>0</v>
      </c>
      <c r="DM811" s="79">
        <v>0</v>
      </c>
      <c r="DN811" s="79" t="s">
        <v>182</v>
      </c>
      <c r="DO811" s="79"/>
      <c r="DP811" s="79"/>
      <c r="DQ811" s="79"/>
      <c r="DR811" s="75" t="str">
        <f t="shared" si="1130"/>
        <v>No aplica</v>
      </c>
      <c r="DS811" s="79"/>
      <c r="DT811" s="79"/>
      <c r="DU811" s="75" t="str">
        <f t="shared" si="1131"/>
        <v>No aplica</v>
      </c>
      <c r="DV811" s="79" t="s">
        <v>182</v>
      </c>
      <c r="DW811" s="79"/>
      <c r="DX811" s="79"/>
      <c r="DY811" s="79"/>
      <c r="DZ811" s="79"/>
      <c r="EA811" s="79"/>
      <c r="EB811" s="79"/>
      <c r="EC811" s="79"/>
      <c r="ED811" s="79" t="s">
        <v>5614</v>
      </c>
      <c r="EE811" s="79" t="str">
        <f t="shared" si="1136"/>
        <v>Completo</v>
      </c>
      <c r="EF811" s="41"/>
      <c r="EG811" s="79" t="s">
        <v>153</v>
      </c>
      <c r="EH811" s="71"/>
      <c r="EI811" s="80"/>
      <c r="EJ811" s="71"/>
      <c r="EK811" s="79"/>
      <c r="EL811" s="87" t="str">
        <f>IF(F811="NO","No requiere",IF(H811="No","No requiere",IF(DW811="","",IF(DW811&lt;&gt;"No aplica",IF(DX811&lt;&gt;"No aplica",IF(DX811&gt;=2,"Sí","No"),"No aplica"),"No aplica"))))</f>
        <v>No requiere</v>
      </c>
      <c r="EM811" s="87" t="str">
        <f>IF(F811="NO","No requiere",IF(H811="No","No requiere",IF(DW811="","",IF(DW811&lt;&gt;"No aplica",IF(DY811&lt;&gt;"No aplica",IF(DY811&gt;=1,"Sí","No"),"No aplica"),"No aplica"))))</f>
        <v>No requiere</v>
      </c>
      <c r="EN811" s="87" t="str">
        <f>IF(F811="NO","No requiere",IF(H811="No","No requiere",IF(CC811="","",IF(CD811&lt;&gt;"No aplica",IF(CD811&lt;&gt;"Ninguna",IF(COUNTIF(CD811:CF811,"*")&gt;=1,"Sí","No"),"No"),"No aplica"))))</f>
        <v>No requiere</v>
      </c>
      <c r="EO811" s="71"/>
      <c r="EP811" s="84" t="str">
        <f>IF(F811="NO","No requiere",IF(H811="No","No requiere",IF(DL811="","",IF(DL811&gt;=1,DM811/DL811,"No aplica"))))</f>
        <v>No requiere</v>
      </c>
      <c r="EQ811" s="88" t="str">
        <f>IFERROR(IF(F811="NO","No requiere",IF(H811="No","No requiere",DU811)),"")</f>
        <v>No requiere</v>
      </c>
      <c r="ER811" s="71"/>
      <c r="ES811" s="79"/>
      <c r="ET811" s="84" t="str">
        <f t="shared" si="1132"/>
        <v>No requiere</v>
      </c>
      <c r="EU811" s="84" t="str">
        <f t="shared" si="1133"/>
        <v>No requiere</v>
      </c>
      <c r="EV811" s="84" t="str">
        <f t="shared" si="1134"/>
        <v>No requiere</v>
      </c>
      <c r="EW811" s="84" t="str">
        <f t="shared" si="1135"/>
        <v>No requiere</v>
      </c>
      <c r="EX811" s="78"/>
      <c r="EY811" s="78"/>
    </row>
    <row r="812" spans="1:155" ht="40.5" customHeight="1">
      <c r="A812" s="79">
        <v>808</v>
      </c>
      <c r="B812" s="80" t="s">
        <v>5615</v>
      </c>
      <c r="C812" s="81">
        <v>45508</v>
      </c>
      <c r="D812" s="82">
        <v>0.33333333333333331</v>
      </c>
      <c r="E812" s="79" t="s">
        <v>151</v>
      </c>
      <c r="F812" s="79" t="s">
        <v>153</v>
      </c>
      <c r="G812" s="79" t="s">
        <v>152</v>
      </c>
      <c r="H812" s="79" t="s">
        <v>152</v>
      </c>
      <c r="I812" s="79" t="s">
        <v>152</v>
      </c>
      <c r="J812" s="79" t="s">
        <v>5581</v>
      </c>
      <c r="K812" s="79" t="s">
        <v>155</v>
      </c>
      <c r="L812" s="80" t="s">
        <v>5582</v>
      </c>
      <c r="M812" s="80" t="s">
        <v>241</v>
      </c>
      <c r="N812" s="79" t="s">
        <v>675</v>
      </c>
      <c r="O812" s="80" t="str">
        <f t="shared" si="636"/>
        <v/>
      </c>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t="s">
        <v>1226</v>
      </c>
      <c r="AP812" s="79"/>
      <c r="AQ812" s="80" t="s">
        <v>5583</v>
      </c>
      <c r="AR812" s="83">
        <v>3046010799</v>
      </c>
      <c r="AS812" s="128" t="s">
        <v>5584</v>
      </c>
      <c r="AT812" s="80" t="str">
        <f t="shared" si="950"/>
        <v>Kennedy</v>
      </c>
      <c r="AU812" s="79" t="s">
        <v>731</v>
      </c>
      <c r="AV812" s="79"/>
      <c r="AW812" s="79"/>
      <c r="AX812" s="79"/>
      <c r="AY812" s="79"/>
      <c r="AZ812" s="79"/>
      <c r="BA812" s="80" t="str">
        <f t="shared" si="1000"/>
        <v>Suroccidente</v>
      </c>
      <c r="BB812" s="79" t="s">
        <v>732</v>
      </c>
      <c r="BC812" s="79"/>
      <c r="BD812" s="79"/>
      <c r="BE812" s="79"/>
      <c r="BF812" s="79"/>
      <c r="BG812" s="79"/>
      <c r="BH812" s="80" t="str">
        <f t="shared" si="1001"/>
        <v>Porvenir</v>
      </c>
      <c r="BI812" s="79" t="s">
        <v>1058</v>
      </c>
      <c r="BJ812" s="79"/>
      <c r="BK812" s="79"/>
      <c r="BL812" s="79"/>
      <c r="BM812" s="79"/>
      <c r="BN812" s="79"/>
      <c r="BO812" s="79"/>
      <c r="BP812" s="79"/>
      <c r="BQ812" s="79"/>
      <c r="BR812" s="79"/>
      <c r="BS812" s="80" t="s">
        <v>1058</v>
      </c>
      <c r="BT812" s="80" t="s">
        <v>174</v>
      </c>
      <c r="BU812" s="80" t="s">
        <v>179</v>
      </c>
      <c r="BV812" s="71"/>
      <c r="BW812" s="79" t="s">
        <v>152</v>
      </c>
      <c r="BX812" s="79" t="s">
        <v>179</v>
      </c>
      <c r="BY812" s="71"/>
      <c r="BZ812" s="79">
        <v>0</v>
      </c>
      <c r="CA812" s="79">
        <v>1</v>
      </c>
      <c r="CB812" s="79">
        <f t="shared" si="1109"/>
        <v>1</v>
      </c>
      <c r="CC812" s="79" t="str">
        <f t="shared" si="1137"/>
        <v>Ninguna</v>
      </c>
      <c r="CD812" s="79" t="s">
        <v>174</v>
      </c>
      <c r="CE812" s="79"/>
      <c r="CF812" s="79"/>
      <c r="CG812" s="83"/>
      <c r="CH812" s="41"/>
      <c r="CI812" s="79"/>
      <c r="CJ812" s="71"/>
      <c r="CK812" s="79">
        <f t="shared" si="1125"/>
        <v>0</v>
      </c>
      <c r="CL812" s="79"/>
      <c r="CM812" s="79"/>
      <c r="CN812" s="79"/>
      <c r="CO812" s="79"/>
      <c r="CP812" s="79"/>
      <c r="CQ812" s="79"/>
      <c r="CR812" s="83" t="s">
        <v>179</v>
      </c>
      <c r="CS812" s="83" t="s">
        <v>179</v>
      </c>
      <c r="CT812" s="83" t="s">
        <v>179</v>
      </c>
      <c r="CU812" s="83" t="s">
        <v>179</v>
      </c>
      <c r="CV812" s="83" t="s">
        <v>179</v>
      </c>
      <c r="CW812" s="83" t="s">
        <v>179</v>
      </c>
      <c r="CX812" s="79" t="s">
        <v>153</v>
      </c>
      <c r="CY812" s="79">
        <f t="shared" si="1126"/>
        <v>0</v>
      </c>
      <c r="CZ812" s="79">
        <v>0</v>
      </c>
      <c r="DA812" s="79">
        <f t="shared" si="1127"/>
        <v>0</v>
      </c>
      <c r="DB812" s="84" t="str">
        <f t="shared" si="1128"/>
        <v/>
      </c>
      <c r="DC812" s="41"/>
      <c r="DD812" s="79" t="s">
        <v>153</v>
      </c>
      <c r="DE812" s="71"/>
      <c r="DF812" s="127" t="s">
        <v>5616</v>
      </c>
      <c r="DG812" s="79">
        <v>801</v>
      </c>
      <c r="DH812" s="86" t="str">
        <f t="shared" si="1129"/>
        <v>Completo</v>
      </c>
      <c r="DI812" s="79" t="s">
        <v>181</v>
      </c>
      <c r="DJ812" s="79"/>
      <c r="DK812" s="79"/>
      <c r="DL812" s="79">
        <v>0</v>
      </c>
      <c r="DM812" s="79">
        <v>0</v>
      </c>
      <c r="DN812" s="79" t="s">
        <v>182</v>
      </c>
      <c r="DO812" s="79"/>
      <c r="DP812" s="79"/>
      <c r="DQ812" s="79"/>
      <c r="DR812" s="75" t="str">
        <f t="shared" si="1130"/>
        <v>No aplica</v>
      </c>
      <c r="DS812" s="79"/>
      <c r="DT812" s="79"/>
      <c r="DU812" s="75" t="str">
        <f t="shared" si="1131"/>
        <v>No aplica</v>
      </c>
      <c r="DV812" s="79" t="s">
        <v>182</v>
      </c>
      <c r="DW812" s="79"/>
      <c r="DX812" s="79"/>
      <c r="DY812" s="79"/>
      <c r="DZ812" s="79"/>
      <c r="EA812" s="79"/>
      <c r="EB812" s="79"/>
      <c r="EC812" s="79"/>
      <c r="ED812" s="79" t="s">
        <v>5617</v>
      </c>
      <c r="EE812" s="79" t="str">
        <f t="shared" si="1136"/>
        <v>Completo</v>
      </c>
      <c r="EF812" s="41"/>
      <c r="EG812" s="79" t="s">
        <v>153</v>
      </c>
      <c r="EH812" s="71"/>
      <c r="EI812" s="80"/>
      <c r="EJ812" s="71"/>
      <c r="EK812" s="79"/>
      <c r="EL812" s="87" t="str">
        <f>IF(F812="NO","No requiere",IF(H812="No","No requiere",IF(DW812="","",IF(DW812&lt;&gt;"No aplica",IF(DX812&lt;&gt;"No aplica",IF(DX812&gt;=2,"Sí","No"),"No aplica"),"No aplica"))))</f>
        <v>No requiere</v>
      </c>
      <c r="EM812" s="87" t="str">
        <f>IF(F812="NO","No requiere",IF(H812="No","No requiere",IF(DW812="","",IF(DW812&lt;&gt;"No aplica",IF(DY812&lt;&gt;"No aplica",IF(DY812&gt;=1,"Sí","No"),"No aplica"),"No aplica"))))</f>
        <v>No requiere</v>
      </c>
      <c r="EN812" s="87" t="str">
        <f>IF(F812="NO","No requiere",IF(H812="No","No requiere",IF(CC812="","",IF(CD812&lt;&gt;"No aplica",IF(CD812&lt;&gt;"Ninguna",IF(COUNTIF(CD812:CF812,"*")&gt;=1,"Sí","No"),"No"),"No aplica"))))</f>
        <v>No requiere</v>
      </c>
      <c r="EO812" s="71"/>
      <c r="EP812" s="84" t="str">
        <f>IF(F812="NO","No requiere",IF(H812="No","No requiere",IF(DL812="","",IF(DL812&gt;=1,DM812/DL812,"No aplica"))))</f>
        <v>No requiere</v>
      </c>
      <c r="EQ812" s="88" t="str">
        <f>IFERROR(IF(F812="NO","No requiere",IF(H812="No","No requiere",DU812)),"")</f>
        <v>No requiere</v>
      </c>
      <c r="ER812" s="71"/>
      <c r="ES812" s="79"/>
      <c r="ET812" s="84" t="str">
        <f t="shared" si="1132"/>
        <v>No requiere</v>
      </c>
      <c r="EU812" s="84" t="str">
        <f t="shared" si="1133"/>
        <v>No requiere</v>
      </c>
      <c r="EV812" s="84" t="str">
        <f t="shared" si="1134"/>
        <v>No requiere</v>
      </c>
      <c r="EW812" s="84" t="str">
        <f t="shared" si="1135"/>
        <v>No requiere</v>
      </c>
      <c r="EX812" s="78"/>
      <c r="EY812" s="78"/>
    </row>
    <row r="813" spans="1:155" ht="40.5" customHeight="1">
      <c r="A813" s="79">
        <v>809</v>
      </c>
      <c r="B813" s="80" t="s">
        <v>5618</v>
      </c>
      <c r="C813" s="81">
        <v>45508</v>
      </c>
      <c r="D813" s="82">
        <v>0.33333333333333331</v>
      </c>
      <c r="E813" s="79" t="s">
        <v>151</v>
      </c>
      <c r="F813" s="79" t="s">
        <v>153</v>
      </c>
      <c r="G813" s="79" t="s">
        <v>152</v>
      </c>
      <c r="H813" s="79" t="s">
        <v>152</v>
      </c>
      <c r="I813" s="79" t="s">
        <v>152</v>
      </c>
      <c r="J813" s="79" t="s">
        <v>5581</v>
      </c>
      <c r="K813" s="79" t="s">
        <v>155</v>
      </c>
      <c r="L813" s="80" t="s">
        <v>5582</v>
      </c>
      <c r="M813" s="80" t="s">
        <v>241</v>
      </c>
      <c r="N813" s="79" t="s">
        <v>165</v>
      </c>
      <c r="O813" s="80" t="str">
        <f t="shared" si="636"/>
        <v/>
      </c>
      <c r="P813" s="79"/>
      <c r="Q813" s="79"/>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t="s">
        <v>1226</v>
      </c>
      <c r="AP813" s="79"/>
      <c r="AQ813" s="80" t="s">
        <v>5583</v>
      </c>
      <c r="AR813" s="83">
        <v>3046010799</v>
      </c>
      <c r="AS813" s="128" t="s">
        <v>5584</v>
      </c>
      <c r="AT813" s="80" t="str">
        <f t="shared" si="950"/>
        <v>Kennedy</v>
      </c>
      <c r="AU813" s="79" t="s">
        <v>731</v>
      </c>
      <c r="AV813" s="79"/>
      <c r="AW813" s="79"/>
      <c r="AX813" s="79"/>
      <c r="AY813" s="79"/>
      <c r="AZ813" s="79"/>
      <c r="BA813" s="80" t="str">
        <f t="shared" si="1000"/>
        <v>Suroccidente</v>
      </c>
      <c r="BB813" s="79" t="s">
        <v>732</v>
      </c>
      <c r="BC813" s="79"/>
      <c r="BD813" s="79"/>
      <c r="BE813" s="79"/>
      <c r="BF813" s="79"/>
      <c r="BG813" s="79"/>
      <c r="BH813" s="80" t="str">
        <f t="shared" si="1001"/>
        <v>Edén</v>
      </c>
      <c r="BI813" s="79" t="s">
        <v>1057</v>
      </c>
      <c r="BJ813" s="79"/>
      <c r="BK813" s="79"/>
      <c r="BL813" s="79"/>
      <c r="BM813" s="79"/>
      <c r="BN813" s="79"/>
      <c r="BO813" s="79"/>
      <c r="BP813" s="79"/>
      <c r="BQ813" s="79"/>
      <c r="BR813" s="79"/>
      <c r="BS813" s="80" t="s">
        <v>1057</v>
      </c>
      <c r="BT813" s="80" t="s">
        <v>174</v>
      </c>
      <c r="BU813" s="80" t="s">
        <v>179</v>
      </c>
      <c r="BV813" s="71"/>
      <c r="BW813" s="79" t="s">
        <v>152</v>
      </c>
      <c r="BX813" s="79" t="s">
        <v>179</v>
      </c>
      <c r="BY813" s="71"/>
      <c r="BZ813" s="79">
        <v>0</v>
      </c>
      <c r="CA813" s="79">
        <v>1</v>
      </c>
      <c r="CB813" s="79">
        <f t="shared" si="1109"/>
        <v>1</v>
      </c>
      <c r="CC813" s="79" t="str">
        <f t="shared" si="1137"/>
        <v>Ninguna</v>
      </c>
      <c r="CD813" s="79" t="s">
        <v>174</v>
      </c>
      <c r="CE813" s="79"/>
      <c r="CF813" s="79"/>
      <c r="CG813" s="83"/>
      <c r="CH813" s="41"/>
      <c r="CI813" s="79"/>
      <c r="CJ813" s="71"/>
      <c r="CK813" s="79">
        <f t="shared" si="1125"/>
        <v>0</v>
      </c>
      <c r="CL813" s="79"/>
      <c r="CM813" s="79"/>
      <c r="CN813" s="79"/>
      <c r="CO813" s="79"/>
      <c r="CP813" s="79"/>
      <c r="CQ813" s="79"/>
      <c r="CR813" s="83" t="s">
        <v>179</v>
      </c>
      <c r="CS813" s="83" t="s">
        <v>179</v>
      </c>
      <c r="CT813" s="83" t="s">
        <v>179</v>
      </c>
      <c r="CU813" s="83" t="s">
        <v>179</v>
      </c>
      <c r="CV813" s="83" t="s">
        <v>179</v>
      </c>
      <c r="CW813" s="83" t="s">
        <v>179</v>
      </c>
      <c r="CX813" s="79" t="s">
        <v>153</v>
      </c>
      <c r="CY813" s="79">
        <f t="shared" si="1126"/>
        <v>0</v>
      </c>
      <c r="CZ813" s="79">
        <v>0</v>
      </c>
      <c r="DA813" s="79">
        <f t="shared" si="1127"/>
        <v>0</v>
      </c>
      <c r="DB813" s="84" t="str">
        <f t="shared" si="1128"/>
        <v/>
      </c>
      <c r="DC813" s="41"/>
      <c r="DD813" s="79" t="s">
        <v>153</v>
      </c>
      <c r="DE813" s="71"/>
      <c r="DF813" s="127" t="s">
        <v>5619</v>
      </c>
      <c r="DG813" s="79">
        <v>802</v>
      </c>
      <c r="DH813" s="86" t="str">
        <f t="shared" si="1129"/>
        <v>Completo</v>
      </c>
      <c r="DI813" s="79" t="s">
        <v>181</v>
      </c>
      <c r="DJ813" s="79"/>
      <c r="DK813" s="79"/>
      <c r="DL813" s="79">
        <v>0</v>
      </c>
      <c r="DM813" s="79">
        <v>0</v>
      </c>
      <c r="DN813" s="79" t="s">
        <v>182</v>
      </c>
      <c r="DO813" s="79"/>
      <c r="DP813" s="79"/>
      <c r="DQ813" s="79"/>
      <c r="DR813" s="75" t="str">
        <f t="shared" si="1130"/>
        <v>No aplica</v>
      </c>
      <c r="DS813" s="79"/>
      <c r="DT813" s="79"/>
      <c r="DU813" s="75" t="str">
        <f t="shared" si="1131"/>
        <v>No aplica</v>
      </c>
      <c r="DV813" s="79" t="s">
        <v>182</v>
      </c>
      <c r="DW813" s="79"/>
      <c r="DX813" s="79"/>
      <c r="DY813" s="79"/>
      <c r="DZ813" s="79"/>
      <c r="EA813" s="79"/>
      <c r="EB813" s="79"/>
      <c r="EC813" s="79"/>
      <c r="ED813" s="79" t="s">
        <v>5620</v>
      </c>
      <c r="EE813" s="79" t="str">
        <f t="shared" si="1136"/>
        <v>Completo</v>
      </c>
      <c r="EF813" s="41"/>
      <c r="EG813" s="79"/>
      <c r="EH813" s="71"/>
      <c r="EI813" s="80"/>
      <c r="EJ813" s="71"/>
      <c r="EK813" s="79"/>
      <c r="EL813" s="87" t="str">
        <f>IF(F813="NO","No requiere",IF(H813="No","No requiere",IF(DW813="","",IF(DW813&lt;&gt;"No aplica",IF(DX813&lt;&gt;"No aplica",IF(DX813&gt;=2,"Sí","No"),"No aplica"),"No aplica"))))</f>
        <v>No requiere</v>
      </c>
      <c r="EM813" s="87" t="str">
        <f>IF(F813="NO","No requiere",IF(H813="No","No requiere",IF(DW813="","",IF(DW813&lt;&gt;"No aplica",IF(DY813&lt;&gt;"No aplica",IF(DY813&gt;=1,"Sí","No"),"No aplica"),"No aplica"))))</f>
        <v>No requiere</v>
      </c>
      <c r="EN813" s="87" t="str">
        <f>IF(F813="NO","No requiere",IF(H813="No","No requiere",IF(CC813="","",IF(CD813&lt;&gt;"No aplica",IF(CD813&lt;&gt;"Ninguna",IF(COUNTIF(CD813:CF813,"*")&gt;=1,"Sí","No"),"No"),"No aplica"))))</f>
        <v>No requiere</v>
      </c>
      <c r="EO813" s="71"/>
      <c r="EP813" s="84" t="str">
        <f>IF(F813="NO","No requiere",IF(H813="No","No requiere",IF(DL813="","",IF(DL813&gt;=1,DM813/DL813,"No aplica"))))</f>
        <v>No requiere</v>
      </c>
      <c r="EQ813" s="88" t="str">
        <f>IFERROR(IF(F813="NO","No requiere",IF(H813="No","No requiere",DU813)),"")</f>
        <v>No requiere</v>
      </c>
      <c r="ER813" s="71"/>
      <c r="ES813" s="79"/>
      <c r="ET813" s="84" t="str">
        <f t="shared" si="1132"/>
        <v>No requiere</v>
      </c>
      <c r="EU813" s="84" t="str">
        <f t="shared" si="1133"/>
        <v>No requiere</v>
      </c>
      <c r="EV813" s="84" t="str">
        <f t="shared" si="1134"/>
        <v>No requiere</v>
      </c>
      <c r="EW813" s="84" t="str">
        <f t="shared" si="1135"/>
        <v>No requiere</v>
      </c>
      <c r="EX813" s="78"/>
      <c r="EY813" s="78"/>
    </row>
    <row r="814" spans="1:155" ht="40.5" customHeight="1">
      <c r="A814" s="79">
        <v>810</v>
      </c>
      <c r="B814" s="80" t="s">
        <v>5621</v>
      </c>
      <c r="C814" s="81">
        <v>45508</v>
      </c>
      <c r="D814" s="82">
        <v>0.33333333333333331</v>
      </c>
      <c r="E814" s="79" t="s">
        <v>151</v>
      </c>
      <c r="F814" s="79" t="s">
        <v>153</v>
      </c>
      <c r="G814" s="79" t="s">
        <v>152</v>
      </c>
      <c r="H814" s="79" t="s">
        <v>152</v>
      </c>
      <c r="I814" s="79" t="s">
        <v>152</v>
      </c>
      <c r="J814" s="79" t="s">
        <v>5581</v>
      </c>
      <c r="K814" s="79" t="s">
        <v>155</v>
      </c>
      <c r="L814" s="80" t="s">
        <v>5582</v>
      </c>
      <c r="M814" s="80" t="s">
        <v>241</v>
      </c>
      <c r="N814" s="79" t="s">
        <v>887</v>
      </c>
      <c r="O814" s="80" t="str">
        <f t="shared" si="636"/>
        <v/>
      </c>
      <c r="P814" s="79"/>
      <c r="Q814" s="79"/>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t="s">
        <v>1226</v>
      </c>
      <c r="AP814" s="79"/>
      <c r="AQ814" s="80" t="s">
        <v>5583</v>
      </c>
      <c r="AR814" s="83">
        <v>3046010799</v>
      </c>
      <c r="AS814" s="128" t="s">
        <v>5584</v>
      </c>
      <c r="AT814" s="80" t="str">
        <f t="shared" si="950"/>
        <v>Kennedy</v>
      </c>
      <c r="AU814" s="79" t="s">
        <v>731</v>
      </c>
      <c r="AV814" s="79"/>
      <c r="AW814" s="79"/>
      <c r="AX814" s="79"/>
      <c r="AY814" s="79"/>
      <c r="AZ814" s="79"/>
      <c r="BA814" s="80" t="str">
        <f t="shared" si="1000"/>
        <v>Suroccidente</v>
      </c>
      <c r="BB814" s="79" t="s">
        <v>732</v>
      </c>
      <c r="BC814" s="79"/>
      <c r="BD814" s="79"/>
      <c r="BE814" s="79"/>
      <c r="BF814" s="79"/>
      <c r="BG814" s="79"/>
      <c r="BH814" s="80" t="str">
        <f t="shared" si="1001"/>
        <v>Bosa</v>
      </c>
      <c r="BI814" s="79" t="s">
        <v>730</v>
      </c>
      <c r="BJ814" s="79"/>
      <c r="BK814" s="79"/>
      <c r="BL814" s="79"/>
      <c r="BM814" s="79"/>
      <c r="BN814" s="79"/>
      <c r="BO814" s="79"/>
      <c r="BP814" s="79"/>
      <c r="BQ814" s="79"/>
      <c r="BR814" s="79"/>
      <c r="BS814" s="80" t="s">
        <v>730</v>
      </c>
      <c r="BT814" s="80" t="s">
        <v>174</v>
      </c>
      <c r="BU814" s="80" t="s">
        <v>179</v>
      </c>
      <c r="BV814" s="71"/>
      <c r="BW814" s="79" t="s">
        <v>152</v>
      </c>
      <c r="BX814" s="79" t="s">
        <v>179</v>
      </c>
      <c r="BY814" s="71"/>
      <c r="BZ814" s="79">
        <v>0</v>
      </c>
      <c r="CA814" s="79">
        <v>1</v>
      </c>
      <c r="CB814" s="79">
        <f t="shared" si="1109"/>
        <v>1</v>
      </c>
      <c r="CC814" s="79" t="str">
        <f t="shared" si="1137"/>
        <v>Ninguna</v>
      </c>
      <c r="CD814" s="79" t="s">
        <v>174</v>
      </c>
      <c r="CE814" s="79"/>
      <c r="CF814" s="79"/>
      <c r="CG814" s="83"/>
      <c r="CH814" s="41"/>
      <c r="CI814" s="79"/>
      <c r="CJ814" s="71"/>
      <c r="CK814" s="79">
        <f t="shared" si="1125"/>
        <v>0</v>
      </c>
      <c r="CL814" s="79"/>
      <c r="CM814" s="79"/>
      <c r="CN814" s="79"/>
      <c r="CO814" s="79"/>
      <c r="CP814" s="79"/>
      <c r="CQ814" s="79"/>
      <c r="CR814" s="83" t="s">
        <v>179</v>
      </c>
      <c r="CS814" s="83" t="s">
        <v>179</v>
      </c>
      <c r="CT814" s="83" t="s">
        <v>179</v>
      </c>
      <c r="CU814" s="83" t="s">
        <v>179</v>
      </c>
      <c r="CV814" s="83" t="s">
        <v>179</v>
      </c>
      <c r="CW814" s="83" t="s">
        <v>179</v>
      </c>
      <c r="CX814" s="79" t="s">
        <v>153</v>
      </c>
      <c r="CY814" s="79">
        <f t="shared" si="1126"/>
        <v>0</v>
      </c>
      <c r="CZ814" s="79">
        <v>0</v>
      </c>
      <c r="DA814" s="79">
        <f t="shared" si="1127"/>
        <v>0</v>
      </c>
      <c r="DB814" s="84" t="str">
        <f t="shared" si="1128"/>
        <v/>
      </c>
      <c r="DC814" s="41"/>
      <c r="DD814" s="79" t="s">
        <v>153</v>
      </c>
      <c r="DE814" s="71"/>
      <c r="DF814" s="127" t="s">
        <v>5622</v>
      </c>
      <c r="DG814" s="79">
        <v>803</v>
      </c>
      <c r="DH814" s="86" t="str">
        <f t="shared" si="1129"/>
        <v>Completo</v>
      </c>
      <c r="DI814" s="79" t="s">
        <v>181</v>
      </c>
      <c r="DJ814" s="79"/>
      <c r="DK814" s="79"/>
      <c r="DL814" s="79">
        <v>0</v>
      </c>
      <c r="DM814" s="79">
        <v>0</v>
      </c>
      <c r="DN814" s="79" t="s">
        <v>182</v>
      </c>
      <c r="DO814" s="79"/>
      <c r="DP814" s="79"/>
      <c r="DQ814" s="79"/>
      <c r="DR814" s="75" t="str">
        <f t="shared" si="1130"/>
        <v>No aplica</v>
      </c>
      <c r="DS814" s="79"/>
      <c r="DT814" s="79"/>
      <c r="DU814" s="75" t="str">
        <f t="shared" si="1131"/>
        <v>No aplica</v>
      </c>
      <c r="DV814" s="79" t="s">
        <v>182</v>
      </c>
      <c r="DW814" s="79"/>
      <c r="DX814" s="79"/>
      <c r="DY814" s="79"/>
      <c r="DZ814" s="79"/>
      <c r="EA814" s="79"/>
      <c r="EB814" s="79"/>
      <c r="EC814" s="79"/>
      <c r="ED814" s="79" t="s">
        <v>5623</v>
      </c>
      <c r="EE814" s="79" t="str">
        <f t="shared" si="1136"/>
        <v>Completo</v>
      </c>
      <c r="EF814" s="41"/>
      <c r="EG814" s="79" t="s">
        <v>153</v>
      </c>
      <c r="EH814" s="71"/>
      <c r="EI814" s="80"/>
      <c r="EJ814" s="71"/>
      <c r="EK814" s="79"/>
      <c r="EL814" s="87" t="str">
        <f>IF(F814="NO","No requiere",IF(H814="No","No requiere",IF(DW814="","",IF(DW814&lt;&gt;"No aplica",IF(DX814&lt;&gt;"No aplica",IF(DX814&gt;=2,"Sí","No"),"No aplica"),"No aplica"))))</f>
        <v>No requiere</v>
      </c>
      <c r="EM814" s="87" t="str">
        <f>IF(F814="NO","No requiere",IF(H814="No","No requiere",IF(DW814="","",IF(DW814&lt;&gt;"No aplica",IF(DY814&lt;&gt;"No aplica",IF(DY814&gt;=1,"Sí","No"),"No aplica"),"No aplica"))))</f>
        <v>No requiere</v>
      </c>
      <c r="EN814" s="87" t="str">
        <f>IF(F814="NO","No requiere",IF(H814="No","No requiere",IF(CC814="","",IF(CD814&lt;&gt;"No aplica",IF(CD814&lt;&gt;"Ninguna",IF(COUNTIF(CD814:CF814,"*")&gt;=1,"Sí","No"),"No"),"No aplica"))))</f>
        <v>No requiere</v>
      </c>
      <c r="EO814" s="71"/>
      <c r="EP814" s="84" t="str">
        <f>IF(F814="NO","No requiere",IF(H814="No","No requiere",IF(DL814="","",IF(DL814&gt;=1,DM814/DL814,"No aplica"))))</f>
        <v>No requiere</v>
      </c>
      <c r="EQ814" s="88" t="str">
        <f>IFERROR(IF(F814="NO","No requiere",IF(H814="No","No requiere",DU814)),"")</f>
        <v>No requiere</v>
      </c>
      <c r="ER814" s="71"/>
      <c r="ES814" s="79"/>
      <c r="ET814" s="84" t="str">
        <f t="shared" si="1132"/>
        <v>No requiere</v>
      </c>
      <c r="EU814" s="84" t="str">
        <f t="shared" si="1133"/>
        <v>No requiere</v>
      </c>
      <c r="EV814" s="84" t="str">
        <f t="shared" si="1134"/>
        <v>No requiere</v>
      </c>
      <c r="EW814" s="84" t="str">
        <f t="shared" si="1135"/>
        <v>No requiere</v>
      </c>
      <c r="EX814" s="78"/>
      <c r="EY814" s="78"/>
    </row>
    <row r="815" spans="1:155" ht="40.5" customHeight="1">
      <c r="A815" s="79">
        <v>811</v>
      </c>
      <c r="B815" s="80" t="s">
        <v>5624</v>
      </c>
      <c r="C815" s="81">
        <v>45508</v>
      </c>
      <c r="D815" s="82">
        <v>0.33333333333333331</v>
      </c>
      <c r="E815" s="79" t="s">
        <v>151</v>
      </c>
      <c r="F815" s="79" t="s">
        <v>153</v>
      </c>
      <c r="G815" s="79" t="s">
        <v>152</v>
      </c>
      <c r="H815" s="79" t="s">
        <v>152</v>
      </c>
      <c r="I815" s="79" t="s">
        <v>152</v>
      </c>
      <c r="J815" s="79" t="s">
        <v>5581</v>
      </c>
      <c r="K815" s="79" t="s">
        <v>155</v>
      </c>
      <c r="L815" s="80" t="s">
        <v>5582</v>
      </c>
      <c r="M815" s="80" t="s">
        <v>241</v>
      </c>
      <c r="N815" s="79" t="s">
        <v>924</v>
      </c>
      <c r="O815" s="80" t="str">
        <f t="shared" si="636"/>
        <v/>
      </c>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t="s">
        <v>1226</v>
      </c>
      <c r="AP815" s="79"/>
      <c r="AQ815" s="80" t="s">
        <v>5583</v>
      </c>
      <c r="AR815" s="83">
        <v>3046010799</v>
      </c>
      <c r="AS815" s="128" t="s">
        <v>5584</v>
      </c>
      <c r="AT815" s="80" t="str">
        <f t="shared" si="950"/>
        <v>Kennedy</v>
      </c>
      <c r="AU815" s="79" t="s">
        <v>731</v>
      </c>
      <c r="AV815" s="79"/>
      <c r="AW815" s="79"/>
      <c r="AX815" s="79"/>
      <c r="AY815" s="79"/>
      <c r="AZ815" s="79"/>
      <c r="BA815" s="80" t="str">
        <f t="shared" si="1000"/>
        <v>Suroccidente</v>
      </c>
      <c r="BB815" s="79" t="s">
        <v>732</v>
      </c>
      <c r="BC815" s="79"/>
      <c r="BD815" s="79"/>
      <c r="BE815" s="79"/>
      <c r="BF815" s="79"/>
      <c r="BG815" s="79"/>
      <c r="BH815" s="80" t="str">
        <f t="shared" si="1001"/>
        <v>Kennedy</v>
      </c>
      <c r="BI815" s="79" t="s">
        <v>731</v>
      </c>
      <c r="BJ815" s="79"/>
      <c r="BK815" s="79"/>
      <c r="BL815" s="79"/>
      <c r="BM815" s="79"/>
      <c r="BN815" s="79"/>
      <c r="BO815" s="79"/>
      <c r="BP815" s="79"/>
      <c r="BQ815" s="79"/>
      <c r="BR815" s="79"/>
      <c r="BS815" s="80" t="s">
        <v>731</v>
      </c>
      <c r="BT815" s="80" t="s">
        <v>174</v>
      </c>
      <c r="BU815" s="80" t="s">
        <v>179</v>
      </c>
      <c r="BV815" s="71"/>
      <c r="BW815" s="79" t="s">
        <v>152</v>
      </c>
      <c r="BX815" s="79" t="s">
        <v>179</v>
      </c>
      <c r="BY815" s="71"/>
      <c r="BZ815" s="79">
        <v>0</v>
      </c>
      <c r="CA815" s="79">
        <v>1</v>
      </c>
      <c r="CB815" s="79">
        <f t="shared" si="1109"/>
        <v>1</v>
      </c>
      <c r="CC815" s="79" t="str">
        <f t="shared" si="1137"/>
        <v>Ninguna</v>
      </c>
      <c r="CD815" s="79" t="s">
        <v>174</v>
      </c>
      <c r="CE815" s="79"/>
      <c r="CF815" s="79"/>
      <c r="CG815" s="83"/>
      <c r="CH815" s="41"/>
      <c r="CI815" s="79"/>
      <c r="CJ815" s="71"/>
      <c r="CK815" s="79">
        <f t="shared" si="1125"/>
        <v>0</v>
      </c>
      <c r="CL815" s="79"/>
      <c r="CM815" s="79"/>
      <c r="CN815" s="79"/>
      <c r="CO815" s="79"/>
      <c r="CP815" s="79"/>
      <c r="CQ815" s="79"/>
      <c r="CR815" s="83" t="s">
        <v>179</v>
      </c>
      <c r="CS815" s="83" t="s">
        <v>179</v>
      </c>
      <c r="CT815" s="83" t="s">
        <v>179</v>
      </c>
      <c r="CU815" s="83" t="s">
        <v>179</v>
      </c>
      <c r="CV815" s="83" t="s">
        <v>179</v>
      </c>
      <c r="CW815" s="83" t="s">
        <v>179</v>
      </c>
      <c r="CX815" s="79" t="s">
        <v>153</v>
      </c>
      <c r="CY815" s="79">
        <f t="shared" si="1126"/>
        <v>0</v>
      </c>
      <c r="CZ815" s="79">
        <v>0</v>
      </c>
      <c r="DA815" s="79">
        <f t="shared" si="1127"/>
        <v>0</v>
      </c>
      <c r="DB815" s="84" t="str">
        <f t="shared" si="1128"/>
        <v/>
      </c>
      <c r="DC815" s="41"/>
      <c r="DD815" s="79" t="s">
        <v>153</v>
      </c>
      <c r="DE815" s="71"/>
      <c r="DF815" s="127" t="s">
        <v>5625</v>
      </c>
      <c r="DG815" s="79">
        <v>804</v>
      </c>
      <c r="DH815" s="86" t="str">
        <f t="shared" si="1129"/>
        <v>Completo</v>
      </c>
      <c r="DI815" s="79" t="s">
        <v>181</v>
      </c>
      <c r="DJ815" s="79"/>
      <c r="DK815" s="79"/>
      <c r="DL815" s="79">
        <v>0</v>
      </c>
      <c r="DM815" s="79">
        <v>0</v>
      </c>
      <c r="DN815" s="79" t="s">
        <v>182</v>
      </c>
      <c r="DO815" s="79"/>
      <c r="DP815" s="79"/>
      <c r="DQ815" s="79"/>
      <c r="DR815" s="75" t="str">
        <f t="shared" si="1130"/>
        <v>No aplica</v>
      </c>
      <c r="DS815" s="79"/>
      <c r="DT815" s="79"/>
      <c r="DU815" s="75" t="str">
        <f t="shared" si="1131"/>
        <v>No aplica</v>
      </c>
      <c r="DV815" s="79" t="s">
        <v>182</v>
      </c>
      <c r="DW815" s="79"/>
      <c r="DX815" s="79"/>
      <c r="DY815" s="79"/>
      <c r="DZ815" s="79"/>
      <c r="EA815" s="79"/>
      <c r="EB815" s="79"/>
      <c r="EC815" s="79"/>
      <c r="ED815" s="79" t="s">
        <v>5626</v>
      </c>
      <c r="EE815" s="79" t="str">
        <f t="shared" si="1136"/>
        <v>Completo</v>
      </c>
      <c r="EF815" s="41"/>
      <c r="EG815" s="79" t="s">
        <v>153</v>
      </c>
      <c r="EH815" s="71"/>
      <c r="EI815" s="80"/>
      <c r="EJ815" s="71"/>
      <c r="EK815" s="79"/>
      <c r="EL815" s="87" t="str">
        <f>IF(F815="NO","No requiere",IF(H815="No","No requiere",IF(DW815="","",IF(DW815&lt;&gt;"No aplica",IF(DX815&lt;&gt;"No aplica",IF(DX815&gt;=2,"Sí","No"),"No aplica"),"No aplica"))))</f>
        <v>No requiere</v>
      </c>
      <c r="EM815" s="87" t="str">
        <f>IF(F815="NO","No requiere",IF(H815="No","No requiere",IF(DW815="","",IF(DW815&lt;&gt;"No aplica",IF(DY815&lt;&gt;"No aplica",IF(DY815&gt;=1,"Sí","No"),"No aplica"),"No aplica"))))</f>
        <v>No requiere</v>
      </c>
      <c r="EN815" s="87" t="str">
        <f>IF(F815="NO","No requiere",IF(H815="No","No requiere",IF(CC815="","",IF(CD815&lt;&gt;"No aplica",IF(CD815&lt;&gt;"Ninguna",IF(COUNTIF(CD815:CF815,"*")&gt;=1,"Sí","No"),"No"),"No aplica"))))</f>
        <v>No requiere</v>
      </c>
      <c r="EO815" s="71"/>
      <c r="EP815" s="84" t="str">
        <f>IF(F815="NO","No requiere",IF(H815="No","No requiere",IF(DL815="","",IF(DL815&gt;=1,DM815/DL815,"No aplica"))))</f>
        <v>No requiere</v>
      </c>
      <c r="EQ815" s="88" t="str">
        <f>IFERROR(IF(F815="NO","No requiere",IF(H815="No","No requiere",DU815)),"")</f>
        <v>No requiere</v>
      </c>
      <c r="ER815" s="71"/>
      <c r="ES815" s="79"/>
      <c r="ET815" s="84" t="str">
        <f t="shared" si="1132"/>
        <v>No requiere</v>
      </c>
      <c r="EU815" s="84" t="str">
        <f t="shared" si="1133"/>
        <v>No requiere</v>
      </c>
      <c r="EV815" s="84" t="str">
        <f t="shared" si="1134"/>
        <v>No requiere</v>
      </c>
      <c r="EW815" s="84" t="str">
        <f t="shared" si="1135"/>
        <v>No requiere</v>
      </c>
      <c r="EX815" s="78"/>
      <c r="EY815" s="78"/>
    </row>
    <row r="816" spans="1:155" ht="40.5" customHeight="1">
      <c r="A816" s="79">
        <v>812</v>
      </c>
      <c r="B816" s="80" t="s">
        <v>5627</v>
      </c>
      <c r="C816" s="81">
        <v>45508</v>
      </c>
      <c r="D816" s="82">
        <v>0.33333333333333331</v>
      </c>
      <c r="E816" s="79" t="s">
        <v>151</v>
      </c>
      <c r="F816" s="79" t="s">
        <v>153</v>
      </c>
      <c r="G816" s="79" t="s">
        <v>152</v>
      </c>
      <c r="H816" s="79" t="s">
        <v>152</v>
      </c>
      <c r="I816" s="79" t="s">
        <v>152</v>
      </c>
      <c r="J816" s="79" t="s">
        <v>5581</v>
      </c>
      <c r="K816" s="79" t="s">
        <v>155</v>
      </c>
      <c r="L816" s="80" t="s">
        <v>5582</v>
      </c>
      <c r="M816" s="80" t="s">
        <v>241</v>
      </c>
      <c r="N816" s="79" t="s">
        <v>494</v>
      </c>
      <c r="O816" s="80" t="str">
        <f t="shared" si="636"/>
        <v/>
      </c>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t="s">
        <v>1226</v>
      </c>
      <c r="AP816" s="79"/>
      <c r="AQ816" s="80" t="s">
        <v>5583</v>
      </c>
      <c r="AR816" s="83">
        <v>3046010799</v>
      </c>
      <c r="AS816" s="128" t="s">
        <v>5584</v>
      </c>
      <c r="AT816" s="80" t="str">
        <f t="shared" si="950"/>
        <v>Tunjuelito</v>
      </c>
      <c r="AU816" s="79" t="s">
        <v>937</v>
      </c>
      <c r="AV816" s="79"/>
      <c r="AW816" s="79"/>
      <c r="AX816" s="79"/>
      <c r="AY816" s="79"/>
      <c r="AZ816" s="79"/>
      <c r="BA816" s="80" t="str">
        <f t="shared" si="1000"/>
        <v>Suroriente</v>
      </c>
      <c r="BB816" s="79" t="s">
        <v>218</v>
      </c>
      <c r="BC816" s="79"/>
      <c r="BD816" s="79"/>
      <c r="BE816" s="79"/>
      <c r="BF816" s="79"/>
      <c r="BG816" s="79"/>
      <c r="BH816" s="80" t="str">
        <f t="shared" si="1001"/>
        <v>Tunjuelito</v>
      </c>
      <c r="BI816" s="79" t="s">
        <v>937</v>
      </c>
      <c r="BJ816" s="79"/>
      <c r="BK816" s="79"/>
      <c r="BL816" s="79"/>
      <c r="BM816" s="79"/>
      <c r="BN816" s="79"/>
      <c r="BO816" s="79"/>
      <c r="BP816" s="79"/>
      <c r="BQ816" s="79"/>
      <c r="BR816" s="79"/>
      <c r="BS816" s="80" t="s">
        <v>937</v>
      </c>
      <c r="BT816" s="80" t="s">
        <v>174</v>
      </c>
      <c r="BU816" s="80" t="s">
        <v>179</v>
      </c>
      <c r="BV816" s="71"/>
      <c r="BW816" s="79" t="s">
        <v>152</v>
      </c>
      <c r="BX816" s="79" t="s">
        <v>179</v>
      </c>
      <c r="BY816" s="71"/>
      <c r="BZ816" s="79">
        <v>0</v>
      </c>
      <c r="CA816" s="79">
        <v>1</v>
      </c>
      <c r="CB816" s="79">
        <f t="shared" si="1109"/>
        <v>1</v>
      </c>
      <c r="CC816" s="79" t="str">
        <f t="shared" si="1137"/>
        <v>Ninguna</v>
      </c>
      <c r="CD816" s="79" t="s">
        <v>174</v>
      </c>
      <c r="CE816" s="79"/>
      <c r="CF816" s="79"/>
      <c r="CG816" s="83"/>
      <c r="CH816" s="41"/>
      <c r="CI816" s="79"/>
      <c r="CJ816" s="71"/>
      <c r="CK816" s="79">
        <f t="shared" si="1125"/>
        <v>0</v>
      </c>
      <c r="CL816" s="79"/>
      <c r="CM816" s="79"/>
      <c r="CN816" s="79"/>
      <c r="CO816" s="79"/>
      <c r="CP816" s="79"/>
      <c r="CQ816" s="79"/>
      <c r="CR816" s="83"/>
      <c r="CS816" s="83"/>
      <c r="CT816" s="83"/>
      <c r="CU816" s="83"/>
      <c r="CV816" s="83"/>
      <c r="CW816" s="83"/>
      <c r="CX816" s="79"/>
      <c r="CY816" s="79">
        <f t="shared" si="1126"/>
        <v>0</v>
      </c>
      <c r="CZ816" s="79">
        <v>0</v>
      </c>
      <c r="DA816" s="79">
        <f t="shared" si="1127"/>
        <v>0</v>
      </c>
      <c r="DB816" s="84" t="str">
        <f t="shared" si="1128"/>
        <v/>
      </c>
      <c r="DC816" s="41"/>
      <c r="DD816" s="79"/>
      <c r="DE816" s="71"/>
      <c r="DF816" s="160" t="s">
        <v>5628</v>
      </c>
      <c r="DG816" s="79">
        <v>805</v>
      </c>
      <c r="DH816" s="86" t="str">
        <f t="shared" si="1129"/>
        <v>Completo</v>
      </c>
      <c r="DI816" s="79" t="s">
        <v>181</v>
      </c>
      <c r="DJ816" s="79"/>
      <c r="DK816" s="79"/>
      <c r="DL816" s="79">
        <v>0</v>
      </c>
      <c r="DM816" s="79">
        <v>0</v>
      </c>
      <c r="DN816" s="79" t="s">
        <v>182</v>
      </c>
      <c r="DO816" s="79"/>
      <c r="DP816" s="79"/>
      <c r="DQ816" s="79"/>
      <c r="DR816" s="75" t="str">
        <f t="shared" si="1130"/>
        <v>No aplica</v>
      </c>
      <c r="DS816" s="79"/>
      <c r="DT816" s="79"/>
      <c r="DU816" s="75" t="str">
        <f t="shared" si="1131"/>
        <v>No aplica</v>
      </c>
      <c r="DV816" s="79" t="s">
        <v>182</v>
      </c>
      <c r="DW816" s="79"/>
      <c r="DX816" s="79"/>
      <c r="DY816" s="79"/>
      <c r="DZ816" s="79"/>
      <c r="EA816" s="79"/>
      <c r="EB816" s="79"/>
      <c r="EC816" s="79"/>
      <c r="ED816" s="79" t="s">
        <v>5629</v>
      </c>
      <c r="EE816" s="79" t="str">
        <f t="shared" si="1136"/>
        <v>Completo</v>
      </c>
      <c r="EF816" s="41"/>
      <c r="EG816" s="79" t="s">
        <v>153</v>
      </c>
      <c r="EH816" s="71"/>
      <c r="EI816" s="80"/>
      <c r="EJ816" s="71"/>
      <c r="EK816" s="79"/>
      <c r="EL816" s="87" t="str">
        <f>IF(F816="NO","No requiere",IF(H816="No","No requiere",IF(DW816="","",IF(DW816&lt;&gt;"No aplica",IF(DX816&lt;&gt;"No aplica",IF(DX816&gt;=2,"Sí","No"),"No aplica"),"No aplica"))))</f>
        <v>No requiere</v>
      </c>
      <c r="EM816" s="87" t="str">
        <f>IF(F816="NO","No requiere",IF(H816="No","No requiere",IF(DW816="","",IF(DW816&lt;&gt;"No aplica",IF(DY816&lt;&gt;"No aplica",IF(DY816&gt;=1,"Sí","No"),"No aplica"),"No aplica"))))</f>
        <v>No requiere</v>
      </c>
      <c r="EN816" s="87" t="str">
        <f>IF(F816="NO","No requiere",IF(H816="No","No requiere",IF(CC816="","",IF(CD816&lt;&gt;"No aplica",IF(CD816&lt;&gt;"Ninguna",IF(COUNTIF(CD816:CF816,"*")&gt;=1,"Sí","No"),"No"),"No aplica"))))</f>
        <v>No requiere</v>
      </c>
      <c r="EO816" s="71"/>
      <c r="EP816" s="84" t="str">
        <f>IF(F816="NO","No requiere",IF(H816="No","No requiere",IF(DL816="","",IF(DL816&gt;=1,DM816/DL816,"No aplica"))))</f>
        <v>No requiere</v>
      </c>
      <c r="EQ816" s="88" t="str">
        <f>IFERROR(IF(F816="NO","No requiere",IF(H816="No","No requiere",DU816)),"")</f>
        <v>No requiere</v>
      </c>
      <c r="ER816" s="71"/>
      <c r="ES816" s="79"/>
      <c r="ET816" s="84" t="str">
        <f t="shared" si="1132"/>
        <v>No requiere</v>
      </c>
      <c r="EU816" s="84" t="str">
        <f t="shared" si="1133"/>
        <v>No requiere</v>
      </c>
      <c r="EV816" s="84" t="str">
        <f t="shared" si="1134"/>
        <v>No requiere</v>
      </c>
      <c r="EW816" s="84" t="str">
        <f t="shared" si="1135"/>
        <v>No requiere</v>
      </c>
      <c r="EX816" s="78"/>
      <c r="EY816" s="78"/>
    </row>
    <row r="817" spans="1:155" ht="40.5" customHeight="1">
      <c r="A817" s="79">
        <v>813</v>
      </c>
      <c r="B817" s="80" t="s">
        <v>5630</v>
      </c>
      <c r="C817" s="81">
        <v>45508</v>
      </c>
      <c r="D817" s="82">
        <v>0.33333333333333331</v>
      </c>
      <c r="E817" s="79" t="s">
        <v>151</v>
      </c>
      <c r="F817" s="79" t="s">
        <v>153</v>
      </c>
      <c r="G817" s="79" t="s">
        <v>152</v>
      </c>
      <c r="H817" s="79" t="s">
        <v>152</v>
      </c>
      <c r="I817" s="79" t="s">
        <v>152</v>
      </c>
      <c r="J817" s="79" t="s">
        <v>5581</v>
      </c>
      <c r="K817" s="79" t="s">
        <v>155</v>
      </c>
      <c r="L817" s="80" t="s">
        <v>5582</v>
      </c>
      <c r="M817" s="80" t="s">
        <v>241</v>
      </c>
      <c r="N817" s="79" t="s">
        <v>720</v>
      </c>
      <c r="O817" s="80" t="str">
        <f t="shared" si="636"/>
        <v/>
      </c>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t="s">
        <v>1226</v>
      </c>
      <c r="AP817" s="79"/>
      <c r="AQ817" s="80" t="s">
        <v>5583</v>
      </c>
      <c r="AR817" s="83">
        <v>3046010799</v>
      </c>
      <c r="AS817" s="128" t="s">
        <v>5584</v>
      </c>
      <c r="AT817" s="80" t="str">
        <f t="shared" si="950"/>
        <v>Rafael Uribe Uribe</v>
      </c>
      <c r="AU817" s="79" t="s">
        <v>635</v>
      </c>
      <c r="AV817" s="79"/>
      <c r="AW817" s="79"/>
      <c r="AX817" s="79"/>
      <c r="AY817" s="79"/>
      <c r="AZ817" s="79"/>
      <c r="BA817" s="80" t="str">
        <f t="shared" si="1000"/>
        <v>Suroriente</v>
      </c>
      <c r="BB817" s="79" t="s">
        <v>218</v>
      </c>
      <c r="BC817" s="79"/>
      <c r="BD817" s="79"/>
      <c r="BE817" s="79"/>
      <c r="BF817" s="79"/>
      <c r="BG817" s="79"/>
      <c r="BH817" s="80" t="str">
        <f t="shared" si="1001"/>
        <v>Rafael Uribe</v>
      </c>
      <c r="BI817" s="79" t="s">
        <v>723</v>
      </c>
      <c r="BJ817" s="79"/>
      <c r="BK817" s="79"/>
      <c r="BL817" s="79"/>
      <c r="BM817" s="79"/>
      <c r="BN817" s="79"/>
      <c r="BO817" s="79"/>
      <c r="BP817" s="79"/>
      <c r="BQ817" s="79"/>
      <c r="BR817" s="79"/>
      <c r="BS817" s="80" t="s">
        <v>635</v>
      </c>
      <c r="BT817" s="80" t="s">
        <v>174</v>
      </c>
      <c r="BU817" s="80" t="s">
        <v>179</v>
      </c>
      <c r="BV817" s="71"/>
      <c r="BW817" s="79" t="s">
        <v>152</v>
      </c>
      <c r="BX817" s="79" t="s">
        <v>179</v>
      </c>
      <c r="BY817" s="71"/>
      <c r="BZ817" s="79">
        <v>10</v>
      </c>
      <c r="CA817" s="79">
        <v>1</v>
      </c>
      <c r="CB817" s="79">
        <f t="shared" si="1109"/>
        <v>11</v>
      </c>
      <c r="CC817" s="79" t="str">
        <f t="shared" si="1137"/>
        <v>Ninguna</v>
      </c>
      <c r="CD817" s="79" t="s">
        <v>174</v>
      </c>
      <c r="CE817" s="79"/>
      <c r="CF817" s="79"/>
      <c r="CG817" s="83"/>
      <c r="CH817" s="41"/>
      <c r="CI817" s="79"/>
      <c r="CJ817" s="71"/>
      <c r="CK817" s="79">
        <f t="shared" si="1125"/>
        <v>0</v>
      </c>
      <c r="CL817" s="79"/>
      <c r="CM817" s="79"/>
      <c r="CN817" s="79"/>
      <c r="CO817" s="79"/>
      <c r="CP817" s="79"/>
      <c r="CQ817" s="79"/>
      <c r="CR817" s="83"/>
      <c r="CS817" s="83"/>
      <c r="CT817" s="83"/>
      <c r="CU817" s="83"/>
      <c r="CV817" s="83"/>
      <c r="CW817" s="83"/>
      <c r="CX817" s="79"/>
      <c r="CY817" s="79">
        <f t="shared" si="1126"/>
        <v>0</v>
      </c>
      <c r="CZ817" s="79">
        <v>0</v>
      </c>
      <c r="DA817" s="79">
        <f t="shared" si="1127"/>
        <v>0</v>
      </c>
      <c r="DB817" s="84" t="str">
        <f t="shared" si="1128"/>
        <v/>
      </c>
      <c r="DC817" s="41"/>
      <c r="DD817" s="79" t="s">
        <v>153</v>
      </c>
      <c r="DE817" s="71"/>
      <c r="DF817" s="127" t="s">
        <v>5631</v>
      </c>
      <c r="DG817" s="79">
        <v>806</v>
      </c>
      <c r="DH817" s="86" t="str">
        <f t="shared" si="1129"/>
        <v>Completo</v>
      </c>
      <c r="DI817" s="79" t="s">
        <v>181</v>
      </c>
      <c r="DJ817" s="79"/>
      <c r="DK817" s="79"/>
      <c r="DL817" s="79">
        <v>0</v>
      </c>
      <c r="DM817" s="79">
        <v>0</v>
      </c>
      <c r="DN817" s="79" t="s">
        <v>182</v>
      </c>
      <c r="DO817" s="79"/>
      <c r="DP817" s="79"/>
      <c r="DQ817" s="79"/>
      <c r="DR817" s="75" t="str">
        <f t="shared" si="1130"/>
        <v>No aplica</v>
      </c>
      <c r="DS817" s="79"/>
      <c r="DT817" s="79"/>
      <c r="DU817" s="75" t="str">
        <f t="shared" si="1131"/>
        <v>No aplica</v>
      </c>
      <c r="DV817" s="79" t="s">
        <v>182</v>
      </c>
      <c r="DW817" s="79"/>
      <c r="DX817" s="79"/>
      <c r="DY817" s="79"/>
      <c r="DZ817" s="79"/>
      <c r="EA817" s="79"/>
      <c r="EB817" s="79"/>
      <c r="EC817" s="79"/>
      <c r="ED817" s="79"/>
      <c r="EE817" s="79" t="str">
        <f t="shared" si="1136"/>
        <v>Completo</v>
      </c>
      <c r="EF817" s="41"/>
      <c r="EG817" s="79" t="s">
        <v>153</v>
      </c>
      <c r="EH817" s="71"/>
      <c r="EI817" s="80"/>
      <c r="EJ817" s="71"/>
      <c r="EK817" s="79"/>
      <c r="EL817" s="87" t="str">
        <f>IF(F817="NO","No requiere",IF(H817="No","No requiere",IF(DW817="","",IF(DW817&lt;&gt;"No aplica",IF(DX817&lt;&gt;"No aplica",IF(DX817&gt;=2,"Sí","No"),"No aplica"),"No aplica"))))</f>
        <v>No requiere</v>
      </c>
      <c r="EM817" s="87" t="str">
        <f>IF(F817="NO","No requiere",IF(H817="No","No requiere",IF(DW817="","",IF(DW817&lt;&gt;"No aplica",IF(DY817&lt;&gt;"No aplica",IF(DY817&gt;=1,"Sí","No"),"No aplica"),"No aplica"))))</f>
        <v>No requiere</v>
      </c>
      <c r="EN817" s="87" t="str">
        <f>IF(F817="NO","No requiere",IF(H817="No","No requiere",IF(CC817="","",IF(CD817&lt;&gt;"No aplica",IF(CD817&lt;&gt;"Ninguna",IF(COUNTIF(CD817:CF817,"*")&gt;=1,"Sí","No"),"No"),"No aplica"))))</f>
        <v>No requiere</v>
      </c>
      <c r="EO817" s="71"/>
      <c r="EP817" s="84" t="str">
        <f>IF(F817="NO","No requiere",IF(H817="No","No requiere",IF(DL817="","",IF(DL817&gt;=1,DM817/DL817,"No aplica"))))</f>
        <v>No requiere</v>
      </c>
      <c r="EQ817" s="88" t="str">
        <f>IFERROR(IF(F817="NO","No requiere",IF(H817="No","No requiere",DU817)),"")</f>
        <v>No requiere</v>
      </c>
      <c r="ER817" s="71"/>
      <c r="ES817" s="79"/>
      <c r="ET817" s="84" t="str">
        <f t="shared" si="1132"/>
        <v>No requiere</v>
      </c>
      <c r="EU817" s="84" t="str">
        <f t="shared" si="1133"/>
        <v>No requiere</v>
      </c>
      <c r="EV817" s="84" t="str">
        <f t="shared" si="1134"/>
        <v>No requiere</v>
      </c>
      <c r="EW817" s="84" t="str">
        <f t="shared" si="1135"/>
        <v>No requiere</v>
      </c>
      <c r="EX817" s="78"/>
      <c r="EY817" s="78"/>
    </row>
    <row r="818" spans="1:155" ht="40.5" customHeight="1">
      <c r="A818" s="79">
        <v>814</v>
      </c>
      <c r="B818" s="80" t="s">
        <v>5632</v>
      </c>
      <c r="C818" s="81">
        <v>45508</v>
      </c>
      <c r="D818" s="82">
        <v>0.33333333333333331</v>
      </c>
      <c r="E818" s="79" t="s">
        <v>151</v>
      </c>
      <c r="F818" s="79" t="s">
        <v>153</v>
      </c>
      <c r="G818" s="79" t="s">
        <v>152</v>
      </c>
      <c r="H818" s="79" t="s">
        <v>152</v>
      </c>
      <c r="I818" s="79" t="s">
        <v>152</v>
      </c>
      <c r="J818" s="79" t="s">
        <v>5581</v>
      </c>
      <c r="K818" s="79" t="s">
        <v>155</v>
      </c>
      <c r="L818" s="80" t="s">
        <v>5582</v>
      </c>
      <c r="M818" s="80" t="s">
        <v>241</v>
      </c>
      <c r="N818" s="79" t="s">
        <v>506</v>
      </c>
      <c r="O818" s="80" t="str">
        <f t="shared" si="636"/>
        <v/>
      </c>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t="s">
        <v>1226</v>
      </c>
      <c r="AP818" s="79"/>
      <c r="AQ818" s="80" t="s">
        <v>5583</v>
      </c>
      <c r="AR818" s="83">
        <v>3046010799</v>
      </c>
      <c r="AS818" s="128" t="s">
        <v>5584</v>
      </c>
      <c r="AT818" s="80" t="str">
        <f t="shared" si="950"/>
        <v>San Cristóbal</v>
      </c>
      <c r="AU818" s="79" t="s">
        <v>570</v>
      </c>
      <c r="AV818" s="79"/>
      <c r="AW818" s="79"/>
      <c r="AX818" s="79"/>
      <c r="AY818" s="79"/>
      <c r="AZ818" s="79"/>
      <c r="BA818" s="80" t="str">
        <f t="shared" si="1000"/>
        <v>Suroriente</v>
      </c>
      <c r="BB818" s="79" t="s">
        <v>218</v>
      </c>
      <c r="BC818" s="79"/>
      <c r="BD818" s="79"/>
      <c r="BE818" s="79"/>
      <c r="BF818" s="79"/>
      <c r="BG818" s="79"/>
      <c r="BH818" s="80" t="str">
        <f t="shared" si="1001"/>
        <v>San Cristobal</v>
      </c>
      <c r="BI818" s="79" t="s">
        <v>571</v>
      </c>
      <c r="BJ818" s="79"/>
      <c r="BK818" s="79"/>
      <c r="BL818" s="79"/>
      <c r="BM818" s="79"/>
      <c r="BN818" s="79"/>
      <c r="BO818" s="79"/>
      <c r="BP818" s="79"/>
      <c r="BQ818" s="79"/>
      <c r="BR818" s="79"/>
      <c r="BS818" s="80" t="s">
        <v>570</v>
      </c>
      <c r="BT818" s="80" t="s">
        <v>174</v>
      </c>
      <c r="BU818" s="80" t="s">
        <v>179</v>
      </c>
      <c r="BV818" s="71"/>
      <c r="BW818" s="79" t="s">
        <v>152</v>
      </c>
      <c r="BX818" s="79" t="s">
        <v>179</v>
      </c>
      <c r="BY818" s="71"/>
      <c r="BZ818" s="79">
        <v>3</v>
      </c>
      <c r="CA818" s="79">
        <v>1</v>
      </c>
      <c r="CB818" s="79">
        <f t="shared" si="1109"/>
        <v>4</v>
      </c>
      <c r="CC818" s="79" t="str">
        <f t="shared" si="1137"/>
        <v>Ninguna</v>
      </c>
      <c r="CD818" s="79" t="s">
        <v>174</v>
      </c>
      <c r="CE818" s="79"/>
      <c r="CF818" s="79"/>
      <c r="CG818" s="83"/>
      <c r="CH818" s="41"/>
      <c r="CI818" s="79"/>
      <c r="CJ818" s="71"/>
      <c r="CK818" s="79">
        <f t="shared" si="1125"/>
        <v>0</v>
      </c>
      <c r="CL818" s="79"/>
      <c r="CM818" s="79"/>
      <c r="CN818" s="79"/>
      <c r="CO818" s="79"/>
      <c r="CP818" s="79"/>
      <c r="CQ818" s="79"/>
      <c r="CR818" s="83" t="s">
        <v>179</v>
      </c>
      <c r="CS818" s="83" t="s">
        <v>179</v>
      </c>
      <c r="CT818" s="83" t="s">
        <v>179</v>
      </c>
      <c r="CU818" s="83" t="s">
        <v>179</v>
      </c>
      <c r="CV818" s="83" t="s">
        <v>179</v>
      </c>
      <c r="CW818" s="83" t="s">
        <v>179</v>
      </c>
      <c r="CX818" s="79" t="s">
        <v>153</v>
      </c>
      <c r="CY818" s="79">
        <f t="shared" si="1126"/>
        <v>0</v>
      </c>
      <c r="CZ818" s="79">
        <v>0</v>
      </c>
      <c r="DA818" s="79">
        <f t="shared" si="1127"/>
        <v>0</v>
      </c>
      <c r="DB818" s="84" t="str">
        <f t="shared" si="1128"/>
        <v/>
      </c>
      <c r="DC818" s="41"/>
      <c r="DD818" s="79" t="s">
        <v>153</v>
      </c>
      <c r="DE818" s="71"/>
      <c r="DF818" s="127" t="s">
        <v>5633</v>
      </c>
      <c r="DG818" s="79">
        <v>807</v>
      </c>
      <c r="DH818" s="86" t="str">
        <f t="shared" si="1129"/>
        <v>Completo</v>
      </c>
      <c r="DI818" s="79" t="s">
        <v>181</v>
      </c>
      <c r="DJ818" s="79"/>
      <c r="DK818" s="79"/>
      <c r="DL818" s="79">
        <v>0</v>
      </c>
      <c r="DM818" s="79">
        <v>0</v>
      </c>
      <c r="DN818" s="79" t="s">
        <v>182</v>
      </c>
      <c r="DO818" s="79"/>
      <c r="DP818" s="79"/>
      <c r="DQ818" s="79"/>
      <c r="DR818" s="75" t="str">
        <f t="shared" si="1130"/>
        <v>No aplica</v>
      </c>
      <c r="DS818" s="79"/>
      <c r="DT818" s="79"/>
      <c r="DU818" s="75" t="str">
        <f t="shared" si="1131"/>
        <v>No aplica</v>
      </c>
      <c r="DV818" s="79" t="s">
        <v>182</v>
      </c>
      <c r="DW818" s="79"/>
      <c r="DX818" s="79"/>
      <c r="DY818" s="79"/>
      <c r="DZ818" s="79"/>
      <c r="EA818" s="79"/>
      <c r="EB818" s="79"/>
      <c r="EC818" s="79"/>
      <c r="ED818" s="79" t="s">
        <v>5634</v>
      </c>
      <c r="EE818" s="79" t="str">
        <f t="shared" si="1136"/>
        <v>Completo</v>
      </c>
      <c r="EF818" s="41"/>
      <c r="EG818" s="79" t="s">
        <v>153</v>
      </c>
      <c r="EH818" s="71"/>
      <c r="EI818" s="80"/>
      <c r="EJ818" s="71"/>
      <c r="EK818" s="79"/>
      <c r="EL818" s="87" t="str">
        <f>IF(F818="NO","No requiere",IF(H818="No","No requiere",IF(DW818="","",IF(DW818&lt;&gt;"No aplica",IF(DX818&lt;&gt;"No aplica",IF(DX818&gt;=2,"Sí","No"),"No aplica"),"No aplica"))))</f>
        <v>No requiere</v>
      </c>
      <c r="EM818" s="87" t="str">
        <f>IF(F818="NO","No requiere",IF(H818="No","No requiere",IF(DW818="","",IF(DW818&lt;&gt;"No aplica",IF(DY818&lt;&gt;"No aplica",IF(DY818&gt;=1,"Sí","No"),"No aplica"),"No aplica"))))</f>
        <v>No requiere</v>
      </c>
      <c r="EN818" s="87" t="str">
        <f>IF(F818="NO","No requiere",IF(H818="No","No requiere",IF(CC818="","",IF(CD818&lt;&gt;"No aplica",IF(CD818&lt;&gt;"Ninguna",IF(COUNTIF(CD818:CF818,"*")&gt;=1,"Sí","No"),"No"),"No aplica"))))</f>
        <v>No requiere</v>
      </c>
      <c r="EO818" s="71"/>
      <c r="EP818" s="84" t="str">
        <f>IF(F818="NO","No requiere",IF(H818="No","No requiere",IF(DL818="","",IF(DL818&gt;=1,DM818/DL818,"No aplica"))))</f>
        <v>No requiere</v>
      </c>
      <c r="EQ818" s="88" t="str">
        <f>IFERROR(IF(F818="NO","No requiere",IF(H818="No","No requiere",DU818)),"")</f>
        <v>No requiere</v>
      </c>
      <c r="ER818" s="71"/>
      <c r="ES818" s="79"/>
      <c r="ET818" s="84" t="str">
        <f t="shared" si="1132"/>
        <v>No requiere</v>
      </c>
      <c r="EU818" s="84" t="str">
        <f t="shared" si="1133"/>
        <v>No requiere</v>
      </c>
      <c r="EV818" s="84" t="str">
        <f t="shared" si="1134"/>
        <v>No requiere</v>
      </c>
      <c r="EW818" s="84" t="str">
        <f t="shared" si="1135"/>
        <v>No requiere</v>
      </c>
      <c r="EX818" s="78"/>
      <c r="EY818" s="78"/>
    </row>
    <row r="819" spans="1:155" ht="40.5" customHeight="1">
      <c r="A819" s="79">
        <v>815</v>
      </c>
      <c r="B819" s="80" t="s">
        <v>5635</v>
      </c>
      <c r="C819" s="81">
        <v>45508</v>
      </c>
      <c r="D819" s="82">
        <v>0.33333333333333331</v>
      </c>
      <c r="E819" s="79" t="s">
        <v>151</v>
      </c>
      <c r="F819" s="79" t="s">
        <v>153</v>
      </c>
      <c r="G819" s="79" t="s">
        <v>152</v>
      </c>
      <c r="H819" s="79" t="s">
        <v>152</v>
      </c>
      <c r="I819" s="79" t="s">
        <v>152</v>
      </c>
      <c r="J819" s="79" t="s">
        <v>5581</v>
      </c>
      <c r="K819" s="79" t="s">
        <v>155</v>
      </c>
      <c r="L819" s="80" t="s">
        <v>5582</v>
      </c>
      <c r="M819" s="80" t="s">
        <v>241</v>
      </c>
      <c r="N819" s="79" t="s">
        <v>818</v>
      </c>
      <c r="O819" s="80" t="str">
        <f t="shared" si="636"/>
        <v/>
      </c>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t="s">
        <v>1226</v>
      </c>
      <c r="AP819" s="79"/>
      <c r="AQ819" s="80" t="s">
        <v>5583</v>
      </c>
      <c r="AR819" s="83">
        <v>3046010799</v>
      </c>
      <c r="AS819" s="128" t="s">
        <v>5584</v>
      </c>
      <c r="AT819" s="80" t="str">
        <f t="shared" si="950"/>
        <v>Antonio Nariño</v>
      </c>
      <c r="AU819" s="79" t="s">
        <v>634</v>
      </c>
      <c r="AV819" s="79"/>
      <c r="AW819" s="79"/>
      <c r="AX819" s="79"/>
      <c r="AY819" s="79"/>
      <c r="AZ819" s="79"/>
      <c r="BA819" s="80" t="str">
        <f t="shared" si="1000"/>
        <v>Centro Ampliado</v>
      </c>
      <c r="BB819" s="79" t="s">
        <v>636</v>
      </c>
      <c r="BC819" s="79"/>
      <c r="BD819" s="79"/>
      <c r="BE819" s="79"/>
      <c r="BF819" s="79"/>
      <c r="BG819" s="79"/>
      <c r="BH819" s="80" t="str">
        <f t="shared" si="1001"/>
        <v>Restrepo</v>
      </c>
      <c r="BI819" s="79" t="s">
        <v>637</v>
      </c>
      <c r="BJ819" s="79"/>
      <c r="BK819" s="79"/>
      <c r="BL819" s="79"/>
      <c r="BM819" s="79"/>
      <c r="BN819" s="79"/>
      <c r="BO819" s="79"/>
      <c r="BP819" s="79"/>
      <c r="BQ819" s="79"/>
      <c r="BR819" s="79"/>
      <c r="BS819" s="80" t="s">
        <v>637</v>
      </c>
      <c r="BT819" s="80" t="s">
        <v>174</v>
      </c>
      <c r="BU819" s="80" t="s">
        <v>179</v>
      </c>
      <c r="BV819" s="71"/>
      <c r="BW819" s="79" t="s">
        <v>152</v>
      </c>
      <c r="BX819" s="79" t="s">
        <v>179</v>
      </c>
      <c r="BY819" s="71"/>
      <c r="BZ819" s="79">
        <v>0</v>
      </c>
      <c r="CA819" s="79">
        <v>1</v>
      </c>
      <c r="CB819" s="79">
        <f t="shared" si="1109"/>
        <v>1</v>
      </c>
      <c r="CC819" s="79" t="str">
        <f t="shared" si="1137"/>
        <v>Ninguna</v>
      </c>
      <c r="CD819" s="79" t="s">
        <v>174</v>
      </c>
      <c r="CE819" s="79"/>
      <c r="CF819" s="79"/>
      <c r="CG819" s="83"/>
      <c r="CH819" s="41"/>
      <c r="CI819" s="79"/>
      <c r="CJ819" s="71"/>
      <c r="CK819" s="79">
        <f t="shared" si="1125"/>
        <v>0</v>
      </c>
      <c r="CL819" s="79"/>
      <c r="CM819" s="79"/>
      <c r="CN819" s="79"/>
      <c r="CO819" s="79"/>
      <c r="CP819" s="79"/>
      <c r="CQ819" s="79"/>
      <c r="CR819" s="83" t="s">
        <v>179</v>
      </c>
      <c r="CS819" s="83" t="s">
        <v>179</v>
      </c>
      <c r="CT819" s="83" t="s">
        <v>179</v>
      </c>
      <c r="CU819" s="83" t="s">
        <v>179</v>
      </c>
      <c r="CV819" s="83" t="s">
        <v>179</v>
      </c>
      <c r="CW819" s="83" t="s">
        <v>179</v>
      </c>
      <c r="CX819" s="79" t="s">
        <v>153</v>
      </c>
      <c r="CY819" s="79">
        <f t="shared" si="1126"/>
        <v>0</v>
      </c>
      <c r="CZ819" s="79">
        <v>0</v>
      </c>
      <c r="DA819" s="79">
        <f t="shared" si="1127"/>
        <v>0</v>
      </c>
      <c r="DB819" s="84" t="str">
        <f t="shared" si="1128"/>
        <v/>
      </c>
      <c r="DC819" s="41"/>
      <c r="DD819" s="79" t="s">
        <v>153</v>
      </c>
      <c r="DE819" s="71"/>
      <c r="DF819" s="127" t="s">
        <v>5636</v>
      </c>
      <c r="DG819" s="79">
        <v>808</v>
      </c>
      <c r="DH819" s="86" t="str">
        <f t="shared" si="1129"/>
        <v>Completo</v>
      </c>
      <c r="DI819" s="79" t="s">
        <v>181</v>
      </c>
      <c r="DJ819" s="79"/>
      <c r="DK819" s="79"/>
      <c r="DL819" s="79">
        <v>0</v>
      </c>
      <c r="DM819" s="79">
        <v>0</v>
      </c>
      <c r="DN819" s="79" t="s">
        <v>182</v>
      </c>
      <c r="DO819" s="79"/>
      <c r="DP819" s="79"/>
      <c r="DQ819" s="79"/>
      <c r="DR819" s="75" t="str">
        <f t="shared" si="1130"/>
        <v>No aplica</v>
      </c>
      <c r="DS819" s="79"/>
      <c r="DT819" s="79"/>
      <c r="DU819" s="75" t="str">
        <f t="shared" si="1131"/>
        <v>No aplica</v>
      </c>
      <c r="DV819" s="79" t="s">
        <v>182</v>
      </c>
      <c r="DW819" s="79"/>
      <c r="DX819" s="79"/>
      <c r="DY819" s="79"/>
      <c r="DZ819" s="79"/>
      <c r="EA819" s="79"/>
      <c r="EB819" s="79"/>
      <c r="EC819" s="79"/>
      <c r="ED819" s="79"/>
      <c r="EE819" s="79" t="str">
        <f t="shared" si="1136"/>
        <v>Completo</v>
      </c>
      <c r="EF819" s="41"/>
      <c r="EG819" s="79" t="s">
        <v>153</v>
      </c>
      <c r="EH819" s="71"/>
      <c r="EI819" s="80"/>
      <c r="EJ819" s="71"/>
      <c r="EK819" s="79"/>
      <c r="EL819" s="87" t="str">
        <f>IF(F819="NO","No requiere",IF(H819="No","No requiere",IF(DW819="","",IF(DW819&lt;&gt;"No aplica",IF(DX819&lt;&gt;"No aplica",IF(DX819&gt;=2,"Sí","No"),"No aplica"),"No aplica"))))</f>
        <v>No requiere</v>
      </c>
      <c r="EM819" s="87" t="str">
        <f>IF(F819="NO","No requiere",IF(H819="No","No requiere",IF(DW819="","",IF(DW819&lt;&gt;"No aplica",IF(DY819&lt;&gt;"No aplica",IF(DY819&gt;=1,"Sí","No"),"No aplica"),"No aplica"))))</f>
        <v>No requiere</v>
      </c>
      <c r="EN819" s="87" t="str">
        <f>IF(F819="NO","No requiere",IF(H819="No","No requiere",IF(CC819="","",IF(CD819&lt;&gt;"No aplica",IF(CD819&lt;&gt;"Ninguna",IF(COUNTIF(CD819:CF819,"*")&gt;=1,"Sí","No"),"No"),"No aplica"))))</f>
        <v>No requiere</v>
      </c>
      <c r="EO819" s="71"/>
      <c r="EP819" s="84" t="str">
        <f>IF(F819="NO","No requiere",IF(H819="No","No requiere",IF(DL819="","",IF(DL819&gt;=1,DM819/DL819,"No aplica"))))</f>
        <v>No requiere</v>
      </c>
      <c r="EQ819" s="88" t="str">
        <f>IFERROR(IF(F819="NO","No requiere",IF(H819="No","No requiere",DU819)),"")</f>
        <v>No requiere</v>
      </c>
      <c r="ER819" s="71"/>
      <c r="ES819" s="79"/>
      <c r="ET819" s="84" t="str">
        <f t="shared" si="1132"/>
        <v>No requiere</v>
      </c>
      <c r="EU819" s="84" t="str">
        <f t="shared" si="1133"/>
        <v>No requiere</v>
      </c>
      <c r="EV819" s="84" t="str">
        <f t="shared" si="1134"/>
        <v>No requiere</v>
      </c>
      <c r="EW819" s="84" t="str">
        <f t="shared" si="1135"/>
        <v>No requiere</v>
      </c>
      <c r="EX819" s="78"/>
      <c r="EY819" s="78"/>
    </row>
    <row r="820" spans="1:155" ht="40.5" customHeight="1">
      <c r="A820" s="79">
        <v>816</v>
      </c>
      <c r="B820" s="80" t="s">
        <v>5637</v>
      </c>
      <c r="C820" s="81">
        <v>45508</v>
      </c>
      <c r="D820" s="82">
        <v>0.33333333333333331</v>
      </c>
      <c r="E820" s="79" t="s">
        <v>151</v>
      </c>
      <c r="F820" s="79" t="s">
        <v>153</v>
      </c>
      <c r="G820" s="79" t="s">
        <v>152</v>
      </c>
      <c r="H820" s="79" t="s">
        <v>152</v>
      </c>
      <c r="I820" s="79" t="s">
        <v>152</v>
      </c>
      <c r="J820" s="79" t="s">
        <v>5581</v>
      </c>
      <c r="K820" s="79" t="s">
        <v>155</v>
      </c>
      <c r="L820" s="80" t="s">
        <v>5582</v>
      </c>
      <c r="M820" s="80" t="s">
        <v>241</v>
      </c>
      <c r="N820" s="79" t="s">
        <v>163</v>
      </c>
      <c r="O820" s="80" t="str">
        <f t="shared" si="636"/>
        <v/>
      </c>
      <c r="P820" s="79"/>
      <c r="Q820" s="79"/>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t="s">
        <v>1226</v>
      </c>
      <c r="AP820" s="79"/>
      <c r="AQ820" s="80" t="s">
        <v>5583</v>
      </c>
      <c r="AR820" s="83">
        <v>3046010799</v>
      </c>
      <c r="AS820" s="128" t="s">
        <v>5584</v>
      </c>
      <c r="AT820" s="80" t="str">
        <f t="shared" si="950"/>
        <v>Los Mártires, La Candelaria, Chapinero</v>
      </c>
      <c r="AU820" s="79" t="s">
        <v>823</v>
      </c>
      <c r="AV820" s="79" t="s">
        <v>753</v>
      </c>
      <c r="AW820" s="79" t="s">
        <v>360</v>
      </c>
      <c r="AX820" s="79"/>
      <c r="AY820" s="79"/>
      <c r="AZ820" s="79"/>
      <c r="BA820" s="80" t="str">
        <f t="shared" si="1000"/>
        <v>Centro Ampliado</v>
      </c>
      <c r="BB820" s="79" t="s">
        <v>636</v>
      </c>
      <c r="BC820" s="79"/>
      <c r="BD820" s="79"/>
      <c r="BE820" s="79"/>
      <c r="BF820" s="79"/>
      <c r="BG820" s="79"/>
      <c r="BH820" s="80" t="str">
        <f t="shared" si="1001"/>
        <v>Centro Histórico</v>
      </c>
      <c r="BI820" s="79" t="s">
        <v>754</v>
      </c>
      <c r="BJ820" s="79"/>
      <c r="BK820" s="79"/>
      <c r="BL820" s="79"/>
      <c r="BM820" s="79"/>
      <c r="BN820" s="79"/>
      <c r="BO820" s="79"/>
      <c r="BP820" s="79"/>
      <c r="BQ820" s="79"/>
      <c r="BR820" s="79"/>
      <c r="BS820" s="80" t="s">
        <v>754</v>
      </c>
      <c r="BT820" s="80" t="s">
        <v>174</v>
      </c>
      <c r="BU820" s="80" t="s">
        <v>179</v>
      </c>
      <c r="BV820" s="71"/>
      <c r="BW820" s="79" t="s">
        <v>152</v>
      </c>
      <c r="BX820" s="79" t="s">
        <v>179</v>
      </c>
      <c r="BY820" s="71"/>
      <c r="BZ820" s="79">
        <v>0</v>
      </c>
      <c r="CA820" s="79">
        <v>1</v>
      </c>
      <c r="CB820" s="79">
        <f t="shared" si="1109"/>
        <v>1</v>
      </c>
      <c r="CC820" s="79" t="str">
        <f t="shared" si="1137"/>
        <v>Ninguna</v>
      </c>
      <c r="CD820" s="79" t="s">
        <v>174</v>
      </c>
      <c r="CE820" s="79"/>
      <c r="CF820" s="79"/>
      <c r="CG820" s="83"/>
      <c r="CH820" s="41"/>
      <c r="CI820" s="79"/>
      <c r="CJ820" s="71"/>
      <c r="CK820" s="79">
        <f t="shared" si="1125"/>
        <v>0</v>
      </c>
      <c r="CL820" s="79"/>
      <c r="CM820" s="79"/>
      <c r="CN820" s="79"/>
      <c r="CO820" s="79"/>
      <c r="CP820" s="79"/>
      <c r="CQ820" s="79"/>
      <c r="CR820" s="83" t="s">
        <v>1545</v>
      </c>
      <c r="CS820" s="83" t="s">
        <v>1545</v>
      </c>
      <c r="CT820" s="83" t="s">
        <v>1545</v>
      </c>
      <c r="CU820" s="83" t="s">
        <v>1545</v>
      </c>
      <c r="CV820" s="83" t="s">
        <v>1545</v>
      </c>
      <c r="CW820" s="83" t="s">
        <v>1545</v>
      </c>
      <c r="CX820" s="79" t="s">
        <v>153</v>
      </c>
      <c r="CY820" s="79">
        <f t="shared" si="1126"/>
        <v>0</v>
      </c>
      <c r="CZ820" s="79">
        <v>0</v>
      </c>
      <c r="DA820" s="79">
        <f t="shared" si="1127"/>
        <v>0</v>
      </c>
      <c r="DB820" s="84" t="str">
        <f t="shared" si="1128"/>
        <v/>
      </c>
      <c r="DC820" s="41"/>
      <c r="DD820" s="79" t="s">
        <v>153</v>
      </c>
      <c r="DE820" s="71"/>
      <c r="DF820" s="127" t="s">
        <v>5638</v>
      </c>
      <c r="DG820" s="79">
        <v>809</v>
      </c>
      <c r="DH820" s="86" t="str">
        <f t="shared" si="1129"/>
        <v>Completo</v>
      </c>
      <c r="DI820" s="79" t="s">
        <v>181</v>
      </c>
      <c r="DJ820" s="79"/>
      <c r="DK820" s="79"/>
      <c r="DL820" s="79">
        <v>0</v>
      </c>
      <c r="DM820" s="79">
        <v>0</v>
      </c>
      <c r="DN820" s="79" t="s">
        <v>182</v>
      </c>
      <c r="DO820" s="79"/>
      <c r="DP820" s="79"/>
      <c r="DQ820" s="79"/>
      <c r="DR820" s="75" t="str">
        <f t="shared" si="1130"/>
        <v>No aplica</v>
      </c>
      <c r="DS820" s="79"/>
      <c r="DT820" s="79"/>
      <c r="DU820" s="75" t="str">
        <f t="shared" si="1131"/>
        <v>No aplica</v>
      </c>
      <c r="DV820" s="79" t="s">
        <v>182</v>
      </c>
      <c r="DW820" s="79"/>
      <c r="DX820" s="79"/>
      <c r="DY820" s="79"/>
      <c r="DZ820" s="79"/>
      <c r="EA820" s="79"/>
      <c r="EB820" s="79"/>
      <c r="EC820" s="79"/>
      <c r="ED820" s="79" t="s">
        <v>5639</v>
      </c>
      <c r="EE820" s="79" t="str">
        <f t="shared" si="1136"/>
        <v>Completo</v>
      </c>
      <c r="EF820" s="41"/>
      <c r="EG820" s="79" t="s">
        <v>153</v>
      </c>
      <c r="EH820" s="71"/>
      <c r="EI820" s="80"/>
      <c r="EJ820" s="71"/>
      <c r="EK820" s="79"/>
      <c r="EL820" s="87" t="str">
        <f>IF(F820="NO","No requiere",IF(H820="No","No requiere",IF(DW820="","",IF(DW820&lt;&gt;"No aplica",IF(DX820&lt;&gt;"No aplica",IF(DX820&gt;=2,"Sí","No"),"No aplica"),"No aplica"))))</f>
        <v>No requiere</v>
      </c>
      <c r="EM820" s="87" t="str">
        <f>IF(F820="NO","No requiere",IF(H820="No","No requiere",IF(DW820="","",IF(DW820&lt;&gt;"No aplica",IF(DY820&lt;&gt;"No aplica",IF(DY820&gt;=1,"Sí","No"),"No aplica"),"No aplica"))))</f>
        <v>No requiere</v>
      </c>
      <c r="EN820" s="87" t="str">
        <f>IF(F820="NO","No requiere",IF(H820="No","No requiere",IF(CC820="","",IF(CD820&lt;&gt;"No aplica",IF(CD820&lt;&gt;"Ninguna",IF(COUNTIF(CD820:CF820,"*")&gt;=1,"Sí","No"),"No"),"No aplica"))))</f>
        <v>No requiere</v>
      </c>
      <c r="EO820" s="71"/>
      <c r="EP820" s="84" t="str">
        <f>IF(F820="NO","No requiere",IF(H820="No","No requiere",IF(DL820="","",IF(DL820&gt;=1,DM820/DL820,"No aplica"))))</f>
        <v>No requiere</v>
      </c>
      <c r="EQ820" s="88" t="str">
        <f>IFERROR(IF(F820="NO","No requiere",IF(H820="No","No requiere",DU820)),"")</f>
        <v>No requiere</v>
      </c>
      <c r="ER820" s="71"/>
      <c r="ES820" s="79"/>
      <c r="ET820" s="84" t="str">
        <f t="shared" si="1132"/>
        <v>No requiere</v>
      </c>
      <c r="EU820" s="84" t="str">
        <f t="shared" si="1133"/>
        <v>No requiere</v>
      </c>
      <c r="EV820" s="84" t="str">
        <f t="shared" si="1134"/>
        <v>No requiere</v>
      </c>
      <c r="EW820" s="84" t="str">
        <f t="shared" si="1135"/>
        <v>No requiere</v>
      </c>
      <c r="EX820" s="78"/>
      <c r="EY820" s="78"/>
    </row>
    <row r="821" spans="1:155" ht="40.5" customHeight="1">
      <c r="A821" s="79">
        <v>817</v>
      </c>
      <c r="B821" s="80" t="s">
        <v>5640</v>
      </c>
      <c r="C821" s="81">
        <v>45508</v>
      </c>
      <c r="D821" s="82">
        <v>0.33333333333333331</v>
      </c>
      <c r="E821" s="79" t="s">
        <v>151</v>
      </c>
      <c r="F821" s="79" t="s">
        <v>153</v>
      </c>
      <c r="G821" s="79" t="s">
        <v>152</v>
      </c>
      <c r="H821" s="79" t="s">
        <v>152</v>
      </c>
      <c r="I821" s="79" t="s">
        <v>152</v>
      </c>
      <c r="J821" s="79" t="s">
        <v>5581</v>
      </c>
      <c r="K821" s="79" t="s">
        <v>155</v>
      </c>
      <c r="L821" s="80" t="s">
        <v>5582</v>
      </c>
      <c r="M821" s="80" t="s">
        <v>241</v>
      </c>
      <c r="N821" s="79" t="s">
        <v>4960</v>
      </c>
      <c r="O821" s="80" t="str">
        <f t="shared" si="636"/>
        <v/>
      </c>
      <c r="P821" s="79"/>
      <c r="Q821" s="79"/>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t="s">
        <v>1226</v>
      </c>
      <c r="AP821" s="79"/>
      <c r="AQ821" s="80" t="s">
        <v>5583</v>
      </c>
      <c r="AR821" s="83">
        <v>3046010799</v>
      </c>
      <c r="AS821" s="128" t="s">
        <v>5584</v>
      </c>
      <c r="AT821" s="80" t="str">
        <f t="shared" si="950"/>
        <v>Chapinero</v>
      </c>
      <c r="AU821" s="79" t="s">
        <v>360</v>
      </c>
      <c r="AV821" s="79"/>
      <c r="AW821" s="79"/>
      <c r="AX821" s="79"/>
      <c r="AY821" s="79"/>
      <c r="AZ821" s="79"/>
      <c r="BA821" s="80" t="str">
        <f t="shared" si="1000"/>
        <v>Centro Ampliado</v>
      </c>
      <c r="BB821" s="79" t="s">
        <v>636</v>
      </c>
      <c r="BC821" s="79"/>
      <c r="BD821" s="79"/>
      <c r="BE821" s="79"/>
      <c r="BF821" s="79"/>
      <c r="BG821" s="79"/>
      <c r="BH821" s="80" t="str">
        <f t="shared" si="1001"/>
        <v>Chapinero</v>
      </c>
      <c r="BI821" s="79" t="s">
        <v>360</v>
      </c>
      <c r="BJ821" s="79"/>
      <c r="BK821" s="79"/>
      <c r="BL821" s="79"/>
      <c r="BM821" s="79"/>
      <c r="BN821" s="79"/>
      <c r="BO821" s="79"/>
      <c r="BP821" s="79"/>
      <c r="BQ821" s="79"/>
      <c r="BR821" s="79"/>
      <c r="BS821" s="80" t="s">
        <v>360</v>
      </c>
      <c r="BT821" s="80" t="s">
        <v>174</v>
      </c>
      <c r="BU821" s="80" t="s">
        <v>179</v>
      </c>
      <c r="BV821" s="71"/>
      <c r="BW821" s="79" t="s">
        <v>152</v>
      </c>
      <c r="BX821" s="79" t="s">
        <v>179</v>
      </c>
      <c r="BY821" s="71"/>
      <c r="BZ821" s="79">
        <v>0</v>
      </c>
      <c r="CA821" s="79">
        <v>1</v>
      </c>
      <c r="CB821" s="79">
        <f t="shared" si="1109"/>
        <v>1</v>
      </c>
      <c r="CC821" s="79" t="str">
        <f t="shared" si="1137"/>
        <v>Ninguna</v>
      </c>
      <c r="CD821" s="79" t="s">
        <v>174</v>
      </c>
      <c r="CE821" s="79"/>
      <c r="CF821" s="79"/>
      <c r="CG821" s="83"/>
      <c r="CH821" s="41"/>
      <c r="CI821" s="79"/>
      <c r="CJ821" s="71"/>
      <c r="CK821" s="79">
        <f t="shared" si="1125"/>
        <v>0</v>
      </c>
      <c r="CL821" s="79"/>
      <c r="CM821" s="79"/>
      <c r="CN821" s="79"/>
      <c r="CO821" s="79"/>
      <c r="CP821" s="79"/>
      <c r="CQ821" s="79"/>
      <c r="CR821" s="83" t="s">
        <v>179</v>
      </c>
      <c r="CS821" s="83" t="s">
        <v>179</v>
      </c>
      <c r="CT821" s="83" t="s">
        <v>179</v>
      </c>
      <c r="CU821" s="83" t="s">
        <v>179</v>
      </c>
      <c r="CV821" s="83" t="s">
        <v>179</v>
      </c>
      <c r="CW821" s="83" t="s">
        <v>179</v>
      </c>
      <c r="CX821" s="79" t="s">
        <v>153</v>
      </c>
      <c r="CY821" s="79">
        <f>SUM(COUNTIF(CR821:CW821,"Realizado y Devuelto a la Ciudadanía"),COUNTIF(CR821:CW821,"Realizado y Trasladado por competencia"), COUNTIF(CR821:CW821,"Realizado y Gestionado"))</f>
        <v>0</v>
      </c>
      <c r="CZ821" s="79">
        <v>0</v>
      </c>
      <c r="DA821" s="79">
        <f>COUNTIF(CR821:CW821,"Realizado y Devuelto a la Ciudadanía")</f>
        <v>0</v>
      </c>
      <c r="DB821" s="84" t="str">
        <f t="shared" si="1128"/>
        <v/>
      </c>
      <c r="DC821" s="41"/>
      <c r="DD821" s="79" t="s">
        <v>153</v>
      </c>
      <c r="DE821" s="71"/>
      <c r="DF821" s="127" t="s">
        <v>5641</v>
      </c>
      <c r="DG821" s="79">
        <v>810</v>
      </c>
      <c r="DH821" s="86" t="str">
        <f t="shared" si="1129"/>
        <v>Completo</v>
      </c>
      <c r="DI821" s="79" t="s">
        <v>181</v>
      </c>
      <c r="DJ821" s="79"/>
      <c r="DK821" s="79"/>
      <c r="DL821" s="79">
        <v>0</v>
      </c>
      <c r="DM821" s="79">
        <v>0</v>
      </c>
      <c r="DN821" s="79" t="s">
        <v>182</v>
      </c>
      <c r="DO821" s="79"/>
      <c r="DP821" s="79"/>
      <c r="DQ821" s="79"/>
      <c r="DR821" s="75" t="str">
        <f t="shared" si="1130"/>
        <v>No aplica</v>
      </c>
      <c r="DS821" s="79"/>
      <c r="DT821" s="79"/>
      <c r="DU821" s="75" t="str">
        <f t="shared" si="1131"/>
        <v>No aplica</v>
      </c>
      <c r="DV821" s="79" t="s">
        <v>182</v>
      </c>
      <c r="DW821" s="79"/>
      <c r="DX821" s="79"/>
      <c r="DY821" s="79"/>
      <c r="DZ821" s="79"/>
      <c r="EA821" s="79"/>
      <c r="EB821" s="79"/>
      <c r="EC821" s="79"/>
      <c r="ED821" s="79"/>
      <c r="EE821" s="79" t="str">
        <f t="shared" si="1136"/>
        <v>Completo</v>
      </c>
      <c r="EF821" s="41"/>
      <c r="EG821" s="79" t="s">
        <v>153</v>
      </c>
      <c r="EH821" s="71"/>
      <c r="EI821" s="80"/>
      <c r="EJ821" s="71"/>
      <c r="EK821" s="79"/>
      <c r="EL821" s="87" t="str">
        <f>IF(F821="NO","No requiere",IF(H821="No","No requiere",IF(DW821="","",IF(DW821&lt;&gt;"No aplica",IF(DX821&lt;&gt;"No aplica",IF(DX821&gt;=2,"Sí","No"),"No aplica"),"No aplica"))))</f>
        <v>No requiere</v>
      </c>
      <c r="EM821" s="87" t="str">
        <f>IF(F821="NO","No requiere",IF(H821="No","No requiere",IF(DW821="","",IF(DW821&lt;&gt;"No aplica",IF(DY821&lt;&gt;"No aplica",IF(DY821&gt;=1,"Sí","No"),"No aplica"),"No aplica"))))</f>
        <v>No requiere</v>
      </c>
      <c r="EN821" s="87" t="str">
        <f>IF(F821="NO","No requiere",IF(H821="No","No requiere",IF(CC821="","",IF(CD821&lt;&gt;"No aplica",IF(CD821&lt;&gt;"Ninguna",IF(COUNTIF(CD821:CF821,"*")&gt;=1,"Sí","No"),"No"),"No aplica"))))</f>
        <v>No requiere</v>
      </c>
      <c r="EO821" s="71"/>
      <c r="EP821" s="84" t="str">
        <f>IF(F821="NO","No requiere",IF(H821="No","No requiere",IF(DL821="","",IF(DL821&gt;=1,DM821/DL821,"No aplica"))))</f>
        <v>No requiere</v>
      </c>
      <c r="EQ821" s="88" t="str">
        <f>IFERROR(IF(F821="NO","No requiere",IF(H821="No","No requiere",DU821)),"")</f>
        <v>No requiere</v>
      </c>
      <c r="ER821" s="71"/>
      <c r="ES821" s="79"/>
      <c r="ET821" s="84" t="str">
        <f t="shared" si="1132"/>
        <v>No requiere</v>
      </c>
      <c r="EU821" s="84" t="str">
        <f t="shared" si="1133"/>
        <v>No requiere</v>
      </c>
      <c r="EV821" s="84" t="str">
        <f t="shared" si="1134"/>
        <v>No requiere</v>
      </c>
      <c r="EW821" s="84" t="str">
        <f t="shared" si="1135"/>
        <v>No requiere</v>
      </c>
      <c r="EX821" s="78"/>
      <c r="EY821" s="78"/>
    </row>
    <row r="822" spans="1:155" ht="40.5" customHeight="1">
      <c r="A822" s="79">
        <v>818</v>
      </c>
      <c r="B822" s="80" t="s">
        <v>5642</v>
      </c>
      <c r="C822" s="81">
        <v>45508</v>
      </c>
      <c r="D822" s="82">
        <v>0.33333333333333331</v>
      </c>
      <c r="E822" s="79" t="s">
        <v>151</v>
      </c>
      <c r="F822" s="79" t="s">
        <v>153</v>
      </c>
      <c r="G822" s="79" t="s">
        <v>152</v>
      </c>
      <c r="H822" s="79" t="s">
        <v>152</v>
      </c>
      <c r="I822" s="79" t="s">
        <v>152</v>
      </c>
      <c r="J822" s="79" t="s">
        <v>5581</v>
      </c>
      <c r="K822" s="79" t="s">
        <v>155</v>
      </c>
      <c r="L822" s="80" t="s">
        <v>5582</v>
      </c>
      <c r="M822" s="80" t="s">
        <v>241</v>
      </c>
      <c r="N822" s="79" t="s">
        <v>801</v>
      </c>
      <c r="O822" s="80" t="str">
        <f t="shared" si="636"/>
        <v/>
      </c>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t="s">
        <v>1226</v>
      </c>
      <c r="AP822" s="79"/>
      <c r="AQ822" s="80" t="s">
        <v>5583</v>
      </c>
      <c r="AR822" s="83">
        <v>3046010799</v>
      </c>
      <c r="AS822" s="128" t="s">
        <v>5584</v>
      </c>
      <c r="AT822" s="80" t="str">
        <f t="shared" si="950"/>
        <v>Usaquén</v>
      </c>
      <c r="AU822" s="79" t="s">
        <v>661</v>
      </c>
      <c r="AV822" s="79"/>
      <c r="AW822" s="79"/>
      <c r="AX822" s="79"/>
      <c r="AY822" s="79"/>
      <c r="AZ822" s="79"/>
      <c r="BA822" s="80" t="str">
        <f t="shared" si="1000"/>
        <v>Norte</v>
      </c>
      <c r="BB822" s="79" t="s">
        <v>662</v>
      </c>
      <c r="BC822" s="79"/>
      <c r="BD822" s="79"/>
      <c r="BE822" s="79"/>
      <c r="BF822" s="79"/>
      <c r="BG822" s="79"/>
      <c r="BH822" s="80" t="str">
        <f t="shared" si="1001"/>
        <v>Usaquén</v>
      </c>
      <c r="BI822" s="79" t="s">
        <v>661</v>
      </c>
      <c r="BJ822" s="79"/>
      <c r="BK822" s="79"/>
      <c r="BL822" s="79"/>
      <c r="BM822" s="79"/>
      <c r="BN822" s="79"/>
      <c r="BO822" s="79"/>
      <c r="BP822" s="79"/>
      <c r="BQ822" s="79"/>
      <c r="BR822" s="79"/>
      <c r="BS822" s="80" t="s">
        <v>661</v>
      </c>
      <c r="BT822" s="80" t="s">
        <v>174</v>
      </c>
      <c r="BU822" s="80" t="s">
        <v>179</v>
      </c>
      <c r="BV822" s="71"/>
      <c r="BW822" s="79" t="s">
        <v>152</v>
      </c>
      <c r="BX822" s="79" t="s">
        <v>179</v>
      </c>
      <c r="BY822" s="71"/>
      <c r="BZ822" s="79">
        <v>1</v>
      </c>
      <c r="CA822" s="79">
        <v>1</v>
      </c>
      <c r="CB822" s="79">
        <f t="shared" si="1109"/>
        <v>2</v>
      </c>
      <c r="CC822" s="79" t="str">
        <f t="shared" si="1137"/>
        <v>Ninguna</v>
      </c>
      <c r="CD822" s="79" t="s">
        <v>174</v>
      </c>
      <c r="CE822" s="79"/>
      <c r="CF822" s="79"/>
      <c r="CG822" s="83"/>
      <c r="CH822" s="41"/>
      <c r="CI822" s="79"/>
      <c r="CJ822" s="71"/>
      <c r="CK822" s="79">
        <f t="shared" si="1125"/>
        <v>0</v>
      </c>
      <c r="CL822" s="79"/>
      <c r="CM822" s="79"/>
      <c r="CN822" s="79"/>
      <c r="CO822" s="79"/>
      <c r="CP822" s="79"/>
      <c r="CQ822" s="79"/>
      <c r="CR822" s="83" t="s">
        <v>1545</v>
      </c>
      <c r="CS822" s="83" t="s">
        <v>1545</v>
      </c>
      <c r="CT822" s="83" t="s">
        <v>1545</v>
      </c>
      <c r="CU822" s="83" t="s">
        <v>1545</v>
      </c>
      <c r="CV822" s="83" t="s">
        <v>1545</v>
      </c>
      <c r="CW822" s="83" t="s">
        <v>1545</v>
      </c>
      <c r="CX822" s="79" t="s">
        <v>153</v>
      </c>
      <c r="CY822" s="79">
        <f t="shared" si="1126"/>
        <v>0</v>
      </c>
      <c r="CZ822" s="79">
        <v>0</v>
      </c>
      <c r="DA822" s="79">
        <f t="shared" si="1127"/>
        <v>0</v>
      </c>
      <c r="DB822" s="84" t="str">
        <f t="shared" si="1128"/>
        <v/>
      </c>
      <c r="DC822" s="41"/>
      <c r="DD822" s="79" t="s">
        <v>153</v>
      </c>
      <c r="DE822" s="71"/>
      <c r="DF822" s="127" t="s">
        <v>5643</v>
      </c>
      <c r="DG822" s="79">
        <v>811</v>
      </c>
      <c r="DH822" s="86" t="str">
        <f t="shared" si="1129"/>
        <v>Completo</v>
      </c>
      <c r="DI822" s="79" t="s">
        <v>181</v>
      </c>
      <c r="DJ822" s="79"/>
      <c r="DK822" s="79"/>
      <c r="DL822" s="79">
        <v>0</v>
      </c>
      <c r="DM822" s="79">
        <v>0</v>
      </c>
      <c r="DN822" s="79"/>
      <c r="DO822" s="79"/>
      <c r="DP822" s="79"/>
      <c r="DQ822" s="79"/>
      <c r="DR822" s="75" t="str">
        <f t="shared" si="1130"/>
        <v>No aplica</v>
      </c>
      <c r="DS822" s="79"/>
      <c r="DT822" s="79"/>
      <c r="DU822" s="75" t="str">
        <f t="shared" si="1131"/>
        <v>No aplica</v>
      </c>
      <c r="DV822" s="79"/>
      <c r="DW822" s="79"/>
      <c r="DX822" s="79"/>
      <c r="DY822" s="79"/>
      <c r="DZ822" s="79"/>
      <c r="EA822" s="79"/>
      <c r="EB822" s="79"/>
      <c r="EC822" s="79"/>
      <c r="ED822" s="79" t="s">
        <v>5644</v>
      </c>
      <c r="EE822" s="79" t="str">
        <f t="shared" si="1136"/>
        <v>Completo</v>
      </c>
      <c r="EF822" s="41"/>
      <c r="EG822" s="79" t="s">
        <v>153</v>
      </c>
      <c r="EH822" s="71"/>
      <c r="EI822" s="80"/>
      <c r="EJ822" s="71"/>
      <c r="EK822" s="79"/>
      <c r="EL822" s="87" t="str">
        <f>IF(F822="NO","No requiere",IF(H822="No","No requiere",IF(DW822="","",IF(DW822&lt;&gt;"No aplica",IF(DX822&lt;&gt;"No aplica",IF(DX822&gt;=2,"Sí","No"),"No aplica"),"No aplica"))))</f>
        <v>No requiere</v>
      </c>
      <c r="EM822" s="87" t="str">
        <f>IF(F822="NO","No requiere",IF(H822="No","No requiere",IF(DW822="","",IF(DW822&lt;&gt;"No aplica",IF(DY822&lt;&gt;"No aplica",IF(DY822&gt;=1,"Sí","No"),"No aplica"),"No aplica"))))</f>
        <v>No requiere</v>
      </c>
      <c r="EN822" s="87" t="str">
        <f>IF(F822="NO","No requiere",IF(H822="No","No requiere",IF(CC822="","",IF(CD822&lt;&gt;"No aplica",IF(CD822&lt;&gt;"Ninguna",IF(COUNTIF(CD822:CF822,"*")&gt;=1,"Sí","No"),"No"),"No aplica"))))</f>
        <v>No requiere</v>
      </c>
      <c r="EO822" s="71"/>
      <c r="EP822" s="84" t="str">
        <f>IF(F822="NO","No requiere",IF(H822="No","No requiere",IF(DL822="","",IF(DL822&gt;=1,DM822/DL822,"No aplica"))))</f>
        <v>No requiere</v>
      </c>
      <c r="EQ822" s="88" t="str">
        <f>IFERROR(IF(F822="NO","No requiere",IF(H822="No","No requiere",DU822)),"")</f>
        <v>No requiere</v>
      </c>
      <c r="ER822" s="71"/>
      <c r="ES822" s="79"/>
      <c r="ET822" s="84" t="str">
        <f t="shared" si="1132"/>
        <v>No requiere</v>
      </c>
      <c r="EU822" s="84" t="str">
        <f t="shared" si="1133"/>
        <v>No requiere</v>
      </c>
      <c r="EV822" s="84" t="str">
        <f t="shared" si="1134"/>
        <v>No requiere</v>
      </c>
      <c r="EW822" s="84" t="str">
        <f t="shared" si="1135"/>
        <v>No requiere</v>
      </c>
      <c r="EX822" s="78"/>
      <c r="EY822" s="78"/>
    </row>
    <row r="823" spans="1:155" ht="40.5" customHeight="1">
      <c r="A823" s="79">
        <v>819</v>
      </c>
      <c r="B823" s="80" t="s">
        <v>5645</v>
      </c>
      <c r="C823" s="81">
        <v>45508</v>
      </c>
      <c r="D823" s="82">
        <v>0.33333333333333331</v>
      </c>
      <c r="E823" s="79" t="s">
        <v>151</v>
      </c>
      <c r="F823" s="79" t="s">
        <v>153</v>
      </c>
      <c r="G823" s="79" t="s">
        <v>152</v>
      </c>
      <c r="H823" s="79" t="s">
        <v>152</v>
      </c>
      <c r="I823" s="79" t="s">
        <v>152</v>
      </c>
      <c r="J823" s="79" t="s">
        <v>5581</v>
      </c>
      <c r="K823" s="79" t="s">
        <v>155</v>
      </c>
      <c r="L823" s="80" t="s">
        <v>5582</v>
      </c>
      <c r="M823" s="80" t="s">
        <v>241</v>
      </c>
      <c r="N823" s="79" t="s">
        <v>1611</v>
      </c>
      <c r="O823" s="80" t="str">
        <f t="shared" si="636"/>
        <v/>
      </c>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t="s">
        <v>1226</v>
      </c>
      <c r="AP823" s="79"/>
      <c r="AQ823" s="80" t="s">
        <v>5583</v>
      </c>
      <c r="AR823" s="83">
        <v>3046010799</v>
      </c>
      <c r="AS823" s="128" t="s">
        <v>5584</v>
      </c>
      <c r="AT823" s="80" t="str">
        <f t="shared" si="950"/>
        <v>Usaquén</v>
      </c>
      <c r="AU823" s="79" t="s">
        <v>661</v>
      </c>
      <c r="AV823" s="79"/>
      <c r="AW823" s="79"/>
      <c r="AX823" s="79"/>
      <c r="AY823" s="79"/>
      <c r="AZ823" s="79"/>
      <c r="BA823" s="80" t="str">
        <f t="shared" si="1000"/>
        <v>Norte</v>
      </c>
      <c r="BB823" s="79" t="s">
        <v>662</v>
      </c>
      <c r="BC823" s="79"/>
      <c r="BD823" s="79"/>
      <c r="BE823" s="79"/>
      <c r="BF823" s="79"/>
      <c r="BG823" s="79"/>
      <c r="BH823" s="80" t="str">
        <f t="shared" si="1001"/>
        <v>Toberín</v>
      </c>
      <c r="BI823" s="79" t="s">
        <v>804</v>
      </c>
      <c r="BJ823" s="79"/>
      <c r="BK823" s="79"/>
      <c r="BL823" s="79"/>
      <c r="BM823" s="79"/>
      <c r="BN823" s="79"/>
      <c r="BO823" s="79"/>
      <c r="BP823" s="79"/>
      <c r="BQ823" s="79"/>
      <c r="BR823" s="79"/>
      <c r="BS823" s="80" t="s">
        <v>804</v>
      </c>
      <c r="BT823" s="80" t="s">
        <v>174</v>
      </c>
      <c r="BU823" s="80" t="s">
        <v>179</v>
      </c>
      <c r="BV823" s="71"/>
      <c r="BW823" s="79" t="s">
        <v>152</v>
      </c>
      <c r="BX823" s="79" t="s">
        <v>179</v>
      </c>
      <c r="BY823" s="71"/>
      <c r="BZ823" s="79">
        <v>6</v>
      </c>
      <c r="CA823" s="79">
        <v>1</v>
      </c>
      <c r="CB823" s="79">
        <f t="shared" si="1109"/>
        <v>7</v>
      </c>
      <c r="CC823" s="79" t="str">
        <f t="shared" si="1137"/>
        <v>Ninguna</v>
      </c>
      <c r="CD823" s="79" t="s">
        <v>174</v>
      </c>
      <c r="CE823" s="79"/>
      <c r="CF823" s="79"/>
      <c r="CG823" s="83"/>
      <c r="CH823" s="41"/>
      <c r="CI823" s="79"/>
      <c r="CJ823" s="71"/>
      <c r="CK823" s="79">
        <f t="shared" si="1125"/>
        <v>0</v>
      </c>
      <c r="CL823" s="79"/>
      <c r="CM823" s="79"/>
      <c r="CN823" s="79"/>
      <c r="CO823" s="79"/>
      <c r="CP823" s="79"/>
      <c r="CQ823" s="79"/>
      <c r="CR823" s="83"/>
      <c r="CS823" s="83"/>
      <c r="CT823" s="83"/>
      <c r="CU823" s="83"/>
      <c r="CV823" s="83"/>
      <c r="CW823" s="83"/>
      <c r="CX823" s="79"/>
      <c r="CY823" s="79">
        <f t="shared" si="1126"/>
        <v>0</v>
      </c>
      <c r="CZ823" s="79">
        <v>0</v>
      </c>
      <c r="DA823" s="79">
        <f t="shared" si="1127"/>
        <v>0</v>
      </c>
      <c r="DB823" s="84" t="str">
        <f t="shared" si="1128"/>
        <v/>
      </c>
      <c r="DC823" s="41"/>
      <c r="DD823" s="79" t="s">
        <v>153</v>
      </c>
      <c r="DE823" s="71"/>
      <c r="DF823" s="127" t="s">
        <v>5646</v>
      </c>
      <c r="DG823" s="79">
        <v>812</v>
      </c>
      <c r="DH823" s="86" t="str">
        <f t="shared" si="1129"/>
        <v>Completo</v>
      </c>
      <c r="DI823" s="79" t="s">
        <v>181</v>
      </c>
      <c r="DJ823" s="79"/>
      <c r="DK823" s="79"/>
      <c r="DL823" s="79">
        <v>0</v>
      </c>
      <c r="DM823" s="79">
        <v>0</v>
      </c>
      <c r="DN823" s="79"/>
      <c r="DO823" s="79"/>
      <c r="DP823" s="79"/>
      <c r="DQ823" s="79"/>
      <c r="DR823" s="75" t="str">
        <f t="shared" si="1130"/>
        <v>No aplica</v>
      </c>
      <c r="DS823" s="79"/>
      <c r="DT823" s="79"/>
      <c r="DU823" s="75" t="str">
        <f t="shared" si="1131"/>
        <v>No aplica</v>
      </c>
      <c r="DV823" s="79"/>
      <c r="DW823" s="79"/>
      <c r="DX823" s="79"/>
      <c r="DY823" s="79"/>
      <c r="DZ823" s="79"/>
      <c r="EA823" s="79"/>
      <c r="EB823" s="79"/>
      <c r="EC823" s="79"/>
      <c r="ED823" s="79"/>
      <c r="EE823" s="79" t="str">
        <f t="shared" si="1136"/>
        <v>Completo</v>
      </c>
      <c r="EF823" s="41"/>
      <c r="EG823" s="79" t="s">
        <v>153</v>
      </c>
      <c r="EH823" s="71"/>
      <c r="EI823" s="80"/>
      <c r="EJ823" s="71"/>
      <c r="EK823" s="79"/>
      <c r="EL823" s="87" t="str">
        <f>IF(F823="NO","No requiere",IF(H823="No","No requiere",IF(DW823="","",IF(DW823&lt;&gt;"No aplica",IF(DX823&lt;&gt;"No aplica",IF(DX823&gt;=2,"Sí","No"),"No aplica"),"No aplica"))))</f>
        <v>No requiere</v>
      </c>
      <c r="EM823" s="87" t="str">
        <f>IF(F823="NO","No requiere",IF(H823="No","No requiere",IF(DW823="","",IF(DW823&lt;&gt;"No aplica",IF(DY823&lt;&gt;"No aplica",IF(DY823&gt;=1,"Sí","No"),"No aplica"),"No aplica"))))</f>
        <v>No requiere</v>
      </c>
      <c r="EN823" s="87" t="str">
        <f>IF(F823="NO","No requiere",IF(H823="No","No requiere",IF(CC823="","",IF(CD823&lt;&gt;"No aplica",IF(CD823&lt;&gt;"Ninguna",IF(COUNTIF(CD823:CF823,"*")&gt;=1,"Sí","No"),"No"),"No aplica"))))</f>
        <v>No requiere</v>
      </c>
      <c r="EO823" s="71"/>
      <c r="EP823" s="84" t="str">
        <f>IF(F823="NO","No requiere",IF(H823="No","No requiere",IF(DL823="","",IF(DL823&gt;=1,DM823/DL823,"No aplica"))))</f>
        <v>No requiere</v>
      </c>
      <c r="EQ823" s="88" t="str">
        <f>IFERROR(IF(F823="NO","No requiere",IF(H823="No","No requiere",DU823)),"")</f>
        <v>No requiere</v>
      </c>
      <c r="ER823" s="71"/>
      <c r="ES823" s="79"/>
      <c r="ET823" s="84" t="str">
        <f t="shared" si="1132"/>
        <v>No requiere</v>
      </c>
      <c r="EU823" s="84" t="str">
        <f t="shared" si="1133"/>
        <v>No requiere</v>
      </c>
      <c r="EV823" s="84" t="str">
        <f t="shared" si="1134"/>
        <v>No requiere</v>
      </c>
      <c r="EW823" s="84" t="str">
        <f t="shared" si="1135"/>
        <v>No requiere</v>
      </c>
      <c r="EX823" s="78"/>
      <c r="EY823" s="78"/>
    </row>
    <row r="824" spans="1:155" ht="40.5" customHeight="1">
      <c r="A824" s="79">
        <v>820</v>
      </c>
      <c r="B824" s="80" t="s">
        <v>5647</v>
      </c>
      <c r="C824" s="81">
        <v>45508</v>
      </c>
      <c r="D824" s="82">
        <v>0.33333333333333331</v>
      </c>
      <c r="E824" s="79" t="s">
        <v>151</v>
      </c>
      <c r="F824" s="79" t="s">
        <v>153</v>
      </c>
      <c r="G824" s="79" t="s">
        <v>152</v>
      </c>
      <c r="H824" s="79" t="s">
        <v>152</v>
      </c>
      <c r="I824" s="79" t="s">
        <v>152</v>
      </c>
      <c r="J824" s="79" t="s">
        <v>5581</v>
      </c>
      <c r="K824" s="79" t="s">
        <v>155</v>
      </c>
      <c r="L824" s="80" t="s">
        <v>5582</v>
      </c>
      <c r="M824" s="80" t="s">
        <v>241</v>
      </c>
      <c r="N824" s="79" t="s">
        <v>525</v>
      </c>
      <c r="O824" s="80" t="str">
        <f t="shared" si="636"/>
        <v/>
      </c>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t="s">
        <v>1226</v>
      </c>
      <c r="AP824" s="79"/>
      <c r="AQ824" s="80" t="s">
        <v>5583</v>
      </c>
      <c r="AR824" s="83">
        <v>3046010799</v>
      </c>
      <c r="AS824" s="128" t="s">
        <v>5584</v>
      </c>
      <c r="AT824" s="80" t="str">
        <f t="shared" si="950"/>
        <v>Suba</v>
      </c>
      <c r="AU824" s="79" t="s">
        <v>602</v>
      </c>
      <c r="AV824" s="79"/>
      <c r="AW824" s="79"/>
      <c r="AX824" s="79"/>
      <c r="AY824" s="79"/>
      <c r="AZ824" s="79"/>
      <c r="BA824" s="80" t="str">
        <f t="shared" si="1000"/>
        <v>Norte</v>
      </c>
      <c r="BB824" s="79" t="s">
        <v>662</v>
      </c>
      <c r="BC824" s="79"/>
      <c r="BD824" s="79"/>
      <c r="BE824" s="79"/>
      <c r="BF824" s="79"/>
      <c r="BG824" s="79"/>
      <c r="BH824" s="80" t="str">
        <f t="shared" si="1001"/>
        <v>Niza</v>
      </c>
      <c r="BI824" s="79" t="s">
        <v>865</v>
      </c>
      <c r="BJ824" s="79"/>
      <c r="BK824" s="79"/>
      <c r="BL824" s="79"/>
      <c r="BM824" s="79"/>
      <c r="BN824" s="79"/>
      <c r="BO824" s="79"/>
      <c r="BP824" s="79"/>
      <c r="BQ824" s="79"/>
      <c r="BR824" s="79"/>
      <c r="BS824" s="80" t="s">
        <v>865</v>
      </c>
      <c r="BT824" s="80" t="s">
        <v>174</v>
      </c>
      <c r="BU824" s="80" t="s">
        <v>179</v>
      </c>
      <c r="BV824" s="71"/>
      <c r="BW824" s="79" t="s">
        <v>152</v>
      </c>
      <c r="BX824" s="79" t="s">
        <v>179</v>
      </c>
      <c r="BY824" s="71"/>
      <c r="BZ824" s="79">
        <v>0</v>
      </c>
      <c r="CA824" s="79">
        <v>1</v>
      </c>
      <c r="CB824" s="79">
        <f t="shared" si="1109"/>
        <v>1</v>
      </c>
      <c r="CC824" s="79" t="str">
        <f t="shared" si="1137"/>
        <v>Ninguna</v>
      </c>
      <c r="CD824" s="79" t="s">
        <v>174</v>
      </c>
      <c r="CE824" s="79"/>
      <c r="CF824" s="79"/>
      <c r="CG824" s="83"/>
      <c r="CH824" s="41"/>
      <c r="CI824" s="79"/>
      <c r="CJ824" s="71"/>
      <c r="CK824" s="79">
        <f t="shared" si="1125"/>
        <v>0</v>
      </c>
      <c r="CL824" s="79"/>
      <c r="CM824" s="79"/>
      <c r="CN824" s="79"/>
      <c r="CO824" s="79"/>
      <c r="CP824" s="79"/>
      <c r="CQ824" s="79"/>
      <c r="CR824" s="83" t="s">
        <v>179</v>
      </c>
      <c r="CS824" s="83" t="s">
        <v>179</v>
      </c>
      <c r="CT824" s="83" t="s">
        <v>179</v>
      </c>
      <c r="CU824" s="83" t="s">
        <v>179</v>
      </c>
      <c r="CV824" s="83" t="s">
        <v>179</v>
      </c>
      <c r="CW824" s="83" t="s">
        <v>179</v>
      </c>
      <c r="CX824" s="79" t="s">
        <v>153</v>
      </c>
      <c r="CY824" s="79">
        <f t="shared" si="1126"/>
        <v>0</v>
      </c>
      <c r="CZ824" s="79">
        <v>0</v>
      </c>
      <c r="DA824" s="79">
        <f t="shared" si="1127"/>
        <v>0</v>
      </c>
      <c r="DB824" s="84" t="str">
        <f t="shared" si="1128"/>
        <v/>
      </c>
      <c r="DC824" s="41"/>
      <c r="DD824" s="79" t="s">
        <v>153</v>
      </c>
      <c r="DE824" s="71"/>
      <c r="DF824" s="127" t="s">
        <v>5648</v>
      </c>
      <c r="DG824" s="79">
        <v>813</v>
      </c>
      <c r="DH824" s="86" t="str">
        <f t="shared" si="1129"/>
        <v>Completo</v>
      </c>
      <c r="DI824" s="79" t="s">
        <v>181</v>
      </c>
      <c r="DJ824" s="79"/>
      <c r="DK824" s="79"/>
      <c r="DL824" s="79">
        <v>0</v>
      </c>
      <c r="DM824" s="79">
        <v>0</v>
      </c>
      <c r="DN824" s="79" t="s">
        <v>182</v>
      </c>
      <c r="DO824" s="79"/>
      <c r="DP824" s="79"/>
      <c r="DQ824" s="79"/>
      <c r="DR824" s="75" t="str">
        <f t="shared" si="1130"/>
        <v>No aplica</v>
      </c>
      <c r="DS824" s="79"/>
      <c r="DT824" s="79"/>
      <c r="DU824" s="75" t="str">
        <f t="shared" si="1131"/>
        <v>No aplica</v>
      </c>
      <c r="DV824" s="79" t="s">
        <v>182</v>
      </c>
      <c r="DW824" s="79"/>
      <c r="DX824" s="79"/>
      <c r="DY824" s="79"/>
      <c r="DZ824" s="79"/>
      <c r="EA824" s="79"/>
      <c r="EB824" s="79"/>
      <c r="EC824" s="79"/>
      <c r="ED824" s="79" t="s">
        <v>5649</v>
      </c>
      <c r="EE824" s="79" t="str">
        <f t="shared" si="1136"/>
        <v>Completo</v>
      </c>
      <c r="EF824" s="41"/>
      <c r="EG824" s="79" t="s">
        <v>153</v>
      </c>
      <c r="EH824" s="71"/>
      <c r="EI824" s="80"/>
      <c r="EJ824" s="71"/>
      <c r="EK824" s="79"/>
      <c r="EL824" s="87" t="str">
        <f>IF(F824="NO","No requiere",IF(H824="No","No requiere",IF(DW824="","",IF(DW824&lt;&gt;"No aplica",IF(DX824&lt;&gt;"No aplica",IF(DX824&gt;=2,"Sí","No"),"No aplica"),"No aplica"))))</f>
        <v>No requiere</v>
      </c>
      <c r="EM824" s="87" t="str">
        <f>IF(F824="NO","No requiere",IF(H824="No","No requiere",IF(DW824="","",IF(DW824&lt;&gt;"No aplica",IF(DY824&lt;&gt;"No aplica",IF(DY824&gt;=1,"Sí","No"),"No aplica"),"No aplica"))))</f>
        <v>No requiere</v>
      </c>
      <c r="EN824" s="87" t="str">
        <f>IF(F824="NO","No requiere",IF(H824="No","No requiere",IF(CC824="","",IF(CD824&lt;&gt;"No aplica",IF(CD824&lt;&gt;"Ninguna",IF(COUNTIF(CD824:CF824,"*")&gt;=1,"Sí","No"),"No"),"No aplica"))))</f>
        <v>No requiere</v>
      </c>
      <c r="EO824" s="71"/>
      <c r="EP824" s="84" t="str">
        <f>IF(F824="NO","No requiere",IF(H824="No","No requiere",IF(DL824="","",IF(DL824&gt;=1,DM824/DL824,"No aplica"))))</f>
        <v>No requiere</v>
      </c>
      <c r="EQ824" s="88" t="str">
        <f>IFERROR(IF(F824="NO","No requiere",IF(H824="No","No requiere",DU824)),"")</f>
        <v>No requiere</v>
      </c>
      <c r="ER824" s="71"/>
      <c r="ES824" s="79"/>
      <c r="ET824" s="84" t="str">
        <f t="shared" si="1132"/>
        <v>No requiere</v>
      </c>
      <c r="EU824" s="84" t="str">
        <f t="shared" si="1133"/>
        <v>No requiere</v>
      </c>
      <c r="EV824" s="84" t="str">
        <f t="shared" si="1134"/>
        <v>No requiere</v>
      </c>
      <c r="EW824" s="84" t="str">
        <f t="shared" si="1135"/>
        <v>No requiere</v>
      </c>
      <c r="EX824" s="78"/>
      <c r="EY824" s="78"/>
    </row>
    <row r="825" spans="1:155" ht="40.5" customHeight="1">
      <c r="A825" s="79">
        <v>821</v>
      </c>
      <c r="B825" s="80" t="s">
        <v>5650</v>
      </c>
      <c r="C825" s="81">
        <v>45508</v>
      </c>
      <c r="D825" s="82">
        <v>0.33333333333333331</v>
      </c>
      <c r="E825" s="79" t="s">
        <v>151</v>
      </c>
      <c r="F825" s="79" t="s">
        <v>153</v>
      </c>
      <c r="G825" s="79" t="s">
        <v>152</v>
      </c>
      <c r="H825" s="79" t="s">
        <v>152</v>
      </c>
      <c r="I825" s="79" t="s">
        <v>152</v>
      </c>
      <c r="J825" s="79" t="s">
        <v>5581</v>
      </c>
      <c r="K825" s="79" t="s">
        <v>155</v>
      </c>
      <c r="L825" s="80" t="s">
        <v>5582</v>
      </c>
      <c r="M825" s="80" t="s">
        <v>241</v>
      </c>
      <c r="N825" s="79" t="s">
        <v>966</v>
      </c>
      <c r="O825" s="80" t="str">
        <f t="shared" si="636"/>
        <v/>
      </c>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t="s">
        <v>1226</v>
      </c>
      <c r="AP825" s="79"/>
      <c r="AQ825" s="80" t="s">
        <v>5583</v>
      </c>
      <c r="AR825" s="83">
        <v>3046010799</v>
      </c>
      <c r="AS825" s="128" t="s">
        <v>5584</v>
      </c>
      <c r="AT825" s="80" t="str">
        <f t="shared" si="950"/>
        <v>Suba</v>
      </c>
      <c r="AU825" s="79" t="s">
        <v>602</v>
      </c>
      <c r="AV825" s="79"/>
      <c r="AW825" s="79"/>
      <c r="AX825" s="79"/>
      <c r="AY825" s="79"/>
      <c r="AZ825" s="79"/>
      <c r="BA825" s="80" t="str">
        <f t="shared" si="1000"/>
        <v>Noroccidente</v>
      </c>
      <c r="BB825" s="79" t="s">
        <v>603</v>
      </c>
      <c r="BC825" s="79"/>
      <c r="BD825" s="79"/>
      <c r="BE825" s="79"/>
      <c r="BF825" s="79"/>
      <c r="BG825" s="79"/>
      <c r="BH825" s="80" t="str">
        <f t="shared" si="1001"/>
        <v>Suba Rincón</v>
      </c>
      <c r="BI825" s="79" t="s">
        <v>604</v>
      </c>
      <c r="BJ825" s="79"/>
      <c r="BK825" s="79"/>
      <c r="BL825" s="79"/>
      <c r="BM825" s="79"/>
      <c r="BN825" s="79"/>
      <c r="BO825" s="79"/>
      <c r="BP825" s="79"/>
      <c r="BQ825" s="79"/>
      <c r="BR825" s="79"/>
      <c r="BS825" s="80" t="s">
        <v>5651</v>
      </c>
      <c r="BT825" s="80" t="s">
        <v>174</v>
      </c>
      <c r="BU825" s="80" t="s">
        <v>179</v>
      </c>
      <c r="BV825" s="71"/>
      <c r="BW825" s="79" t="s">
        <v>152</v>
      </c>
      <c r="BX825" s="79" t="s">
        <v>179</v>
      </c>
      <c r="BY825" s="71"/>
      <c r="BZ825" s="79">
        <v>0</v>
      </c>
      <c r="CA825" s="79">
        <v>1</v>
      </c>
      <c r="CB825" s="79">
        <f t="shared" si="1109"/>
        <v>1</v>
      </c>
      <c r="CC825" s="79" t="str">
        <f t="shared" si="1137"/>
        <v>Ninguna</v>
      </c>
      <c r="CD825" s="79" t="s">
        <v>174</v>
      </c>
      <c r="CE825" s="79"/>
      <c r="CF825" s="79"/>
      <c r="CG825" s="83"/>
      <c r="CH825" s="41"/>
      <c r="CI825" s="79"/>
      <c r="CJ825" s="71"/>
      <c r="CK825" s="79">
        <f t="shared" si="1125"/>
        <v>0</v>
      </c>
      <c r="CL825" s="79"/>
      <c r="CM825" s="79"/>
      <c r="CN825" s="79"/>
      <c r="CO825" s="79"/>
      <c r="CP825" s="79"/>
      <c r="CQ825" s="79"/>
      <c r="CR825" s="83" t="s">
        <v>1545</v>
      </c>
      <c r="CS825" s="83" t="s">
        <v>1545</v>
      </c>
      <c r="CT825" s="83" t="s">
        <v>1545</v>
      </c>
      <c r="CU825" s="83" t="s">
        <v>1545</v>
      </c>
      <c r="CV825" s="83" t="s">
        <v>1545</v>
      </c>
      <c r="CW825" s="83" t="s">
        <v>1545</v>
      </c>
      <c r="CX825" s="79" t="s">
        <v>153</v>
      </c>
      <c r="CY825" s="79">
        <f t="shared" si="1126"/>
        <v>0</v>
      </c>
      <c r="CZ825" s="79">
        <v>0</v>
      </c>
      <c r="DA825" s="79">
        <f t="shared" si="1127"/>
        <v>0</v>
      </c>
      <c r="DB825" s="84" t="str">
        <f t="shared" si="1128"/>
        <v/>
      </c>
      <c r="DC825" s="41"/>
      <c r="DD825" s="79" t="s">
        <v>153</v>
      </c>
      <c r="DE825" s="71"/>
      <c r="DF825" s="127" t="s">
        <v>5652</v>
      </c>
      <c r="DG825" s="79">
        <v>814</v>
      </c>
      <c r="DH825" s="86" t="str">
        <f t="shared" si="1129"/>
        <v>Completo</v>
      </c>
      <c r="DI825" s="79" t="s">
        <v>181</v>
      </c>
      <c r="DJ825" s="79"/>
      <c r="DK825" s="79"/>
      <c r="DL825" s="79">
        <v>0</v>
      </c>
      <c r="DM825" s="79">
        <v>0</v>
      </c>
      <c r="DN825" s="79" t="s">
        <v>182</v>
      </c>
      <c r="DO825" s="79"/>
      <c r="DP825" s="79"/>
      <c r="DQ825" s="79"/>
      <c r="DR825" s="75" t="str">
        <f t="shared" si="1130"/>
        <v>No aplica</v>
      </c>
      <c r="DS825" s="79"/>
      <c r="DT825" s="79"/>
      <c r="DU825" s="75" t="str">
        <f t="shared" si="1131"/>
        <v>No aplica</v>
      </c>
      <c r="DV825" s="79" t="s">
        <v>182</v>
      </c>
      <c r="DW825" s="79"/>
      <c r="DX825" s="79"/>
      <c r="DY825" s="79"/>
      <c r="DZ825" s="79"/>
      <c r="EA825" s="79"/>
      <c r="EB825" s="79"/>
      <c r="EC825" s="79"/>
      <c r="ED825" s="79" t="s">
        <v>5653</v>
      </c>
      <c r="EE825" s="79" t="str">
        <f t="shared" si="1136"/>
        <v>Completo</v>
      </c>
      <c r="EF825" s="41"/>
      <c r="EG825" s="79" t="s">
        <v>153</v>
      </c>
      <c r="EH825" s="71"/>
      <c r="EI825" s="80"/>
      <c r="EJ825" s="71"/>
      <c r="EK825" s="79"/>
      <c r="EL825" s="87" t="str">
        <f>IF(F825="NO","No requiere",IF(H825="No","No requiere",IF(DW825="","",IF(DW825&lt;&gt;"No aplica",IF(DX825&lt;&gt;"No aplica",IF(DX825&gt;=2,"Sí","No"),"No aplica"),"No aplica"))))</f>
        <v>No requiere</v>
      </c>
      <c r="EM825" s="87" t="str">
        <f>IF(F825="NO","No requiere",IF(H825="No","No requiere",IF(DW825="","",IF(DW825&lt;&gt;"No aplica",IF(DY825&lt;&gt;"No aplica",IF(DY825&gt;=1,"Sí","No"),"No aplica"),"No aplica"))))</f>
        <v>No requiere</v>
      </c>
      <c r="EN825" s="87" t="str">
        <f>IF(F825="NO","No requiere",IF(H825="No","No requiere",IF(CC825="","",IF(CD825&lt;&gt;"No aplica",IF(CD825&lt;&gt;"Ninguna",IF(COUNTIF(CD825:CF825,"*")&gt;=1,"Sí","No"),"No"),"No aplica"))))</f>
        <v>No requiere</v>
      </c>
      <c r="EO825" s="71"/>
      <c r="EP825" s="84" t="str">
        <f>IF(F825="NO","No requiere",IF(H825="No","No requiere",IF(DL825="","",IF(DL825&gt;=1,DM825/DL825,"No aplica"))))</f>
        <v>No requiere</v>
      </c>
      <c r="EQ825" s="88" t="str">
        <f>IFERROR(IF(F825="NO","No requiere",IF(H825="No","No requiere",DU825)),"")</f>
        <v>No requiere</v>
      </c>
      <c r="ER825" s="71"/>
      <c r="ES825" s="79"/>
      <c r="ET825" s="84" t="str">
        <f t="shared" si="1132"/>
        <v>No requiere</v>
      </c>
      <c r="EU825" s="84" t="str">
        <f t="shared" si="1133"/>
        <v>No requiere</v>
      </c>
      <c r="EV825" s="84" t="str">
        <f t="shared" si="1134"/>
        <v>No requiere</v>
      </c>
      <c r="EW825" s="84" t="str">
        <f t="shared" si="1135"/>
        <v>No requiere</v>
      </c>
      <c r="EX825" s="78"/>
      <c r="EY825" s="78"/>
    </row>
    <row r="826" spans="1:155" ht="40.5" customHeight="1">
      <c r="A826" s="79">
        <v>822</v>
      </c>
      <c r="B826" s="80" t="s">
        <v>5654</v>
      </c>
      <c r="C826" s="81">
        <v>45508</v>
      </c>
      <c r="D826" s="82">
        <v>0.33333333333333331</v>
      </c>
      <c r="E826" s="79" t="s">
        <v>151</v>
      </c>
      <c r="F826" s="79" t="s">
        <v>153</v>
      </c>
      <c r="G826" s="79" t="s">
        <v>152</v>
      </c>
      <c r="H826" s="79" t="s">
        <v>152</v>
      </c>
      <c r="I826" s="79" t="s">
        <v>152</v>
      </c>
      <c r="J826" s="79" t="s">
        <v>5581</v>
      </c>
      <c r="K826" s="79" t="s">
        <v>155</v>
      </c>
      <c r="L826" s="80" t="s">
        <v>5582</v>
      </c>
      <c r="M826" s="80" t="s">
        <v>241</v>
      </c>
      <c r="N826" s="79" t="s">
        <v>328</v>
      </c>
      <c r="O826" s="80" t="str">
        <f t="shared" si="636"/>
        <v/>
      </c>
      <c r="P826" s="79"/>
      <c r="Q826" s="79"/>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t="s">
        <v>1226</v>
      </c>
      <c r="AP826" s="79"/>
      <c r="AQ826" s="80" t="s">
        <v>5583</v>
      </c>
      <c r="AR826" s="83">
        <v>3046010799</v>
      </c>
      <c r="AS826" s="128" t="s">
        <v>5584</v>
      </c>
      <c r="AT826" s="80" t="str">
        <f t="shared" si="950"/>
        <v>Engativá</v>
      </c>
      <c r="AU826" s="79" t="s">
        <v>234</v>
      </c>
      <c r="AV826" s="79"/>
      <c r="AW826" s="79"/>
      <c r="AX826" s="79"/>
      <c r="AY826" s="79"/>
      <c r="AZ826" s="79"/>
      <c r="BA826" s="80" t="str">
        <f t="shared" si="1000"/>
        <v>Occidente</v>
      </c>
      <c r="BB826" s="79" t="s">
        <v>235</v>
      </c>
      <c r="BC826" s="79"/>
      <c r="BD826" s="79"/>
      <c r="BE826" s="79"/>
      <c r="BF826" s="79"/>
      <c r="BG826" s="79"/>
      <c r="BH826" s="80" t="str">
        <f t="shared" si="1001"/>
        <v>Tabora</v>
      </c>
      <c r="BI826" s="79" t="s">
        <v>414</v>
      </c>
      <c r="BJ826" s="79"/>
      <c r="BK826" s="79"/>
      <c r="BL826" s="79"/>
      <c r="BM826" s="79"/>
      <c r="BN826" s="79"/>
      <c r="BO826" s="79"/>
      <c r="BP826" s="79"/>
      <c r="BQ826" s="79"/>
      <c r="BR826" s="79"/>
      <c r="BS826" s="80" t="s">
        <v>414</v>
      </c>
      <c r="BT826" s="80" t="s">
        <v>174</v>
      </c>
      <c r="BU826" s="80" t="s">
        <v>179</v>
      </c>
      <c r="BV826" s="71"/>
      <c r="BW826" s="79" t="s">
        <v>152</v>
      </c>
      <c r="BX826" s="79" t="s">
        <v>179</v>
      </c>
      <c r="BY826" s="71"/>
      <c r="BZ826" s="79">
        <v>8</v>
      </c>
      <c r="CA826" s="79">
        <v>1</v>
      </c>
      <c r="CB826" s="79">
        <f t="shared" si="1109"/>
        <v>9</v>
      </c>
      <c r="CC826" s="79" t="str">
        <f t="shared" si="1137"/>
        <v>Ninguna</v>
      </c>
      <c r="CD826" s="79" t="s">
        <v>174</v>
      </c>
      <c r="CE826" s="79"/>
      <c r="CF826" s="79"/>
      <c r="CG826" s="83"/>
      <c r="CH826" s="41"/>
      <c r="CI826" s="79"/>
      <c r="CJ826" s="71"/>
      <c r="CK826" s="79">
        <f t="shared" si="1125"/>
        <v>0</v>
      </c>
      <c r="CL826" s="79"/>
      <c r="CM826" s="79"/>
      <c r="CN826" s="79"/>
      <c r="CO826" s="79"/>
      <c r="CP826" s="79"/>
      <c r="CQ826" s="79"/>
      <c r="CR826" s="83" t="s">
        <v>179</v>
      </c>
      <c r="CS826" s="83" t="s">
        <v>179</v>
      </c>
      <c r="CT826" s="83" t="s">
        <v>179</v>
      </c>
      <c r="CU826" s="83" t="s">
        <v>179</v>
      </c>
      <c r="CV826" s="83" t="s">
        <v>179</v>
      </c>
      <c r="CW826" s="83" t="s">
        <v>179</v>
      </c>
      <c r="CX826" s="79" t="s">
        <v>153</v>
      </c>
      <c r="CY826" s="79">
        <f t="shared" si="1126"/>
        <v>0</v>
      </c>
      <c r="CZ826" s="79">
        <v>0</v>
      </c>
      <c r="DA826" s="79">
        <f t="shared" si="1127"/>
        <v>0</v>
      </c>
      <c r="DB826" s="84" t="str">
        <f t="shared" si="1128"/>
        <v/>
      </c>
      <c r="DC826" s="41"/>
      <c r="DD826" s="79" t="s">
        <v>153</v>
      </c>
      <c r="DE826" s="71"/>
      <c r="DF826" s="127" t="s">
        <v>5655</v>
      </c>
      <c r="DG826" s="79">
        <v>815</v>
      </c>
      <c r="DH826" s="86" t="str">
        <f t="shared" si="1129"/>
        <v>Completo</v>
      </c>
      <c r="DI826" s="79" t="s">
        <v>181</v>
      </c>
      <c r="DJ826" s="79"/>
      <c r="DK826" s="79"/>
      <c r="DL826" s="79">
        <v>0</v>
      </c>
      <c r="DM826" s="79">
        <v>0</v>
      </c>
      <c r="DN826" s="79" t="s">
        <v>182</v>
      </c>
      <c r="DO826" s="79"/>
      <c r="DP826" s="79"/>
      <c r="DQ826" s="79"/>
      <c r="DR826" s="75" t="str">
        <f t="shared" si="1130"/>
        <v>No aplica</v>
      </c>
      <c r="DS826" s="79"/>
      <c r="DT826" s="79"/>
      <c r="DU826" s="75" t="str">
        <f t="shared" si="1131"/>
        <v>No aplica</v>
      </c>
      <c r="DV826" s="79" t="s">
        <v>182</v>
      </c>
      <c r="DW826" s="79"/>
      <c r="DX826" s="79"/>
      <c r="DY826" s="79"/>
      <c r="DZ826" s="79"/>
      <c r="EA826" s="79"/>
      <c r="EB826" s="79"/>
      <c r="EC826" s="79"/>
      <c r="ED826" s="79" t="s">
        <v>5656</v>
      </c>
      <c r="EE826" s="79" t="str">
        <f t="shared" si="1136"/>
        <v>Completo</v>
      </c>
      <c r="EF826" s="41"/>
      <c r="EG826" s="79" t="s">
        <v>153</v>
      </c>
      <c r="EH826" s="71"/>
      <c r="EI826" s="80"/>
      <c r="EJ826" s="71"/>
      <c r="EK826" s="79"/>
      <c r="EL826" s="87" t="str">
        <f>IF(F826="NO","No requiere",IF(H826="No","No requiere",IF(DW826="","",IF(DW826&lt;&gt;"No aplica",IF(DX826&lt;&gt;"No aplica",IF(DX826&gt;=2,"Sí","No"),"No aplica"),"No aplica"))))</f>
        <v>No requiere</v>
      </c>
      <c r="EM826" s="87" t="str">
        <f>IF(F826="NO","No requiere",IF(H826="No","No requiere",IF(DW826="","",IF(DW826&lt;&gt;"No aplica",IF(DY826&lt;&gt;"No aplica",IF(DY826&gt;=1,"Sí","No"),"No aplica"),"No aplica"))))</f>
        <v>No requiere</v>
      </c>
      <c r="EN826" s="87" t="str">
        <f>IF(F826="NO","No requiere",IF(H826="No","No requiere",IF(CC826="","",IF(CD826&lt;&gt;"No aplica",IF(CD826&lt;&gt;"Ninguna",IF(COUNTIF(CD826:CF826,"*")&gt;=1,"Sí","No"),"No"),"No aplica"))))</f>
        <v>No requiere</v>
      </c>
      <c r="EO826" s="71"/>
      <c r="EP826" s="84" t="str">
        <f>IF(F826="NO","No requiere",IF(H826="No","No requiere",IF(DL826="","",IF(DL826&gt;=1,DM826/DL826,"No aplica"))))</f>
        <v>No requiere</v>
      </c>
      <c r="EQ826" s="88" t="str">
        <f>IFERROR(IF(F826="NO","No requiere",IF(H826="No","No requiere",DU826)),"")</f>
        <v>No requiere</v>
      </c>
      <c r="ER826" s="71"/>
      <c r="ES826" s="79"/>
      <c r="ET826" s="84" t="str">
        <f t="shared" si="1132"/>
        <v>No requiere</v>
      </c>
      <c r="EU826" s="84" t="str">
        <f t="shared" si="1133"/>
        <v>No requiere</v>
      </c>
      <c r="EV826" s="84" t="str">
        <f t="shared" si="1134"/>
        <v>No requiere</v>
      </c>
      <c r="EW826" s="84" t="str">
        <f t="shared" si="1135"/>
        <v>No requiere</v>
      </c>
      <c r="EX826" s="78"/>
      <c r="EY826" s="78"/>
    </row>
    <row r="827" spans="1:155" ht="40.5" customHeight="1">
      <c r="A827" s="79">
        <v>823</v>
      </c>
      <c r="B827" s="80" t="s">
        <v>5657</v>
      </c>
      <c r="C827" s="81">
        <v>45508</v>
      </c>
      <c r="D827" s="82">
        <v>0.33333333333333331</v>
      </c>
      <c r="E827" s="79" t="s">
        <v>151</v>
      </c>
      <c r="F827" s="79" t="s">
        <v>153</v>
      </c>
      <c r="G827" s="79" t="s">
        <v>152</v>
      </c>
      <c r="H827" s="79" t="s">
        <v>152</v>
      </c>
      <c r="I827" s="79" t="s">
        <v>152</v>
      </c>
      <c r="J827" s="79" t="s">
        <v>5581</v>
      </c>
      <c r="K827" s="79" t="s">
        <v>155</v>
      </c>
      <c r="L827" s="80" t="s">
        <v>5582</v>
      </c>
      <c r="M827" s="80" t="s">
        <v>241</v>
      </c>
      <c r="N827" s="79" t="s">
        <v>632</v>
      </c>
      <c r="O827" s="80" t="str">
        <f t="shared" si="636"/>
        <v/>
      </c>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t="s">
        <v>1226</v>
      </c>
      <c r="AP827" s="79"/>
      <c r="AQ827" s="80" t="s">
        <v>5583</v>
      </c>
      <c r="AR827" s="83">
        <v>3046010799</v>
      </c>
      <c r="AS827" s="128" t="s">
        <v>5584</v>
      </c>
      <c r="AT827" s="80" t="str">
        <f t="shared" si="950"/>
        <v>Engativá</v>
      </c>
      <c r="AU827" s="79" t="s">
        <v>234</v>
      </c>
      <c r="AV827" s="79"/>
      <c r="AW827" s="79"/>
      <c r="AX827" s="79"/>
      <c r="AY827" s="79"/>
      <c r="AZ827" s="79"/>
      <c r="BA827" s="80" t="str">
        <f t="shared" si="1000"/>
        <v>Occidente</v>
      </c>
      <c r="BB827" s="79" t="s">
        <v>235</v>
      </c>
      <c r="BC827" s="79"/>
      <c r="BD827" s="79"/>
      <c r="BE827" s="79"/>
      <c r="BF827" s="79"/>
      <c r="BG827" s="79"/>
      <c r="BH827" s="80" t="str">
        <f t="shared" si="1001"/>
        <v>Salitre</v>
      </c>
      <c r="BI827" s="79" t="s">
        <v>415</v>
      </c>
      <c r="BJ827" s="79"/>
      <c r="BK827" s="79"/>
      <c r="BL827" s="79"/>
      <c r="BM827" s="79"/>
      <c r="BN827" s="79"/>
      <c r="BO827" s="79"/>
      <c r="BP827" s="79"/>
      <c r="BQ827" s="79"/>
      <c r="BR827" s="79"/>
      <c r="BS827" s="80" t="s">
        <v>415</v>
      </c>
      <c r="BT827" s="80" t="s">
        <v>174</v>
      </c>
      <c r="BU827" s="80" t="s">
        <v>179</v>
      </c>
      <c r="BV827" s="71"/>
      <c r="BW827" s="79" t="s">
        <v>152</v>
      </c>
      <c r="BX827" s="79" t="s">
        <v>179</v>
      </c>
      <c r="BY827" s="71"/>
      <c r="BZ827" s="79">
        <v>0</v>
      </c>
      <c r="CA827" s="79">
        <v>1</v>
      </c>
      <c r="CB827" s="79">
        <f t="shared" si="1109"/>
        <v>1</v>
      </c>
      <c r="CC827" s="79" t="str">
        <f t="shared" si="1137"/>
        <v>Ninguna</v>
      </c>
      <c r="CD827" s="79" t="s">
        <v>174</v>
      </c>
      <c r="CE827" s="79"/>
      <c r="CF827" s="79"/>
      <c r="CG827" s="83"/>
      <c r="CH827" s="41"/>
      <c r="CI827" s="79"/>
      <c r="CJ827" s="71"/>
      <c r="CK827" s="79">
        <f t="shared" si="1125"/>
        <v>0</v>
      </c>
      <c r="CL827" s="79"/>
      <c r="CM827" s="79"/>
      <c r="CN827" s="79"/>
      <c r="CO827" s="79"/>
      <c r="CP827" s="79"/>
      <c r="CQ827" s="79"/>
      <c r="CR827" s="83" t="s">
        <v>179</v>
      </c>
      <c r="CS827" s="83" t="s">
        <v>179</v>
      </c>
      <c r="CT827" s="83" t="s">
        <v>179</v>
      </c>
      <c r="CU827" s="83" t="s">
        <v>179</v>
      </c>
      <c r="CV827" s="83" t="s">
        <v>179</v>
      </c>
      <c r="CW827" s="83" t="s">
        <v>179</v>
      </c>
      <c r="CX827" s="79" t="s">
        <v>153</v>
      </c>
      <c r="CY827" s="79">
        <f t="shared" si="1126"/>
        <v>0</v>
      </c>
      <c r="CZ827" s="79">
        <v>0</v>
      </c>
      <c r="DA827" s="79">
        <f t="shared" si="1127"/>
        <v>0</v>
      </c>
      <c r="DB827" s="84" t="str">
        <f t="shared" si="1128"/>
        <v/>
      </c>
      <c r="DC827" s="41"/>
      <c r="DD827" s="79" t="s">
        <v>153</v>
      </c>
      <c r="DE827" s="325"/>
      <c r="DF827" s="127" t="s">
        <v>5658</v>
      </c>
      <c r="DG827" s="79">
        <v>816</v>
      </c>
      <c r="DH827" s="86" t="str">
        <f t="shared" si="1129"/>
        <v>Completo</v>
      </c>
      <c r="DI827" s="79" t="s">
        <v>181</v>
      </c>
      <c r="DJ827" s="79"/>
      <c r="DK827" s="79"/>
      <c r="DL827" s="79">
        <v>0</v>
      </c>
      <c r="DM827" s="79">
        <v>0</v>
      </c>
      <c r="DN827" s="79" t="s">
        <v>182</v>
      </c>
      <c r="DO827" s="79"/>
      <c r="DP827" s="79"/>
      <c r="DQ827" s="79"/>
      <c r="DR827" s="75" t="str">
        <f t="shared" si="1130"/>
        <v>No aplica</v>
      </c>
      <c r="DS827" s="79"/>
      <c r="DT827" s="79"/>
      <c r="DU827" s="75" t="str">
        <f t="shared" si="1131"/>
        <v>No aplica</v>
      </c>
      <c r="DV827" s="79" t="s">
        <v>182</v>
      </c>
      <c r="DW827" s="79"/>
      <c r="DX827" s="79"/>
      <c r="DY827" s="79"/>
      <c r="DZ827" s="79"/>
      <c r="EA827" s="79"/>
      <c r="EB827" s="79"/>
      <c r="EC827" s="79"/>
      <c r="ED827" s="79" t="s">
        <v>5659</v>
      </c>
      <c r="EE827" s="79" t="str">
        <f t="shared" si="1136"/>
        <v>Completo</v>
      </c>
      <c r="EF827" s="41"/>
      <c r="EG827" s="79" t="s">
        <v>153</v>
      </c>
      <c r="EH827" s="71"/>
      <c r="EI827" s="80"/>
      <c r="EJ827" s="71"/>
      <c r="EK827" s="79"/>
      <c r="EL827" s="87" t="str">
        <f>IF(F827="NO","No requiere",IF(H827="No","No requiere",IF(DW827="","",IF(DW827&lt;&gt;"No aplica",IF(DX827&lt;&gt;"No aplica",IF(DX827&gt;=2,"Sí","No"),"No aplica"),"No aplica"))))</f>
        <v>No requiere</v>
      </c>
      <c r="EM827" s="87" t="str">
        <f>IF(F827="NO","No requiere",IF(H827="No","No requiere",IF(DW827="","",IF(DW827&lt;&gt;"No aplica",IF(DY827&lt;&gt;"No aplica",IF(DY827&gt;=1,"Sí","No"),"No aplica"),"No aplica"))))</f>
        <v>No requiere</v>
      </c>
      <c r="EN827" s="87" t="str">
        <f>IF(F827="NO","No requiere",IF(H827="No","No requiere",IF(CC827="","",IF(CD827&lt;&gt;"No aplica",IF(CD827&lt;&gt;"Ninguna",IF(COUNTIF(CD827:CF827,"*")&gt;=1,"Sí","No"),"No"),"No aplica"))))</f>
        <v>No requiere</v>
      </c>
      <c r="EO827" s="71"/>
      <c r="EP827" s="84" t="str">
        <f>IF(F827="NO","No requiere",IF(H827="No","No requiere",IF(DL827="","",IF(DL827&gt;=1,DM827/DL827,"No aplica"))))</f>
        <v>No requiere</v>
      </c>
      <c r="EQ827" s="88" t="str">
        <f>IFERROR(IF(F827="NO","No requiere",IF(H827="No","No requiere",DU827)),"")</f>
        <v>No requiere</v>
      </c>
      <c r="ER827" s="71"/>
      <c r="ES827" s="79"/>
      <c r="ET827" s="84" t="str">
        <f t="shared" si="1132"/>
        <v>No requiere</v>
      </c>
      <c r="EU827" s="84" t="str">
        <f t="shared" si="1133"/>
        <v>No requiere</v>
      </c>
      <c r="EV827" s="84" t="str">
        <f t="shared" si="1134"/>
        <v>No requiere</v>
      </c>
      <c r="EW827" s="84" t="str">
        <f t="shared" si="1135"/>
        <v>No requiere</v>
      </c>
      <c r="EX827" s="78"/>
      <c r="EY827" s="78"/>
    </row>
    <row r="828" spans="1:155" ht="40.5" customHeight="1">
      <c r="A828" s="79">
        <v>824</v>
      </c>
      <c r="B828" s="80" t="s">
        <v>5660</v>
      </c>
      <c r="C828" s="81">
        <v>45508</v>
      </c>
      <c r="D828" s="82">
        <v>0.33333333333333331</v>
      </c>
      <c r="E828" s="79" t="s">
        <v>151</v>
      </c>
      <c r="F828" s="79" t="s">
        <v>153</v>
      </c>
      <c r="G828" s="79" t="s">
        <v>152</v>
      </c>
      <c r="H828" s="79" t="s">
        <v>152</v>
      </c>
      <c r="I828" s="79" t="s">
        <v>152</v>
      </c>
      <c r="J828" s="79" t="s">
        <v>5581</v>
      </c>
      <c r="K828" s="79" t="s">
        <v>155</v>
      </c>
      <c r="L828" s="80" t="s">
        <v>5582</v>
      </c>
      <c r="M828" s="80" t="s">
        <v>241</v>
      </c>
      <c r="N828" s="79" t="s">
        <v>749</v>
      </c>
      <c r="O828" s="80" t="str">
        <f t="shared" si="636"/>
        <v/>
      </c>
      <c r="P828" s="79"/>
      <c r="Q828" s="79"/>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t="s">
        <v>1226</v>
      </c>
      <c r="AP828" s="79"/>
      <c r="AQ828" s="80" t="s">
        <v>5583</v>
      </c>
      <c r="AR828" s="83">
        <v>3046010799</v>
      </c>
      <c r="AS828" s="128" t="s">
        <v>5584</v>
      </c>
      <c r="AT828" s="80" t="str">
        <f t="shared" si="950"/>
        <v>Puente Aranda</v>
      </c>
      <c r="AU828" s="79" t="s">
        <v>1235</v>
      </c>
      <c r="AV828" s="79"/>
      <c r="AW828" s="79"/>
      <c r="AX828" s="79"/>
      <c r="AY828" s="79"/>
      <c r="AZ828" s="79"/>
      <c r="BA828" s="80" t="str">
        <f t="shared" si="1000"/>
        <v>Centro Ampliado</v>
      </c>
      <c r="BB828" s="79" t="s">
        <v>636</v>
      </c>
      <c r="BC828" s="79"/>
      <c r="BD828" s="79"/>
      <c r="BE828" s="79"/>
      <c r="BF828" s="79"/>
      <c r="BG828" s="79"/>
      <c r="BH828" s="80" t="str">
        <f t="shared" si="1001"/>
        <v>Puente Aranda</v>
      </c>
      <c r="BI828" s="79" t="s">
        <v>1235</v>
      </c>
      <c r="BJ828" s="79"/>
      <c r="BK828" s="79"/>
      <c r="BL828" s="79"/>
      <c r="BM828" s="79"/>
      <c r="BN828" s="79"/>
      <c r="BO828" s="79"/>
      <c r="BP828" s="79"/>
      <c r="BQ828" s="79"/>
      <c r="BR828" s="79"/>
      <c r="BS828" s="80" t="s">
        <v>1235</v>
      </c>
      <c r="BT828" s="80" t="s">
        <v>174</v>
      </c>
      <c r="BU828" s="80" t="s">
        <v>179</v>
      </c>
      <c r="BV828" s="71"/>
      <c r="BW828" s="79" t="s">
        <v>152</v>
      </c>
      <c r="BX828" s="79" t="s">
        <v>179</v>
      </c>
      <c r="BY828" s="71"/>
      <c r="BZ828" s="79">
        <v>0</v>
      </c>
      <c r="CA828" s="79">
        <v>1</v>
      </c>
      <c r="CB828" s="79">
        <f t="shared" si="1109"/>
        <v>1</v>
      </c>
      <c r="CC828" s="79" t="str">
        <f t="shared" si="1137"/>
        <v>Ninguna</v>
      </c>
      <c r="CD828" s="79" t="s">
        <v>174</v>
      </c>
      <c r="CE828" s="79"/>
      <c r="CF828" s="79"/>
      <c r="CG828" s="83"/>
      <c r="CH828" s="41"/>
      <c r="CI828" s="79"/>
      <c r="CJ828" s="71"/>
      <c r="CK828" s="79">
        <f t="shared" si="1125"/>
        <v>0</v>
      </c>
      <c r="CL828" s="79"/>
      <c r="CM828" s="79"/>
      <c r="CN828" s="79"/>
      <c r="CO828" s="79"/>
      <c r="CP828" s="79"/>
      <c r="CQ828" s="79"/>
      <c r="CR828" s="83" t="s">
        <v>179</v>
      </c>
      <c r="CS828" s="83" t="s">
        <v>179</v>
      </c>
      <c r="CT828" s="83" t="s">
        <v>179</v>
      </c>
      <c r="CU828" s="83" t="s">
        <v>179</v>
      </c>
      <c r="CV828" s="83" t="s">
        <v>179</v>
      </c>
      <c r="CW828" s="83" t="s">
        <v>179</v>
      </c>
      <c r="CX828" s="79" t="s">
        <v>153</v>
      </c>
      <c r="CY828" s="79">
        <f t="shared" si="1126"/>
        <v>0</v>
      </c>
      <c r="CZ828" s="79">
        <v>0</v>
      </c>
      <c r="DA828" s="79">
        <f t="shared" si="1127"/>
        <v>0</v>
      </c>
      <c r="DB828" s="84" t="str">
        <f t="shared" si="1128"/>
        <v/>
      </c>
      <c r="DC828" s="41"/>
      <c r="DD828" s="79" t="s">
        <v>153</v>
      </c>
      <c r="DE828" s="71"/>
      <c r="DF828" s="127" t="s">
        <v>5661</v>
      </c>
      <c r="DG828" s="79">
        <v>817</v>
      </c>
      <c r="DH828" s="86" t="str">
        <f t="shared" si="1129"/>
        <v>Completo</v>
      </c>
      <c r="DI828" s="79" t="s">
        <v>181</v>
      </c>
      <c r="DJ828" s="79"/>
      <c r="DK828" s="79"/>
      <c r="DL828" s="79">
        <v>0</v>
      </c>
      <c r="DM828" s="79">
        <v>0</v>
      </c>
      <c r="DN828" s="79" t="s">
        <v>182</v>
      </c>
      <c r="DO828" s="79"/>
      <c r="DP828" s="79"/>
      <c r="DQ828" s="79"/>
      <c r="DR828" s="75" t="str">
        <f t="shared" si="1130"/>
        <v>No aplica</v>
      </c>
      <c r="DS828" s="79"/>
      <c r="DT828" s="79"/>
      <c r="DU828" s="75" t="str">
        <f t="shared" si="1131"/>
        <v>No aplica</v>
      </c>
      <c r="DV828" s="79" t="s">
        <v>182</v>
      </c>
      <c r="DW828" s="79"/>
      <c r="DX828" s="79"/>
      <c r="DY828" s="79"/>
      <c r="DZ828" s="79"/>
      <c r="EA828" s="79"/>
      <c r="EB828" s="79"/>
      <c r="EC828" s="79"/>
      <c r="ED828" s="79" t="s">
        <v>5662</v>
      </c>
      <c r="EE828" s="79" t="str">
        <f t="shared" si="1136"/>
        <v>Completo</v>
      </c>
      <c r="EF828" s="41"/>
      <c r="EG828" s="79" t="s">
        <v>153</v>
      </c>
      <c r="EH828" s="71"/>
      <c r="EI828" s="80"/>
      <c r="EJ828" s="71"/>
      <c r="EK828" s="79"/>
      <c r="EL828" s="87" t="str">
        <f>IF(F828="NO","No requiere",IF(H828="No","No requiere",IF(DW828="","",IF(DW828&lt;&gt;"No aplica",IF(DX828&lt;&gt;"No aplica",IF(DX828&gt;=2,"Sí","No"),"No aplica"),"No aplica"))))</f>
        <v>No requiere</v>
      </c>
      <c r="EM828" s="87" t="str">
        <f>IF(F828="NO","No requiere",IF(H828="No","No requiere",IF(DW828="","",IF(DW828&lt;&gt;"No aplica",IF(DY828&lt;&gt;"No aplica",IF(DY828&gt;=1,"Sí","No"),"No aplica"),"No aplica"))))</f>
        <v>No requiere</v>
      </c>
      <c r="EN828" s="87" t="str">
        <f>IF(F828="NO","No requiere",IF(H828="No","No requiere",IF(CC828="","",IF(CD828&lt;&gt;"No aplica",IF(CD828&lt;&gt;"Ninguna",IF(COUNTIF(CD828:CF828,"*")&gt;=1,"Sí","No"),"No"),"No aplica"))))</f>
        <v>No requiere</v>
      </c>
      <c r="EO828" s="71"/>
      <c r="EP828" s="84" t="str">
        <f>IF(F828="NO","No requiere",IF(H828="No","No requiere",IF(DL828="","",IF(DL828&gt;=1,DM828/DL828,"No aplica"))))</f>
        <v>No requiere</v>
      </c>
      <c r="EQ828" s="88" t="str">
        <f>IFERROR(IF(F828="NO","No requiere",IF(H828="No","No requiere",DU828)),"")</f>
        <v>No requiere</v>
      </c>
      <c r="ER828" s="71"/>
      <c r="ES828" s="79"/>
      <c r="ET828" s="84" t="str">
        <f t="shared" si="1132"/>
        <v>No requiere</v>
      </c>
      <c r="EU828" s="84" t="str">
        <f t="shared" si="1133"/>
        <v>No requiere</v>
      </c>
      <c r="EV828" s="84" t="str">
        <f t="shared" si="1134"/>
        <v>No requiere</v>
      </c>
      <c r="EW828" s="84" t="str">
        <f t="shared" si="1135"/>
        <v>No requiere</v>
      </c>
      <c r="EX828" s="78"/>
      <c r="EY828" s="78"/>
    </row>
    <row r="829" spans="1:155" ht="40.5" customHeight="1">
      <c r="A829" s="79">
        <v>825</v>
      </c>
      <c r="B829" s="80" t="s">
        <v>5663</v>
      </c>
      <c r="C829" s="81">
        <v>45508</v>
      </c>
      <c r="D829" s="82">
        <v>0.33333333333333331</v>
      </c>
      <c r="E829" s="79" t="s">
        <v>151</v>
      </c>
      <c r="F829" s="79" t="s">
        <v>153</v>
      </c>
      <c r="G829" s="79" t="s">
        <v>152</v>
      </c>
      <c r="H829" s="79" t="s">
        <v>152</v>
      </c>
      <c r="I829" s="79" t="s">
        <v>152</v>
      </c>
      <c r="J829" s="79" t="s">
        <v>5581</v>
      </c>
      <c r="K829" s="79" t="s">
        <v>155</v>
      </c>
      <c r="L829" s="80" t="s">
        <v>5582</v>
      </c>
      <c r="M829" s="80" t="s">
        <v>241</v>
      </c>
      <c r="N829" s="79" t="s">
        <v>1387</v>
      </c>
      <c r="O829" s="80" t="str">
        <f t="shared" si="636"/>
        <v/>
      </c>
      <c r="P829" s="79"/>
      <c r="Q829" s="79"/>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t="s">
        <v>1226</v>
      </c>
      <c r="AP829" s="79"/>
      <c r="AQ829" s="80" t="s">
        <v>5583</v>
      </c>
      <c r="AR829" s="83">
        <v>3046010799</v>
      </c>
      <c r="AS829" s="128" t="s">
        <v>5584</v>
      </c>
      <c r="AT829" s="80" t="str">
        <f t="shared" si="950"/>
        <v>Teusaquillo</v>
      </c>
      <c r="AU829" s="79" t="s">
        <v>1004</v>
      </c>
      <c r="AV829" s="79"/>
      <c r="AW829" s="79"/>
      <c r="AX829" s="79"/>
      <c r="AY829" s="79"/>
      <c r="AZ829" s="79"/>
      <c r="BA829" s="80" t="str">
        <f t="shared" si="1000"/>
        <v>Centro Ampliado</v>
      </c>
      <c r="BB829" s="79" t="s">
        <v>636</v>
      </c>
      <c r="BC829" s="79"/>
      <c r="BD829" s="79"/>
      <c r="BE829" s="79"/>
      <c r="BF829" s="79"/>
      <c r="BG829" s="79"/>
      <c r="BH829" s="80" t="str">
        <f t="shared" si="1001"/>
        <v>Teusaquillo</v>
      </c>
      <c r="BI829" s="79" t="s">
        <v>1004</v>
      </c>
      <c r="BJ829" s="79"/>
      <c r="BK829" s="79"/>
      <c r="BL829" s="79"/>
      <c r="BM829" s="79"/>
      <c r="BN829" s="79"/>
      <c r="BO829" s="79"/>
      <c r="BP829" s="79"/>
      <c r="BQ829" s="79"/>
      <c r="BR829" s="79"/>
      <c r="BS829" s="80" t="s">
        <v>1004</v>
      </c>
      <c r="BT829" s="80" t="s">
        <v>174</v>
      </c>
      <c r="BU829" s="80" t="s">
        <v>179</v>
      </c>
      <c r="BV829" s="71"/>
      <c r="BW829" s="79" t="s">
        <v>152</v>
      </c>
      <c r="BX829" s="79" t="s">
        <v>179</v>
      </c>
      <c r="BY829" s="71"/>
      <c r="BZ829" s="79">
        <v>0</v>
      </c>
      <c r="CA829" s="79">
        <v>1</v>
      </c>
      <c r="CB829" s="79">
        <f t="shared" si="1109"/>
        <v>1</v>
      </c>
      <c r="CC829" s="79" t="str">
        <f t="shared" si="1137"/>
        <v>Ninguna</v>
      </c>
      <c r="CD829" s="79" t="s">
        <v>174</v>
      </c>
      <c r="CE829" s="79"/>
      <c r="CF829" s="79"/>
      <c r="CG829" s="83"/>
      <c r="CH829" s="41"/>
      <c r="CI829" s="79"/>
      <c r="CJ829" s="71"/>
      <c r="CK829" s="79">
        <f t="shared" si="1125"/>
        <v>0</v>
      </c>
      <c r="CL829" s="79"/>
      <c r="CM829" s="79"/>
      <c r="CN829" s="79"/>
      <c r="CO829" s="79"/>
      <c r="CP829" s="79"/>
      <c r="CQ829" s="79"/>
      <c r="CR829" s="83" t="s">
        <v>179</v>
      </c>
      <c r="CS829" s="83" t="s">
        <v>179</v>
      </c>
      <c r="CT829" s="83" t="s">
        <v>179</v>
      </c>
      <c r="CU829" s="83" t="s">
        <v>179</v>
      </c>
      <c r="CV829" s="83" t="s">
        <v>179</v>
      </c>
      <c r="CW829" s="83" t="s">
        <v>179</v>
      </c>
      <c r="CX829" s="79" t="s">
        <v>153</v>
      </c>
      <c r="CY829" s="79">
        <f t="shared" si="1126"/>
        <v>0</v>
      </c>
      <c r="CZ829" s="79">
        <v>0</v>
      </c>
      <c r="DA829" s="79">
        <f t="shared" si="1127"/>
        <v>0</v>
      </c>
      <c r="DB829" s="84" t="str">
        <f t="shared" si="1128"/>
        <v/>
      </c>
      <c r="DC829" s="41"/>
      <c r="DD829" s="79" t="s">
        <v>153</v>
      </c>
      <c r="DE829" s="71"/>
      <c r="DF829" s="127" t="s">
        <v>5664</v>
      </c>
      <c r="DG829" s="79">
        <v>818</v>
      </c>
      <c r="DH829" s="86" t="str">
        <f t="shared" si="1129"/>
        <v>Completo</v>
      </c>
      <c r="DI829" s="79" t="s">
        <v>181</v>
      </c>
      <c r="DJ829" s="79"/>
      <c r="DK829" s="79"/>
      <c r="DL829" s="79">
        <v>0</v>
      </c>
      <c r="DM829" s="79">
        <v>0</v>
      </c>
      <c r="DN829" s="79"/>
      <c r="DO829" s="79"/>
      <c r="DP829" s="79"/>
      <c r="DQ829" s="79"/>
      <c r="DR829" s="75" t="str">
        <f t="shared" si="1130"/>
        <v>No aplica</v>
      </c>
      <c r="DS829" s="79"/>
      <c r="DT829" s="79"/>
      <c r="DU829" s="75" t="str">
        <f t="shared" si="1131"/>
        <v>No aplica</v>
      </c>
      <c r="DV829" s="79"/>
      <c r="DW829" s="79"/>
      <c r="DX829" s="79"/>
      <c r="DY829" s="79"/>
      <c r="DZ829" s="79"/>
      <c r="EA829" s="79"/>
      <c r="EB829" s="79"/>
      <c r="EC829" s="79"/>
      <c r="ED829" s="79" t="s">
        <v>5665</v>
      </c>
      <c r="EE829" s="79" t="str">
        <f t="shared" si="1136"/>
        <v>Completo</v>
      </c>
      <c r="EF829" s="41"/>
      <c r="EG829" s="79" t="s">
        <v>153</v>
      </c>
      <c r="EH829" s="71"/>
      <c r="EI829" s="80"/>
      <c r="EJ829" s="71"/>
      <c r="EK829" s="79"/>
      <c r="EL829" s="87" t="str">
        <f>IF(F829="NO","No requiere",IF(H829="No","No requiere",IF(DW829="","",IF(DW829&lt;&gt;"No aplica",IF(DX829&lt;&gt;"No aplica",IF(DX829&gt;=2,"Sí","No"),"No aplica"),"No aplica"))))</f>
        <v>No requiere</v>
      </c>
      <c r="EM829" s="87" t="str">
        <f>IF(F829="NO","No requiere",IF(H829="No","No requiere",IF(DW829="","",IF(DW829&lt;&gt;"No aplica",IF(DY829&lt;&gt;"No aplica",IF(DY829&gt;=1,"Sí","No"),"No aplica"),"No aplica"))))</f>
        <v>No requiere</v>
      </c>
      <c r="EN829" s="87" t="str">
        <f>IF(F829="NO","No requiere",IF(H829="No","No requiere",IF(CC829="","",IF(CD829&lt;&gt;"No aplica",IF(CD829&lt;&gt;"Ninguna",IF(COUNTIF(CD829:CF829,"*")&gt;=1,"Sí","No"),"No"),"No aplica"))))</f>
        <v>No requiere</v>
      </c>
      <c r="EO829" s="71"/>
      <c r="EP829" s="84" t="str">
        <f>IF(F829="NO","No requiere",IF(H829="No","No requiere",IF(DL829="","",IF(DL829&gt;=1,DM829/DL829,"No aplica"))))</f>
        <v>No requiere</v>
      </c>
      <c r="EQ829" s="88" t="str">
        <f>IFERROR(IF(F829="NO","No requiere",IF(H829="No","No requiere",DU829)),"")</f>
        <v>No requiere</v>
      </c>
      <c r="ER829" s="71"/>
      <c r="ES829" s="79"/>
      <c r="ET829" s="84" t="str">
        <f t="shared" si="1132"/>
        <v>No requiere</v>
      </c>
      <c r="EU829" s="84" t="str">
        <f t="shared" si="1133"/>
        <v>No requiere</v>
      </c>
      <c r="EV829" s="84" t="str">
        <f t="shared" si="1134"/>
        <v>No requiere</v>
      </c>
      <c r="EW829" s="84" t="str">
        <f t="shared" si="1135"/>
        <v>No requiere</v>
      </c>
      <c r="EX829" s="78"/>
      <c r="EY829" s="78"/>
    </row>
    <row r="830" spans="1:155" ht="40.5" customHeight="1">
      <c r="A830" s="79">
        <v>826</v>
      </c>
      <c r="B830" s="80" t="s">
        <v>5666</v>
      </c>
      <c r="C830" s="81">
        <v>45508</v>
      </c>
      <c r="D830" s="82">
        <v>0.33333333333333331</v>
      </c>
      <c r="E830" s="79" t="s">
        <v>151</v>
      </c>
      <c r="F830" s="79" t="s">
        <v>153</v>
      </c>
      <c r="G830" s="79" t="s">
        <v>152</v>
      </c>
      <c r="H830" s="79" t="s">
        <v>152</v>
      </c>
      <c r="I830" s="79" t="s">
        <v>152</v>
      </c>
      <c r="J830" s="79" t="s">
        <v>5581</v>
      </c>
      <c r="K830" s="79" t="s">
        <v>155</v>
      </c>
      <c r="L830" s="80" t="s">
        <v>5582</v>
      </c>
      <c r="M830" s="80" t="s">
        <v>241</v>
      </c>
      <c r="N830" s="79" t="s">
        <v>1387</v>
      </c>
      <c r="O830" s="80" t="str">
        <f t="shared" si="636"/>
        <v/>
      </c>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t="s">
        <v>1226</v>
      </c>
      <c r="AP830" s="79"/>
      <c r="AQ830" s="80" t="s">
        <v>5583</v>
      </c>
      <c r="AR830" s="83">
        <v>3046010799</v>
      </c>
      <c r="AS830" s="128" t="s">
        <v>5584</v>
      </c>
      <c r="AT830" s="80" t="str">
        <f>_xlfn.TEXTJOIN(", ",TRUE,$AU830:$AY830)</f>
        <v>Barrios Unidos</v>
      </c>
      <c r="AU830" s="79" t="s">
        <v>1031</v>
      </c>
      <c r="AV830" s="79"/>
      <c r="AW830" s="79"/>
      <c r="AX830" s="79"/>
      <c r="AY830" s="79"/>
      <c r="AZ830" s="79"/>
      <c r="BA830" s="80" t="str">
        <f>_xlfn.TEXTJOIN(", ",TRUE,$BB830:$BG830)</f>
        <v>Centro Ampliado</v>
      </c>
      <c r="BB830" s="79" t="s">
        <v>636</v>
      </c>
      <c r="BC830" s="79"/>
      <c r="BD830" s="79"/>
      <c r="BE830" s="79"/>
      <c r="BF830" s="79"/>
      <c r="BG830" s="79"/>
      <c r="BH830" s="80" t="str">
        <f>_xlfn.TEXTJOIN(", ",TRUE,$BI830:$BR830)</f>
        <v>Barrios Unidos</v>
      </c>
      <c r="BI830" s="79" t="s">
        <v>1031</v>
      </c>
      <c r="BJ830" s="79"/>
      <c r="BK830" s="79"/>
      <c r="BL830" s="79"/>
      <c r="BM830" s="79"/>
      <c r="BN830" s="79"/>
      <c r="BO830" s="79"/>
      <c r="BP830" s="79"/>
      <c r="BQ830" s="79"/>
      <c r="BR830" s="79"/>
      <c r="BS830" s="80" t="s">
        <v>1031</v>
      </c>
      <c r="BT830" s="80" t="s">
        <v>174</v>
      </c>
      <c r="BU830" s="80" t="s">
        <v>179</v>
      </c>
      <c r="BV830" s="71"/>
      <c r="BW830" s="79" t="s">
        <v>152</v>
      </c>
      <c r="BX830" s="79" t="s">
        <v>179</v>
      </c>
      <c r="BY830" s="71"/>
      <c r="BZ830" s="79">
        <v>0</v>
      </c>
      <c r="CA830" s="79">
        <v>1</v>
      </c>
      <c r="CB830" s="79">
        <f t="shared" si="1109"/>
        <v>1</v>
      </c>
      <c r="CC830" s="79" t="str">
        <f t="shared" si="1137"/>
        <v>Ninguna</v>
      </c>
      <c r="CD830" s="79" t="s">
        <v>174</v>
      </c>
      <c r="CE830" s="79"/>
      <c r="CF830" s="79"/>
      <c r="CG830" s="83"/>
      <c r="CH830" s="41"/>
      <c r="CI830" s="79"/>
      <c r="CJ830" s="71"/>
      <c r="CK830" s="79">
        <f>COUNTIF(CL830:CQ830,"*")</f>
        <v>0</v>
      </c>
      <c r="CL830" s="79"/>
      <c r="CM830" s="79"/>
      <c r="CN830" s="79"/>
      <c r="CO830" s="79"/>
      <c r="CP830" s="79"/>
      <c r="CQ830" s="79"/>
      <c r="CR830" s="83" t="s">
        <v>179</v>
      </c>
      <c r="CS830" s="83" t="s">
        <v>179</v>
      </c>
      <c r="CT830" s="83" t="s">
        <v>179</v>
      </c>
      <c r="CU830" s="83" t="s">
        <v>179</v>
      </c>
      <c r="CV830" s="83" t="s">
        <v>179</v>
      </c>
      <c r="CW830" s="83" t="s">
        <v>179</v>
      </c>
      <c r="CX830" s="79" t="s">
        <v>153</v>
      </c>
      <c r="CY830" s="79">
        <f>SUM(COUNTIF(CR830:CW830,"Realizado y Devuelto a la Ciudadanía"),COUNTIF(CR830:CW830,"Realizado y Trasladado por competencia"), COUNTIF(CR830:CW830,"Realizado y Gestionado"))</f>
        <v>0</v>
      </c>
      <c r="CZ830" s="79">
        <v>0</v>
      </c>
      <c r="DA830" s="79">
        <f>COUNTIF(CR830:CW830,"Realizado y Devuelto a la Ciudadanía")</f>
        <v>0</v>
      </c>
      <c r="DB830" s="84" t="str">
        <f>IFERROR(CY830/CK830,"")</f>
        <v/>
      </c>
      <c r="DC830" s="41"/>
      <c r="DD830" s="79" t="s">
        <v>153</v>
      </c>
      <c r="DE830" s="71"/>
      <c r="DF830" s="127" t="s">
        <v>5667</v>
      </c>
      <c r="DG830" s="79">
        <v>819</v>
      </c>
      <c r="DH830" s="86" t="str">
        <f>IF(EE830="Por completar",C830+3,"Completo")</f>
        <v>Completo</v>
      </c>
      <c r="DI830" s="79" t="s">
        <v>181</v>
      </c>
      <c r="DJ830" s="79"/>
      <c r="DK830" s="79"/>
      <c r="DL830" s="79">
        <v>0</v>
      </c>
      <c r="DM830" s="79">
        <v>0</v>
      </c>
      <c r="DN830" s="79" t="s">
        <v>182</v>
      </c>
      <c r="DO830" s="79"/>
      <c r="DP830" s="79"/>
      <c r="DQ830" s="79"/>
      <c r="DR830" s="75" t="str">
        <f>IF(H830="SÍ", (DQ830/(BZ830*0.3)), "No aplica")</f>
        <v>No aplica</v>
      </c>
      <c r="DS830" s="79"/>
      <c r="DT830" s="79"/>
      <c r="DU830" s="75" t="str">
        <f t="shared" si="1131"/>
        <v>No aplica</v>
      </c>
      <c r="DV830" s="79" t="s">
        <v>182</v>
      </c>
      <c r="DW830" s="79"/>
      <c r="DX830" s="79"/>
      <c r="DY830" s="79"/>
      <c r="DZ830" s="79"/>
      <c r="EA830" s="79"/>
      <c r="EB830" s="79"/>
      <c r="EC830" s="79"/>
      <c r="ED830" s="79" t="s">
        <v>5665</v>
      </c>
      <c r="EE830" s="79" t="str">
        <f>IF(DI830="Subsanado","Completo","Por Completar")</f>
        <v>Completo</v>
      </c>
      <c r="EF830" s="41"/>
      <c r="EG830" s="79" t="s">
        <v>153</v>
      </c>
      <c r="EH830" s="71"/>
      <c r="EI830" s="80"/>
      <c r="EJ830" s="71"/>
      <c r="EK830" s="79"/>
      <c r="EL830" s="87" t="str">
        <f>IF(F830="NO","No requiere",IF(H830="No","No requiere",IF(DW830="","",IF(DW830&lt;&gt;"No aplica",IF(DX830&lt;&gt;"No aplica",IF(DX830&gt;=2,"Sí","No"),"No aplica"),"No aplica"))))</f>
        <v>No requiere</v>
      </c>
      <c r="EM830" s="87" t="str">
        <f>IF(F830="NO","No requiere",IF(H830="No","No requiere",IF(DW830="","",IF(DW830&lt;&gt;"No aplica",IF(DY830&lt;&gt;"No aplica",IF(DY830&gt;=1,"Sí","No"),"No aplica"),"No aplica"))))</f>
        <v>No requiere</v>
      </c>
      <c r="EN830" s="87" t="str">
        <f>IF(F830="NO","No requiere",IF(H830="No","No requiere",IF(CC830="","",IF(CD830&lt;&gt;"No aplica",IF(CD830&lt;&gt;"Ninguna",IF(COUNTIF(CD830:CF830,"*")&gt;=1,"Sí","No"),"No"),"No aplica"))))</f>
        <v>No requiere</v>
      </c>
      <c r="EO830" s="71"/>
      <c r="EP830" s="84" t="str">
        <f>IF(F830="NO","No requiere",IF(H830="No","No requiere",IF(DL830="","",IF(DL830&gt;=1,DM830/DL830,"No aplica"))))</f>
        <v>No requiere</v>
      </c>
      <c r="EQ830" s="88" t="str">
        <f>IFERROR(IF(F830="NO","No requiere",IF(H830="No","No requiere",DU830)),"")</f>
        <v>No requiere</v>
      </c>
      <c r="ER830" s="71"/>
      <c r="ES830" s="79"/>
      <c r="ET830" s="84" t="str">
        <f>IF(F830="NO","No requiere",IF(H830="No","No requiere",IFERROR(COUNTIF(DJ830:DW830,"Completo")/SUM(COUNTIF(DJ830:DW830,"Completo"),COUNTIF(DJ830:DW830,"Incompleto"),COUNTIF(DJ830:DW830,"No subido"),COUNTIF(DJ830:DW830,"No existente"),COUNTIF(DJ830:DW830,"Pendiente")),"")))</f>
        <v>No requiere</v>
      </c>
      <c r="EU830" s="84" t="str">
        <f>IF(F830="NO","No requiere",IF(H830="No","No requiere",IF(B830="","",IF(CX830="SÍ",IF(CK830&gt;=1,CY830/CK830,"Sin compromisos"),"Por verificar"))))</f>
        <v>No requiere</v>
      </c>
      <c r="EV830" s="84" t="str">
        <f>IF(EU830="Por verificar","Por verificar",IF(F830="NO","No requiere",IF(H830="No","No requiere",IFERROR(IF(EU830="","",IF(CK830&gt;=1,DA830/CZ830,"No aplica")),"No aplica"))))</f>
        <v>No requiere</v>
      </c>
      <c r="EW830" s="84" t="str">
        <f>IF(F830="NO","No requiere",IF(H830="No","No requiere",IFERROR(IF(BZ830="","",IF(EA830&lt;&gt;"No aplica",IF(EA830&gt;=1,DO830/EA830,"0%"),"No aplica")),"")))</f>
        <v>No requiere</v>
      </c>
      <c r="EX830" s="78"/>
      <c r="EY830" s="78"/>
    </row>
    <row r="831" spans="1:155" ht="47.25" customHeight="1">
      <c r="A831" s="79">
        <v>827</v>
      </c>
      <c r="B831" s="80" t="s">
        <v>4316</v>
      </c>
      <c r="C831" s="81">
        <v>45509</v>
      </c>
      <c r="D831" s="82">
        <v>0.375</v>
      </c>
      <c r="E831" s="79" t="s">
        <v>151</v>
      </c>
      <c r="F831" s="79" t="s">
        <v>153</v>
      </c>
      <c r="G831" s="79" t="s">
        <v>152</v>
      </c>
      <c r="H831" s="79" t="s">
        <v>152</v>
      </c>
      <c r="I831" s="79" t="s">
        <v>152</v>
      </c>
      <c r="J831" s="79" t="s">
        <v>2615</v>
      </c>
      <c r="K831" s="79" t="s">
        <v>155</v>
      </c>
      <c r="L831" s="80" t="s">
        <v>5668</v>
      </c>
      <c r="M831" s="80" t="s">
        <v>624</v>
      </c>
      <c r="N831" s="79" t="s">
        <v>3049</v>
      </c>
      <c r="O831" s="80" t="str">
        <f t="shared" si="636"/>
        <v/>
      </c>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t="s">
        <v>169</v>
      </c>
      <c r="AP831" s="79"/>
      <c r="AQ831" s="80" t="s">
        <v>5669</v>
      </c>
      <c r="AR831" s="80" t="s">
        <v>5670</v>
      </c>
      <c r="AS831" s="80" t="s">
        <v>5671</v>
      </c>
      <c r="AT831" s="80" t="str">
        <f>_xlfn.TEXTJOIN(", ",TRUE,$AU831:$AY831)</f>
        <v>Distrital</v>
      </c>
      <c r="AU831" s="79" t="s">
        <v>172</v>
      </c>
      <c r="AV831" s="79"/>
      <c r="AW831" s="79"/>
      <c r="AX831" s="79"/>
      <c r="AY831" s="79"/>
      <c r="AZ831" s="79"/>
      <c r="BA831" s="80" t="str">
        <f>_xlfn.TEXTJOIN(", ",TRUE,$BB831:$BG831)</f>
        <v>Distrital</v>
      </c>
      <c r="BB831" s="79" t="s">
        <v>172</v>
      </c>
      <c r="BC831" s="79"/>
      <c r="BD831" s="79"/>
      <c r="BE831" s="79"/>
      <c r="BF831" s="79"/>
      <c r="BG831" s="79"/>
      <c r="BH831" s="80" t="str">
        <f>_xlfn.TEXTJOIN(", ",TRUE,$BI831:$BR831)</f>
        <v>Distrital</v>
      </c>
      <c r="BI831" s="79" t="s">
        <v>172</v>
      </c>
      <c r="BJ831" s="79"/>
      <c r="BK831" s="79"/>
      <c r="BL831" s="79"/>
      <c r="BM831" s="79"/>
      <c r="BN831" s="79"/>
      <c r="BO831" s="79"/>
      <c r="BP831" s="79"/>
      <c r="BQ831" s="79"/>
      <c r="BR831" s="79"/>
      <c r="BS831" s="80" t="s">
        <v>5672</v>
      </c>
      <c r="BT831" s="80" t="s">
        <v>5673</v>
      </c>
      <c r="BU831" s="80" t="s">
        <v>5674</v>
      </c>
      <c r="BV831" s="71"/>
      <c r="BW831" s="79" t="s">
        <v>152</v>
      </c>
      <c r="BX831" s="79" t="s">
        <v>179</v>
      </c>
      <c r="BY831" s="71"/>
      <c r="BZ831" s="79">
        <v>8</v>
      </c>
      <c r="CA831" s="79">
        <v>3</v>
      </c>
      <c r="CB831" s="79">
        <f>BZ831+CA831</f>
        <v>11</v>
      </c>
      <c r="CC831" s="79" t="str">
        <f t="shared" si="1137"/>
        <v>Ninguna</v>
      </c>
      <c r="CD831" s="79" t="s">
        <v>174</v>
      </c>
      <c r="CE831" s="79"/>
      <c r="CF831" s="79"/>
      <c r="CG831" s="83" t="s">
        <v>5675</v>
      </c>
      <c r="CH831" s="41"/>
      <c r="CI831" s="79" t="s">
        <v>153</v>
      </c>
      <c r="CJ831" s="71"/>
      <c r="CK831" s="79"/>
      <c r="CL831" s="79"/>
      <c r="CM831" s="79"/>
      <c r="CN831" s="79"/>
      <c r="CO831" s="79"/>
      <c r="CP831" s="79"/>
      <c r="CQ831" s="79"/>
      <c r="CR831" s="83"/>
      <c r="CS831" s="83"/>
      <c r="CT831" s="83"/>
      <c r="CU831" s="83"/>
      <c r="CV831" s="83"/>
      <c r="CW831" s="83"/>
      <c r="CX831" s="79"/>
      <c r="CY831" s="79"/>
      <c r="CZ831" s="79"/>
      <c r="DA831" s="79"/>
      <c r="DB831" s="84"/>
      <c r="DC831" s="41"/>
      <c r="DD831" s="79"/>
      <c r="DE831" s="71"/>
      <c r="DF831" s="160" t="s">
        <v>5676</v>
      </c>
      <c r="DG831" s="79">
        <v>820</v>
      </c>
      <c r="DH831" s="86">
        <f>IF(EE831="Por completar",C831+3,"Completo")</f>
        <v>45512</v>
      </c>
      <c r="DI831" s="79" t="s">
        <v>3560</v>
      </c>
      <c r="DJ831" s="79"/>
      <c r="DK831" s="79"/>
      <c r="DL831" s="79"/>
      <c r="DM831" s="79"/>
      <c r="DN831" s="79" t="s">
        <v>182</v>
      </c>
      <c r="DO831" s="79"/>
      <c r="DP831" s="79"/>
      <c r="DQ831" s="79"/>
      <c r="DR831" s="75"/>
      <c r="DS831" s="79"/>
      <c r="DT831" s="79"/>
      <c r="DU831" s="75" t="str">
        <f t="shared" si="1131"/>
        <v>No aplica</v>
      </c>
      <c r="DV831" s="79"/>
      <c r="DW831" s="79"/>
      <c r="DX831" s="79"/>
      <c r="DY831" s="79"/>
      <c r="DZ831" s="79" t="s">
        <v>5677</v>
      </c>
      <c r="EA831" s="79"/>
      <c r="EB831" s="79"/>
      <c r="EC831" s="79"/>
      <c r="ED831" s="79"/>
      <c r="EE831" s="79" t="str">
        <f>IF(DI831="Subsanado","Completo","Por Completar")</f>
        <v>Por Completar</v>
      </c>
      <c r="EF831" s="41"/>
      <c r="EG831" s="79" t="s">
        <v>152</v>
      </c>
      <c r="EH831" s="71"/>
      <c r="EI831" s="80"/>
      <c r="EJ831" s="71"/>
      <c r="EK831" s="79"/>
      <c r="EL831" s="87" t="str">
        <f>IF(F831="NO","No requiere",IF(H831="No","No requiere",IF(DW831="","",IF(DW831&lt;&gt;"No aplica",IF(DX831&lt;&gt;"No aplica",IF(DX831&gt;=2,"Sí","No"),"No aplica"),"No aplica"))))</f>
        <v>No requiere</v>
      </c>
      <c r="EM831" s="87" t="str">
        <f>IF(F831="NO","No requiere",IF(H831="No","No requiere",IF(DW831="","",IF(DW831&lt;&gt;"No aplica",IF(DY831&lt;&gt;"No aplica",IF(DY831&gt;=1,"Sí","No"),"No aplica"),"No aplica"))))</f>
        <v>No requiere</v>
      </c>
      <c r="EN831" s="87" t="str">
        <f>IF(F831="NO","No requiere",IF(H831="No","No requiere",IF(CC831="","",IF(CD831&lt;&gt;"No aplica",IF(CD831&lt;&gt;"Ninguna",IF(COUNTIF(CD831:CF831,"*")&gt;=1,"Sí","No"),"No"),"No aplica"))))</f>
        <v>No requiere</v>
      </c>
      <c r="EO831" s="71"/>
      <c r="EP831" s="84" t="str">
        <f>IF(F831="NO","No requiere",IF(H831="No","No requiere",IF(DL831="","",IF(DL831&gt;=1,DM831/DL831,"No aplica"))))</f>
        <v>No requiere</v>
      </c>
      <c r="EQ831" s="88" t="str">
        <f>IFERROR(IF(F831="NO","No requiere",IF(H831="No","No requiere",DU831)),"")</f>
        <v>No requiere</v>
      </c>
      <c r="ER831" s="71"/>
      <c r="ES831" s="79"/>
      <c r="ET831" s="84" t="str">
        <f t="shared" ref="ET831:ET905" si="1138">IF(F831="NO","No requiere",IF(H831="No","No requiere",IFERROR(COUNTIF(DJ831:DW831,"Completo")/SUM(COUNTIF(DJ831:DW831,"Completo"),COUNTIF(DJ831:DW831,"Incompleto"),COUNTIF(DJ831:DW831,"No subido"),COUNTIF(DJ831:DW831,"No existente"),COUNTIF(DJ831:DW831,"Pendiente")),"")))</f>
        <v>No requiere</v>
      </c>
      <c r="EU831" s="84" t="str">
        <f t="shared" ref="EU831:EU905" si="1139">IF(F831="NO","No requiere",IF(H831="No","No requiere",IF(B831="","",IF(CX831="SÍ",IF(CK831&gt;=1,CY831/CK831,"Sin compromisos"),"Por verificar"))))</f>
        <v>No requiere</v>
      </c>
      <c r="EV831" s="84" t="str">
        <f t="shared" ref="EV831:EW905" si="1140">IF(EU831="Por verificar","Por verificar",IF(F831="NO","No requiere",IF(H831="No","No requiere",IFERROR(IF(EU831="","",IF(CK831&gt;=1,DA831/CZ831,"No aplica")),"No aplica"))))</f>
        <v>No requiere</v>
      </c>
      <c r="EW831" s="84" t="str">
        <f t="shared" ref="EW831:EW905" si="1141">IF(F831="NO","No requiere",IF(H831="No","No requiere",IFERROR(IF(BZ831="","",IF(EA831&lt;&gt;"No aplica",IF(EA831&gt;=1,DO831/EA831,"0%"),"No aplica")),"")))</f>
        <v>No requiere</v>
      </c>
      <c r="EX831" s="78"/>
      <c r="EY831" s="78"/>
    </row>
    <row r="832" spans="1:155" ht="47.25" customHeight="1">
      <c r="A832" s="79">
        <v>828</v>
      </c>
      <c r="B832" s="80" t="s">
        <v>5678</v>
      </c>
      <c r="C832" s="81">
        <v>45509</v>
      </c>
      <c r="D832" s="82">
        <v>0.39583333333333331</v>
      </c>
      <c r="E832" s="79" t="s">
        <v>151</v>
      </c>
      <c r="F832" s="79" t="s">
        <v>153</v>
      </c>
      <c r="G832" s="79" t="s">
        <v>152</v>
      </c>
      <c r="H832" s="79" t="s">
        <v>152</v>
      </c>
      <c r="I832" s="79" t="s">
        <v>153</v>
      </c>
      <c r="J832" s="79" t="s">
        <v>227</v>
      </c>
      <c r="K832" s="79" t="s">
        <v>155</v>
      </c>
      <c r="L832" s="80" t="s">
        <v>5679</v>
      </c>
      <c r="M832" s="80" t="s">
        <v>229</v>
      </c>
      <c r="N832" s="79" t="s">
        <v>373</v>
      </c>
      <c r="O832" s="80" t="str">
        <f t="shared" si="636"/>
        <v/>
      </c>
      <c r="P832" s="79"/>
      <c r="Q832" s="79"/>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t="s">
        <v>169</v>
      </c>
      <c r="AP832" s="79" t="s">
        <v>214</v>
      </c>
      <c r="AQ832" s="80" t="s">
        <v>3643</v>
      </c>
      <c r="AR832" s="80" t="s">
        <v>171</v>
      </c>
      <c r="AS832" s="80" t="s">
        <v>3010</v>
      </c>
      <c r="AT832" s="80" t="str">
        <f>_xlfn.TEXTJOIN(", ",TRUE,$AU832:$AY832)</f>
        <v>Kennedy</v>
      </c>
      <c r="AU832" s="79" t="s">
        <v>731</v>
      </c>
      <c r="AV832" s="79"/>
      <c r="AW832" s="79"/>
      <c r="AX832" s="79"/>
      <c r="AY832" s="79"/>
      <c r="AZ832" s="79"/>
      <c r="BA832" s="80" t="str">
        <f>_xlfn.TEXTJOIN(", ",TRUE,$BB832:$BG832)</f>
        <v>Suroccidente</v>
      </c>
      <c r="BB832" s="79" t="s">
        <v>732</v>
      </c>
      <c r="BC832" s="79"/>
      <c r="BD832" s="79"/>
      <c r="BE832" s="79"/>
      <c r="BF832" s="79"/>
      <c r="BG832" s="79"/>
      <c r="BH832" s="80" t="str">
        <f>_xlfn.TEXTJOIN(", ",TRUE,$BI832:$BR832)</f>
        <v>Patio Bonito, Tintal</v>
      </c>
      <c r="BI832" s="79" t="s">
        <v>967</v>
      </c>
      <c r="BJ832" s="79" t="s">
        <v>1697</v>
      </c>
      <c r="BK832" s="79"/>
      <c r="BL832" s="79"/>
      <c r="BM832" s="79"/>
      <c r="BN832" s="79"/>
      <c r="BO832" s="79"/>
      <c r="BP832" s="79"/>
      <c r="BQ832" s="79"/>
      <c r="BR832" s="79"/>
      <c r="BS832" s="80" t="s">
        <v>731</v>
      </c>
      <c r="BT832" s="80" t="s">
        <v>5680</v>
      </c>
      <c r="BU832" s="80" t="s">
        <v>5681</v>
      </c>
      <c r="BV832" s="71"/>
      <c r="BW832" s="79" t="s">
        <v>152</v>
      </c>
      <c r="BX832" s="79" t="s">
        <v>179</v>
      </c>
      <c r="BY832" s="71"/>
      <c r="BZ832" s="79">
        <v>10</v>
      </c>
      <c r="CA832" s="79">
        <v>4</v>
      </c>
      <c r="CB832" s="79">
        <f t="shared" si="1109"/>
        <v>14</v>
      </c>
      <c r="CC832" s="79" t="str">
        <f t="shared" si="1137"/>
        <v>Horarios Acordes</v>
      </c>
      <c r="CD832" s="79" t="s">
        <v>351</v>
      </c>
      <c r="CE832" s="79"/>
      <c r="CF832" s="79"/>
      <c r="CG832" s="83" t="s">
        <v>5682</v>
      </c>
      <c r="CH832" s="41"/>
      <c r="CI832" s="79" t="s">
        <v>153</v>
      </c>
      <c r="CJ832" s="71"/>
      <c r="CK832" s="79">
        <v>0</v>
      </c>
      <c r="CL832" s="79"/>
      <c r="CM832" s="79"/>
      <c r="CN832" s="79"/>
      <c r="CO832" s="79"/>
      <c r="CP832" s="79"/>
      <c r="CQ832" s="79"/>
      <c r="CR832" s="83" t="s">
        <v>179</v>
      </c>
      <c r="CS832" s="83" t="s">
        <v>179</v>
      </c>
      <c r="CT832" s="83" t="s">
        <v>179</v>
      </c>
      <c r="CU832" s="83" t="s">
        <v>179</v>
      </c>
      <c r="CV832" s="83" t="s">
        <v>179</v>
      </c>
      <c r="CW832" s="83" t="s">
        <v>179</v>
      </c>
      <c r="CX832" s="79" t="s">
        <v>153</v>
      </c>
      <c r="CY832" s="79">
        <v>0</v>
      </c>
      <c r="CZ832" s="79">
        <v>0</v>
      </c>
      <c r="DA832" s="79">
        <v>0</v>
      </c>
      <c r="DB832" s="84" t="s">
        <v>316</v>
      </c>
      <c r="DC832" s="41"/>
      <c r="DD832" s="79" t="s">
        <v>153</v>
      </c>
      <c r="DE832" s="71"/>
      <c r="DF832" s="127" t="s">
        <v>5683</v>
      </c>
      <c r="DG832" s="79">
        <v>821</v>
      </c>
      <c r="DH832" s="86" t="str">
        <f>IF(EE832="Por completar",C832+3,"Completo")</f>
        <v>Completo</v>
      </c>
      <c r="DI832" s="79" t="s">
        <v>181</v>
      </c>
      <c r="DJ832" s="79" t="s">
        <v>182</v>
      </c>
      <c r="DK832" s="79"/>
      <c r="DL832" s="79">
        <v>0</v>
      </c>
      <c r="DM832" s="79">
        <v>0</v>
      </c>
      <c r="DN832" s="79" t="s">
        <v>182</v>
      </c>
      <c r="DO832" s="79"/>
      <c r="DP832" s="79"/>
      <c r="DQ832" s="79"/>
      <c r="DR832" s="75" t="s">
        <v>179</v>
      </c>
      <c r="DS832" s="79"/>
      <c r="DT832" s="79"/>
      <c r="DU832" s="75" t="str">
        <f t="shared" si="1131"/>
        <v>No aplica</v>
      </c>
      <c r="DV832" s="79" t="s">
        <v>182</v>
      </c>
      <c r="DW832" s="79"/>
      <c r="DX832" s="79"/>
      <c r="DY832" s="79"/>
      <c r="DZ832" s="79"/>
      <c r="EA832" s="79"/>
      <c r="EB832" s="79"/>
      <c r="EC832" s="79"/>
      <c r="ED832" s="79" t="s">
        <v>3990</v>
      </c>
      <c r="EE832" s="79" t="str">
        <f>IF(DI832="Subsanado","Completo","Por Completar")</f>
        <v>Completo</v>
      </c>
      <c r="EF832" s="41"/>
      <c r="EG832" s="79" t="s">
        <v>153</v>
      </c>
      <c r="EH832" s="71"/>
      <c r="EI832" s="80"/>
      <c r="EJ832" s="71"/>
      <c r="EK832" s="79"/>
      <c r="EL832" s="87" t="str">
        <f>IF(F832="NO","No requiere",IF(H832="No","No requiere",IF(DW832="","",IF(DW832&lt;&gt;"No aplica",IF(DX832&lt;&gt;"No aplica",IF(DX832&gt;=2,"Sí","No"),"No aplica"),"No aplica"))))</f>
        <v>No requiere</v>
      </c>
      <c r="EM832" s="87" t="str">
        <f>IF(F832="NO","No requiere",IF(H832="No","No requiere",IF(DW832="","",IF(DW832&lt;&gt;"No aplica",IF(DY832&lt;&gt;"No aplica",IF(DY832&gt;=1,"Sí","No"),"No aplica"),"No aplica"))))</f>
        <v>No requiere</v>
      </c>
      <c r="EN832" s="87" t="str">
        <f>IF(F832="NO","No requiere",IF(H832="No","No requiere",IF(CC832="","",IF(CD832&lt;&gt;"No aplica",IF(CD832&lt;&gt;"Ninguna",IF(COUNTIF(CD832:CF832,"*")&gt;=1,"Sí","No"),"No"),"No aplica"))))</f>
        <v>No requiere</v>
      </c>
      <c r="EO832" s="71"/>
      <c r="EP832" s="84" t="str">
        <f>IF(F832="NO","No requiere",IF(H832="No","No requiere",IF(DL832="","",IF(DL832&gt;=1,DM832/DL832,"No aplica"))))</f>
        <v>No requiere</v>
      </c>
      <c r="EQ832" s="88" t="str">
        <f>IFERROR(IF(F832="NO","No requiere",IF(H832="No","No requiere",DU832)),"")</f>
        <v>No requiere</v>
      </c>
      <c r="ER832" s="71"/>
      <c r="ES832" s="79"/>
      <c r="ET832" s="84" t="str">
        <f t="shared" si="1138"/>
        <v>No requiere</v>
      </c>
      <c r="EU832" s="84" t="str">
        <f t="shared" si="1139"/>
        <v>No requiere</v>
      </c>
      <c r="EV832" s="84" t="str">
        <f t="shared" si="1140"/>
        <v>No requiere</v>
      </c>
      <c r="EW832" s="84" t="str">
        <f t="shared" si="1141"/>
        <v>No requiere</v>
      </c>
      <c r="EX832" s="78"/>
      <c r="EY832" s="78"/>
    </row>
    <row r="833" spans="1:155" ht="57" customHeight="1">
      <c r="A833" s="79">
        <v>829</v>
      </c>
      <c r="B833" s="80" t="s">
        <v>5684</v>
      </c>
      <c r="C833" s="81">
        <v>45509</v>
      </c>
      <c r="D833" s="82">
        <v>0.5625</v>
      </c>
      <c r="E833" s="79" t="s">
        <v>151</v>
      </c>
      <c r="F833" s="79" t="s">
        <v>153</v>
      </c>
      <c r="G833" s="79" t="s">
        <v>153</v>
      </c>
      <c r="H833" s="79" t="s">
        <v>153</v>
      </c>
      <c r="I833" s="79" t="s">
        <v>152</v>
      </c>
      <c r="J833" s="79" t="s">
        <v>154</v>
      </c>
      <c r="K833" s="79" t="s">
        <v>155</v>
      </c>
      <c r="L833" s="80" t="s">
        <v>5685</v>
      </c>
      <c r="M833" s="80" t="s">
        <v>241</v>
      </c>
      <c r="N833" s="79" t="s">
        <v>167</v>
      </c>
      <c r="O833" s="80" t="str">
        <f t="shared" si="636"/>
        <v>Nathalia Guzmán Martínez</v>
      </c>
      <c r="P833" s="79" t="s">
        <v>166</v>
      </c>
      <c r="Q833" s="79"/>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t="s">
        <v>1226</v>
      </c>
      <c r="AP833" s="79"/>
      <c r="AQ833" s="80" t="s">
        <v>5686</v>
      </c>
      <c r="AR833" s="83" t="s">
        <v>171</v>
      </c>
      <c r="AS833" s="80" t="s">
        <v>171</v>
      </c>
      <c r="AT833" s="80" t="str">
        <f>_xlfn.TEXTJOIN(", ",TRUE,$AU833:$AY833)</f>
        <v>Distrital</v>
      </c>
      <c r="AU833" s="79" t="s">
        <v>172</v>
      </c>
      <c r="AV833" s="79"/>
      <c r="AW833" s="79"/>
      <c r="AX833" s="79"/>
      <c r="AY833" s="79"/>
      <c r="AZ833" s="79"/>
      <c r="BA833" s="80" t="str">
        <f>_xlfn.TEXTJOIN(", ",TRUE,$BB833:$BG833)</f>
        <v>Distrital</v>
      </c>
      <c r="BB833" s="79" t="s">
        <v>172</v>
      </c>
      <c r="BC833" s="79"/>
      <c r="BD833" s="79"/>
      <c r="BE833" s="79"/>
      <c r="BF833" s="79"/>
      <c r="BG833" s="79"/>
      <c r="BH833" s="80" t="str">
        <f>_xlfn.TEXTJOIN(", ",TRUE,$BI833:$BR833)</f>
        <v>Distrital</v>
      </c>
      <c r="BI833" s="79" t="s">
        <v>172</v>
      </c>
      <c r="BJ833" s="79"/>
      <c r="BK833" s="79"/>
      <c r="BL833" s="79"/>
      <c r="BM833" s="79"/>
      <c r="BN833" s="79"/>
      <c r="BO833" s="79"/>
      <c r="BP833" s="79"/>
      <c r="BQ833" s="79"/>
      <c r="BR833" s="79"/>
      <c r="BS833" s="80" t="s">
        <v>171</v>
      </c>
      <c r="BT833" s="80" t="s">
        <v>5673</v>
      </c>
      <c r="BU833" s="80" t="s">
        <v>171</v>
      </c>
      <c r="BV833" s="71"/>
      <c r="BW833" s="79" t="s">
        <v>153</v>
      </c>
      <c r="BX833" s="79" t="s">
        <v>4242</v>
      </c>
      <c r="BY833" s="71"/>
      <c r="BZ833" s="79">
        <v>10</v>
      </c>
      <c r="CA833" s="79">
        <v>3</v>
      </c>
      <c r="CB833" s="79">
        <f t="shared" si="1109"/>
        <v>13</v>
      </c>
      <c r="CC833" s="79" t="str">
        <f t="shared" si="1137"/>
        <v>Contenidos adaptados</v>
      </c>
      <c r="CD833" s="79" t="s">
        <v>350</v>
      </c>
      <c r="CE833" s="79"/>
      <c r="CF833" s="79"/>
      <c r="CG833" s="83" t="s">
        <v>5687</v>
      </c>
      <c r="CH833" s="41"/>
      <c r="CI833" s="79" t="s">
        <v>153</v>
      </c>
      <c r="CJ833" s="71"/>
      <c r="CK833" s="79">
        <v>0</v>
      </c>
      <c r="CL833" s="79"/>
      <c r="CM833" s="79"/>
      <c r="CN833" s="79"/>
      <c r="CO833" s="79"/>
      <c r="CP833" s="79"/>
      <c r="CQ833" s="79"/>
      <c r="CR833" s="83"/>
      <c r="CS833" s="83"/>
      <c r="CT833" s="83"/>
      <c r="CU833" s="83"/>
      <c r="CV833" s="83"/>
      <c r="CW833" s="83"/>
      <c r="CX833" s="79"/>
      <c r="CY833" s="79">
        <v>0</v>
      </c>
      <c r="CZ833" s="79">
        <v>0</v>
      </c>
      <c r="DA833" s="79">
        <v>0</v>
      </c>
      <c r="DB833" s="84" t="s">
        <v>316</v>
      </c>
      <c r="DC833" s="41"/>
      <c r="DD833" s="79"/>
      <c r="DE833" s="71"/>
      <c r="DF833" s="160" t="s">
        <v>5688</v>
      </c>
      <c r="DG833" s="79">
        <v>822</v>
      </c>
      <c r="DH833" s="86">
        <f t="shared" ref="DH833:DH840" si="1142">IF(EE833="Por completar",C833+3,"Completo")</f>
        <v>45512</v>
      </c>
      <c r="DI833" s="79" t="s">
        <v>3560</v>
      </c>
      <c r="DJ833" s="79" t="s">
        <v>2659</v>
      </c>
      <c r="DK833" s="79"/>
      <c r="DL833" s="79">
        <v>0</v>
      </c>
      <c r="DM833" s="79">
        <v>0</v>
      </c>
      <c r="DN833" s="79" t="s">
        <v>182</v>
      </c>
      <c r="DO833" s="79"/>
      <c r="DP833" s="79"/>
      <c r="DQ833" s="79"/>
      <c r="DR833" s="75" t="s">
        <v>179</v>
      </c>
      <c r="DS833" s="79"/>
      <c r="DT833" s="79"/>
      <c r="DU833" s="75">
        <f t="shared" si="1131"/>
        <v>0</v>
      </c>
      <c r="DV833" s="79" t="s">
        <v>182</v>
      </c>
      <c r="DW833" s="79" t="s">
        <v>182</v>
      </c>
      <c r="DX833" s="79">
        <v>1</v>
      </c>
      <c r="DY833" s="79"/>
      <c r="DZ833" s="79" t="s">
        <v>5689</v>
      </c>
      <c r="EA833" s="79"/>
      <c r="EB833" s="79" t="s">
        <v>182</v>
      </c>
      <c r="EC833" s="79" t="s">
        <v>5690</v>
      </c>
      <c r="ED833" s="79" t="s">
        <v>3108</v>
      </c>
      <c r="EE833" s="79" t="str">
        <f t="shared" ref="EE833:EE880" si="1143">IF(DI833="Subsanado","Completo","Por Completar")</f>
        <v>Por Completar</v>
      </c>
      <c r="EF833" s="41"/>
      <c r="EG833" s="79" t="s">
        <v>152</v>
      </c>
      <c r="EH833" s="71"/>
      <c r="EI833" s="80"/>
      <c r="EJ833" s="71"/>
      <c r="EK833" s="79"/>
      <c r="EL833" s="87" t="str">
        <f>IF(F833="NO","No requiere",IF(H833="No","No requiere",IF(DW833="","",IF(DW833&lt;&gt;"No aplica",IF(DX833&lt;&gt;"No aplica",IF(DX833&gt;=2,"Sí","No"),"No aplica"),"No aplica"))))</f>
        <v>No</v>
      </c>
      <c r="EM833" s="87" t="str">
        <f>IF(F833="NO","No requiere",IF(H833="No","No requiere",IF(DW833="","",IF(DW833&lt;&gt;"No aplica",IF(DY833&lt;&gt;"No aplica",IF(DY833&gt;=1,"Sí","No"),"No aplica"),"No aplica"))))</f>
        <v>No</v>
      </c>
      <c r="EN833" s="87" t="str">
        <f>IF(F833="NO","No requiere",IF(H833="No","No requiere",IF(CC833="","",IF(CD833&lt;&gt;"No aplica",IF(CD833&lt;&gt;"Ninguna",IF(COUNTIF(CD833:CF833,"*")&gt;=1,"Sí","No"),"No"),"No aplica"))))</f>
        <v>Sí</v>
      </c>
      <c r="EO833" s="71"/>
      <c r="EP833" s="84" t="str">
        <f>IF(F833="NO","No requiere",IF(H833="No","No requiere",IF(DL833="","",IF(DL833&gt;=1,DM833/DL833,"No aplica"))))</f>
        <v>No aplica</v>
      </c>
      <c r="EQ833" s="88">
        <f>IFERROR(IF(F833="NO","No requiere",IF(H833="No","No requiere",DU833)),"")</f>
        <v>0</v>
      </c>
      <c r="ER833" s="71"/>
      <c r="ES833" s="79"/>
      <c r="ET833" s="84">
        <f t="shared" si="1138"/>
        <v>0.75</v>
      </c>
      <c r="EU833" s="84" t="str">
        <f t="shared" si="1139"/>
        <v>Por verificar</v>
      </c>
      <c r="EV833" s="84" t="str">
        <f t="shared" si="1140"/>
        <v>Por verificar</v>
      </c>
      <c r="EW833" s="84" t="str">
        <f t="shared" si="1141"/>
        <v>0%</v>
      </c>
      <c r="EX833" s="78"/>
      <c r="EY833" s="78"/>
    </row>
    <row r="834" spans="1:155" ht="57" customHeight="1">
      <c r="A834" s="79">
        <v>830</v>
      </c>
      <c r="B834" s="80" t="s">
        <v>5691</v>
      </c>
      <c r="C834" s="81">
        <v>45512</v>
      </c>
      <c r="D834" s="82">
        <v>0.45833333333333331</v>
      </c>
      <c r="E834" s="79" t="s">
        <v>151</v>
      </c>
      <c r="F834" s="79" t="s">
        <v>153</v>
      </c>
      <c r="G834" s="79" t="s">
        <v>152</v>
      </c>
      <c r="H834" s="79" t="s">
        <v>152</v>
      </c>
      <c r="I834" s="79" t="s">
        <v>152</v>
      </c>
      <c r="J834" s="79" t="s">
        <v>2153</v>
      </c>
      <c r="K834" s="79" t="s">
        <v>202</v>
      </c>
      <c r="L834" s="314" t="s">
        <v>5692</v>
      </c>
      <c r="M834" s="80" t="s">
        <v>624</v>
      </c>
      <c r="N834" s="79" t="s">
        <v>3049</v>
      </c>
      <c r="O834" s="80" t="str">
        <f t="shared" si="636"/>
        <v/>
      </c>
      <c r="P834" s="79"/>
      <c r="Q834" s="79"/>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t="s">
        <v>304</v>
      </c>
      <c r="AP834" s="79"/>
      <c r="AQ834" s="80" t="s">
        <v>5693</v>
      </c>
      <c r="AR834" s="83" t="s">
        <v>5420</v>
      </c>
      <c r="AS834" s="80" t="s">
        <v>5421</v>
      </c>
      <c r="AT834" s="80" t="str">
        <f>_xlfn.TEXTJOIN(", ",TRUE,$AU834:$AY834)</f>
        <v>Distrital</v>
      </c>
      <c r="AU834" s="79" t="s">
        <v>172</v>
      </c>
      <c r="AV834" s="79"/>
      <c r="AW834" s="79"/>
      <c r="AX834" s="79"/>
      <c r="AY834" s="79"/>
      <c r="AZ834" s="79"/>
      <c r="BA834" s="80" t="str">
        <f>_xlfn.TEXTJOIN(", ",TRUE,$BB834:$BG834)</f>
        <v>Distrital</v>
      </c>
      <c r="BB834" s="79" t="s">
        <v>172</v>
      </c>
      <c r="BC834" s="79"/>
      <c r="BD834" s="79"/>
      <c r="BE834" s="79"/>
      <c r="BF834" s="79"/>
      <c r="BG834" s="79"/>
      <c r="BH834" s="80" t="str">
        <f>_xlfn.TEXTJOIN(", ",TRUE,$BI834:$BR834)</f>
        <v>Distrital</v>
      </c>
      <c r="BI834" s="79" t="s">
        <v>172</v>
      </c>
      <c r="BJ834" s="79"/>
      <c r="BK834" s="79"/>
      <c r="BL834" s="79"/>
      <c r="BM834" s="79"/>
      <c r="BN834" s="79"/>
      <c r="BO834" s="79"/>
      <c r="BP834" s="79"/>
      <c r="BQ834" s="79"/>
      <c r="BR834" s="79"/>
      <c r="BS834" s="80" t="s">
        <v>179</v>
      </c>
      <c r="BT834" s="80" t="s">
        <v>171</v>
      </c>
      <c r="BU834" s="128" t="s">
        <v>3931</v>
      </c>
      <c r="BV834" s="71"/>
      <c r="BW834" s="79" t="s">
        <v>152</v>
      </c>
      <c r="BX834" s="79" t="s">
        <v>179</v>
      </c>
      <c r="BY834" s="71"/>
      <c r="BZ834" s="79">
        <v>6</v>
      </c>
      <c r="CA834" s="79">
        <v>1</v>
      </c>
      <c r="CB834" s="79">
        <f>BZ834+CA834</f>
        <v>7</v>
      </c>
      <c r="CC834" s="79" t="str">
        <f t="shared" si="1137"/>
        <v>Ninguna</v>
      </c>
      <c r="CD834" s="79" t="s">
        <v>174</v>
      </c>
      <c r="CE834" s="79"/>
      <c r="CF834" s="79"/>
      <c r="CG834" s="83" t="s">
        <v>5694</v>
      </c>
      <c r="CH834" s="41"/>
      <c r="CI834" s="79" t="s">
        <v>153</v>
      </c>
      <c r="CJ834" s="71"/>
      <c r="CK834" s="79">
        <v>0</v>
      </c>
      <c r="CL834" s="79"/>
      <c r="CM834" s="79"/>
      <c r="CN834" s="79"/>
      <c r="CO834" s="79"/>
      <c r="CP834" s="79"/>
      <c r="CQ834" s="79"/>
      <c r="CR834" s="83"/>
      <c r="CS834" s="83"/>
      <c r="CT834" s="83"/>
      <c r="CU834" s="83"/>
      <c r="CV834" s="83"/>
      <c r="CW834" s="83"/>
      <c r="CX834" s="79"/>
      <c r="CY834" s="79">
        <v>0</v>
      </c>
      <c r="CZ834" s="79">
        <v>0</v>
      </c>
      <c r="DA834" s="79">
        <v>0</v>
      </c>
      <c r="DB834" s="84" t="s">
        <v>316</v>
      </c>
      <c r="DC834" s="41"/>
      <c r="DD834" s="79"/>
      <c r="DE834" s="71"/>
      <c r="DF834" s="127" t="s">
        <v>5695</v>
      </c>
      <c r="DG834" s="79">
        <v>823</v>
      </c>
      <c r="DH834" s="86">
        <f t="shared" si="1142"/>
        <v>45515</v>
      </c>
      <c r="DI834" s="79" t="s">
        <v>3560</v>
      </c>
      <c r="DJ834" s="79"/>
      <c r="DK834" s="79"/>
      <c r="DL834" s="79">
        <v>0</v>
      </c>
      <c r="DM834" s="79">
        <v>0</v>
      </c>
      <c r="DN834" s="79"/>
      <c r="DO834" s="79"/>
      <c r="DP834" s="79"/>
      <c r="DQ834" s="79"/>
      <c r="DR834" s="75" t="s">
        <v>179</v>
      </c>
      <c r="DS834" s="79"/>
      <c r="DT834" s="79"/>
      <c r="DU834" s="75" t="str">
        <f t="shared" si="1131"/>
        <v>No aplica</v>
      </c>
      <c r="DV834" s="79"/>
      <c r="DW834" s="79"/>
      <c r="DX834" s="79"/>
      <c r="DY834" s="79">
        <v>2</v>
      </c>
      <c r="DZ834" s="79" t="s">
        <v>5696</v>
      </c>
      <c r="EA834" s="79"/>
      <c r="EB834" s="79"/>
      <c r="EC834" s="79"/>
      <c r="ED834" s="79"/>
      <c r="EE834" s="79" t="str">
        <f t="shared" si="1143"/>
        <v>Por Completar</v>
      </c>
      <c r="EF834" s="41"/>
      <c r="EG834" s="79"/>
      <c r="EH834" s="71"/>
      <c r="EI834" s="80"/>
      <c r="EJ834" s="71"/>
      <c r="EK834" s="79"/>
      <c r="EL834" s="87" t="str">
        <f>IF(F834="NO","No requiere",IF(H834="No","No requiere",IF(DW834="","",IF(DW834&lt;&gt;"No aplica",IF(DX834&lt;&gt;"No aplica",IF(DX834&gt;=2,"Sí","No"),"No aplica"),"No aplica"))))</f>
        <v>No requiere</v>
      </c>
      <c r="EM834" s="87" t="str">
        <f>IF(F834="NO","No requiere",IF(H834="No","No requiere",IF(DW834="","",IF(DW834&lt;&gt;"No aplica",IF(DY834&lt;&gt;"No aplica",IF(DY834&gt;=1,"Sí","No"),"No aplica"),"No aplica"))))</f>
        <v>No requiere</v>
      </c>
      <c r="EN834" s="87" t="str">
        <f>IF(F834="NO","No requiere",IF(H834="No","No requiere",IF(CC834="","",IF(CD834&lt;&gt;"No aplica",IF(CD834&lt;&gt;"Ninguna",IF(COUNTIF(CD834:CF834,"*")&gt;=1,"Sí","No"),"No"),"No aplica"))))</f>
        <v>No requiere</v>
      </c>
      <c r="EO834" s="71"/>
      <c r="EP834" s="84" t="str">
        <f>IF(F834="NO","No requiere",IF(H834="No","No requiere",IF(DL834="","",IF(DL834&gt;=1,DM834/DL834,"No aplica"))))</f>
        <v>No requiere</v>
      </c>
      <c r="EQ834" s="88" t="str">
        <f>IFERROR(IF(F834="NO","No requiere",IF(H834="No","No requiere",DU834)),"")</f>
        <v>No requiere</v>
      </c>
      <c r="ER834" s="71"/>
      <c r="ES834" s="79"/>
      <c r="ET834" s="84" t="str">
        <f t="shared" si="1138"/>
        <v>No requiere</v>
      </c>
      <c r="EU834" s="84" t="str">
        <f t="shared" si="1139"/>
        <v>No requiere</v>
      </c>
      <c r="EV834" s="84" t="str">
        <f t="shared" si="1140"/>
        <v>No requiere</v>
      </c>
      <c r="EW834" s="84" t="str">
        <f t="shared" si="1141"/>
        <v>No requiere</v>
      </c>
      <c r="EX834" s="78"/>
      <c r="EY834" s="78"/>
    </row>
    <row r="835" spans="1:155" ht="57" customHeight="1">
      <c r="A835" s="79">
        <v>831</v>
      </c>
      <c r="B835" s="80" t="s">
        <v>5684</v>
      </c>
      <c r="C835" s="81">
        <v>45512</v>
      </c>
      <c r="D835" s="82">
        <v>0.58333333333333337</v>
      </c>
      <c r="E835" s="79" t="s">
        <v>151</v>
      </c>
      <c r="F835" s="79" t="s">
        <v>153</v>
      </c>
      <c r="G835" s="79" t="s">
        <v>153</v>
      </c>
      <c r="H835" s="79" t="s">
        <v>153</v>
      </c>
      <c r="I835" s="79" t="s">
        <v>152</v>
      </c>
      <c r="J835" s="79" t="s">
        <v>154</v>
      </c>
      <c r="K835" s="79" t="s">
        <v>155</v>
      </c>
      <c r="L835" s="80" t="s">
        <v>5685</v>
      </c>
      <c r="M835" s="80" t="s">
        <v>241</v>
      </c>
      <c r="N835" s="79" t="s">
        <v>167</v>
      </c>
      <c r="O835" s="80" t="str">
        <f t="shared" si="636"/>
        <v>Nathalia Guzmán Martínez</v>
      </c>
      <c r="P835" s="79" t="s">
        <v>166</v>
      </c>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t="s">
        <v>1226</v>
      </c>
      <c r="AP835" s="79"/>
      <c r="AQ835" s="80" t="s">
        <v>5697</v>
      </c>
      <c r="AR835" s="83" t="s">
        <v>171</v>
      </c>
      <c r="AS835" s="80" t="s">
        <v>171</v>
      </c>
      <c r="AT835" s="80" t="str">
        <f>_xlfn.TEXTJOIN(", ",TRUE,$AU835:$AY835)</f>
        <v>Distrital</v>
      </c>
      <c r="AU835" s="79" t="s">
        <v>172</v>
      </c>
      <c r="AV835" s="79"/>
      <c r="AW835" s="79"/>
      <c r="AX835" s="79"/>
      <c r="AY835" s="79"/>
      <c r="AZ835" s="79"/>
      <c r="BA835" s="80" t="str">
        <f>_xlfn.TEXTJOIN(", ",TRUE,$BB835:$BG835)</f>
        <v>Distrital</v>
      </c>
      <c r="BB835" s="79" t="s">
        <v>172</v>
      </c>
      <c r="BC835" s="79"/>
      <c r="BD835" s="79"/>
      <c r="BE835" s="79"/>
      <c r="BF835" s="79"/>
      <c r="BG835" s="79"/>
      <c r="BH835" s="80" t="str">
        <f>_xlfn.TEXTJOIN(", ",TRUE,$BI835:$BR835)</f>
        <v>Distrital</v>
      </c>
      <c r="BI835" s="79" t="s">
        <v>172</v>
      </c>
      <c r="BJ835" s="79"/>
      <c r="BK835" s="79"/>
      <c r="BL835" s="79"/>
      <c r="BM835" s="79"/>
      <c r="BN835" s="79"/>
      <c r="BO835" s="79"/>
      <c r="BP835" s="79"/>
      <c r="BQ835" s="79"/>
      <c r="BR835" s="79"/>
      <c r="BS835" s="80" t="s">
        <v>171</v>
      </c>
      <c r="BT835" s="80" t="s">
        <v>171</v>
      </c>
      <c r="BU835" s="80" t="s">
        <v>171</v>
      </c>
      <c r="BV835" s="71"/>
      <c r="BW835" s="79" t="s">
        <v>153</v>
      </c>
      <c r="BX835" s="79" t="s">
        <v>4242</v>
      </c>
      <c r="BY835" s="71"/>
      <c r="BZ835" s="79">
        <v>20</v>
      </c>
      <c r="CA835" s="79">
        <v>4</v>
      </c>
      <c r="CB835" s="79">
        <f t="shared" si="1109"/>
        <v>24</v>
      </c>
      <c r="CC835" s="79" t="str">
        <f t="shared" si="1137"/>
        <v>Contenidos adaptados</v>
      </c>
      <c r="CD835" s="79" t="s">
        <v>350</v>
      </c>
      <c r="CE835" s="79"/>
      <c r="CF835" s="79"/>
      <c r="CG835" s="83" t="s">
        <v>5698</v>
      </c>
      <c r="CH835" s="41"/>
      <c r="CI835" s="79" t="s">
        <v>153</v>
      </c>
      <c r="CJ835" s="71"/>
      <c r="CK835" s="79">
        <v>0</v>
      </c>
      <c r="CL835" s="79"/>
      <c r="CM835" s="79"/>
      <c r="CN835" s="79"/>
      <c r="CO835" s="79"/>
      <c r="CP835" s="79"/>
      <c r="CQ835" s="79"/>
      <c r="CR835" s="83"/>
      <c r="CS835" s="83"/>
      <c r="CT835" s="83"/>
      <c r="CU835" s="83"/>
      <c r="CV835" s="83"/>
      <c r="CW835" s="83"/>
      <c r="CX835" s="79"/>
      <c r="CY835" s="79">
        <v>0</v>
      </c>
      <c r="CZ835" s="79">
        <v>0</v>
      </c>
      <c r="DA835" s="79">
        <v>0</v>
      </c>
      <c r="DB835" s="84" t="s">
        <v>316</v>
      </c>
      <c r="DC835" s="41"/>
      <c r="DD835" s="79"/>
      <c r="DE835" s="71"/>
      <c r="DF835" s="160" t="s">
        <v>5699</v>
      </c>
      <c r="DG835" s="79">
        <v>824</v>
      </c>
      <c r="DH835" s="86">
        <f t="shared" si="1142"/>
        <v>45515</v>
      </c>
      <c r="DI835" s="79" t="s">
        <v>3560</v>
      </c>
      <c r="DJ835" s="79"/>
      <c r="DK835" s="79"/>
      <c r="DL835" s="79">
        <v>0</v>
      </c>
      <c r="DM835" s="79">
        <v>0</v>
      </c>
      <c r="DN835" s="79"/>
      <c r="DO835" s="79"/>
      <c r="DP835" s="79"/>
      <c r="DQ835" s="79"/>
      <c r="DR835" s="75" t="s">
        <v>179</v>
      </c>
      <c r="DS835" s="79"/>
      <c r="DT835" s="79"/>
      <c r="DU835" s="75">
        <f t="shared" si="1131"/>
        <v>0</v>
      </c>
      <c r="DV835" s="79"/>
      <c r="DW835" s="79"/>
      <c r="DX835" s="79"/>
      <c r="DY835" s="79"/>
      <c r="DZ835" s="79" t="s">
        <v>5700</v>
      </c>
      <c r="EA835" s="79"/>
      <c r="EB835" s="79" t="s">
        <v>182</v>
      </c>
      <c r="EC835" s="79" t="s">
        <v>5690</v>
      </c>
      <c r="ED835" s="79" t="s">
        <v>5701</v>
      </c>
      <c r="EE835" s="79" t="str">
        <f t="shared" si="1143"/>
        <v>Por Completar</v>
      </c>
      <c r="EF835" s="41"/>
      <c r="EG835" s="79"/>
      <c r="EH835" s="71"/>
      <c r="EI835" s="80"/>
      <c r="EJ835" s="71"/>
      <c r="EK835" s="79"/>
      <c r="EL835" s="87" t="str">
        <f>IF(F835="NO","No requiere",IF(H835="No","No requiere",IF(DW835="","",IF(DW835&lt;&gt;"No aplica",IF(DX835&lt;&gt;"No aplica",IF(DX835&gt;=2,"Sí","No"),"No aplica"),"No aplica"))))</f>
        <v/>
      </c>
      <c r="EM835" s="87" t="str">
        <f>IF(F835="NO","No requiere",IF(H835="No","No requiere",IF(DW835="","",IF(DW835&lt;&gt;"No aplica",IF(DY835&lt;&gt;"No aplica",IF(DY835&gt;=1,"Sí","No"),"No aplica"),"No aplica"))))</f>
        <v/>
      </c>
      <c r="EN835" s="87" t="str">
        <f>IF(F835="NO","No requiere",IF(H835="No","No requiere",IF(CC835="","",IF(CD835&lt;&gt;"No aplica",IF(CD835&lt;&gt;"Ninguna",IF(COUNTIF(CD835:CF835,"*")&gt;=1,"Sí","No"),"No"),"No aplica"))))</f>
        <v>Sí</v>
      </c>
      <c r="EO835" s="71"/>
      <c r="EP835" s="84" t="str">
        <f>IF(F835="NO","No requiere",IF(H835="No","No requiere",IF(DL835="","",IF(DL835&gt;=1,DM835/DL835,"No aplica"))))</f>
        <v>No aplica</v>
      </c>
      <c r="EQ835" s="88">
        <f>IFERROR(IF(F835="NO","No requiere",IF(H835="No","No requiere",DU835)),"")</f>
        <v>0</v>
      </c>
      <c r="ER835" s="71"/>
      <c r="ES835" s="79"/>
      <c r="ET835" s="84" t="str">
        <f t="shared" si="1138"/>
        <v/>
      </c>
      <c r="EU835" s="84" t="str">
        <f t="shared" si="1139"/>
        <v>Por verificar</v>
      </c>
      <c r="EV835" s="84" t="str">
        <f t="shared" si="1140"/>
        <v>Por verificar</v>
      </c>
      <c r="EW835" s="84" t="str">
        <f t="shared" si="1141"/>
        <v>0%</v>
      </c>
      <c r="EX835" s="78"/>
      <c r="EY835" s="78"/>
    </row>
    <row r="836" spans="1:155" ht="57" customHeight="1">
      <c r="A836" s="79">
        <v>832</v>
      </c>
      <c r="B836" s="80" t="s">
        <v>5702</v>
      </c>
      <c r="C836" s="81">
        <v>45512</v>
      </c>
      <c r="D836" s="82">
        <v>0.58333333333333337</v>
      </c>
      <c r="E836" s="79" t="s">
        <v>151</v>
      </c>
      <c r="F836" s="79" t="s">
        <v>153</v>
      </c>
      <c r="G836" s="79" t="s">
        <v>152</v>
      </c>
      <c r="H836" s="79" t="s">
        <v>152</v>
      </c>
      <c r="I836" s="79" t="s">
        <v>152</v>
      </c>
      <c r="J836" s="79" t="s">
        <v>272</v>
      </c>
      <c r="K836" s="79" t="s">
        <v>155</v>
      </c>
      <c r="L836" s="80" t="s">
        <v>5703</v>
      </c>
      <c r="M836" s="80" t="s">
        <v>157</v>
      </c>
      <c r="N836" s="79" t="s">
        <v>328</v>
      </c>
      <c r="O836" s="80" t="str">
        <f t="shared" si="636"/>
        <v/>
      </c>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t="s">
        <v>169</v>
      </c>
      <c r="AP836" s="79"/>
      <c r="AQ836" s="80" t="s">
        <v>4060</v>
      </c>
      <c r="AR836" s="83" t="s">
        <v>4156</v>
      </c>
      <c r="AS836" s="80" t="s">
        <v>4061</v>
      </c>
      <c r="AT836" s="80" t="str">
        <f>_xlfn.TEXTJOIN(", ",TRUE,$AU836:$AY836)</f>
        <v>Distrital</v>
      </c>
      <c r="AU836" s="79" t="s">
        <v>172</v>
      </c>
      <c r="AV836" s="79"/>
      <c r="AW836" s="79"/>
      <c r="AX836" s="79"/>
      <c r="AY836" s="79"/>
      <c r="AZ836" s="79"/>
      <c r="BA836" s="80" t="str">
        <f>_xlfn.TEXTJOIN(", ",TRUE,$BB836:$BG836)</f>
        <v>Distrital</v>
      </c>
      <c r="BB836" s="79" t="s">
        <v>172</v>
      </c>
      <c r="BC836" s="79"/>
      <c r="BD836" s="79"/>
      <c r="BE836" s="79"/>
      <c r="BF836" s="79"/>
      <c r="BG836" s="79"/>
      <c r="BH836" s="80" t="str">
        <f>_xlfn.TEXTJOIN(", ",TRUE,$BI836:$BR836)</f>
        <v>Distrital</v>
      </c>
      <c r="BI836" s="79" t="s">
        <v>172</v>
      </c>
      <c r="BJ836" s="79"/>
      <c r="BK836" s="79"/>
      <c r="BL836" s="79"/>
      <c r="BM836" s="79"/>
      <c r="BN836" s="79"/>
      <c r="BO836" s="79"/>
      <c r="BP836" s="79"/>
      <c r="BQ836" s="79"/>
      <c r="BR836" s="79"/>
      <c r="BS836" s="80" t="s">
        <v>171</v>
      </c>
      <c r="BT836" s="80" t="s">
        <v>1798</v>
      </c>
      <c r="BU836" s="80" t="s">
        <v>5704</v>
      </c>
      <c r="BV836" s="71"/>
      <c r="BW836" s="79" t="s">
        <v>152</v>
      </c>
      <c r="BX836" s="79" t="s">
        <v>179</v>
      </c>
      <c r="BY836" s="71"/>
      <c r="BZ836" s="79">
        <v>37</v>
      </c>
      <c r="CA836" s="79">
        <v>1</v>
      </c>
      <c r="CB836" s="79">
        <f t="shared" si="1109"/>
        <v>38</v>
      </c>
      <c r="CC836" s="79" t="str">
        <f t="shared" si="1137"/>
        <v>Ninguna</v>
      </c>
      <c r="CD836" s="79" t="s">
        <v>174</v>
      </c>
      <c r="CE836" s="79"/>
      <c r="CF836" s="79"/>
      <c r="CG836" s="83" t="s">
        <v>5705</v>
      </c>
      <c r="CH836" s="41"/>
      <c r="CI836" s="79" t="s">
        <v>153</v>
      </c>
      <c r="CJ836" s="71"/>
      <c r="CK836" s="79">
        <v>0</v>
      </c>
      <c r="CL836" s="79"/>
      <c r="CM836" s="79"/>
      <c r="CN836" s="79"/>
      <c r="CO836" s="79"/>
      <c r="CP836" s="79"/>
      <c r="CQ836" s="79"/>
      <c r="CR836" s="83" t="s">
        <v>179</v>
      </c>
      <c r="CS836" s="83" t="s">
        <v>179</v>
      </c>
      <c r="CT836" s="83" t="s">
        <v>179</v>
      </c>
      <c r="CU836" s="83" t="s">
        <v>179</v>
      </c>
      <c r="CV836" s="83" t="s">
        <v>179</v>
      </c>
      <c r="CW836" s="83" t="s">
        <v>179</v>
      </c>
      <c r="CX836" s="79" t="s">
        <v>153</v>
      </c>
      <c r="CY836" s="79">
        <v>0</v>
      </c>
      <c r="CZ836" s="79">
        <v>0</v>
      </c>
      <c r="DA836" s="79">
        <v>0</v>
      </c>
      <c r="DB836" s="84" t="s">
        <v>316</v>
      </c>
      <c r="DC836" s="41"/>
      <c r="DD836" s="79" t="s">
        <v>153</v>
      </c>
      <c r="DE836" s="71"/>
      <c r="DF836" s="127" t="s">
        <v>5706</v>
      </c>
      <c r="DG836" s="79">
        <v>825</v>
      </c>
      <c r="DH836" s="86" t="str">
        <f t="shared" si="1142"/>
        <v>Completo</v>
      </c>
      <c r="DI836" s="79" t="s">
        <v>181</v>
      </c>
      <c r="DJ836" s="79" t="s">
        <v>182</v>
      </c>
      <c r="DK836" s="79"/>
      <c r="DL836" s="79">
        <v>0</v>
      </c>
      <c r="DM836" s="79">
        <v>0</v>
      </c>
      <c r="DN836" s="79" t="s">
        <v>182</v>
      </c>
      <c r="DO836" s="79"/>
      <c r="DP836" s="79"/>
      <c r="DQ836" s="79"/>
      <c r="DR836" s="75" t="s">
        <v>179</v>
      </c>
      <c r="DS836" s="79"/>
      <c r="DT836" s="79"/>
      <c r="DU836" s="75" t="str">
        <f t="shared" si="1131"/>
        <v>No aplica</v>
      </c>
      <c r="DV836" s="79" t="s">
        <v>182</v>
      </c>
      <c r="DW836" s="79" t="s">
        <v>182</v>
      </c>
      <c r="DX836" s="79"/>
      <c r="DY836" s="79"/>
      <c r="DZ836" s="79"/>
      <c r="EA836" s="79"/>
      <c r="EB836" s="79"/>
      <c r="EC836" s="79"/>
      <c r="ED836" s="79" t="s">
        <v>3866</v>
      </c>
      <c r="EE836" s="79" t="str">
        <f t="shared" si="1143"/>
        <v>Completo</v>
      </c>
      <c r="EF836" s="41"/>
      <c r="EG836" s="79" t="s">
        <v>153</v>
      </c>
      <c r="EH836" s="71"/>
      <c r="EI836" s="80"/>
      <c r="EJ836" s="71"/>
      <c r="EK836" s="79"/>
      <c r="EL836" s="87" t="str">
        <f>IF(F836="NO","No requiere",IF(H836="No","No requiere",IF(DW836="","",IF(DW836&lt;&gt;"No aplica",IF(DX836&lt;&gt;"No aplica",IF(DX836&gt;=2,"Sí","No"),"No aplica"),"No aplica"))))</f>
        <v>No requiere</v>
      </c>
      <c r="EM836" s="87" t="str">
        <f>IF(F836="NO","No requiere",IF(H836="No","No requiere",IF(DW836="","",IF(DW836&lt;&gt;"No aplica",IF(DY836&lt;&gt;"No aplica",IF(DY836&gt;=1,"Sí","No"),"No aplica"),"No aplica"))))</f>
        <v>No requiere</v>
      </c>
      <c r="EN836" s="87" t="str">
        <f>IF(F836="NO","No requiere",IF(H836="No","No requiere",IF(CC836="","",IF(CD836&lt;&gt;"No aplica",IF(CD836&lt;&gt;"Ninguna",IF(COUNTIF(CD836:CF836,"*")&gt;=1,"Sí","No"),"No"),"No aplica"))))</f>
        <v>No requiere</v>
      </c>
      <c r="EO836" s="71"/>
      <c r="EP836" s="84" t="str">
        <f>IF(F836="NO","No requiere",IF(H836="No","No requiere",IF(DL836="","",IF(DL836&gt;=1,DM836/DL836,"No aplica"))))</f>
        <v>No requiere</v>
      </c>
      <c r="EQ836" s="88" t="str">
        <f>IFERROR(IF(F836="NO","No requiere",IF(H836="No","No requiere",DU836)),"")</f>
        <v>No requiere</v>
      </c>
      <c r="ER836" s="71"/>
      <c r="ES836" s="79"/>
      <c r="ET836" s="84" t="str">
        <f t="shared" si="1138"/>
        <v>No requiere</v>
      </c>
      <c r="EU836" s="84" t="str">
        <f t="shared" si="1139"/>
        <v>No requiere</v>
      </c>
      <c r="EV836" s="84" t="str">
        <f t="shared" si="1140"/>
        <v>No requiere</v>
      </c>
      <c r="EW836" s="84" t="str">
        <f t="shared" si="1141"/>
        <v>No requiere</v>
      </c>
      <c r="EX836" s="78"/>
      <c r="EY836" s="78"/>
    </row>
    <row r="837" spans="1:155" ht="57" customHeight="1">
      <c r="A837" s="79">
        <v>833</v>
      </c>
      <c r="B837" s="80" t="s">
        <v>5707</v>
      </c>
      <c r="C837" s="81">
        <v>45512</v>
      </c>
      <c r="D837" s="82">
        <v>0.625</v>
      </c>
      <c r="E837" s="79" t="s">
        <v>151</v>
      </c>
      <c r="F837" s="79" t="s">
        <v>153</v>
      </c>
      <c r="G837" s="79" t="s">
        <v>152</v>
      </c>
      <c r="H837" s="79" t="s">
        <v>152</v>
      </c>
      <c r="I837" s="79" t="s">
        <v>153</v>
      </c>
      <c r="J837" s="79" t="s">
        <v>3324</v>
      </c>
      <c r="K837" s="79" t="s">
        <v>155</v>
      </c>
      <c r="L837" s="80" t="s">
        <v>5708</v>
      </c>
      <c r="M837" s="80" t="s">
        <v>229</v>
      </c>
      <c r="N837" s="79" t="s">
        <v>5709</v>
      </c>
      <c r="O837" s="80" t="str">
        <f>_xlfn.TEXTJOIN(", ",TRUE,P837:AN837)</f>
        <v/>
      </c>
      <c r="P837" s="79"/>
      <c r="Q837" s="79"/>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t="s">
        <v>578</v>
      </c>
      <c r="AP837" s="79" t="s">
        <v>846</v>
      </c>
      <c r="AQ837" s="80" t="s">
        <v>5710</v>
      </c>
      <c r="AR837" s="83" t="s">
        <v>5711</v>
      </c>
      <c r="AS837" s="80" t="s">
        <v>5712</v>
      </c>
      <c r="AT837" s="80" t="str">
        <f>_xlfn.TEXTJOIN(", ",TRUE,$AU837:$AY837)</f>
        <v>Barrios Unidos</v>
      </c>
      <c r="AU837" s="79" t="s">
        <v>1031</v>
      </c>
      <c r="AV837" s="79"/>
      <c r="AW837" s="79"/>
      <c r="AX837" s="79"/>
      <c r="AY837" s="79"/>
      <c r="AZ837" s="79"/>
      <c r="BA837" s="80" t="str">
        <f>_xlfn.TEXTJOIN(", ",TRUE,$BB837:$BG837)</f>
        <v>Centro Ampliado</v>
      </c>
      <c r="BB837" s="79" t="s">
        <v>636</v>
      </c>
      <c r="BC837" s="79"/>
      <c r="BD837" s="79"/>
      <c r="BE837" s="79"/>
      <c r="BF837" s="79"/>
      <c r="BG837" s="79"/>
      <c r="BH837" s="80" t="str">
        <f>_xlfn.TEXTJOIN(", ",TRUE,$BI837:$BR837)</f>
        <v>Barrios Unidos</v>
      </c>
      <c r="BI837" s="79" t="s">
        <v>1031</v>
      </c>
      <c r="BJ837" s="79"/>
      <c r="BK837" s="79"/>
      <c r="BL837" s="79"/>
      <c r="BM837" s="79"/>
      <c r="BN837" s="79"/>
      <c r="BO837" s="79"/>
      <c r="BP837" s="79"/>
      <c r="BQ837" s="79"/>
      <c r="BR837" s="79"/>
      <c r="BS837" s="80" t="s">
        <v>5713</v>
      </c>
      <c r="BT837" s="80" t="s">
        <v>2362</v>
      </c>
      <c r="BU837" s="80" t="s">
        <v>5714</v>
      </c>
      <c r="BV837" s="71"/>
      <c r="BW837" s="79" t="s">
        <v>152</v>
      </c>
      <c r="BX837" s="79" t="s">
        <v>179</v>
      </c>
      <c r="BY837" s="71"/>
      <c r="BZ837" s="79">
        <v>3</v>
      </c>
      <c r="CA837" s="79">
        <v>3</v>
      </c>
      <c r="CB837" s="79">
        <f t="shared" si="1109"/>
        <v>6</v>
      </c>
      <c r="CC837" s="79" t="str">
        <f t="shared" si="1137"/>
        <v>Horarios Acordes</v>
      </c>
      <c r="CD837" s="79" t="s">
        <v>351</v>
      </c>
      <c r="CE837" s="79"/>
      <c r="CF837" s="79"/>
      <c r="CG837" s="83" t="s">
        <v>5715</v>
      </c>
      <c r="CH837" s="41"/>
      <c r="CI837" s="79" t="s">
        <v>153</v>
      </c>
      <c r="CJ837" s="71"/>
      <c r="CK837" s="79">
        <v>0</v>
      </c>
      <c r="CL837" s="79"/>
      <c r="CM837" s="79"/>
      <c r="CN837" s="79"/>
      <c r="CO837" s="79"/>
      <c r="CP837" s="79"/>
      <c r="CQ837" s="79"/>
      <c r="CR837" s="83" t="s">
        <v>179</v>
      </c>
      <c r="CS837" s="83" t="s">
        <v>179</v>
      </c>
      <c r="CT837" s="83" t="s">
        <v>179</v>
      </c>
      <c r="CU837" s="83" t="s">
        <v>179</v>
      </c>
      <c r="CV837" s="83" t="s">
        <v>179</v>
      </c>
      <c r="CW837" s="83" t="s">
        <v>179</v>
      </c>
      <c r="CX837" s="79" t="s">
        <v>153</v>
      </c>
      <c r="CY837" s="79">
        <v>0</v>
      </c>
      <c r="CZ837" s="79">
        <v>0</v>
      </c>
      <c r="DA837" s="79">
        <v>0</v>
      </c>
      <c r="DB837" s="84" t="s">
        <v>316</v>
      </c>
      <c r="DC837" s="41"/>
      <c r="DD837" s="79" t="s">
        <v>153</v>
      </c>
      <c r="DE837" s="71"/>
      <c r="DF837" s="127" t="s">
        <v>5716</v>
      </c>
      <c r="DG837" s="79"/>
      <c r="DH837" s="86" t="str">
        <f t="shared" si="1142"/>
        <v>Completo</v>
      </c>
      <c r="DI837" s="79" t="s">
        <v>181</v>
      </c>
      <c r="DJ837" s="79" t="s">
        <v>182</v>
      </c>
      <c r="DK837" s="79"/>
      <c r="DL837" s="79">
        <v>5</v>
      </c>
      <c r="DM837" s="79">
        <v>5</v>
      </c>
      <c r="DN837" s="79" t="s">
        <v>182</v>
      </c>
      <c r="DO837" s="79"/>
      <c r="DP837" s="79"/>
      <c r="DQ837" s="79"/>
      <c r="DR837" s="75" t="s">
        <v>179</v>
      </c>
      <c r="DS837" s="79"/>
      <c r="DT837" s="79"/>
      <c r="DU837" s="75" t="str">
        <f t="shared" si="1131"/>
        <v>No aplica</v>
      </c>
      <c r="DV837" s="79" t="s">
        <v>182</v>
      </c>
      <c r="DW837" s="79" t="s">
        <v>191</v>
      </c>
      <c r="DX837" s="79"/>
      <c r="DY837" s="79"/>
      <c r="DZ837" s="79"/>
      <c r="EA837" s="79"/>
      <c r="EB837" s="79"/>
      <c r="EC837" s="79"/>
      <c r="ED837" s="79" t="s">
        <v>3866</v>
      </c>
      <c r="EE837" s="79" t="s">
        <v>5717</v>
      </c>
      <c r="EF837" s="41"/>
      <c r="EG837" s="79" t="s">
        <v>153</v>
      </c>
      <c r="EH837" s="71"/>
      <c r="EI837" s="80"/>
      <c r="EJ837" s="71"/>
      <c r="EK837" s="79"/>
      <c r="EL837" s="87" t="str">
        <f>IF(F837="NO","No requiere",IF(H837="No","No requiere",IF(DW837="","",IF(DW837&lt;&gt;"No aplica",IF(DX837&lt;&gt;"No aplica",IF(DX837&gt;=2,"Sí","No"),"No aplica"),"No aplica"))))</f>
        <v>No requiere</v>
      </c>
      <c r="EM837" s="87" t="str">
        <f>IF(F837="NO","No requiere",IF(H837="No","No requiere",IF(DW837="","",IF(DW837&lt;&gt;"No aplica",IF(DY837&lt;&gt;"No aplica",IF(DY837&gt;=1,"Sí","No"),"No aplica"),"No aplica"))))</f>
        <v>No requiere</v>
      </c>
      <c r="EN837" s="87" t="str">
        <f>IF(F837="NO","No requiere",IF(H837="No","No requiere",IF(CC837="","",IF(CD837&lt;&gt;"No aplica",IF(CD837&lt;&gt;"Ninguna",IF(COUNTIF(CD837:CF837,"*")&gt;=1,"Sí","No"),"No"),"No aplica"))))</f>
        <v>No requiere</v>
      </c>
      <c r="EO837" s="71"/>
      <c r="EP837" s="84" t="str">
        <f>IF(F837="NO","No requiere",IF(H837="No","No requiere",IF(DL837="","",IF(DL837&gt;=1,DM837/DL837,"No aplica"))))</f>
        <v>No requiere</v>
      </c>
      <c r="EQ837" s="88" t="str">
        <f>IFERROR(IF(F837="NO","No requiere",IF(H837="No","No requiere",DU837)),"")</f>
        <v>No requiere</v>
      </c>
      <c r="ER837" s="71"/>
      <c r="ES837" s="79"/>
      <c r="ET837" s="84" t="str">
        <f t="shared" si="1138"/>
        <v>No requiere</v>
      </c>
      <c r="EU837" s="84" t="str">
        <f t="shared" si="1139"/>
        <v>No requiere</v>
      </c>
      <c r="EV837" s="84" t="str">
        <f t="shared" si="1140"/>
        <v>No requiere</v>
      </c>
      <c r="EW837" s="84" t="str">
        <f t="shared" si="1141"/>
        <v>No requiere</v>
      </c>
      <c r="EX837" s="78"/>
      <c r="EY837" s="78"/>
    </row>
    <row r="838" spans="1:155" ht="57" customHeight="1">
      <c r="A838" s="79">
        <v>834</v>
      </c>
      <c r="B838" s="80" t="s">
        <v>5718</v>
      </c>
      <c r="C838" s="81">
        <v>45513</v>
      </c>
      <c r="D838" s="82">
        <v>3.3333333333333335</v>
      </c>
      <c r="E838" s="79" t="s">
        <v>151</v>
      </c>
      <c r="F838" s="79" t="s">
        <v>153</v>
      </c>
      <c r="G838" s="79" t="s">
        <v>152</v>
      </c>
      <c r="H838" s="79" t="s">
        <v>152</v>
      </c>
      <c r="I838" s="79" t="s">
        <v>152</v>
      </c>
      <c r="J838" s="79" t="s">
        <v>2153</v>
      </c>
      <c r="K838" s="79" t="s">
        <v>202</v>
      </c>
      <c r="L838" s="80" t="s">
        <v>5719</v>
      </c>
      <c r="M838" s="80" t="s">
        <v>157</v>
      </c>
      <c r="N838" s="79" t="s">
        <v>3049</v>
      </c>
      <c r="O838" s="80" t="str">
        <f t="shared" si="636"/>
        <v/>
      </c>
      <c r="P838" s="79"/>
      <c r="Q838" s="79"/>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t="s">
        <v>304</v>
      </c>
      <c r="AP838" s="79"/>
      <c r="AQ838" s="80" t="s">
        <v>5720</v>
      </c>
      <c r="AR838" s="83" t="s">
        <v>5420</v>
      </c>
      <c r="AS838" s="80" t="s">
        <v>5421</v>
      </c>
      <c r="AT838" s="80" t="str">
        <f>_xlfn.TEXTJOIN(", ",TRUE,$AU838:$AY838)</f>
        <v>Distrital</v>
      </c>
      <c r="AU838" s="79" t="s">
        <v>172</v>
      </c>
      <c r="AV838" s="79"/>
      <c r="AW838" s="79"/>
      <c r="AX838" s="79"/>
      <c r="AY838" s="79"/>
      <c r="AZ838" s="79"/>
      <c r="BA838" s="80" t="str">
        <f>_xlfn.TEXTJOIN(", ",TRUE,$BB838:$BG838)</f>
        <v>Distrital</v>
      </c>
      <c r="BB838" s="79" t="s">
        <v>172</v>
      </c>
      <c r="BC838" s="79"/>
      <c r="BD838" s="79"/>
      <c r="BE838" s="79"/>
      <c r="BF838" s="79"/>
      <c r="BG838" s="79"/>
      <c r="BH838" s="80" t="str">
        <f>_xlfn.TEXTJOIN(", ",TRUE,$BI838:$BR838)</f>
        <v>Distrital</v>
      </c>
      <c r="BI838" s="79" t="s">
        <v>172</v>
      </c>
      <c r="BJ838" s="79"/>
      <c r="BK838" s="79"/>
      <c r="BL838" s="79"/>
      <c r="BM838" s="79"/>
      <c r="BN838" s="79"/>
      <c r="BO838" s="79"/>
      <c r="BP838" s="79"/>
      <c r="BQ838" s="79"/>
      <c r="BR838" s="79"/>
      <c r="BS838" s="80" t="s">
        <v>179</v>
      </c>
      <c r="BT838" s="80" t="s">
        <v>171</v>
      </c>
      <c r="BU838" s="80"/>
      <c r="BV838" s="71"/>
      <c r="BW838" s="79" t="s">
        <v>152</v>
      </c>
      <c r="BX838" s="79" t="s">
        <v>179</v>
      </c>
      <c r="BY838" s="71"/>
      <c r="BZ838" s="79">
        <v>4</v>
      </c>
      <c r="CA838" s="79">
        <v>1</v>
      </c>
      <c r="CB838" s="79">
        <f>BZ838+CA838</f>
        <v>5</v>
      </c>
      <c r="CC838" s="79" t="str">
        <f t="shared" si="1137"/>
        <v>Ninguna</v>
      </c>
      <c r="CD838" s="79" t="s">
        <v>174</v>
      </c>
      <c r="CE838" s="79"/>
      <c r="CF838" s="79"/>
      <c r="CG838" s="83" t="s">
        <v>5721</v>
      </c>
      <c r="CH838" s="41"/>
      <c r="CI838" s="79" t="s">
        <v>153</v>
      </c>
      <c r="CJ838" s="71"/>
      <c r="CK838" s="79">
        <v>0</v>
      </c>
      <c r="CL838" s="79"/>
      <c r="CM838" s="79"/>
      <c r="CN838" s="79"/>
      <c r="CO838" s="79"/>
      <c r="CP838" s="79"/>
      <c r="CQ838" s="79"/>
      <c r="CR838" s="83"/>
      <c r="CS838" s="83"/>
      <c r="CT838" s="83"/>
      <c r="CU838" s="83"/>
      <c r="CV838" s="83"/>
      <c r="CW838" s="83"/>
      <c r="CX838" s="79"/>
      <c r="CY838" s="79">
        <v>0</v>
      </c>
      <c r="CZ838" s="79">
        <v>0</v>
      </c>
      <c r="DA838" s="79">
        <v>0</v>
      </c>
      <c r="DB838" s="84" t="s">
        <v>316</v>
      </c>
      <c r="DC838" s="41"/>
      <c r="DD838" s="79"/>
      <c r="DE838" s="71"/>
      <c r="DF838" s="127" t="s">
        <v>5722</v>
      </c>
      <c r="DG838" s="79">
        <v>826</v>
      </c>
      <c r="DH838" s="86">
        <f t="shared" si="1142"/>
        <v>45516</v>
      </c>
      <c r="DI838" s="79" t="s">
        <v>3560</v>
      </c>
      <c r="DJ838" s="79"/>
      <c r="DK838" s="79"/>
      <c r="DL838" s="79">
        <v>0</v>
      </c>
      <c r="DM838" s="79">
        <v>0</v>
      </c>
      <c r="DN838" s="79"/>
      <c r="DO838" s="79"/>
      <c r="DP838" s="79"/>
      <c r="DQ838" s="79"/>
      <c r="DR838" s="75" t="s">
        <v>179</v>
      </c>
      <c r="DS838" s="79"/>
      <c r="DT838" s="79"/>
      <c r="DU838" s="75" t="str">
        <f t="shared" si="1131"/>
        <v>No aplica</v>
      </c>
      <c r="DV838" s="79"/>
      <c r="DW838" s="79"/>
      <c r="DX838" s="79"/>
      <c r="DY838" s="79">
        <v>1</v>
      </c>
      <c r="DZ838" s="79" t="s">
        <v>5723</v>
      </c>
      <c r="EA838" s="79"/>
      <c r="EB838" s="79"/>
      <c r="EC838" s="79"/>
      <c r="ED838" s="79"/>
      <c r="EE838" s="79" t="str">
        <f t="shared" si="1143"/>
        <v>Por Completar</v>
      </c>
      <c r="EF838" s="41"/>
      <c r="EG838" s="79"/>
      <c r="EH838" s="71"/>
      <c r="EI838" s="80"/>
      <c r="EJ838" s="71"/>
      <c r="EK838" s="79"/>
      <c r="EL838" s="87" t="str">
        <f>IF(F838="NO","No requiere",IF(H838="No","No requiere",IF(DW838="","",IF(DW838&lt;&gt;"No aplica",IF(DX838&lt;&gt;"No aplica",IF(DX838&gt;=2,"Sí","No"),"No aplica"),"No aplica"))))</f>
        <v>No requiere</v>
      </c>
      <c r="EM838" s="87" t="str">
        <f>IF(F838="NO","No requiere",IF(H838="No","No requiere",IF(DW838="","",IF(DW838&lt;&gt;"No aplica",IF(DY838&lt;&gt;"No aplica",IF(DY838&gt;=1,"Sí","No"),"No aplica"),"No aplica"))))</f>
        <v>No requiere</v>
      </c>
      <c r="EN838" s="87" t="str">
        <f>IF(F838="NO","No requiere",IF(H838="No","No requiere",IF(CC838="","",IF(CD838&lt;&gt;"No aplica",IF(CD838&lt;&gt;"Ninguna",IF(COUNTIF(CD838:CF838,"*")&gt;=1,"Sí","No"),"No"),"No aplica"))))</f>
        <v>No requiere</v>
      </c>
      <c r="EO838" s="71"/>
      <c r="EP838" s="84" t="str">
        <f>IF(F838="NO","No requiere",IF(H838="No","No requiere",IF(DL838="","",IF(DL838&gt;=1,DM838/DL838,"No aplica"))))</f>
        <v>No requiere</v>
      </c>
      <c r="EQ838" s="88" t="str">
        <f>IFERROR(IF(F838="NO","No requiere",IF(H838="No","No requiere",DU838)),"")</f>
        <v>No requiere</v>
      </c>
      <c r="ER838" s="71"/>
      <c r="ES838" s="79"/>
      <c r="ET838" s="84" t="str">
        <f t="shared" si="1138"/>
        <v>No requiere</v>
      </c>
      <c r="EU838" s="84" t="str">
        <f t="shared" si="1139"/>
        <v>No requiere</v>
      </c>
      <c r="EV838" s="84" t="str">
        <f t="shared" si="1140"/>
        <v>No requiere</v>
      </c>
      <c r="EW838" s="84" t="str">
        <f t="shared" si="1141"/>
        <v>No requiere</v>
      </c>
      <c r="EX838" s="78"/>
      <c r="EY838" s="78"/>
    </row>
    <row r="839" spans="1:155" ht="57" customHeight="1">
      <c r="A839" s="79">
        <v>835</v>
      </c>
      <c r="B839" s="80" t="s">
        <v>5724</v>
      </c>
      <c r="C839" s="81">
        <v>45513</v>
      </c>
      <c r="D839" s="82">
        <v>0.45833333333333331</v>
      </c>
      <c r="E839" s="79" t="s">
        <v>151</v>
      </c>
      <c r="F839" s="79" t="s">
        <v>153</v>
      </c>
      <c r="G839" s="79" t="s">
        <v>153</v>
      </c>
      <c r="H839" s="79" t="s">
        <v>152</v>
      </c>
      <c r="I839" s="79" t="s">
        <v>152</v>
      </c>
      <c r="J839" s="79" t="s">
        <v>2153</v>
      </c>
      <c r="K839" s="79" t="s">
        <v>202</v>
      </c>
      <c r="L839" s="80" t="s">
        <v>5725</v>
      </c>
      <c r="M839" s="80" t="s">
        <v>624</v>
      </c>
      <c r="N839" s="79" t="s">
        <v>3049</v>
      </c>
      <c r="O839" s="80" t="str">
        <f t="shared" si="636"/>
        <v/>
      </c>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t="s">
        <v>304</v>
      </c>
      <c r="AP839" s="79"/>
      <c r="AQ839" s="80" t="s">
        <v>5726</v>
      </c>
      <c r="AR839" s="83" t="s">
        <v>5420</v>
      </c>
      <c r="AS839" s="80" t="s">
        <v>5727</v>
      </c>
      <c r="AT839" s="80" t="str">
        <f>_xlfn.TEXTJOIN(", ",TRUE,$AU839:$AY839)</f>
        <v>Distrital</v>
      </c>
      <c r="AU839" s="79" t="s">
        <v>172</v>
      </c>
      <c r="AV839" s="79"/>
      <c r="AW839" s="79"/>
      <c r="AX839" s="79"/>
      <c r="AY839" s="79"/>
      <c r="AZ839" s="79"/>
      <c r="BA839" s="80" t="str">
        <f>_xlfn.TEXTJOIN(", ",TRUE,$BB839:$BG839)</f>
        <v>Distrital</v>
      </c>
      <c r="BB839" s="79" t="s">
        <v>172</v>
      </c>
      <c r="BC839" s="79"/>
      <c r="BD839" s="79"/>
      <c r="BE839" s="79"/>
      <c r="BF839" s="79"/>
      <c r="BG839" s="79"/>
      <c r="BH839" s="80" t="str">
        <f>_xlfn.TEXTJOIN(", ",TRUE,$BI839:$BR839)</f>
        <v>Distrital</v>
      </c>
      <c r="BI839" s="79" t="s">
        <v>172</v>
      </c>
      <c r="BJ839" s="79"/>
      <c r="BK839" s="79"/>
      <c r="BL839" s="79"/>
      <c r="BM839" s="79"/>
      <c r="BN839" s="79"/>
      <c r="BO839" s="79"/>
      <c r="BP839" s="79"/>
      <c r="BQ839" s="79"/>
      <c r="BR839" s="79"/>
      <c r="BS839" s="80" t="s">
        <v>179</v>
      </c>
      <c r="BT839" s="80" t="s">
        <v>171</v>
      </c>
      <c r="BU839" s="128" t="s">
        <v>3931</v>
      </c>
      <c r="BV839" s="71"/>
      <c r="BW839" s="79" t="s">
        <v>152</v>
      </c>
      <c r="BX839" s="79" t="s">
        <v>179</v>
      </c>
      <c r="BY839" s="71"/>
      <c r="BZ839" s="79">
        <v>4</v>
      </c>
      <c r="CA839" s="79">
        <v>2</v>
      </c>
      <c r="CB839" s="79">
        <f>BZ839+CA839</f>
        <v>6</v>
      </c>
      <c r="CC839" s="79" t="str">
        <f t="shared" si="1137"/>
        <v>Ninguna</v>
      </c>
      <c r="CD839" s="79" t="s">
        <v>174</v>
      </c>
      <c r="CE839" s="79"/>
      <c r="CF839" s="79"/>
      <c r="CG839" s="83" t="s">
        <v>5728</v>
      </c>
      <c r="CH839" s="41"/>
      <c r="CI839" s="79" t="s">
        <v>153</v>
      </c>
      <c r="CJ839" s="71"/>
      <c r="CK839" s="79">
        <v>0</v>
      </c>
      <c r="CL839" s="79"/>
      <c r="CM839" s="79"/>
      <c r="CN839" s="79"/>
      <c r="CO839" s="79"/>
      <c r="CP839" s="79"/>
      <c r="CQ839" s="79"/>
      <c r="CR839" s="83"/>
      <c r="CS839" s="83"/>
      <c r="CT839" s="83"/>
      <c r="CU839" s="83"/>
      <c r="CV839" s="83"/>
      <c r="CW839" s="83"/>
      <c r="CX839" s="79"/>
      <c r="CY839" s="79">
        <v>0</v>
      </c>
      <c r="CZ839" s="79">
        <v>0</v>
      </c>
      <c r="DA839" s="79">
        <v>0</v>
      </c>
      <c r="DB839" s="84" t="s">
        <v>316</v>
      </c>
      <c r="DC839" s="41"/>
      <c r="DD839" s="79"/>
      <c r="DE839" s="71"/>
      <c r="DF839" s="127" t="s">
        <v>5729</v>
      </c>
      <c r="DG839" s="79">
        <v>827</v>
      </c>
      <c r="DH839" s="86">
        <f t="shared" si="1142"/>
        <v>45516</v>
      </c>
      <c r="DI839" s="79" t="s">
        <v>3560</v>
      </c>
      <c r="DJ839" s="79"/>
      <c r="DK839" s="79"/>
      <c r="DL839" s="79">
        <v>0</v>
      </c>
      <c r="DM839" s="79">
        <v>0</v>
      </c>
      <c r="DN839" s="79"/>
      <c r="DO839" s="79"/>
      <c r="DP839" s="79"/>
      <c r="DQ839" s="79"/>
      <c r="DR839" s="75" t="s">
        <v>179</v>
      </c>
      <c r="DS839" s="79"/>
      <c r="DT839" s="79"/>
      <c r="DU839" s="75" t="str">
        <f t="shared" si="1131"/>
        <v>No aplica</v>
      </c>
      <c r="DV839" s="79"/>
      <c r="DW839" s="79"/>
      <c r="DX839" s="79"/>
      <c r="DY839" s="79"/>
      <c r="DZ839" s="79" t="s">
        <v>5730</v>
      </c>
      <c r="EA839" s="79"/>
      <c r="EB839" s="79"/>
      <c r="EC839" s="79"/>
      <c r="ED839" s="79"/>
      <c r="EE839" s="79" t="str">
        <f t="shared" si="1143"/>
        <v>Por Completar</v>
      </c>
      <c r="EF839" s="41"/>
      <c r="EG839" s="79"/>
      <c r="EH839" s="71"/>
      <c r="EI839" s="80"/>
      <c r="EJ839" s="71"/>
      <c r="EK839" s="79"/>
      <c r="EL839" s="87" t="str">
        <f>IF(F839="NO","No requiere",IF(H839="No","No requiere",IF(DW839="","",IF(DW839&lt;&gt;"No aplica",IF(DX839&lt;&gt;"No aplica",IF(DX839&gt;=2,"Sí","No"),"No aplica"),"No aplica"))))</f>
        <v>No requiere</v>
      </c>
      <c r="EM839" s="87" t="str">
        <f>IF(F839="NO","No requiere",IF(H839="No","No requiere",IF(DW839="","",IF(DW839&lt;&gt;"No aplica",IF(DY839&lt;&gt;"No aplica",IF(DY839&gt;=1,"Sí","No"),"No aplica"),"No aplica"))))</f>
        <v>No requiere</v>
      </c>
      <c r="EN839" s="87" t="str">
        <f>IF(F839="NO","No requiere",IF(H839="No","No requiere",IF(CC839="","",IF(CD839&lt;&gt;"No aplica",IF(CD839&lt;&gt;"Ninguna",IF(COUNTIF(CD839:CF839,"*")&gt;=1,"Sí","No"),"No"),"No aplica"))))</f>
        <v>No requiere</v>
      </c>
      <c r="EO839" s="71"/>
      <c r="EP839" s="84" t="str">
        <f>IF(F839="NO","No requiere",IF(H839="No","No requiere",IF(DL839="","",IF(DL839&gt;=1,DM839/DL839,"No aplica"))))</f>
        <v>No requiere</v>
      </c>
      <c r="EQ839" s="88" t="str">
        <f>IFERROR(IF(F839="NO","No requiere",IF(H839="No","No requiere",DU839)),"")</f>
        <v>No requiere</v>
      </c>
      <c r="ER839" s="71"/>
      <c r="ES839" s="79"/>
      <c r="ET839" s="84" t="str">
        <f t="shared" si="1138"/>
        <v>No requiere</v>
      </c>
      <c r="EU839" s="84" t="str">
        <f t="shared" si="1139"/>
        <v>No requiere</v>
      </c>
      <c r="EV839" s="84" t="str">
        <f t="shared" si="1140"/>
        <v>No requiere</v>
      </c>
      <c r="EW839" s="84" t="str">
        <f t="shared" si="1141"/>
        <v>No requiere</v>
      </c>
      <c r="EX839" s="78"/>
      <c r="EY839" s="78"/>
    </row>
    <row r="840" spans="1:155" ht="57" customHeight="1">
      <c r="A840" s="79">
        <v>836</v>
      </c>
      <c r="B840" s="80" t="s">
        <v>5684</v>
      </c>
      <c r="C840" s="81">
        <v>45513</v>
      </c>
      <c r="D840" s="82">
        <v>0.45833333333333331</v>
      </c>
      <c r="E840" s="79" t="s">
        <v>151</v>
      </c>
      <c r="F840" s="79" t="s">
        <v>153</v>
      </c>
      <c r="G840" s="79" t="s">
        <v>153</v>
      </c>
      <c r="H840" s="79" t="s">
        <v>153</v>
      </c>
      <c r="I840" s="79" t="s">
        <v>152</v>
      </c>
      <c r="J840" s="79" t="s">
        <v>154</v>
      </c>
      <c r="K840" s="79" t="s">
        <v>155</v>
      </c>
      <c r="L840" s="80" t="s">
        <v>5685</v>
      </c>
      <c r="M840" s="80" t="s">
        <v>241</v>
      </c>
      <c r="N840" s="79" t="s">
        <v>167</v>
      </c>
      <c r="O840" s="80" t="str">
        <f t="shared" si="636"/>
        <v>Nathalia Guzmán Martínez</v>
      </c>
      <c r="P840" s="79" t="s">
        <v>166</v>
      </c>
      <c r="Q840" s="79"/>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t="s">
        <v>1226</v>
      </c>
      <c r="AP840" s="79"/>
      <c r="AQ840" s="80" t="s">
        <v>5697</v>
      </c>
      <c r="AR840" s="83" t="s">
        <v>171</v>
      </c>
      <c r="AS840" s="80" t="s">
        <v>171</v>
      </c>
      <c r="AT840" s="80" t="str">
        <f>_xlfn.TEXTJOIN(", ",TRUE,$AU840:$AY840)</f>
        <v>Distrital</v>
      </c>
      <c r="AU840" s="79" t="s">
        <v>172</v>
      </c>
      <c r="AV840" s="79"/>
      <c r="AW840" s="79"/>
      <c r="AX840" s="79"/>
      <c r="AY840" s="79"/>
      <c r="AZ840" s="79"/>
      <c r="BA840" s="80" t="str">
        <f>_xlfn.TEXTJOIN(", ",TRUE,$BB840:$BG840)</f>
        <v>Distrital</v>
      </c>
      <c r="BB840" s="79" t="s">
        <v>172</v>
      </c>
      <c r="BC840" s="79"/>
      <c r="BD840" s="79"/>
      <c r="BE840" s="79"/>
      <c r="BF840" s="79"/>
      <c r="BG840" s="79"/>
      <c r="BH840" s="80" t="str">
        <f>_xlfn.TEXTJOIN(", ",TRUE,$BI840:$BR840)</f>
        <v>Distrital</v>
      </c>
      <c r="BI840" s="79" t="s">
        <v>172</v>
      </c>
      <c r="BJ840" s="79"/>
      <c r="BK840" s="79"/>
      <c r="BL840" s="79"/>
      <c r="BM840" s="79"/>
      <c r="BN840" s="79"/>
      <c r="BO840" s="79"/>
      <c r="BP840" s="79"/>
      <c r="BQ840" s="79"/>
      <c r="BR840" s="79"/>
      <c r="BS840" s="80" t="s">
        <v>171</v>
      </c>
      <c r="BT840" s="80" t="s">
        <v>171</v>
      </c>
      <c r="BU840" s="80" t="s">
        <v>171</v>
      </c>
      <c r="BV840" s="71"/>
      <c r="BW840" s="79" t="s">
        <v>153</v>
      </c>
      <c r="BX840" s="79" t="s">
        <v>4242</v>
      </c>
      <c r="BY840" s="71"/>
      <c r="BZ840" s="79">
        <v>32</v>
      </c>
      <c r="CA840" s="79">
        <v>2</v>
      </c>
      <c r="CB840" s="79">
        <f>BZ840+CA840</f>
        <v>34</v>
      </c>
      <c r="CC840" s="79" t="str">
        <f t="shared" si="1137"/>
        <v>Contenidos adaptados</v>
      </c>
      <c r="CD840" s="79" t="s">
        <v>350</v>
      </c>
      <c r="CE840" s="79"/>
      <c r="CF840" s="79"/>
      <c r="CG840" s="83" t="s">
        <v>5731</v>
      </c>
      <c r="CH840" s="41"/>
      <c r="CI840" s="79" t="s">
        <v>153</v>
      </c>
      <c r="CJ840" s="71"/>
      <c r="CK840" s="79">
        <v>0</v>
      </c>
      <c r="CL840" s="79"/>
      <c r="CM840" s="79"/>
      <c r="CN840" s="79"/>
      <c r="CO840" s="79"/>
      <c r="CP840" s="79"/>
      <c r="CQ840" s="79"/>
      <c r="CR840" s="83"/>
      <c r="CS840" s="83"/>
      <c r="CT840" s="83"/>
      <c r="CU840" s="83"/>
      <c r="CV840" s="83"/>
      <c r="CW840" s="83"/>
      <c r="CX840" s="79"/>
      <c r="CY840" s="79">
        <v>0</v>
      </c>
      <c r="CZ840" s="79">
        <v>0</v>
      </c>
      <c r="DA840" s="79">
        <v>0</v>
      </c>
      <c r="DB840" s="84" t="s">
        <v>316</v>
      </c>
      <c r="DC840" s="41"/>
      <c r="DD840" s="79" t="s">
        <v>152</v>
      </c>
      <c r="DE840" s="71"/>
      <c r="DF840" s="160" t="s">
        <v>5732</v>
      </c>
      <c r="DG840" s="79">
        <v>828</v>
      </c>
      <c r="DH840" s="86">
        <f t="shared" si="1142"/>
        <v>45516</v>
      </c>
      <c r="DI840" s="79" t="s">
        <v>3560</v>
      </c>
      <c r="DJ840" s="79"/>
      <c r="DK840" s="79"/>
      <c r="DL840" s="79">
        <v>0</v>
      </c>
      <c r="DM840" s="79">
        <v>0</v>
      </c>
      <c r="DN840" s="79"/>
      <c r="DO840" s="79"/>
      <c r="DP840" s="79"/>
      <c r="DQ840" s="79"/>
      <c r="DR840" s="75" t="s">
        <v>179</v>
      </c>
      <c r="DS840" s="79"/>
      <c r="DT840" s="79"/>
      <c r="DU840" s="75">
        <f t="shared" si="1131"/>
        <v>0</v>
      </c>
      <c r="DV840" s="79"/>
      <c r="DW840" s="79" t="s">
        <v>182</v>
      </c>
      <c r="DX840" s="79">
        <v>1</v>
      </c>
      <c r="DY840" s="79"/>
      <c r="DZ840" s="79" t="s">
        <v>5700</v>
      </c>
      <c r="EA840" s="79"/>
      <c r="EB840" s="79" t="s">
        <v>182</v>
      </c>
      <c r="EC840" s="79" t="s">
        <v>5690</v>
      </c>
      <c r="ED840" s="79" t="s">
        <v>5701</v>
      </c>
      <c r="EE840" s="79" t="str">
        <f t="shared" si="1143"/>
        <v>Por Completar</v>
      </c>
      <c r="EF840" s="41"/>
      <c r="EG840" s="79"/>
      <c r="EH840" s="71"/>
      <c r="EI840" s="80"/>
      <c r="EJ840" s="71"/>
      <c r="EK840" s="79"/>
      <c r="EL840" s="87" t="str">
        <f>IF(F840="NO","No requiere",IF(H840="No","No requiere",IF(DW840="","",IF(DW840&lt;&gt;"No aplica",IF(DX840&lt;&gt;"No aplica",IF(DX840&gt;=2,"Sí","No"),"No aplica"),"No aplica"))))</f>
        <v>No</v>
      </c>
      <c r="EM840" s="87" t="str">
        <f>IF(F840="NO","No requiere",IF(H840="No","No requiere",IF(DW840="","",IF(DW840&lt;&gt;"No aplica",IF(DY840&lt;&gt;"No aplica",IF(DY840&gt;=1,"Sí","No"),"No aplica"),"No aplica"))))</f>
        <v>No</v>
      </c>
      <c r="EN840" s="87" t="str">
        <f>IF(F840="NO","No requiere",IF(H840="No","No requiere",IF(CC840="","",IF(CD840&lt;&gt;"No aplica",IF(CD840&lt;&gt;"Ninguna",IF(COUNTIF(CD840:CF840,"*")&gt;=1,"Sí","No"),"No"),"No aplica"))))</f>
        <v>Sí</v>
      </c>
      <c r="EO840" s="71"/>
      <c r="EP840" s="84" t="str">
        <f>IF(F840="NO","No requiere",IF(H840="No","No requiere",IF(DL840="","",IF(DL840&gt;=1,DM840/DL840,"No aplica"))))</f>
        <v>No aplica</v>
      </c>
      <c r="EQ840" s="88">
        <f>IFERROR(IF(F840="NO","No requiere",IF(H840="No","No requiere",DU840)),"")</f>
        <v>0</v>
      </c>
      <c r="ER840" s="71"/>
      <c r="ES840" s="79"/>
      <c r="ET840" s="84">
        <f t="shared" si="1138"/>
        <v>1</v>
      </c>
      <c r="EU840" s="84" t="str">
        <f t="shared" si="1139"/>
        <v>Por verificar</v>
      </c>
      <c r="EV840" s="84" t="str">
        <f t="shared" si="1140"/>
        <v>Por verificar</v>
      </c>
      <c r="EW840" s="84" t="str">
        <f t="shared" si="1141"/>
        <v>0%</v>
      </c>
      <c r="EX840" s="78"/>
      <c r="EY840" s="78"/>
    </row>
    <row r="841" spans="1:155" ht="57" customHeight="1">
      <c r="A841" s="79">
        <v>837</v>
      </c>
      <c r="B841" s="80" t="s">
        <v>5733</v>
      </c>
      <c r="C841" s="81">
        <v>45516</v>
      </c>
      <c r="D841" s="82">
        <v>0.75</v>
      </c>
      <c r="E841" s="79" t="s">
        <v>200</v>
      </c>
      <c r="F841" s="79" t="s">
        <v>153</v>
      </c>
      <c r="G841" s="79" t="s">
        <v>152</v>
      </c>
      <c r="H841" s="79" t="s">
        <v>152</v>
      </c>
      <c r="I841" s="79" t="s">
        <v>152</v>
      </c>
      <c r="J841" s="79" t="s">
        <v>211</v>
      </c>
      <c r="K841" s="79" t="s">
        <v>202</v>
      </c>
      <c r="L841" s="80" t="s">
        <v>5734</v>
      </c>
      <c r="M841" s="80" t="s">
        <v>624</v>
      </c>
      <c r="N841" s="79" t="s">
        <v>328</v>
      </c>
      <c r="O841" s="80" t="s">
        <v>165</v>
      </c>
      <c r="P841" s="79" t="s">
        <v>165</v>
      </c>
      <c r="Q841" s="79"/>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t="s">
        <v>304</v>
      </c>
      <c r="AP841" s="79"/>
      <c r="AQ841" s="80" t="s">
        <v>5735</v>
      </c>
      <c r="AR841" s="83" t="s">
        <v>5736</v>
      </c>
      <c r="AS841" s="80" t="s">
        <v>1355</v>
      </c>
      <c r="AT841" s="80" t="str">
        <f t="shared" si="950"/>
        <v>Distrital</v>
      </c>
      <c r="AU841" s="79" t="s">
        <v>172</v>
      </c>
      <c r="AV841" s="79"/>
      <c r="AW841" s="79"/>
      <c r="AX841" s="79"/>
      <c r="AY841" s="79"/>
      <c r="AZ841" s="79"/>
      <c r="BA841" s="80" t="str">
        <f>_xlfn.TEXTJOIN(", ",TRUE,$BB841:$BG841)</f>
        <v>Distrital</v>
      </c>
      <c r="BB841" s="79" t="s">
        <v>172</v>
      </c>
      <c r="BC841" s="79"/>
      <c r="BD841" s="79"/>
      <c r="BE841" s="79"/>
      <c r="BF841" s="79"/>
      <c r="BG841" s="79"/>
      <c r="BH841" s="80" t="str">
        <f>_xlfn.TEXTJOIN(", ",TRUE,$BI841:$BR841)</f>
        <v>Distrital</v>
      </c>
      <c r="BI841" s="79" t="s">
        <v>172</v>
      </c>
      <c r="BJ841" s="79"/>
      <c r="BK841" s="79"/>
      <c r="BL841" s="79"/>
      <c r="BM841" s="79"/>
      <c r="BN841" s="79"/>
      <c r="BO841" s="79"/>
      <c r="BP841" s="79"/>
      <c r="BQ841" s="79"/>
      <c r="BR841" s="79"/>
      <c r="BS841" s="80" t="s">
        <v>179</v>
      </c>
      <c r="BT841" s="80" t="s">
        <v>179</v>
      </c>
      <c r="BU841" s="128" t="s">
        <v>3978</v>
      </c>
      <c r="BV841" s="71"/>
      <c r="BW841" s="79" t="s">
        <v>152</v>
      </c>
      <c r="BX841" s="79" t="s">
        <v>179</v>
      </c>
      <c r="BY841" s="71"/>
      <c r="BZ841" s="79">
        <v>9</v>
      </c>
      <c r="CA841" s="79">
        <v>2</v>
      </c>
      <c r="CB841" s="79">
        <f>BZ841+CA841</f>
        <v>11</v>
      </c>
      <c r="CC841" s="79" t="str">
        <f t="shared" si="1137"/>
        <v>Ninguna</v>
      </c>
      <c r="CD841" s="79" t="s">
        <v>174</v>
      </c>
      <c r="CE841" s="79"/>
      <c r="CF841" s="79"/>
      <c r="CG841" s="83" t="s">
        <v>5737</v>
      </c>
      <c r="CH841" s="41"/>
      <c r="CI841" s="79" t="s">
        <v>153</v>
      </c>
      <c r="CJ841" s="71"/>
      <c r="CK841" s="79">
        <v>0</v>
      </c>
      <c r="CL841" s="79"/>
      <c r="CM841" s="79"/>
      <c r="CN841" s="79"/>
      <c r="CO841" s="79"/>
      <c r="CP841" s="79"/>
      <c r="CQ841" s="79"/>
      <c r="CR841" s="83"/>
      <c r="CS841" s="83"/>
      <c r="CT841" s="83"/>
      <c r="CU841" s="83"/>
      <c r="CV841" s="83"/>
      <c r="CW841" s="83"/>
      <c r="CX841" s="79"/>
      <c r="CY841" s="79">
        <v>0</v>
      </c>
      <c r="CZ841" s="79">
        <v>0</v>
      </c>
      <c r="DA841" s="79">
        <v>0</v>
      </c>
      <c r="DB841" s="84" t="s">
        <v>316</v>
      </c>
      <c r="DC841" s="41"/>
      <c r="DD841" s="79"/>
      <c r="DE841" s="71"/>
      <c r="DF841" s="127" t="s">
        <v>5738</v>
      </c>
      <c r="DG841" s="79"/>
      <c r="DH841" s="86">
        <f>IF(EE841="Por completar",C841+3,"Completo")</f>
        <v>45519</v>
      </c>
      <c r="DI841" s="79" t="s">
        <v>1246</v>
      </c>
      <c r="DJ841" s="79" t="s">
        <v>2659</v>
      </c>
      <c r="DK841" s="79"/>
      <c r="DL841" s="79">
        <v>0</v>
      </c>
      <c r="DM841" s="79">
        <v>0</v>
      </c>
      <c r="DN841" s="79" t="s">
        <v>182</v>
      </c>
      <c r="DO841" s="79"/>
      <c r="DP841" s="79"/>
      <c r="DQ841" s="79"/>
      <c r="DR841" s="75" t="s">
        <v>179</v>
      </c>
      <c r="DS841" s="79"/>
      <c r="DT841" s="79"/>
      <c r="DU841" s="75" t="str">
        <f t="shared" si="1131"/>
        <v>No aplica</v>
      </c>
      <c r="DV841" s="79" t="s">
        <v>182</v>
      </c>
      <c r="DW841" s="79" t="s">
        <v>182</v>
      </c>
      <c r="DX841" s="79"/>
      <c r="DY841" s="79"/>
      <c r="DZ841" s="79"/>
      <c r="EA841" s="79"/>
      <c r="EB841" s="79"/>
      <c r="EC841" s="79"/>
      <c r="ED841" s="79" t="s">
        <v>5739</v>
      </c>
      <c r="EE841" s="79" t="s">
        <v>621</v>
      </c>
      <c r="EF841" s="41"/>
      <c r="EG841" s="79"/>
      <c r="EH841" s="71"/>
      <c r="EI841" s="80"/>
      <c r="EJ841" s="71"/>
      <c r="EK841" s="79"/>
      <c r="EL841" s="87" t="str">
        <f>IF(F841="NO","No requiere",IF(H841="No","No requiere",IF(DW841="","",IF(DW841&lt;&gt;"No aplica",IF(DX841&lt;&gt;"No aplica",IF(DX841&gt;=2,"Sí","No"),"No aplica"),"No aplica"))))</f>
        <v>No requiere</v>
      </c>
      <c r="EM841" s="87" t="str">
        <f>IF(F841="NO","No requiere",IF(H841="No","No requiere",IF(DW841="","",IF(DW841&lt;&gt;"No aplica",IF(DY841&lt;&gt;"No aplica",IF(DY841&gt;=1,"Sí","No"),"No aplica"),"No aplica"))))</f>
        <v>No requiere</v>
      </c>
      <c r="EN841" s="87" t="str">
        <f>IF(F841="NO","No requiere",IF(H841="No","No requiere",IF(CC841="","",IF(CD841&lt;&gt;"No aplica",IF(CD841&lt;&gt;"Ninguna",IF(COUNTIF(CD841:CF841,"*")&gt;=1,"Sí","No"),"No"),"No aplica"))))</f>
        <v>No requiere</v>
      </c>
      <c r="EO841" s="71"/>
      <c r="EP841" s="84" t="str">
        <f>IF(F841="NO","No requiere",IF(H841="No","No requiere",IF(DL841="","",IF(DL841&gt;=1,DM841/DL841,"No aplica"))))</f>
        <v>No requiere</v>
      </c>
      <c r="EQ841" s="88" t="str">
        <f>IFERROR(IF(F841="NO","No requiere",IF(H841="No","No requiere",DU841)),"")</f>
        <v>No requiere</v>
      </c>
      <c r="ER841" s="71"/>
      <c r="ES841" s="79"/>
      <c r="ET841" s="84" t="str">
        <f t="shared" si="1138"/>
        <v>No requiere</v>
      </c>
      <c r="EU841" s="84" t="str">
        <f t="shared" si="1139"/>
        <v>No requiere</v>
      </c>
      <c r="EV841" s="84" t="str">
        <f t="shared" si="1140"/>
        <v>No requiere</v>
      </c>
      <c r="EW841" s="84" t="str">
        <f t="shared" si="1141"/>
        <v>No requiere</v>
      </c>
      <c r="EX841" s="78"/>
      <c r="EY841" s="78"/>
    </row>
    <row r="842" spans="1:155" ht="57" customHeight="1">
      <c r="A842" s="79">
        <v>838</v>
      </c>
      <c r="B842" s="80" t="s">
        <v>5740</v>
      </c>
      <c r="C842" s="81">
        <v>45517</v>
      </c>
      <c r="D842" s="82">
        <v>0.75</v>
      </c>
      <c r="E842" s="79" t="s">
        <v>200</v>
      </c>
      <c r="F842" s="79" t="s">
        <v>153</v>
      </c>
      <c r="G842" s="79" t="s">
        <v>152</v>
      </c>
      <c r="H842" s="79" t="s">
        <v>152</v>
      </c>
      <c r="I842" s="79" t="s">
        <v>152</v>
      </c>
      <c r="J842" s="79" t="s">
        <v>211</v>
      </c>
      <c r="K842" s="79" t="s">
        <v>202</v>
      </c>
      <c r="L842" s="80" t="s">
        <v>5741</v>
      </c>
      <c r="M842" s="80" t="s">
        <v>624</v>
      </c>
      <c r="N842" s="79" t="s">
        <v>328</v>
      </c>
      <c r="O842" s="80" t="s">
        <v>165</v>
      </c>
      <c r="P842" s="79" t="s">
        <v>165</v>
      </c>
      <c r="Q842" s="79"/>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t="s">
        <v>304</v>
      </c>
      <c r="AP842" s="79"/>
      <c r="AQ842" s="80" t="s">
        <v>4737</v>
      </c>
      <c r="AR842" s="83" t="s">
        <v>4297</v>
      </c>
      <c r="AS842" s="80" t="s">
        <v>4298</v>
      </c>
      <c r="AT842" s="80" t="str">
        <f t="shared" si="950"/>
        <v>Distrital</v>
      </c>
      <c r="AU842" s="79" t="s">
        <v>172</v>
      </c>
      <c r="AV842" s="79"/>
      <c r="AW842" s="79"/>
      <c r="AX842" s="79"/>
      <c r="AY842" s="79"/>
      <c r="AZ842" s="79"/>
      <c r="BA842" s="80" t="str">
        <f>_xlfn.TEXTJOIN(", ",TRUE,$BB842:$BG842)</f>
        <v>Distrital</v>
      </c>
      <c r="BB842" s="79" t="s">
        <v>172</v>
      </c>
      <c r="BC842" s="79"/>
      <c r="BD842" s="79"/>
      <c r="BE842" s="79"/>
      <c r="BF842" s="79"/>
      <c r="BG842" s="79"/>
      <c r="BH842" s="80" t="str">
        <f>_xlfn.TEXTJOIN(", ",TRUE,$BI842:$BR842)</f>
        <v>Distrital</v>
      </c>
      <c r="BI842" s="79" t="s">
        <v>172</v>
      </c>
      <c r="BJ842" s="79"/>
      <c r="BK842" s="79"/>
      <c r="BL842" s="79"/>
      <c r="BM842" s="79"/>
      <c r="BN842" s="79"/>
      <c r="BO842" s="79"/>
      <c r="BP842" s="79"/>
      <c r="BQ842" s="79"/>
      <c r="BR842" s="79"/>
      <c r="BS842" s="80" t="s">
        <v>179</v>
      </c>
      <c r="BT842" s="80" t="s">
        <v>179</v>
      </c>
      <c r="BU842" s="128" t="s">
        <v>3978</v>
      </c>
      <c r="BV842" s="71"/>
      <c r="BW842" s="79" t="s">
        <v>152</v>
      </c>
      <c r="BX842" s="79" t="s">
        <v>179</v>
      </c>
      <c r="BY842" s="71"/>
      <c r="BZ842" s="79">
        <v>33</v>
      </c>
      <c r="CA842" s="79">
        <v>2</v>
      </c>
      <c r="CB842" s="79">
        <f>BZ842+CA842</f>
        <v>35</v>
      </c>
      <c r="CC842" s="79" t="str">
        <f t="shared" si="1137"/>
        <v>Ninguna</v>
      </c>
      <c r="CD842" s="79" t="s">
        <v>174</v>
      </c>
      <c r="CE842" s="79"/>
      <c r="CF842" s="79"/>
      <c r="CG842" s="83" t="s">
        <v>5742</v>
      </c>
      <c r="CH842" s="41"/>
      <c r="CI842" s="79" t="s">
        <v>153</v>
      </c>
      <c r="CJ842" s="71"/>
      <c r="CK842" s="79">
        <v>0</v>
      </c>
      <c r="CL842" s="79"/>
      <c r="CM842" s="79"/>
      <c r="CN842" s="79"/>
      <c r="CO842" s="79"/>
      <c r="CP842" s="79"/>
      <c r="CQ842" s="79"/>
      <c r="CR842" s="83"/>
      <c r="CS842" s="83"/>
      <c r="CT842" s="83"/>
      <c r="CU842" s="83"/>
      <c r="CV842" s="83"/>
      <c r="CW842" s="83"/>
      <c r="CX842" s="79"/>
      <c r="CY842" s="79">
        <v>0</v>
      </c>
      <c r="CZ842" s="79">
        <v>0</v>
      </c>
      <c r="DA842" s="79">
        <v>0</v>
      </c>
      <c r="DB842" s="84" t="s">
        <v>316</v>
      </c>
      <c r="DC842" s="41"/>
      <c r="DD842" s="79"/>
      <c r="DE842" s="71"/>
      <c r="DF842" s="127" t="s">
        <v>5743</v>
      </c>
      <c r="DG842" s="79"/>
      <c r="DH842" s="86">
        <f>IF(EE842="Por completar",C842+3,"Completo")</f>
        <v>45520</v>
      </c>
      <c r="DI842" s="79" t="s">
        <v>1246</v>
      </c>
      <c r="DJ842" s="79" t="s">
        <v>2659</v>
      </c>
      <c r="DK842" s="79"/>
      <c r="DL842" s="79">
        <v>0</v>
      </c>
      <c r="DM842" s="79">
        <v>0</v>
      </c>
      <c r="DN842" s="79" t="s">
        <v>182</v>
      </c>
      <c r="DO842" s="79"/>
      <c r="DP842" s="79"/>
      <c r="DQ842" s="79"/>
      <c r="DR842" s="75" t="s">
        <v>179</v>
      </c>
      <c r="DS842" s="79"/>
      <c r="DT842" s="79"/>
      <c r="DU842" s="75" t="str">
        <f t="shared" si="1131"/>
        <v>No aplica</v>
      </c>
      <c r="DV842" s="79" t="s">
        <v>182</v>
      </c>
      <c r="DW842" s="79" t="s">
        <v>182</v>
      </c>
      <c r="DX842" s="79"/>
      <c r="DY842" s="79"/>
      <c r="DZ842" s="79"/>
      <c r="EA842" s="79"/>
      <c r="EB842" s="79"/>
      <c r="EC842" s="79"/>
      <c r="ED842" s="79" t="s">
        <v>5744</v>
      </c>
      <c r="EE842" s="79" t="s">
        <v>621</v>
      </c>
      <c r="EF842" s="41"/>
      <c r="EG842" s="79"/>
      <c r="EH842" s="71"/>
      <c r="EI842" s="80"/>
      <c r="EJ842" s="71"/>
      <c r="EK842" s="79"/>
      <c r="EL842" s="87" t="str">
        <f>IF(F842="NO","No requiere",IF(H842="No","No requiere",IF(DW842="","",IF(DW842&lt;&gt;"No aplica",IF(DX842&lt;&gt;"No aplica",IF(DX842&gt;=2,"Sí","No"),"No aplica"),"No aplica"))))</f>
        <v>No requiere</v>
      </c>
      <c r="EM842" s="87" t="str">
        <f>IF(F842="NO","No requiere",IF(H842="No","No requiere",IF(DW842="","",IF(DW842&lt;&gt;"No aplica",IF(DY842&lt;&gt;"No aplica",IF(DY842&gt;=1,"Sí","No"),"No aplica"),"No aplica"))))</f>
        <v>No requiere</v>
      </c>
      <c r="EN842" s="87" t="str">
        <f>IF(F842="NO","No requiere",IF(H842="No","No requiere",IF(CC842="","",IF(CD842&lt;&gt;"No aplica",IF(CD842&lt;&gt;"Ninguna",IF(COUNTIF(CD842:CF842,"*")&gt;=1,"Sí","No"),"No"),"No aplica"))))</f>
        <v>No requiere</v>
      </c>
      <c r="EO842" s="71"/>
      <c r="EP842" s="84" t="str">
        <f>IF(F842="NO","No requiere",IF(H842="No","No requiere",IF(DL842="","",IF(DL842&gt;=1,DM842/DL842,"No aplica"))))</f>
        <v>No requiere</v>
      </c>
      <c r="EQ842" s="88" t="str">
        <f>IFERROR(IF(F842="NO","No requiere",IF(H842="No","No requiere",DU842)),"")</f>
        <v>No requiere</v>
      </c>
      <c r="ER842" s="71"/>
      <c r="ES842" s="79"/>
      <c r="ET842" s="84" t="str">
        <f t="shared" si="1138"/>
        <v>No requiere</v>
      </c>
      <c r="EU842" s="84" t="str">
        <f t="shared" si="1139"/>
        <v>No requiere</v>
      </c>
      <c r="EV842" s="84" t="str">
        <f t="shared" si="1140"/>
        <v>No requiere</v>
      </c>
      <c r="EW842" s="84" t="str">
        <f t="shared" si="1141"/>
        <v>No requiere</v>
      </c>
      <c r="EX842" s="78"/>
      <c r="EY842" s="78"/>
    </row>
    <row r="843" spans="1:155" ht="57" customHeight="1">
      <c r="A843" s="79">
        <v>839</v>
      </c>
      <c r="B843" s="80" t="s">
        <v>5745</v>
      </c>
      <c r="C843" s="81">
        <v>45518</v>
      </c>
      <c r="D843" s="82">
        <v>0.70833333333333337</v>
      </c>
      <c r="E843" s="79" t="s">
        <v>200</v>
      </c>
      <c r="F843" s="79" t="s">
        <v>153</v>
      </c>
      <c r="G843" s="79" t="s">
        <v>152</v>
      </c>
      <c r="H843" s="79" t="s">
        <v>152</v>
      </c>
      <c r="I843" s="79" t="s">
        <v>152</v>
      </c>
      <c r="J843" s="79" t="s">
        <v>211</v>
      </c>
      <c r="K843" s="79" t="s">
        <v>202</v>
      </c>
      <c r="L843" s="80" t="s">
        <v>5746</v>
      </c>
      <c r="M843" s="80" t="s">
        <v>624</v>
      </c>
      <c r="N843" s="79" t="s">
        <v>328</v>
      </c>
      <c r="O843" s="80" t="s">
        <v>165</v>
      </c>
      <c r="P843" s="79" t="s">
        <v>165</v>
      </c>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t="s">
        <v>304</v>
      </c>
      <c r="AP843" s="79"/>
      <c r="AQ843" s="80" t="s">
        <v>5747</v>
      </c>
      <c r="AR843" s="83" t="s">
        <v>4068</v>
      </c>
      <c r="AS843" s="80" t="s">
        <v>1042</v>
      </c>
      <c r="AT843" s="80" t="str">
        <f t="shared" si="950"/>
        <v>Distrital</v>
      </c>
      <c r="AU843" s="79" t="s">
        <v>172</v>
      </c>
      <c r="AV843" s="79"/>
      <c r="AW843" s="79"/>
      <c r="AX843" s="79"/>
      <c r="AY843" s="79"/>
      <c r="AZ843" s="79"/>
      <c r="BA843" s="80" t="str">
        <f>_xlfn.TEXTJOIN(", ",TRUE,$BB843:$BG843)</f>
        <v>Distrital</v>
      </c>
      <c r="BB843" s="79" t="s">
        <v>172</v>
      </c>
      <c r="BC843" s="79"/>
      <c r="BD843" s="79"/>
      <c r="BE843" s="79"/>
      <c r="BF843" s="79"/>
      <c r="BG843" s="79"/>
      <c r="BH843" s="80" t="str">
        <f>_xlfn.TEXTJOIN(", ",TRUE,$BI843:$BR843)</f>
        <v>Distrital</v>
      </c>
      <c r="BI843" s="79" t="s">
        <v>172</v>
      </c>
      <c r="BJ843" s="79"/>
      <c r="BK843" s="79"/>
      <c r="BL843" s="79"/>
      <c r="BM843" s="79"/>
      <c r="BN843" s="79"/>
      <c r="BO843" s="79"/>
      <c r="BP843" s="79"/>
      <c r="BQ843" s="79"/>
      <c r="BR843" s="79"/>
      <c r="BS843" s="80" t="s">
        <v>179</v>
      </c>
      <c r="BT843" s="80" t="s">
        <v>179</v>
      </c>
      <c r="BU843" s="128" t="s">
        <v>3978</v>
      </c>
      <c r="BV843" s="71"/>
      <c r="BW843" s="79" t="s">
        <v>152</v>
      </c>
      <c r="BX843" s="79" t="s">
        <v>179</v>
      </c>
      <c r="BY843" s="71"/>
      <c r="BZ843" s="79">
        <v>14</v>
      </c>
      <c r="CA843" s="79">
        <v>2</v>
      </c>
      <c r="CB843" s="79">
        <f>BZ843+CA843</f>
        <v>16</v>
      </c>
      <c r="CC843" s="79" t="str">
        <f t="shared" si="1137"/>
        <v>Ninguna</v>
      </c>
      <c r="CD843" s="79" t="s">
        <v>174</v>
      </c>
      <c r="CE843" s="79"/>
      <c r="CF843" s="79"/>
      <c r="CG843" s="83" t="s">
        <v>5748</v>
      </c>
      <c r="CH843" s="41"/>
      <c r="CI843" s="79" t="s">
        <v>153</v>
      </c>
      <c r="CJ843" s="71"/>
      <c r="CK843" s="79">
        <v>0</v>
      </c>
      <c r="CL843" s="79"/>
      <c r="CM843" s="79"/>
      <c r="CN843" s="79"/>
      <c r="CO843" s="79"/>
      <c r="CP843" s="79"/>
      <c r="CQ843" s="79"/>
      <c r="CR843" s="83"/>
      <c r="CS843" s="83"/>
      <c r="CT843" s="83"/>
      <c r="CU843" s="83"/>
      <c r="CV843" s="83"/>
      <c r="CW843" s="83"/>
      <c r="CX843" s="79"/>
      <c r="CY843" s="79">
        <v>0</v>
      </c>
      <c r="CZ843" s="79">
        <v>0</v>
      </c>
      <c r="DA843" s="79">
        <v>0</v>
      </c>
      <c r="DB843" s="84" t="s">
        <v>316</v>
      </c>
      <c r="DC843" s="41"/>
      <c r="DD843" s="79"/>
      <c r="DE843" s="71"/>
      <c r="DF843" s="127" t="s">
        <v>5749</v>
      </c>
      <c r="DG843" s="79"/>
      <c r="DH843" s="86">
        <f>IF(EE843="Por completar",C843+3,"Completo")</f>
        <v>45521</v>
      </c>
      <c r="DI843" s="79" t="s">
        <v>1246</v>
      </c>
      <c r="DJ843" s="79" t="s">
        <v>2659</v>
      </c>
      <c r="DK843" s="79"/>
      <c r="DL843" s="79">
        <v>0</v>
      </c>
      <c r="DM843" s="79">
        <v>0</v>
      </c>
      <c r="DN843" s="79" t="s">
        <v>182</v>
      </c>
      <c r="DO843" s="79"/>
      <c r="DP843" s="79"/>
      <c r="DQ843" s="79"/>
      <c r="DR843" s="75" t="s">
        <v>179</v>
      </c>
      <c r="DS843" s="79"/>
      <c r="DT843" s="79"/>
      <c r="DU843" s="75" t="str">
        <f t="shared" si="1131"/>
        <v>No aplica</v>
      </c>
      <c r="DV843" s="79" t="s">
        <v>182</v>
      </c>
      <c r="DW843" s="79" t="s">
        <v>182</v>
      </c>
      <c r="DX843" s="79"/>
      <c r="DY843" s="79"/>
      <c r="DZ843" s="79"/>
      <c r="EA843" s="79"/>
      <c r="EB843" s="79"/>
      <c r="EC843" s="79"/>
      <c r="ED843" s="79" t="s">
        <v>5750</v>
      </c>
      <c r="EE843" s="79" t="s">
        <v>621</v>
      </c>
      <c r="EF843" s="41"/>
      <c r="EG843" s="79"/>
      <c r="EH843" s="71"/>
      <c r="EI843" s="80"/>
      <c r="EJ843" s="71"/>
      <c r="EK843" s="79"/>
      <c r="EL843" s="87" t="str">
        <f>IF(F843="NO","No requiere",IF(H843="No","No requiere",IF(DW843="","",IF(DW843&lt;&gt;"No aplica",IF(DX843&lt;&gt;"No aplica",IF(DX843&gt;=2,"Sí","No"),"No aplica"),"No aplica"))))</f>
        <v>No requiere</v>
      </c>
      <c r="EM843" s="87" t="str">
        <f>IF(F843="NO","No requiere",IF(H843="No","No requiere",IF(DW843="","",IF(DW843&lt;&gt;"No aplica",IF(DY843&lt;&gt;"No aplica",IF(DY843&gt;=1,"Sí","No"),"No aplica"),"No aplica"))))</f>
        <v>No requiere</v>
      </c>
      <c r="EN843" s="87" t="str">
        <f>IF(F843="NO","No requiere",IF(H843="No","No requiere",IF(CC843="","",IF(CD843&lt;&gt;"No aplica",IF(CD843&lt;&gt;"Ninguna",IF(COUNTIF(CD843:CF843,"*")&gt;=1,"Sí","No"),"No"),"No aplica"))))</f>
        <v>No requiere</v>
      </c>
      <c r="EO843" s="71"/>
      <c r="EP843" s="84" t="str">
        <f>IF(F843="NO","No requiere",IF(H843="No","No requiere",IF(DL843="","",IF(DL843&gt;=1,DM843/DL843,"No aplica"))))</f>
        <v>No requiere</v>
      </c>
      <c r="EQ843" s="88" t="str">
        <f>IFERROR(IF(F843="NO","No requiere",IF(H843="No","No requiere",DU843)),"")</f>
        <v>No requiere</v>
      </c>
      <c r="ER843" s="71"/>
      <c r="ES843" s="79"/>
      <c r="ET843" s="84" t="str">
        <f t="shared" si="1138"/>
        <v>No requiere</v>
      </c>
      <c r="EU843" s="84" t="str">
        <f t="shared" si="1139"/>
        <v>No requiere</v>
      </c>
      <c r="EV843" s="84" t="str">
        <f t="shared" si="1140"/>
        <v>No requiere</v>
      </c>
      <c r="EW843" s="84" t="str">
        <f t="shared" si="1141"/>
        <v>No requiere</v>
      </c>
      <c r="EX843" s="78"/>
      <c r="EY843" s="78"/>
    </row>
    <row r="844" spans="1:155" ht="57" customHeight="1">
      <c r="A844" s="79">
        <v>840</v>
      </c>
      <c r="B844" s="80" t="s">
        <v>5751</v>
      </c>
      <c r="C844" s="81">
        <v>45519</v>
      </c>
      <c r="D844" s="82" t="s">
        <v>5752</v>
      </c>
      <c r="E844" s="79" t="s">
        <v>200</v>
      </c>
      <c r="F844" s="79" t="s">
        <v>153</v>
      </c>
      <c r="G844" s="79" t="s">
        <v>152</v>
      </c>
      <c r="H844" s="79" t="s">
        <v>152</v>
      </c>
      <c r="I844" s="79" t="s">
        <v>152</v>
      </c>
      <c r="J844" s="79" t="s">
        <v>5753</v>
      </c>
      <c r="K844" s="79" t="s">
        <v>155</v>
      </c>
      <c r="L844" s="80" t="s">
        <v>5754</v>
      </c>
      <c r="M844" s="80" t="s">
        <v>229</v>
      </c>
      <c r="N844" s="79" t="s">
        <v>5755</v>
      </c>
      <c r="O844" s="80" t="str">
        <f>_xlfn.TEXTJOIN(", ",TRUE,P844:AN844)</f>
        <v/>
      </c>
      <c r="P844" s="79"/>
      <c r="Q844" s="79"/>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t="s">
        <v>304</v>
      </c>
      <c r="AP844" s="79"/>
      <c r="AQ844" s="80" t="s">
        <v>5756</v>
      </c>
      <c r="AR844" s="83" t="s">
        <v>5757</v>
      </c>
      <c r="AS844" s="80" t="s">
        <v>5758</v>
      </c>
      <c r="AT844" s="80" t="str">
        <f>_xlfn.TEXTJOIN(", ",TRUE,$AU844:$AY844)</f>
        <v>Distrital</v>
      </c>
      <c r="AU844" s="79" t="s">
        <v>172</v>
      </c>
      <c r="AV844" s="79"/>
      <c r="AW844" s="79"/>
      <c r="AX844" s="79"/>
      <c r="AY844" s="79"/>
      <c r="AZ844" s="79"/>
      <c r="BA844" s="80" t="str">
        <f>_xlfn.TEXTJOIN(", ",TRUE,$BB844:$BG844)</f>
        <v>Distrital</v>
      </c>
      <c r="BB844" s="79" t="s">
        <v>172</v>
      </c>
      <c r="BC844" s="79"/>
      <c r="BD844" s="79"/>
      <c r="BE844" s="79"/>
      <c r="BF844" s="79"/>
      <c r="BG844" s="79"/>
      <c r="BH844" s="80" t="str">
        <f>_xlfn.TEXTJOIN(", ",TRUE,$BI844:$BR844)</f>
        <v>Teusaquillo</v>
      </c>
      <c r="BI844" s="79" t="s">
        <v>1004</v>
      </c>
      <c r="BJ844" s="79"/>
      <c r="BK844" s="79"/>
      <c r="BL844" s="79"/>
      <c r="BM844" s="79"/>
      <c r="BN844" s="79"/>
      <c r="BO844" s="79"/>
      <c r="BP844" s="79"/>
      <c r="BQ844" s="79"/>
      <c r="BR844" s="79"/>
      <c r="BS844" s="80" t="s">
        <v>1004</v>
      </c>
      <c r="BT844" s="80" t="s">
        <v>376</v>
      </c>
      <c r="BU844" s="80" t="s">
        <v>5759</v>
      </c>
      <c r="BV844" s="71"/>
      <c r="BW844" s="79" t="s">
        <v>153</v>
      </c>
      <c r="BX844" s="79" t="s">
        <v>4242</v>
      </c>
      <c r="BY844" s="71"/>
      <c r="BZ844" s="79">
        <v>20</v>
      </c>
      <c r="CA844" s="79">
        <v>2</v>
      </c>
      <c r="CB844" s="79">
        <f>BZ844+CA844</f>
        <v>22</v>
      </c>
      <c r="CC844" s="79" t="str">
        <f t="shared" si="1137"/>
        <v>Ninguna</v>
      </c>
      <c r="CD844" s="79" t="s">
        <v>174</v>
      </c>
      <c r="CE844" s="79"/>
      <c r="CF844" s="79"/>
      <c r="CG844" s="83" t="s">
        <v>5760</v>
      </c>
      <c r="CH844" s="41"/>
      <c r="CI844" s="79" t="s">
        <v>153</v>
      </c>
      <c r="CJ844" s="71"/>
      <c r="CK844" s="79">
        <f>COUNTIF(CL844:CQ844,"*")</f>
        <v>0</v>
      </c>
      <c r="CL844" s="79"/>
      <c r="CM844" s="79"/>
      <c r="CN844" s="79"/>
      <c r="CO844" s="79"/>
      <c r="CP844" s="79"/>
      <c r="CQ844" s="79"/>
      <c r="CR844" s="83" t="s">
        <v>179</v>
      </c>
      <c r="CS844" s="83" t="s">
        <v>179</v>
      </c>
      <c r="CT844" s="83" t="s">
        <v>179</v>
      </c>
      <c r="CU844" s="83" t="s">
        <v>179</v>
      </c>
      <c r="CV844" s="83" t="s">
        <v>179</v>
      </c>
      <c r="CW844" s="83" t="s">
        <v>179</v>
      </c>
      <c r="CX844" s="79" t="s">
        <v>153</v>
      </c>
      <c r="CY844" s="79">
        <f>SUM(COUNTIF(CR844:CW844,"Realizado y Devuelto a la Ciudadanía"),COUNTIF(CR844:CW844,"Realizado y Trasladado por competencia"), COUNTIF(CR844:CW844,"Realizado y Gestionado"))</f>
        <v>0</v>
      </c>
      <c r="CZ844" s="79">
        <v>0</v>
      </c>
      <c r="DA844" s="79">
        <f>COUNTIF(CR844:CW844,"Realizado y Devuelto a la Ciudadanía")</f>
        <v>0</v>
      </c>
      <c r="DB844" s="84" t="str">
        <f>IFERROR(CY844/CK844,"")</f>
        <v/>
      </c>
      <c r="DC844" s="41"/>
      <c r="DD844" s="79" t="s">
        <v>153</v>
      </c>
      <c r="DE844" s="71"/>
      <c r="DF844" s="127" t="s">
        <v>5761</v>
      </c>
      <c r="DG844" s="79"/>
      <c r="DH844" s="86" t="str">
        <f>IF(EE844="Por completar",C844+3,"Completo")</f>
        <v>Completo</v>
      </c>
      <c r="DI844" s="79" t="s">
        <v>181</v>
      </c>
      <c r="DJ844" s="79" t="s">
        <v>182</v>
      </c>
      <c r="DK844" s="79"/>
      <c r="DL844" s="79">
        <v>0</v>
      </c>
      <c r="DM844" s="79">
        <v>0</v>
      </c>
      <c r="DN844" s="79" t="s">
        <v>182</v>
      </c>
      <c r="DO844" s="79"/>
      <c r="DP844" s="79"/>
      <c r="DQ844" s="79"/>
      <c r="DR844" s="75" t="str">
        <f>IF(H844="SÍ", (DQ844/(BZ844*0.3)), "No aplica")</f>
        <v>No aplica</v>
      </c>
      <c r="DS844" s="79"/>
      <c r="DT844" s="79"/>
      <c r="DU844" s="75" t="str">
        <f>IF(H844="SÍ", (DT844/(BZ844*0.35)), "No aplica")</f>
        <v>No aplica</v>
      </c>
      <c r="DV844" s="79" t="s">
        <v>182</v>
      </c>
      <c r="DW844" s="79" t="s">
        <v>182</v>
      </c>
      <c r="DX844" s="79"/>
      <c r="DY844" s="79"/>
      <c r="DZ844" s="79"/>
      <c r="EA844" s="79"/>
      <c r="EB844" s="79"/>
      <c r="EC844" s="79"/>
      <c r="ED844" s="79" t="s">
        <v>5762</v>
      </c>
      <c r="EE844" s="79" t="str">
        <f>IF(DI844="Subsanado","Completo","Por Completar")</f>
        <v>Completo</v>
      </c>
      <c r="EF844" s="41"/>
      <c r="EG844" s="79" t="s">
        <v>153</v>
      </c>
      <c r="EH844" s="71"/>
      <c r="EI844" s="80"/>
      <c r="EJ844" s="71"/>
      <c r="EK844" s="79"/>
      <c r="EL844" s="87" t="str">
        <f>IF(F844="NO","No requiere",IF(H844="No","No requiere",IF(DW844="","",IF(DW844&lt;&gt;"No aplica",IF(DX844&lt;&gt;"No aplica",IF(DX844&gt;=2,"Sí","No"),"No aplica"),"No aplica"))))</f>
        <v>No requiere</v>
      </c>
      <c r="EM844" s="87" t="str">
        <f>IF(F844="NO","No requiere",IF(H844="No","No requiere",IF(DW844="","",IF(DW844&lt;&gt;"No aplica",IF(DY844&lt;&gt;"No aplica",IF(DY844&gt;=1,"Sí","No"),"No aplica"),"No aplica"))))</f>
        <v>No requiere</v>
      </c>
      <c r="EN844" s="87" t="str">
        <f>IF(F844="NO","No requiere",IF(H844="No","No requiere",IF(CC844="","",IF(CD844&lt;&gt;"No aplica",IF(CD844&lt;&gt;"Ninguna",IF(COUNTIF(CD844:CF844,"*")&gt;=1,"Sí","No"),"No"),"No aplica"))))</f>
        <v>No requiere</v>
      </c>
      <c r="EO844" s="71"/>
      <c r="EP844" s="84" t="str">
        <f>IF(F844="NO","No requiere",IF(H844="No","No requiere",IF(DL844="","",IF(DL844&gt;=1,DM844/DL844,"No aplica"))))</f>
        <v>No requiere</v>
      </c>
      <c r="EQ844" s="88" t="str">
        <f>IFERROR(IF(F844="NO","No requiere",IF(H844="No","No requiere",DU844)),"")</f>
        <v>No requiere</v>
      </c>
      <c r="ER844" s="71"/>
      <c r="ES844" s="79"/>
      <c r="ET844" s="84" t="str">
        <f>IF(F844="NO","No requiere",IF(H844="No","No requiere",IFERROR(COUNTIF(DJ844:DW844,"Completo")/SUM(COUNTIF(DJ844:DW844,"Completo"),COUNTIF(DJ844:DW844,"Incompleto"),COUNTIF(DJ844:DW844,"No subido"),COUNTIF(DJ844:DW844,"No existente"),COUNTIF(DJ844:DW844,"Pendiente")),"")))</f>
        <v>No requiere</v>
      </c>
      <c r="EU844" s="84" t="str">
        <f>IF(F844="NO","No requiere",IF(H844="No","No requiere",IF(#REF!="","",IF(CX844="SÍ",IF(CK844&gt;=1,CY844/CK844,"Sin compromisos"),"Por verificar"))))</f>
        <v>No requiere</v>
      </c>
      <c r="EV844" s="84" t="str">
        <f>IF(EU844="Por verificar","Por verificar",IF(F844="NO","No requiere",IF(H844="No","No requiere",IFERROR(IF(EU844="","",IF(CK844&gt;=1,DA844/CZ844,"No aplica")),"No aplica"))))</f>
        <v>No requiere</v>
      </c>
      <c r="EW844" s="84" t="str">
        <f>IF(F844="NO","No requiere",IF(H844="No","No requiere",IFERROR(IF(BZ844="","",IF(EA844&lt;&gt;"No aplica",IF(EA844&gt;=1,DO844/EA844,"0%"),"No aplica")),"")))</f>
        <v>No requiere</v>
      </c>
      <c r="EX844" s="78"/>
      <c r="EY844" s="78"/>
    </row>
    <row r="845" spans="1:155" ht="57" customHeight="1">
      <c r="A845" s="79">
        <v>841</v>
      </c>
      <c r="B845" s="80" t="s">
        <v>1007</v>
      </c>
      <c r="C845" s="81">
        <v>45518</v>
      </c>
      <c r="D845" s="82">
        <v>0.4375</v>
      </c>
      <c r="E845" s="79" t="s">
        <v>200</v>
      </c>
      <c r="F845" s="79" t="s">
        <v>153</v>
      </c>
      <c r="G845" s="79" t="s">
        <v>152</v>
      </c>
      <c r="H845" s="79" t="s">
        <v>152</v>
      </c>
      <c r="I845" s="79" t="s">
        <v>152</v>
      </c>
      <c r="J845" s="79" t="s">
        <v>504</v>
      </c>
      <c r="K845" s="79" t="s">
        <v>155</v>
      </c>
      <c r="L845" s="80" t="s">
        <v>5763</v>
      </c>
      <c r="M845" s="80" t="s">
        <v>624</v>
      </c>
      <c r="N845" s="79" t="s">
        <v>5764</v>
      </c>
      <c r="O845" s="80" t="str">
        <f t="shared" si="636"/>
        <v/>
      </c>
      <c r="P845" s="79"/>
      <c r="Q845" s="79"/>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t="s">
        <v>304</v>
      </c>
      <c r="AP845" s="79"/>
      <c r="AQ845" s="80" t="s">
        <v>5765</v>
      </c>
      <c r="AR845" s="83" t="s">
        <v>5766</v>
      </c>
      <c r="AS845" s="80" t="s">
        <v>4089</v>
      </c>
      <c r="AT845" s="80" t="str">
        <f>_xlfn.TEXTJOIN(", ",TRUE,$AU845:$AY845)</f>
        <v>Usme</v>
      </c>
      <c r="AU845" s="79" t="s">
        <v>1009</v>
      </c>
      <c r="AV845" s="79"/>
      <c r="AW845" s="79"/>
      <c r="AX845" s="79"/>
      <c r="AY845" s="79"/>
      <c r="AZ845" s="79"/>
      <c r="BA845" s="80" t="str">
        <f>_xlfn.TEXTJOIN(", ",TRUE,$BB845:$BG845)</f>
        <v>Suroriente</v>
      </c>
      <c r="BB845" s="79" t="s">
        <v>218</v>
      </c>
      <c r="BC845" s="79"/>
      <c r="BD845" s="79"/>
      <c r="BE845" s="79"/>
      <c r="BF845" s="79"/>
      <c r="BG845" s="79"/>
      <c r="BH845" s="80" t="str">
        <f>_xlfn.TEXTJOIN(", ",TRUE,$BI845:$BR845)</f>
        <v>Usme Entrenubes</v>
      </c>
      <c r="BI845" s="79" t="s">
        <v>1010</v>
      </c>
      <c r="BJ845" s="79"/>
      <c r="BK845" s="79"/>
      <c r="BL845" s="79"/>
      <c r="BM845" s="79"/>
      <c r="BN845" s="79"/>
      <c r="BO845" s="79"/>
      <c r="BP845" s="79"/>
      <c r="BQ845" s="79"/>
      <c r="BR845" s="79"/>
      <c r="BS845" s="80" t="s">
        <v>5767</v>
      </c>
      <c r="BT845" s="80" t="s">
        <v>171</v>
      </c>
      <c r="BU845" s="80" t="s">
        <v>5768</v>
      </c>
      <c r="BV845" s="71"/>
      <c r="BW845" s="79" t="s">
        <v>152</v>
      </c>
      <c r="BX845" s="79" t="s">
        <v>179</v>
      </c>
      <c r="BY845" s="71"/>
      <c r="BZ845" s="79">
        <v>17</v>
      </c>
      <c r="CA845" s="79">
        <v>1</v>
      </c>
      <c r="CB845" s="79">
        <f>BZ845+CA845</f>
        <v>18</v>
      </c>
      <c r="CC845" s="79" t="str">
        <f t="shared" si="1137"/>
        <v>Ninguna</v>
      </c>
      <c r="CD845" s="79" t="s">
        <v>174</v>
      </c>
      <c r="CE845" s="79"/>
      <c r="CF845" s="79"/>
      <c r="CG845" s="83" t="s">
        <v>5769</v>
      </c>
      <c r="CH845" s="41"/>
      <c r="CI845" s="79" t="s">
        <v>153</v>
      </c>
      <c r="CJ845" s="71"/>
      <c r="CK845" s="79">
        <v>0</v>
      </c>
      <c r="CL845" s="79"/>
      <c r="CM845" s="79"/>
      <c r="CN845" s="79"/>
      <c r="CO845" s="79"/>
      <c r="CP845" s="79"/>
      <c r="CQ845" s="79"/>
      <c r="CR845" s="83" t="s">
        <v>179</v>
      </c>
      <c r="CS845" s="83" t="s">
        <v>179</v>
      </c>
      <c r="CT845" s="83" t="s">
        <v>179</v>
      </c>
      <c r="CU845" s="83" t="s">
        <v>179</v>
      </c>
      <c r="CV845" s="83" t="s">
        <v>179</v>
      </c>
      <c r="CW845" s="83" t="s">
        <v>179</v>
      </c>
      <c r="CX845" s="79" t="s">
        <v>153</v>
      </c>
      <c r="CY845" s="79">
        <v>0</v>
      </c>
      <c r="CZ845" s="79">
        <v>0</v>
      </c>
      <c r="DA845" s="79">
        <v>0</v>
      </c>
      <c r="DB845" s="84" t="s">
        <v>316</v>
      </c>
      <c r="DC845" s="41"/>
      <c r="DD845" s="79" t="s">
        <v>153</v>
      </c>
      <c r="DE845" s="71"/>
      <c r="DF845" s="127" t="s">
        <v>5770</v>
      </c>
      <c r="DG845" s="79">
        <v>829</v>
      </c>
      <c r="DH845" s="86" t="str">
        <f>IF(EE845="Por completar",C845+3,"Completo")</f>
        <v>Completo</v>
      </c>
      <c r="DI845" s="79" t="s">
        <v>181</v>
      </c>
      <c r="DJ845" s="79" t="s">
        <v>182</v>
      </c>
      <c r="DK845" s="79"/>
      <c r="DL845" s="79">
        <v>0</v>
      </c>
      <c r="DM845" s="79">
        <v>0</v>
      </c>
      <c r="DN845" s="79" t="s">
        <v>182</v>
      </c>
      <c r="DO845" s="79"/>
      <c r="DP845" s="79"/>
      <c r="DQ845" s="79"/>
      <c r="DR845" s="75" t="str">
        <f>IF(H845="SÍ", (DQ845/(BZ845*0.3)), "No aplica")</f>
        <v>No aplica</v>
      </c>
      <c r="DS845" s="79"/>
      <c r="DT845" s="79"/>
      <c r="DU845" s="75" t="str">
        <f t="shared" si="1131"/>
        <v>No aplica</v>
      </c>
      <c r="DV845" s="79" t="s">
        <v>182</v>
      </c>
      <c r="DW845" s="79" t="s">
        <v>182</v>
      </c>
      <c r="DX845" s="79"/>
      <c r="DY845" s="79"/>
      <c r="DZ845" s="79"/>
      <c r="EA845" s="79"/>
      <c r="EB845" s="79"/>
      <c r="EC845" s="79"/>
      <c r="ED845" s="79" t="s">
        <v>5771</v>
      </c>
      <c r="EE845" s="79" t="str">
        <f t="shared" si="1143"/>
        <v>Completo</v>
      </c>
      <c r="EF845" s="41"/>
      <c r="EG845" s="79" t="s">
        <v>153</v>
      </c>
      <c r="EH845" s="71"/>
      <c r="EI845" s="80"/>
      <c r="EJ845" s="71"/>
      <c r="EK845" s="79"/>
      <c r="EL845" s="87" t="str">
        <f>IF(F845="NO","No requiere",IF(H845="No","No requiere",IF(DW845="","",IF(DW845&lt;&gt;"No aplica",IF(DX845&lt;&gt;"No aplica",IF(DX845&gt;=2,"Sí","No"),"No aplica"),"No aplica"))))</f>
        <v>No requiere</v>
      </c>
      <c r="EM845" s="87" t="str">
        <f>IF(F845="NO","No requiere",IF(H845="No","No requiere",IF(DW845="","",IF(DW845&lt;&gt;"No aplica",IF(DY845&lt;&gt;"No aplica",IF(DY845&gt;=1,"Sí","No"),"No aplica"),"No aplica"))))</f>
        <v>No requiere</v>
      </c>
      <c r="EN845" s="87" t="str">
        <f>IF(F845="NO","No requiere",IF(H845="No","No requiere",IF(CC845="","",IF(CD845&lt;&gt;"No aplica",IF(CD845&lt;&gt;"Ninguna",IF(COUNTIF(CD845:CF845,"*")&gt;=1,"Sí","No"),"No"),"No aplica"))))</f>
        <v>No requiere</v>
      </c>
      <c r="EO845" s="71"/>
      <c r="EP845" s="84" t="str">
        <f>IF(F845="NO","No requiere",IF(H845="No","No requiere",IF(DL845="","",IF(DL845&gt;=1,DM845/DL845,"No aplica"))))</f>
        <v>No requiere</v>
      </c>
      <c r="EQ845" s="88" t="str">
        <f>IFERROR(IF(F845="NO","No requiere",IF(H845="No","No requiere",DU845)),"")</f>
        <v>No requiere</v>
      </c>
      <c r="ER845" s="71"/>
      <c r="ES845" s="79"/>
      <c r="ET845" s="84" t="str">
        <f t="shared" si="1138"/>
        <v>No requiere</v>
      </c>
      <c r="EU845" s="84" t="str">
        <f t="shared" si="1139"/>
        <v>No requiere</v>
      </c>
      <c r="EV845" s="84" t="str">
        <f t="shared" si="1140"/>
        <v>No requiere</v>
      </c>
      <c r="EW845" s="84" t="str">
        <f t="shared" si="1141"/>
        <v>No requiere</v>
      </c>
      <c r="EX845" s="78"/>
      <c r="EY845" s="78"/>
    </row>
    <row r="846" spans="1:155" ht="57" customHeight="1">
      <c r="A846" s="79">
        <v>842</v>
      </c>
      <c r="B846" s="80" t="s">
        <v>5772</v>
      </c>
      <c r="C846" s="81">
        <v>45521</v>
      </c>
      <c r="D846" s="82">
        <v>0.58333333333333337</v>
      </c>
      <c r="E846" s="79" t="s">
        <v>200</v>
      </c>
      <c r="F846" s="79" t="s">
        <v>153</v>
      </c>
      <c r="G846" s="79" t="s">
        <v>152</v>
      </c>
      <c r="H846" s="79" t="s">
        <v>152</v>
      </c>
      <c r="I846" s="79" t="s">
        <v>152</v>
      </c>
      <c r="J846" s="79" t="s">
        <v>211</v>
      </c>
      <c r="K846" s="79" t="s">
        <v>155</v>
      </c>
      <c r="L846" s="80" t="s">
        <v>5773</v>
      </c>
      <c r="M846" s="80" t="s">
        <v>624</v>
      </c>
      <c r="N846" s="79" t="s">
        <v>328</v>
      </c>
      <c r="O846" s="80" t="str">
        <f t="shared" si="636"/>
        <v>Diana Carolina Aristizábal</v>
      </c>
      <c r="P846" s="79" t="s">
        <v>165</v>
      </c>
      <c r="Q846" s="79"/>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t="s">
        <v>230</v>
      </c>
      <c r="AP846" s="79"/>
      <c r="AQ846" s="80" t="s">
        <v>5774</v>
      </c>
      <c r="AR846" s="83" t="s">
        <v>171</v>
      </c>
      <c r="AS846" s="80" t="s">
        <v>1324</v>
      </c>
      <c r="AT846" s="80" t="str">
        <f>_xlfn.TEXTJOIN(", ",TRUE,$AU846:$AY846)</f>
        <v>Distrital</v>
      </c>
      <c r="AU846" s="79" t="s">
        <v>172</v>
      </c>
      <c r="AV846" s="79"/>
      <c r="AW846" s="79"/>
      <c r="AX846" s="79"/>
      <c r="AY846" s="79"/>
      <c r="AZ846" s="79"/>
      <c r="BA846" s="80" t="str">
        <f>_xlfn.TEXTJOIN(", ",TRUE,$BB846:$BG846)</f>
        <v>Distrital</v>
      </c>
      <c r="BB846" s="79" t="s">
        <v>172</v>
      </c>
      <c r="BC846" s="79"/>
      <c r="BD846" s="79"/>
      <c r="BE846" s="79"/>
      <c r="BF846" s="79"/>
      <c r="BG846" s="79"/>
      <c r="BH846" s="80" t="str">
        <f>_xlfn.TEXTJOIN(", ",TRUE,$BI846:$BR846)</f>
        <v>Distrital</v>
      </c>
      <c r="BI846" s="79" t="s">
        <v>172</v>
      </c>
      <c r="BJ846" s="79"/>
      <c r="BK846" s="79"/>
      <c r="BL846" s="79"/>
      <c r="BM846" s="79"/>
      <c r="BN846" s="79"/>
      <c r="BO846" s="79"/>
      <c r="BP846" s="79"/>
      <c r="BQ846" s="79"/>
      <c r="BR846" s="79"/>
      <c r="BS846" s="80" t="s">
        <v>288</v>
      </c>
      <c r="BT846" s="80" t="s">
        <v>174</v>
      </c>
      <c r="BU846" s="80" t="s">
        <v>5775</v>
      </c>
      <c r="BV846" s="71"/>
      <c r="BW846" s="79" t="s">
        <v>152</v>
      </c>
      <c r="BX846" s="79" t="s">
        <v>179</v>
      </c>
      <c r="BY846" s="71"/>
      <c r="BZ846" s="79">
        <v>8</v>
      </c>
      <c r="CA846" s="79">
        <v>2</v>
      </c>
      <c r="CB846" s="79">
        <f>BZ846+CA846</f>
        <v>10</v>
      </c>
      <c r="CC846" s="79" t="str">
        <f t="shared" si="1137"/>
        <v>Ninguna</v>
      </c>
      <c r="CD846" s="79" t="s">
        <v>174</v>
      </c>
      <c r="CE846" s="79"/>
      <c r="CF846" s="79"/>
      <c r="CG846" s="83" t="s">
        <v>5776</v>
      </c>
      <c r="CH846" s="41"/>
      <c r="CI846" s="79" t="s">
        <v>153</v>
      </c>
      <c r="CJ846" s="71"/>
      <c r="CK846" s="79">
        <v>0</v>
      </c>
      <c r="CL846" s="79"/>
      <c r="CM846" s="79"/>
      <c r="CN846" s="79"/>
      <c r="CO846" s="79"/>
      <c r="CP846" s="79"/>
      <c r="CQ846" s="79"/>
      <c r="CR846" s="83"/>
      <c r="CS846" s="83"/>
      <c r="CT846" s="83"/>
      <c r="CU846" s="83"/>
      <c r="CV846" s="83"/>
      <c r="CW846" s="83"/>
      <c r="CX846" s="79"/>
      <c r="CY846" s="79">
        <v>0</v>
      </c>
      <c r="CZ846" s="79">
        <v>0</v>
      </c>
      <c r="DA846" s="79">
        <v>0</v>
      </c>
      <c r="DB846" s="84" t="s">
        <v>316</v>
      </c>
      <c r="DC846" s="41"/>
      <c r="DD846" s="79"/>
      <c r="DE846" s="71"/>
      <c r="DF846" s="127" t="s">
        <v>5777</v>
      </c>
      <c r="DG846" s="79"/>
      <c r="DH846" s="86">
        <f>IF(EE846="Por completar",C846+3,"Completo")</f>
        <v>45524</v>
      </c>
      <c r="DI846" s="79" t="s">
        <v>1246</v>
      </c>
      <c r="DJ846" s="79" t="s">
        <v>2659</v>
      </c>
      <c r="DK846" s="79"/>
      <c r="DL846" s="79">
        <v>0</v>
      </c>
      <c r="DM846" s="79">
        <v>0</v>
      </c>
      <c r="DN846" s="79" t="s">
        <v>182</v>
      </c>
      <c r="DO846" s="79"/>
      <c r="DP846" s="79"/>
      <c r="DQ846" s="79"/>
      <c r="DR846" s="75" t="s">
        <v>179</v>
      </c>
      <c r="DS846" s="79"/>
      <c r="DT846" s="79"/>
      <c r="DU846" s="75" t="str">
        <f t="shared" si="1131"/>
        <v>No aplica</v>
      </c>
      <c r="DV846" s="79" t="s">
        <v>182</v>
      </c>
      <c r="DW846" s="79" t="s">
        <v>182</v>
      </c>
      <c r="DX846" s="79"/>
      <c r="DY846" s="79"/>
      <c r="DZ846" s="79"/>
      <c r="EA846" s="79"/>
      <c r="EB846" s="79"/>
      <c r="EC846" s="79"/>
      <c r="ED846" s="79" t="s">
        <v>5778</v>
      </c>
      <c r="EE846" s="79" t="str">
        <f t="shared" si="1143"/>
        <v>Por Completar</v>
      </c>
      <c r="EF846" s="41"/>
      <c r="EG846" s="79"/>
      <c r="EH846" s="71"/>
      <c r="EI846" s="80"/>
      <c r="EJ846" s="71"/>
      <c r="EK846" s="79"/>
      <c r="EL846" s="87" t="str">
        <f>IF(F846="NO","No requiere",IF(H846="No","No requiere",IF(DW846="","",IF(DW846&lt;&gt;"No aplica",IF(DX846&lt;&gt;"No aplica",IF(DX846&gt;=2,"Sí","No"),"No aplica"),"No aplica"))))</f>
        <v>No requiere</v>
      </c>
      <c r="EM846" s="87" t="str">
        <f>IF(F846="NO","No requiere",IF(H846="No","No requiere",IF(DW846="","",IF(DW846&lt;&gt;"No aplica",IF(DY846&lt;&gt;"No aplica",IF(DY846&gt;=1,"Sí","No"),"No aplica"),"No aplica"))))</f>
        <v>No requiere</v>
      </c>
      <c r="EN846" s="87" t="str">
        <f>IF(F846="NO","No requiere",IF(H846="No","No requiere",IF(CC846="","",IF(CD846&lt;&gt;"No aplica",IF(CD846&lt;&gt;"Ninguna",IF(COUNTIF(CD846:CF846,"*")&gt;=1,"Sí","No"),"No"),"No aplica"))))</f>
        <v>No requiere</v>
      </c>
      <c r="EO846" s="71"/>
      <c r="EP846" s="84" t="str">
        <f>IF(F846="NO","No requiere",IF(H846="No","No requiere",IF(DL846="","",IF(DL846&gt;=1,DM846/DL846,"No aplica"))))</f>
        <v>No requiere</v>
      </c>
      <c r="EQ846" s="88" t="str">
        <f>IFERROR(IF(F846="NO","No requiere",IF(H846="No","No requiere",DU846)),"")</f>
        <v>No requiere</v>
      </c>
      <c r="ER846" s="71"/>
      <c r="ES846" s="79"/>
      <c r="ET846" s="84" t="str">
        <f t="shared" si="1138"/>
        <v>No requiere</v>
      </c>
      <c r="EU846" s="84" t="str">
        <f t="shared" si="1139"/>
        <v>No requiere</v>
      </c>
      <c r="EV846" s="84" t="str">
        <f t="shared" si="1140"/>
        <v>No requiere</v>
      </c>
      <c r="EW846" s="84" t="str">
        <f t="shared" si="1141"/>
        <v>No requiere</v>
      </c>
      <c r="EX846" s="78"/>
      <c r="EY846" s="78"/>
    </row>
    <row r="847" spans="1:155" ht="57" customHeight="1">
      <c r="A847" s="79">
        <v>843</v>
      </c>
      <c r="B847" s="80" t="s">
        <v>5779</v>
      </c>
      <c r="C847" s="81">
        <v>45524</v>
      </c>
      <c r="D847" s="82">
        <v>0.45833333333333331</v>
      </c>
      <c r="E847" s="79" t="s">
        <v>200</v>
      </c>
      <c r="F847" s="79" t="s">
        <v>153</v>
      </c>
      <c r="G847" s="79" t="s">
        <v>152</v>
      </c>
      <c r="H847" s="79" t="s">
        <v>152</v>
      </c>
      <c r="I847" s="79" t="s">
        <v>152</v>
      </c>
      <c r="J847" s="79" t="s">
        <v>211</v>
      </c>
      <c r="K847" s="79" t="s">
        <v>155</v>
      </c>
      <c r="L847" s="80" t="s">
        <v>5780</v>
      </c>
      <c r="M847" s="80" t="s">
        <v>624</v>
      </c>
      <c r="N847" s="79" t="s">
        <v>328</v>
      </c>
      <c r="O847" s="80" t="s">
        <v>316</v>
      </c>
      <c r="P847" s="79"/>
      <c r="Q847" s="79"/>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t="s">
        <v>304</v>
      </c>
      <c r="AP847" s="79"/>
      <c r="AQ847" s="80" t="s">
        <v>5735</v>
      </c>
      <c r="AR847" s="83" t="s">
        <v>4931</v>
      </c>
      <c r="AS847" s="80" t="s">
        <v>1355</v>
      </c>
      <c r="AT847" s="80" t="str">
        <f>_xlfn.TEXTJOIN(", ",TRUE,$AU847:$AY847)</f>
        <v>Distrital</v>
      </c>
      <c r="AU847" s="79" t="s">
        <v>172</v>
      </c>
      <c r="AV847" s="79"/>
      <c r="AW847" s="79"/>
      <c r="AX847" s="79"/>
      <c r="AY847" s="79"/>
      <c r="AZ847" s="79"/>
      <c r="BA847" s="80" t="str">
        <f>_xlfn.TEXTJOIN(", ",TRUE,$BB847:$BG847)</f>
        <v>Distrital</v>
      </c>
      <c r="BB847" s="79" t="s">
        <v>172</v>
      </c>
      <c r="BC847" s="79"/>
      <c r="BD847" s="79"/>
      <c r="BE847" s="79"/>
      <c r="BF847" s="79"/>
      <c r="BG847" s="79"/>
      <c r="BH847" s="80" t="str">
        <f>_xlfn.TEXTJOIN(", ",TRUE,$BI847:$BR847)</f>
        <v>Distrital</v>
      </c>
      <c r="BI847" s="79" t="s">
        <v>172</v>
      </c>
      <c r="BJ847" s="79"/>
      <c r="BK847" s="79"/>
      <c r="BL847" s="79"/>
      <c r="BM847" s="79"/>
      <c r="BN847" s="79"/>
      <c r="BO847" s="79"/>
      <c r="BP847" s="79"/>
      <c r="BQ847" s="79"/>
      <c r="BR847" s="79"/>
      <c r="BS847" s="80" t="s">
        <v>179</v>
      </c>
      <c r="BT847" s="80" t="s">
        <v>179</v>
      </c>
      <c r="BU847" s="80" t="s">
        <v>5781</v>
      </c>
      <c r="BV847" s="71"/>
      <c r="BW847" s="79" t="s">
        <v>152</v>
      </c>
      <c r="BX847" s="79" t="s">
        <v>179</v>
      </c>
      <c r="BY847" s="71"/>
      <c r="BZ847" s="79">
        <v>3</v>
      </c>
      <c r="CA847" s="79">
        <v>2</v>
      </c>
      <c r="CB847" s="79">
        <f t="shared" ref="CB847:CB848" si="1144">BZ847+CA847</f>
        <v>5</v>
      </c>
      <c r="CC847" s="79" t="str">
        <f t="shared" si="1137"/>
        <v>Ninguna</v>
      </c>
      <c r="CD847" s="79" t="s">
        <v>174</v>
      </c>
      <c r="CE847" s="79"/>
      <c r="CF847" s="79"/>
      <c r="CG847" s="83" t="s">
        <v>5782</v>
      </c>
      <c r="CH847" s="41"/>
      <c r="CI847" s="79" t="s">
        <v>153</v>
      </c>
      <c r="CJ847" s="71"/>
      <c r="CK847" s="79">
        <v>0</v>
      </c>
      <c r="CL847" s="79"/>
      <c r="CM847" s="79"/>
      <c r="CN847" s="79"/>
      <c r="CO847" s="79"/>
      <c r="CP847" s="79"/>
      <c r="CQ847" s="79"/>
      <c r="CR847" s="83"/>
      <c r="CS847" s="83"/>
      <c r="CT847" s="83"/>
      <c r="CU847" s="83"/>
      <c r="CV847" s="83"/>
      <c r="CW847" s="83"/>
      <c r="CX847" s="79"/>
      <c r="CY847" s="79">
        <v>0</v>
      </c>
      <c r="CZ847" s="79">
        <v>0</v>
      </c>
      <c r="DA847" s="79">
        <v>0</v>
      </c>
      <c r="DB847" s="84" t="s">
        <v>316</v>
      </c>
      <c r="DC847" s="41"/>
      <c r="DD847" s="79"/>
      <c r="DE847" s="71"/>
      <c r="DF847" s="127" t="s">
        <v>5783</v>
      </c>
      <c r="DG847" s="79"/>
      <c r="DH847" s="86">
        <f>IF(EE847="Por completar",C847+3,"Completo")</f>
        <v>45527</v>
      </c>
      <c r="DI847" s="79" t="s">
        <v>1246</v>
      </c>
      <c r="DJ847" s="79" t="s">
        <v>2659</v>
      </c>
      <c r="DK847" s="79"/>
      <c r="DL847" s="79">
        <v>0</v>
      </c>
      <c r="DM847" s="79">
        <v>0</v>
      </c>
      <c r="DN847" s="79" t="s">
        <v>182</v>
      </c>
      <c r="DO847" s="79"/>
      <c r="DP847" s="79"/>
      <c r="DQ847" s="79"/>
      <c r="DR847" s="75" t="s">
        <v>179</v>
      </c>
      <c r="DS847" s="79"/>
      <c r="DT847" s="79"/>
      <c r="DU847" s="75" t="str">
        <f t="shared" si="1131"/>
        <v>No aplica</v>
      </c>
      <c r="DV847" s="79" t="s">
        <v>182</v>
      </c>
      <c r="DW847" s="79" t="s">
        <v>182</v>
      </c>
      <c r="DX847" s="79"/>
      <c r="DY847" s="79"/>
      <c r="DZ847" s="79"/>
      <c r="EA847" s="79"/>
      <c r="EB847" s="79"/>
      <c r="EC847" s="79"/>
      <c r="ED847" s="79" t="s">
        <v>5744</v>
      </c>
      <c r="EE847" s="79" t="s">
        <v>621</v>
      </c>
      <c r="EF847" s="41"/>
      <c r="EG847" s="79"/>
      <c r="EH847" s="71"/>
      <c r="EI847" s="80"/>
      <c r="EJ847" s="71"/>
      <c r="EK847" s="79"/>
      <c r="EL847" s="87" t="str">
        <f>IF(F847="NO","No requiere",IF(H847="No","No requiere",IF(DW847="","",IF(DW847&lt;&gt;"No aplica",IF(DX847&lt;&gt;"No aplica",IF(DX847&gt;=2,"Sí","No"),"No aplica"),"No aplica"))))</f>
        <v>No requiere</v>
      </c>
      <c r="EM847" s="87" t="str">
        <f>IF(F847="NO","No requiere",IF(H847="No","No requiere",IF(DW847="","",IF(DW847&lt;&gt;"No aplica",IF(DY847&lt;&gt;"No aplica",IF(DY847&gt;=1,"Sí","No"),"No aplica"),"No aplica"))))</f>
        <v>No requiere</v>
      </c>
      <c r="EN847" s="87" t="str">
        <f>IF(F847="NO","No requiere",IF(H847="No","No requiere",IF(CC847="","",IF(CD847&lt;&gt;"No aplica",IF(CD847&lt;&gt;"Ninguna",IF(COUNTIF(CD847:CF847,"*")&gt;=1,"Sí","No"),"No"),"No aplica"))))</f>
        <v>No requiere</v>
      </c>
      <c r="EO847" s="71"/>
      <c r="EP847" s="84" t="str">
        <f>IF(F847="NO","No requiere",IF(H847="No","No requiere",IF(DL847="","",IF(DL847&gt;=1,DM847/DL847,"No aplica"))))</f>
        <v>No requiere</v>
      </c>
      <c r="EQ847" s="88" t="str">
        <f>IFERROR(IF(F847="NO","No requiere",IF(H847="No","No requiere",DU847)),"")</f>
        <v>No requiere</v>
      </c>
      <c r="ER847" s="71"/>
      <c r="ES847" s="79"/>
      <c r="ET847" s="84" t="str">
        <f t="shared" si="1138"/>
        <v>No requiere</v>
      </c>
      <c r="EU847" s="84" t="str">
        <f t="shared" si="1139"/>
        <v>No requiere</v>
      </c>
      <c r="EV847" s="84" t="str">
        <f t="shared" si="1140"/>
        <v>No requiere</v>
      </c>
      <c r="EW847" s="84" t="str">
        <f t="shared" si="1141"/>
        <v>No requiere</v>
      </c>
      <c r="EX847" s="78"/>
      <c r="EY847" s="78"/>
    </row>
    <row r="848" spans="1:155" ht="57" customHeight="1">
      <c r="A848" s="79">
        <v>844</v>
      </c>
      <c r="B848" s="80" t="s">
        <v>5784</v>
      </c>
      <c r="C848" s="81">
        <v>45524</v>
      </c>
      <c r="D848" s="82">
        <v>0.70833333333333337</v>
      </c>
      <c r="E848" s="79" t="s">
        <v>200</v>
      </c>
      <c r="F848" s="79" t="s">
        <v>153</v>
      </c>
      <c r="G848" s="79" t="s">
        <v>152</v>
      </c>
      <c r="H848" s="79" t="s">
        <v>152</v>
      </c>
      <c r="I848" s="79" t="s">
        <v>152</v>
      </c>
      <c r="J848" s="79" t="s">
        <v>211</v>
      </c>
      <c r="K848" s="79" t="s">
        <v>202</v>
      </c>
      <c r="L848" s="80" t="s">
        <v>5785</v>
      </c>
      <c r="M848" s="80" t="s">
        <v>624</v>
      </c>
      <c r="N848" s="79" t="s">
        <v>328</v>
      </c>
      <c r="O848" s="80" t="s">
        <v>316</v>
      </c>
      <c r="P848" s="79"/>
      <c r="Q848" s="79"/>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t="s">
        <v>304</v>
      </c>
      <c r="AP848" s="79"/>
      <c r="AQ848" s="80" t="s">
        <v>5786</v>
      </c>
      <c r="AR848" s="83" t="s">
        <v>5787</v>
      </c>
      <c r="AS848" s="80" t="s">
        <v>1103</v>
      </c>
      <c r="AT848" s="80" t="str">
        <f>_xlfn.TEXTJOIN(", ",TRUE,$AU848:$AY848)</f>
        <v>Distrital</v>
      </c>
      <c r="AU848" s="79" t="s">
        <v>172</v>
      </c>
      <c r="AV848" s="79"/>
      <c r="AW848" s="79"/>
      <c r="AX848" s="79"/>
      <c r="AY848" s="79"/>
      <c r="AZ848" s="79"/>
      <c r="BA848" s="80" t="str">
        <f>_xlfn.TEXTJOIN(", ",TRUE,$BB848:$BG848)</f>
        <v>Distrital</v>
      </c>
      <c r="BB848" s="79" t="s">
        <v>172</v>
      </c>
      <c r="BC848" s="79"/>
      <c r="BD848" s="79"/>
      <c r="BE848" s="79"/>
      <c r="BF848" s="79"/>
      <c r="BG848" s="79"/>
      <c r="BH848" s="80" t="str">
        <f>_xlfn.TEXTJOIN(", ",TRUE,$BI848:$BR848)</f>
        <v>Distrital</v>
      </c>
      <c r="BI848" s="79" t="s">
        <v>172</v>
      </c>
      <c r="BJ848" s="79"/>
      <c r="BK848" s="79"/>
      <c r="BL848" s="79"/>
      <c r="BM848" s="79"/>
      <c r="BN848" s="79"/>
      <c r="BO848" s="79"/>
      <c r="BP848" s="79"/>
      <c r="BQ848" s="79"/>
      <c r="BR848" s="79"/>
      <c r="BS848" s="80" t="s">
        <v>179</v>
      </c>
      <c r="BT848" s="80" t="s">
        <v>179</v>
      </c>
      <c r="BU848" s="128" t="s">
        <v>3978</v>
      </c>
      <c r="BV848" s="71"/>
      <c r="BW848" s="79" t="s">
        <v>152</v>
      </c>
      <c r="BX848" s="79" t="s">
        <v>179</v>
      </c>
      <c r="BY848" s="71"/>
      <c r="BZ848" s="79">
        <v>10</v>
      </c>
      <c r="CA848" s="79">
        <v>1</v>
      </c>
      <c r="CB848" s="79">
        <f t="shared" si="1144"/>
        <v>11</v>
      </c>
      <c r="CC848" s="79" t="str">
        <f t="shared" si="1137"/>
        <v>Ninguna</v>
      </c>
      <c r="CD848" s="79" t="s">
        <v>174</v>
      </c>
      <c r="CE848" s="79"/>
      <c r="CF848" s="79"/>
      <c r="CG848" s="83" t="s">
        <v>5788</v>
      </c>
      <c r="CH848" s="41"/>
      <c r="CI848" s="79" t="s">
        <v>153</v>
      </c>
      <c r="CJ848" s="71"/>
      <c r="CK848" s="79">
        <v>0</v>
      </c>
      <c r="CL848" s="79"/>
      <c r="CM848" s="79"/>
      <c r="CN848" s="79"/>
      <c r="CO848" s="79"/>
      <c r="CP848" s="79"/>
      <c r="CQ848" s="79"/>
      <c r="CR848" s="83"/>
      <c r="CS848" s="83"/>
      <c r="CT848" s="83"/>
      <c r="CU848" s="83"/>
      <c r="CV848" s="83"/>
      <c r="CW848" s="83"/>
      <c r="CX848" s="79"/>
      <c r="CY848" s="79">
        <v>0</v>
      </c>
      <c r="CZ848" s="79">
        <v>0</v>
      </c>
      <c r="DA848" s="79">
        <v>0</v>
      </c>
      <c r="DB848" s="84" t="s">
        <v>316</v>
      </c>
      <c r="DC848" s="41"/>
      <c r="DD848" s="79"/>
      <c r="DE848" s="71"/>
      <c r="DF848" s="127" t="s">
        <v>5789</v>
      </c>
      <c r="DG848" s="79"/>
      <c r="DH848" s="86">
        <f>IF(EE848="Por completar",C848+3,"Completo")</f>
        <v>45527</v>
      </c>
      <c r="DI848" s="79" t="s">
        <v>1246</v>
      </c>
      <c r="DJ848" s="79" t="s">
        <v>2659</v>
      </c>
      <c r="DK848" s="79"/>
      <c r="DL848" s="79">
        <v>0</v>
      </c>
      <c r="DM848" s="79">
        <v>0</v>
      </c>
      <c r="DN848" s="79" t="s">
        <v>182</v>
      </c>
      <c r="DO848" s="79"/>
      <c r="DP848" s="79"/>
      <c r="DQ848" s="79"/>
      <c r="DR848" s="75" t="s">
        <v>179</v>
      </c>
      <c r="DS848" s="79"/>
      <c r="DT848" s="79"/>
      <c r="DU848" s="75" t="str">
        <f t="shared" si="1131"/>
        <v>No aplica</v>
      </c>
      <c r="DV848" s="79" t="s">
        <v>182</v>
      </c>
      <c r="DW848" s="79" t="s">
        <v>182</v>
      </c>
      <c r="DX848" s="79"/>
      <c r="DY848" s="79"/>
      <c r="DZ848" s="79"/>
      <c r="EA848" s="79"/>
      <c r="EB848" s="79"/>
      <c r="EC848" s="79"/>
      <c r="ED848" s="79"/>
      <c r="EE848" s="79" t="s">
        <v>621</v>
      </c>
      <c r="EF848" s="41"/>
      <c r="EG848" s="79"/>
      <c r="EH848" s="71"/>
      <c r="EI848" s="80"/>
      <c r="EJ848" s="71"/>
      <c r="EK848" s="79"/>
      <c r="EL848" s="87" t="str">
        <f>IF(F848="NO","No requiere",IF(H848="No","No requiere",IF(DW848="","",IF(DW848&lt;&gt;"No aplica",IF(DX848&lt;&gt;"No aplica",IF(DX848&gt;=2,"Sí","No"),"No aplica"),"No aplica"))))</f>
        <v>No requiere</v>
      </c>
      <c r="EM848" s="87" t="str">
        <f>IF(F848="NO","No requiere",IF(H848="No","No requiere",IF(DW848="","",IF(DW848&lt;&gt;"No aplica",IF(DY848&lt;&gt;"No aplica",IF(DY848&gt;=1,"Sí","No"),"No aplica"),"No aplica"))))</f>
        <v>No requiere</v>
      </c>
      <c r="EN848" s="87" t="str">
        <f>IF(F848="NO","No requiere",IF(H848="No","No requiere",IF(CC848="","",IF(CD848&lt;&gt;"No aplica",IF(CD848&lt;&gt;"Ninguna",IF(COUNTIF(CD848:CF848,"*")&gt;=1,"Sí","No"),"No"),"No aplica"))))</f>
        <v>No requiere</v>
      </c>
      <c r="EO848" s="71"/>
      <c r="EP848" s="84" t="str">
        <f>IF(F848="NO","No requiere",IF(H848="No","No requiere",IF(DL848="","",IF(DL848&gt;=1,DM848/DL848,"No aplica"))))</f>
        <v>No requiere</v>
      </c>
      <c r="EQ848" s="88" t="str">
        <f>IFERROR(IF(F848="NO","No requiere",IF(H848="No","No requiere",DU848)),"")</f>
        <v>No requiere</v>
      </c>
      <c r="ER848" s="71"/>
      <c r="ES848" s="79"/>
      <c r="ET848" s="84" t="str">
        <f t="shared" si="1138"/>
        <v>No requiere</v>
      </c>
      <c r="EU848" s="84" t="str">
        <f t="shared" si="1139"/>
        <v>No requiere</v>
      </c>
      <c r="EV848" s="84" t="str">
        <f t="shared" si="1140"/>
        <v>No requiere</v>
      </c>
      <c r="EW848" s="84" t="str">
        <f t="shared" si="1141"/>
        <v>No requiere</v>
      </c>
      <c r="EX848" s="78"/>
      <c r="EY848" s="78"/>
    </row>
    <row r="849" spans="1:155" ht="57" customHeight="1">
      <c r="A849" s="79" t="str">
        <v/>
      </c>
      <c r="B849" s="80" t="s">
        <v>5790</v>
      </c>
      <c r="C849" s="81">
        <v>45525</v>
      </c>
      <c r="D849" s="82">
        <v>0.4375</v>
      </c>
      <c r="E849" s="79" t="s">
        <v>151</v>
      </c>
      <c r="F849" s="79" t="s">
        <v>152</v>
      </c>
      <c r="G849" s="79" t="s">
        <v>153</v>
      </c>
      <c r="H849" s="79" t="s">
        <v>152</v>
      </c>
      <c r="I849" s="79" t="s">
        <v>152</v>
      </c>
      <c r="J849" s="79" t="s">
        <v>251</v>
      </c>
      <c r="K849" s="79" t="s">
        <v>155</v>
      </c>
      <c r="L849" s="80" t="s">
        <v>5791</v>
      </c>
      <c r="M849" s="80" t="s">
        <v>624</v>
      </c>
      <c r="N849" s="79" t="s">
        <v>195</v>
      </c>
      <c r="O849" s="80" t="str">
        <f t="shared" si="636"/>
        <v/>
      </c>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t="s">
        <v>304</v>
      </c>
      <c r="AP849" s="79"/>
      <c r="AQ849" s="80" t="s">
        <v>171</v>
      </c>
      <c r="AR849" s="83" t="s">
        <v>171</v>
      </c>
      <c r="AS849" s="80" t="s">
        <v>171</v>
      </c>
      <c r="AT849" s="80" t="str">
        <f>_xlfn.TEXTJOIN(", ",TRUE,$AU849:$AY849)</f>
        <v>Distrital</v>
      </c>
      <c r="AU849" s="79" t="s">
        <v>172</v>
      </c>
      <c r="AV849" s="79"/>
      <c r="AW849" s="79"/>
      <c r="AX849" s="79"/>
      <c r="AY849" s="79"/>
      <c r="AZ849" s="79"/>
      <c r="BA849" s="80" t="str">
        <f>_xlfn.TEXTJOIN(", ",TRUE,$BB849:$BG849)</f>
        <v>Distrital</v>
      </c>
      <c r="BB849" s="79" t="s">
        <v>172</v>
      </c>
      <c r="BC849" s="79"/>
      <c r="BD849" s="79"/>
      <c r="BE849" s="79"/>
      <c r="BF849" s="79"/>
      <c r="BG849" s="79"/>
      <c r="BH849" s="80" t="str">
        <f>_xlfn.TEXTJOIN(", ",TRUE,$BI849:$BR849)</f>
        <v>Distrital</v>
      </c>
      <c r="BI849" s="79" t="s">
        <v>172</v>
      </c>
      <c r="BJ849" s="79"/>
      <c r="BK849" s="79"/>
      <c r="BL849" s="79"/>
      <c r="BM849" s="79"/>
      <c r="BN849" s="79"/>
      <c r="BO849" s="79"/>
      <c r="BP849" s="79"/>
      <c r="BQ849" s="79"/>
      <c r="BR849" s="79"/>
      <c r="BS849" s="80" t="s">
        <v>288</v>
      </c>
      <c r="BT849" s="80" t="s">
        <v>174</v>
      </c>
      <c r="BU849" s="80" t="s">
        <v>5403</v>
      </c>
      <c r="BV849" s="71"/>
      <c r="BW849" s="79" t="s">
        <v>152</v>
      </c>
      <c r="BX849" s="79" t="s">
        <v>179</v>
      </c>
      <c r="BY849" s="71"/>
      <c r="BZ849" s="79">
        <v>0</v>
      </c>
      <c r="CA849" s="79">
        <v>11</v>
      </c>
      <c r="CB849" s="79">
        <f>BZ849+CA849</f>
        <v>11</v>
      </c>
      <c r="CC849" s="79" t="str">
        <f t="shared" si="1137"/>
        <v>Ninguna</v>
      </c>
      <c r="CD849" s="79" t="s">
        <v>174</v>
      </c>
      <c r="CE849" s="79"/>
      <c r="CF849" s="79"/>
      <c r="CG849" s="83" t="s">
        <v>5792</v>
      </c>
      <c r="CH849" s="41"/>
      <c r="CI849" s="79" t="s">
        <v>153</v>
      </c>
      <c r="CJ849" s="71"/>
      <c r="CK849" s="79">
        <v>0</v>
      </c>
      <c r="CL849" s="79"/>
      <c r="CM849" s="79"/>
      <c r="CN849" s="79"/>
      <c r="CO849" s="79"/>
      <c r="CP849" s="79"/>
      <c r="CQ849" s="79"/>
      <c r="CR849" s="83" t="s">
        <v>179</v>
      </c>
      <c r="CS849" s="83" t="s">
        <v>179</v>
      </c>
      <c r="CT849" s="83" t="s">
        <v>179</v>
      </c>
      <c r="CU849" s="83" t="s">
        <v>179</v>
      </c>
      <c r="CV849" s="83" t="s">
        <v>179</v>
      </c>
      <c r="CW849" s="83" t="s">
        <v>179</v>
      </c>
      <c r="CX849" s="79" t="s">
        <v>153</v>
      </c>
      <c r="CY849" s="79">
        <v>0</v>
      </c>
      <c r="CZ849" s="79">
        <v>0</v>
      </c>
      <c r="DA849" s="79">
        <v>0</v>
      </c>
      <c r="DB849" s="84" t="s">
        <v>316</v>
      </c>
      <c r="DC849" s="41"/>
      <c r="DD849" s="79" t="s">
        <v>153</v>
      </c>
      <c r="DE849" s="71"/>
      <c r="DF849" s="127" t="s">
        <v>5793</v>
      </c>
      <c r="DG849" s="79"/>
      <c r="DH849" s="86" t="str">
        <f>IF(EE849="Por completar",C849+3,"Completo")</f>
        <v>Completo</v>
      </c>
      <c r="DI849" s="79" t="s">
        <v>181</v>
      </c>
      <c r="DJ849" s="79" t="s">
        <v>182</v>
      </c>
      <c r="DK849" s="79"/>
      <c r="DL849" s="79">
        <v>0</v>
      </c>
      <c r="DM849" s="79">
        <v>0</v>
      </c>
      <c r="DN849" s="79" t="s">
        <v>182</v>
      </c>
      <c r="DO849" s="79"/>
      <c r="DP849" s="79"/>
      <c r="DQ849" s="79"/>
      <c r="DR849" s="75" t="s">
        <v>179</v>
      </c>
      <c r="DS849" s="79"/>
      <c r="DT849" s="79"/>
      <c r="DU849" s="75" t="str">
        <f t="shared" si="1131"/>
        <v>No aplica</v>
      </c>
      <c r="DV849" s="79"/>
      <c r="DW849" s="79"/>
      <c r="DX849" s="79"/>
      <c r="DY849" s="79"/>
      <c r="DZ849" s="79"/>
      <c r="EA849" s="79"/>
      <c r="EB849" s="79"/>
      <c r="EC849" s="79"/>
      <c r="ED849" s="79" t="s">
        <v>5794</v>
      </c>
      <c r="EE849" s="79" t="str">
        <f t="shared" si="1143"/>
        <v>Completo</v>
      </c>
      <c r="EF849" s="41"/>
      <c r="EG849" s="79" t="s">
        <v>153</v>
      </c>
      <c r="EH849" s="71"/>
      <c r="EI849" s="80"/>
      <c r="EJ849" s="71"/>
      <c r="EK849" s="79"/>
      <c r="EL849" s="87" t="str">
        <f>IF(F849="NO","No requiere",IF(H849="No","No requiere",IF(DW849="","",IF(DW849&lt;&gt;"No aplica",IF(DX849&lt;&gt;"No aplica",IF(DX849&gt;=2,"Sí","No"),"No aplica"),"No aplica"))))</f>
        <v>No requiere</v>
      </c>
      <c r="EM849" s="87" t="str">
        <f>IF(F849="NO","No requiere",IF(H849="No","No requiere",IF(DW849="","",IF(DW849&lt;&gt;"No aplica",IF(DY849&lt;&gt;"No aplica",IF(DY849&gt;=1,"Sí","No"),"No aplica"),"No aplica"))))</f>
        <v>No requiere</v>
      </c>
      <c r="EN849" s="87" t="str">
        <f>IF(F849="NO","No requiere",IF(H849="No","No requiere",IF(CC849="","",IF(CD849&lt;&gt;"No aplica",IF(CD849&lt;&gt;"Ninguna",IF(COUNTIF(CD849:CF849,"*")&gt;=1,"Sí","No"),"No"),"No aplica"))))</f>
        <v>No requiere</v>
      </c>
      <c r="EO849" s="71"/>
      <c r="EP849" s="84" t="str">
        <f>IF(F849="NO","No requiere",IF(H849="No","No requiere",IF(DL849="","",IF(DL849&gt;=1,DM849/DL849,"No aplica"))))</f>
        <v>No requiere</v>
      </c>
      <c r="EQ849" s="88" t="str">
        <f>IFERROR(IF(F849="NO","No requiere",IF(H849="No","No requiere",DU849)),"")</f>
        <v>No requiere</v>
      </c>
      <c r="ER849" s="71"/>
      <c r="ES849" s="79"/>
      <c r="ET849" s="84" t="str">
        <f>IF(F849="NO","No requiere",IF(H849="No","No requiere",IFERROR(COUNTIF(DJ849:DW849,"Completo")/SUM(COUNTIF(DJ849:DW849,"Completo"),COUNTIF(DJ849:DW849,"Incompleto"),COUNTIF(DJ849:DW849,"No subido"),COUNTIF(DJ849:DW849,"No existente"),COUNTIF(DJ849:DW849,"Pendiente")),"")))</f>
        <v>No requiere</v>
      </c>
      <c r="EU849" s="84" t="str">
        <f t="shared" si="1139"/>
        <v>No requiere</v>
      </c>
      <c r="EV849" s="84" t="str">
        <f t="shared" si="1140"/>
        <v>No requiere</v>
      </c>
      <c r="EW849" s="84" t="str">
        <f t="shared" si="1141"/>
        <v>No requiere</v>
      </c>
      <c r="EX849" s="78"/>
      <c r="EY849" s="78"/>
    </row>
    <row r="850" spans="1:155" ht="57" customHeight="1">
      <c r="A850" s="79">
        <v>846</v>
      </c>
      <c r="B850" s="80" t="s">
        <v>5795</v>
      </c>
      <c r="C850" s="81">
        <v>45525</v>
      </c>
      <c r="D850" s="82">
        <v>0.70833333333333337</v>
      </c>
      <c r="E850" s="79" t="s">
        <v>200</v>
      </c>
      <c r="F850" s="79" t="s">
        <v>153</v>
      </c>
      <c r="G850" s="79" t="s">
        <v>153</v>
      </c>
      <c r="H850" s="79" t="s">
        <v>152</v>
      </c>
      <c r="I850" s="79" t="s">
        <v>152</v>
      </c>
      <c r="J850" s="79" t="s">
        <v>211</v>
      </c>
      <c r="K850" s="79" t="s">
        <v>155</v>
      </c>
      <c r="L850" s="80" t="s">
        <v>5796</v>
      </c>
      <c r="M850" s="80" t="s">
        <v>157</v>
      </c>
      <c r="N850" s="79" t="s">
        <v>328</v>
      </c>
      <c r="O850" s="80" t="str">
        <f t="shared" si="636"/>
        <v/>
      </c>
      <c r="P850" s="79"/>
      <c r="Q850" s="79"/>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t="s">
        <v>304</v>
      </c>
      <c r="AP850" s="79"/>
      <c r="AQ850" s="80" t="s">
        <v>171</v>
      </c>
      <c r="AR850" s="83" t="s">
        <v>171</v>
      </c>
      <c r="AS850" s="80" t="s">
        <v>171</v>
      </c>
      <c r="AT850" s="80" t="str">
        <f>_xlfn.TEXTJOIN(", ",TRUE,$AU850:$AY850)</f>
        <v>Distrital</v>
      </c>
      <c r="AU850" s="79" t="s">
        <v>172</v>
      </c>
      <c r="AV850" s="79"/>
      <c r="AW850" s="79"/>
      <c r="AX850" s="79"/>
      <c r="AY850" s="79"/>
      <c r="AZ850" s="79"/>
      <c r="BA850" s="80" t="str">
        <f>_xlfn.TEXTJOIN(", ",TRUE,$BB850:$BG850)</f>
        <v>Distrital</v>
      </c>
      <c r="BB850" s="79" t="s">
        <v>172</v>
      </c>
      <c r="BC850" s="79"/>
      <c r="BD850" s="79"/>
      <c r="BE850" s="79"/>
      <c r="BF850" s="79"/>
      <c r="BG850" s="79"/>
      <c r="BH850" s="80" t="str">
        <f>_xlfn.TEXTJOIN(", ",TRUE,$BI850:$BR850)</f>
        <v>Distrital</v>
      </c>
      <c r="BI850" s="79" t="s">
        <v>172</v>
      </c>
      <c r="BJ850" s="79"/>
      <c r="BK850" s="79"/>
      <c r="BL850" s="79"/>
      <c r="BM850" s="79"/>
      <c r="BN850" s="79"/>
      <c r="BO850" s="79"/>
      <c r="BP850" s="79"/>
      <c r="BQ850" s="79"/>
      <c r="BR850" s="79"/>
      <c r="BS850" s="80" t="s">
        <v>288</v>
      </c>
      <c r="BT850" s="80" t="s">
        <v>174</v>
      </c>
      <c r="BU850" s="80" t="s">
        <v>2883</v>
      </c>
      <c r="BV850" s="71"/>
      <c r="BW850" s="79" t="s">
        <v>152</v>
      </c>
      <c r="BX850" s="79" t="s">
        <v>179</v>
      </c>
      <c r="BY850" s="71"/>
      <c r="BZ850" s="79">
        <v>3</v>
      </c>
      <c r="CA850" s="79">
        <v>9</v>
      </c>
      <c r="CB850" s="79">
        <f>BZ850+CA850</f>
        <v>12</v>
      </c>
      <c r="CC850" s="79" t="str">
        <f t="shared" si="1137"/>
        <v>Ninguna</v>
      </c>
      <c r="CD850" s="79" t="s">
        <v>174</v>
      </c>
      <c r="CE850" s="79"/>
      <c r="CF850" s="79"/>
      <c r="CG850" s="309" t="s">
        <v>5797</v>
      </c>
      <c r="CH850" s="41"/>
      <c r="CI850" s="79" t="s">
        <v>153</v>
      </c>
      <c r="CJ850" s="71"/>
      <c r="CK850" s="79">
        <v>1</v>
      </c>
      <c r="CL850" s="79" t="s">
        <v>5798</v>
      </c>
      <c r="CM850" s="79"/>
      <c r="CN850" s="79"/>
      <c r="CO850" s="79"/>
      <c r="CP850" s="79"/>
      <c r="CQ850" s="79"/>
      <c r="CR850" s="83" t="s">
        <v>390</v>
      </c>
      <c r="CS850" s="83" t="s">
        <v>179</v>
      </c>
      <c r="CT850" s="83" t="s">
        <v>179</v>
      </c>
      <c r="CU850" s="83" t="s">
        <v>179</v>
      </c>
      <c r="CV850" s="83" t="s">
        <v>179</v>
      </c>
      <c r="CW850" s="83" t="s">
        <v>179</v>
      </c>
      <c r="CX850" s="79" t="s">
        <v>153</v>
      </c>
      <c r="CY850" s="79">
        <v>0</v>
      </c>
      <c r="CZ850" s="79">
        <v>0</v>
      </c>
      <c r="DA850" s="79">
        <v>0</v>
      </c>
      <c r="DB850" s="84" t="s">
        <v>316</v>
      </c>
      <c r="DC850" s="41"/>
      <c r="DD850" s="79" t="s">
        <v>153</v>
      </c>
      <c r="DE850" s="71"/>
      <c r="DF850" s="127" t="s">
        <v>5799</v>
      </c>
      <c r="DG850" s="79"/>
      <c r="DH850" s="86" t="str">
        <f>IF(EE850="Por completar",C850+3,"Completo")</f>
        <v>Completo</v>
      </c>
      <c r="DI850" s="79" t="s">
        <v>181</v>
      </c>
      <c r="DJ850" s="79" t="s">
        <v>182</v>
      </c>
      <c r="DK850" s="79"/>
      <c r="DL850" s="79">
        <v>0</v>
      </c>
      <c r="DM850" s="79">
        <v>0</v>
      </c>
      <c r="DN850" s="79" t="s">
        <v>182</v>
      </c>
      <c r="DO850" s="79"/>
      <c r="DP850" s="79"/>
      <c r="DQ850" s="79"/>
      <c r="DR850" s="75" t="s">
        <v>179</v>
      </c>
      <c r="DS850" s="79"/>
      <c r="DT850" s="79"/>
      <c r="DU850" s="75" t="str">
        <f t="shared" si="1131"/>
        <v>No aplica</v>
      </c>
      <c r="DV850" s="79" t="s">
        <v>182</v>
      </c>
      <c r="DW850" s="79" t="s">
        <v>182</v>
      </c>
      <c r="DX850" s="79"/>
      <c r="DY850" s="79"/>
      <c r="DZ850" s="79"/>
      <c r="EA850" s="79"/>
      <c r="EB850" s="79"/>
      <c r="EC850" s="79"/>
      <c r="ED850" s="79" t="s">
        <v>5800</v>
      </c>
      <c r="EE850" s="79" t="str">
        <f t="shared" si="1143"/>
        <v>Completo</v>
      </c>
      <c r="EF850" s="41"/>
      <c r="EG850" s="79" t="s">
        <v>153</v>
      </c>
      <c r="EH850" s="71"/>
      <c r="EI850" s="80"/>
      <c r="EJ850" s="71"/>
      <c r="EK850" s="79"/>
      <c r="EL850" s="87" t="str">
        <f>IF(F850="NO","No requiere",IF(H850="No","No requiere",IF(DW850="","",IF(DW850&lt;&gt;"No aplica",IF(DX850&lt;&gt;"No aplica",IF(DX850&gt;=2,"Sí","No"),"No aplica"),"No aplica"))))</f>
        <v>No requiere</v>
      </c>
      <c r="EM850" s="87" t="str">
        <f>IF(F850="NO","No requiere",IF(H850="No","No requiere",IF(DW850="","",IF(DW850&lt;&gt;"No aplica",IF(DY850&lt;&gt;"No aplica",IF(DY850&gt;=1,"Sí","No"),"No aplica"),"No aplica"))))</f>
        <v>No requiere</v>
      </c>
      <c r="EN850" s="87" t="str">
        <f>IF(F850="NO","No requiere",IF(H850="No","No requiere",IF(CC850="","",IF(CD850&lt;&gt;"No aplica",IF(CD850&lt;&gt;"Ninguna",IF(COUNTIF(CD850:CF850,"*")&gt;=1,"Sí","No"),"No"),"No aplica"))))</f>
        <v>No requiere</v>
      </c>
      <c r="EO850" s="71"/>
      <c r="EP850" s="84" t="str">
        <f>IF(F850="NO","No requiere",IF(H850="No","No requiere",IF(DL850="","",IF(DL850&gt;=1,DM850/DL850,"No aplica"))))</f>
        <v>No requiere</v>
      </c>
      <c r="EQ850" s="88" t="str">
        <f>IFERROR(IF(F850="NO","No requiere",IF(H850="No","No requiere",DU850)),"")</f>
        <v>No requiere</v>
      </c>
      <c r="ER850" s="71"/>
      <c r="ES850" s="79"/>
      <c r="ET850" s="84" t="str">
        <f t="shared" si="1138"/>
        <v>No requiere</v>
      </c>
      <c r="EU850" s="84" t="str">
        <f t="shared" si="1139"/>
        <v>No requiere</v>
      </c>
      <c r="EV850" s="84" t="str">
        <f t="shared" si="1140"/>
        <v>No requiere</v>
      </c>
      <c r="EW850" s="84" t="str">
        <f t="shared" si="1141"/>
        <v>No requiere</v>
      </c>
      <c r="EX850" s="78"/>
      <c r="EY850" s="78"/>
    </row>
    <row r="851" spans="1:155" ht="57" customHeight="1">
      <c r="A851" s="79">
        <v>847</v>
      </c>
      <c r="B851" s="80" t="s">
        <v>5801</v>
      </c>
      <c r="C851" s="81">
        <v>45526</v>
      </c>
      <c r="D851" s="82">
        <v>0.41666666666666669</v>
      </c>
      <c r="E851" s="79" t="s">
        <v>151</v>
      </c>
      <c r="F851" s="79" t="s">
        <v>153</v>
      </c>
      <c r="G851" s="79" t="s">
        <v>153</v>
      </c>
      <c r="H851" s="79" t="s">
        <v>152</v>
      </c>
      <c r="I851" s="79" t="s">
        <v>152</v>
      </c>
      <c r="J851" s="79" t="s">
        <v>1711</v>
      </c>
      <c r="K851" s="79" t="s">
        <v>155</v>
      </c>
      <c r="L851" s="80" t="s">
        <v>5802</v>
      </c>
      <c r="M851" s="80" t="s">
        <v>624</v>
      </c>
      <c r="N851" s="79" t="s">
        <v>887</v>
      </c>
      <c r="O851" s="80" t="str">
        <f t="shared" si="636"/>
        <v>Luz Maritza Acero</v>
      </c>
      <c r="P851" s="79" t="s">
        <v>167</v>
      </c>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t="s">
        <v>169</v>
      </c>
      <c r="AP851" s="79" t="s">
        <v>170</v>
      </c>
      <c r="AQ851" s="80" t="s">
        <v>171</v>
      </c>
      <c r="AR851" s="83" t="s">
        <v>171</v>
      </c>
      <c r="AS851" s="80" t="s">
        <v>171</v>
      </c>
      <c r="AT851" s="80" t="str">
        <f>_xlfn.TEXTJOIN(", ",TRUE,$AU851:$AY851)</f>
        <v>Distrital</v>
      </c>
      <c r="AU851" s="79" t="s">
        <v>172</v>
      </c>
      <c r="AV851" s="79"/>
      <c r="AW851" s="79"/>
      <c r="AX851" s="79"/>
      <c r="AY851" s="79"/>
      <c r="AZ851" s="79"/>
      <c r="BA851" s="80" t="str">
        <f>_xlfn.TEXTJOIN(", ",TRUE,$BB851:$BG851)</f>
        <v>Distrital</v>
      </c>
      <c r="BB851" s="79" t="s">
        <v>172</v>
      </c>
      <c r="BC851" s="79"/>
      <c r="BD851" s="79"/>
      <c r="BE851" s="79"/>
      <c r="BF851" s="79"/>
      <c r="BG851" s="79"/>
      <c r="BH851" s="80" t="str">
        <f>_xlfn.TEXTJOIN(", ",TRUE,$BI851:$BR851)</f>
        <v>Distrital</v>
      </c>
      <c r="BI851" s="79" t="s">
        <v>172</v>
      </c>
      <c r="BJ851" s="79"/>
      <c r="BK851" s="79"/>
      <c r="BL851" s="79"/>
      <c r="BM851" s="79"/>
      <c r="BN851" s="79"/>
      <c r="BO851" s="79"/>
      <c r="BP851" s="79"/>
      <c r="BQ851" s="79"/>
      <c r="BR851" s="79"/>
      <c r="BS851" s="80" t="s">
        <v>171</v>
      </c>
      <c r="BT851" s="80" t="s">
        <v>174</v>
      </c>
      <c r="BU851" s="80" t="s">
        <v>5803</v>
      </c>
      <c r="BV851" s="71"/>
      <c r="BW851" s="79" t="s">
        <v>152</v>
      </c>
      <c r="BX851" s="79" t="s">
        <v>179</v>
      </c>
      <c r="BY851" s="71"/>
      <c r="BZ851" s="79">
        <v>0</v>
      </c>
      <c r="CA851" s="79">
        <v>6</v>
      </c>
      <c r="CB851" s="79">
        <f>BZ851+CA851</f>
        <v>6</v>
      </c>
      <c r="CC851" s="79" t="str">
        <f t="shared" si="1137"/>
        <v>Ninguna</v>
      </c>
      <c r="CD851" s="79" t="s">
        <v>174</v>
      </c>
      <c r="CE851" s="79"/>
      <c r="CF851" s="165"/>
      <c r="CG851" s="318" t="s">
        <v>5804</v>
      </c>
      <c r="CH851" s="41"/>
      <c r="CI851" s="79" t="s">
        <v>153</v>
      </c>
      <c r="CJ851" s="71"/>
      <c r="CK851" s="79">
        <v>0</v>
      </c>
      <c r="CL851" s="79"/>
      <c r="CM851" s="79"/>
      <c r="CN851" s="79"/>
      <c r="CO851" s="79"/>
      <c r="CP851" s="79"/>
      <c r="CQ851" s="79"/>
      <c r="CR851" s="83" t="s">
        <v>179</v>
      </c>
      <c r="CS851" s="83" t="s">
        <v>179</v>
      </c>
      <c r="CT851" s="83" t="s">
        <v>179</v>
      </c>
      <c r="CU851" s="83" t="s">
        <v>179</v>
      </c>
      <c r="CV851" s="83" t="s">
        <v>179</v>
      </c>
      <c r="CW851" s="83" t="s">
        <v>179</v>
      </c>
      <c r="CX851" s="79" t="s">
        <v>153</v>
      </c>
      <c r="CY851" s="79">
        <v>0</v>
      </c>
      <c r="CZ851" s="79">
        <v>0</v>
      </c>
      <c r="DA851" s="79">
        <v>0</v>
      </c>
      <c r="DB851" s="84" t="s">
        <v>316</v>
      </c>
      <c r="DC851" s="41"/>
      <c r="DD851" s="79" t="s">
        <v>153</v>
      </c>
      <c r="DE851" s="71"/>
      <c r="DF851" s="127" t="s">
        <v>5805</v>
      </c>
      <c r="DG851" s="79"/>
      <c r="DH851" s="86" t="str">
        <f>IF(EE851="Por completar",C851+3,"Completo")</f>
        <v>Completo</v>
      </c>
      <c r="DI851" s="79" t="s">
        <v>181</v>
      </c>
      <c r="DJ851" s="79" t="s">
        <v>182</v>
      </c>
      <c r="DK851" s="79"/>
      <c r="DL851" s="79">
        <v>0</v>
      </c>
      <c r="DM851" s="79">
        <v>0</v>
      </c>
      <c r="DN851" s="79" t="s">
        <v>182</v>
      </c>
      <c r="DO851" s="79"/>
      <c r="DP851" s="79"/>
      <c r="DQ851" s="79"/>
      <c r="DR851" s="75" t="s">
        <v>179</v>
      </c>
      <c r="DS851" s="79"/>
      <c r="DT851" s="79"/>
      <c r="DU851" s="75" t="str">
        <f t="shared" si="1131"/>
        <v>No aplica</v>
      </c>
      <c r="DV851" s="79" t="s">
        <v>191</v>
      </c>
      <c r="DW851" s="79" t="s">
        <v>182</v>
      </c>
      <c r="DX851" s="79">
        <v>1</v>
      </c>
      <c r="DY851" s="79"/>
      <c r="DZ851" s="79"/>
      <c r="EA851" s="79"/>
      <c r="EB851" s="79"/>
      <c r="EC851" s="79"/>
      <c r="ED851" s="79" t="s">
        <v>5806</v>
      </c>
      <c r="EE851" s="79" t="str">
        <f t="shared" si="1143"/>
        <v>Completo</v>
      </c>
      <c r="EF851" s="41"/>
      <c r="EG851" s="79" t="s">
        <v>153</v>
      </c>
      <c r="EH851" s="71"/>
      <c r="EI851" s="80"/>
      <c r="EJ851" s="71"/>
      <c r="EK851" s="79"/>
      <c r="EL851" s="87" t="str">
        <f>IF(F851="NO","No requiere",IF(H851="No","No requiere",IF(DW851="","",IF(DW851&lt;&gt;"No aplica",IF(DX851&lt;&gt;"No aplica",IF(DX851&gt;=2,"Sí","No"),"No aplica"),"No aplica"))))</f>
        <v>No requiere</v>
      </c>
      <c r="EM851" s="87" t="str">
        <f>IF(F851="NO","No requiere",IF(H851="No","No requiere",IF(DW851="","",IF(DW851&lt;&gt;"No aplica",IF(DY851&lt;&gt;"No aplica",IF(DY851&gt;=1,"Sí","No"),"No aplica"),"No aplica"))))</f>
        <v>No requiere</v>
      </c>
      <c r="EN851" s="87" t="str">
        <f>IF(F851="NO","No requiere",IF(H851="No","No requiere",IF(CC851="","",IF(CD851&lt;&gt;"No aplica",IF(CD851&lt;&gt;"Ninguna",IF(COUNTIF(CD851:CF851,"*")&gt;=1,"Sí","No"),"No"),"No aplica"))))</f>
        <v>No requiere</v>
      </c>
      <c r="EO851" s="71"/>
      <c r="EP851" s="84" t="str">
        <f>IF(F851="NO","No requiere",IF(H851="No","No requiere",IF(DL851="","",IF(DL851&gt;=1,DM851/DL851,"No aplica"))))</f>
        <v>No requiere</v>
      </c>
      <c r="EQ851" s="88" t="str">
        <f>IFERROR(IF(F851="NO","No requiere",IF(H851="No","No requiere",DU851)),"")</f>
        <v>No requiere</v>
      </c>
      <c r="ER851" s="71"/>
      <c r="ES851" s="79"/>
      <c r="ET851" s="84" t="str">
        <f t="shared" si="1138"/>
        <v>No requiere</v>
      </c>
      <c r="EU851" s="84" t="str">
        <f t="shared" si="1139"/>
        <v>No requiere</v>
      </c>
      <c r="EV851" s="84" t="str">
        <f t="shared" si="1140"/>
        <v>No requiere</v>
      </c>
      <c r="EW851" s="84" t="str">
        <f t="shared" si="1141"/>
        <v>No requiere</v>
      </c>
      <c r="EX851" s="78"/>
      <c r="EY851" s="78"/>
    </row>
    <row r="852" spans="1:155" ht="57" customHeight="1">
      <c r="A852" s="79">
        <v>848</v>
      </c>
      <c r="B852" s="80" t="s">
        <v>5807</v>
      </c>
      <c r="C852" s="81">
        <v>45526</v>
      </c>
      <c r="D852" s="82">
        <v>0.70833333333333337</v>
      </c>
      <c r="E852" s="79" t="s">
        <v>200</v>
      </c>
      <c r="F852" s="79" t="s">
        <v>153</v>
      </c>
      <c r="G852" s="79" t="s">
        <v>152</v>
      </c>
      <c r="H852" s="79" t="s">
        <v>152</v>
      </c>
      <c r="I852" s="79" t="s">
        <v>152</v>
      </c>
      <c r="J852" s="79" t="s">
        <v>211</v>
      </c>
      <c r="K852" s="79" t="s">
        <v>202</v>
      </c>
      <c r="L852" s="80" t="s">
        <v>5808</v>
      </c>
      <c r="M852" s="80" t="s">
        <v>624</v>
      </c>
      <c r="N852" s="79" t="s">
        <v>328</v>
      </c>
      <c r="O852" s="80" t="str">
        <f t="shared" si="636"/>
        <v>Humberto Díaz Acosta</v>
      </c>
      <c r="P852" s="79" t="s">
        <v>253</v>
      </c>
      <c r="Q852" s="79"/>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t="s">
        <v>304</v>
      </c>
      <c r="AP852" s="79"/>
      <c r="AQ852" s="80" t="s">
        <v>5809</v>
      </c>
      <c r="AR852" s="83" t="s">
        <v>5810</v>
      </c>
      <c r="AS852" s="80" t="s">
        <v>682</v>
      </c>
      <c r="AT852" s="80" t="str">
        <f>_xlfn.TEXTJOIN(", ",TRUE,$AU852:$AY852)</f>
        <v>Distrital</v>
      </c>
      <c r="AU852" s="79" t="s">
        <v>172</v>
      </c>
      <c r="AV852" s="79"/>
      <c r="AW852" s="79"/>
      <c r="AX852" s="79"/>
      <c r="AY852" s="79"/>
      <c r="AZ852" s="79"/>
      <c r="BA852" s="80" t="str">
        <f>_xlfn.TEXTJOIN(", ",TRUE,$BB852:$BG852)</f>
        <v>Distrital</v>
      </c>
      <c r="BB852" s="79" t="s">
        <v>172</v>
      </c>
      <c r="BC852" s="79"/>
      <c r="BD852" s="79"/>
      <c r="BE852" s="79"/>
      <c r="BF852" s="79"/>
      <c r="BG852" s="79"/>
      <c r="BH852" s="80" t="str">
        <f>_xlfn.TEXTJOIN(", ",TRUE,$BI852:$BR852)</f>
        <v>Distrital</v>
      </c>
      <c r="BI852" s="79" t="s">
        <v>172</v>
      </c>
      <c r="BJ852" s="79"/>
      <c r="BK852" s="79"/>
      <c r="BL852" s="79"/>
      <c r="BM852" s="79"/>
      <c r="BN852" s="79"/>
      <c r="BO852" s="79"/>
      <c r="BP852" s="79"/>
      <c r="BQ852" s="79"/>
      <c r="BR852" s="79"/>
      <c r="BS852" s="80" t="s">
        <v>171</v>
      </c>
      <c r="BT852" s="80" t="s">
        <v>174</v>
      </c>
      <c r="BU852" s="128" t="s">
        <v>3978</v>
      </c>
      <c r="BV852" s="71"/>
      <c r="BW852" s="79" t="s">
        <v>152</v>
      </c>
      <c r="BX852" s="79" t="s">
        <v>179</v>
      </c>
      <c r="BY852" s="71"/>
      <c r="BZ852" s="79">
        <v>25</v>
      </c>
      <c r="CA852" s="79">
        <v>2</v>
      </c>
      <c r="CB852" s="79">
        <f t="shared" ref="CB852:CB864" si="1145">BZ852+CA852</f>
        <v>27</v>
      </c>
      <c r="CC852" s="79" t="str">
        <f t="shared" si="1137"/>
        <v>Ninguna</v>
      </c>
      <c r="CD852" s="79" t="s">
        <v>174</v>
      </c>
      <c r="CE852" s="79"/>
      <c r="CF852" s="165"/>
      <c r="CG852" s="317" t="s">
        <v>5811</v>
      </c>
      <c r="CH852" s="41"/>
      <c r="CI852" s="79" t="s">
        <v>153</v>
      </c>
      <c r="CJ852" s="71"/>
      <c r="CK852" s="79">
        <v>0</v>
      </c>
      <c r="CL852" s="79"/>
      <c r="CM852" s="79"/>
      <c r="CN852" s="79"/>
      <c r="CO852" s="79"/>
      <c r="CP852" s="79"/>
      <c r="CQ852" s="79"/>
      <c r="CR852" s="83"/>
      <c r="CS852" s="83"/>
      <c r="CT852" s="83"/>
      <c r="CU852" s="83"/>
      <c r="CV852" s="83"/>
      <c r="CW852" s="83"/>
      <c r="CX852" s="79"/>
      <c r="CY852" s="79">
        <v>0</v>
      </c>
      <c r="CZ852" s="79">
        <v>0</v>
      </c>
      <c r="DA852" s="79">
        <v>0</v>
      </c>
      <c r="DB852" s="84" t="s">
        <v>316</v>
      </c>
      <c r="DC852" s="41"/>
      <c r="DD852" s="79"/>
      <c r="DE852" s="71"/>
      <c r="DF852" s="127" t="s">
        <v>5812</v>
      </c>
      <c r="DG852" s="79"/>
      <c r="DH852" s="86">
        <f>IF(EE852="Por completar",C852+3,"Completo")</f>
        <v>45529</v>
      </c>
      <c r="DI852" s="79" t="s">
        <v>1246</v>
      </c>
      <c r="DJ852" s="79" t="s">
        <v>2659</v>
      </c>
      <c r="DK852" s="79"/>
      <c r="DL852" s="79">
        <v>0</v>
      </c>
      <c r="DM852" s="79">
        <v>0</v>
      </c>
      <c r="DN852" s="79" t="s">
        <v>182</v>
      </c>
      <c r="DO852" s="79"/>
      <c r="DP852" s="79"/>
      <c r="DQ852" s="79"/>
      <c r="DR852" s="75" t="s">
        <v>179</v>
      </c>
      <c r="DS852" s="79"/>
      <c r="DT852" s="79"/>
      <c r="DU852" s="75" t="str">
        <f t="shared" si="1131"/>
        <v>No aplica</v>
      </c>
      <c r="DV852" s="79" t="s">
        <v>182</v>
      </c>
      <c r="DW852" s="79" t="s">
        <v>182</v>
      </c>
      <c r="DX852" s="79"/>
      <c r="DY852" s="79"/>
      <c r="DZ852" s="79"/>
      <c r="EA852" s="79"/>
      <c r="EB852" s="79" t="s">
        <v>182</v>
      </c>
      <c r="EC852" s="79" t="s">
        <v>5813</v>
      </c>
      <c r="ED852" s="79" t="s">
        <v>5744</v>
      </c>
      <c r="EE852" s="79" t="str">
        <f t="shared" si="1143"/>
        <v>Por Completar</v>
      </c>
      <c r="EF852" s="41"/>
      <c r="EG852" s="79"/>
      <c r="EH852" s="71"/>
      <c r="EI852" s="80"/>
      <c r="EJ852" s="71"/>
      <c r="EK852" s="79"/>
      <c r="EL852" s="87" t="str">
        <f>IF(F852="NO","No requiere",IF(H852="No","No requiere",IF(DW852="","",IF(DW852&lt;&gt;"No aplica",IF(DX852&lt;&gt;"No aplica",IF(DX852&gt;=2,"Sí","No"),"No aplica"),"No aplica"))))</f>
        <v>No requiere</v>
      </c>
      <c r="EM852" s="87" t="str">
        <f>IF(F852="NO","No requiere",IF(H852="No","No requiere",IF(DW852="","",IF(DW852&lt;&gt;"No aplica",IF(DY852&lt;&gt;"No aplica",IF(DY852&gt;=1,"Sí","No"),"No aplica"),"No aplica"))))</f>
        <v>No requiere</v>
      </c>
      <c r="EN852" s="87" t="str">
        <f>IF(F852="NO","No requiere",IF(H852="No","No requiere",IF(CC852="","",IF(CD852&lt;&gt;"No aplica",IF(CD852&lt;&gt;"Ninguna",IF(COUNTIF(CD852:CF852,"*")&gt;=1,"Sí","No"),"No"),"No aplica"))))</f>
        <v>No requiere</v>
      </c>
      <c r="EO852" s="71"/>
      <c r="EP852" s="84" t="str">
        <f>IF(F852="NO","No requiere",IF(H852="No","No requiere",IF(DL852="","",IF(DL852&gt;=1,DM852/DL852,"No aplica"))))</f>
        <v>No requiere</v>
      </c>
      <c r="EQ852" s="88" t="str">
        <f>IFERROR(IF(F852="NO","No requiere",IF(H852="No","No requiere",DU852)),"")</f>
        <v>No requiere</v>
      </c>
      <c r="ER852" s="71"/>
      <c r="ES852" s="79"/>
      <c r="ET852" s="84" t="str">
        <f t="shared" si="1138"/>
        <v>No requiere</v>
      </c>
      <c r="EU852" s="84" t="str">
        <f t="shared" si="1139"/>
        <v>No requiere</v>
      </c>
      <c r="EV852" s="84" t="str">
        <f t="shared" si="1140"/>
        <v>No requiere</v>
      </c>
      <c r="EW852" s="84" t="str">
        <f t="shared" si="1141"/>
        <v>No requiere</v>
      </c>
      <c r="EX852" s="78"/>
      <c r="EY852" s="78"/>
    </row>
    <row r="853" spans="1:155" ht="51" customHeight="1">
      <c r="A853" s="79">
        <v>849</v>
      </c>
      <c r="B853" s="80" t="s">
        <v>5814</v>
      </c>
      <c r="C853" s="81">
        <v>45527</v>
      </c>
      <c r="D853" s="82">
        <v>0.33333333333333331</v>
      </c>
      <c r="E853" s="79" t="s">
        <v>200</v>
      </c>
      <c r="F853" s="79" t="s">
        <v>153</v>
      </c>
      <c r="G853" s="79" t="s">
        <v>152</v>
      </c>
      <c r="H853" s="79" t="s">
        <v>152</v>
      </c>
      <c r="I853" s="79" t="s">
        <v>152</v>
      </c>
      <c r="J853" s="79" t="s">
        <v>211</v>
      </c>
      <c r="K853" s="79" t="s">
        <v>155</v>
      </c>
      <c r="L853" s="80" t="s">
        <v>5815</v>
      </c>
      <c r="M853" s="80" t="s">
        <v>624</v>
      </c>
      <c r="N853" s="79" t="s">
        <v>165</v>
      </c>
      <c r="O853" s="80" t="str">
        <f t="shared" si="636"/>
        <v>Luis Fernando Barreto , Nancy Stella Villa , Paola Andrea González, William Arturo González</v>
      </c>
      <c r="P853" s="79" t="s">
        <v>720</v>
      </c>
      <c r="Q853" s="79" t="s">
        <v>1611</v>
      </c>
      <c r="R853" s="79" t="s">
        <v>924</v>
      </c>
      <c r="S853" s="79" t="s">
        <v>2786</v>
      </c>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t="s">
        <v>304</v>
      </c>
      <c r="AP853" s="79"/>
      <c r="AQ853" s="80" t="s">
        <v>5816</v>
      </c>
      <c r="AR853" s="83" t="s">
        <v>5817</v>
      </c>
      <c r="AS853" s="80" t="s">
        <v>171</v>
      </c>
      <c r="AT853" s="80" t="str">
        <f>_xlfn.TEXTJOIN(", ",TRUE,$AU853:$AY853)</f>
        <v>Distrital</v>
      </c>
      <c r="AU853" s="79" t="s">
        <v>172</v>
      </c>
      <c r="AV853" s="79"/>
      <c r="AW853" s="79"/>
      <c r="AX853" s="79"/>
      <c r="AY853" s="79"/>
      <c r="AZ853" s="79"/>
      <c r="BA853" s="80" t="str">
        <f>_xlfn.TEXTJOIN(", ",TRUE,$BB853:$BG853)</f>
        <v>Distrital</v>
      </c>
      <c r="BB853" s="79" t="s">
        <v>172</v>
      </c>
      <c r="BC853" s="79"/>
      <c r="BD853" s="79"/>
      <c r="BE853" s="79"/>
      <c r="BF853" s="79"/>
      <c r="BG853" s="79"/>
      <c r="BH853" s="80" t="str">
        <f>_xlfn.TEXTJOIN(", ",TRUE,$BI853:$BR853)</f>
        <v>Distrital</v>
      </c>
      <c r="BI853" s="79" t="s">
        <v>172</v>
      </c>
      <c r="BJ853" s="79"/>
      <c r="BK853" s="79"/>
      <c r="BL853" s="79"/>
      <c r="BM853" s="79"/>
      <c r="BN853" s="79"/>
      <c r="BO853" s="79"/>
      <c r="BP853" s="79"/>
      <c r="BQ853" s="79"/>
      <c r="BR853" s="79"/>
      <c r="BS853" s="80" t="s">
        <v>288</v>
      </c>
      <c r="BT853" s="80" t="s">
        <v>174</v>
      </c>
      <c r="BU853" s="166" t="s">
        <v>5818</v>
      </c>
      <c r="BV853" s="71"/>
      <c r="BW853" s="79" t="s">
        <v>152</v>
      </c>
      <c r="BX853" s="79" t="s">
        <v>179</v>
      </c>
      <c r="BY853" s="71"/>
      <c r="BZ853" s="79">
        <v>60</v>
      </c>
      <c r="CA853" s="79">
        <v>6</v>
      </c>
      <c r="CB853" s="79">
        <f t="shared" si="1145"/>
        <v>66</v>
      </c>
      <c r="CC853" s="79" t="str">
        <f t="shared" si="1137"/>
        <v>Ninguna</v>
      </c>
      <c r="CD853" s="79" t="s">
        <v>174</v>
      </c>
      <c r="CE853" s="79"/>
      <c r="CF853" s="79"/>
      <c r="CG853" s="72" t="s">
        <v>5819</v>
      </c>
      <c r="CH853" s="41"/>
      <c r="CI853" s="79" t="s">
        <v>153</v>
      </c>
      <c r="CJ853" s="71"/>
      <c r="CK853" s="79">
        <v>0</v>
      </c>
      <c r="CL853" s="79"/>
      <c r="CM853" s="79"/>
      <c r="CN853" s="79"/>
      <c r="CO853" s="79"/>
      <c r="CP853" s="79"/>
      <c r="CQ853" s="79"/>
      <c r="CR853" s="83"/>
      <c r="CS853" s="83"/>
      <c r="CT853" s="83"/>
      <c r="CU853" s="83"/>
      <c r="CV853" s="83"/>
      <c r="CW853" s="83"/>
      <c r="CX853" s="79"/>
      <c r="CY853" s="79">
        <v>0</v>
      </c>
      <c r="CZ853" s="79">
        <v>0</v>
      </c>
      <c r="DA853" s="79">
        <v>0</v>
      </c>
      <c r="DB853" s="84" t="s">
        <v>316</v>
      </c>
      <c r="DC853" s="41"/>
      <c r="DD853" s="79"/>
      <c r="DE853" s="71"/>
      <c r="DF853" s="127" t="s">
        <v>5820</v>
      </c>
      <c r="DG853" s="79"/>
      <c r="DH853" s="86">
        <f>IF(EE853="Por completar",C853+3,"Completo")</f>
        <v>45530</v>
      </c>
      <c r="DI853" s="79" t="s">
        <v>1246</v>
      </c>
      <c r="DJ853" s="79" t="s">
        <v>2659</v>
      </c>
      <c r="DK853" s="79"/>
      <c r="DL853" s="79">
        <v>0</v>
      </c>
      <c r="DM853" s="79">
        <v>0</v>
      </c>
      <c r="DN853" s="79"/>
      <c r="DO853" s="79">
        <v>150</v>
      </c>
      <c r="DP853" s="79"/>
      <c r="DQ853" s="79"/>
      <c r="DR853" s="75" t="s">
        <v>179</v>
      </c>
      <c r="DS853" s="79"/>
      <c r="DT853" s="79"/>
      <c r="DU853" s="75" t="str">
        <f t="shared" si="1131"/>
        <v>No aplica</v>
      </c>
      <c r="DV853" s="79" t="s">
        <v>182</v>
      </c>
      <c r="DW853" s="79" t="s">
        <v>191</v>
      </c>
      <c r="DX853" s="79"/>
      <c r="DY853" s="79"/>
      <c r="DZ853" s="79"/>
      <c r="EA853" s="79"/>
      <c r="EB853" s="79"/>
      <c r="EC853" s="79"/>
      <c r="ED853" s="79" t="s">
        <v>5744</v>
      </c>
      <c r="EE853" s="79" t="str">
        <f t="shared" si="1143"/>
        <v>Por Completar</v>
      </c>
      <c r="EF853" s="41"/>
      <c r="EG853" s="79" t="s">
        <v>152</v>
      </c>
      <c r="EH853" s="71"/>
      <c r="EI853" s="80"/>
      <c r="EJ853" s="71"/>
      <c r="EK853" s="79"/>
      <c r="EL853" s="87" t="str">
        <f>IF(F853="NO","No requiere",IF(H853="No","No requiere",IF(DW853="","",IF(DW853&lt;&gt;"No aplica",IF(DX853&lt;&gt;"No aplica",IF(DX853&gt;=2,"Sí","No"),"No aplica"),"No aplica"))))</f>
        <v>No requiere</v>
      </c>
      <c r="EM853" s="87" t="str">
        <f>IF(F853="NO","No requiere",IF(H853="No","No requiere",IF(DW853="","",IF(DW853&lt;&gt;"No aplica",IF(DY853&lt;&gt;"No aplica",IF(DY853&gt;=1,"Sí","No"),"No aplica"),"No aplica"))))</f>
        <v>No requiere</v>
      </c>
      <c r="EN853" s="87" t="str">
        <f>IF(F853="NO","No requiere",IF(H853="No","No requiere",IF(CC853="","",IF(CD853&lt;&gt;"No aplica",IF(CD853&lt;&gt;"Ninguna",IF(COUNTIF(CD853:CF853,"*")&gt;=1,"Sí","No"),"No"),"No aplica"))))</f>
        <v>No requiere</v>
      </c>
      <c r="EO853" s="71"/>
      <c r="EP853" s="84" t="str">
        <f>IF(F853="NO","No requiere",IF(H853="No","No requiere",IF(DL853="","",IF(DL853&gt;=1,DM853/DL853,"No aplica"))))</f>
        <v>No requiere</v>
      </c>
      <c r="EQ853" s="88" t="str">
        <f>IFERROR(IF(F853="NO","No requiere",IF(H853="No","No requiere",DU853)),"")</f>
        <v>No requiere</v>
      </c>
      <c r="ER853" s="71"/>
      <c r="ES853" s="79"/>
      <c r="ET853" s="84" t="str">
        <f t="shared" si="1138"/>
        <v>No requiere</v>
      </c>
      <c r="EU853" s="84" t="str">
        <f t="shared" si="1139"/>
        <v>No requiere</v>
      </c>
      <c r="EV853" s="84" t="str">
        <f t="shared" si="1140"/>
        <v>No requiere</v>
      </c>
      <c r="EW853" s="84" t="str">
        <f t="shared" si="1141"/>
        <v>No requiere</v>
      </c>
      <c r="EX853" s="78"/>
      <c r="EY853" s="78"/>
    </row>
    <row r="854" spans="1:155" ht="57" customHeight="1">
      <c r="A854" s="79">
        <v>850</v>
      </c>
      <c r="B854" s="80" t="s">
        <v>5784</v>
      </c>
      <c r="C854" s="81">
        <v>45530</v>
      </c>
      <c r="D854" s="82">
        <v>0.70833333333333337</v>
      </c>
      <c r="E854" s="79" t="s">
        <v>200</v>
      </c>
      <c r="F854" s="79" t="s">
        <v>153</v>
      </c>
      <c r="G854" s="79" t="s">
        <v>152</v>
      </c>
      <c r="H854" s="79" t="s">
        <v>152</v>
      </c>
      <c r="I854" s="79" t="s">
        <v>152</v>
      </c>
      <c r="J854" s="79" t="s">
        <v>211</v>
      </c>
      <c r="K854" s="79" t="s">
        <v>202</v>
      </c>
      <c r="L854" s="80" t="s">
        <v>5821</v>
      </c>
      <c r="M854" s="80" t="s">
        <v>624</v>
      </c>
      <c r="N854" s="79" t="s">
        <v>328</v>
      </c>
      <c r="O854" s="80" t="str">
        <f t="shared" si="636"/>
        <v/>
      </c>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t="s">
        <v>304</v>
      </c>
      <c r="AP854" s="79"/>
      <c r="AQ854" s="80" t="s">
        <v>179</v>
      </c>
      <c r="AR854" s="83" t="s">
        <v>179</v>
      </c>
      <c r="AS854" s="80" t="s">
        <v>179</v>
      </c>
      <c r="AT854" s="80" t="str">
        <f>_xlfn.TEXTJOIN(", ",TRUE,$AU854:$AY854)</f>
        <v>Distrital</v>
      </c>
      <c r="AU854" s="79" t="s">
        <v>172</v>
      </c>
      <c r="AV854" s="79"/>
      <c r="AW854" s="79"/>
      <c r="AX854" s="79"/>
      <c r="AY854" s="79"/>
      <c r="AZ854" s="79"/>
      <c r="BA854" s="80" t="str">
        <f>_xlfn.TEXTJOIN(", ",TRUE,$BB854:$BG854)</f>
        <v>Distrital</v>
      </c>
      <c r="BB854" s="79" t="s">
        <v>172</v>
      </c>
      <c r="BC854" s="79"/>
      <c r="BD854" s="79"/>
      <c r="BE854" s="79"/>
      <c r="BF854" s="79"/>
      <c r="BG854" s="79"/>
      <c r="BH854" s="80" t="str">
        <f>_xlfn.TEXTJOIN(", ",TRUE,$BI854:$BR854)</f>
        <v>Distrital</v>
      </c>
      <c r="BI854" s="79" t="s">
        <v>172</v>
      </c>
      <c r="BJ854" s="79"/>
      <c r="BK854" s="79"/>
      <c r="BL854" s="79"/>
      <c r="BM854" s="79"/>
      <c r="BN854" s="79"/>
      <c r="BO854" s="79"/>
      <c r="BP854" s="79"/>
      <c r="BQ854" s="79"/>
      <c r="BR854" s="79"/>
      <c r="BS854" s="80" t="s">
        <v>288</v>
      </c>
      <c r="BT854" s="315" t="s">
        <v>174</v>
      </c>
      <c r="BU854" s="320" t="s">
        <v>3978</v>
      </c>
      <c r="BV854" s="71"/>
      <c r="BW854" s="79" t="s">
        <v>152</v>
      </c>
      <c r="BX854" s="79" t="s">
        <v>179</v>
      </c>
      <c r="BY854" s="71"/>
      <c r="BZ854" s="79">
        <v>10</v>
      </c>
      <c r="CA854" s="79">
        <v>1</v>
      </c>
      <c r="CB854" s="79">
        <f t="shared" si="1145"/>
        <v>11</v>
      </c>
      <c r="CC854" s="79" t="str">
        <f t="shared" si="1137"/>
        <v>Ninguna</v>
      </c>
      <c r="CD854" s="79" t="s">
        <v>174</v>
      </c>
      <c r="CE854" s="79"/>
      <c r="CF854" s="165"/>
      <c r="CG854" s="319" t="s">
        <v>5822</v>
      </c>
      <c r="CH854" s="41"/>
      <c r="CI854" s="79" t="s">
        <v>153</v>
      </c>
      <c r="CJ854" s="71"/>
      <c r="CK854" s="79">
        <v>0</v>
      </c>
      <c r="CL854" s="79"/>
      <c r="CM854" s="79"/>
      <c r="CN854" s="79"/>
      <c r="CO854" s="79"/>
      <c r="CP854" s="79"/>
      <c r="CQ854" s="79"/>
      <c r="CR854" s="83"/>
      <c r="CS854" s="83"/>
      <c r="CT854" s="83"/>
      <c r="CU854" s="83"/>
      <c r="CV854" s="83"/>
      <c r="CW854" s="83"/>
      <c r="CX854" s="79"/>
      <c r="CY854" s="79">
        <v>0</v>
      </c>
      <c r="CZ854" s="79">
        <v>0</v>
      </c>
      <c r="DA854" s="79">
        <v>0</v>
      </c>
      <c r="DB854" s="84" t="s">
        <v>316</v>
      </c>
      <c r="DC854" s="41"/>
      <c r="DD854" s="79"/>
      <c r="DE854" s="71"/>
      <c r="DF854" s="127" t="s">
        <v>5823</v>
      </c>
      <c r="DG854" s="79"/>
      <c r="DH854" s="86">
        <f>IF(EE854="Por completar",C854+3,"Completo")</f>
        <v>45533</v>
      </c>
      <c r="DI854" s="79" t="s">
        <v>1246</v>
      </c>
      <c r="DJ854" s="79" t="s">
        <v>2659</v>
      </c>
      <c r="DK854" s="79"/>
      <c r="DL854" s="79">
        <v>0</v>
      </c>
      <c r="DM854" s="79">
        <v>0</v>
      </c>
      <c r="DN854" s="79" t="s">
        <v>182</v>
      </c>
      <c r="DO854" s="79"/>
      <c r="DP854" s="79"/>
      <c r="DQ854" s="79"/>
      <c r="DR854" s="75" t="s">
        <v>179</v>
      </c>
      <c r="DS854" s="79"/>
      <c r="DT854" s="79"/>
      <c r="DU854" s="75" t="str">
        <f t="shared" si="1131"/>
        <v>No aplica</v>
      </c>
      <c r="DV854" s="79" t="s">
        <v>3407</v>
      </c>
      <c r="DW854" s="79" t="s">
        <v>182</v>
      </c>
      <c r="DX854" s="79"/>
      <c r="DY854" s="79"/>
      <c r="DZ854" s="79"/>
      <c r="EA854" s="79"/>
      <c r="EB854" s="79"/>
      <c r="EC854" s="79"/>
      <c r="ED854" s="79" t="s">
        <v>5744</v>
      </c>
      <c r="EE854" s="79" t="str">
        <f>IF(DI854="Subsanado","Completo","Por Completar")</f>
        <v>Por Completar</v>
      </c>
      <c r="EF854" s="41"/>
      <c r="EG854" s="79"/>
      <c r="EH854" s="71"/>
      <c r="EI854" s="80"/>
      <c r="EJ854" s="71"/>
      <c r="EK854" s="79"/>
      <c r="EL854" s="87" t="str">
        <f>IF(F854="NO","No requiere",IF(H854="No","No requiere",IF(DW854="","",IF(DW854&lt;&gt;"No aplica",IF(DX854&lt;&gt;"No aplica",IF(DX854&gt;=2,"Sí","No"),"No aplica"),"No aplica"))))</f>
        <v>No requiere</v>
      </c>
      <c r="EM854" s="87" t="str">
        <f>IF(F854="NO","No requiere",IF(H854="No","No requiere",IF(DW854="","",IF(DW854&lt;&gt;"No aplica",IF(DY854&lt;&gt;"No aplica",IF(DY854&gt;=1,"Sí","No"),"No aplica"),"No aplica"))))</f>
        <v>No requiere</v>
      </c>
      <c r="EN854" s="87" t="str">
        <f>IF(F854="NO","No requiere",IF(H854="No","No requiere",IF(CC854="","",IF(CD854&lt;&gt;"No aplica",IF(CD854&lt;&gt;"Ninguna",IF(COUNTIF(CD854:CF854,"*")&gt;=1,"Sí","No"),"No"),"No aplica"))))</f>
        <v>No requiere</v>
      </c>
      <c r="EO854" s="71"/>
      <c r="EP854" s="84" t="str">
        <f>IF(F854="NO","No requiere",IF(H854="No","No requiere",IF(DL854="","",IF(DL854&gt;=1,DM854/DL854,"No aplica"))))</f>
        <v>No requiere</v>
      </c>
      <c r="EQ854" s="88" t="str">
        <f>IFERROR(IF(F854="NO","No requiere",IF(H854="No","No requiere",DU854)),"")</f>
        <v>No requiere</v>
      </c>
      <c r="ER854" s="71"/>
      <c r="ES854" s="79"/>
      <c r="ET854" s="84" t="str">
        <f t="shared" si="1138"/>
        <v>No requiere</v>
      </c>
      <c r="EU854" s="84" t="str">
        <f t="shared" si="1139"/>
        <v>No requiere</v>
      </c>
      <c r="EV854" s="84" t="str">
        <f t="shared" si="1140"/>
        <v>No requiere</v>
      </c>
      <c r="EW854" s="84" t="str">
        <f t="shared" si="1141"/>
        <v>No requiere</v>
      </c>
      <c r="EX854" s="78"/>
      <c r="EY854" s="78"/>
    </row>
    <row r="855" spans="1:155" ht="57" customHeight="1">
      <c r="A855" s="79">
        <v>851</v>
      </c>
      <c r="B855" s="80" t="s">
        <v>3490</v>
      </c>
      <c r="C855" s="81">
        <v>45531</v>
      </c>
      <c r="D855" s="82">
        <v>0.4375</v>
      </c>
      <c r="E855" s="79" t="s">
        <v>200</v>
      </c>
      <c r="F855" s="79" t="s">
        <v>153</v>
      </c>
      <c r="G855" s="79" t="s">
        <v>152</v>
      </c>
      <c r="H855" s="79" t="s">
        <v>152</v>
      </c>
      <c r="I855" s="79" t="s">
        <v>152</v>
      </c>
      <c r="J855" s="79" t="s">
        <v>504</v>
      </c>
      <c r="K855" s="79" t="s">
        <v>155</v>
      </c>
      <c r="L855" s="80" t="s">
        <v>5824</v>
      </c>
      <c r="M855" s="80" t="s">
        <v>624</v>
      </c>
      <c r="N855" s="79" t="s">
        <v>5825</v>
      </c>
      <c r="O855" s="80" t="str">
        <f>_xlfn.TEXTJOIN(", ",TRUE,P855:AN855)</f>
        <v/>
      </c>
      <c r="P855" s="79"/>
      <c r="Q855" s="79"/>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t="s">
        <v>169</v>
      </c>
      <c r="AP855" s="79" t="s">
        <v>2702</v>
      </c>
      <c r="AQ855" s="80" t="s">
        <v>750</v>
      </c>
      <c r="AR855" s="83" t="s">
        <v>4698</v>
      </c>
      <c r="AS855" s="80" t="s">
        <v>5826</v>
      </c>
      <c r="AT855" s="80" t="str">
        <f>_xlfn.TEXTJOIN(", ",TRUE,$AU855:$AY855)</f>
        <v>Los Mártires</v>
      </c>
      <c r="AU855" s="79" t="s">
        <v>823</v>
      </c>
      <c r="AV855" s="79"/>
      <c r="AW855" s="79"/>
      <c r="AX855" s="79"/>
      <c r="AY855" s="79"/>
      <c r="AZ855" s="79"/>
      <c r="BA855" s="80" t="str">
        <f>_xlfn.TEXTJOIN(", ",TRUE,$BB855:$BG855)</f>
        <v>Centro Ampliado</v>
      </c>
      <c r="BB855" s="79" t="s">
        <v>636</v>
      </c>
      <c r="BC855" s="79"/>
      <c r="BD855" s="79"/>
      <c r="BE855" s="79"/>
      <c r="BF855" s="79"/>
      <c r="BG855" s="79"/>
      <c r="BH855" s="80" t="str">
        <f>_xlfn.TEXTJOIN(", ",TRUE,$BI855:$BR855)</f>
        <v>Centro Histórico</v>
      </c>
      <c r="BI855" s="79" t="s">
        <v>754</v>
      </c>
      <c r="BJ855" s="79"/>
      <c r="BK855" s="79"/>
      <c r="BL855" s="79"/>
      <c r="BM855" s="79"/>
      <c r="BN855" s="79"/>
      <c r="BO855" s="79"/>
      <c r="BP855" s="79"/>
      <c r="BQ855" s="79"/>
      <c r="BR855" s="79"/>
      <c r="BS855" s="80" t="s">
        <v>5827</v>
      </c>
      <c r="BT855" s="315" t="s">
        <v>171</v>
      </c>
      <c r="BU855" s="316" t="s">
        <v>5828</v>
      </c>
      <c r="BV855" s="71"/>
      <c r="BW855" s="79" t="s">
        <v>152</v>
      </c>
      <c r="BX855" s="79" t="s">
        <v>179</v>
      </c>
      <c r="BY855" s="71"/>
      <c r="BZ855" s="79">
        <v>18</v>
      </c>
      <c r="CA855" s="79">
        <v>1</v>
      </c>
      <c r="CB855" s="79">
        <f t="shared" si="1145"/>
        <v>19</v>
      </c>
      <c r="CC855" s="79" t="str">
        <f t="shared" si="1137"/>
        <v>Ninguna</v>
      </c>
      <c r="CD855" s="79" t="s">
        <v>174</v>
      </c>
      <c r="CE855" s="79"/>
      <c r="CF855" s="79"/>
      <c r="CG855" s="83" t="s">
        <v>5829</v>
      </c>
      <c r="CH855" s="41"/>
      <c r="CI855" s="79" t="s">
        <v>153</v>
      </c>
      <c r="CJ855" s="71"/>
      <c r="CK855" s="79">
        <v>0</v>
      </c>
      <c r="CL855" s="79"/>
      <c r="CM855" s="79"/>
      <c r="CN855" s="79"/>
      <c r="CO855" s="79"/>
      <c r="CP855" s="79"/>
      <c r="CQ855" s="79"/>
      <c r="CR855" s="83" t="s">
        <v>179</v>
      </c>
      <c r="CS855" s="83" t="s">
        <v>179</v>
      </c>
      <c r="CT855" s="83" t="s">
        <v>179</v>
      </c>
      <c r="CU855" s="83" t="s">
        <v>179</v>
      </c>
      <c r="CV855" s="83" t="s">
        <v>179</v>
      </c>
      <c r="CW855" s="83" t="s">
        <v>179</v>
      </c>
      <c r="CX855" s="79" t="s">
        <v>153</v>
      </c>
      <c r="CY855" s="79">
        <v>0</v>
      </c>
      <c r="CZ855" s="79">
        <v>0</v>
      </c>
      <c r="DA855" s="79">
        <v>0</v>
      </c>
      <c r="DB855" s="84" t="s">
        <v>316</v>
      </c>
      <c r="DC855" s="41"/>
      <c r="DD855" s="79" t="s">
        <v>153</v>
      </c>
      <c r="DE855" s="71"/>
      <c r="DF855" s="127" t="s">
        <v>5830</v>
      </c>
      <c r="DG855" s="79"/>
      <c r="DH855" s="86" t="str">
        <f>IF(EE855="Por completar",C855+3,"Completo")</f>
        <v>Completo</v>
      </c>
      <c r="DI855" s="79" t="s">
        <v>181</v>
      </c>
      <c r="DJ855" s="79" t="s">
        <v>182</v>
      </c>
      <c r="DK855" s="79"/>
      <c r="DL855" s="79">
        <v>0</v>
      </c>
      <c r="DM855" s="79">
        <v>0</v>
      </c>
      <c r="DN855" s="79" t="s">
        <v>182</v>
      </c>
      <c r="DO855" s="79"/>
      <c r="DP855" s="79"/>
      <c r="DQ855" s="79"/>
      <c r="DR855" s="75" t="str">
        <f>IF(H855="SÍ", (DQ855/(BZ855*0.3)), "No aplica")</f>
        <v>No aplica</v>
      </c>
      <c r="DS855" s="79"/>
      <c r="DT855" s="79"/>
      <c r="DU855" s="75" t="str">
        <f t="shared" si="1131"/>
        <v>No aplica</v>
      </c>
      <c r="DV855" s="79" t="s">
        <v>182</v>
      </c>
      <c r="DW855" s="79" t="s">
        <v>182</v>
      </c>
      <c r="DX855" s="79"/>
      <c r="DY855" s="79"/>
      <c r="DZ855" s="79"/>
      <c r="EA855" s="79"/>
      <c r="EB855" s="79" t="s">
        <v>182</v>
      </c>
      <c r="EC855" s="79" t="s">
        <v>5831</v>
      </c>
      <c r="ED855" s="79" t="s">
        <v>3866</v>
      </c>
      <c r="EE855" s="79" t="str">
        <f t="shared" si="1143"/>
        <v>Completo</v>
      </c>
      <c r="EF855" s="41"/>
      <c r="EG855" s="79" t="s">
        <v>153</v>
      </c>
      <c r="EH855" s="71"/>
      <c r="EI855" s="80"/>
      <c r="EJ855" s="71"/>
      <c r="EK855" s="79"/>
      <c r="EL855" s="87" t="str">
        <f>IF(F855="NO","No requiere",IF(H855="No","No requiere",IF(DW855="","",IF(DW855&lt;&gt;"No aplica",IF(DX855&lt;&gt;"No aplica",IF(DX855&gt;=2,"Sí","No"),"No aplica"),"No aplica"))))</f>
        <v>No requiere</v>
      </c>
      <c r="EM855" s="87" t="str">
        <f>IF(F855="NO","No requiere",IF(H855="No","No requiere",IF(DW855="","",IF(DW855&lt;&gt;"No aplica",IF(DY855&lt;&gt;"No aplica",IF(DY855&gt;=1,"Sí","No"),"No aplica"),"No aplica"))))</f>
        <v>No requiere</v>
      </c>
      <c r="EN855" s="87" t="str">
        <f>IF(F855="NO","No requiere",IF(H855="No","No requiere",IF(CC855="","",IF(CD855&lt;&gt;"No aplica",IF(CD855&lt;&gt;"Ninguna",IF(COUNTIF(CD855:CF855,"*")&gt;=1,"Sí","No"),"No"),"No aplica"))))</f>
        <v>No requiere</v>
      </c>
      <c r="EO855" s="71"/>
      <c r="EP855" s="84" t="str">
        <f>IF(F855="NO","No requiere",IF(H855="No","No requiere",IF(DL855="","",IF(DL855&gt;=1,DM855/DL855,"No aplica"))))</f>
        <v>No requiere</v>
      </c>
      <c r="EQ855" s="88" t="str">
        <f>IFERROR(IF(F855="NO","No requiere",IF(H855="No","No requiere",DU855)),"")</f>
        <v>No requiere</v>
      </c>
      <c r="ER855" s="71"/>
      <c r="ES855" s="79"/>
      <c r="ET855" s="84" t="str">
        <f t="shared" si="1138"/>
        <v>No requiere</v>
      </c>
      <c r="EU855" s="84" t="str">
        <f t="shared" si="1139"/>
        <v>No requiere</v>
      </c>
      <c r="EV855" s="84" t="str">
        <f t="shared" si="1140"/>
        <v>No requiere</v>
      </c>
      <c r="EW855" s="84" t="str">
        <f t="shared" si="1141"/>
        <v>No requiere</v>
      </c>
      <c r="EX855" s="78"/>
      <c r="EY855" s="78"/>
    </row>
    <row r="856" spans="1:155" ht="57" customHeight="1">
      <c r="A856" s="79">
        <v>852</v>
      </c>
      <c r="B856" s="80" t="s">
        <v>5832</v>
      </c>
      <c r="C856" s="81">
        <v>45531</v>
      </c>
      <c r="D856" s="82">
        <v>0.58333333333333337</v>
      </c>
      <c r="E856" s="79" t="s">
        <v>151</v>
      </c>
      <c r="F856" s="79" t="s">
        <v>153</v>
      </c>
      <c r="G856" s="79" t="s">
        <v>152</v>
      </c>
      <c r="H856" s="79" t="s">
        <v>153</v>
      </c>
      <c r="I856" s="79" t="s">
        <v>152</v>
      </c>
      <c r="J856" s="79" t="s">
        <v>154</v>
      </c>
      <c r="K856" s="79" t="s">
        <v>202</v>
      </c>
      <c r="L856" s="80" t="s">
        <v>5833</v>
      </c>
      <c r="M856" s="80" t="s">
        <v>241</v>
      </c>
      <c r="N856" s="79" t="s">
        <v>5834</v>
      </c>
      <c r="O856" s="80" t="str">
        <f t="shared" si="636"/>
        <v/>
      </c>
      <c r="P856" s="79"/>
      <c r="Q856" s="79"/>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t="s">
        <v>304</v>
      </c>
      <c r="AP856" s="79"/>
      <c r="AQ856" s="80" t="s">
        <v>5835</v>
      </c>
      <c r="AR856" s="83" t="s">
        <v>5836</v>
      </c>
      <c r="AS856" s="80" t="s">
        <v>537</v>
      </c>
      <c r="AT856" s="80" t="str">
        <f>_xlfn.TEXTJOIN(", ",TRUE,$AU856:$AY856)</f>
        <v>Distrital</v>
      </c>
      <c r="AU856" s="79" t="s">
        <v>172</v>
      </c>
      <c r="AV856" s="79"/>
      <c r="AW856" s="79"/>
      <c r="AX856" s="79"/>
      <c r="AY856" s="79"/>
      <c r="AZ856" s="79"/>
      <c r="BA856" s="80" t="str">
        <f>_xlfn.TEXTJOIN(", ",TRUE,$BB856:$BG856)</f>
        <v>Distrital</v>
      </c>
      <c r="BB856" s="79" t="s">
        <v>172</v>
      </c>
      <c r="BC856" s="79"/>
      <c r="BD856" s="79"/>
      <c r="BE856" s="79"/>
      <c r="BF856" s="79"/>
      <c r="BG856" s="79"/>
      <c r="BH856" s="80" t="str">
        <f>_xlfn.TEXTJOIN(", ",TRUE,$BI856:$BR856)</f>
        <v>Distrital</v>
      </c>
      <c r="BI856" s="79" t="s">
        <v>172</v>
      </c>
      <c r="BJ856" s="79"/>
      <c r="BK856" s="79"/>
      <c r="BL856" s="79"/>
      <c r="BM856" s="79"/>
      <c r="BN856" s="79"/>
      <c r="BO856" s="79"/>
      <c r="BP856" s="79"/>
      <c r="BQ856" s="79"/>
      <c r="BR856" s="79"/>
      <c r="BS856" s="80" t="s">
        <v>171</v>
      </c>
      <c r="BT856" s="315" t="s">
        <v>479</v>
      </c>
      <c r="BU856" s="320" t="s">
        <v>3978</v>
      </c>
      <c r="BV856" s="71"/>
      <c r="BW856" s="79" t="s">
        <v>153</v>
      </c>
      <c r="BX856" s="79" t="s">
        <v>4242</v>
      </c>
      <c r="BY856" s="71"/>
      <c r="BZ856" s="79">
        <v>7</v>
      </c>
      <c r="CA856" s="79">
        <v>3</v>
      </c>
      <c r="CB856" s="79">
        <f>BZ856+CA856</f>
        <v>10</v>
      </c>
      <c r="CC856" s="79"/>
      <c r="CD856" s="79" t="s">
        <v>351</v>
      </c>
      <c r="CE856" s="79"/>
      <c r="CF856" s="165"/>
      <c r="CG856" s="319" t="s">
        <v>5837</v>
      </c>
      <c r="CH856" s="41"/>
      <c r="CI856" s="79" t="s">
        <v>153</v>
      </c>
      <c r="CJ856" s="71"/>
      <c r="CK856" s="79"/>
      <c r="CL856" s="79"/>
      <c r="CM856" s="79"/>
      <c r="CN856" s="79"/>
      <c r="CO856" s="79"/>
      <c r="CP856" s="79"/>
      <c r="CQ856" s="79"/>
      <c r="CR856" s="83" t="s">
        <v>179</v>
      </c>
      <c r="CS856" s="83" t="s">
        <v>179</v>
      </c>
      <c r="CT856" s="83" t="s">
        <v>179</v>
      </c>
      <c r="CU856" s="83" t="s">
        <v>179</v>
      </c>
      <c r="CV856" s="83" t="s">
        <v>179</v>
      </c>
      <c r="CW856" s="83" t="s">
        <v>179</v>
      </c>
      <c r="CX856" s="79" t="s">
        <v>153</v>
      </c>
      <c r="CY856" s="79"/>
      <c r="CZ856" s="79"/>
      <c r="DA856" s="79"/>
      <c r="DB856" s="84"/>
      <c r="DC856" s="41"/>
      <c r="DD856" s="79" t="s">
        <v>153</v>
      </c>
      <c r="DE856" s="71"/>
      <c r="DF856" s="127" t="s">
        <v>5838</v>
      </c>
      <c r="DG856" s="79"/>
      <c r="DH856" s="86" t="str">
        <f>IF(EE856="Por completar",C856+3,"Completo")</f>
        <v>Completo</v>
      </c>
      <c r="DI856" s="79" t="s">
        <v>181</v>
      </c>
      <c r="DJ856" s="79" t="s">
        <v>182</v>
      </c>
      <c r="DK856" s="79"/>
      <c r="DL856" s="79"/>
      <c r="DM856" s="79"/>
      <c r="DN856" s="79" t="s">
        <v>182</v>
      </c>
      <c r="DO856" s="79"/>
      <c r="DP856" s="79"/>
      <c r="DQ856" s="79"/>
      <c r="DR856" s="75"/>
      <c r="DS856" s="79"/>
      <c r="DT856" s="79"/>
      <c r="DU856" s="75">
        <f t="shared" si="1131"/>
        <v>0</v>
      </c>
      <c r="DV856" s="79" t="s">
        <v>182</v>
      </c>
      <c r="DW856" s="79" t="s">
        <v>182</v>
      </c>
      <c r="DX856" s="79"/>
      <c r="DY856" s="79"/>
      <c r="DZ856" s="79"/>
      <c r="EA856" s="79"/>
      <c r="EB856" s="79" t="s">
        <v>182</v>
      </c>
      <c r="EC856" s="79" t="s">
        <v>5839</v>
      </c>
      <c r="ED856" s="79" t="s">
        <v>3866</v>
      </c>
      <c r="EE856" s="79" t="str">
        <f t="shared" si="1143"/>
        <v>Completo</v>
      </c>
      <c r="EF856" s="41"/>
      <c r="EG856" s="79" t="s">
        <v>153</v>
      </c>
      <c r="EH856" s="71"/>
      <c r="EI856" s="80"/>
      <c r="EJ856" s="71"/>
      <c r="EK856" s="79"/>
      <c r="EL856" s="87" t="str">
        <f>IF(F856="NO","No requiere",IF(H856="No","No requiere",IF(DW856="","",IF(DW856&lt;&gt;"No aplica",IF(DX856&lt;&gt;"No aplica",IF(DX856&gt;=2,"Sí","No"),"No aplica"),"No aplica"))))</f>
        <v>No</v>
      </c>
      <c r="EM856" s="87" t="str">
        <f>IF(F856="NO","No requiere",IF(H856="No","No requiere",IF(DW856="","",IF(DW856&lt;&gt;"No aplica",IF(DY856&lt;&gt;"No aplica",IF(DY856&gt;=1,"Sí","No"),"No aplica"),"No aplica"))))</f>
        <v>No</v>
      </c>
      <c r="EN856" s="87" t="str">
        <f>IF(F856="NO","No requiere",IF(H856="No","No requiere",IF(CC856="","",IF(CD856&lt;&gt;"No aplica",IF(CD856&lt;&gt;"Ninguna",IF(COUNTIF(CD856:CF856,"*")&gt;=1,"Sí","No"),"No"),"No aplica"))))</f>
        <v/>
      </c>
      <c r="EO856" s="71"/>
      <c r="EP856" s="84" t="str">
        <f>IF(F856="NO","No requiere",IF(H856="No","No requiere",IF(DL856="","",IF(DL856&gt;=1,DM856/DL856,"No aplica"))))</f>
        <v/>
      </c>
      <c r="EQ856" s="88">
        <f>IFERROR(IF(F856="NO","No requiere",IF(H856="No","No requiere",DU856)),"")</f>
        <v>0</v>
      </c>
      <c r="ER856" s="71"/>
      <c r="ES856" s="79"/>
      <c r="ET856" s="84">
        <f t="shared" si="1138"/>
        <v>1</v>
      </c>
      <c r="EU856" s="84" t="str">
        <f t="shared" si="1139"/>
        <v>Sin compromisos</v>
      </c>
      <c r="EV856" s="84" t="str">
        <f t="shared" si="1140"/>
        <v>No aplica</v>
      </c>
      <c r="EW856" s="84" t="str">
        <f t="shared" si="1141"/>
        <v>0%</v>
      </c>
      <c r="EX856" s="78"/>
      <c r="EY856" s="78"/>
    </row>
    <row r="857" spans="1:155" ht="57" customHeight="1">
      <c r="A857" s="79">
        <v>853</v>
      </c>
      <c r="B857" s="80" t="s">
        <v>5840</v>
      </c>
      <c r="C857" s="81">
        <v>45531</v>
      </c>
      <c r="D857" s="82">
        <v>0.66666666666666663</v>
      </c>
      <c r="E857" s="79" t="s">
        <v>200</v>
      </c>
      <c r="F857" s="79" t="s">
        <v>153</v>
      </c>
      <c r="G857" s="79" t="s">
        <v>152</v>
      </c>
      <c r="H857" s="79" t="s">
        <v>152</v>
      </c>
      <c r="I857" s="79" t="s">
        <v>152</v>
      </c>
      <c r="J857" s="79" t="s">
        <v>211</v>
      </c>
      <c r="K857" s="79" t="s">
        <v>202</v>
      </c>
      <c r="L857" s="80" t="s">
        <v>5841</v>
      </c>
      <c r="M857" s="80" t="s">
        <v>624</v>
      </c>
      <c r="N857" s="79" t="s">
        <v>328</v>
      </c>
      <c r="O857" s="80" t="str">
        <f t="shared" si="636"/>
        <v>Diana Carolina Aristizábal</v>
      </c>
      <c r="P857" s="79" t="s">
        <v>165</v>
      </c>
      <c r="Q857" s="79"/>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t="s">
        <v>304</v>
      </c>
      <c r="AP857" s="79"/>
      <c r="AQ857" s="80" t="s">
        <v>5842</v>
      </c>
      <c r="AR857" s="83" t="s">
        <v>4456</v>
      </c>
      <c r="AS857" s="80" t="s">
        <v>682</v>
      </c>
      <c r="AT857" s="80" t="str">
        <f t="shared" ref="AT857:AT880" si="1146">_xlfn.TEXTJOIN(", ",TRUE,$AU857:$AY857)</f>
        <v>Distrital</v>
      </c>
      <c r="AU857" s="79" t="s">
        <v>172</v>
      </c>
      <c r="AV857" s="79"/>
      <c r="AW857" s="79"/>
      <c r="AX857" s="79"/>
      <c r="AY857" s="79"/>
      <c r="AZ857" s="79"/>
      <c r="BA857" s="80" t="str">
        <f t="shared" ref="BA857:BA880" si="1147">_xlfn.TEXTJOIN(", ",TRUE,$BB857:$BG857)</f>
        <v>Distrital</v>
      </c>
      <c r="BB857" s="79" t="s">
        <v>172</v>
      </c>
      <c r="BC857" s="79"/>
      <c r="BD857" s="79"/>
      <c r="BE857" s="79"/>
      <c r="BF857" s="79"/>
      <c r="BG857" s="79"/>
      <c r="BH857" s="80" t="str">
        <f t="shared" ref="BH857:BH880" si="1148">_xlfn.TEXTJOIN(", ",TRUE,$BI857:$BR857)</f>
        <v>Distrital</v>
      </c>
      <c r="BI857" s="79" t="s">
        <v>172</v>
      </c>
      <c r="BJ857" s="79"/>
      <c r="BK857" s="79"/>
      <c r="BL857" s="79"/>
      <c r="BM857" s="79"/>
      <c r="BN857" s="79"/>
      <c r="BO857" s="79"/>
      <c r="BP857" s="79"/>
      <c r="BQ857" s="79"/>
      <c r="BR857" s="79"/>
      <c r="BS857" s="80" t="s">
        <v>179</v>
      </c>
      <c r="BT857" s="315" t="s">
        <v>179</v>
      </c>
      <c r="BU857" s="322" t="s">
        <v>3978</v>
      </c>
      <c r="BV857" s="71"/>
      <c r="BW857" s="79" t="s">
        <v>152</v>
      </c>
      <c r="BX857" s="79" t="s">
        <v>179</v>
      </c>
      <c r="BY857" s="71"/>
      <c r="BZ857" s="79">
        <v>28</v>
      </c>
      <c r="CA857" s="79">
        <v>2</v>
      </c>
      <c r="CB857" s="79">
        <f t="shared" ref="CB857:CB880" si="1149">BZ857+CA857</f>
        <v>30</v>
      </c>
      <c r="CC857" s="79" t="str">
        <f t="shared" si="1137"/>
        <v>Ninguna</v>
      </c>
      <c r="CD857" s="79" t="s">
        <v>174</v>
      </c>
      <c r="CE857" s="79"/>
      <c r="CF857" s="165"/>
      <c r="CG857" s="318" t="s">
        <v>5843</v>
      </c>
      <c r="CH857" s="41"/>
      <c r="CI857" s="79" t="s">
        <v>153</v>
      </c>
      <c r="CJ857" s="71"/>
      <c r="CK857" s="79">
        <v>0</v>
      </c>
      <c r="CL857" s="79"/>
      <c r="CM857" s="79"/>
      <c r="CN857" s="79"/>
      <c r="CO857" s="79"/>
      <c r="CP857" s="79"/>
      <c r="CQ857" s="79"/>
      <c r="CR857" s="83"/>
      <c r="CS857" s="83"/>
      <c r="CT857" s="83"/>
      <c r="CU857" s="83"/>
      <c r="CV857" s="83"/>
      <c r="CW857" s="83"/>
      <c r="CX857" s="79"/>
      <c r="CY857" s="79">
        <v>0</v>
      </c>
      <c r="CZ857" s="79">
        <v>0</v>
      </c>
      <c r="DA857" s="79">
        <v>0</v>
      </c>
      <c r="DB857" s="84" t="s">
        <v>316</v>
      </c>
      <c r="DC857" s="41"/>
      <c r="DD857" s="79"/>
      <c r="DE857" s="71"/>
      <c r="DF857" s="127" t="s">
        <v>5844</v>
      </c>
      <c r="DG857" s="79"/>
      <c r="DH857" s="86">
        <f t="shared" ref="DH857:DH880" si="1150">IF(EE857="Por completar",C857+3,"Completo")</f>
        <v>45534</v>
      </c>
      <c r="DI857" s="79" t="s">
        <v>1246</v>
      </c>
      <c r="DJ857" s="79" t="s">
        <v>2659</v>
      </c>
      <c r="DK857" s="79"/>
      <c r="DL857" s="79">
        <v>0</v>
      </c>
      <c r="DM857" s="79">
        <v>0</v>
      </c>
      <c r="DN857" s="79" t="s">
        <v>182</v>
      </c>
      <c r="DO857" s="79"/>
      <c r="DP857" s="79"/>
      <c r="DQ857" s="79"/>
      <c r="DR857" s="75" t="s">
        <v>179</v>
      </c>
      <c r="DS857" s="79"/>
      <c r="DT857" s="79"/>
      <c r="DU857" s="75" t="str">
        <f t="shared" si="1131"/>
        <v>No aplica</v>
      </c>
      <c r="DV857" s="79" t="s">
        <v>182</v>
      </c>
      <c r="DW857" s="79" t="s">
        <v>182</v>
      </c>
      <c r="DX857" s="79"/>
      <c r="DY857" s="79">
        <v>1</v>
      </c>
      <c r="DZ857" s="79"/>
      <c r="EA857" s="79"/>
      <c r="EB857" s="79"/>
      <c r="EC857" s="79"/>
      <c r="ED857" s="79" t="s">
        <v>5503</v>
      </c>
      <c r="EE857" s="79" t="str">
        <f t="shared" si="1143"/>
        <v>Por Completar</v>
      </c>
      <c r="EF857" s="41"/>
      <c r="EG857" s="79" t="s">
        <v>152</v>
      </c>
      <c r="EH857" s="71"/>
      <c r="EI857" s="80"/>
      <c r="EJ857" s="71"/>
      <c r="EK857" s="79"/>
      <c r="EL857" s="87" t="str">
        <f>IF(F857="NO","No requiere",IF(H857="No","No requiere",IF(DW857="","",IF(DW857&lt;&gt;"No aplica",IF(DX857&lt;&gt;"No aplica",IF(DX857&gt;=2,"Sí","No"),"No aplica"),"No aplica"))))</f>
        <v>No requiere</v>
      </c>
      <c r="EM857" s="87" t="str">
        <f>IF(F857="NO","No requiere",IF(H857="No","No requiere",IF(DW857="","",IF(DW857&lt;&gt;"No aplica",IF(DY857&lt;&gt;"No aplica",IF(DY857&gt;=1,"Sí","No"),"No aplica"),"No aplica"))))</f>
        <v>No requiere</v>
      </c>
      <c r="EN857" s="87" t="str">
        <f>IF(F857="NO","No requiere",IF(H857="No","No requiere",IF(CC857="","",IF(CD857&lt;&gt;"No aplica",IF(CD857&lt;&gt;"Ninguna",IF(COUNTIF(CD857:CF857,"*")&gt;=1,"Sí","No"),"No"),"No aplica"))))</f>
        <v>No requiere</v>
      </c>
      <c r="EO857" s="71"/>
      <c r="EP857" s="84" t="str">
        <f>IF(F857="NO","No requiere",IF(H857="No","No requiere",IF(DL857="","",IF(DL857&gt;=1,DM857/DL857,"No aplica"))))</f>
        <v>No requiere</v>
      </c>
      <c r="EQ857" s="88" t="str">
        <f>IFERROR(IF(F857="NO","No requiere",IF(H857="No","No requiere",DU857)),"")</f>
        <v>No requiere</v>
      </c>
      <c r="ER857" s="71"/>
      <c r="ES857" s="79"/>
      <c r="ET857" s="84" t="str">
        <f>IF(F857="NO","No requiere",IF(H857="No","No requiere",IFERROR(COUNTIF(DJ857:DW857,"Completo")/SUM(COUNTIF(DJ857:DW857,"Completo"),COUNTIF(DJ857:DW857,"Incompleto"),COUNTIF(DJ857:DW857,"No subido"),COUNTIF(DJ857:DW857,"No existente"),COUNTIF(DJ857:DW857,"Pendiente")),"")))</f>
        <v>No requiere</v>
      </c>
      <c r="EU857" s="84" t="str">
        <f>IF(F857="NO","No requiere",IF(H857="No","No requiere",IF(B857="","",IF(CX857="SÍ",IF(CK857&gt;=1,CY857/CK857,"Sin compromisos"),"Por verificar"))))</f>
        <v>No requiere</v>
      </c>
      <c r="EV857" s="84" t="str">
        <f>IF(EU857="Por verificar","Por verificar",IF(F857="NO","No requiere",IF(H857="No","No requiere",IFERROR(IF(EU857="","",IF(CK857&gt;=1,DA857/CZ857,"No aplica")),"No aplica"))))</f>
        <v>No requiere</v>
      </c>
      <c r="EW857" s="84" t="str">
        <f>IF(F857="NO","No requiere",IF(H857="No","No requiere",IFERROR(IF(BZ857="","",IF(EA857&lt;&gt;"No aplica",IF(EA857&gt;=1,DO857/EA857,"0%"),"No aplica")),"")))</f>
        <v>No requiere</v>
      </c>
      <c r="EX857" s="78"/>
      <c r="EY857" s="78"/>
    </row>
    <row r="858" spans="1:155" ht="57" customHeight="1">
      <c r="A858" s="79">
        <v>854</v>
      </c>
      <c r="B858" s="80" t="s">
        <v>4735</v>
      </c>
      <c r="C858" s="81">
        <v>45531</v>
      </c>
      <c r="D858" s="82">
        <v>0.75</v>
      </c>
      <c r="E858" s="79" t="s">
        <v>200</v>
      </c>
      <c r="F858" s="79" t="s">
        <v>153</v>
      </c>
      <c r="G858" s="79" t="s">
        <v>152</v>
      </c>
      <c r="H858" s="79" t="s">
        <v>152</v>
      </c>
      <c r="I858" s="79" t="s">
        <v>152</v>
      </c>
      <c r="J858" s="79" t="s">
        <v>211</v>
      </c>
      <c r="K858" s="79" t="s">
        <v>202</v>
      </c>
      <c r="L858" s="80" t="s">
        <v>5845</v>
      </c>
      <c r="M858" s="80" t="s">
        <v>624</v>
      </c>
      <c r="N858" s="79" t="s">
        <v>328</v>
      </c>
      <c r="O858" s="80" t="str">
        <f t="shared" si="636"/>
        <v xml:space="preserve">Julián Camilo Taylor </v>
      </c>
      <c r="P858" s="79" t="s">
        <v>5846</v>
      </c>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t="s">
        <v>304</v>
      </c>
      <c r="AP858" s="79"/>
      <c r="AQ858" s="80" t="s">
        <v>5847</v>
      </c>
      <c r="AR858" s="83" t="s">
        <v>4297</v>
      </c>
      <c r="AS858" s="80" t="s">
        <v>4298</v>
      </c>
      <c r="AT858" s="80" t="str">
        <f t="shared" si="1146"/>
        <v>Distrital</v>
      </c>
      <c r="AU858" s="79" t="s">
        <v>172</v>
      </c>
      <c r="AV858" s="79"/>
      <c r="AW858" s="79"/>
      <c r="AX858" s="79"/>
      <c r="AY858" s="79"/>
      <c r="AZ858" s="79"/>
      <c r="BA858" s="80" t="str">
        <f t="shared" si="1147"/>
        <v>Distrital</v>
      </c>
      <c r="BB858" s="79" t="s">
        <v>172</v>
      </c>
      <c r="BC858" s="79"/>
      <c r="BD858" s="79"/>
      <c r="BE858" s="79"/>
      <c r="BF858" s="79"/>
      <c r="BG858" s="79"/>
      <c r="BH858" s="80" t="str">
        <f t="shared" si="1148"/>
        <v>Distrital</v>
      </c>
      <c r="BI858" s="79" t="s">
        <v>172</v>
      </c>
      <c r="BJ858" s="79"/>
      <c r="BK858" s="79"/>
      <c r="BL858" s="79"/>
      <c r="BM858" s="79"/>
      <c r="BN858" s="79"/>
      <c r="BO858" s="79"/>
      <c r="BP858" s="79"/>
      <c r="BQ858" s="79"/>
      <c r="BR858" s="79"/>
      <c r="BS858" s="80" t="s">
        <v>179</v>
      </c>
      <c r="BT858" s="315" t="s">
        <v>179</v>
      </c>
      <c r="BU858" s="320" t="s">
        <v>3978</v>
      </c>
      <c r="BV858" s="71"/>
      <c r="BW858" s="79" t="s">
        <v>152</v>
      </c>
      <c r="BX858" s="79" t="s">
        <v>179</v>
      </c>
      <c r="BY858" s="71"/>
      <c r="BZ858" s="79">
        <v>11</v>
      </c>
      <c r="CA858" s="79">
        <v>1</v>
      </c>
      <c r="CB858" s="79">
        <f t="shared" si="1149"/>
        <v>12</v>
      </c>
      <c r="CC858" s="79" t="str">
        <f t="shared" si="1137"/>
        <v>Ninguna</v>
      </c>
      <c r="CD858" s="79" t="s">
        <v>174</v>
      </c>
      <c r="CE858" s="79"/>
      <c r="CF858" s="165"/>
      <c r="CG858" s="319" t="s">
        <v>5848</v>
      </c>
      <c r="CH858" s="41"/>
      <c r="CI858" s="79" t="s">
        <v>153</v>
      </c>
      <c r="CJ858" s="71"/>
      <c r="CK858" s="79">
        <v>0</v>
      </c>
      <c r="CL858" s="79"/>
      <c r="CM858" s="79"/>
      <c r="CN858" s="79"/>
      <c r="CO858" s="79"/>
      <c r="CP858" s="79"/>
      <c r="CQ858" s="79"/>
      <c r="CR858" s="83"/>
      <c r="CS858" s="83"/>
      <c r="CT858" s="83"/>
      <c r="CU858" s="83"/>
      <c r="CV858" s="83"/>
      <c r="CW858" s="83"/>
      <c r="CX858" s="79"/>
      <c r="CY858" s="79">
        <v>0</v>
      </c>
      <c r="CZ858" s="79">
        <v>0</v>
      </c>
      <c r="DA858" s="79">
        <v>0</v>
      </c>
      <c r="DB858" s="84" t="s">
        <v>316</v>
      </c>
      <c r="DC858" s="41"/>
      <c r="DD858" s="79"/>
      <c r="DE858" s="71"/>
      <c r="DF858" s="127" t="s">
        <v>5849</v>
      </c>
      <c r="DG858" s="205"/>
      <c r="DH858" s="86">
        <f t="shared" si="1150"/>
        <v>45534</v>
      </c>
      <c r="DI858" s="79" t="s">
        <v>1246</v>
      </c>
      <c r="DJ858" s="79" t="s">
        <v>2659</v>
      </c>
      <c r="DK858" s="79"/>
      <c r="DL858" s="79">
        <v>0</v>
      </c>
      <c r="DM858" s="79">
        <v>0</v>
      </c>
      <c r="DN858" s="79" t="s">
        <v>182</v>
      </c>
      <c r="DO858" s="79"/>
      <c r="DP858" s="79"/>
      <c r="DQ858" s="79"/>
      <c r="DR858" s="75" t="s">
        <v>179</v>
      </c>
      <c r="DS858" s="79"/>
      <c r="DT858" s="79"/>
      <c r="DU858" s="75" t="str">
        <f t="shared" si="1131"/>
        <v>No aplica</v>
      </c>
      <c r="DV858" s="79" t="s">
        <v>182</v>
      </c>
      <c r="DW858" s="79" t="s">
        <v>182</v>
      </c>
      <c r="DX858" s="79"/>
      <c r="DY858" s="79"/>
      <c r="DZ858" s="79"/>
      <c r="EA858" s="79"/>
      <c r="EB858" s="79"/>
      <c r="EC858" s="79"/>
      <c r="ED858" s="79" t="s">
        <v>5503</v>
      </c>
      <c r="EE858" s="79" t="str">
        <f t="shared" si="1143"/>
        <v>Por Completar</v>
      </c>
      <c r="EF858" s="41"/>
      <c r="EG858" s="79" t="s">
        <v>152</v>
      </c>
      <c r="EH858" s="71"/>
      <c r="EI858" s="80"/>
      <c r="EJ858" s="71"/>
      <c r="EK858" s="79"/>
      <c r="EL858" s="87" t="str">
        <f>IF(F858="NO","No requiere",IF(H858="No","No requiere",IF(DW858="","",IF(DW858&lt;&gt;"No aplica",IF(DX858&lt;&gt;"No aplica",IF(DX858&gt;=2,"Sí","No"),"No aplica"),"No aplica"))))</f>
        <v>No requiere</v>
      </c>
      <c r="EM858" s="87" t="str">
        <f>IF(F858="NO","No requiere",IF(H858="No","No requiere",IF(DW858="","",IF(DW858&lt;&gt;"No aplica",IF(DY858&lt;&gt;"No aplica",IF(DY858&gt;=1,"Sí","No"),"No aplica"),"No aplica"))))</f>
        <v>No requiere</v>
      </c>
      <c r="EN858" s="87" t="str">
        <f>IF(F858="NO","No requiere",IF(H858="No","No requiere",IF(CC858="","",IF(CD858&lt;&gt;"No aplica",IF(CD858&lt;&gt;"Ninguna",IF(COUNTIF(CD858:CF858,"*")&gt;=1,"Sí","No"),"No"),"No aplica"))))</f>
        <v>No requiere</v>
      </c>
      <c r="EO858" s="71"/>
      <c r="EP858" s="84" t="str">
        <f>IF(F858="NO","No requiere",IF(H858="No","No requiere",IF(DL858="","",IF(DL858&gt;=1,DM858/DL858,"No aplica"))))</f>
        <v>No requiere</v>
      </c>
      <c r="EQ858" s="88" t="str">
        <f>IFERROR(IF(F858="NO","No requiere",IF(H858="No","No requiere",DU858)),"")</f>
        <v>No requiere</v>
      </c>
      <c r="ER858" s="71"/>
      <c r="ES858" s="79"/>
      <c r="ET858" s="84" t="str">
        <f>IF(F858="NO","No requiere",IF(H858="No","No requiere",IFERROR(COUNTIF(DJ858:DW858,"Completo")/SUM(COUNTIF(DJ858:DW858,"Completo"),COUNTIF(DJ858:DW858,"Incompleto"),COUNTIF(DJ858:DW858,"No subido"),COUNTIF(DJ858:DW858,"No existente"),COUNTIF(DJ858:DW858,"Pendiente")),"")))</f>
        <v>No requiere</v>
      </c>
      <c r="EU858" s="84" t="str">
        <f>IF(F858="NO","No requiere",IF(H858="No","No requiere",IF(B858="","",IF(CX858="SÍ",IF(CK858&gt;=1,CY858/CK858,"Sin compromisos"),"Por verificar"))))</f>
        <v>No requiere</v>
      </c>
      <c r="EV858" s="84" t="str">
        <f>IF(EU858="Por verificar","Por verificar",IF(F858="NO","No requiere",IF(H858="No","No requiere",IFERROR(IF(EU858="","",IF(CK858&gt;=1,DA858/CZ858,"No aplica")),"No aplica"))))</f>
        <v>No requiere</v>
      </c>
      <c r="EW858" s="84" t="str">
        <f>IF(F858="NO","No requiere",IF(H858="No","No requiere",IFERROR(IF(BZ858="","",IF(EA858&lt;&gt;"No aplica",IF(EA858&gt;=1,DO858/EA858,"0%"),"No aplica")),"")))</f>
        <v>No requiere</v>
      </c>
      <c r="EX858" s="78"/>
      <c r="EY858" s="78"/>
    </row>
    <row r="859" spans="1:155" ht="57" customHeight="1">
      <c r="A859" s="79" t="str">
        <v/>
      </c>
      <c r="B859" s="80" t="s">
        <v>5850</v>
      </c>
      <c r="C859" s="81">
        <v>45532</v>
      </c>
      <c r="D859" s="82">
        <v>0.32291666666666669</v>
      </c>
      <c r="E859" s="79" t="s">
        <v>151</v>
      </c>
      <c r="F859" s="79" t="s">
        <v>152</v>
      </c>
      <c r="G859" s="79" t="s">
        <v>153</v>
      </c>
      <c r="H859" s="79" t="s">
        <v>152</v>
      </c>
      <c r="I859" s="79" t="s">
        <v>152</v>
      </c>
      <c r="J859" s="79" t="s">
        <v>2153</v>
      </c>
      <c r="K859" s="79" t="s">
        <v>155</v>
      </c>
      <c r="L859" s="80" t="s">
        <v>5851</v>
      </c>
      <c r="M859" s="80" t="s">
        <v>624</v>
      </c>
      <c r="N859" s="79" t="s">
        <v>5852</v>
      </c>
      <c r="O859" s="80" t="s">
        <v>316</v>
      </c>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t="s">
        <v>169</v>
      </c>
      <c r="AP859" s="79"/>
      <c r="AQ859" s="80" t="s">
        <v>179</v>
      </c>
      <c r="AR859" s="83" t="s">
        <v>179</v>
      </c>
      <c r="AS859" s="80" t="s">
        <v>179</v>
      </c>
      <c r="AT859" s="80" t="str">
        <f t="shared" si="1146"/>
        <v>Distrital</v>
      </c>
      <c r="AU859" s="79" t="s">
        <v>172</v>
      </c>
      <c r="AV859" s="79"/>
      <c r="AW859" s="79"/>
      <c r="AX859" s="79"/>
      <c r="AY859" s="79"/>
      <c r="AZ859" s="79"/>
      <c r="BA859" s="80" t="str">
        <f t="shared" si="1147"/>
        <v>Distrital</v>
      </c>
      <c r="BB859" s="79" t="s">
        <v>172</v>
      </c>
      <c r="BC859" s="79"/>
      <c r="BD859" s="79"/>
      <c r="BE859" s="79"/>
      <c r="BF859" s="79"/>
      <c r="BG859" s="79"/>
      <c r="BH859" s="80" t="str">
        <f t="shared" si="1148"/>
        <v>Distrital</v>
      </c>
      <c r="BI859" s="79" t="s">
        <v>172</v>
      </c>
      <c r="BJ859" s="79"/>
      <c r="BK859" s="79"/>
      <c r="BL859" s="79"/>
      <c r="BM859" s="79"/>
      <c r="BN859" s="79"/>
      <c r="BO859" s="79"/>
      <c r="BP859" s="79"/>
      <c r="BQ859" s="79"/>
      <c r="BR859" s="79"/>
      <c r="BS859" s="80" t="s">
        <v>179</v>
      </c>
      <c r="BT859" s="315" t="s">
        <v>179</v>
      </c>
      <c r="BU859" s="320" t="s">
        <v>4955</v>
      </c>
      <c r="BV859" s="71"/>
      <c r="BW859" s="79" t="s">
        <v>152</v>
      </c>
      <c r="BX859" s="79" t="s">
        <v>179</v>
      </c>
      <c r="BY859" s="71"/>
      <c r="BZ859" s="79">
        <v>0</v>
      </c>
      <c r="CA859" s="79">
        <v>60</v>
      </c>
      <c r="CB859" s="79">
        <f t="shared" si="1149"/>
        <v>60</v>
      </c>
      <c r="CC859" s="79" t="str">
        <f t="shared" si="1137"/>
        <v>Ninguna</v>
      </c>
      <c r="CD859" s="79" t="s">
        <v>174</v>
      </c>
      <c r="CE859" s="79"/>
      <c r="CF859" s="165"/>
      <c r="CG859" s="319" t="s">
        <v>5853</v>
      </c>
      <c r="CH859" s="41"/>
      <c r="CI859" s="79" t="s">
        <v>153</v>
      </c>
      <c r="CJ859" s="71"/>
      <c r="CK859" s="79">
        <v>0</v>
      </c>
      <c r="CL859" s="79"/>
      <c r="CM859" s="79"/>
      <c r="CN859" s="79"/>
      <c r="CO859" s="79"/>
      <c r="CP859" s="79"/>
      <c r="CQ859" s="79"/>
      <c r="CR859" s="83"/>
      <c r="CS859" s="83"/>
      <c r="CT859" s="83"/>
      <c r="CU859" s="83"/>
      <c r="CV859" s="83"/>
      <c r="CW859" s="83"/>
      <c r="CX859" s="79"/>
      <c r="CY859" s="79">
        <v>0</v>
      </c>
      <c r="CZ859" s="79">
        <v>0</v>
      </c>
      <c r="DA859" s="79">
        <v>0</v>
      </c>
      <c r="DB859" s="84" t="s">
        <v>316</v>
      </c>
      <c r="DC859" s="41"/>
      <c r="DD859" s="79"/>
      <c r="DE859" s="71"/>
      <c r="DF859" s="127" t="s">
        <v>5854</v>
      </c>
      <c r="DG859" s="205"/>
      <c r="DH859" s="86">
        <f t="shared" si="1150"/>
        <v>45535</v>
      </c>
      <c r="DI859" s="79" t="s">
        <v>3560</v>
      </c>
      <c r="DJ859" s="79"/>
      <c r="DK859" s="79"/>
      <c r="DL859" s="79">
        <v>0</v>
      </c>
      <c r="DM859" s="79">
        <v>0</v>
      </c>
      <c r="DN859" s="79"/>
      <c r="DO859" s="79"/>
      <c r="DP859" s="79"/>
      <c r="DQ859" s="79"/>
      <c r="DR859" s="75" t="s">
        <v>179</v>
      </c>
      <c r="DS859" s="79"/>
      <c r="DT859" s="79"/>
      <c r="DU859" s="75" t="str">
        <f t="shared" si="1131"/>
        <v>No aplica</v>
      </c>
      <c r="DV859" s="79"/>
      <c r="DW859" s="79"/>
      <c r="DX859" s="79"/>
      <c r="DY859" s="79"/>
      <c r="DZ859" s="79"/>
      <c r="EA859" s="79"/>
      <c r="EB859" s="79"/>
      <c r="EC859" s="79"/>
      <c r="ED859" s="79" t="s">
        <v>770</v>
      </c>
      <c r="EE859" s="79" t="str">
        <f t="shared" si="1143"/>
        <v>Por Completar</v>
      </c>
      <c r="EF859" s="41"/>
      <c r="EG859" s="79" t="s">
        <v>152</v>
      </c>
      <c r="EH859" s="71"/>
      <c r="EI859" s="80"/>
      <c r="EJ859" s="71"/>
      <c r="EK859" s="79"/>
      <c r="EL859" s="87" t="str">
        <f>IF(F859="NO","No requiere",IF(H859="No","No requiere",IF(DW859="","",IF(DW859&lt;&gt;"No aplica",IF(DX859&lt;&gt;"No aplica",IF(DX859&gt;=2,"Sí","No"),"No aplica"),"No aplica"))))</f>
        <v>No requiere</v>
      </c>
      <c r="EM859" s="87" t="str">
        <f>IF(F859="NO","No requiere",IF(H859="No","No requiere",IF(DW859="","",IF(DW859&lt;&gt;"No aplica",IF(DY859&lt;&gt;"No aplica",IF(DY859&gt;=1,"Sí","No"),"No aplica"),"No aplica"))))</f>
        <v>No requiere</v>
      </c>
      <c r="EN859" s="87" t="str">
        <f>IF(F859="NO","No requiere",IF(H859="No","No requiere",IF(CC859="","",IF(CD859&lt;&gt;"No aplica",IF(CD859&lt;&gt;"Ninguna",IF(COUNTIF(CD859:CF859,"*")&gt;=1,"Sí","No"),"No"),"No aplica"))))</f>
        <v>No requiere</v>
      </c>
      <c r="EO859" s="71"/>
      <c r="EP859" s="84" t="str">
        <f>IF(F859="NO","No requiere",IF(H859="No","No requiere",IF(DL859="","",IF(DL859&gt;=1,DM859/DL859,"No aplica"))))</f>
        <v>No requiere</v>
      </c>
      <c r="EQ859" s="88" t="str">
        <f>IFERROR(IF(F859="NO","No requiere",IF(H859="No","No requiere",DU859)),"")</f>
        <v>No requiere</v>
      </c>
      <c r="ER859" s="71"/>
      <c r="ES859" s="79"/>
      <c r="ET859" s="84" t="str">
        <f>IF(F859="NO","No requiere",IF(H859="No","No requiere",IFERROR(COUNTIF(DJ859:DW859,"Completo")/SUM(COUNTIF(DJ859:DW859,"Completo"),COUNTIF(DJ859:DW859,"Incompleto"),COUNTIF(DJ859:DW859,"No subido"),COUNTIF(DJ859:DW859,"No existente"),COUNTIF(DJ859:DW859,"Pendiente")),"")))</f>
        <v>No requiere</v>
      </c>
      <c r="EU859" s="84" t="str">
        <f>IF(F859="NO","No requiere",IF(H859="No","No requiere",IF(B859="","",IF(CX859="SÍ",IF(CK859&gt;=1,CY859/CK859,"Sin compromisos"),"Por verificar"))))</f>
        <v>No requiere</v>
      </c>
      <c r="EV859" s="84" t="str">
        <f>IF(EU859="Por verificar","Por verificar",IF(F859="NO","No requiere",IF(H859="No","No requiere",IFERROR(IF(EU859="","",IF(CK859&gt;=1,DA859/CZ859,"No aplica")),"No aplica"))))</f>
        <v>No requiere</v>
      </c>
      <c r="EW859" s="84" t="str">
        <f>IF(F859="NO","No requiere",IF(H859="No","No requiere",IFERROR(IF(BZ859="","",IF(EA859&lt;&gt;"No aplica",IF(EA859&gt;=1,DO859/EA859,"0%"),"No aplica")),"")))</f>
        <v>No requiere</v>
      </c>
      <c r="EX859" s="78"/>
      <c r="EY859" s="78"/>
    </row>
    <row r="860" spans="1:155" ht="57" customHeight="1">
      <c r="A860" s="79">
        <v>856</v>
      </c>
      <c r="B860" s="80" t="s">
        <v>5855</v>
      </c>
      <c r="C860" s="81">
        <v>45532</v>
      </c>
      <c r="D860" s="82">
        <v>0.33333333333333331</v>
      </c>
      <c r="E860" s="79" t="s">
        <v>151</v>
      </c>
      <c r="F860" s="79" t="s">
        <v>153</v>
      </c>
      <c r="G860" s="79" t="s">
        <v>152</v>
      </c>
      <c r="H860" s="79" t="s">
        <v>152</v>
      </c>
      <c r="I860" s="79" t="s">
        <v>153</v>
      </c>
      <c r="J860" s="79" t="s">
        <v>3324</v>
      </c>
      <c r="K860" s="79" t="s">
        <v>155</v>
      </c>
      <c r="L860" s="80" t="s">
        <v>5856</v>
      </c>
      <c r="M860" s="80" t="s">
        <v>229</v>
      </c>
      <c r="N860" s="79" t="s">
        <v>749</v>
      </c>
      <c r="O860" s="80" t="str">
        <f>_xlfn.TEXTJOIN(", ",TRUE,P860:AN860)</f>
        <v>Juan Pablo Serna, Diego Alejandro Camacho</v>
      </c>
      <c r="P860" s="79" t="s">
        <v>818</v>
      </c>
      <c r="Q860" s="79" t="s">
        <v>422</v>
      </c>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t="s">
        <v>304</v>
      </c>
      <c r="AP860" s="79"/>
      <c r="AQ860" s="80" t="s">
        <v>3326</v>
      </c>
      <c r="AR860" s="83" t="s">
        <v>5857</v>
      </c>
      <c r="AS860" s="80" t="s">
        <v>5858</v>
      </c>
      <c r="AT860" s="80" t="str">
        <f t="shared" si="1146"/>
        <v>Barrios Unidos</v>
      </c>
      <c r="AU860" s="79" t="s">
        <v>1031</v>
      </c>
      <c r="AV860" s="79"/>
      <c r="AW860" s="79"/>
      <c r="AX860" s="79"/>
      <c r="AY860" s="79"/>
      <c r="AZ860" s="79"/>
      <c r="BA860" s="80" t="str">
        <f t="shared" si="1147"/>
        <v>Centro Ampliado</v>
      </c>
      <c r="BB860" s="79" t="s">
        <v>636</v>
      </c>
      <c r="BC860" s="79"/>
      <c r="BD860" s="79"/>
      <c r="BE860" s="79"/>
      <c r="BF860" s="79"/>
      <c r="BG860" s="79"/>
      <c r="BH860" s="80" t="str">
        <f t="shared" si="1148"/>
        <v>Barrios Unidos</v>
      </c>
      <c r="BI860" s="79" t="s">
        <v>1031</v>
      </c>
      <c r="BJ860" s="79"/>
      <c r="BK860" s="79"/>
      <c r="BL860" s="79"/>
      <c r="BM860" s="79"/>
      <c r="BN860" s="79"/>
      <c r="BO860" s="79"/>
      <c r="BP860" s="79"/>
      <c r="BQ860" s="79"/>
      <c r="BR860" s="79"/>
      <c r="BS860" s="80" t="s">
        <v>5859</v>
      </c>
      <c r="BT860" s="315" t="s">
        <v>179</v>
      </c>
      <c r="BU860" s="323" t="s">
        <v>5860</v>
      </c>
      <c r="BV860" s="71"/>
      <c r="BW860" s="79" t="s">
        <v>152</v>
      </c>
      <c r="BX860" s="79" t="s">
        <v>179</v>
      </c>
      <c r="BY860" s="71"/>
      <c r="BZ860" s="79">
        <v>11</v>
      </c>
      <c r="CA860" s="79">
        <v>5</v>
      </c>
      <c r="CB860" s="79">
        <f t="shared" si="1149"/>
        <v>16</v>
      </c>
      <c r="CC860" s="79" t="str">
        <f>_xlfn.TEXTJOIN(", ",TRUE,$CD860:$CF860)</f>
        <v>Ninguna</v>
      </c>
      <c r="CD860" s="79" t="s">
        <v>174</v>
      </c>
      <c r="CE860" s="79"/>
      <c r="CF860" s="165"/>
      <c r="CG860" s="319" t="s">
        <v>5861</v>
      </c>
      <c r="CH860" s="41"/>
      <c r="CI860" s="79" t="s">
        <v>153</v>
      </c>
      <c r="CJ860" s="71"/>
      <c r="CK860" s="79">
        <v>1</v>
      </c>
      <c r="CL860" s="79" t="s">
        <v>5862</v>
      </c>
      <c r="CM860" s="79"/>
      <c r="CN860" s="79"/>
      <c r="CO860" s="79"/>
      <c r="CP860" s="79"/>
      <c r="CQ860" s="79"/>
      <c r="CR860" s="83" t="s">
        <v>3773</v>
      </c>
      <c r="CS860" s="83" t="s">
        <v>179</v>
      </c>
      <c r="CT860" s="83" t="s">
        <v>179</v>
      </c>
      <c r="CU860" s="83" t="s">
        <v>179</v>
      </c>
      <c r="CV860" s="83" t="s">
        <v>179</v>
      </c>
      <c r="CW860" s="83" t="s">
        <v>179</v>
      </c>
      <c r="CX860" s="79"/>
      <c r="CY860" s="79">
        <v>0</v>
      </c>
      <c r="CZ860" s="79">
        <v>0</v>
      </c>
      <c r="DA860" s="79">
        <v>0</v>
      </c>
      <c r="DB860" s="84" t="s">
        <v>316</v>
      </c>
      <c r="DC860" s="41"/>
      <c r="DD860" s="79" t="s">
        <v>152</v>
      </c>
      <c r="DE860" s="71"/>
      <c r="DF860" s="127" t="s">
        <v>5863</v>
      </c>
      <c r="DG860" s="205"/>
      <c r="DH860" s="86" t="str">
        <f t="shared" si="1150"/>
        <v>Completo</v>
      </c>
      <c r="DI860" s="79" t="s">
        <v>181</v>
      </c>
      <c r="DJ860" s="79" t="s">
        <v>182</v>
      </c>
      <c r="DK860" s="79"/>
      <c r="DL860" s="79">
        <v>0</v>
      </c>
      <c r="DM860" s="79">
        <v>0</v>
      </c>
      <c r="DN860" s="79" t="s">
        <v>182</v>
      </c>
      <c r="DO860" s="79"/>
      <c r="DP860" s="79"/>
      <c r="DQ860" s="79"/>
      <c r="DR860" s="75" t="s">
        <v>179</v>
      </c>
      <c r="DS860" s="79"/>
      <c r="DT860" s="79"/>
      <c r="DU860" s="75" t="str">
        <f t="shared" si="1131"/>
        <v>No aplica</v>
      </c>
      <c r="DV860" s="79" t="s">
        <v>182</v>
      </c>
      <c r="DW860" s="79" t="s">
        <v>182</v>
      </c>
      <c r="DX860" s="79"/>
      <c r="DY860" s="79"/>
      <c r="DZ860" s="79"/>
      <c r="EA860" s="79"/>
      <c r="EB860" s="79"/>
      <c r="EC860" s="79"/>
      <c r="ED860" s="79" t="s">
        <v>5864</v>
      </c>
      <c r="EE860" s="79" t="str">
        <f t="shared" si="1143"/>
        <v>Completo</v>
      </c>
      <c r="EF860" s="41"/>
      <c r="EG860" s="79" t="s">
        <v>152</v>
      </c>
      <c r="EH860" s="71"/>
      <c r="EI860" s="80"/>
      <c r="EJ860" s="71"/>
      <c r="EK860" s="79"/>
      <c r="EL860" s="87" t="str">
        <f>IF(F860="NO","No requiere",IF(H860="No","No requiere",IF(DW860="","",IF(DW860&lt;&gt;"No aplica",IF(DX860&lt;&gt;"No aplica",IF(DX860&gt;=2,"Sí","No"),"No aplica"),"No aplica"))))</f>
        <v>No requiere</v>
      </c>
      <c r="EM860" s="87" t="str">
        <f>IF(F860="NO","No requiere",IF(H860="No","No requiere",IF(DW860="","",IF(DW860&lt;&gt;"No aplica",IF(DY860&lt;&gt;"No aplica",IF(DY860&gt;=1,"Sí","No"),"No aplica"),"No aplica"))))</f>
        <v>No requiere</v>
      </c>
      <c r="EN860" s="87" t="str">
        <f>IF(F860="NO","No requiere",IF(H860="No","No requiere",IF(CC860="","",IF(CD860&lt;&gt;"No aplica",IF(CD860&lt;&gt;"Ninguna",IF(COUNTIF(CD860:CF860,"*")&gt;=1,"Sí","No"),"No"),"No aplica"))))</f>
        <v>No requiere</v>
      </c>
      <c r="EO860" s="71"/>
      <c r="EP860" s="84" t="str">
        <f>IF(F860="NO","No requiere",IF(H860="No","No requiere",IF(DL860="","",IF(DL860&gt;=1,DM860/DL860,"No aplica"))))</f>
        <v>No requiere</v>
      </c>
      <c r="EQ860" s="88" t="str">
        <f>IFERROR(IF(F860="NO","No requiere",IF(H860="No","No requiere",DU860)),"")</f>
        <v>No requiere</v>
      </c>
      <c r="ER860" s="71"/>
      <c r="ES860" s="79"/>
      <c r="ET860" s="84" t="str">
        <f>IF(F860="NO","No requiere",IF(H860="No","No requiere",IFERROR(COUNTIF(DJ860:DW860,"Completo")/SUM(COUNTIF(DJ860:DW860,"Completo"),COUNTIF(DJ860:DW860,"Incompleto"),COUNTIF(DJ860:DW860,"No subido"),COUNTIF(DJ860:DW860,"No existente"),COUNTIF(DJ860:DW860,"Pendiente")),"")))</f>
        <v>No requiere</v>
      </c>
      <c r="EU860" s="84" t="str">
        <f>IF(F860="NO","No requiere",IF(H860="No","No requiere",IF(B860="","",IF(CX860="SÍ",IF(CK860&gt;=1,CY860/CK860,"Sin compromisos"),"Por verificar"))))</f>
        <v>No requiere</v>
      </c>
      <c r="EV860" s="84" t="str">
        <f>IF(EU860="Por verificar","Por verificar",IF(F860="NO","No requiere",IF(H860="No","No requiere",IFERROR(IF(EU860="","",IF(CK860&gt;=1,DA860/CZ860,"No aplica")),"No aplica"))))</f>
        <v>No requiere</v>
      </c>
      <c r="EW860" s="84" t="str">
        <f>IF(F860="NO","No requiere",IF(H860="No","No requiere",IFERROR(IF(BZ860="","",IF(EA860&lt;&gt;"No aplica",IF(EA860&gt;=1,DO860/EA860,"0%"),"No aplica")),"")))</f>
        <v>No requiere</v>
      </c>
      <c r="EX860" s="78"/>
      <c r="EY860" s="78"/>
    </row>
    <row r="861" spans="1:155" ht="57" customHeight="1">
      <c r="A861" s="79">
        <v>857</v>
      </c>
      <c r="B861" s="80" t="s">
        <v>5865</v>
      </c>
      <c r="C861" s="81">
        <v>45532</v>
      </c>
      <c r="D861" s="82">
        <v>0.375</v>
      </c>
      <c r="E861" s="79" t="s">
        <v>151</v>
      </c>
      <c r="F861" s="79" t="s">
        <v>153</v>
      </c>
      <c r="G861" s="79" t="s">
        <v>152</v>
      </c>
      <c r="H861" s="79" t="s">
        <v>152</v>
      </c>
      <c r="I861" s="79" t="s">
        <v>152</v>
      </c>
      <c r="J861" s="79" t="s">
        <v>272</v>
      </c>
      <c r="K861" s="79" t="s">
        <v>155</v>
      </c>
      <c r="L861" s="80" t="s">
        <v>5866</v>
      </c>
      <c r="M861" s="80" t="s">
        <v>229</v>
      </c>
      <c r="N861" s="79" t="s">
        <v>5867</v>
      </c>
      <c r="O861" s="80" t="str">
        <f>_xlfn.TEXTJOIN(", ",TRUE,P861:AN861)</f>
        <v>Julio César Martínez</v>
      </c>
      <c r="P861" s="79" t="s">
        <v>601</v>
      </c>
      <c r="Q861" s="79"/>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t="s">
        <v>169</v>
      </c>
      <c r="AP861" s="79"/>
      <c r="AQ861" s="80" t="s">
        <v>179</v>
      </c>
      <c r="AR861" s="83" t="s">
        <v>179</v>
      </c>
      <c r="AS861" s="80" t="s">
        <v>179</v>
      </c>
      <c r="AT861" s="80" t="str">
        <f t="shared" si="1146"/>
        <v>Distrital</v>
      </c>
      <c r="AU861" s="79" t="s">
        <v>172</v>
      </c>
      <c r="AV861" s="79"/>
      <c r="AW861" s="79"/>
      <c r="AX861" s="79"/>
      <c r="AY861" s="79"/>
      <c r="AZ861" s="79"/>
      <c r="BA861" s="80" t="str">
        <f t="shared" si="1147"/>
        <v>Distrital</v>
      </c>
      <c r="BB861" s="79" t="s">
        <v>172</v>
      </c>
      <c r="BC861" s="79"/>
      <c r="BD861" s="79"/>
      <c r="BE861" s="79"/>
      <c r="BF861" s="79"/>
      <c r="BG861" s="79"/>
      <c r="BH861" s="80" t="str">
        <f t="shared" si="1148"/>
        <v>Distrital</v>
      </c>
      <c r="BI861" s="79" t="s">
        <v>172</v>
      </c>
      <c r="BJ861" s="79"/>
      <c r="BK861" s="79"/>
      <c r="BL861" s="79"/>
      <c r="BM861" s="79"/>
      <c r="BN861" s="79"/>
      <c r="BO861" s="79"/>
      <c r="BP861" s="79"/>
      <c r="BQ861" s="79"/>
      <c r="BR861" s="79"/>
      <c r="BS861" s="80" t="s">
        <v>171</v>
      </c>
      <c r="BT861" s="80" t="s">
        <v>266</v>
      </c>
      <c r="BU861" s="80" t="s">
        <v>5868</v>
      </c>
      <c r="BV861" s="71"/>
      <c r="BW861" s="79" t="s">
        <v>152</v>
      </c>
      <c r="BX861" s="79" t="s">
        <v>179</v>
      </c>
      <c r="BY861" s="71"/>
      <c r="BZ861" s="79">
        <v>20</v>
      </c>
      <c r="CA861" s="79">
        <v>4</v>
      </c>
      <c r="CB861" s="79">
        <f t="shared" si="1149"/>
        <v>24</v>
      </c>
      <c r="CC861" s="79" t="str">
        <f>_xlfn.TEXTJOIN(", ",TRUE,$CD861:$CF861)</f>
        <v>Ninguna</v>
      </c>
      <c r="CD861" s="79" t="s">
        <v>174</v>
      </c>
      <c r="CE861" s="79"/>
      <c r="CF861" s="79"/>
      <c r="CG861" s="204" t="s">
        <v>5869</v>
      </c>
      <c r="CH861" s="41"/>
      <c r="CI861" s="79" t="s">
        <v>153</v>
      </c>
      <c r="CJ861" s="71"/>
      <c r="CK861" s="79">
        <f>COUNTIF(CL861:CQ861,"*")</f>
        <v>0</v>
      </c>
      <c r="CL861" s="79"/>
      <c r="CM861" s="79"/>
      <c r="CN861" s="79"/>
      <c r="CO861" s="79"/>
      <c r="CP861" s="79"/>
      <c r="CQ861" s="79"/>
      <c r="CR861" s="83" t="s">
        <v>179</v>
      </c>
      <c r="CS861" s="83" t="s">
        <v>179</v>
      </c>
      <c r="CT861" s="83" t="s">
        <v>179</v>
      </c>
      <c r="CU861" s="83" t="s">
        <v>179</v>
      </c>
      <c r="CV861" s="83" t="s">
        <v>179</v>
      </c>
      <c r="CW861" s="83" t="s">
        <v>179</v>
      </c>
      <c r="CX861" s="79" t="s">
        <v>153</v>
      </c>
      <c r="CY861" s="79">
        <f>SUM(COUNTIF(CR861:CW861,"Realizado y Devuelto a la Ciudadanía"),COUNTIF(CR861:CW861,"Realizado y Trasladado por competencia"), COUNTIF(CR861:CW861,"Realizado y Gestionado"))</f>
        <v>0</v>
      </c>
      <c r="CZ861" s="79">
        <v>0</v>
      </c>
      <c r="DA861" s="79">
        <f>COUNTIF(CR861:CW861,"Realizado y Devuelto a la Ciudadanía")</f>
        <v>0</v>
      </c>
      <c r="DB861" s="84" t="str">
        <f>IFERROR(CY861/CK861,"")</f>
        <v/>
      </c>
      <c r="DC861" s="41"/>
      <c r="DD861" s="79" t="s">
        <v>153</v>
      </c>
      <c r="DE861" s="71"/>
      <c r="DF861" s="127" t="s">
        <v>5870</v>
      </c>
      <c r="DG861" s="79"/>
      <c r="DH861" s="86" t="str">
        <f t="shared" si="1150"/>
        <v>Completo</v>
      </c>
      <c r="DI861" s="79" t="s">
        <v>181</v>
      </c>
      <c r="DJ861" s="79" t="s">
        <v>182</v>
      </c>
      <c r="DK861" s="79"/>
      <c r="DL861" s="79">
        <v>0</v>
      </c>
      <c r="DM861" s="79">
        <v>0</v>
      </c>
      <c r="DN861" s="79" t="s">
        <v>191</v>
      </c>
      <c r="DO861" s="79"/>
      <c r="DP861" s="79"/>
      <c r="DQ861" s="79"/>
      <c r="DR861" s="75" t="str">
        <f>IF(H861="SÍ", (DQ861/(BZ861*0.3)), "No aplica")</f>
        <v>No aplica</v>
      </c>
      <c r="DS861" s="79"/>
      <c r="DT861" s="79"/>
      <c r="DU861" s="75" t="str">
        <f t="shared" si="1131"/>
        <v>No aplica</v>
      </c>
      <c r="DV861" s="79" t="s">
        <v>182</v>
      </c>
      <c r="DW861" s="79" t="s">
        <v>191</v>
      </c>
      <c r="DX861" s="79"/>
      <c r="DY861" s="79"/>
      <c r="DZ861" s="79"/>
      <c r="EA861" s="79"/>
      <c r="EB861" s="79" t="s">
        <v>182</v>
      </c>
      <c r="EC861" s="79" t="s">
        <v>5871</v>
      </c>
      <c r="ED861" s="79" t="s">
        <v>5872</v>
      </c>
      <c r="EE861" s="79" t="str">
        <f>IF(DI861="Subsanado","Completo","Por Completar")</f>
        <v>Completo</v>
      </c>
      <c r="EF861" s="41"/>
      <c r="EG861" s="79" t="s">
        <v>153</v>
      </c>
      <c r="EH861" s="71"/>
      <c r="EI861" s="80"/>
      <c r="EJ861" s="71"/>
      <c r="EK861" s="79"/>
      <c r="EL861" s="87" t="str">
        <f>IF(F861="NO","No requiere",IF(H861="No","No requiere",IF(DW861="","",IF(DW861&lt;&gt;"No aplica",IF(DX861&lt;&gt;"No aplica",IF(DX861&gt;=2,"Sí","No"),"No aplica"),"No aplica"))))</f>
        <v>No requiere</v>
      </c>
      <c r="EM861" s="87" t="str">
        <f>IF(F861="NO","No requiere",IF(H861="No","No requiere",IF(DW861="","",IF(DW861&lt;&gt;"No aplica",IF(DY861&lt;&gt;"No aplica",IF(DY861&gt;=1,"Sí","No"),"No aplica"),"No aplica"))))</f>
        <v>No requiere</v>
      </c>
      <c r="EN861" s="87" t="str">
        <f>IF(F861="NO","No requiere",IF(H861="No","No requiere",IF(CC861="","",IF(CD861&lt;&gt;"No aplica",IF(CD861&lt;&gt;"Ninguna",IF(COUNTIF(CD861:CF861,"*")&gt;=1,"Sí","No"),"No"),"No aplica"))))</f>
        <v>No requiere</v>
      </c>
      <c r="EO861" s="71"/>
      <c r="EP861" s="84" t="str">
        <f>IF(F861="NO","No requiere",IF(H861="No","No requiere",IF(DL861="","",IF(DL861&gt;=1,DM861/DL861,"No aplica"))))</f>
        <v>No requiere</v>
      </c>
      <c r="EQ861" s="88" t="str">
        <f>IFERROR(IF(F861="NO","No requiere",IF(H861="No","No requiere",DU861)),"")</f>
        <v>No requiere</v>
      </c>
      <c r="ER861" s="71"/>
      <c r="ES861" s="79"/>
      <c r="ET861" s="84" t="str">
        <f>IF(F861="NO","No requiere",IF(H861="No","No requiere",IFERROR(COUNTIF(DJ861:DW861,"Completo")/SUM(COUNTIF(DJ861:DW861,"Completo"),COUNTIF(DJ861:DW861,"Incompleto"),COUNTIF(DJ861:DW861,"No subido"),COUNTIF(DJ861:DW861,"No existente"),COUNTIF(DJ861:DW861,"Pendiente")),"")))</f>
        <v>No requiere</v>
      </c>
      <c r="EU861" s="84" t="str">
        <f>IF(F861="NO","No requiere",IF(H861="No","No requiere",IF(B861="","",IF(CX861="SÍ",IF(CK861&gt;=1,CY861/CK861,"Sin compromisos"),"Por verificar"))))</f>
        <v>No requiere</v>
      </c>
      <c r="EV861" s="84" t="str">
        <f>IF(EU861="Por verificar","Por verificar",IF(F861="NO","No requiere",IF(H861="No","No requiere",IFERROR(IF(EU861="","",IF(CK861&gt;=1,DA861/CZ861,"No aplica")),"No aplica"))))</f>
        <v>No requiere</v>
      </c>
      <c r="EW861" s="84" t="str">
        <f>IF(F861="NO","No requiere",IF(H861="No","No requiere",IFERROR(IF(BZ861="","",IF(EA861&lt;&gt;"No aplica",IF(EA861&gt;=1,DO861/EA861,"0%"),"No aplica")),"")))</f>
        <v>No requiere</v>
      </c>
      <c r="EX861" s="78"/>
      <c r="EY861" s="78"/>
    </row>
    <row r="862" spans="1:155" ht="57" customHeight="1">
      <c r="A862" s="79">
        <v>858</v>
      </c>
      <c r="B862" s="80" t="s">
        <v>5873</v>
      </c>
      <c r="C862" s="81">
        <v>45533</v>
      </c>
      <c r="D862" s="82">
        <v>0.5</v>
      </c>
      <c r="E862" s="79" t="s">
        <v>151</v>
      </c>
      <c r="F862" s="79" t="s">
        <v>153</v>
      </c>
      <c r="G862" s="79" t="s">
        <v>153</v>
      </c>
      <c r="H862" s="79" t="s">
        <v>152</v>
      </c>
      <c r="I862" s="79" t="s">
        <v>152</v>
      </c>
      <c r="J862" s="79" t="s">
        <v>3297</v>
      </c>
      <c r="K862" s="79" t="s">
        <v>155</v>
      </c>
      <c r="L862" s="80" t="s">
        <v>5874</v>
      </c>
      <c r="M862" s="80" t="s">
        <v>624</v>
      </c>
      <c r="N862" s="79" t="s">
        <v>5867</v>
      </c>
      <c r="O862" s="80" t="str">
        <f t="shared" si="636"/>
        <v/>
      </c>
      <c r="P862" s="79"/>
      <c r="Q862" s="79"/>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t="s">
        <v>304</v>
      </c>
      <c r="AP862" s="79"/>
      <c r="AQ862" s="80" t="s">
        <v>171</v>
      </c>
      <c r="AR862" s="83" t="s">
        <v>171</v>
      </c>
      <c r="AS862" s="80" t="s">
        <v>171</v>
      </c>
      <c r="AT862" s="80" t="str">
        <f t="shared" si="1146"/>
        <v>Distrital</v>
      </c>
      <c r="AU862" s="79" t="s">
        <v>172</v>
      </c>
      <c r="AV862" s="79"/>
      <c r="AW862" s="79"/>
      <c r="AX862" s="79"/>
      <c r="AY862" s="79"/>
      <c r="AZ862" s="79"/>
      <c r="BA862" s="80" t="str">
        <f t="shared" si="1147"/>
        <v>Distrital</v>
      </c>
      <c r="BB862" s="79" t="s">
        <v>172</v>
      </c>
      <c r="BC862" s="79"/>
      <c r="BD862" s="79"/>
      <c r="BE862" s="79"/>
      <c r="BF862" s="79"/>
      <c r="BG862" s="79"/>
      <c r="BH862" s="80" t="str">
        <f t="shared" si="1148"/>
        <v>Distrital</v>
      </c>
      <c r="BI862" s="79" t="s">
        <v>172</v>
      </c>
      <c r="BJ862" s="79"/>
      <c r="BK862" s="79"/>
      <c r="BL862" s="79"/>
      <c r="BM862" s="79"/>
      <c r="BN862" s="79"/>
      <c r="BO862" s="79"/>
      <c r="BP862" s="79"/>
      <c r="BQ862" s="79"/>
      <c r="BR862" s="79"/>
      <c r="BS862" s="80" t="s">
        <v>179</v>
      </c>
      <c r="BT862" s="315" t="s">
        <v>179</v>
      </c>
      <c r="BU862" s="326" t="s">
        <v>5403</v>
      </c>
      <c r="BV862" s="71"/>
      <c r="BW862" s="79" t="s">
        <v>152</v>
      </c>
      <c r="BX862" s="79" t="s">
        <v>179</v>
      </c>
      <c r="BY862" s="71"/>
      <c r="BZ862" s="79">
        <v>0</v>
      </c>
      <c r="CA862" s="79">
        <v>9</v>
      </c>
      <c r="CB862" s="79">
        <f t="shared" si="1149"/>
        <v>9</v>
      </c>
      <c r="CC862" s="79" t="str">
        <f t="shared" ref="CC862" si="1151">_xlfn.TEXTJOIN(", ",TRUE,$CD862:$CF862)</f>
        <v>Ninguna</v>
      </c>
      <c r="CD862" s="79" t="s">
        <v>174</v>
      </c>
      <c r="CE862" s="79"/>
      <c r="CF862" s="165"/>
      <c r="CG862" s="319" t="s">
        <v>5875</v>
      </c>
      <c r="CH862" s="41"/>
      <c r="CI862" s="79" t="s">
        <v>153</v>
      </c>
      <c r="CJ862" s="71"/>
      <c r="CK862" s="79">
        <v>0</v>
      </c>
      <c r="CL862" s="79"/>
      <c r="CM862" s="79"/>
      <c r="CN862" s="79"/>
      <c r="CO862" s="79"/>
      <c r="CP862" s="79"/>
      <c r="CQ862" s="79"/>
      <c r="CR862" s="83" t="s">
        <v>179</v>
      </c>
      <c r="CS862" s="83" t="s">
        <v>179</v>
      </c>
      <c r="CT862" s="83" t="s">
        <v>179</v>
      </c>
      <c r="CU862" s="83" t="s">
        <v>179</v>
      </c>
      <c r="CV862" s="83" t="s">
        <v>179</v>
      </c>
      <c r="CW862" s="83" t="s">
        <v>179</v>
      </c>
      <c r="CX862" s="79" t="s">
        <v>153</v>
      </c>
      <c r="CY862" s="79">
        <v>0</v>
      </c>
      <c r="CZ862" s="79">
        <v>0</v>
      </c>
      <c r="DA862" s="79">
        <v>0</v>
      </c>
      <c r="DB862" s="84" t="s">
        <v>316</v>
      </c>
      <c r="DC862" s="41"/>
      <c r="DD862" s="79" t="s">
        <v>153</v>
      </c>
      <c r="DE862" s="71"/>
      <c r="DF862" s="127" t="s">
        <v>5876</v>
      </c>
      <c r="DG862" s="205"/>
      <c r="DH862" s="86" t="str">
        <f t="shared" si="1150"/>
        <v>Completo</v>
      </c>
      <c r="DI862" s="79" t="s">
        <v>181</v>
      </c>
      <c r="DJ862" s="79" t="s">
        <v>182</v>
      </c>
      <c r="DK862" s="79"/>
      <c r="DL862" s="79">
        <v>0</v>
      </c>
      <c r="DM862" s="79">
        <v>0</v>
      </c>
      <c r="DN862" s="79" t="s">
        <v>182</v>
      </c>
      <c r="DO862" s="79"/>
      <c r="DP862" s="79"/>
      <c r="DQ862" s="79"/>
      <c r="DR862" s="75" t="str">
        <f t="shared" ref="DR862:DR880" si="1152">IF(H862="SÍ", (DQ862/(BZ862*0.3)), "No aplica")</f>
        <v>No aplica</v>
      </c>
      <c r="DS862" s="79"/>
      <c r="DT862" s="79"/>
      <c r="DU862" s="75" t="str">
        <f t="shared" si="1131"/>
        <v>No aplica</v>
      </c>
      <c r="DV862" s="79" t="s">
        <v>191</v>
      </c>
      <c r="DW862" s="79"/>
      <c r="DX862" s="79"/>
      <c r="DY862" s="79"/>
      <c r="DZ862" s="79"/>
      <c r="EA862" s="79"/>
      <c r="EB862" s="79"/>
      <c r="EC862" s="79"/>
      <c r="ED862" s="79" t="s">
        <v>5877</v>
      </c>
      <c r="EE862" s="79" t="str">
        <f t="shared" si="1143"/>
        <v>Completo</v>
      </c>
      <c r="EF862" s="41"/>
      <c r="EG862" s="79" t="s">
        <v>153</v>
      </c>
      <c r="EH862" s="71"/>
      <c r="EI862" s="80"/>
      <c r="EJ862" s="71"/>
      <c r="EK862" s="79"/>
      <c r="EL862" s="87" t="str">
        <f>IF(F862="NO","No requiere",IF(H862="No","No requiere",IF(DW862="","",IF(DW862&lt;&gt;"No aplica",IF(DX862&lt;&gt;"No aplica",IF(DX862&gt;=2,"Sí","No"),"No aplica"),"No aplica"))))</f>
        <v>No requiere</v>
      </c>
      <c r="EM862" s="87" t="str">
        <f>IF(F862="NO","No requiere",IF(H862="No","No requiere",IF(DW862="","",IF(DW862&lt;&gt;"No aplica",IF(DY862&lt;&gt;"No aplica",IF(DY862&gt;=1,"Sí","No"),"No aplica"),"No aplica"))))</f>
        <v>No requiere</v>
      </c>
      <c r="EN862" s="87" t="str">
        <f>IF(F862="NO","No requiere",IF(H862="No","No requiere",IF(CC862="","",IF(CD862&lt;&gt;"No aplica",IF(CD862&lt;&gt;"Ninguna",IF(COUNTIF(CD862:CF862,"*")&gt;=1,"Sí","No"),"No"),"No aplica"))))</f>
        <v>No requiere</v>
      </c>
      <c r="EO862" s="71"/>
      <c r="EP862" s="84" t="str">
        <f>IF(F862="NO","No requiere",IF(H862="No","No requiere",IF(DL862="","",IF(DL862&gt;=1,DM862/DL862,"No aplica"))))</f>
        <v>No requiere</v>
      </c>
      <c r="EQ862" s="88" t="str">
        <f>IFERROR(IF(F862="NO","No requiere",IF(H862="No","No requiere",DU862)),"")</f>
        <v>No requiere</v>
      </c>
      <c r="ER862" s="71"/>
      <c r="ES862" s="79"/>
      <c r="ET862" s="84" t="str">
        <f>IF(F862="NO","No requiere",IF(H862="No","No requiere",IFERROR(COUNTIF(DJ862:DW862,"Completo")/SUM(COUNTIF(DJ862:DW862,"Completo"),COUNTIF(DJ862:DW862,"Incompleto"),COUNTIF(DJ862:DW862,"No subido"),COUNTIF(DJ862:DW862,"No existente"),COUNTIF(DJ862:DW862,"Pendiente")),"")))</f>
        <v>No requiere</v>
      </c>
      <c r="EU862" s="84" t="str">
        <f>IF(F862="NO","No requiere",IF(H862="No","No requiere",IF(B862="","",IF(CX862="SÍ",IF(CK862&gt;=1,CY862/CK862,"Sin compromisos"),"Por verificar"))))</f>
        <v>No requiere</v>
      </c>
      <c r="EV862" s="84" t="str">
        <f>IF(EU862="Por verificar","Por verificar",IF(F862="NO","No requiere",IF(H862="No","No requiere",IFERROR(IF(EU862="","",IF(CK862&gt;=1,DA862/CZ862,"No aplica")),"No aplica"))))</f>
        <v>No requiere</v>
      </c>
      <c r="EW862" s="84" t="str">
        <f>IF(F862="NO","No requiere",IF(H862="No","No requiere",IFERROR(IF(BZ862="","",IF(EA862&lt;&gt;"No aplica",IF(EA862&gt;=1,DO862/EA862,"0%"),"No aplica")),"")))</f>
        <v>No requiere</v>
      </c>
      <c r="EX862" s="78"/>
      <c r="EY862" s="78"/>
    </row>
    <row r="863" spans="1:155" ht="57" customHeight="1">
      <c r="A863" s="79">
        <v>859</v>
      </c>
      <c r="B863" s="80" t="s">
        <v>5878</v>
      </c>
      <c r="C863" s="81">
        <v>45533</v>
      </c>
      <c r="D863" s="82">
        <v>0.6875</v>
      </c>
      <c r="E863" s="79" t="s">
        <v>151</v>
      </c>
      <c r="F863" s="79" t="s">
        <v>153</v>
      </c>
      <c r="G863" s="79" t="s">
        <v>153</v>
      </c>
      <c r="H863" s="79" t="s">
        <v>153</v>
      </c>
      <c r="I863" s="79" t="s">
        <v>153</v>
      </c>
      <c r="J863" s="79" t="s">
        <v>3324</v>
      </c>
      <c r="K863" s="79" t="s">
        <v>202</v>
      </c>
      <c r="L863" s="80" t="s">
        <v>5879</v>
      </c>
      <c r="M863" s="80" t="s">
        <v>229</v>
      </c>
      <c r="N863" s="79" t="s">
        <v>818</v>
      </c>
      <c r="O863" s="80" t="str">
        <f t="shared" si="636"/>
        <v>Paola Andrea González, William Arturo González, Nancy Stella Villa , Armando Alberto Montañez, Andres Castro Latorre</v>
      </c>
      <c r="P863" s="79" t="s">
        <v>924</v>
      </c>
      <c r="Q863" s="79" t="s">
        <v>2786</v>
      </c>
      <c r="R863" s="79" t="s">
        <v>1611</v>
      </c>
      <c r="S863" s="161" t="s">
        <v>1387</v>
      </c>
      <c r="T863" s="79" t="s">
        <v>749</v>
      </c>
      <c r="U863" s="79"/>
      <c r="V863" s="79"/>
      <c r="W863" s="79"/>
      <c r="X863" s="79"/>
      <c r="Y863" s="79"/>
      <c r="Z863" s="79"/>
      <c r="AA863" s="79"/>
      <c r="AB863" s="79"/>
      <c r="AC863" s="79"/>
      <c r="AD863" s="79"/>
      <c r="AE863" s="79"/>
      <c r="AF863" s="79"/>
      <c r="AG863" s="79"/>
      <c r="AH863" s="79"/>
      <c r="AI863" s="79"/>
      <c r="AJ863" s="79"/>
      <c r="AK863" s="79"/>
      <c r="AL863" s="79"/>
      <c r="AM863" s="79"/>
      <c r="AN863" s="79"/>
      <c r="AO863" s="79" t="s">
        <v>304</v>
      </c>
      <c r="AP863" s="79"/>
      <c r="AQ863" s="80" t="s">
        <v>5880</v>
      </c>
      <c r="AR863" s="83" t="s">
        <v>4150</v>
      </c>
      <c r="AS863" s="80" t="s">
        <v>3371</v>
      </c>
      <c r="AT863" s="80" t="str">
        <f t="shared" si="1146"/>
        <v>Barrios Unidos</v>
      </c>
      <c r="AU863" s="79" t="s">
        <v>1031</v>
      </c>
      <c r="AV863" s="79"/>
      <c r="AW863" s="79"/>
      <c r="AX863" s="79"/>
      <c r="AY863" s="79"/>
      <c r="AZ863" s="79"/>
      <c r="BA863" s="80" t="str">
        <f t="shared" si="1147"/>
        <v>Centro Ampliado</v>
      </c>
      <c r="BB863" s="79" t="s">
        <v>636</v>
      </c>
      <c r="BC863" s="79"/>
      <c r="BD863" s="79"/>
      <c r="BE863" s="79"/>
      <c r="BF863" s="79"/>
      <c r="BG863" s="79"/>
      <c r="BH863" s="80" t="str">
        <f t="shared" si="1148"/>
        <v>Barrios Unidos</v>
      </c>
      <c r="BI863" s="79" t="s">
        <v>1031</v>
      </c>
      <c r="BJ863" s="79"/>
      <c r="BK863" s="79"/>
      <c r="BL863" s="79"/>
      <c r="BM863" s="79"/>
      <c r="BN863" s="79"/>
      <c r="BO863" s="79"/>
      <c r="BP863" s="79"/>
      <c r="BQ863" s="79"/>
      <c r="BR863" s="79"/>
      <c r="BS863" s="80" t="s">
        <v>5713</v>
      </c>
      <c r="BT863" s="80" t="s">
        <v>179</v>
      </c>
      <c r="BU863" s="328" t="s">
        <v>3931</v>
      </c>
      <c r="BV863" s="71"/>
      <c r="BW863" s="79" t="s">
        <v>152</v>
      </c>
      <c r="BX863" s="79" t="s">
        <v>179</v>
      </c>
      <c r="BY863" s="71"/>
      <c r="BZ863" s="79">
        <v>20</v>
      </c>
      <c r="CA863" s="79">
        <v>10</v>
      </c>
      <c r="CB863" s="79">
        <f t="shared" si="1149"/>
        <v>30</v>
      </c>
      <c r="CC863" s="79" t="str">
        <f t="shared" ref="CC863" si="1153">_xlfn.TEXTJOIN(", ",TRUE,$CD863:$CF863)</f>
        <v>Accesibilidad Universal, Horarios Acordes, Contenidos adaptados</v>
      </c>
      <c r="CD863" s="79" t="s">
        <v>397</v>
      </c>
      <c r="CE863" s="79" t="s">
        <v>351</v>
      </c>
      <c r="CF863" s="79" t="s">
        <v>350</v>
      </c>
      <c r="CG863" s="83" t="s">
        <v>5881</v>
      </c>
      <c r="CH863" s="41"/>
      <c r="CI863" s="79" t="s">
        <v>153</v>
      </c>
      <c r="CJ863" s="71"/>
      <c r="CK863" s="79">
        <v>2</v>
      </c>
      <c r="CL863" s="79" t="s">
        <v>5882</v>
      </c>
      <c r="CM863" s="79" t="s">
        <v>5883</v>
      </c>
      <c r="CN863" s="79"/>
      <c r="CO863" s="79"/>
      <c r="CP863" s="79"/>
      <c r="CQ863" s="79"/>
      <c r="CR863" s="83" t="s">
        <v>3773</v>
      </c>
      <c r="CS863" s="83" t="s">
        <v>3773</v>
      </c>
      <c r="CT863" s="83" t="s">
        <v>179</v>
      </c>
      <c r="CU863" s="83" t="s">
        <v>179</v>
      </c>
      <c r="CV863" s="83" t="s">
        <v>179</v>
      </c>
      <c r="CW863" s="83" t="s">
        <v>179</v>
      </c>
      <c r="CX863" s="79" t="s">
        <v>153</v>
      </c>
      <c r="CY863" s="79">
        <v>0</v>
      </c>
      <c r="CZ863" s="79">
        <v>0</v>
      </c>
      <c r="DA863" s="79">
        <v>0</v>
      </c>
      <c r="DB863" s="84" t="s">
        <v>316</v>
      </c>
      <c r="DC863" s="41"/>
      <c r="DD863" s="79" t="s">
        <v>152</v>
      </c>
      <c r="DE863" s="71"/>
      <c r="DF863" s="160" t="s">
        <v>5884</v>
      </c>
      <c r="DG863" s="79"/>
      <c r="DH863" s="86" t="str">
        <f t="shared" si="1150"/>
        <v>Completo</v>
      </c>
      <c r="DI863" s="79" t="s">
        <v>181</v>
      </c>
      <c r="DJ863" s="79" t="s">
        <v>182</v>
      </c>
      <c r="DK863" s="79" t="s">
        <v>153</v>
      </c>
      <c r="DL863" s="79">
        <v>6</v>
      </c>
      <c r="DM863" s="79">
        <v>6</v>
      </c>
      <c r="DN863" s="79" t="s">
        <v>182</v>
      </c>
      <c r="DO863" s="79">
        <v>140</v>
      </c>
      <c r="DP863" s="79" t="s">
        <v>182</v>
      </c>
      <c r="DQ863" s="79">
        <v>1</v>
      </c>
      <c r="DR863" s="75">
        <f t="shared" si="1152"/>
        <v>0.16666666666666666</v>
      </c>
      <c r="DS863" s="79" t="s">
        <v>182</v>
      </c>
      <c r="DT863" s="79">
        <v>13</v>
      </c>
      <c r="DU863" s="75">
        <f t="shared" si="1131"/>
        <v>1.8571428571428572</v>
      </c>
      <c r="DV863" s="79" t="s">
        <v>182</v>
      </c>
      <c r="DW863" s="79" t="s">
        <v>182</v>
      </c>
      <c r="DX863" s="79">
        <v>5</v>
      </c>
      <c r="DY863" s="79" t="s">
        <v>179</v>
      </c>
      <c r="DZ863" s="79"/>
      <c r="EA863" s="79"/>
      <c r="EB863" s="79" t="s">
        <v>182</v>
      </c>
      <c r="EC863" s="79" t="s">
        <v>5885</v>
      </c>
      <c r="ED863" s="79"/>
      <c r="EE863" s="79" t="str">
        <f t="shared" si="1143"/>
        <v>Completo</v>
      </c>
      <c r="EF863" s="41"/>
      <c r="EG863" s="79" t="s">
        <v>152</v>
      </c>
      <c r="EH863" s="71"/>
      <c r="EI863" s="199"/>
      <c r="EJ863" s="71"/>
      <c r="EK863" s="79"/>
      <c r="EL863" s="87" t="str">
        <f>IF(F863="NO","No requiere",IF(H863="No","No requiere",IF(DW863="","",IF(DW863&lt;&gt;"No aplica",IF(DX863&lt;&gt;"No aplica",IF(DX863&gt;=2,"Sí","No"),"No aplica"),"No aplica"))))</f>
        <v>Sí</v>
      </c>
      <c r="EM863" s="87" t="str">
        <f>IF(F863="NO","No requiere",IF(H863="No","No requiere",IF(DW863="","",IF(DW863&lt;&gt;"No aplica",IF(DY863&lt;&gt;"No aplica",IF(DY863&gt;=1,"Sí","No"),"No aplica"),"No aplica"))))</f>
        <v>No aplica</v>
      </c>
      <c r="EN863" s="87" t="str">
        <f>IF(F863="NO","No requiere",IF(H863="No","No requiere",IF(CC863="","",IF(CD863&lt;&gt;"No aplica",IF(CD863&lt;&gt;"Ninguna",IF(COUNTIF(CD863:CF863,"*")&gt;=1,"Sí","No"),"No"),"No aplica"))))</f>
        <v>Sí</v>
      </c>
      <c r="EO863" s="71"/>
      <c r="EP863" s="84">
        <f>IF(F863="NO","No requiere",IF(H863="No","No requiere",IF(DL863="","",IF(DL863&gt;=1,DM863/DL863,"No aplica"))))</f>
        <v>1</v>
      </c>
      <c r="EQ863" s="88">
        <f>IFERROR(IF(F863="NO","No requiere",IF(H863="No","No requiere",DU863)),"")</f>
        <v>1.8571428571428572</v>
      </c>
      <c r="ER863" s="71"/>
      <c r="ES863" s="79"/>
      <c r="ET863" s="84">
        <f>IF(F863="NO","No requiere",IF(H863="No","No requiere",IFERROR(COUNTIF(DJ863:DW863,"Completo")/SUM(COUNTIF(DJ863:DW863,"Completo"),COUNTIF(DJ863:DW863,"Incompleto"),COUNTIF(DJ863:DW863,"No subido"),COUNTIF(DJ863:DW863,"No existente"),COUNTIF(DJ863:DW863,"Pendiente")),"")))</f>
        <v>1</v>
      </c>
      <c r="EU863" s="84">
        <f>IF(F863="NO","No requiere",IF(H863="No","No requiere",IF(B863="","",IF(CX863="SÍ",IF(CK863&gt;=1,CY863/CK863,"Sin compromisos"),"Por verificar"))))</f>
        <v>0</v>
      </c>
      <c r="EV863" s="84" t="str">
        <f>IF(EU863="Por verificar","Por verificar",IF(F863="NO","No requiere",IF(H863="No","No requiere",IFERROR(IF(EU863="","",IF(CK863&gt;=1,DA863/CZ863,"No aplica")),"No aplica"))))</f>
        <v>No aplica</v>
      </c>
      <c r="EW863" s="84" t="str">
        <f>IF(F863="NO","No requiere",IF(H863="No","No requiere",IFERROR(IF(BZ863="","",IF(EA863&lt;&gt;"No aplica",IF(EA863&gt;=1,DO863/EA863,"0%"),"No aplica")),"")))</f>
        <v>0%</v>
      </c>
      <c r="EX863" s="78"/>
      <c r="EY863" s="78"/>
    </row>
    <row r="864" spans="1:155" ht="57" customHeight="1">
      <c r="A864" s="79">
        <v>860</v>
      </c>
      <c r="B864" s="80" t="s">
        <v>2726</v>
      </c>
      <c r="C864" s="81">
        <v>45533</v>
      </c>
      <c r="D864" s="82">
        <v>0.70833333333333337</v>
      </c>
      <c r="E864" s="79" t="s">
        <v>200</v>
      </c>
      <c r="F864" s="79" t="s">
        <v>153</v>
      </c>
      <c r="G864" s="79" t="s">
        <v>152</v>
      </c>
      <c r="H864" s="79" t="s">
        <v>152</v>
      </c>
      <c r="I864" s="79" t="s">
        <v>152</v>
      </c>
      <c r="J864" s="79" t="s">
        <v>211</v>
      </c>
      <c r="K864" s="79" t="s">
        <v>202</v>
      </c>
      <c r="L864" s="80" t="s">
        <v>5886</v>
      </c>
      <c r="M864" s="80" t="s">
        <v>624</v>
      </c>
      <c r="N864" s="79" t="s">
        <v>5846</v>
      </c>
      <c r="O864" s="80" t="str">
        <f t="shared" si="636"/>
        <v>PENDIENTE</v>
      </c>
      <c r="P864" s="79" t="s">
        <v>196</v>
      </c>
      <c r="Q864" s="79"/>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t="s">
        <v>230</v>
      </c>
      <c r="AP864" s="79" t="s">
        <v>242</v>
      </c>
      <c r="AQ864" s="80" t="s">
        <v>4455</v>
      </c>
      <c r="AR864" s="83" t="s">
        <v>5887</v>
      </c>
      <c r="AS864" s="80" t="s">
        <v>682</v>
      </c>
      <c r="AT864" s="80" t="str">
        <f t="shared" si="1146"/>
        <v>Distrital</v>
      </c>
      <c r="AU864" s="79" t="s">
        <v>172</v>
      </c>
      <c r="AV864" s="79"/>
      <c r="AW864" s="79"/>
      <c r="AX864" s="79"/>
      <c r="AY864" s="79"/>
      <c r="AZ864" s="79"/>
      <c r="BA864" s="80" t="str">
        <f t="shared" si="1147"/>
        <v>Distrital</v>
      </c>
      <c r="BB864" s="79" t="s">
        <v>172</v>
      </c>
      <c r="BC864" s="79"/>
      <c r="BD864" s="79"/>
      <c r="BE864" s="79"/>
      <c r="BF864" s="79"/>
      <c r="BG864" s="79"/>
      <c r="BH864" s="80" t="str">
        <f t="shared" si="1148"/>
        <v>Distrital</v>
      </c>
      <c r="BI864" s="79" t="s">
        <v>172</v>
      </c>
      <c r="BJ864" s="79"/>
      <c r="BK864" s="79"/>
      <c r="BL864" s="79"/>
      <c r="BM864" s="79"/>
      <c r="BN864" s="79"/>
      <c r="BO864" s="79"/>
      <c r="BP864" s="79"/>
      <c r="BQ864" s="79"/>
      <c r="BR864" s="79"/>
      <c r="BS864" s="80" t="s">
        <v>179</v>
      </c>
      <c r="BT864" s="315" t="s">
        <v>179</v>
      </c>
      <c r="BU864" s="329" t="s">
        <v>3978</v>
      </c>
      <c r="BV864" s="71"/>
      <c r="BW864" s="79" t="s">
        <v>152</v>
      </c>
      <c r="BX864" s="79" t="s">
        <v>179</v>
      </c>
      <c r="BY864" s="71"/>
      <c r="BZ864" s="79">
        <v>64</v>
      </c>
      <c r="CA864" s="79">
        <v>4</v>
      </c>
      <c r="CB864" s="79">
        <f t="shared" si="1149"/>
        <v>68</v>
      </c>
      <c r="CC864" s="79" t="s">
        <v>316</v>
      </c>
      <c r="CD864" s="79"/>
      <c r="CE864" s="79"/>
      <c r="CF864" s="165"/>
      <c r="CG864" s="319" t="s">
        <v>5888</v>
      </c>
      <c r="CH864" s="41"/>
      <c r="CI864" s="79" t="s">
        <v>153</v>
      </c>
      <c r="CJ864" s="71"/>
      <c r="CK864" s="79">
        <v>0</v>
      </c>
      <c r="CL864" s="79"/>
      <c r="CM864" s="79"/>
      <c r="CN864" s="79"/>
      <c r="CO864" s="79"/>
      <c r="CP864" s="79"/>
      <c r="CQ864" s="79"/>
      <c r="CR864" s="83"/>
      <c r="CS864" s="83"/>
      <c r="CT864" s="83"/>
      <c r="CU864" s="83"/>
      <c r="CV864" s="83"/>
      <c r="CW864" s="83"/>
      <c r="CX864" s="79"/>
      <c r="CY864" s="79">
        <v>0</v>
      </c>
      <c r="CZ864" s="79">
        <v>0</v>
      </c>
      <c r="DA864" s="79">
        <v>0</v>
      </c>
      <c r="DB864" s="84" t="s">
        <v>316</v>
      </c>
      <c r="DC864" s="41"/>
      <c r="DD864" s="79"/>
      <c r="DE864" s="71"/>
      <c r="DF864" s="127" t="s">
        <v>5889</v>
      </c>
      <c r="DG864" s="205"/>
      <c r="DH864" s="86">
        <f t="shared" si="1150"/>
        <v>45536</v>
      </c>
      <c r="DI864" s="79" t="s">
        <v>1246</v>
      </c>
      <c r="DJ864" s="79" t="s">
        <v>2659</v>
      </c>
      <c r="DK864" s="79"/>
      <c r="DL864" s="79">
        <v>0</v>
      </c>
      <c r="DM864" s="79">
        <v>0</v>
      </c>
      <c r="DN864" s="79" t="s">
        <v>182</v>
      </c>
      <c r="DO864" s="79"/>
      <c r="DP864" s="79"/>
      <c r="DQ864" s="79"/>
      <c r="DR864" s="75" t="str">
        <f t="shared" si="1152"/>
        <v>No aplica</v>
      </c>
      <c r="DS864" s="79"/>
      <c r="DT864" s="79"/>
      <c r="DU864" s="75" t="str">
        <f t="shared" si="1131"/>
        <v>No aplica</v>
      </c>
      <c r="DV864" s="79" t="s">
        <v>182</v>
      </c>
      <c r="DW864" s="79" t="s">
        <v>182</v>
      </c>
      <c r="DX864" s="79"/>
      <c r="DY864" s="79"/>
      <c r="DZ864" s="79"/>
      <c r="EA864" s="79"/>
      <c r="EB864" s="79"/>
      <c r="EC864" s="79"/>
      <c r="ED864" s="79" t="s">
        <v>5503</v>
      </c>
      <c r="EE864" s="79" t="str">
        <f t="shared" si="1143"/>
        <v>Por Completar</v>
      </c>
      <c r="EF864" s="41"/>
      <c r="EG864" s="79" t="s">
        <v>152</v>
      </c>
      <c r="EH864" s="71"/>
      <c r="EI864" s="80"/>
      <c r="EJ864" s="71"/>
      <c r="EK864" s="79"/>
      <c r="EL864" s="87" t="str">
        <f>IF(F864="NO","No requiere",IF(H864="No","No requiere",IF(DW864="","",IF(DW864&lt;&gt;"No aplica",IF(DX864&lt;&gt;"No aplica",IF(DX864&gt;=2,"Sí","No"),"No aplica"),"No aplica"))))</f>
        <v>No requiere</v>
      </c>
      <c r="EM864" s="87" t="str">
        <f>IF(F864="NO","No requiere",IF(H864="No","No requiere",IF(DW864="","",IF(DW864&lt;&gt;"No aplica",IF(DY864&lt;&gt;"No aplica",IF(DY864&gt;=1,"Sí","No"),"No aplica"),"No aplica"))))</f>
        <v>No requiere</v>
      </c>
      <c r="EN864" s="87" t="str">
        <f>IF(F864="NO","No requiere",IF(H864="No","No requiere",IF(CC864="","",IF(CD864&lt;&gt;"No aplica",IF(CD864&lt;&gt;"Ninguna",IF(COUNTIF(CD864:CF864,"*")&gt;=1,"Sí","No"),"No"),"No aplica"))))</f>
        <v>No requiere</v>
      </c>
      <c r="EO864" s="71"/>
      <c r="EP864" s="84" t="str">
        <f>IF(F864="NO","No requiere",IF(H864="No","No requiere",IF(DL864="","",IF(DL864&gt;=1,DM864/DL864,"No aplica"))))</f>
        <v>No requiere</v>
      </c>
      <c r="EQ864" s="88" t="str">
        <f>IFERROR(IF(F864="NO","No requiere",IF(H864="No","No requiere",DU864)),"")</f>
        <v>No requiere</v>
      </c>
      <c r="ER864" s="71"/>
      <c r="ES864" s="79"/>
      <c r="ET864" s="84" t="str">
        <f>IF(F864="NO","No requiere",IF(H864="No","No requiere",IFERROR(COUNTIF(DJ864:DW864,"Completo")/SUM(COUNTIF(DJ864:DW864,"Completo"),COUNTIF(DJ864:DW864,"Incompleto"),COUNTIF(DJ864:DW864,"No subido"),COUNTIF(DJ864:DW864,"No existente"),COUNTIF(DJ864:DW864,"Pendiente")),"")))</f>
        <v>No requiere</v>
      </c>
      <c r="EU864" s="84" t="str">
        <f>IF(F864="NO","No requiere",IF(H864="No","No requiere",IF(B864="","",IF(CX864="SÍ",IF(CK864&gt;=1,CY864/CK864,"Sin compromisos"),"Por verificar"))))</f>
        <v>No requiere</v>
      </c>
      <c r="EV864" s="84" t="str">
        <f>IF(EU864="Por verificar","Por verificar",IF(F864="NO","No requiere",IF(H864="No","No requiere",IFERROR(IF(EU864="","",IF(CK864&gt;=1,DA864/CZ864,"No aplica")),"No aplica"))))</f>
        <v>No requiere</v>
      </c>
      <c r="EW864" s="84" t="str">
        <f>IF(F864="NO","No requiere",IF(H864="No","No requiere",IFERROR(IF(BZ864="","",IF(EA864&lt;&gt;"No aplica",IF(EA864&gt;=1,DO864/EA864,"0%"),"No aplica")),"")))</f>
        <v>No requiere</v>
      </c>
      <c r="EX864" s="78"/>
      <c r="EY864" s="78"/>
    </row>
    <row r="865" spans="1:155" ht="57" customHeight="1">
      <c r="A865" s="79">
        <v>861</v>
      </c>
      <c r="B865" s="80" t="s">
        <v>5890</v>
      </c>
      <c r="C865" s="81">
        <v>45534</v>
      </c>
      <c r="D865" s="82">
        <v>0.33333333333333331</v>
      </c>
      <c r="E865" s="79" t="s">
        <v>151</v>
      </c>
      <c r="F865" s="79" t="s">
        <v>153</v>
      </c>
      <c r="G865" s="79" t="s">
        <v>153</v>
      </c>
      <c r="H865" s="79" t="s">
        <v>152</v>
      </c>
      <c r="I865" s="79" t="s">
        <v>152</v>
      </c>
      <c r="J865" s="79" t="s">
        <v>2153</v>
      </c>
      <c r="K865" s="79" t="s">
        <v>155</v>
      </c>
      <c r="L865" s="80" t="s">
        <v>5891</v>
      </c>
      <c r="M865" s="80" t="s">
        <v>624</v>
      </c>
      <c r="N865" s="79" t="s">
        <v>5852</v>
      </c>
      <c r="O865" s="80" t="str">
        <f>_xlfn.TEXTJOIN(", ",TRUE,P865:AN865)</f>
        <v>Renata Rengifo Moyano , Diana Carolina Aristizábal, Laura Sofia Morales, Luis Fernando Barreto, Viviana Buriticá Peláez, Yeiker Guerra Sarmiento, Juan Pablo Serna, Mario Fernández, William Arturo González , Jimmy Alejandro Osorio</v>
      </c>
      <c r="P865" s="79" t="s">
        <v>5755</v>
      </c>
      <c r="Q865" s="161" t="s">
        <v>165</v>
      </c>
      <c r="R865" s="79" t="s">
        <v>506</v>
      </c>
      <c r="S865" s="79" t="s">
        <v>5583</v>
      </c>
      <c r="T865" s="79" t="s">
        <v>5825</v>
      </c>
      <c r="U865" s="79" t="s">
        <v>163</v>
      </c>
      <c r="V865" s="79" t="s">
        <v>818</v>
      </c>
      <c r="W865" s="79" t="s">
        <v>5764</v>
      </c>
      <c r="X865" s="79" t="s">
        <v>5892</v>
      </c>
      <c r="Y865" s="79" t="s">
        <v>549</v>
      </c>
      <c r="Z865" s="79"/>
      <c r="AA865" s="79"/>
      <c r="AB865" s="79"/>
      <c r="AC865" s="79"/>
      <c r="AD865" s="79"/>
      <c r="AE865" s="79"/>
      <c r="AF865" s="79"/>
      <c r="AG865" s="79"/>
      <c r="AH865" s="79"/>
      <c r="AI865" s="79"/>
      <c r="AJ865" s="79"/>
      <c r="AK865" s="79"/>
      <c r="AL865" s="79"/>
      <c r="AM865" s="79"/>
      <c r="AN865" s="79"/>
      <c r="AO865" s="79" t="s">
        <v>1226</v>
      </c>
      <c r="AP865" s="79"/>
      <c r="AQ865" s="80" t="s">
        <v>179</v>
      </c>
      <c r="AR865" s="83" t="s">
        <v>179</v>
      </c>
      <c r="AS865" s="80" t="s">
        <v>179</v>
      </c>
      <c r="AT865" s="80" t="str">
        <f t="shared" si="1146"/>
        <v>Santa Fe</v>
      </c>
      <c r="AU865" s="79" t="s">
        <v>822</v>
      </c>
      <c r="AV865" s="79"/>
      <c r="AW865" s="79"/>
      <c r="AX865" s="79"/>
      <c r="AY865" s="79"/>
      <c r="AZ865" s="79"/>
      <c r="BA865" s="80" t="str">
        <f t="shared" si="1147"/>
        <v>Centro Ampliado</v>
      </c>
      <c r="BB865" s="79" t="s">
        <v>636</v>
      </c>
      <c r="BC865" s="79"/>
      <c r="BD865" s="79"/>
      <c r="BE865" s="79"/>
      <c r="BF865" s="79"/>
      <c r="BG865" s="79"/>
      <c r="BH865" s="80" t="str">
        <f t="shared" si="1148"/>
        <v>Centro Histórico</v>
      </c>
      <c r="BI865" s="79" t="s">
        <v>754</v>
      </c>
      <c r="BJ865" s="79"/>
      <c r="BK865" s="79"/>
      <c r="BL865" s="79"/>
      <c r="BM865" s="79"/>
      <c r="BN865" s="79"/>
      <c r="BO865" s="79"/>
      <c r="BP865" s="79"/>
      <c r="BQ865" s="79"/>
      <c r="BR865" s="79"/>
      <c r="BS865" s="80" t="s">
        <v>179</v>
      </c>
      <c r="BT865" s="315" t="s">
        <v>171</v>
      </c>
      <c r="BU865" s="321" t="s">
        <v>5893</v>
      </c>
      <c r="BV865" s="71"/>
      <c r="BW865" s="79" t="s">
        <v>152</v>
      </c>
      <c r="BX865" s="79" t="s">
        <v>179</v>
      </c>
      <c r="BY865" s="71"/>
      <c r="BZ865" s="79">
        <v>0</v>
      </c>
      <c r="CA865" s="79">
        <v>10</v>
      </c>
      <c r="CB865" s="79">
        <f t="shared" si="1149"/>
        <v>10</v>
      </c>
      <c r="CC865" s="79" t="s">
        <v>316</v>
      </c>
      <c r="CD865" s="79"/>
      <c r="CE865" s="79"/>
      <c r="CF865" s="165"/>
      <c r="CG865" s="319" t="s">
        <v>5891</v>
      </c>
      <c r="CH865" s="41"/>
      <c r="CI865" s="79" t="s">
        <v>153</v>
      </c>
      <c r="CJ865" s="71"/>
      <c r="CK865" s="79">
        <v>0</v>
      </c>
      <c r="CL865" s="79"/>
      <c r="CM865" s="79"/>
      <c r="CN865" s="79"/>
      <c r="CO865" s="79"/>
      <c r="CP865" s="79"/>
      <c r="CQ865" s="79"/>
      <c r="CR865" s="83" t="s">
        <v>179</v>
      </c>
      <c r="CS865" s="83" t="s">
        <v>179</v>
      </c>
      <c r="CT865" s="83" t="s">
        <v>179</v>
      </c>
      <c r="CU865" s="83" t="s">
        <v>179</v>
      </c>
      <c r="CV865" s="83" t="s">
        <v>179</v>
      </c>
      <c r="CW865" s="83" t="s">
        <v>179</v>
      </c>
      <c r="CX865" s="79" t="s">
        <v>153</v>
      </c>
      <c r="CY865" s="79">
        <v>0</v>
      </c>
      <c r="CZ865" s="79">
        <v>0</v>
      </c>
      <c r="DA865" s="79">
        <v>0</v>
      </c>
      <c r="DB865" s="84" t="s">
        <v>316</v>
      </c>
      <c r="DC865" s="41"/>
      <c r="DD865" s="79" t="s">
        <v>153</v>
      </c>
      <c r="DE865" s="71"/>
      <c r="DF865" s="127" t="s">
        <v>5894</v>
      </c>
      <c r="DG865" s="205"/>
      <c r="DH865" s="86" t="str">
        <f t="shared" si="1150"/>
        <v>Completo</v>
      </c>
      <c r="DI865" s="79" t="s">
        <v>181</v>
      </c>
      <c r="DJ865" s="79" t="s">
        <v>191</v>
      </c>
      <c r="DK865" s="79"/>
      <c r="DL865" s="79">
        <v>0</v>
      </c>
      <c r="DM865" s="79">
        <v>0</v>
      </c>
      <c r="DN865" s="79" t="s">
        <v>182</v>
      </c>
      <c r="DO865" s="79"/>
      <c r="DP865" s="79"/>
      <c r="DQ865" s="79"/>
      <c r="DR865" s="75" t="str">
        <f t="shared" si="1152"/>
        <v>No aplica</v>
      </c>
      <c r="DS865" s="79"/>
      <c r="DT865" s="79"/>
      <c r="DU865" s="75" t="str">
        <f t="shared" si="1131"/>
        <v>No aplica</v>
      </c>
      <c r="DV865" s="79" t="s">
        <v>182</v>
      </c>
      <c r="DW865" s="79"/>
      <c r="DX865" s="79"/>
      <c r="DY865" s="79"/>
      <c r="DZ865" s="79"/>
      <c r="EA865" s="79"/>
      <c r="EB865" s="79" t="s">
        <v>182</v>
      </c>
      <c r="EC865" s="79" t="s">
        <v>5895</v>
      </c>
      <c r="ED865" s="79" t="s">
        <v>5896</v>
      </c>
      <c r="EE865" s="79" t="str">
        <f t="shared" si="1143"/>
        <v>Completo</v>
      </c>
      <c r="EF865" s="41"/>
      <c r="EG865" s="79" t="s">
        <v>153</v>
      </c>
      <c r="EH865" s="71"/>
      <c r="EI865" s="80"/>
      <c r="EJ865" s="71"/>
      <c r="EK865" s="79"/>
      <c r="EL865" s="87" t="str">
        <f>IF(F865="NO","No requiere",IF(H865="No","No requiere",IF(DW865="","",IF(DW865&lt;&gt;"No aplica",IF(DX865&lt;&gt;"No aplica",IF(DX865&gt;=2,"Sí","No"),"No aplica"),"No aplica"))))</f>
        <v>No requiere</v>
      </c>
      <c r="EM865" s="87" t="str">
        <f>IF(F865="NO","No requiere",IF(H865="No","No requiere",IF(DW865="","",IF(DW865&lt;&gt;"No aplica",IF(DY865&lt;&gt;"No aplica",IF(DY865&gt;=1,"Sí","No"),"No aplica"),"No aplica"))))</f>
        <v>No requiere</v>
      </c>
      <c r="EN865" s="87" t="str">
        <f>IF(F865="NO","No requiere",IF(H865="No","No requiere",IF(CC865="","",IF(CD865&lt;&gt;"No aplica",IF(CD865&lt;&gt;"Ninguna",IF(COUNTIF(CD865:CF865,"*")&gt;=1,"Sí","No"),"No"),"No aplica"))))</f>
        <v>No requiere</v>
      </c>
      <c r="EO865" s="71"/>
      <c r="EP865" s="84" t="str">
        <f>IF(F865="NO","No requiere",IF(H865="No","No requiere",IF(DL865="","",IF(DL865&gt;=1,DM865/DL865,"No aplica"))))</f>
        <v>No requiere</v>
      </c>
      <c r="EQ865" s="88" t="str">
        <f>IFERROR(IF(F865="NO","No requiere",IF(H865="No","No requiere",DU865)),"")</f>
        <v>No requiere</v>
      </c>
      <c r="ER865" s="71"/>
      <c r="ES865" s="79"/>
      <c r="ET865" s="84" t="str">
        <f>IF(F865="NO","No requiere",IF(H865="No","No requiere",IFERROR(COUNTIF(DJ865:DW865,"Completo")/SUM(COUNTIF(DJ865:DW865,"Completo"),COUNTIF(DJ865:DW865,"Incompleto"),COUNTIF(DJ865:DW865,"No subido"),COUNTIF(DJ865:DW865,"No existente"),COUNTIF(DJ865:DW865,"Pendiente")),"")))</f>
        <v>No requiere</v>
      </c>
      <c r="EU865" s="84" t="str">
        <f>IF(F865="NO","No requiere",IF(H865="No","No requiere",IF(B865="","",IF(CX865="SÍ",IF(CK865&gt;=1,CY865/CK865,"Sin compromisos"),"Por verificar"))))</f>
        <v>No requiere</v>
      </c>
      <c r="EV865" s="84" t="str">
        <f>IF(EU865="Por verificar","Por verificar",IF(F865="NO","No requiere",IF(H865="No","No requiere",IFERROR(IF(EU865="","",IF(CK865&gt;=1,DA865/CZ865,"No aplica")),"No aplica"))))</f>
        <v>No requiere</v>
      </c>
      <c r="EW865" s="84" t="str">
        <f>IF(F865="NO","No requiere",IF(H865="No","No requiere",IFERROR(IF(BZ865="","",IF(EA865&lt;&gt;"No aplica",IF(EA865&gt;=1,DO865/EA865,"0%"),"No aplica")),"")))</f>
        <v>No requiere</v>
      </c>
      <c r="EX865" s="78"/>
      <c r="EY865" s="78"/>
    </row>
    <row r="866" spans="1:155" ht="57" customHeight="1">
      <c r="A866" s="79">
        <v>862</v>
      </c>
      <c r="B866" s="80" t="s">
        <v>5897</v>
      </c>
      <c r="C866" s="81">
        <v>45534</v>
      </c>
      <c r="D866" s="82">
        <v>0.58333333333333337</v>
      </c>
      <c r="E866" s="79" t="s">
        <v>151</v>
      </c>
      <c r="F866" s="79" t="s">
        <v>153</v>
      </c>
      <c r="G866" s="79" t="s">
        <v>153</v>
      </c>
      <c r="H866" s="79" t="s">
        <v>152</v>
      </c>
      <c r="I866" s="79" t="s">
        <v>152</v>
      </c>
      <c r="J866" s="79" t="s">
        <v>2153</v>
      </c>
      <c r="K866" s="79" t="s">
        <v>155</v>
      </c>
      <c r="L866" s="80" t="s">
        <v>5898</v>
      </c>
      <c r="M866" s="80" t="s">
        <v>624</v>
      </c>
      <c r="N866" s="79" t="s">
        <v>5852</v>
      </c>
      <c r="O866" s="80" t="str">
        <f>_xlfn.TEXTJOIN(", ",TRUE,P866:AN866)</f>
        <v>Andres Castro Latorre, Germán Ramón Jacome, Laura Camila Bechara, Ana María Ulloa, Jorge Eduardo Bermúdez, Fredy Alexander Martínez, Natalia Gómez Meza, Sebastian Higuera Góngora, Nathalia Guzmán Martínez , Paola Andrea González</v>
      </c>
      <c r="P866" s="79" t="s">
        <v>749</v>
      </c>
      <c r="Q866" s="79" t="s">
        <v>525</v>
      </c>
      <c r="R866" s="79" t="s">
        <v>887</v>
      </c>
      <c r="S866" s="79" t="s">
        <v>522</v>
      </c>
      <c r="T866" s="79" t="s">
        <v>5899</v>
      </c>
      <c r="U866" s="79" t="s">
        <v>5852</v>
      </c>
      <c r="V866" s="79" t="s">
        <v>5900</v>
      </c>
      <c r="W866" s="79" t="s">
        <v>5901</v>
      </c>
      <c r="X866" s="79" t="s">
        <v>5834</v>
      </c>
      <c r="Y866" s="79" t="s">
        <v>924</v>
      </c>
      <c r="Z866" s="79"/>
      <c r="AA866" s="79"/>
      <c r="AB866" s="79"/>
      <c r="AC866" s="79"/>
      <c r="AD866" s="79"/>
      <c r="AE866" s="79"/>
      <c r="AF866" s="79"/>
      <c r="AG866" s="79"/>
      <c r="AH866" s="79"/>
      <c r="AI866" s="79"/>
      <c r="AJ866" s="79"/>
      <c r="AK866" s="79"/>
      <c r="AL866" s="79"/>
      <c r="AM866" s="79"/>
      <c r="AN866" s="79"/>
      <c r="AO866" s="79" t="s">
        <v>1226</v>
      </c>
      <c r="AP866" s="79"/>
      <c r="AQ866" s="80" t="s">
        <v>179</v>
      </c>
      <c r="AR866" s="83" t="s">
        <v>179</v>
      </c>
      <c r="AS866" s="80" t="s">
        <v>179</v>
      </c>
      <c r="AT866" s="80" t="str">
        <f t="shared" si="1146"/>
        <v>Teusaquillo</v>
      </c>
      <c r="AU866" s="79" t="s">
        <v>1004</v>
      </c>
      <c r="AV866" s="79"/>
      <c r="AW866" s="79"/>
      <c r="AX866" s="79"/>
      <c r="AY866" s="79"/>
      <c r="AZ866" s="79"/>
      <c r="BA866" s="80" t="str">
        <f t="shared" si="1147"/>
        <v>Centro Ampliado</v>
      </c>
      <c r="BB866" s="79" t="s">
        <v>636</v>
      </c>
      <c r="BC866" s="79"/>
      <c r="BD866" s="79"/>
      <c r="BE866" s="79"/>
      <c r="BF866" s="79"/>
      <c r="BG866" s="79"/>
      <c r="BH866" s="80" t="str">
        <f t="shared" si="1148"/>
        <v>Teusaquillo</v>
      </c>
      <c r="BI866" s="79" t="s">
        <v>1004</v>
      </c>
      <c r="BJ866" s="79"/>
      <c r="BK866" s="79"/>
      <c r="BL866" s="79"/>
      <c r="BM866" s="79"/>
      <c r="BN866" s="79"/>
      <c r="BO866" s="79"/>
      <c r="BP866" s="79"/>
      <c r="BQ866" s="79"/>
      <c r="BR866" s="79"/>
      <c r="BS866" s="80" t="s">
        <v>179</v>
      </c>
      <c r="BT866" s="315" t="s">
        <v>171</v>
      </c>
      <c r="BU866" s="324" t="s">
        <v>5902</v>
      </c>
      <c r="BV866" s="71"/>
      <c r="BW866" s="79" t="s">
        <v>152</v>
      </c>
      <c r="BX866" s="79" t="s">
        <v>179</v>
      </c>
      <c r="BY866" s="71"/>
      <c r="BZ866" s="79"/>
      <c r="CA866" s="79">
        <v>10</v>
      </c>
      <c r="CB866" s="79">
        <f t="shared" si="1149"/>
        <v>10</v>
      </c>
      <c r="CC866" s="79" t="str">
        <f t="shared" ref="CC866:CC879" si="1154">_xlfn.TEXTJOIN(", ",TRUE,$CD866:$CF866)</f>
        <v>Ninguna</v>
      </c>
      <c r="CD866" s="79" t="s">
        <v>174</v>
      </c>
      <c r="CE866" s="79"/>
      <c r="CF866" s="165"/>
      <c r="CG866" s="318" t="s">
        <v>5903</v>
      </c>
      <c r="CH866" s="41"/>
      <c r="CI866" s="79" t="s">
        <v>153</v>
      </c>
      <c r="CJ866" s="71"/>
      <c r="CK866" s="79">
        <v>0</v>
      </c>
      <c r="CL866" s="79"/>
      <c r="CM866" s="79"/>
      <c r="CN866" s="79"/>
      <c r="CO866" s="79"/>
      <c r="CP866" s="79"/>
      <c r="CQ866" s="79"/>
      <c r="CR866" s="83" t="s">
        <v>179</v>
      </c>
      <c r="CS866" s="83" t="s">
        <v>179</v>
      </c>
      <c r="CT866" s="83" t="s">
        <v>179</v>
      </c>
      <c r="CU866" s="83" t="s">
        <v>179</v>
      </c>
      <c r="CV866" s="83" t="s">
        <v>179</v>
      </c>
      <c r="CW866" s="83" t="s">
        <v>179</v>
      </c>
      <c r="CX866" s="79" t="s">
        <v>153</v>
      </c>
      <c r="CY866" s="79"/>
      <c r="CZ866" s="79"/>
      <c r="DA866" s="79"/>
      <c r="DB866" s="84"/>
      <c r="DC866" s="41"/>
      <c r="DD866" s="79" t="s">
        <v>153</v>
      </c>
      <c r="DE866" s="71"/>
      <c r="DF866" s="127" t="s">
        <v>5904</v>
      </c>
      <c r="DG866" s="205"/>
      <c r="DH866" s="86" t="str">
        <f t="shared" si="1150"/>
        <v>Completo</v>
      </c>
      <c r="DI866" s="79" t="s">
        <v>181</v>
      </c>
      <c r="DJ866" s="79" t="s">
        <v>191</v>
      </c>
      <c r="DK866" s="79"/>
      <c r="DL866" s="79"/>
      <c r="DM866" s="79"/>
      <c r="DN866" s="79" t="s">
        <v>182</v>
      </c>
      <c r="DO866" s="79"/>
      <c r="DP866" s="79"/>
      <c r="DQ866" s="79"/>
      <c r="DR866" s="75" t="str">
        <f t="shared" si="1152"/>
        <v>No aplica</v>
      </c>
      <c r="DS866" s="79"/>
      <c r="DT866" s="79"/>
      <c r="DU866" s="75" t="str">
        <f t="shared" si="1131"/>
        <v>No aplica</v>
      </c>
      <c r="DV866" s="79" t="s">
        <v>182</v>
      </c>
      <c r="DW866" s="79"/>
      <c r="DX866" s="79"/>
      <c r="DY866" s="79"/>
      <c r="DZ866" s="79"/>
      <c r="EA866" s="79"/>
      <c r="EB866" s="79" t="s">
        <v>182</v>
      </c>
      <c r="EC866" s="79" t="s">
        <v>5895</v>
      </c>
      <c r="ED866" s="79" t="s">
        <v>5896</v>
      </c>
      <c r="EE866" s="79" t="str">
        <f t="shared" si="1143"/>
        <v>Completo</v>
      </c>
      <c r="EF866" s="41"/>
      <c r="EG866" s="79" t="s">
        <v>153</v>
      </c>
      <c r="EH866" s="71"/>
      <c r="EI866" s="80"/>
      <c r="EJ866" s="71"/>
      <c r="EK866" s="79"/>
      <c r="EL866" s="87" t="str">
        <f>IF(F866="NO","No requiere",IF(H866="No","No requiere",IF(DW866="","",IF(DW866&lt;&gt;"No aplica",IF(DX866&lt;&gt;"No aplica",IF(DX866&gt;=2,"Sí","No"),"No aplica"),"No aplica"))))</f>
        <v>No requiere</v>
      </c>
      <c r="EM866" s="87" t="str">
        <f>IF(F866="NO","No requiere",IF(H866="No","No requiere",IF(DW866="","",IF(DW866&lt;&gt;"No aplica",IF(DY866&lt;&gt;"No aplica",IF(DY866&gt;=1,"Sí","No"),"No aplica"),"No aplica"))))</f>
        <v>No requiere</v>
      </c>
      <c r="EN866" s="87" t="str">
        <f>IF(F866="NO","No requiere",IF(H866="No","No requiere",IF(CC866="","",IF(CD866&lt;&gt;"No aplica",IF(CD866&lt;&gt;"Ninguna",IF(COUNTIF(CD866:CF866,"*")&gt;=1,"Sí","No"),"No"),"No aplica"))))</f>
        <v>No requiere</v>
      </c>
      <c r="EO866" s="71"/>
      <c r="EP866" s="84" t="str">
        <f>IF(F866="NO","No requiere",IF(H866="No","No requiere",IF(DL866="","",IF(DL866&gt;=1,DM866/DL866,"No aplica"))))</f>
        <v>No requiere</v>
      </c>
      <c r="EQ866" s="88" t="str">
        <f>IFERROR(IF(F866="NO","No requiere",IF(H866="No","No requiere",DU866)),"")</f>
        <v>No requiere</v>
      </c>
      <c r="ER866" s="71"/>
      <c r="ES866" s="79"/>
      <c r="ET866" s="84" t="str">
        <f>IF(F866="NO","No requiere",IF(H866="No","No requiere",IFERROR(COUNTIF(DJ866:DW866,"Completo")/SUM(COUNTIF(DJ866:DW866,"Completo"),COUNTIF(DJ866:DW866,"Incompleto"),COUNTIF(DJ866:DW866,"No subido"),COUNTIF(DJ866:DW866,"No existente"),COUNTIF(DJ866:DW866,"Pendiente")),"")))</f>
        <v>No requiere</v>
      </c>
      <c r="EU866" s="84" t="str">
        <f>IF(F866="NO","No requiere",IF(H866="No","No requiere",IF(B866="","",IF(CX866="SÍ",IF(CK866&gt;=1,CY866/CK866,"Sin compromisos"),"Por verificar"))))</f>
        <v>No requiere</v>
      </c>
      <c r="EV866" s="84" t="str">
        <f>IF(EU866="Por verificar","Por verificar",IF(F866="NO","No requiere",IF(H866="No","No requiere",IFERROR(IF(EU866="","",IF(CK866&gt;=1,DA866/CZ866,"No aplica")),"No aplica"))))</f>
        <v>No requiere</v>
      </c>
      <c r="EW866" s="84" t="str">
        <f>IF(F866="NO","No requiere",IF(H866="No","No requiere",IFERROR(IF(BZ866="","",IF(EA866&lt;&gt;"No aplica",IF(EA866&gt;=1,DO866/EA866,"0%"),"No aplica")),"")))</f>
        <v>No requiere</v>
      </c>
      <c r="EX866" s="78"/>
      <c r="EY866" s="78"/>
    </row>
    <row r="867" spans="1:155" ht="57" customHeight="1">
      <c r="A867" s="79">
        <v>863</v>
      </c>
      <c r="B867" s="80" t="s">
        <v>2583</v>
      </c>
      <c r="C867" s="81">
        <v>45534</v>
      </c>
      <c r="D867" s="82">
        <v>0.70833333333333337</v>
      </c>
      <c r="E867" s="79" t="s">
        <v>200</v>
      </c>
      <c r="F867" s="79" t="s">
        <v>153</v>
      </c>
      <c r="G867" s="79" t="s">
        <v>152</v>
      </c>
      <c r="H867" s="79" t="s">
        <v>152</v>
      </c>
      <c r="I867" s="79" t="s">
        <v>152</v>
      </c>
      <c r="J867" s="79" t="s">
        <v>211</v>
      </c>
      <c r="K867" s="79" t="s">
        <v>202</v>
      </c>
      <c r="L867" s="80" t="s">
        <v>5905</v>
      </c>
      <c r="M867" s="80" t="s">
        <v>624</v>
      </c>
      <c r="N867" s="79" t="s">
        <v>165</v>
      </c>
      <c r="O867" s="80" t="str">
        <f t="shared" si="636"/>
        <v/>
      </c>
      <c r="P867" s="79"/>
      <c r="Q867" s="79"/>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t="s">
        <v>230</v>
      </c>
      <c r="AP867" s="79" t="s">
        <v>242</v>
      </c>
      <c r="AQ867" s="80" t="s">
        <v>5906</v>
      </c>
      <c r="AR867" s="83" t="s">
        <v>5787</v>
      </c>
      <c r="AS867" s="80" t="s">
        <v>5907</v>
      </c>
      <c r="AT867" s="80" t="str">
        <f t="shared" si="1146"/>
        <v>Distrital</v>
      </c>
      <c r="AU867" s="79" t="s">
        <v>172</v>
      </c>
      <c r="AV867" s="79"/>
      <c r="AW867" s="79"/>
      <c r="AX867" s="79"/>
      <c r="AY867" s="79"/>
      <c r="AZ867" s="79"/>
      <c r="BA867" s="80" t="str">
        <f t="shared" si="1147"/>
        <v>Distrital</v>
      </c>
      <c r="BB867" s="79" t="s">
        <v>172</v>
      </c>
      <c r="BC867" s="79"/>
      <c r="BD867" s="79"/>
      <c r="BE867" s="79"/>
      <c r="BF867" s="79"/>
      <c r="BG867" s="79"/>
      <c r="BH867" s="80" t="str">
        <f t="shared" si="1148"/>
        <v>Distrital</v>
      </c>
      <c r="BI867" s="79" t="s">
        <v>172</v>
      </c>
      <c r="BJ867" s="79"/>
      <c r="BK867" s="79"/>
      <c r="BL867" s="79"/>
      <c r="BM867" s="79"/>
      <c r="BN867" s="79"/>
      <c r="BO867" s="79"/>
      <c r="BP867" s="79"/>
      <c r="BQ867" s="79"/>
      <c r="BR867" s="79"/>
      <c r="BS867" s="80" t="s">
        <v>179</v>
      </c>
      <c r="BT867" s="315" t="s">
        <v>179</v>
      </c>
      <c r="BU867" s="327" t="s">
        <v>3978</v>
      </c>
      <c r="BV867" s="71"/>
      <c r="BW867" s="79" t="s">
        <v>152</v>
      </c>
      <c r="BX867" s="79" t="s">
        <v>179</v>
      </c>
      <c r="BY867" s="71"/>
      <c r="BZ867" s="79">
        <v>7</v>
      </c>
      <c r="CA867" s="79">
        <v>1</v>
      </c>
      <c r="CB867" s="79">
        <f t="shared" si="1149"/>
        <v>8</v>
      </c>
      <c r="CC867" s="79" t="str">
        <f t="shared" si="1154"/>
        <v>Ninguna</v>
      </c>
      <c r="CD867" s="79" t="s">
        <v>174</v>
      </c>
      <c r="CE867" s="79"/>
      <c r="CF867" s="165"/>
      <c r="CG867" s="318" t="s">
        <v>5908</v>
      </c>
      <c r="CH867" s="41"/>
      <c r="CI867" s="79" t="s">
        <v>153</v>
      </c>
      <c r="CJ867" s="71"/>
      <c r="CK867" s="79">
        <v>0</v>
      </c>
      <c r="CL867" s="79"/>
      <c r="CM867" s="79"/>
      <c r="CN867" s="79"/>
      <c r="CO867" s="79"/>
      <c r="CP867" s="79"/>
      <c r="CQ867" s="79"/>
      <c r="CR867" s="83"/>
      <c r="CS867" s="83"/>
      <c r="CT867" s="83"/>
      <c r="CU867" s="83"/>
      <c r="CV867" s="83"/>
      <c r="CW867" s="83"/>
      <c r="CX867" s="79"/>
      <c r="CY867" s="79">
        <v>0</v>
      </c>
      <c r="CZ867" s="79">
        <v>0</v>
      </c>
      <c r="DA867" s="79">
        <v>0</v>
      </c>
      <c r="DB867" s="84" t="s">
        <v>316</v>
      </c>
      <c r="DC867" s="41"/>
      <c r="DD867" s="79"/>
      <c r="DE867" s="71"/>
      <c r="DF867" s="127" t="s">
        <v>5909</v>
      </c>
      <c r="DG867" s="205"/>
      <c r="DH867" s="86">
        <f t="shared" si="1150"/>
        <v>45537</v>
      </c>
      <c r="DI867" s="79" t="s">
        <v>3560</v>
      </c>
      <c r="DJ867" s="79"/>
      <c r="DK867" s="79"/>
      <c r="DL867" s="79">
        <v>0</v>
      </c>
      <c r="DM867" s="79">
        <v>0</v>
      </c>
      <c r="DN867" s="79"/>
      <c r="DO867" s="79">
        <v>24</v>
      </c>
      <c r="DP867" s="79"/>
      <c r="DQ867" s="79"/>
      <c r="DR867" s="75" t="str">
        <f t="shared" si="1152"/>
        <v>No aplica</v>
      </c>
      <c r="DS867" s="79"/>
      <c r="DT867" s="79"/>
      <c r="DU867" s="75" t="str">
        <f t="shared" si="1131"/>
        <v>No aplica</v>
      </c>
      <c r="DV867" s="79"/>
      <c r="DW867" s="79"/>
      <c r="DX867" s="79"/>
      <c r="DY867" s="79"/>
      <c r="DZ867" s="79"/>
      <c r="EA867" s="79"/>
      <c r="EB867" s="79"/>
      <c r="EC867" s="79"/>
      <c r="ED867" s="79" t="s">
        <v>770</v>
      </c>
      <c r="EE867" s="79" t="str">
        <f t="shared" si="1143"/>
        <v>Por Completar</v>
      </c>
      <c r="EF867" s="41"/>
      <c r="EG867" s="79" t="s">
        <v>152</v>
      </c>
      <c r="EH867" s="71"/>
      <c r="EI867" s="80"/>
      <c r="EJ867" s="71"/>
      <c r="EK867" s="79"/>
      <c r="EL867" s="87" t="str">
        <f>IF(F867="NO","No requiere",IF(H867="No","No requiere",IF(DW867="","",IF(DW867&lt;&gt;"No aplica",IF(DX867&lt;&gt;"No aplica",IF(DX867&gt;=2,"Sí","No"),"No aplica"),"No aplica"))))</f>
        <v>No requiere</v>
      </c>
      <c r="EM867" s="87" t="str">
        <f>IF(F867="NO","No requiere",IF(H867="No","No requiere",IF(DW867="","",IF(DW867&lt;&gt;"No aplica",IF(DY867&lt;&gt;"No aplica",IF(DY867&gt;=1,"Sí","No"),"No aplica"),"No aplica"))))</f>
        <v>No requiere</v>
      </c>
      <c r="EN867" s="87" t="str">
        <f>IF(F867="NO","No requiere",IF(H867="No","No requiere",IF(CC867="","",IF(CD867&lt;&gt;"No aplica",IF(CD867&lt;&gt;"Ninguna",IF(COUNTIF(CD867:CF867,"*")&gt;=1,"Sí","No"),"No"),"No aplica"))))</f>
        <v>No requiere</v>
      </c>
      <c r="EO867" s="71"/>
      <c r="EP867" s="84" t="str">
        <f>IF(F867="NO","No requiere",IF(H867="No","No requiere",IF(DL867="","",IF(DL867&gt;=1,DM867/DL867,"No aplica"))))</f>
        <v>No requiere</v>
      </c>
      <c r="EQ867" s="88" t="str">
        <f>IFERROR(IF(F867="NO","No requiere",IF(H867="No","No requiere",DU867)),"")</f>
        <v>No requiere</v>
      </c>
      <c r="ER867" s="71"/>
      <c r="ES867" s="79"/>
      <c r="ET867" s="84" t="str">
        <f>IF(F867="NO","No requiere",IF(H867="No","No requiere",IFERROR(COUNTIF(DJ867:DW867,"Completo")/SUM(COUNTIF(DJ867:DW867,"Completo"),COUNTIF(DJ867:DW867,"Incompleto"),COUNTIF(DJ867:DW867,"No subido"),COUNTIF(DJ867:DW867,"No existente"),COUNTIF(DJ867:DW867,"Pendiente")),"")))</f>
        <v>No requiere</v>
      </c>
      <c r="EU867" s="84" t="str">
        <f>IF(F867="NO","No requiere",IF(H867="No","No requiere",IF(B867="","",IF(CX867="SÍ",IF(CK867&gt;=1,CY867/CK867,"Sin compromisos"),"Por verificar"))))</f>
        <v>No requiere</v>
      </c>
      <c r="EV867" s="84" t="str">
        <f>IF(EU867="Por verificar","Por verificar",IF(F867="NO","No requiere",IF(H867="No","No requiere",IFERROR(IF(EU867="","",IF(CK867&gt;=1,DA867/CZ867,"No aplica")),"No aplica"))))</f>
        <v>No requiere</v>
      </c>
      <c r="EW867" s="84" t="str">
        <f>IF(F867="NO","No requiere",IF(H867="No","No requiere",IFERROR(IF(BZ867="","",IF(EA867&lt;&gt;"No aplica",IF(EA867&gt;=1,DO867/EA867,"0%"),"No aplica")),"")))</f>
        <v>No requiere</v>
      </c>
      <c r="EX867" s="78"/>
      <c r="EY867" s="78"/>
    </row>
    <row r="868" spans="1:155" ht="57" customHeight="1">
      <c r="A868" s="79">
        <v>864</v>
      </c>
      <c r="B868" s="80" t="s">
        <v>5910</v>
      </c>
      <c r="C868" s="81">
        <v>45535</v>
      </c>
      <c r="D868" s="82">
        <v>0.33333333333333331</v>
      </c>
      <c r="E868" s="79" t="s">
        <v>151</v>
      </c>
      <c r="F868" s="79" t="s">
        <v>153</v>
      </c>
      <c r="G868" s="79" t="s">
        <v>153</v>
      </c>
      <c r="H868" s="79" t="s">
        <v>152</v>
      </c>
      <c r="I868" s="79" t="s">
        <v>152</v>
      </c>
      <c r="J868" s="79" t="s">
        <v>2153</v>
      </c>
      <c r="K868" s="79" t="s">
        <v>155</v>
      </c>
      <c r="L868" s="80" t="s">
        <v>5911</v>
      </c>
      <c r="M868" s="80" t="s">
        <v>624</v>
      </c>
      <c r="N868" s="79" t="s">
        <v>5852</v>
      </c>
      <c r="O868" s="80" t="str">
        <f>_xlfn.TEXTJOIN(", ",TRUE,P868:AN868)</f>
        <v>Nicolás Esteban Flórez, Daniela Velasco Vega, César Augusto Barrantes, Diego Alejandro Camacho, Dayanna Alexandra Cortés, Claudia Fernanda Pineda, Humberto Díaz Acosta, Nancy Stella Villa, Carlos Eduardo Escandón, Luna Paulina Benjumea</v>
      </c>
      <c r="P868" s="79" t="s">
        <v>472</v>
      </c>
      <c r="Q868" s="79" t="s">
        <v>660</v>
      </c>
      <c r="R868" s="79" t="s">
        <v>729</v>
      </c>
      <c r="S868" s="161" t="s">
        <v>422</v>
      </c>
      <c r="T868" s="79" t="s">
        <v>5912</v>
      </c>
      <c r="U868" s="79" t="s">
        <v>546</v>
      </c>
      <c r="V868" s="79" t="s">
        <v>253</v>
      </c>
      <c r="W868" s="79" t="s">
        <v>5913</v>
      </c>
      <c r="X868" s="79" t="s">
        <v>819</v>
      </c>
      <c r="Y868" s="79" t="s">
        <v>4960</v>
      </c>
      <c r="Z868" s="79"/>
      <c r="AA868" s="79"/>
      <c r="AB868" s="79"/>
      <c r="AC868" s="79"/>
      <c r="AD868" s="79"/>
      <c r="AE868" s="79"/>
      <c r="AF868" s="79"/>
      <c r="AG868" s="79"/>
      <c r="AH868" s="79"/>
      <c r="AI868" s="79"/>
      <c r="AJ868" s="79"/>
      <c r="AK868" s="79"/>
      <c r="AL868" s="79"/>
      <c r="AM868" s="79"/>
      <c r="AN868" s="79"/>
      <c r="AO868" s="79" t="s">
        <v>1226</v>
      </c>
      <c r="AP868" s="79"/>
      <c r="AQ868" s="80" t="s">
        <v>179</v>
      </c>
      <c r="AR868" s="83" t="s">
        <v>179</v>
      </c>
      <c r="AS868" s="80" t="s">
        <v>179</v>
      </c>
      <c r="AT868" s="80" t="str">
        <f t="shared" si="1146"/>
        <v>Chapinero</v>
      </c>
      <c r="AU868" s="79" t="s">
        <v>360</v>
      </c>
      <c r="AV868" s="79"/>
      <c r="AW868" s="79"/>
      <c r="AX868" s="79"/>
      <c r="AY868" s="79"/>
      <c r="AZ868" s="79"/>
      <c r="BA868" s="80" t="str">
        <f t="shared" si="1147"/>
        <v>Centro Ampliado</v>
      </c>
      <c r="BB868" s="79" t="s">
        <v>636</v>
      </c>
      <c r="BC868" s="79"/>
      <c r="BD868" s="79"/>
      <c r="BE868" s="79"/>
      <c r="BF868" s="79"/>
      <c r="BG868" s="79"/>
      <c r="BH868" s="80" t="str">
        <f t="shared" si="1148"/>
        <v>Chapinero</v>
      </c>
      <c r="BI868" s="79" t="s">
        <v>360</v>
      </c>
      <c r="BJ868" s="79"/>
      <c r="BK868" s="79"/>
      <c r="BL868" s="79"/>
      <c r="BM868" s="79"/>
      <c r="BN868" s="79"/>
      <c r="BO868" s="79"/>
      <c r="BP868" s="79"/>
      <c r="BQ868" s="79"/>
      <c r="BR868" s="79"/>
      <c r="BS868" s="80" t="s">
        <v>179</v>
      </c>
      <c r="BT868" s="315" t="s">
        <v>171</v>
      </c>
      <c r="BU868" s="321" t="s">
        <v>5914</v>
      </c>
      <c r="BV868" s="71"/>
      <c r="BW868" s="79" t="s">
        <v>152</v>
      </c>
      <c r="BX868" s="79" t="s">
        <v>179</v>
      </c>
      <c r="BY868" s="71"/>
      <c r="BZ868" s="79"/>
      <c r="CA868" s="79">
        <v>10</v>
      </c>
      <c r="CB868" s="79">
        <f t="shared" si="1149"/>
        <v>10</v>
      </c>
      <c r="CC868" s="79" t="str">
        <f t="shared" si="1154"/>
        <v>Ninguna</v>
      </c>
      <c r="CD868" s="79" t="s">
        <v>174</v>
      </c>
      <c r="CE868" s="79"/>
      <c r="CF868" s="165"/>
      <c r="CG868" s="319" t="s">
        <v>5915</v>
      </c>
      <c r="CH868" s="41"/>
      <c r="CI868" s="79" t="s">
        <v>152</v>
      </c>
      <c r="CJ868" s="71"/>
      <c r="CK868" s="79">
        <v>0</v>
      </c>
      <c r="CL868" s="79"/>
      <c r="CM868" s="79"/>
      <c r="CN868" s="79"/>
      <c r="CO868" s="79"/>
      <c r="CP868" s="79"/>
      <c r="CQ868" s="79"/>
      <c r="CR868" s="83"/>
      <c r="CS868" s="83"/>
      <c r="CT868" s="83"/>
      <c r="CU868" s="83"/>
      <c r="CV868" s="83"/>
      <c r="CW868" s="83"/>
      <c r="CX868" s="79"/>
      <c r="CY868" s="79">
        <v>0</v>
      </c>
      <c r="CZ868" s="79">
        <v>0</v>
      </c>
      <c r="DA868" s="79">
        <v>0</v>
      </c>
      <c r="DB868" s="84" t="s">
        <v>316</v>
      </c>
      <c r="DC868" s="41"/>
      <c r="DD868" s="79"/>
      <c r="DE868" s="71"/>
      <c r="DF868" s="127" t="s">
        <v>5916</v>
      </c>
      <c r="DG868" s="205"/>
      <c r="DH868" s="86" t="str">
        <f t="shared" si="1150"/>
        <v>Completo</v>
      </c>
      <c r="DI868" s="79" t="s">
        <v>181</v>
      </c>
      <c r="DJ868" s="79" t="s">
        <v>191</v>
      </c>
      <c r="DK868" s="79"/>
      <c r="DL868" s="79">
        <v>0</v>
      </c>
      <c r="DM868" s="79">
        <v>0</v>
      </c>
      <c r="DN868" s="79" t="s">
        <v>182</v>
      </c>
      <c r="DO868" s="79"/>
      <c r="DP868" s="79"/>
      <c r="DQ868" s="79"/>
      <c r="DR868" s="75" t="str">
        <f t="shared" si="1152"/>
        <v>No aplica</v>
      </c>
      <c r="DS868" s="79"/>
      <c r="DT868" s="79"/>
      <c r="DU868" s="75" t="str">
        <f t="shared" ref="DU868:DU896" si="1155">IF(H868="SÍ", (DT868/(BZ868*0.35)), "No aplica")</f>
        <v>No aplica</v>
      </c>
      <c r="DV868" s="79" t="s">
        <v>182</v>
      </c>
      <c r="DW868" s="79"/>
      <c r="DX868" s="79"/>
      <c r="DY868" s="79"/>
      <c r="DZ868" s="79"/>
      <c r="EA868" s="79"/>
      <c r="EB868" s="79" t="s">
        <v>182</v>
      </c>
      <c r="EC868" s="79" t="s">
        <v>5917</v>
      </c>
      <c r="ED868" s="79" t="s">
        <v>5896</v>
      </c>
      <c r="EE868" s="79" t="str">
        <f t="shared" si="1143"/>
        <v>Completo</v>
      </c>
      <c r="EF868" s="41"/>
      <c r="EG868" s="79" t="s">
        <v>153</v>
      </c>
      <c r="EH868" s="71"/>
      <c r="EI868" s="80"/>
      <c r="EJ868" s="71"/>
      <c r="EK868" s="79"/>
      <c r="EL868" s="87" t="str">
        <f>IF(F868="NO","No requiere",IF(H868="No","No requiere",IF(DW868="","",IF(DW868&lt;&gt;"No aplica",IF(DX868&lt;&gt;"No aplica",IF(DX868&gt;=2,"Sí","No"),"No aplica"),"No aplica"))))</f>
        <v>No requiere</v>
      </c>
      <c r="EM868" s="87" t="str">
        <f>IF(F868="NO","No requiere",IF(H868="No","No requiere",IF(DW868="","",IF(DW868&lt;&gt;"No aplica",IF(DY868&lt;&gt;"No aplica",IF(DY868&gt;=1,"Sí","No"),"No aplica"),"No aplica"))))</f>
        <v>No requiere</v>
      </c>
      <c r="EN868" s="87" t="str">
        <f>IF(F868="NO","No requiere",IF(H868="No","No requiere",IF(CC868="","",IF(CD868&lt;&gt;"No aplica",IF(CD868&lt;&gt;"Ninguna",IF(COUNTIF(CD868:CF868,"*")&gt;=1,"Sí","No"),"No"),"No aplica"))))</f>
        <v>No requiere</v>
      </c>
      <c r="EO868" s="71"/>
      <c r="EP868" s="84" t="str">
        <f>IF(F868="NO","No requiere",IF(H868="No","No requiere",IF(DL868="","",IF(DL868&gt;=1,DM868/DL868,"No aplica"))))</f>
        <v>No requiere</v>
      </c>
      <c r="EQ868" s="88" t="str">
        <f>IFERROR(IF(F868="NO","No requiere",IF(H868="No","No requiere",DU868)),"")</f>
        <v>No requiere</v>
      </c>
      <c r="ER868" s="71"/>
      <c r="ES868" s="79"/>
      <c r="ET868" s="84" t="str">
        <f>IF(F868="NO","No requiere",IF(H868="No","No requiere",IFERROR(COUNTIF(DJ868:DW868,"Completo")/SUM(COUNTIF(DJ868:DW868,"Completo"),COUNTIF(DJ868:DW868,"Incompleto"),COUNTIF(DJ868:DW868,"No subido"),COUNTIF(DJ868:DW868,"No existente"),COUNTIF(DJ868:DW868,"Pendiente")),"")))</f>
        <v>No requiere</v>
      </c>
      <c r="EU868" s="84" t="str">
        <f>IF(F868="NO","No requiere",IF(H868="No","No requiere",IF(B868="","",IF(CX868="SÍ",IF(CK868&gt;=1,CY868/CK868,"Sin compromisos"),"Por verificar"))))</f>
        <v>No requiere</v>
      </c>
      <c r="EV868" s="84" t="str">
        <f>IF(EU868="Por verificar","Por verificar",IF(F868="NO","No requiere",IF(H868="No","No requiere",IFERROR(IF(EU868="","",IF(CK868&gt;=1,DA868/CZ868,"No aplica")),"No aplica"))))</f>
        <v>No requiere</v>
      </c>
      <c r="EW868" s="84" t="str">
        <f>IF(F868="NO","No requiere",IF(H868="No","No requiere",IFERROR(IF(BZ868="","",IF(EA868&lt;&gt;"No aplica",IF(EA868&gt;=1,DO868/EA868,"0%"),"No aplica")),"")))</f>
        <v>No requiere</v>
      </c>
      <c r="EX868" s="78"/>
      <c r="EY868" s="78"/>
    </row>
    <row r="869" spans="1:155" ht="57" customHeight="1">
      <c r="A869" s="79">
        <v>865</v>
      </c>
      <c r="B869" s="80" t="s">
        <v>5918</v>
      </c>
      <c r="C869" s="81">
        <v>45535</v>
      </c>
      <c r="D869" s="82">
        <v>0.58333333333333337</v>
      </c>
      <c r="E869" s="79" t="s">
        <v>151</v>
      </c>
      <c r="F869" s="79" t="s">
        <v>153</v>
      </c>
      <c r="G869" s="79" t="s">
        <v>153</v>
      </c>
      <c r="H869" s="79" t="s">
        <v>152</v>
      </c>
      <c r="I869" s="79" t="s">
        <v>152</v>
      </c>
      <c r="J869" s="79" t="s">
        <v>2153</v>
      </c>
      <c r="K869" s="79" t="s">
        <v>155</v>
      </c>
      <c r="L869" s="80" t="s">
        <v>5919</v>
      </c>
      <c r="M869" s="80" t="s">
        <v>624</v>
      </c>
      <c r="N869" s="79" t="s">
        <v>5852</v>
      </c>
      <c r="O869" s="80" t="str">
        <f>_xlfn.TEXTJOIN(", ",TRUE,P869:AN869)</f>
        <v>Sebastian Potes Buitrago , Julio César Martínez, Jose Francisco Quiroz, Martín René Perdomo, David Reinaldo Jojoa, Angie Pérez Sandoval, Luisa Romero, Maria Alejandra Castañeda , David Julián Sepúlveda, Jorge Eduardo Bermúdez</v>
      </c>
      <c r="P869" s="79" t="s">
        <v>5920</v>
      </c>
      <c r="Q869" s="79" t="s">
        <v>601</v>
      </c>
      <c r="R869" s="79" t="s">
        <v>5921</v>
      </c>
      <c r="S869" s="161" t="s">
        <v>5922</v>
      </c>
      <c r="T869" s="79" t="s">
        <v>548</v>
      </c>
      <c r="U869" s="79" t="s">
        <v>5923</v>
      </c>
      <c r="V869" s="79" t="s">
        <v>5709</v>
      </c>
      <c r="W869" s="79" t="s">
        <v>5924</v>
      </c>
      <c r="X869" s="79" t="s">
        <v>5925</v>
      </c>
      <c r="Y869" s="79" t="s">
        <v>5899</v>
      </c>
      <c r="Z869" s="79"/>
      <c r="AA869" s="79"/>
      <c r="AB869" s="79"/>
      <c r="AC869" s="79"/>
      <c r="AD869" s="79"/>
      <c r="AE869" s="79"/>
      <c r="AF869" s="79"/>
      <c r="AG869" s="79"/>
      <c r="AH869" s="79"/>
      <c r="AI869" s="79"/>
      <c r="AJ869" s="79"/>
      <c r="AK869" s="79"/>
      <c r="AL869" s="79"/>
      <c r="AM869" s="79"/>
      <c r="AN869" s="79"/>
      <c r="AO869" s="79" t="s">
        <v>1226</v>
      </c>
      <c r="AP869" s="79"/>
      <c r="AQ869" s="80" t="s">
        <v>179</v>
      </c>
      <c r="AR869" s="83" t="s">
        <v>179</v>
      </c>
      <c r="AS869" s="80" t="s">
        <v>179</v>
      </c>
      <c r="AT869" s="80" t="str">
        <f t="shared" si="1146"/>
        <v>Usaquén</v>
      </c>
      <c r="AU869" s="79" t="s">
        <v>661</v>
      </c>
      <c r="AV869" s="79"/>
      <c r="AW869" s="79"/>
      <c r="AX869" s="79"/>
      <c r="AY869" s="79"/>
      <c r="AZ869" s="79"/>
      <c r="BA869" s="80" t="str">
        <f t="shared" si="1147"/>
        <v>Norte</v>
      </c>
      <c r="BB869" s="79" t="s">
        <v>662</v>
      </c>
      <c r="BC869" s="79"/>
      <c r="BD869" s="79"/>
      <c r="BE869" s="79"/>
      <c r="BF869" s="79"/>
      <c r="BG869" s="79"/>
      <c r="BH869" s="80" t="str">
        <f t="shared" si="1148"/>
        <v>Usaquén</v>
      </c>
      <c r="BI869" s="79" t="s">
        <v>661</v>
      </c>
      <c r="BJ869" s="79"/>
      <c r="BK869" s="79"/>
      <c r="BL869" s="79"/>
      <c r="BM869" s="79"/>
      <c r="BN869" s="79"/>
      <c r="BO869" s="79"/>
      <c r="BP869" s="79"/>
      <c r="BQ869" s="79"/>
      <c r="BR869" s="79"/>
      <c r="BS869" s="80" t="s">
        <v>179</v>
      </c>
      <c r="BT869" s="315" t="s">
        <v>171</v>
      </c>
      <c r="BU869" s="324" t="s">
        <v>5926</v>
      </c>
      <c r="BV869" s="71"/>
      <c r="BW869" s="79" t="s">
        <v>152</v>
      </c>
      <c r="BX869" s="79" t="s">
        <v>179</v>
      </c>
      <c r="BY869" s="71"/>
      <c r="BZ869" s="79"/>
      <c r="CA869" s="79">
        <v>10</v>
      </c>
      <c r="CB869" s="79">
        <f t="shared" si="1149"/>
        <v>10</v>
      </c>
      <c r="CC869" s="79" t="str">
        <f t="shared" si="1154"/>
        <v>Ninguna</v>
      </c>
      <c r="CD869" s="79" t="s">
        <v>174</v>
      </c>
      <c r="CE869" s="79"/>
      <c r="CF869" s="165"/>
      <c r="CG869" s="318" t="s">
        <v>3632</v>
      </c>
      <c r="CH869" s="41"/>
      <c r="CI869" s="79" t="s">
        <v>152</v>
      </c>
      <c r="CJ869" s="71"/>
      <c r="CK869" s="79">
        <v>0</v>
      </c>
      <c r="CL869" s="79"/>
      <c r="CM869" s="79"/>
      <c r="CN869" s="79"/>
      <c r="CO869" s="79"/>
      <c r="CP869" s="79"/>
      <c r="CQ869" s="79"/>
      <c r="CR869" s="83" t="s">
        <v>179</v>
      </c>
      <c r="CS869" s="83" t="s">
        <v>179</v>
      </c>
      <c r="CT869" s="83" t="s">
        <v>179</v>
      </c>
      <c r="CU869" s="83" t="s">
        <v>179</v>
      </c>
      <c r="CV869" s="83" t="s">
        <v>179</v>
      </c>
      <c r="CW869" s="83" t="s">
        <v>179</v>
      </c>
      <c r="CX869" s="79" t="s">
        <v>153</v>
      </c>
      <c r="CY869" s="79">
        <v>0</v>
      </c>
      <c r="CZ869" s="79">
        <v>0</v>
      </c>
      <c r="DA869" s="79">
        <v>0</v>
      </c>
      <c r="DB869" s="84" t="s">
        <v>316</v>
      </c>
      <c r="DC869" s="41"/>
      <c r="DD869" s="79" t="s">
        <v>153</v>
      </c>
      <c r="DE869" s="71"/>
      <c r="DF869" s="127" t="s">
        <v>5927</v>
      </c>
      <c r="DG869" s="205"/>
      <c r="DH869" s="86" t="str">
        <f t="shared" si="1150"/>
        <v>Completo</v>
      </c>
      <c r="DI869" s="79" t="s">
        <v>181</v>
      </c>
      <c r="DJ869" s="79" t="s">
        <v>191</v>
      </c>
      <c r="DK869" s="79"/>
      <c r="DL869" s="79">
        <v>0</v>
      </c>
      <c r="DM869" s="79">
        <v>0</v>
      </c>
      <c r="DN869" s="79" t="s">
        <v>182</v>
      </c>
      <c r="DO869" s="79"/>
      <c r="DP869" s="79"/>
      <c r="DQ869" s="79"/>
      <c r="DR869" s="75" t="str">
        <f t="shared" si="1152"/>
        <v>No aplica</v>
      </c>
      <c r="DS869" s="79"/>
      <c r="DT869" s="79"/>
      <c r="DU869" s="75" t="str">
        <f t="shared" si="1155"/>
        <v>No aplica</v>
      </c>
      <c r="DV869" s="79" t="s">
        <v>182</v>
      </c>
      <c r="DW869" s="79"/>
      <c r="DX869" s="79"/>
      <c r="DY869" s="79"/>
      <c r="DZ869" s="79"/>
      <c r="EA869" s="79"/>
      <c r="EB869" s="79" t="s">
        <v>182</v>
      </c>
      <c r="EC869" s="79" t="s">
        <v>5917</v>
      </c>
      <c r="ED869" s="79" t="s">
        <v>5896</v>
      </c>
      <c r="EE869" s="79" t="str">
        <f t="shared" si="1143"/>
        <v>Completo</v>
      </c>
      <c r="EF869" s="41"/>
      <c r="EG869" s="79" t="s">
        <v>153</v>
      </c>
      <c r="EH869" s="71"/>
      <c r="EI869" s="80"/>
      <c r="EJ869" s="71"/>
      <c r="EK869" s="79"/>
      <c r="EL869" s="87" t="str">
        <f>IF(F869="NO","No requiere",IF(H869="No","No requiere",IF(DW869="","",IF(DW869&lt;&gt;"No aplica",IF(DX869&lt;&gt;"No aplica",IF(DX869&gt;=2,"Sí","No"),"No aplica"),"No aplica"))))</f>
        <v>No requiere</v>
      </c>
      <c r="EM869" s="87" t="str">
        <f>IF(F869="NO","No requiere",IF(H869="No","No requiere",IF(DW869="","",IF(DW869&lt;&gt;"No aplica",IF(DY869&lt;&gt;"No aplica",IF(DY869&gt;=1,"Sí","No"),"No aplica"),"No aplica"))))</f>
        <v>No requiere</v>
      </c>
      <c r="EN869" s="87" t="str">
        <f>IF(F869="NO","No requiere",IF(H869="No","No requiere",IF(CC869="","",IF(CD869&lt;&gt;"No aplica",IF(CD869&lt;&gt;"Ninguna",IF(COUNTIF(CD869:CF869,"*")&gt;=1,"Sí","No"),"No"),"No aplica"))))</f>
        <v>No requiere</v>
      </c>
      <c r="EO869" s="71"/>
      <c r="EP869" s="84" t="str">
        <f>IF(F869="NO","No requiere",IF(H869="No","No requiere",IF(DL869="","",IF(DL869&gt;=1,DM869/DL869,"No aplica"))))</f>
        <v>No requiere</v>
      </c>
      <c r="EQ869" s="88" t="str">
        <f>IFERROR(IF(F869="NO","No requiere",IF(H869="No","No requiere",DU869)),"")</f>
        <v>No requiere</v>
      </c>
      <c r="ER869" s="71"/>
      <c r="ES869" s="79"/>
      <c r="ET869" s="84" t="str">
        <f>IF(F869="NO","No requiere",IF(H869="No","No requiere",IFERROR(COUNTIF(DJ869:DW869,"Completo")/SUM(COUNTIF(DJ869:DW869,"Completo"),COUNTIF(DJ869:DW869,"Incompleto"),COUNTIF(DJ869:DW869,"No subido"),COUNTIF(DJ869:DW869,"No existente"),COUNTIF(DJ869:DW869,"Pendiente")),"")))</f>
        <v>No requiere</v>
      </c>
      <c r="EU869" s="84" t="str">
        <f>IF(F869="NO","No requiere",IF(H869="No","No requiere",IF(B869="","",IF(CX869="SÍ",IF(CK869&gt;=1,CY869/CK869,"Sin compromisos"),"Por verificar"))))</f>
        <v>No requiere</v>
      </c>
      <c r="EV869" s="84" t="str">
        <f>IF(EU869="Por verificar","Por verificar",IF(F869="NO","No requiere",IF(H869="No","No requiere",IFERROR(IF(EU869="","",IF(CK869&gt;=1,DA869/CZ869,"No aplica")),"No aplica"))))</f>
        <v>No requiere</v>
      </c>
      <c r="EW869" s="84" t="str">
        <f>IF(F869="NO","No requiere",IF(H869="No","No requiere",IFERROR(IF(BZ869="","",IF(EA869&lt;&gt;"No aplica",IF(EA869&gt;=1,DO869/EA869,"0%"),"No aplica")),"")))</f>
        <v>No requiere</v>
      </c>
      <c r="EX869" s="78"/>
      <c r="EY869" s="78"/>
    </row>
    <row r="870" spans="1:155" ht="57" customHeight="1">
      <c r="A870" s="79">
        <v>866</v>
      </c>
      <c r="B870" s="80" t="s">
        <v>5928</v>
      </c>
      <c r="C870" s="81">
        <v>45535</v>
      </c>
      <c r="D870" s="82">
        <v>0.58333333333333337</v>
      </c>
      <c r="E870" s="79" t="s">
        <v>200</v>
      </c>
      <c r="F870" s="79" t="s">
        <v>153</v>
      </c>
      <c r="G870" s="79" t="s">
        <v>152</v>
      </c>
      <c r="H870" s="79" t="s">
        <v>152</v>
      </c>
      <c r="I870" s="79" t="s">
        <v>152</v>
      </c>
      <c r="J870" s="79" t="s">
        <v>211</v>
      </c>
      <c r="K870" s="79" t="s">
        <v>155</v>
      </c>
      <c r="L870" s="80" t="s">
        <v>5929</v>
      </c>
      <c r="M870" s="80" t="s">
        <v>624</v>
      </c>
      <c r="N870" s="79" t="s">
        <v>328</v>
      </c>
      <c r="O870" s="80" t="str">
        <f>_xlfn.TEXTJOIN(", ",TRUE,P870:AN870)</f>
        <v>Diana Carolina Aristizábal, Julián Camilo Taylor , Laura Sofia Morales, Mateo López Narváez , Jimmy Alejandro Osorio</v>
      </c>
      <c r="P870" s="79" t="s">
        <v>165</v>
      </c>
      <c r="Q870" s="79" t="s">
        <v>5846</v>
      </c>
      <c r="R870" s="79" t="s">
        <v>506</v>
      </c>
      <c r="S870" s="161" t="s">
        <v>5930</v>
      </c>
      <c r="T870" s="79" t="s">
        <v>549</v>
      </c>
      <c r="U870" s="79"/>
      <c r="V870" s="79"/>
      <c r="W870" s="79"/>
      <c r="X870" s="79"/>
      <c r="Y870" s="79"/>
      <c r="Z870" s="79"/>
      <c r="AA870" s="79"/>
      <c r="AB870" s="79"/>
      <c r="AC870" s="79"/>
      <c r="AD870" s="79"/>
      <c r="AE870" s="79"/>
      <c r="AF870" s="79"/>
      <c r="AG870" s="79"/>
      <c r="AH870" s="79"/>
      <c r="AI870" s="79"/>
      <c r="AJ870" s="79"/>
      <c r="AK870" s="79"/>
      <c r="AL870" s="79"/>
      <c r="AM870" s="79"/>
      <c r="AN870" s="79"/>
      <c r="AO870" s="79" t="s">
        <v>230</v>
      </c>
      <c r="AP870" s="79" t="s">
        <v>242</v>
      </c>
      <c r="AQ870" s="80" t="s">
        <v>5931</v>
      </c>
      <c r="AR870" s="83" t="s">
        <v>5932</v>
      </c>
      <c r="AS870" s="80" t="s">
        <v>1545</v>
      </c>
      <c r="AT870" s="80" t="str">
        <f t="shared" si="1146"/>
        <v>Distrital</v>
      </c>
      <c r="AU870" s="79" t="s">
        <v>172</v>
      </c>
      <c r="AV870" s="79"/>
      <c r="AW870" s="79"/>
      <c r="AX870" s="79"/>
      <c r="AY870" s="79"/>
      <c r="AZ870" s="79"/>
      <c r="BA870" s="80" t="str">
        <f t="shared" si="1147"/>
        <v>Distrital</v>
      </c>
      <c r="BB870" s="79" t="s">
        <v>172</v>
      </c>
      <c r="BC870" s="79"/>
      <c r="BD870" s="79"/>
      <c r="BE870" s="79"/>
      <c r="BF870" s="79"/>
      <c r="BG870" s="79"/>
      <c r="BH870" s="80" t="str">
        <f t="shared" si="1148"/>
        <v>Distrital</v>
      </c>
      <c r="BI870" s="79" t="s">
        <v>172</v>
      </c>
      <c r="BJ870" s="79"/>
      <c r="BK870" s="79"/>
      <c r="BL870" s="79"/>
      <c r="BM870" s="79"/>
      <c r="BN870" s="79"/>
      <c r="BO870" s="79"/>
      <c r="BP870" s="79"/>
      <c r="BQ870" s="79"/>
      <c r="BR870" s="79"/>
      <c r="BS870" s="80" t="s">
        <v>179</v>
      </c>
      <c r="BT870" s="315" t="s">
        <v>5933</v>
      </c>
      <c r="BU870" s="324" t="s">
        <v>5934</v>
      </c>
      <c r="BV870" s="71"/>
      <c r="BW870" s="79" t="s">
        <v>152</v>
      </c>
      <c r="BX870" s="79" t="s">
        <v>179</v>
      </c>
      <c r="BY870" s="71"/>
      <c r="BZ870" s="79">
        <v>32</v>
      </c>
      <c r="CA870" s="79">
        <v>6</v>
      </c>
      <c r="CB870" s="79">
        <f t="shared" si="1149"/>
        <v>38</v>
      </c>
      <c r="CC870" s="79" t="str">
        <f t="shared" si="1154"/>
        <v>Ninguna</v>
      </c>
      <c r="CD870" s="79" t="s">
        <v>174</v>
      </c>
      <c r="CE870" s="79"/>
      <c r="CF870" s="165"/>
      <c r="CG870" s="318" t="s">
        <v>5935</v>
      </c>
      <c r="CH870" s="41"/>
      <c r="CI870" s="79" t="s">
        <v>152</v>
      </c>
      <c r="CJ870" s="71"/>
      <c r="CK870" s="79">
        <v>0</v>
      </c>
      <c r="CL870" s="79"/>
      <c r="CM870" s="79"/>
      <c r="CN870" s="79"/>
      <c r="CO870" s="79"/>
      <c r="CP870" s="79"/>
      <c r="CQ870" s="79"/>
      <c r="CR870" s="83"/>
      <c r="CS870" s="83"/>
      <c r="CT870" s="83"/>
      <c r="CU870" s="83"/>
      <c r="CV870" s="83"/>
      <c r="CW870" s="83"/>
      <c r="CX870" s="79"/>
      <c r="CY870" s="79">
        <v>0</v>
      </c>
      <c r="CZ870" s="79">
        <v>0</v>
      </c>
      <c r="DA870" s="79">
        <v>0</v>
      </c>
      <c r="DB870" s="84" t="s">
        <v>316</v>
      </c>
      <c r="DC870" s="41"/>
      <c r="DD870" s="79"/>
      <c r="DE870" s="71"/>
      <c r="DF870" s="127" t="s">
        <v>5936</v>
      </c>
      <c r="DG870" s="205"/>
      <c r="DH870" s="86">
        <f t="shared" si="1150"/>
        <v>45538</v>
      </c>
      <c r="DI870" s="79" t="s">
        <v>3560</v>
      </c>
      <c r="DJ870" s="79"/>
      <c r="DK870" s="79"/>
      <c r="DL870" s="79">
        <v>0</v>
      </c>
      <c r="DM870" s="79">
        <v>0</v>
      </c>
      <c r="DN870" s="79"/>
      <c r="DO870" s="79"/>
      <c r="DP870" s="79"/>
      <c r="DQ870" s="79"/>
      <c r="DR870" s="75" t="str">
        <f t="shared" si="1152"/>
        <v>No aplica</v>
      </c>
      <c r="DS870" s="79"/>
      <c r="DT870" s="79"/>
      <c r="DU870" s="75" t="str">
        <f t="shared" si="1155"/>
        <v>No aplica</v>
      </c>
      <c r="DV870" s="79"/>
      <c r="DW870" s="79" t="s">
        <v>182</v>
      </c>
      <c r="DX870" s="79"/>
      <c r="DY870" s="79"/>
      <c r="DZ870" s="79"/>
      <c r="EA870" s="79"/>
      <c r="EB870" s="79"/>
      <c r="EC870" s="79"/>
      <c r="ED870" s="79" t="s">
        <v>5937</v>
      </c>
      <c r="EE870" s="79" t="str">
        <f t="shared" si="1143"/>
        <v>Por Completar</v>
      </c>
      <c r="EF870" s="41"/>
      <c r="EG870" s="79" t="s">
        <v>152</v>
      </c>
      <c r="EH870" s="71"/>
      <c r="EI870" s="80"/>
      <c r="EJ870" s="71"/>
      <c r="EK870" s="79"/>
      <c r="EL870" s="87" t="str">
        <f>IF(F870="NO","No requiere",IF(H870="No","No requiere",IF(DW870="","",IF(DW870&lt;&gt;"No aplica",IF(DX870&lt;&gt;"No aplica",IF(DX870&gt;=2,"Sí","No"),"No aplica"),"No aplica"))))</f>
        <v>No requiere</v>
      </c>
      <c r="EM870" s="87" t="str">
        <f>IF(F870="NO","No requiere",IF(H870="No","No requiere",IF(DW870="","",IF(DW870&lt;&gt;"No aplica",IF(DY870&lt;&gt;"No aplica",IF(DY870&gt;=1,"Sí","No"),"No aplica"),"No aplica"))))</f>
        <v>No requiere</v>
      </c>
      <c r="EN870" s="87" t="str">
        <f>IF(F870="NO","No requiere",IF(H870="No","No requiere",IF(CC870="","",IF(CD870&lt;&gt;"No aplica",IF(CD870&lt;&gt;"Ninguna",IF(COUNTIF(CD870:CF870,"*")&gt;=1,"Sí","No"),"No"),"No aplica"))))</f>
        <v>No requiere</v>
      </c>
      <c r="EO870" s="71"/>
      <c r="EP870" s="84" t="str">
        <f>IF(F870="NO","No requiere",IF(H870="No","No requiere",IF(DL870="","",IF(DL870&gt;=1,DM870/DL870,"No aplica"))))</f>
        <v>No requiere</v>
      </c>
      <c r="EQ870" s="88" t="str">
        <f>IFERROR(IF(F870="NO","No requiere",IF(H870="No","No requiere",DU870)),"")</f>
        <v>No requiere</v>
      </c>
      <c r="ER870" s="71"/>
      <c r="ES870" s="79"/>
      <c r="ET870" s="84" t="str">
        <f>IF(F870="NO","No requiere",IF(H870="No","No requiere",IFERROR(COUNTIF(DJ870:DW870,"Completo")/SUM(COUNTIF(DJ870:DW870,"Completo"),COUNTIF(DJ870:DW870,"Incompleto"),COUNTIF(DJ870:DW870,"No subido"),COUNTIF(DJ870:DW870,"No existente"),COUNTIF(DJ870:DW870,"Pendiente")),"")))</f>
        <v>No requiere</v>
      </c>
      <c r="EU870" s="84" t="str">
        <f>IF(F870="NO","No requiere",IF(H870="No","No requiere",IF(B870="","",IF(CX870="SÍ",IF(CK870&gt;=1,CY870/CK870,"Sin compromisos"),"Por verificar"))))</f>
        <v>No requiere</v>
      </c>
      <c r="EV870" s="84" t="str">
        <f>IF(EU870="Por verificar","Por verificar",IF(F870="NO","No requiere",IF(H870="No","No requiere",IFERROR(IF(EU870="","",IF(CK870&gt;=1,DA870/CZ870,"No aplica")),"No aplica"))))</f>
        <v>No requiere</v>
      </c>
      <c r="EW870" s="84" t="str">
        <f>IF(F870="NO","No requiere",IF(H870="No","No requiere",IFERROR(IF(BZ870="","",IF(EA870&lt;&gt;"No aplica",IF(EA870&gt;=1,DO870/EA870,"0%"),"No aplica")),"")))</f>
        <v>No requiere</v>
      </c>
      <c r="EX870" s="78"/>
      <c r="EY870" s="78"/>
    </row>
    <row r="871" spans="1:155" ht="57" customHeight="1">
      <c r="A871" s="79">
        <v>867</v>
      </c>
      <c r="B871" s="80" t="s">
        <v>5938</v>
      </c>
      <c r="C871" s="81">
        <v>45536</v>
      </c>
      <c r="D871" s="82">
        <v>0.33333333333333331</v>
      </c>
      <c r="E871" s="79" t="s">
        <v>151</v>
      </c>
      <c r="F871" s="79" t="s">
        <v>153</v>
      </c>
      <c r="G871" s="79" t="s">
        <v>153</v>
      </c>
      <c r="H871" s="79" t="s">
        <v>152</v>
      </c>
      <c r="I871" s="79" t="s">
        <v>152</v>
      </c>
      <c r="J871" s="79" t="s">
        <v>2153</v>
      </c>
      <c r="K871" s="79" t="s">
        <v>155</v>
      </c>
      <c r="L871" s="80" t="s">
        <v>5939</v>
      </c>
      <c r="M871" s="80" t="s">
        <v>624</v>
      </c>
      <c r="N871" s="79" t="s">
        <v>5852</v>
      </c>
      <c r="O871" s="80" t="str">
        <f>_xlfn.TEXTJOIN(", ",TRUE,P871:AN871)</f>
        <v>Renata Rengifo Moyano , Joan Sebastian García, Luna Paulina Benjumea, Luis Fernando Barreto, Viviana Buriticá Peláez, Martín René Perdomo, Laura Camila Bechara, Mario Fernández, William Arturo González , Nancy Stella Villa</v>
      </c>
      <c r="P871" s="79" t="s">
        <v>5755</v>
      </c>
      <c r="Q871" s="79" t="s">
        <v>728</v>
      </c>
      <c r="R871" s="79" t="s">
        <v>4960</v>
      </c>
      <c r="S871" s="79" t="s">
        <v>5583</v>
      </c>
      <c r="T871" s="79" t="s">
        <v>5825</v>
      </c>
      <c r="U871" s="79" t="s">
        <v>5922</v>
      </c>
      <c r="V871" s="79" t="s">
        <v>887</v>
      </c>
      <c r="W871" s="79" t="s">
        <v>5764</v>
      </c>
      <c r="X871" s="79" t="s">
        <v>5892</v>
      </c>
      <c r="Y871" s="79" t="s">
        <v>5913</v>
      </c>
      <c r="Z871" s="79"/>
      <c r="AA871" s="79"/>
      <c r="AB871" s="79"/>
      <c r="AC871" s="79"/>
      <c r="AD871" s="79"/>
      <c r="AE871" s="79"/>
      <c r="AF871" s="79"/>
      <c r="AG871" s="79"/>
      <c r="AH871" s="79"/>
      <c r="AI871" s="79"/>
      <c r="AJ871" s="79"/>
      <c r="AK871" s="79"/>
      <c r="AL871" s="79"/>
      <c r="AM871" s="79"/>
      <c r="AN871" s="79"/>
      <c r="AO871" s="79" t="s">
        <v>1226</v>
      </c>
      <c r="AP871" s="79"/>
      <c r="AQ871" s="80" t="s">
        <v>179</v>
      </c>
      <c r="AR871" s="83" t="s">
        <v>179</v>
      </c>
      <c r="AS871" s="80" t="s">
        <v>179</v>
      </c>
      <c r="AT871" s="80" t="str">
        <f t="shared" si="1146"/>
        <v>Usaquén</v>
      </c>
      <c r="AU871" s="79" t="s">
        <v>661</v>
      </c>
      <c r="AV871" s="79"/>
      <c r="AW871" s="79"/>
      <c r="AX871" s="79"/>
      <c r="AY871" s="79"/>
      <c r="AZ871" s="79"/>
      <c r="BA871" s="80" t="str">
        <f t="shared" si="1147"/>
        <v>Norte</v>
      </c>
      <c r="BB871" s="79" t="s">
        <v>662</v>
      </c>
      <c r="BC871" s="79"/>
      <c r="BD871" s="79"/>
      <c r="BE871" s="79"/>
      <c r="BF871" s="79"/>
      <c r="BG871" s="79"/>
      <c r="BH871" s="80" t="str">
        <f t="shared" si="1148"/>
        <v>Usaquén</v>
      </c>
      <c r="BI871" s="79" t="s">
        <v>661</v>
      </c>
      <c r="BJ871" s="79"/>
      <c r="BK871" s="79"/>
      <c r="BL871" s="79"/>
      <c r="BM871" s="79"/>
      <c r="BN871" s="79"/>
      <c r="BO871" s="79"/>
      <c r="BP871" s="79"/>
      <c r="BQ871" s="79"/>
      <c r="BR871" s="79"/>
      <c r="BS871" s="80" t="s">
        <v>179</v>
      </c>
      <c r="BT871" s="315" t="s">
        <v>171</v>
      </c>
      <c r="BU871" s="321" t="s">
        <v>5940</v>
      </c>
      <c r="BV871" s="71"/>
      <c r="BW871" s="79" t="s">
        <v>152</v>
      </c>
      <c r="BX871" s="79" t="s">
        <v>179</v>
      </c>
      <c r="BY871" s="71"/>
      <c r="BZ871" s="79"/>
      <c r="CA871" s="79">
        <v>10</v>
      </c>
      <c r="CB871" s="79">
        <f t="shared" si="1149"/>
        <v>10</v>
      </c>
      <c r="CC871" s="79" t="str">
        <f t="shared" si="1154"/>
        <v>Ninguna</v>
      </c>
      <c r="CD871" s="79" t="s">
        <v>174</v>
      </c>
      <c r="CE871" s="79"/>
      <c r="CF871" s="165"/>
      <c r="CG871" s="319" t="s">
        <v>3632</v>
      </c>
      <c r="CH871" s="41"/>
      <c r="CI871" s="79" t="s">
        <v>152</v>
      </c>
      <c r="CJ871" s="71"/>
      <c r="CK871" s="79">
        <v>0</v>
      </c>
      <c r="CL871" s="79"/>
      <c r="CM871" s="79"/>
      <c r="CN871" s="79"/>
      <c r="CO871" s="79"/>
      <c r="CP871" s="79"/>
      <c r="CQ871" s="79"/>
      <c r="CR871" s="83" t="s">
        <v>179</v>
      </c>
      <c r="CS871" s="83" t="s">
        <v>179</v>
      </c>
      <c r="CT871" s="83" t="s">
        <v>179</v>
      </c>
      <c r="CU871" s="83" t="s">
        <v>179</v>
      </c>
      <c r="CV871" s="83" t="s">
        <v>179</v>
      </c>
      <c r="CW871" s="83" t="s">
        <v>179</v>
      </c>
      <c r="CX871" s="79" t="s">
        <v>153</v>
      </c>
      <c r="CY871" s="79">
        <v>0</v>
      </c>
      <c r="CZ871" s="79">
        <v>0</v>
      </c>
      <c r="DA871" s="79">
        <v>0</v>
      </c>
      <c r="DB871" s="84" t="s">
        <v>316</v>
      </c>
      <c r="DC871" s="41"/>
      <c r="DD871" s="79" t="s">
        <v>153</v>
      </c>
      <c r="DE871" s="71"/>
      <c r="DF871" s="127" t="s">
        <v>5941</v>
      </c>
      <c r="DG871" s="205"/>
      <c r="DH871" s="86" t="str">
        <f t="shared" si="1150"/>
        <v>Completo</v>
      </c>
      <c r="DI871" s="79" t="s">
        <v>181</v>
      </c>
      <c r="DJ871" s="79" t="s">
        <v>191</v>
      </c>
      <c r="DK871" s="79"/>
      <c r="DL871" s="79">
        <v>0</v>
      </c>
      <c r="DM871" s="79">
        <v>0</v>
      </c>
      <c r="DN871" s="79" t="s">
        <v>182</v>
      </c>
      <c r="DO871" s="79"/>
      <c r="DP871" s="79"/>
      <c r="DQ871" s="79"/>
      <c r="DR871" s="75" t="str">
        <f t="shared" si="1152"/>
        <v>No aplica</v>
      </c>
      <c r="DS871" s="79"/>
      <c r="DT871" s="79"/>
      <c r="DU871" s="75" t="str">
        <f t="shared" si="1155"/>
        <v>No aplica</v>
      </c>
      <c r="DV871" s="79" t="s">
        <v>182</v>
      </c>
      <c r="DW871" s="79"/>
      <c r="DX871" s="79"/>
      <c r="DY871" s="79"/>
      <c r="DZ871" s="79"/>
      <c r="EA871" s="79"/>
      <c r="EB871" s="79" t="s">
        <v>182</v>
      </c>
      <c r="EC871" s="79" t="s">
        <v>5942</v>
      </c>
      <c r="ED871" s="79" t="s">
        <v>5896</v>
      </c>
      <c r="EE871" s="79" t="str">
        <f t="shared" si="1143"/>
        <v>Completo</v>
      </c>
      <c r="EF871" s="41"/>
      <c r="EG871" s="79" t="s">
        <v>152</v>
      </c>
      <c r="EH871" s="71"/>
      <c r="EI871" s="80"/>
      <c r="EJ871" s="71"/>
      <c r="EK871" s="79"/>
      <c r="EL871" s="87" t="str">
        <f>IF(F871="NO","No requiere",IF(H871="No","No requiere",IF(DW871="","",IF(DW871&lt;&gt;"No aplica",IF(DX871&lt;&gt;"No aplica",IF(DX871&gt;=2,"Sí","No"),"No aplica"),"No aplica"))))</f>
        <v>No requiere</v>
      </c>
      <c r="EM871" s="87" t="str">
        <f>IF(F871="NO","No requiere",IF(H871="No","No requiere",IF(DW871="","",IF(DW871&lt;&gt;"No aplica",IF(DY871&lt;&gt;"No aplica",IF(DY871&gt;=1,"Sí","No"),"No aplica"),"No aplica"))))</f>
        <v>No requiere</v>
      </c>
      <c r="EN871" s="87" t="str">
        <f>IF(F871="NO","No requiere",IF(H871="No","No requiere",IF(CC871="","",IF(CD871&lt;&gt;"No aplica",IF(CD871&lt;&gt;"Ninguna",IF(COUNTIF(CD871:CF871,"*")&gt;=1,"Sí","No"),"No"),"No aplica"))))</f>
        <v>No requiere</v>
      </c>
      <c r="EO871" s="71"/>
      <c r="EP871" s="84" t="str">
        <f>IF(F871="NO","No requiere",IF(H871="No","No requiere",IF(DL871="","",IF(DL871&gt;=1,DM871/DL871,"No aplica"))))</f>
        <v>No requiere</v>
      </c>
      <c r="EQ871" s="88" t="str">
        <f>IFERROR(IF(F871="NO","No requiere",IF(H871="No","No requiere",DU871)),"")</f>
        <v>No requiere</v>
      </c>
      <c r="ER871" s="71"/>
      <c r="ES871" s="79"/>
      <c r="ET871" s="84" t="str">
        <f>IF(F871="NO","No requiere",IF(H871="No","No requiere",IFERROR(COUNTIF(DJ871:DW871,"Completo")/SUM(COUNTIF(DJ871:DW871,"Completo"),COUNTIF(DJ871:DW871,"Incompleto"),COUNTIF(DJ871:DW871,"No subido"),COUNTIF(DJ871:DW871,"No existente"),COUNTIF(DJ871:DW871,"Pendiente")),"")))</f>
        <v>No requiere</v>
      </c>
      <c r="EU871" s="84" t="str">
        <f>IF(F871="NO","No requiere",IF(H871="No","No requiere",IF(B871="","",IF(CX871="SÍ",IF(CK871&gt;=1,CY871/CK871,"Sin compromisos"),"Por verificar"))))</f>
        <v>No requiere</v>
      </c>
      <c r="EV871" s="84" t="str">
        <f>IF(EU871="Por verificar","Por verificar",IF(F871="NO","No requiere",IF(H871="No","No requiere",IFERROR(IF(EU871="","",IF(CK871&gt;=1,DA871/CZ871,"No aplica")),"No aplica"))))</f>
        <v>No requiere</v>
      </c>
      <c r="EW871" s="84" t="str">
        <f>IF(F871="NO","No requiere",IF(H871="No","No requiere",IFERROR(IF(BZ871="","",IF(EA871&lt;&gt;"No aplica",IF(EA871&gt;=1,DO871/EA871,"0%"),"No aplica")),"")))</f>
        <v>No requiere</v>
      </c>
      <c r="EX871" s="78"/>
      <c r="EY871" s="78"/>
    </row>
    <row r="872" spans="1:155" ht="57" customHeight="1">
      <c r="A872" s="79">
        <v>868</v>
      </c>
      <c r="B872" s="80" t="s">
        <v>5943</v>
      </c>
      <c r="C872" s="81">
        <v>45536</v>
      </c>
      <c r="D872" s="82">
        <v>0.58333333333333337</v>
      </c>
      <c r="E872" s="79" t="s">
        <v>151</v>
      </c>
      <c r="F872" s="79" t="s">
        <v>153</v>
      </c>
      <c r="G872" s="79" t="s">
        <v>153</v>
      </c>
      <c r="H872" s="79" t="s">
        <v>152</v>
      </c>
      <c r="I872" s="79" t="s">
        <v>152</v>
      </c>
      <c r="J872" s="79" t="s">
        <v>2153</v>
      </c>
      <c r="K872" s="79" t="s">
        <v>155</v>
      </c>
      <c r="L872" s="80" t="s">
        <v>5944</v>
      </c>
      <c r="M872" s="80" t="s">
        <v>624</v>
      </c>
      <c r="N872" s="79" t="s">
        <v>5852</v>
      </c>
      <c r="O872" s="80" t="str">
        <f>_xlfn.TEXTJOIN(", ",TRUE,P872:AN872)</f>
        <v>Andres Castro Latorre, Germán Ramón Jacome, Ana María Ulloa, Fredy Alexander Martínez, César Augusto Barrantes, Sebastian Higuera Góngora, Natalia Gómez Meza, Sebastian Potes Buitrago , Nathalia Guzmán Martínez , Paola Andrea González</v>
      </c>
      <c r="P872" s="79" t="s">
        <v>749</v>
      </c>
      <c r="Q872" s="79" t="s">
        <v>525</v>
      </c>
      <c r="R872" s="79" t="s">
        <v>522</v>
      </c>
      <c r="S872" s="79" t="s">
        <v>5852</v>
      </c>
      <c r="T872" s="79" t="s">
        <v>729</v>
      </c>
      <c r="U872" s="79" t="s">
        <v>5901</v>
      </c>
      <c r="V872" s="79" t="s">
        <v>5900</v>
      </c>
      <c r="W872" s="79" t="s">
        <v>5920</v>
      </c>
      <c r="X872" s="79" t="s">
        <v>5834</v>
      </c>
      <c r="Y872" s="79" t="s">
        <v>924</v>
      </c>
      <c r="Z872" s="79"/>
      <c r="AA872" s="79"/>
      <c r="AB872" s="79"/>
      <c r="AC872" s="79"/>
      <c r="AD872" s="79"/>
      <c r="AE872" s="79"/>
      <c r="AF872" s="79"/>
      <c r="AG872" s="79"/>
      <c r="AH872" s="79"/>
      <c r="AI872" s="79"/>
      <c r="AJ872" s="79"/>
      <c r="AK872" s="79"/>
      <c r="AL872" s="79"/>
      <c r="AM872" s="79"/>
      <c r="AN872" s="79"/>
      <c r="AO872" s="79" t="s">
        <v>1226</v>
      </c>
      <c r="AP872" s="79"/>
      <c r="AQ872" s="80" t="s">
        <v>179</v>
      </c>
      <c r="AR872" s="83" t="s">
        <v>179</v>
      </c>
      <c r="AS872" s="80" t="s">
        <v>179</v>
      </c>
      <c r="AT872" s="80" t="str">
        <f t="shared" si="1146"/>
        <v>Suba</v>
      </c>
      <c r="AU872" s="79" t="s">
        <v>602</v>
      </c>
      <c r="AV872" s="79"/>
      <c r="AW872" s="79"/>
      <c r="AX872" s="79"/>
      <c r="AY872" s="79"/>
      <c r="AZ872" s="79"/>
      <c r="BA872" s="80" t="str">
        <f t="shared" si="1147"/>
        <v>Noroccidente</v>
      </c>
      <c r="BB872" s="79" t="s">
        <v>603</v>
      </c>
      <c r="BC872" s="79"/>
      <c r="BD872" s="79"/>
      <c r="BE872" s="79"/>
      <c r="BF872" s="79"/>
      <c r="BG872" s="79"/>
      <c r="BH872" s="80" t="str">
        <f t="shared" si="1148"/>
        <v>Suba</v>
      </c>
      <c r="BI872" s="79" t="s">
        <v>602</v>
      </c>
      <c r="BJ872" s="79"/>
      <c r="BK872" s="79"/>
      <c r="BL872" s="79"/>
      <c r="BM872" s="79"/>
      <c r="BN872" s="79"/>
      <c r="BO872" s="79"/>
      <c r="BP872" s="79"/>
      <c r="BQ872" s="79"/>
      <c r="BR872" s="79"/>
      <c r="BS872" s="80" t="s">
        <v>179</v>
      </c>
      <c r="BT872" s="315" t="s">
        <v>179</v>
      </c>
      <c r="BU872" s="321" t="s">
        <v>5945</v>
      </c>
      <c r="BV872" s="71"/>
      <c r="BW872" s="79" t="s">
        <v>152</v>
      </c>
      <c r="BX872" s="79" t="s">
        <v>179</v>
      </c>
      <c r="BY872" s="71"/>
      <c r="BZ872" s="79"/>
      <c r="CA872" s="79">
        <v>9</v>
      </c>
      <c r="CB872" s="79">
        <f t="shared" si="1149"/>
        <v>9</v>
      </c>
      <c r="CC872" s="79" t="str">
        <f t="shared" si="1154"/>
        <v>Ninguna</v>
      </c>
      <c r="CD872" s="79" t="s">
        <v>174</v>
      </c>
      <c r="CE872" s="79"/>
      <c r="CF872" s="165"/>
      <c r="CG872" s="319" t="s">
        <v>3632</v>
      </c>
      <c r="CH872" s="41"/>
      <c r="CI872" s="79" t="s">
        <v>152</v>
      </c>
      <c r="CJ872" s="71"/>
      <c r="CK872" s="79">
        <v>0</v>
      </c>
      <c r="CL872" s="79"/>
      <c r="CM872" s="79"/>
      <c r="CN872" s="79"/>
      <c r="CO872" s="79"/>
      <c r="CP872" s="79"/>
      <c r="CQ872" s="79"/>
      <c r="CR872" s="83" t="s">
        <v>179</v>
      </c>
      <c r="CS872" s="83" t="s">
        <v>179</v>
      </c>
      <c r="CT872" s="83" t="s">
        <v>179</v>
      </c>
      <c r="CU872" s="83" t="s">
        <v>179</v>
      </c>
      <c r="CV872" s="83" t="s">
        <v>179</v>
      </c>
      <c r="CW872" s="83" t="s">
        <v>179</v>
      </c>
      <c r="CX872" s="79" t="s">
        <v>153</v>
      </c>
      <c r="CY872" s="79">
        <v>0</v>
      </c>
      <c r="CZ872" s="79">
        <v>0</v>
      </c>
      <c r="DA872" s="79">
        <v>0</v>
      </c>
      <c r="DB872" s="84" t="s">
        <v>316</v>
      </c>
      <c r="DC872" s="41"/>
      <c r="DD872" s="79" t="s">
        <v>153</v>
      </c>
      <c r="DE872" s="71"/>
      <c r="DF872" s="127" t="s">
        <v>5946</v>
      </c>
      <c r="DG872" s="205"/>
      <c r="DH872" s="86" t="str">
        <f t="shared" si="1150"/>
        <v>Completo</v>
      </c>
      <c r="DI872" s="79" t="s">
        <v>181</v>
      </c>
      <c r="DJ872" s="79" t="s">
        <v>191</v>
      </c>
      <c r="DK872" s="79"/>
      <c r="DL872" s="79">
        <v>0</v>
      </c>
      <c r="DM872" s="79">
        <v>0</v>
      </c>
      <c r="DN872" s="79" t="s">
        <v>182</v>
      </c>
      <c r="DO872" s="79"/>
      <c r="DP872" s="79"/>
      <c r="DQ872" s="79"/>
      <c r="DR872" s="75" t="str">
        <f t="shared" si="1152"/>
        <v>No aplica</v>
      </c>
      <c r="DS872" s="79"/>
      <c r="DT872" s="79"/>
      <c r="DU872" s="75" t="str">
        <f t="shared" si="1155"/>
        <v>No aplica</v>
      </c>
      <c r="DV872" s="79" t="s">
        <v>182</v>
      </c>
      <c r="DW872" s="79"/>
      <c r="DX872" s="79"/>
      <c r="DY872" s="79"/>
      <c r="DZ872" s="79"/>
      <c r="EA872" s="79"/>
      <c r="EB872" s="79" t="s">
        <v>182</v>
      </c>
      <c r="EC872" s="79" t="s">
        <v>5942</v>
      </c>
      <c r="ED872" s="79" t="s">
        <v>5896</v>
      </c>
      <c r="EE872" s="79" t="str">
        <f t="shared" si="1143"/>
        <v>Completo</v>
      </c>
      <c r="EF872" s="41"/>
      <c r="EG872" s="79"/>
      <c r="EH872" s="71"/>
      <c r="EI872" s="80"/>
      <c r="EJ872" s="71"/>
      <c r="EK872" s="79"/>
      <c r="EL872" s="87" t="str">
        <f>IF(F872="NO","No requiere",IF(H872="No","No requiere",IF(DW872="","",IF(DW872&lt;&gt;"No aplica",IF(DX872&lt;&gt;"No aplica",IF(DX872&gt;=2,"Sí","No"),"No aplica"),"No aplica"))))</f>
        <v>No requiere</v>
      </c>
      <c r="EM872" s="87" t="str">
        <f>IF(F872="NO","No requiere",IF(H872="No","No requiere",IF(DW872="","",IF(DW872&lt;&gt;"No aplica",IF(DY872&lt;&gt;"No aplica",IF(DY872&gt;=1,"Sí","No"),"No aplica"),"No aplica"))))</f>
        <v>No requiere</v>
      </c>
      <c r="EN872" s="87" t="str">
        <f>IF(F872="NO","No requiere",IF(H872="No","No requiere",IF(CC872="","",IF(CD872&lt;&gt;"No aplica",IF(CD872&lt;&gt;"Ninguna",IF(COUNTIF(CD872:CF872,"*")&gt;=1,"Sí","No"),"No"),"No aplica"))))</f>
        <v>No requiere</v>
      </c>
      <c r="EO872" s="71"/>
      <c r="EP872" s="84" t="str">
        <f>IF(F872="NO","No requiere",IF(H872="No","No requiere",IF(DL872="","",IF(DL872&gt;=1,DM872/DL872,"No aplica"))))</f>
        <v>No requiere</v>
      </c>
      <c r="EQ872" s="88" t="str">
        <f>IFERROR(IF(F872="NO","No requiere",IF(H872="No","No requiere",DU872)),"")</f>
        <v>No requiere</v>
      </c>
      <c r="ER872" s="71"/>
      <c r="ES872" s="79"/>
      <c r="ET872" s="84" t="str">
        <f>IF(F872="NO","No requiere",IF(H872="No","No requiere",IFERROR(COUNTIF(DJ872:DW872,"Completo")/SUM(COUNTIF(DJ872:DW872,"Completo"),COUNTIF(DJ872:DW872,"Incompleto"),COUNTIF(DJ872:DW872,"No subido"),COUNTIF(DJ872:DW872,"No existente"),COUNTIF(DJ872:DW872,"Pendiente")),"")))</f>
        <v>No requiere</v>
      </c>
      <c r="EU872" s="84" t="str">
        <f>IF(F872="NO","No requiere",IF(H872="No","No requiere",IF(B872="","",IF(CX872="SÍ",IF(CK872&gt;=1,CY872/CK872,"Sin compromisos"),"Por verificar"))))</f>
        <v>No requiere</v>
      </c>
      <c r="EV872" s="84" t="str">
        <f>IF(EU872="Por verificar","Por verificar",IF(F872="NO","No requiere",IF(H872="No","No requiere",IFERROR(IF(EU872="","",IF(CK872&gt;=1,DA872/CZ872,"No aplica")),"No aplica"))))</f>
        <v>No requiere</v>
      </c>
      <c r="EW872" s="84" t="str">
        <f>IF(F872="NO","No requiere",IF(H872="No","No requiere",IFERROR(IF(BZ872="","",IF(EA872&lt;&gt;"No aplica",IF(EA872&gt;=1,DO872/EA872,"0%"),"No aplica")),"")))</f>
        <v>No requiere</v>
      </c>
      <c r="EX872" s="78"/>
      <c r="EY872" s="78"/>
    </row>
    <row r="873" spans="1:155" ht="51.75" customHeight="1">
      <c r="A873" s="79">
        <v>869</v>
      </c>
      <c r="B873" s="80" t="s">
        <v>5947</v>
      </c>
      <c r="C873" s="81">
        <v>45537</v>
      </c>
      <c r="D873" s="82">
        <v>0.33333333333333331</v>
      </c>
      <c r="E873" s="79" t="s">
        <v>151</v>
      </c>
      <c r="F873" s="79" t="s">
        <v>153</v>
      </c>
      <c r="G873" s="79" t="s">
        <v>153</v>
      </c>
      <c r="H873" s="79" t="s">
        <v>152</v>
      </c>
      <c r="I873" s="79" t="s">
        <v>152</v>
      </c>
      <c r="J873" s="79" t="s">
        <v>2153</v>
      </c>
      <c r="K873" s="79" t="s">
        <v>155</v>
      </c>
      <c r="L873" s="80" t="s">
        <v>5948</v>
      </c>
      <c r="M873" s="80" t="s">
        <v>624</v>
      </c>
      <c r="N873" s="79" t="s">
        <v>5852</v>
      </c>
      <c r="O873" s="80" t="str">
        <f>_xlfn.TEXTJOIN(", ",TRUE,P873:AN873)</f>
        <v>Luisa Romero, Maria Angélica Higuera, Angie Pérez Sandoval, Diana Carolina Aristizábal, David Reinaldo Jojoa, Juan Pablo Saiz, Nicolás Esteban Flórez, Joan Sebastian García, Dayanna Alexandra Cortés, Daniela Velasco Vega</v>
      </c>
      <c r="P873" s="79" t="s">
        <v>5709</v>
      </c>
      <c r="Q873" s="79" t="s">
        <v>328</v>
      </c>
      <c r="R873" s="79" t="s">
        <v>5923</v>
      </c>
      <c r="S873" s="79" t="s">
        <v>165</v>
      </c>
      <c r="T873" s="79" t="s">
        <v>548</v>
      </c>
      <c r="U873" s="79" t="s">
        <v>5949</v>
      </c>
      <c r="V873" s="79" t="s">
        <v>472</v>
      </c>
      <c r="W873" s="161" t="s">
        <v>728</v>
      </c>
      <c r="X873" s="79" t="s">
        <v>5912</v>
      </c>
      <c r="Y873" s="79" t="s">
        <v>660</v>
      </c>
      <c r="Z873" s="79"/>
      <c r="AA873" s="79"/>
      <c r="AB873" s="79"/>
      <c r="AC873" s="79"/>
      <c r="AD873" s="79"/>
      <c r="AE873" s="79"/>
      <c r="AF873" s="79"/>
      <c r="AG873" s="79"/>
      <c r="AH873" s="79"/>
      <c r="AI873" s="79"/>
      <c r="AJ873" s="79"/>
      <c r="AK873" s="79"/>
      <c r="AL873" s="79"/>
      <c r="AM873" s="79"/>
      <c r="AN873" s="79"/>
      <c r="AO873" s="79" t="s">
        <v>1226</v>
      </c>
      <c r="AP873" s="79"/>
      <c r="AQ873" s="80" t="s">
        <v>179</v>
      </c>
      <c r="AR873" s="83" t="s">
        <v>179</v>
      </c>
      <c r="AS873" s="80" t="s">
        <v>179</v>
      </c>
      <c r="AT873" s="80" t="str">
        <f t="shared" si="1146"/>
        <v>Suba</v>
      </c>
      <c r="AU873" s="79" t="s">
        <v>602</v>
      </c>
      <c r="AV873" s="79"/>
      <c r="AW873" s="79"/>
      <c r="AX873" s="79"/>
      <c r="AY873" s="79"/>
      <c r="AZ873" s="79"/>
      <c r="BA873" s="80" t="str">
        <f t="shared" si="1147"/>
        <v>Noroccidente</v>
      </c>
      <c r="BB873" s="79" t="s">
        <v>603</v>
      </c>
      <c r="BC873" s="79"/>
      <c r="BD873" s="79"/>
      <c r="BE873" s="79"/>
      <c r="BF873" s="79"/>
      <c r="BG873" s="79"/>
      <c r="BH873" s="80" t="str">
        <f t="shared" si="1148"/>
        <v>Suba</v>
      </c>
      <c r="BI873" s="79" t="s">
        <v>602</v>
      </c>
      <c r="BJ873" s="79"/>
      <c r="BK873" s="79"/>
      <c r="BL873" s="79"/>
      <c r="BM873" s="79"/>
      <c r="BN873" s="79"/>
      <c r="BO873" s="79"/>
      <c r="BP873" s="79"/>
      <c r="BQ873" s="79"/>
      <c r="BR873" s="79"/>
      <c r="BS873" s="80" t="s">
        <v>179</v>
      </c>
      <c r="BT873" s="315" t="s">
        <v>179</v>
      </c>
      <c r="BU873" s="321" t="s">
        <v>5950</v>
      </c>
      <c r="BV873" s="71"/>
      <c r="BW873" s="79" t="s">
        <v>152</v>
      </c>
      <c r="BX873" s="79" t="s">
        <v>179</v>
      </c>
      <c r="BY873" s="71"/>
      <c r="BZ873" s="79"/>
      <c r="CA873" s="79">
        <v>10</v>
      </c>
      <c r="CB873" s="79">
        <f t="shared" si="1149"/>
        <v>10</v>
      </c>
      <c r="CC873" s="79" t="str">
        <f t="shared" si="1154"/>
        <v>Ninguna</v>
      </c>
      <c r="CD873" s="79" t="s">
        <v>174</v>
      </c>
      <c r="CE873" s="79"/>
      <c r="CF873" s="165"/>
      <c r="CG873" s="319" t="s">
        <v>3632</v>
      </c>
      <c r="CH873" s="41"/>
      <c r="CI873" s="79" t="s">
        <v>152</v>
      </c>
      <c r="CJ873" s="71"/>
      <c r="CK873" s="79">
        <v>0</v>
      </c>
      <c r="CL873" s="79"/>
      <c r="CM873" s="79"/>
      <c r="CN873" s="79"/>
      <c r="CO873" s="79"/>
      <c r="CP873" s="79"/>
      <c r="CQ873" s="79"/>
      <c r="CR873" s="83" t="s">
        <v>179</v>
      </c>
      <c r="CS873" s="83" t="s">
        <v>179</v>
      </c>
      <c r="CT873" s="83" t="s">
        <v>179</v>
      </c>
      <c r="CU873" s="83" t="s">
        <v>179</v>
      </c>
      <c r="CV873" s="83" t="s">
        <v>179</v>
      </c>
      <c r="CW873" s="83" t="s">
        <v>179</v>
      </c>
      <c r="CX873" s="79" t="s">
        <v>153</v>
      </c>
      <c r="CY873" s="79">
        <v>0</v>
      </c>
      <c r="CZ873" s="79">
        <v>0</v>
      </c>
      <c r="DA873" s="79">
        <v>0</v>
      </c>
      <c r="DB873" s="84" t="s">
        <v>316</v>
      </c>
      <c r="DC873" s="41"/>
      <c r="DD873" s="79" t="s">
        <v>153</v>
      </c>
      <c r="DE873" s="71"/>
      <c r="DF873" s="127" t="s">
        <v>5951</v>
      </c>
      <c r="DG873" s="205"/>
      <c r="DH873" s="86" t="str">
        <f t="shared" si="1150"/>
        <v>Completo</v>
      </c>
      <c r="DI873" s="79" t="s">
        <v>181</v>
      </c>
      <c r="DJ873" s="79" t="s">
        <v>191</v>
      </c>
      <c r="DK873" s="79"/>
      <c r="DL873" s="79">
        <v>0</v>
      </c>
      <c r="DM873" s="79">
        <v>0</v>
      </c>
      <c r="DN873" s="79" t="s">
        <v>182</v>
      </c>
      <c r="DO873" s="79"/>
      <c r="DP873" s="79"/>
      <c r="DQ873" s="79"/>
      <c r="DR873" s="75" t="str">
        <f t="shared" si="1152"/>
        <v>No aplica</v>
      </c>
      <c r="DS873" s="79"/>
      <c r="DT873" s="79"/>
      <c r="DU873" s="75" t="str">
        <f t="shared" si="1155"/>
        <v>No aplica</v>
      </c>
      <c r="DV873" s="79" t="s">
        <v>182</v>
      </c>
      <c r="DW873" s="79"/>
      <c r="DX873" s="79"/>
      <c r="DY873" s="79"/>
      <c r="DZ873" s="79"/>
      <c r="EA873" s="79"/>
      <c r="EB873" s="79" t="s">
        <v>182</v>
      </c>
      <c r="EC873" s="79" t="s">
        <v>5952</v>
      </c>
      <c r="ED873" s="79" t="s">
        <v>5896</v>
      </c>
      <c r="EE873" s="79" t="str">
        <f t="shared" si="1143"/>
        <v>Completo</v>
      </c>
      <c r="EF873" s="41"/>
      <c r="EG873" s="79"/>
      <c r="EH873" s="71"/>
      <c r="EI873" s="80"/>
      <c r="EJ873" s="71"/>
      <c r="EK873" s="79"/>
      <c r="EL873" s="87" t="str">
        <f>IF(F873="NO","No requiere",IF(H873="No","No requiere",IF(DW873="","",IF(DW873&lt;&gt;"No aplica",IF(DX873&lt;&gt;"No aplica",IF(DX873&gt;=2,"Sí","No"),"No aplica"),"No aplica"))))</f>
        <v>No requiere</v>
      </c>
      <c r="EM873" s="87" t="str">
        <f>IF(F873="NO","No requiere",IF(H873="No","No requiere",IF(DW873="","",IF(DW873&lt;&gt;"No aplica",IF(DY873&lt;&gt;"No aplica",IF(DY873&gt;=1,"Sí","No"),"No aplica"),"No aplica"))))</f>
        <v>No requiere</v>
      </c>
      <c r="EN873" s="87" t="str">
        <f>IF(F873="NO","No requiere",IF(H873="No","No requiere",IF(CC873="","",IF(CD873&lt;&gt;"No aplica",IF(CD873&lt;&gt;"Ninguna",IF(COUNTIF(CD873:CF873,"*")&gt;=1,"Sí","No"),"No"),"No aplica"))))</f>
        <v>No requiere</v>
      </c>
      <c r="EO873" s="71"/>
      <c r="EP873" s="84" t="str">
        <f>IF(F873="NO","No requiere",IF(H873="No","No requiere",IF(DL873="","",IF(DL873&gt;=1,DM873/DL873,"No aplica"))))</f>
        <v>No requiere</v>
      </c>
      <c r="EQ873" s="88" t="str">
        <f>IFERROR(IF(F873="NO","No requiere",IF(H873="No","No requiere",DU873)),"")</f>
        <v>No requiere</v>
      </c>
      <c r="ER873" s="71"/>
      <c r="ES873" s="79"/>
      <c r="ET873" s="84" t="str">
        <f>IF(F873="NO","No requiere",IF(H873="No","No requiere",IFERROR(COUNTIF(DJ873:DW873,"Completo")/SUM(COUNTIF(DJ873:DW873,"Completo"),COUNTIF(DJ873:DW873,"Incompleto"),COUNTIF(DJ873:DW873,"No subido"),COUNTIF(DJ873:DW873,"No existente"),COUNTIF(DJ873:DW873,"Pendiente")),"")))</f>
        <v>No requiere</v>
      </c>
      <c r="EU873" s="84" t="str">
        <f>IF(F873="NO","No requiere",IF(H873="No","No requiere",IF(B873="","",IF(CX873="SÍ",IF(CK873&gt;=1,CY873/CK873,"Sin compromisos"),"Por verificar"))))</f>
        <v>No requiere</v>
      </c>
      <c r="EV873" s="84" t="str">
        <f>IF(EU873="Por verificar","Por verificar",IF(F873="NO","No requiere",IF(H873="No","No requiere",IFERROR(IF(EU873="","",IF(CK873&gt;=1,DA873/CZ873,"No aplica")),"No aplica"))))</f>
        <v>No requiere</v>
      </c>
      <c r="EW873" s="84" t="str">
        <f>IF(F873="NO","No requiere",IF(H873="No","No requiere",IFERROR(IF(BZ873="","",IF(EA873&lt;&gt;"No aplica",IF(EA873&gt;=1,DO873/EA873,"0%"),"No aplica")),"")))</f>
        <v>No requiere</v>
      </c>
      <c r="EX873" s="78"/>
      <c r="EY873" s="78"/>
    </row>
    <row r="874" spans="1:155" ht="51.75" customHeight="1">
      <c r="A874" s="79">
        <v>870</v>
      </c>
      <c r="B874" s="80" t="s">
        <v>5401</v>
      </c>
      <c r="C874" s="81">
        <v>45537</v>
      </c>
      <c r="D874" s="82">
        <v>0.45833333333333331</v>
      </c>
      <c r="E874" s="79" t="s">
        <v>151</v>
      </c>
      <c r="F874" s="79" t="s">
        <v>153</v>
      </c>
      <c r="G874" s="79" t="s">
        <v>153</v>
      </c>
      <c r="H874" s="79" t="s">
        <v>152</v>
      </c>
      <c r="I874" s="79" t="s">
        <v>152</v>
      </c>
      <c r="J874" s="79" t="s">
        <v>3297</v>
      </c>
      <c r="K874" s="79" t="s">
        <v>155</v>
      </c>
      <c r="L874" s="80" t="s">
        <v>5953</v>
      </c>
      <c r="M874" s="80" t="s">
        <v>624</v>
      </c>
      <c r="N874" s="79" t="s">
        <v>5867</v>
      </c>
      <c r="O874" s="80" t="str">
        <f>_xlfn.TEXTJOIN(", ",TRUE,P874:AN874)</f>
        <v/>
      </c>
      <c r="P874" s="79"/>
      <c r="Q874" s="79"/>
      <c r="R874" s="79"/>
      <c r="S874" s="79"/>
      <c r="T874" s="79"/>
      <c r="U874" s="79"/>
      <c r="V874" s="79"/>
      <c r="W874" s="161"/>
      <c r="X874" s="79"/>
      <c r="Y874" s="79"/>
      <c r="Z874" s="79"/>
      <c r="AA874" s="79"/>
      <c r="AB874" s="79"/>
      <c r="AC874" s="79"/>
      <c r="AD874" s="79"/>
      <c r="AE874" s="79"/>
      <c r="AF874" s="79"/>
      <c r="AG874" s="79"/>
      <c r="AH874" s="79"/>
      <c r="AI874" s="79"/>
      <c r="AJ874" s="79"/>
      <c r="AK874" s="79"/>
      <c r="AL874" s="79"/>
      <c r="AM874" s="79"/>
      <c r="AN874" s="79"/>
      <c r="AO874" s="79" t="s">
        <v>304</v>
      </c>
      <c r="AP874" s="79"/>
      <c r="AQ874" s="80" t="s">
        <v>171</v>
      </c>
      <c r="AR874" s="83" t="s">
        <v>171</v>
      </c>
      <c r="AS874" s="80" t="s">
        <v>171</v>
      </c>
      <c r="AT874" s="227" t="str">
        <f>_xlfn.TEXTJOIN(", ",TRUE,$AU874:$AY874)</f>
        <v>Distrital</v>
      </c>
      <c r="AU874" s="79" t="s">
        <v>172</v>
      </c>
      <c r="AV874" s="79"/>
      <c r="AW874" s="79"/>
      <c r="AX874" s="79"/>
      <c r="AY874" s="79"/>
      <c r="AZ874" s="79"/>
      <c r="BA874" s="227" t="str">
        <f>_xlfn.TEXTJOIN(", ",TRUE,$BB874:$BG874)</f>
        <v>Distrital</v>
      </c>
      <c r="BB874" s="79" t="s">
        <v>172</v>
      </c>
      <c r="BC874" s="79"/>
      <c r="BD874" s="79"/>
      <c r="BE874" s="79"/>
      <c r="BF874" s="79"/>
      <c r="BG874" s="79"/>
      <c r="BH874" s="80" t="str">
        <f>_xlfn.TEXTJOIN(", ",TRUE,$BI874:$BR874)</f>
        <v>Distrital</v>
      </c>
      <c r="BI874" s="79" t="s">
        <v>172</v>
      </c>
      <c r="BJ874" s="79"/>
      <c r="BK874" s="79"/>
      <c r="BL874" s="79"/>
      <c r="BM874" s="79"/>
      <c r="BN874" s="79"/>
      <c r="BO874" s="79"/>
      <c r="BP874" s="79"/>
      <c r="BQ874" s="79"/>
      <c r="BR874" s="79"/>
      <c r="BS874" s="80" t="s">
        <v>179</v>
      </c>
      <c r="BT874" s="315" t="s">
        <v>179</v>
      </c>
      <c r="BU874" s="321" t="s">
        <v>5403</v>
      </c>
      <c r="BV874" s="71"/>
      <c r="BW874" s="79" t="s">
        <v>152</v>
      </c>
      <c r="BX874" s="79" t="s">
        <v>179</v>
      </c>
      <c r="BY874" s="71"/>
      <c r="BZ874" s="79">
        <v>0</v>
      </c>
      <c r="CA874" s="79">
        <v>5</v>
      </c>
      <c r="CB874" s="79">
        <f>BZ874+CA874</f>
        <v>5</v>
      </c>
      <c r="CC874" s="79" t="str">
        <f t="shared" si="1154"/>
        <v>Ninguna</v>
      </c>
      <c r="CD874" s="79" t="s">
        <v>174</v>
      </c>
      <c r="CE874" s="79"/>
      <c r="CF874" s="165"/>
      <c r="CG874" s="319" t="s">
        <v>5954</v>
      </c>
      <c r="CH874" s="41"/>
      <c r="CI874" s="79" t="s">
        <v>153</v>
      </c>
      <c r="CJ874" s="71"/>
      <c r="CK874" s="79">
        <v>0</v>
      </c>
      <c r="CL874" s="79"/>
      <c r="CM874" s="79"/>
      <c r="CN874" s="79"/>
      <c r="CO874" s="79"/>
      <c r="CP874" s="79"/>
      <c r="CQ874" s="79"/>
      <c r="CR874" s="83"/>
      <c r="CS874" s="83"/>
      <c r="CT874" s="83"/>
      <c r="CU874" s="83"/>
      <c r="CV874" s="83"/>
      <c r="CW874" s="83"/>
      <c r="CX874" s="79"/>
      <c r="CY874" s="79">
        <v>0</v>
      </c>
      <c r="CZ874" s="79">
        <v>0</v>
      </c>
      <c r="DA874" s="79">
        <v>0</v>
      </c>
      <c r="DB874" s="84" t="s">
        <v>316</v>
      </c>
      <c r="DC874" s="41"/>
      <c r="DD874" s="79"/>
      <c r="DE874" s="71"/>
      <c r="DF874" s="127" t="s">
        <v>5955</v>
      </c>
      <c r="DG874" s="205"/>
      <c r="DH874" s="86">
        <f>IF(EE874="Por completar",C874+3,"Completo")</f>
        <v>45540</v>
      </c>
      <c r="DI874" s="79" t="s">
        <v>3560</v>
      </c>
      <c r="DJ874" s="79"/>
      <c r="DK874" s="79"/>
      <c r="DL874" s="79">
        <v>0</v>
      </c>
      <c r="DM874" s="79">
        <v>0</v>
      </c>
      <c r="DN874" s="79"/>
      <c r="DO874" s="79"/>
      <c r="DP874" s="79"/>
      <c r="DQ874" s="79"/>
      <c r="DR874" s="75" t="s">
        <v>179</v>
      </c>
      <c r="DS874" s="79"/>
      <c r="DT874" s="79"/>
      <c r="DU874" s="75" t="s">
        <v>179</v>
      </c>
      <c r="DV874" s="79"/>
      <c r="DW874" s="79"/>
      <c r="DX874" s="79"/>
      <c r="DY874" s="79"/>
      <c r="DZ874" s="79"/>
      <c r="EA874" s="79"/>
      <c r="EB874" s="79"/>
      <c r="EC874" s="79"/>
      <c r="ED874" s="79" t="s">
        <v>5956</v>
      </c>
      <c r="EE874" s="79" t="str">
        <f>IF(DI874="Subsanado","Completo","Por Completar")</f>
        <v>Por Completar</v>
      </c>
      <c r="EF874" s="41"/>
      <c r="EG874" s="79"/>
      <c r="EH874" s="71"/>
      <c r="EI874" s="80"/>
      <c r="EJ874" s="71"/>
      <c r="EK874" s="79"/>
      <c r="EL874" s="87" t="str">
        <f>IF(F874="NO","No requiere",IF(H874="No","No requiere",IF(DW874="","",IF(DW874&lt;&gt;"No aplica",IF(DX874&lt;&gt;"No aplica",IF(DX874&gt;=2,"Sí","No"),"No aplica"),"No aplica"))))</f>
        <v>No requiere</v>
      </c>
      <c r="EM874" s="87" t="str">
        <f>IF(F874="NO","No requiere",IF(H874="No","No requiere",IF(DW874="","",IF(DW874&lt;&gt;"No aplica",IF(DY874&lt;&gt;"No aplica",IF(DY874&gt;=1,"Sí","No"),"No aplica"),"No aplica"))))</f>
        <v>No requiere</v>
      </c>
      <c r="EN874" s="87" t="str">
        <f>IF(F874="NO","No requiere",IF(H874="No","No requiere",IF(CC874="","",IF(CD874&lt;&gt;"No aplica",IF(CD874&lt;&gt;"Ninguna",IF(COUNTIF(CD874:CF874,"*")&gt;=1,"Sí","No"),"No"),"No aplica"))))</f>
        <v>No requiere</v>
      </c>
      <c r="EO874" s="71"/>
      <c r="EP874" s="84" t="str">
        <f>IF(F874="NO","No requiere",IF(H874="No","No requiere",IF(DL874="","",IF(DL874&gt;=1,DM874/DL874,"No aplica"))))</f>
        <v>No requiere</v>
      </c>
      <c r="EQ874" s="88" t="str">
        <f>IFERROR(IF(F874="NO","No requiere",IF(H874="No","No requiere",DU874)),"")</f>
        <v>No requiere</v>
      </c>
      <c r="ER874" s="71"/>
      <c r="ES874" s="79"/>
      <c r="ET874" s="84" t="str">
        <f>IF(F874="NO","No requiere",IF(H874="No","No requiere",IFERROR(COUNTIF(DJ874:DW874,"Completo")/SUM(COUNTIF(DJ874:DW874,"Completo"),COUNTIF(DJ874:DW874,"Incompleto"),COUNTIF(DJ874:DW874,"No subido"),COUNTIF(DJ874:DW874,"No existente"),COUNTIF(DJ874:DW874,"Pendiente")),"")))</f>
        <v>No requiere</v>
      </c>
      <c r="EU874" s="84" t="str">
        <f>IF(F874="NO","No requiere",IF(H874="No","No requiere",IF(B874="","",IF(CX874="SÍ",IF(CK874&gt;=1,CY874/CK874,"Sin compromisos"),"Por verificar"))))</f>
        <v>No requiere</v>
      </c>
      <c r="EV874" s="84" t="str">
        <f>IF(EU874="Por verificar","Por verificar",IF(F874="NO","No requiere",IF(H874="No","No requiere",IFERROR(IF(EU874="","",IF(CK874&gt;=1,DA874/CZ874,"No aplica")),"No aplica"))))</f>
        <v>No requiere</v>
      </c>
      <c r="EW874" s="84" t="str">
        <f>IF(F874="NO","No requiere",IF(H874="No","No requiere",IFERROR(IF(BZ874="","",IF(EA874&lt;&gt;"No aplica",IF(EA874&gt;=1,DO874/EA874,"0%"),"No aplica")),"")))</f>
        <v>No requiere</v>
      </c>
      <c r="EX874" s="78"/>
      <c r="EY874" s="78"/>
    </row>
    <row r="875" spans="1:155" ht="57" customHeight="1">
      <c r="A875" s="79">
        <v>871</v>
      </c>
      <c r="B875" s="80" t="s">
        <v>5957</v>
      </c>
      <c r="C875" s="81">
        <v>45537</v>
      </c>
      <c r="D875" s="82">
        <v>0.58333333333333337</v>
      </c>
      <c r="E875" s="79" t="s">
        <v>151</v>
      </c>
      <c r="F875" s="79" t="s">
        <v>153</v>
      </c>
      <c r="G875" s="79" t="s">
        <v>152</v>
      </c>
      <c r="H875" s="79" t="s">
        <v>152</v>
      </c>
      <c r="I875" s="79" t="s">
        <v>153</v>
      </c>
      <c r="J875" s="79" t="s">
        <v>251</v>
      </c>
      <c r="K875" s="79" t="s">
        <v>155</v>
      </c>
      <c r="L875" s="80" t="s">
        <v>5958</v>
      </c>
      <c r="M875" s="80" t="s">
        <v>157</v>
      </c>
      <c r="N875" s="79" t="s">
        <v>818</v>
      </c>
      <c r="O875" s="80" t="str">
        <f>_xlfn.TEXTJOIN(", ",TRUE,P875:AN875)</f>
        <v>Luisa Romero</v>
      </c>
      <c r="P875" s="79" t="s">
        <v>5709</v>
      </c>
      <c r="Q875" s="79"/>
      <c r="R875" s="79"/>
      <c r="S875" s="161"/>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t="s">
        <v>169</v>
      </c>
      <c r="AP875" s="79" t="s">
        <v>170</v>
      </c>
      <c r="AQ875" s="80" t="s">
        <v>171</v>
      </c>
      <c r="AR875" s="80" t="s">
        <v>171</v>
      </c>
      <c r="AS875" s="80" t="s">
        <v>171</v>
      </c>
      <c r="AT875" s="80" t="str">
        <f t="shared" si="1146"/>
        <v>Engativá</v>
      </c>
      <c r="AU875" s="79" t="s">
        <v>234</v>
      </c>
      <c r="AV875" s="79"/>
      <c r="AW875" s="79"/>
      <c r="AX875" s="79"/>
      <c r="AY875" s="79"/>
      <c r="AZ875" s="79"/>
      <c r="BA875" s="80" t="str">
        <f t="shared" si="1147"/>
        <v>Occidente</v>
      </c>
      <c r="BB875" s="79" t="s">
        <v>235</v>
      </c>
      <c r="BC875" s="79"/>
      <c r="BD875" s="79"/>
      <c r="BE875" s="79"/>
      <c r="BF875" s="79"/>
      <c r="BG875" s="79"/>
      <c r="BH875" s="80" t="str">
        <f t="shared" si="1148"/>
        <v>Engativá</v>
      </c>
      <c r="BI875" s="79" t="s">
        <v>234</v>
      </c>
      <c r="BJ875" s="79"/>
      <c r="BK875" s="79"/>
      <c r="BL875" s="79"/>
      <c r="BM875" s="79"/>
      <c r="BN875" s="79"/>
      <c r="BO875" s="79"/>
      <c r="BP875" s="79"/>
      <c r="BQ875" s="79"/>
      <c r="BR875" s="79"/>
      <c r="BS875" s="80" t="s">
        <v>179</v>
      </c>
      <c r="BT875" s="315" t="s">
        <v>236</v>
      </c>
      <c r="BU875" s="324" t="s">
        <v>5959</v>
      </c>
      <c r="BV875" s="71"/>
      <c r="BW875" s="79" t="s">
        <v>152</v>
      </c>
      <c r="BX875" s="79" t="s">
        <v>179</v>
      </c>
      <c r="BY875" s="71"/>
      <c r="BZ875" s="79">
        <v>1</v>
      </c>
      <c r="CA875" s="79">
        <v>7</v>
      </c>
      <c r="CB875" s="79">
        <f t="shared" si="1149"/>
        <v>8</v>
      </c>
      <c r="CC875" s="79" t="str">
        <f t="shared" si="1154"/>
        <v>Accesibilidad Universal, Horarios Acordes</v>
      </c>
      <c r="CD875" s="79" t="s">
        <v>397</v>
      </c>
      <c r="CE875" s="79" t="s">
        <v>351</v>
      </c>
      <c r="CF875" s="165"/>
      <c r="CG875" s="318" t="s">
        <v>5960</v>
      </c>
      <c r="CH875" s="41"/>
      <c r="CI875" s="79" t="s">
        <v>153</v>
      </c>
      <c r="CJ875" s="71"/>
      <c r="CK875" s="79">
        <v>0</v>
      </c>
      <c r="CL875" s="79"/>
      <c r="CM875" s="79"/>
      <c r="CN875" s="79"/>
      <c r="CO875" s="79"/>
      <c r="CP875" s="79"/>
      <c r="CQ875" s="79"/>
      <c r="CR875" s="83"/>
      <c r="CS875" s="83"/>
      <c r="CT875" s="83"/>
      <c r="CU875" s="83"/>
      <c r="CV875" s="83"/>
      <c r="CW875" s="83"/>
      <c r="CX875" s="79"/>
      <c r="CY875" s="79">
        <v>0</v>
      </c>
      <c r="CZ875" s="79">
        <v>0</v>
      </c>
      <c r="DA875" s="79">
        <v>0</v>
      </c>
      <c r="DB875" s="84" t="s">
        <v>316</v>
      </c>
      <c r="DC875" s="41"/>
      <c r="DD875" s="79"/>
      <c r="DE875" s="71"/>
      <c r="DF875" s="127" t="s">
        <v>5961</v>
      </c>
      <c r="DG875" s="205"/>
      <c r="DH875" s="86" t="str">
        <f t="shared" si="1150"/>
        <v>Completo</v>
      </c>
      <c r="DI875" s="79" t="s">
        <v>181</v>
      </c>
      <c r="DJ875" s="79" t="s">
        <v>182</v>
      </c>
      <c r="DK875" s="79"/>
      <c r="DL875" s="79">
        <v>0</v>
      </c>
      <c r="DM875" s="79">
        <v>0</v>
      </c>
      <c r="DN875" s="79" t="s">
        <v>182</v>
      </c>
      <c r="DO875" s="79"/>
      <c r="DP875" s="79"/>
      <c r="DQ875" s="79"/>
      <c r="DR875" s="75" t="str">
        <f t="shared" si="1152"/>
        <v>No aplica</v>
      </c>
      <c r="DS875" s="79"/>
      <c r="DT875" s="79"/>
      <c r="DU875" s="75" t="str">
        <f t="shared" si="1155"/>
        <v>No aplica</v>
      </c>
      <c r="DV875" s="79" t="s">
        <v>182</v>
      </c>
      <c r="DW875" s="79"/>
      <c r="DX875" s="79"/>
      <c r="DY875" s="79"/>
      <c r="DZ875" s="79"/>
      <c r="EA875" s="79"/>
      <c r="EB875" s="79"/>
      <c r="EC875" s="79"/>
      <c r="ED875" s="79" t="s">
        <v>3732</v>
      </c>
      <c r="EE875" s="79" t="str">
        <f t="shared" si="1143"/>
        <v>Completo</v>
      </c>
      <c r="EF875" s="41"/>
      <c r="EG875" s="79" t="s">
        <v>153</v>
      </c>
      <c r="EH875" s="71"/>
      <c r="EI875" s="80"/>
      <c r="EJ875" s="71"/>
      <c r="EK875" s="79"/>
      <c r="EL875" s="87" t="str">
        <f>IF(F875="NO","No requiere",IF(H875="No","No requiere",IF(DW875="","",IF(DW875&lt;&gt;"No aplica",IF(DX875&lt;&gt;"No aplica",IF(DX875&gt;=2,"Sí","No"),"No aplica"),"No aplica"))))</f>
        <v>No requiere</v>
      </c>
      <c r="EM875" s="87" t="str">
        <f>IF(F875="NO","No requiere",IF(H875="No","No requiere",IF(DW875="","",IF(DW875&lt;&gt;"No aplica",IF(DY875&lt;&gt;"No aplica",IF(DY875&gt;=1,"Sí","No"),"No aplica"),"No aplica"))))</f>
        <v>No requiere</v>
      </c>
      <c r="EN875" s="87" t="str">
        <f>IF(F875="NO","No requiere",IF(H875="No","No requiere",IF(CC875="","",IF(CD875&lt;&gt;"No aplica",IF(CD875&lt;&gt;"Ninguna",IF(COUNTIF(CD875:CF875,"*")&gt;=1,"Sí","No"),"No"),"No aplica"))))</f>
        <v>No requiere</v>
      </c>
      <c r="EO875" s="71"/>
      <c r="EP875" s="84" t="str">
        <f>IF(F875="NO","No requiere",IF(H875="No","No requiere",IF(DL875="","",IF(DL875&gt;=1,DM875/DL875,"No aplica"))))</f>
        <v>No requiere</v>
      </c>
      <c r="EQ875" s="88" t="str">
        <f>IFERROR(IF(F875="NO","No requiere",IF(H875="No","No requiere",DU875)),"")</f>
        <v>No requiere</v>
      </c>
      <c r="ER875" s="71"/>
      <c r="ES875" s="79"/>
      <c r="ET875" s="84" t="str">
        <f>IF(F875="NO","No requiere",IF(H875="No","No requiere",IFERROR(COUNTIF(DJ875:DW875,"Completo")/SUM(COUNTIF(DJ875:DW875,"Completo"),COUNTIF(DJ875:DW875,"Incompleto"),COUNTIF(DJ875:DW875,"No subido"),COUNTIF(DJ875:DW875,"No existente"),COUNTIF(DJ875:DW875,"Pendiente")),"")))</f>
        <v>No requiere</v>
      </c>
      <c r="EU875" s="84" t="str">
        <f>IF(F875="NO","No requiere",IF(H875="No","No requiere",IF(B875="","",IF(CX875="SÍ",IF(CK875&gt;=1,CY875/CK875,"Sin compromisos"),"Por verificar"))))</f>
        <v>No requiere</v>
      </c>
      <c r="EV875" s="84" t="str">
        <f>IF(EU875="Por verificar","Por verificar",IF(F875="NO","No requiere",IF(H875="No","No requiere",IFERROR(IF(EU875="","",IF(CK875&gt;=1,DA875/CZ875,"No aplica")),"No aplica"))))</f>
        <v>No requiere</v>
      </c>
      <c r="EW875" s="84" t="str">
        <f>IF(F875="NO","No requiere",IF(H875="No","No requiere",IFERROR(IF(BZ875="","",IF(EA875&lt;&gt;"No aplica",IF(EA875&gt;=1,DO875/EA875,"0%"),"No aplica")),"")))</f>
        <v>No requiere</v>
      </c>
      <c r="EX875" s="78"/>
      <c r="EY875" s="78"/>
    </row>
    <row r="876" spans="1:155" ht="57" customHeight="1">
      <c r="A876" s="79">
        <v>872</v>
      </c>
      <c r="B876" s="80" t="s">
        <v>5962</v>
      </c>
      <c r="C876" s="81">
        <v>45537</v>
      </c>
      <c r="D876" s="82">
        <v>0.60416666666666663</v>
      </c>
      <c r="E876" s="79" t="s">
        <v>151</v>
      </c>
      <c r="F876" s="79" t="s">
        <v>153</v>
      </c>
      <c r="G876" s="79" t="s">
        <v>153</v>
      </c>
      <c r="H876" s="79" t="s">
        <v>152</v>
      </c>
      <c r="I876" s="79" t="s">
        <v>152</v>
      </c>
      <c r="J876" s="79" t="s">
        <v>154</v>
      </c>
      <c r="K876" s="79" t="s">
        <v>202</v>
      </c>
      <c r="L876" s="80" t="s">
        <v>5963</v>
      </c>
      <c r="M876" s="80" t="s">
        <v>157</v>
      </c>
      <c r="N876" s="79" t="s">
        <v>5867</v>
      </c>
      <c r="O876" s="80" t="str">
        <f>_xlfn.TEXTJOIN(", ",TRUE,P876:AN876)</f>
        <v/>
      </c>
      <c r="P876" s="79"/>
      <c r="Q876" s="79"/>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t="s">
        <v>304</v>
      </c>
      <c r="AP876" s="79"/>
      <c r="AQ876" s="80" t="s">
        <v>179</v>
      </c>
      <c r="AR876" s="83" t="s">
        <v>179</v>
      </c>
      <c r="AS876" s="80" t="s">
        <v>179</v>
      </c>
      <c r="AT876" s="80" t="str">
        <f>_xlfn.TEXTJOIN(", ",TRUE,$AU876:$AY876)</f>
        <v>Distrital</v>
      </c>
      <c r="AU876" s="79" t="s">
        <v>172</v>
      </c>
      <c r="AV876" s="79"/>
      <c r="AW876" s="79"/>
      <c r="AX876" s="79"/>
      <c r="AY876" s="79"/>
      <c r="AZ876" s="79"/>
      <c r="BA876" s="80" t="str">
        <f>_xlfn.TEXTJOIN(", ",TRUE,$BB876:$BG876)</f>
        <v>Distrital</v>
      </c>
      <c r="BB876" s="79" t="s">
        <v>172</v>
      </c>
      <c r="BC876" s="79"/>
      <c r="BD876" s="79"/>
      <c r="BE876" s="79"/>
      <c r="BF876" s="79"/>
      <c r="BG876" s="79"/>
      <c r="BH876" s="80" t="str">
        <f>_xlfn.TEXTJOIN(", ",TRUE,$BI876:$BR876)</f>
        <v>Distrital</v>
      </c>
      <c r="BI876" s="79" t="s">
        <v>172</v>
      </c>
      <c r="BJ876" s="79"/>
      <c r="BK876" s="79"/>
      <c r="BL876" s="79"/>
      <c r="BM876" s="79"/>
      <c r="BN876" s="79"/>
      <c r="BO876" s="79"/>
      <c r="BP876" s="79"/>
      <c r="BQ876" s="79"/>
      <c r="BR876" s="79"/>
      <c r="BS876" s="80" t="s">
        <v>179</v>
      </c>
      <c r="BT876" s="315" t="s">
        <v>179</v>
      </c>
      <c r="BU876" s="329" t="s">
        <v>3978</v>
      </c>
      <c r="BV876" s="71"/>
      <c r="BW876" s="79" t="s">
        <v>152</v>
      </c>
      <c r="BX876" s="79" t="s">
        <v>179</v>
      </c>
      <c r="BY876" s="71"/>
      <c r="BZ876" s="79">
        <v>8</v>
      </c>
      <c r="CA876" s="79">
        <v>21</v>
      </c>
      <c r="CB876" s="79">
        <f>BZ876+CA876</f>
        <v>29</v>
      </c>
      <c r="CC876" s="79" t="str">
        <f t="shared" si="1154"/>
        <v>Ninguna</v>
      </c>
      <c r="CD876" s="79" t="s">
        <v>174</v>
      </c>
      <c r="CE876" s="79"/>
      <c r="CF876" s="165"/>
      <c r="CG876" s="319" t="s">
        <v>5964</v>
      </c>
      <c r="CH876" s="41"/>
      <c r="CI876" s="79" t="s">
        <v>153</v>
      </c>
      <c r="CJ876" s="71"/>
      <c r="CK876" s="79">
        <v>0</v>
      </c>
      <c r="CL876" s="79"/>
      <c r="CM876" s="79"/>
      <c r="CN876" s="79"/>
      <c r="CO876" s="79"/>
      <c r="CP876" s="79"/>
      <c r="CQ876" s="79"/>
      <c r="CR876" s="83"/>
      <c r="CS876" s="83"/>
      <c r="CT876" s="83"/>
      <c r="CU876" s="83"/>
      <c r="CV876" s="83"/>
      <c r="CW876" s="83"/>
      <c r="CX876" s="79"/>
      <c r="CY876" s="79">
        <v>0</v>
      </c>
      <c r="CZ876" s="79">
        <v>0</v>
      </c>
      <c r="DA876" s="79">
        <v>0</v>
      </c>
      <c r="DB876" s="84" t="s">
        <v>316</v>
      </c>
      <c r="DC876" s="41"/>
      <c r="DD876" s="79"/>
      <c r="DE876" s="71"/>
      <c r="DF876" s="127" t="s">
        <v>5965</v>
      </c>
      <c r="DG876" s="205"/>
      <c r="DH876" s="86">
        <f>IF(EE876="Por completar",C876+3,"Completo")</f>
        <v>45540</v>
      </c>
      <c r="DI876" s="79" t="s">
        <v>3560</v>
      </c>
      <c r="DJ876" s="79"/>
      <c r="DK876" s="79"/>
      <c r="DL876" s="79">
        <v>0</v>
      </c>
      <c r="DM876" s="79">
        <v>0</v>
      </c>
      <c r="DN876" s="79"/>
      <c r="DO876" s="79"/>
      <c r="DP876" s="79"/>
      <c r="DQ876" s="79"/>
      <c r="DR876" s="75" t="str">
        <f>IF(H876="SÍ", (DQ876/(BZ876*0.3)), "No aplica")</f>
        <v>No aplica</v>
      </c>
      <c r="DS876" s="79"/>
      <c r="DT876" s="79"/>
      <c r="DU876" s="75" t="str">
        <f>IF(H876="SÍ", (DT876/(BZ876*0.35)), "No aplica")</f>
        <v>No aplica</v>
      </c>
      <c r="DV876" s="79"/>
      <c r="DW876" s="79"/>
      <c r="DX876" s="79"/>
      <c r="DY876" s="79"/>
      <c r="DZ876" s="79"/>
      <c r="EA876" s="79"/>
      <c r="EB876" s="79"/>
      <c r="EC876" s="79"/>
      <c r="ED876" s="79" t="s">
        <v>770</v>
      </c>
      <c r="EE876" s="79" t="str">
        <f>IF(DI876="Subsanado","Completo","Por Completar")</f>
        <v>Por Completar</v>
      </c>
      <c r="EF876" s="41"/>
      <c r="EG876" s="79"/>
      <c r="EH876" s="71"/>
      <c r="EI876" s="80"/>
      <c r="EJ876" s="71"/>
      <c r="EK876" s="79"/>
      <c r="EL876" s="87" t="str">
        <f>IF(F876="NO","No requiere",IF(H876="No","No requiere",IF(DW876="","",IF(DW876&lt;&gt;"No aplica",IF(DX876&lt;&gt;"No aplica",IF(DX876&gt;=2,"Sí","No"),"No aplica"),"No aplica"))))</f>
        <v>No requiere</v>
      </c>
      <c r="EM876" s="87" t="str">
        <f>IF(F876="NO","No requiere",IF(H876="No","No requiere",IF(DW876="","",IF(DW876&lt;&gt;"No aplica",IF(DY876&lt;&gt;"No aplica",IF(DY876&gt;=1,"Sí","No"),"No aplica"),"No aplica"))))</f>
        <v>No requiere</v>
      </c>
      <c r="EN876" s="87" t="str">
        <f>IF(F876="NO","No requiere",IF(H876="No","No requiere",IF(CC876="","",IF(CD876&lt;&gt;"No aplica",IF(CD876&lt;&gt;"Ninguna",IF(COUNTIF(CD876:CF876,"*")&gt;=1,"Sí","No"),"No"),"No aplica"))))</f>
        <v>No requiere</v>
      </c>
      <c r="EO876" s="71"/>
      <c r="EP876" s="84" t="str">
        <f>IF(F876="NO","No requiere",IF(H876="No","No requiere",IF(DL876="","",IF(DL876&gt;=1,DM876/DL876,"No aplica"))))</f>
        <v>No requiere</v>
      </c>
      <c r="EQ876" s="88" t="str">
        <f>IFERROR(IF(F876="NO","No requiere",IF(H876="No","No requiere",DU876)),"")</f>
        <v>No requiere</v>
      </c>
      <c r="ER876" s="71"/>
      <c r="ES876" s="79"/>
      <c r="ET876" s="84" t="str">
        <f>IF(F876="NO","No requiere",IF(H876="No","No requiere",IFERROR(COUNTIF(DJ876:DW876,"Completo")/SUM(COUNTIF(DJ876:DW876,"Completo"),COUNTIF(DJ876:DW876,"Incompleto"),COUNTIF(DJ876:DW876,"No subido"),COUNTIF(DJ876:DW876,"No existente"),COUNTIF(DJ876:DW876,"Pendiente")),"")))</f>
        <v>No requiere</v>
      </c>
      <c r="EU876" s="84" t="str">
        <f>IF(F876="NO","No requiere",IF(H876="No","No requiere",IF(B876="","",IF(CX876="SÍ",IF(CK876&gt;=1,CY876/CK876,"Sin compromisos"),"Por verificar"))))</f>
        <v>No requiere</v>
      </c>
      <c r="EV876" s="84" t="str">
        <f>IF(EU876="Por verificar","Por verificar",IF(F876="NO","No requiere",IF(H876="No","No requiere",IFERROR(IF(EU876="","",IF(CK876&gt;=1,DA876/CZ876,"No aplica")),"No aplica"))))</f>
        <v>No requiere</v>
      </c>
      <c r="EW876" s="84" t="str">
        <f>IF(F876="NO","No requiere",IF(H876="No","No requiere",IFERROR(IF(BZ876="","",IF(EA876&lt;&gt;"No aplica",IF(EA876&gt;=1,DO876/EA876,"0%"),"No aplica")),"")))</f>
        <v>No requiere</v>
      </c>
      <c r="EX876" s="78"/>
      <c r="EY876" s="78"/>
    </row>
    <row r="877" spans="1:155" ht="57" customHeight="1">
      <c r="A877" s="79">
        <v>873</v>
      </c>
      <c r="B877" s="80" t="s">
        <v>5966</v>
      </c>
      <c r="C877" s="81">
        <v>45537</v>
      </c>
      <c r="D877" s="82">
        <v>0.58333333333333337</v>
      </c>
      <c r="E877" s="79" t="s">
        <v>151</v>
      </c>
      <c r="F877" s="79" t="s">
        <v>153</v>
      </c>
      <c r="G877" s="79" t="s">
        <v>153</v>
      </c>
      <c r="H877" s="79" t="s">
        <v>152</v>
      </c>
      <c r="I877" s="79" t="s">
        <v>152</v>
      </c>
      <c r="J877" s="79" t="s">
        <v>2153</v>
      </c>
      <c r="K877" s="79" t="s">
        <v>155</v>
      </c>
      <c r="L877" s="80" t="s">
        <v>5967</v>
      </c>
      <c r="M877" s="80" t="s">
        <v>624</v>
      </c>
      <c r="N877" s="79" t="s">
        <v>5852</v>
      </c>
      <c r="O877" s="80" t="str">
        <f>_xlfn.TEXTJOIN(", ",TRUE,P877:AN877)</f>
        <v>Luz Maritza Acero, Yeiker Guerra Sarmiento, Julián Camilo Taylor , Armando Alberto Montañez, Nicolás Enrique Moncaleano, Jimmy Alejandro Osorio, Maria Alejandra Castañeda , James Fernando Núñez, Carlos Eduardo Escandón, Luis Fernando Barreto</v>
      </c>
      <c r="P877" s="79" t="s">
        <v>167</v>
      </c>
      <c r="Q877" s="79" t="s">
        <v>163</v>
      </c>
      <c r="R877" s="79" t="s">
        <v>5846</v>
      </c>
      <c r="S877" s="79" t="s">
        <v>1387</v>
      </c>
      <c r="T877" s="79" t="s">
        <v>966</v>
      </c>
      <c r="U877" s="79" t="s">
        <v>549</v>
      </c>
      <c r="V877" s="79" t="s">
        <v>5924</v>
      </c>
      <c r="W877" s="79" t="s">
        <v>632</v>
      </c>
      <c r="X877" s="79" t="s">
        <v>819</v>
      </c>
      <c r="Y877" s="79" t="s">
        <v>5583</v>
      </c>
      <c r="Z877" s="79"/>
      <c r="AA877" s="79"/>
      <c r="AB877" s="79"/>
      <c r="AC877" s="79"/>
      <c r="AD877" s="79"/>
      <c r="AE877" s="79"/>
      <c r="AF877" s="79"/>
      <c r="AG877" s="79"/>
      <c r="AH877" s="79"/>
      <c r="AI877" s="79"/>
      <c r="AJ877" s="79"/>
      <c r="AK877" s="79"/>
      <c r="AL877" s="79"/>
      <c r="AM877" s="79"/>
      <c r="AN877" s="79"/>
      <c r="AO877" s="79" t="s">
        <v>1226</v>
      </c>
      <c r="AP877" s="79"/>
      <c r="AQ877" s="80" t="s">
        <v>179</v>
      </c>
      <c r="AR877" s="83" t="s">
        <v>179</v>
      </c>
      <c r="AS877" s="80" t="s">
        <v>179</v>
      </c>
      <c r="AT877" s="80" t="str">
        <f t="shared" si="1146"/>
        <v>Engativá</v>
      </c>
      <c r="AU877" s="79" t="s">
        <v>234</v>
      </c>
      <c r="AV877" s="79"/>
      <c r="AW877" s="79"/>
      <c r="AX877" s="79"/>
      <c r="AY877" s="79"/>
      <c r="AZ877" s="79"/>
      <c r="BA877" s="80" t="str">
        <f t="shared" si="1147"/>
        <v>Occidente</v>
      </c>
      <c r="BB877" s="79" t="s">
        <v>235</v>
      </c>
      <c r="BC877" s="79"/>
      <c r="BD877" s="79"/>
      <c r="BE877" s="79"/>
      <c r="BF877" s="79"/>
      <c r="BG877" s="79"/>
      <c r="BH877" s="80" t="str">
        <f t="shared" si="1148"/>
        <v>Engativá</v>
      </c>
      <c r="BI877" s="79" t="s">
        <v>234</v>
      </c>
      <c r="BJ877" s="79"/>
      <c r="BK877" s="79"/>
      <c r="BL877" s="79"/>
      <c r="BM877" s="79"/>
      <c r="BN877" s="79"/>
      <c r="BO877" s="79"/>
      <c r="BP877" s="79"/>
      <c r="BQ877" s="79"/>
      <c r="BR877" s="79"/>
      <c r="BS877" s="80" t="s">
        <v>179</v>
      </c>
      <c r="BT877" s="315" t="s">
        <v>179</v>
      </c>
      <c r="BU877" s="321" t="s">
        <v>5968</v>
      </c>
      <c r="BV877" s="71"/>
      <c r="BW877" s="79" t="s">
        <v>152</v>
      </c>
      <c r="BX877" s="79" t="s">
        <v>179</v>
      </c>
      <c r="BY877" s="71"/>
      <c r="BZ877" s="79"/>
      <c r="CA877" s="79">
        <v>10</v>
      </c>
      <c r="CB877" s="79">
        <f t="shared" si="1149"/>
        <v>10</v>
      </c>
      <c r="CC877" s="79" t="str">
        <f t="shared" si="1154"/>
        <v>Ninguna</v>
      </c>
      <c r="CD877" s="79" t="s">
        <v>174</v>
      </c>
      <c r="CE877" s="79"/>
      <c r="CF877" s="165"/>
      <c r="CG877" s="319" t="s">
        <v>5969</v>
      </c>
      <c r="CH877" s="41"/>
      <c r="CI877" s="79" t="s">
        <v>153</v>
      </c>
      <c r="CJ877" s="71"/>
      <c r="CK877" s="79">
        <v>0</v>
      </c>
      <c r="CL877" s="79"/>
      <c r="CM877" s="79"/>
      <c r="CN877" s="79"/>
      <c r="CO877" s="79"/>
      <c r="CP877" s="79"/>
      <c r="CQ877" s="79"/>
      <c r="CR877" s="83" t="s">
        <v>179</v>
      </c>
      <c r="CS877" s="83" t="s">
        <v>179</v>
      </c>
      <c r="CT877" s="83" t="s">
        <v>179</v>
      </c>
      <c r="CU877" s="83" t="s">
        <v>179</v>
      </c>
      <c r="CV877" s="83" t="s">
        <v>179</v>
      </c>
      <c r="CW877" s="83" t="s">
        <v>179</v>
      </c>
      <c r="CX877" s="79" t="s">
        <v>153</v>
      </c>
      <c r="CY877" s="79">
        <v>0</v>
      </c>
      <c r="CZ877" s="79">
        <v>0</v>
      </c>
      <c r="DA877" s="79">
        <v>0</v>
      </c>
      <c r="DB877" s="84" t="s">
        <v>316</v>
      </c>
      <c r="DC877" s="41"/>
      <c r="DD877" s="79" t="s">
        <v>153</v>
      </c>
      <c r="DE877" s="71"/>
      <c r="DF877" s="127" t="s">
        <v>5970</v>
      </c>
      <c r="DG877" s="205"/>
      <c r="DH877" s="86" t="str">
        <f t="shared" si="1150"/>
        <v>Completo</v>
      </c>
      <c r="DI877" s="79" t="s">
        <v>181</v>
      </c>
      <c r="DJ877" s="79" t="s">
        <v>191</v>
      </c>
      <c r="DK877" s="79"/>
      <c r="DL877" s="79">
        <v>0</v>
      </c>
      <c r="DM877" s="79">
        <v>0</v>
      </c>
      <c r="DN877" s="79" t="s">
        <v>182</v>
      </c>
      <c r="DO877" s="79"/>
      <c r="DP877" s="79"/>
      <c r="DQ877" s="79"/>
      <c r="DR877" s="75" t="str">
        <f t="shared" si="1152"/>
        <v>No aplica</v>
      </c>
      <c r="DS877" s="79"/>
      <c r="DT877" s="79"/>
      <c r="DU877" s="75" t="str">
        <f t="shared" si="1155"/>
        <v>No aplica</v>
      </c>
      <c r="DV877" s="79" t="s">
        <v>182</v>
      </c>
      <c r="DW877" s="79"/>
      <c r="DX877" s="79"/>
      <c r="DY877" s="79"/>
      <c r="DZ877" s="79"/>
      <c r="EA877" s="79"/>
      <c r="EB877" s="79" t="s">
        <v>182</v>
      </c>
      <c r="EC877" s="79" t="s">
        <v>5952</v>
      </c>
      <c r="ED877" s="79" t="s">
        <v>5896</v>
      </c>
      <c r="EE877" s="79" t="str">
        <f t="shared" si="1143"/>
        <v>Completo</v>
      </c>
      <c r="EF877" s="41"/>
      <c r="EG877" s="79"/>
      <c r="EH877" s="71"/>
      <c r="EI877" s="80"/>
      <c r="EJ877" s="71"/>
      <c r="EK877" s="79"/>
      <c r="EL877" s="87" t="str">
        <f>IF(F877="NO","No requiere",IF(H877="No","No requiere",IF(DW877="","",IF(DW877&lt;&gt;"No aplica",IF(DX877&lt;&gt;"No aplica",IF(DX877&gt;=2,"Sí","No"),"No aplica"),"No aplica"))))</f>
        <v>No requiere</v>
      </c>
      <c r="EM877" s="87" t="str">
        <f>IF(F877="NO","No requiere",IF(H877="No","No requiere",IF(DW877="","",IF(DW877&lt;&gt;"No aplica",IF(DY877&lt;&gt;"No aplica",IF(DY877&gt;=1,"Sí","No"),"No aplica"),"No aplica"))))</f>
        <v>No requiere</v>
      </c>
      <c r="EN877" s="87" t="str">
        <f>IF(F877="NO","No requiere",IF(H877="No","No requiere",IF(CC877="","",IF(CD877&lt;&gt;"No aplica",IF(CD877&lt;&gt;"Ninguna",IF(COUNTIF(CD877:CF877,"*")&gt;=1,"Sí","No"),"No"),"No aplica"))))</f>
        <v>No requiere</v>
      </c>
      <c r="EO877" s="71"/>
      <c r="EP877" s="84" t="str">
        <f>IF(F877="NO","No requiere",IF(H877="No","No requiere",IF(DL877="","",IF(DL877&gt;=1,DM877/DL877,"No aplica"))))</f>
        <v>No requiere</v>
      </c>
      <c r="EQ877" s="88" t="str">
        <f>IFERROR(IF(F877="NO","No requiere",IF(H877="No","No requiere",DU877)),"")</f>
        <v>No requiere</v>
      </c>
      <c r="ER877" s="71"/>
      <c r="ES877" s="79"/>
      <c r="ET877" s="84" t="str">
        <f>IF(F877="NO","No requiere",IF(H877="No","No requiere",IFERROR(COUNTIF(DJ877:DW877,"Completo")/SUM(COUNTIF(DJ877:DW877,"Completo"),COUNTIF(DJ877:DW877,"Incompleto"),COUNTIF(DJ877:DW877,"No subido"),COUNTIF(DJ877:DW877,"No existente"),COUNTIF(DJ877:DW877,"Pendiente")),"")))</f>
        <v>No requiere</v>
      </c>
      <c r="EU877" s="84" t="str">
        <f>IF(F877="NO","No requiere",IF(H877="No","No requiere",IF(B877="","",IF(CX877="SÍ",IF(CK877&gt;=1,CY877/CK877,"Sin compromisos"),"Por verificar"))))</f>
        <v>No requiere</v>
      </c>
      <c r="EV877" s="84" t="str">
        <f>IF(EU877="Por verificar","Por verificar",IF(F877="NO","No requiere",IF(H877="No","No requiere",IFERROR(IF(EU877="","",IF(CK877&gt;=1,DA877/CZ877,"No aplica")),"No aplica"))))</f>
        <v>No requiere</v>
      </c>
      <c r="EW877" s="84" t="str">
        <f>IF(F877="NO","No requiere",IF(H877="No","No requiere",IFERROR(IF(BZ877="","",IF(EA877&lt;&gt;"No aplica",IF(EA877&gt;=1,DO877/EA877,"0%"),"No aplica")),"")))</f>
        <v>No requiere</v>
      </c>
      <c r="EX877" s="78"/>
      <c r="EY877" s="78"/>
    </row>
    <row r="878" spans="1:155" ht="57" customHeight="1">
      <c r="A878" s="79">
        <v>874</v>
      </c>
      <c r="B878" s="80" t="s">
        <v>2770</v>
      </c>
      <c r="C878" s="81">
        <v>45537</v>
      </c>
      <c r="D878" s="82">
        <v>0.70833333333333337</v>
      </c>
      <c r="E878" s="79" t="s">
        <v>200</v>
      </c>
      <c r="F878" s="79" t="s">
        <v>153</v>
      </c>
      <c r="G878" s="79" t="s">
        <v>152</v>
      </c>
      <c r="H878" s="79" t="s">
        <v>152</v>
      </c>
      <c r="I878" s="79" t="s">
        <v>152</v>
      </c>
      <c r="J878" s="79" t="s">
        <v>211</v>
      </c>
      <c r="K878" s="79" t="s">
        <v>202</v>
      </c>
      <c r="L878" s="80" t="s">
        <v>5971</v>
      </c>
      <c r="M878" s="80" t="s">
        <v>624</v>
      </c>
      <c r="N878" s="79" t="s">
        <v>253</v>
      </c>
      <c r="O878" s="80" t="str">
        <f t="shared" ref="O878" si="1156">_xlfn.TEXTJOIN(", ",TRUE,P878:AN878)</f>
        <v>PENDIENTE</v>
      </c>
      <c r="P878" s="79" t="s">
        <v>196</v>
      </c>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t="s">
        <v>230</v>
      </c>
      <c r="AP878" s="79" t="s">
        <v>242</v>
      </c>
      <c r="AQ878" s="80" t="s">
        <v>1511</v>
      </c>
      <c r="AR878" s="83" t="s">
        <v>3926</v>
      </c>
      <c r="AS878" s="80" t="s">
        <v>2040</v>
      </c>
      <c r="AT878" s="80" t="str">
        <f t="shared" si="1146"/>
        <v>Distrital</v>
      </c>
      <c r="AU878" s="79" t="s">
        <v>172</v>
      </c>
      <c r="AV878" s="79"/>
      <c r="AW878" s="79"/>
      <c r="AX878" s="79"/>
      <c r="AY878" s="79"/>
      <c r="AZ878" s="79"/>
      <c r="BA878" s="80" t="str">
        <f t="shared" si="1147"/>
        <v>Distrital</v>
      </c>
      <c r="BB878" s="79" t="s">
        <v>172</v>
      </c>
      <c r="BC878" s="79"/>
      <c r="BD878" s="79"/>
      <c r="BE878" s="79"/>
      <c r="BF878" s="79"/>
      <c r="BG878" s="79"/>
      <c r="BH878" s="80" t="str">
        <f t="shared" si="1148"/>
        <v>Distrital</v>
      </c>
      <c r="BI878" s="79" t="s">
        <v>172</v>
      </c>
      <c r="BJ878" s="79"/>
      <c r="BK878" s="79"/>
      <c r="BL878" s="79"/>
      <c r="BM878" s="79"/>
      <c r="BN878" s="79"/>
      <c r="BO878" s="79"/>
      <c r="BP878" s="79"/>
      <c r="BQ878" s="79"/>
      <c r="BR878" s="79"/>
      <c r="BS878" s="80" t="s">
        <v>179</v>
      </c>
      <c r="BT878" s="315" t="s">
        <v>179</v>
      </c>
      <c r="BU878" s="331" t="s">
        <v>5972</v>
      </c>
      <c r="BV878" s="71"/>
      <c r="BW878" s="79" t="s">
        <v>152</v>
      </c>
      <c r="BX878" s="79" t="s">
        <v>179</v>
      </c>
      <c r="BY878" s="71"/>
      <c r="BZ878" s="79">
        <v>64</v>
      </c>
      <c r="CA878" s="79">
        <v>4</v>
      </c>
      <c r="CB878" s="79">
        <f t="shared" si="1149"/>
        <v>68</v>
      </c>
      <c r="CC878" s="79" t="str">
        <f t="shared" si="382"/>
        <v>Ninguna</v>
      </c>
      <c r="CD878" s="79" t="s">
        <v>174</v>
      </c>
      <c r="CE878" s="79"/>
      <c r="CF878" s="79"/>
      <c r="CG878" s="83" t="s">
        <v>5973</v>
      </c>
      <c r="CH878" s="41"/>
      <c r="CI878" s="79" t="s">
        <v>153</v>
      </c>
      <c r="CJ878" s="71"/>
      <c r="CK878" s="79">
        <f t="shared" ref="CK878" si="1157">COUNTIF(CL878:CQ878,"*")</f>
        <v>0</v>
      </c>
      <c r="CL878" s="79"/>
      <c r="CM878" s="79"/>
      <c r="CN878" s="79"/>
      <c r="CO878" s="79"/>
      <c r="CP878" s="79"/>
      <c r="CQ878" s="79"/>
      <c r="CR878" s="83"/>
      <c r="CS878" s="83"/>
      <c r="CT878" s="83"/>
      <c r="CU878" s="83"/>
      <c r="CV878" s="83"/>
      <c r="CW878" s="83"/>
      <c r="CX878" s="79"/>
      <c r="CY878" s="79">
        <f t="shared" ref="CY878" si="1158">SUM(COUNTIF(CR878:CW878,"Realizado y Devuelto a la Ciudadanía"),COUNTIF(CR878:CW878,"Realizado y Trasladado por competencia"), COUNTIF(CR878:CW878,"Realizado y Gestionado"))</f>
        <v>0</v>
      </c>
      <c r="CZ878" s="79">
        <v>0</v>
      </c>
      <c r="DA878" s="79">
        <f t="shared" ref="DA878" si="1159">COUNTIF(CR878:CW878,"Realizado y Devuelto a la Ciudadanía")</f>
        <v>0</v>
      </c>
      <c r="DB878" s="84" t="str">
        <f t="shared" ref="DB878" si="1160">IFERROR(CY878/CK878,"")</f>
        <v/>
      </c>
      <c r="DC878" s="41"/>
      <c r="DD878" s="79"/>
      <c r="DE878" s="71"/>
      <c r="DF878" s="127" t="s">
        <v>5974</v>
      </c>
      <c r="DG878" s="79"/>
      <c r="DH878" s="86">
        <f t="shared" si="1150"/>
        <v>45540</v>
      </c>
      <c r="DI878" s="79" t="s">
        <v>1246</v>
      </c>
      <c r="DJ878" s="79" t="s">
        <v>2659</v>
      </c>
      <c r="DK878" s="79"/>
      <c r="DL878" s="79">
        <v>0</v>
      </c>
      <c r="DM878" s="79">
        <v>0</v>
      </c>
      <c r="DN878" s="79" t="s">
        <v>182</v>
      </c>
      <c r="DO878" s="79"/>
      <c r="DP878" s="79"/>
      <c r="DQ878" s="79"/>
      <c r="DR878" s="75" t="str">
        <f t="shared" si="1152"/>
        <v>No aplica</v>
      </c>
      <c r="DS878" s="79"/>
      <c r="DT878" s="79"/>
      <c r="DU878" s="75" t="str">
        <f t="shared" si="1155"/>
        <v>No aplica</v>
      </c>
      <c r="DV878" s="79" t="s">
        <v>182</v>
      </c>
      <c r="DW878" s="79" t="s">
        <v>182</v>
      </c>
      <c r="DX878" s="79"/>
      <c r="DY878" s="79"/>
      <c r="DZ878" s="79"/>
      <c r="EA878" s="79"/>
      <c r="EB878" s="79" t="s">
        <v>182</v>
      </c>
      <c r="EC878" s="79" t="s">
        <v>5975</v>
      </c>
      <c r="ED878" s="79" t="s">
        <v>5744</v>
      </c>
      <c r="EE878" s="79" t="str">
        <f t="shared" si="1143"/>
        <v>Por Completar</v>
      </c>
      <c r="EF878" s="41"/>
      <c r="EG878" s="79"/>
      <c r="EH878" s="71"/>
      <c r="EI878" s="80"/>
      <c r="EJ878" s="71"/>
      <c r="EK878" s="79"/>
      <c r="EL878" s="87" t="str">
        <f t="shared" ref="EL878" si="1161">IF(F878="NO","No requiere",IF(H878="No","No requiere",IF(DW878="","",IF(DW878&lt;&gt;"No aplica",IF(DX878&lt;&gt;"No aplica",IF(DX878&gt;=2,"Sí","No"),"No aplica"),"No aplica"))))</f>
        <v>No requiere</v>
      </c>
      <c r="EM878" s="87" t="str">
        <f t="shared" ref="EM878" si="1162">IF(F878="NO","No requiere",IF(H878="No","No requiere",IF(DW878="","",IF(DW878&lt;&gt;"No aplica",IF(DY878&lt;&gt;"No aplica",IF(DY878&gt;=1,"Sí","No"),"No aplica"),"No aplica"))))</f>
        <v>No requiere</v>
      </c>
      <c r="EN878" s="87" t="str">
        <f t="shared" ref="EN878" si="1163">IF(F878="NO","No requiere",IF(H878="No","No requiere",IF(CC878="","",IF(CD878&lt;&gt;"No aplica",IF(CD878&lt;&gt;"Ninguna",IF(COUNTIF(CD878:CF878,"*")&gt;=1,"Sí","No"),"No"),"No aplica"))))</f>
        <v>No requiere</v>
      </c>
      <c r="EO878" s="71"/>
      <c r="EP878" s="84" t="str">
        <f t="shared" ref="EP878" si="1164">IF(F878="NO","No requiere",IF(H878="No","No requiere",IF(DL878="","",IF(DL878&gt;=1,DM878/DL878,"No aplica"))))</f>
        <v>No requiere</v>
      </c>
      <c r="EQ878" s="88" t="str">
        <f t="shared" ref="EQ878" si="1165">IFERROR(IF(F878="NO","No requiere",IF(H878="No","No requiere",DU878)),"")</f>
        <v>No requiere</v>
      </c>
      <c r="ER878" s="71"/>
      <c r="ES878" s="79"/>
      <c r="ET878" s="84" t="str">
        <f t="shared" ref="ET878" si="1166">IF(F878="NO","No requiere",IF(H878="No","No requiere",IFERROR(COUNTIF(DJ878:DW878,"Completo")/SUM(COUNTIF(DJ878:DW878,"Completo"),COUNTIF(DJ878:DW878,"Incompleto"),COUNTIF(DJ878:DW878,"No subido"),COUNTIF(DJ878:DW878,"No existente"),COUNTIF(DJ878:DW878,"Pendiente")),"")))</f>
        <v>No requiere</v>
      </c>
      <c r="EU878" s="84" t="str">
        <f>IF(F878="NO","No requiere",IF(H878="No","No requiere",IF(#REF!="","",IF(CX878="SÍ",IF(CK878&gt;=1,CY878/CK878,"Sin compromisos"),"Por verificar"))))</f>
        <v>No requiere</v>
      </c>
      <c r="EV878" s="84" t="str">
        <f t="shared" ref="EV878" si="1167">IF(EU878="Por verificar","Por verificar",IF(F878="NO","No requiere",IF(H878="No","No requiere",IFERROR(IF(EU878="","",IF(CK878&gt;=1,DA878/CZ878,"No aplica")),"No aplica"))))</f>
        <v>No requiere</v>
      </c>
      <c r="EW878" s="84" t="str">
        <f t="shared" ref="EW878" si="1168">IF(F878="NO","No requiere",IF(H878="No","No requiere",IFERROR(IF(BZ878="","",IF(EA878&lt;&gt;"No aplica",IF(EA878&gt;=1,DO878/EA878,"0%"),"No aplica")),"")))</f>
        <v>No requiere</v>
      </c>
      <c r="EX878" s="78"/>
      <c r="EY878" s="78"/>
    </row>
    <row r="879" spans="1:155" ht="57" customHeight="1">
      <c r="A879" s="79">
        <v>875</v>
      </c>
      <c r="B879" s="80" t="s">
        <v>5976</v>
      </c>
      <c r="C879" s="81">
        <v>45538</v>
      </c>
      <c r="D879" s="82">
        <v>0.33333333333333331</v>
      </c>
      <c r="E879" s="79" t="s">
        <v>151</v>
      </c>
      <c r="F879" s="79" t="s">
        <v>153</v>
      </c>
      <c r="G879" s="79" t="s">
        <v>153</v>
      </c>
      <c r="H879" s="79" t="s">
        <v>152</v>
      </c>
      <c r="I879" s="79" t="s">
        <v>152</v>
      </c>
      <c r="J879" s="79" t="s">
        <v>2153</v>
      </c>
      <c r="K879" s="79" t="s">
        <v>155</v>
      </c>
      <c r="L879" s="80" t="s">
        <v>5977</v>
      </c>
      <c r="M879" s="80" t="s">
        <v>624</v>
      </c>
      <c r="N879" s="79" t="s">
        <v>5852</v>
      </c>
      <c r="O879" s="80" t="str">
        <f>_xlfn.TEXTJOIN(", ",TRUE,P879:AN879)</f>
        <v xml:space="preserve">Sarah Lucia Triviño, Luna Paulina Benjumea, Germán Ramón Jacome, Sebastian Higuera Góngora, Humberto Díaz Acosta, Renata Rengifo Moyano , Viviana Buriticá Peláez, Claudia Fernanda Pineda, William Arturo González </v>
      </c>
      <c r="P879" s="79" t="s">
        <v>499</v>
      </c>
      <c r="Q879" s="79" t="s">
        <v>4960</v>
      </c>
      <c r="R879" s="79" t="s">
        <v>525</v>
      </c>
      <c r="S879" s="79" t="s">
        <v>5901</v>
      </c>
      <c r="T879" s="79" t="s">
        <v>253</v>
      </c>
      <c r="U879" s="79" t="s">
        <v>5755</v>
      </c>
      <c r="V879" s="79" t="s">
        <v>5825</v>
      </c>
      <c r="W879" s="79" t="s">
        <v>546</v>
      </c>
      <c r="X879" s="79" t="s">
        <v>5892</v>
      </c>
      <c r="Y879" s="79"/>
      <c r="Z879" s="79"/>
      <c r="AA879" s="79"/>
      <c r="AB879" s="79"/>
      <c r="AC879" s="79"/>
      <c r="AD879" s="79"/>
      <c r="AE879" s="79"/>
      <c r="AF879" s="79"/>
      <c r="AG879" s="79"/>
      <c r="AH879" s="79"/>
      <c r="AI879" s="79"/>
      <c r="AJ879" s="79"/>
      <c r="AK879" s="79"/>
      <c r="AL879" s="79"/>
      <c r="AM879" s="79"/>
      <c r="AN879" s="79"/>
      <c r="AO879" s="79" t="s">
        <v>1226</v>
      </c>
      <c r="AP879" s="79"/>
      <c r="AQ879" s="80" t="s">
        <v>179</v>
      </c>
      <c r="AR879" s="83" t="s">
        <v>177</v>
      </c>
      <c r="AS879" s="80" t="s">
        <v>179</v>
      </c>
      <c r="AT879" s="80" t="str">
        <f t="shared" si="1146"/>
        <v>Engativá</v>
      </c>
      <c r="AU879" s="79" t="s">
        <v>234</v>
      </c>
      <c r="AV879" s="79"/>
      <c r="AW879" s="79"/>
      <c r="AX879" s="79"/>
      <c r="AY879" s="79"/>
      <c r="AZ879" s="79"/>
      <c r="BA879" s="80" t="str">
        <f t="shared" si="1147"/>
        <v>Occidente</v>
      </c>
      <c r="BB879" s="79" t="s">
        <v>235</v>
      </c>
      <c r="BC879" s="79"/>
      <c r="BD879" s="79"/>
      <c r="BE879" s="79"/>
      <c r="BF879" s="79"/>
      <c r="BG879" s="79"/>
      <c r="BH879" s="80" t="str">
        <f t="shared" si="1148"/>
        <v>Engativá</v>
      </c>
      <c r="BI879" s="79" t="s">
        <v>234</v>
      </c>
      <c r="BJ879" s="79"/>
      <c r="BK879" s="79"/>
      <c r="BL879" s="79"/>
      <c r="BM879" s="79"/>
      <c r="BN879" s="79"/>
      <c r="BO879" s="79"/>
      <c r="BP879" s="79"/>
      <c r="BQ879" s="79"/>
      <c r="BR879" s="79"/>
      <c r="BS879" s="80" t="s">
        <v>179</v>
      </c>
      <c r="BT879" s="315" t="s">
        <v>179</v>
      </c>
      <c r="BU879" s="321" t="s">
        <v>5978</v>
      </c>
      <c r="BV879" s="71"/>
      <c r="BW879" s="79" t="s">
        <v>152</v>
      </c>
      <c r="BX879" s="79" t="s">
        <v>179</v>
      </c>
      <c r="BY879" s="71"/>
      <c r="BZ879" s="79"/>
      <c r="CA879" s="79"/>
      <c r="CB879" s="79">
        <f t="shared" si="1149"/>
        <v>0</v>
      </c>
      <c r="CC879" s="79" t="str">
        <f t="shared" si="1154"/>
        <v/>
      </c>
      <c r="CD879" s="79"/>
      <c r="CE879" s="79"/>
      <c r="CF879" s="165"/>
      <c r="CG879" s="319"/>
      <c r="CH879" s="41"/>
      <c r="CI879" s="79"/>
      <c r="CJ879" s="71"/>
      <c r="CK879" s="79">
        <v>0</v>
      </c>
      <c r="CL879" s="79"/>
      <c r="CM879" s="79"/>
      <c r="CN879" s="79"/>
      <c r="CO879" s="79"/>
      <c r="CP879" s="79"/>
      <c r="CQ879" s="79"/>
      <c r="CR879" s="83" t="s">
        <v>179</v>
      </c>
      <c r="CS879" s="83" t="s">
        <v>179</v>
      </c>
      <c r="CT879" s="83" t="s">
        <v>179</v>
      </c>
      <c r="CU879" s="83" t="s">
        <v>179</v>
      </c>
      <c r="CV879" s="83" t="s">
        <v>179</v>
      </c>
      <c r="CW879" s="83" t="s">
        <v>179</v>
      </c>
      <c r="CX879" s="79" t="s">
        <v>153</v>
      </c>
      <c r="CY879" s="79">
        <v>0</v>
      </c>
      <c r="CZ879" s="79">
        <v>0</v>
      </c>
      <c r="DA879" s="79">
        <v>0</v>
      </c>
      <c r="DB879" s="84" t="s">
        <v>316</v>
      </c>
      <c r="DC879" s="41"/>
      <c r="DD879" s="79" t="s">
        <v>153</v>
      </c>
      <c r="DE879" s="71"/>
      <c r="DF879" s="127" t="s">
        <v>5979</v>
      </c>
      <c r="DG879" s="205"/>
      <c r="DH879" s="86" t="str">
        <f t="shared" si="1150"/>
        <v>Completo</v>
      </c>
      <c r="DI879" s="79" t="s">
        <v>181</v>
      </c>
      <c r="DJ879" s="79" t="s">
        <v>191</v>
      </c>
      <c r="DK879" s="79"/>
      <c r="DL879" s="79">
        <v>0</v>
      </c>
      <c r="DM879" s="79">
        <v>0</v>
      </c>
      <c r="DN879" s="79" t="s">
        <v>182</v>
      </c>
      <c r="DO879" s="79"/>
      <c r="DP879" s="79"/>
      <c r="DQ879" s="79"/>
      <c r="DR879" s="75" t="str">
        <f t="shared" si="1152"/>
        <v>No aplica</v>
      </c>
      <c r="DS879" s="79"/>
      <c r="DT879" s="79"/>
      <c r="DU879" s="75" t="str">
        <f t="shared" si="1155"/>
        <v>No aplica</v>
      </c>
      <c r="DV879" s="79" t="s">
        <v>182</v>
      </c>
      <c r="DW879" s="79"/>
      <c r="DX879" s="79"/>
      <c r="DY879" s="79"/>
      <c r="DZ879" s="79"/>
      <c r="EA879" s="79"/>
      <c r="EB879" s="79" t="s">
        <v>182</v>
      </c>
      <c r="EC879" s="79" t="s">
        <v>5980</v>
      </c>
      <c r="ED879" s="79" t="s">
        <v>5896</v>
      </c>
      <c r="EE879" s="79" t="str">
        <f t="shared" si="1143"/>
        <v>Completo</v>
      </c>
      <c r="EF879" s="41"/>
      <c r="EG879" s="79"/>
      <c r="EH879" s="71"/>
      <c r="EI879" s="80"/>
      <c r="EJ879" s="71"/>
      <c r="EK879" s="79"/>
      <c r="EL879" s="87" t="str">
        <f>IF(F879="NO","No requiere",IF(H879="No","No requiere",IF(DW879="","",IF(DW879&lt;&gt;"No aplica",IF(DX879&lt;&gt;"No aplica",IF(DX879&gt;=2,"Sí","No"),"No aplica"),"No aplica"))))</f>
        <v>No requiere</v>
      </c>
      <c r="EM879" s="87" t="str">
        <f>IF(F879="NO","No requiere",IF(H879="No","No requiere",IF(DW879="","",IF(DW879&lt;&gt;"No aplica",IF(DY879&lt;&gt;"No aplica",IF(DY879&gt;=1,"Sí","No"),"No aplica"),"No aplica"))))</f>
        <v>No requiere</v>
      </c>
      <c r="EN879" s="87" t="str">
        <f>IF(F879="NO","No requiere",IF(H879="No","No requiere",IF(CC879="","",IF(CD879&lt;&gt;"No aplica",IF(CD879&lt;&gt;"Ninguna",IF(COUNTIF(CD879:CF879,"*")&gt;=1,"Sí","No"),"No"),"No aplica"))))</f>
        <v>No requiere</v>
      </c>
      <c r="EO879" s="71"/>
      <c r="EP879" s="84" t="str">
        <f>IF(F879="NO","No requiere",IF(H879="No","No requiere",IF(DL879="","",IF(DL879&gt;=1,DM879/DL879,"No aplica"))))</f>
        <v>No requiere</v>
      </c>
      <c r="EQ879" s="88" t="str">
        <f>IFERROR(IF(F879="NO","No requiere",IF(H879="No","No requiere",DU879)),"")</f>
        <v>No requiere</v>
      </c>
      <c r="ER879" s="71"/>
      <c r="ES879" s="79"/>
      <c r="ET879" s="84" t="str">
        <f>IF(F879="NO","No requiere",IF(H879="No","No requiere",IFERROR(COUNTIF(DJ879:DW879,"Completo")/SUM(COUNTIF(DJ879:DW879,"Completo"),COUNTIF(DJ879:DW879,"Incompleto"),COUNTIF(DJ879:DW879,"No subido"),COUNTIF(DJ879:DW879,"No existente"),COUNTIF(DJ879:DW879,"Pendiente")),"")))</f>
        <v>No requiere</v>
      </c>
      <c r="EU879" s="84" t="str">
        <f>IF(F879="NO","No requiere",IF(H879="No","No requiere",IF(B879="","",IF(CX879="SÍ",IF(CK879&gt;=1,CY879/CK879,"Sin compromisos"),"Por verificar"))))</f>
        <v>No requiere</v>
      </c>
      <c r="EV879" s="84" t="str">
        <f>IF(EU879="Por verificar","Por verificar",IF(F879="NO","No requiere",IF(H879="No","No requiere",IFERROR(IF(EU879="","",IF(CK879&gt;=1,DA879/CZ879,"No aplica")),"No aplica"))))</f>
        <v>No requiere</v>
      </c>
      <c r="EW879" s="84" t="str">
        <f>IF(F879="NO","No requiere",IF(H879="No","No requiere",IFERROR(IF(BZ879="","",IF(EA879&lt;&gt;"No aplica",IF(EA879&gt;=1,DO879/EA879,"0%"),"No aplica")),"")))</f>
        <v>No requiere</v>
      </c>
      <c r="EX879" s="78"/>
      <c r="EY879" s="78"/>
    </row>
    <row r="880" spans="1:155" ht="57" customHeight="1">
      <c r="A880" s="79">
        <v>876</v>
      </c>
      <c r="B880" s="80" t="s">
        <v>5981</v>
      </c>
      <c r="C880" s="81">
        <v>45538</v>
      </c>
      <c r="D880" s="82">
        <v>0.375</v>
      </c>
      <c r="E880" s="79" t="s">
        <v>151</v>
      </c>
      <c r="F880" s="79" t="s">
        <v>153</v>
      </c>
      <c r="G880" s="79" t="s">
        <v>153</v>
      </c>
      <c r="H880" s="79" t="s">
        <v>152</v>
      </c>
      <c r="I880" s="79" t="s">
        <v>152</v>
      </c>
      <c r="J880" s="79" t="s">
        <v>1711</v>
      </c>
      <c r="K880" s="79" t="s">
        <v>155</v>
      </c>
      <c r="L880" s="80" t="s">
        <v>5982</v>
      </c>
      <c r="M880" s="80" t="s">
        <v>624</v>
      </c>
      <c r="N880" s="79" t="s">
        <v>167</v>
      </c>
      <c r="O880" s="80" t="str">
        <f t="shared" si="636"/>
        <v>Natalia Gómez Meza</v>
      </c>
      <c r="P880" s="79" t="s">
        <v>5900</v>
      </c>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t="s">
        <v>169</v>
      </c>
      <c r="AP880" s="79" t="s">
        <v>170</v>
      </c>
      <c r="AQ880" s="80" t="s">
        <v>5983</v>
      </c>
      <c r="AR880" s="83" t="s">
        <v>5984</v>
      </c>
      <c r="AS880" s="80" t="s">
        <v>5985</v>
      </c>
      <c r="AT880" s="80" t="str">
        <f t="shared" si="1146"/>
        <v>Distrital</v>
      </c>
      <c r="AU880" s="79" t="s">
        <v>172</v>
      </c>
      <c r="AV880" s="79"/>
      <c r="AW880" s="79"/>
      <c r="AX880" s="79"/>
      <c r="AY880" s="79"/>
      <c r="AZ880" s="79"/>
      <c r="BA880" s="80" t="str">
        <f t="shared" si="1147"/>
        <v>Distrital</v>
      </c>
      <c r="BB880" s="79" t="s">
        <v>172</v>
      </c>
      <c r="BC880" s="79"/>
      <c r="BD880" s="79"/>
      <c r="BE880" s="79"/>
      <c r="BF880" s="79"/>
      <c r="BG880" s="79"/>
      <c r="BH880" s="80" t="str">
        <f t="shared" si="1148"/>
        <v>Distrital</v>
      </c>
      <c r="BI880" s="79" t="s">
        <v>172</v>
      </c>
      <c r="BJ880" s="79"/>
      <c r="BK880" s="79"/>
      <c r="BL880" s="79"/>
      <c r="BM880" s="79"/>
      <c r="BN880" s="79"/>
      <c r="BO880" s="79"/>
      <c r="BP880" s="79"/>
      <c r="BQ880" s="79"/>
      <c r="BR880" s="79"/>
      <c r="BS880" s="80" t="s">
        <v>179</v>
      </c>
      <c r="BT880" s="315" t="s">
        <v>5986</v>
      </c>
      <c r="BU880" s="321" t="s">
        <v>179</v>
      </c>
      <c r="BV880" s="71"/>
      <c r="BW880" s="79" t="s">
        <v>152</v>
      </c>
      <c r="BX880" s="79" t="s">
        <v>179</v>
      </c>
      <c r="BY880" s="71"/>
      <c r="BZ880" s="79">
        <v>0</v>
      </c>
      <c r="CA880" s="79">
        <v>25</v>
      </c>
      <c r="CB880" s="79">
        <f t="shared" si="1149"/>
        <v>25</v>
      </c>
      <c r="CC880" s="79" t="str">
        <f t="shared" si="382"/>
        <v>Ninguna</v>
      </c>
      <c r="CD880" s="79" t="s">
        <v>174</v>
      </c>
      <c r="CE880" s="79"/>
      <c r="CF880" s="165"/>
      <c r="CG880" s="319" t="s">
        <v>5987</v>
      </c>
      <c r="CH880" s="41"/>
      <c r="CI880" s="79" t="s">
        <v>153</v>
      </c>
      <c r="CJ880" s="71"/>
      <c r="CK880" s="79">
        <v>0</v>
      </c>
      <c r="CL880" s="79"/>
      <c r="CM880" s="79"/>
      <c r="CN880" s="79"/>
      <c r="CO880" s="79"/>
      <c r="CP880" s="79"/>
      <c r="CQ880" s="79"/>
      <c r="CR880" s="83"/>
      <c r="CS880" s="83"/>
      <c r="CT880" s="83"/>
      <c r="CU880" s="83"/>
      <c r="CV880" s="83"/>
      <c r="CW880" s="83"/>
      <c r="CX880" s="79"/>
      <c r="CY880" s="79">
        <v>0</v>
      </c>
      <c r="CZ880" s="79">
        <v>0</v>
      </c>
      <c r="DA880" s="79">
        <v>0</v>
      </c>
      <c r="DB880" s="84" t="s">
        <v>316</v>
      </c>
      <c r="DC880" s="41"/>
      <c r="DD880" s="79"/>
      <c r="DE880" s="71"/>
      <c r="DF880" s="127" t="s">
        <v>5988</v>
      </c>
      <c r="DG880" s="205"/>
      <c r="DH880" s="86">
        <f t="shared" si="1150"/>
        <v>45541</v>
      </c>
      <c r="DI880" s="79"/>
      <c r="DJ880" s="79"/>
      <c r="DK880" s="79"/>
      <c r="DL880" s="79">
        <v>0</v>
      </c>
      <c r="DM880" s="79">
        <v>0</v>
      </c>
      <c r="DN880" s="79"/>
      <c r="DO880" s="79"/>
      <c r="DP880" s="79"/>
      <c r="DQ880" s="79"/>
      <c r="DR880" s="75" t="str">
        <f t="shared" si="1152"/>
        <v>No aplica</v>
      </c>
      <c r="DS880" s="79"/>
      <c r="DT880" s="79"/>
      <c r="DU880" s="75" t="str">
        <f t="shared" si="1155"/>
        <v>No aplica</v>
      </c>
      <c r="DV880" s="79"/>
      <c r="DW880" s="79"/>
      <c r="DX880" s="79"/>
      <c r="DY880" s="79"/>
      <c r="DZ880" s="79"/>
      <c r="EA880" s="79"/>
      <c r="EB880" s="79"/>
      <c r="EC880" s="79"/>
      <c r="ED880" s="79"/>
      <c r="EE880" s="79" t="str">
        <f t="shared" si="1143"/>
        <v>Por Completar</v>
      </c>
      <c r="EF880" s="41"/>
      <c r="EG880" s="79"/>
      <c r="EH880" s="71"/>
      <c r="EI880" s="80"/>
      <c r="EJ880" s="71"/>
      <c r="EK880" s="79"/>
      <c r="EL880" s="87" t="str">
        <f>IF(F880="NO","No requiere",IF(H880="No","No requiere",IF(DW880="","",IF(DW880&lt;&gt;"No aplica",IF(DX880&lt;&gt;"No aplica",IF(DX880&gt;=2,"Sí","No"),"No aplica"),"No aplica"))))</f>
        <v>No requiere</v>
      </c>
      <c r="EM880" s="87" t="str">
        <f>IF(F880="NO","No requiere",IF(H880="No","No requiere",IF(DW880="","",IF(DW880&lt;&gt;"No aplica",IF(DY880&lt;&gt;"No aplica",IF(DY880&gt;=1,"Sí","No"),"No aplica"),"No aplica"))))</f>
        <v>No requiere</v>
      </c>
      <c r="EN880" s="87" t="str">
        <f>IF(F880="NO","No requiere",IF(H880="No","No requiere",IF(CC880="","",IF(CD880&lt;&gt;"No aplica",IF(CD880&lt;&gt;"Ninguna",IF(COUNTIF(CD880:CF880,"*")&gt;=1,"Sí","No"),"No"),"No aplica"))))</f>
        <v>No requiere</v>
      </c>
      <c r="EO880" s="71"/>
      <c r="EP880" s="84" t="str">
        <f>IF(F880="NO","No requiere",IF(H880="No","No requiere",IF(DL880="","",IF(DL880&gt;=1,DM880/DL880,"No aplica"))))</f>
        <v>No requiere</v>
      </c>
      <c r="EQ880" s="88" t="str">
        <f>IFERROR(IF(F880="NO","No requiere",IF(H880="No","No requiere",DU880)),"")</f>
        <v>No requiere</v>
      </c>
      <c r="ER880" s="71"/>
      <c r="ES880" s="79"/>
      <c r="ET880" s="84" t="str">
        <f>IF(F880="NO","No requiere",IF(H880="No","No requiere",IFERROR(COUNTIF(DJ880:DW880,"Completo")/SUM(COUNTIF(DJ880:DW880,"Completo"),COUNTIF(DJ880:DW880,"Incompleto"),COUNTIF(DJ880:DW880,"No subido"),COUNTIF(DJ880:DW880,"No existente"),COUNTIF(DJ880:DW880,"Pendiente")),"")))</f>
        <v>No requiere</v>
      </c>
      <c r="EU880" s="84" t="str">
        <f>IF(F880="NO","No requiere",IF(H880="No","No requiere",IF(B880="","",IF(CX880="SÍ",IF(CK880&gt;=1,CY880/CK880,"Sin compromisos"),"Por verificar"))))</f>
        <v>No requiere</v>
      </c>
      <c r="EV880" s="84" t="str">
        <f>IF(EU880="Por verificar","Por verificar",IF(F880="NO","No requiere",IF(H880="No","No requiere",IFERROR(IF(EU880="","",IF(CK880&gt;=1,DA880/CZ880,"No aplica")),"No aplica"))))</f>
        <v>No requiere</v>
      </c>
      <c r="EW880" s="84" t="str">
        <f>IF(F880="NO","No requiere",IF(H880="No","No requiere",IFERROR(IF(BZ880="","",IF(EA880&lt;&gt;"No aplica",IF(EA880&gt;=1,DO880/EA880,"0%"),"No aplica")),"")))</f>
        <v>No requiere</v>
      </c>
      <c r="EX880" s="78"/>
      <c r="EY880" s="78"/>
    </row>
    <row r="881" spans="1:215" ht="57" customHeight="1">
      <c r="A881" s="79">
        <v>877</v>
      </c>
      <c r="B881" s="80" t="s">
        <v>5989</v>
      </c>
      <c r="C881" s="81">
        <v>45538</v>
      </c>
      <c r="D881" s="82">
        <v>0.375</v>
      </c>
      <c r="E881" s="79" t="s">
        <v>151</v>
      </c>
      <c r="F881" s="79" t="s">
        <v>153</v>
      </c>
      <c r="G881" s="79" t="s">
        <v>152</v>
      </c>
      <c r="H881" s="79" t="s">
        <v>152</v>
      </c>
      <c r="I881" s="79" t="s">
        <v>152</v>
      </c>
      <c r="J881" s="79" t="s">
        <v>2615</v>
      </c>
      <c r="K881" s="79" t="s">
        <v>202</v>
      </c>
      <c r="L881" s="80" t="s">
        <v>5990</v>
      </c>
      <c r="M881" s="80" t="s">
        <v>624</v>
      </c>
      <c r="N881" s="79" t="s">
        <v>346</v>
      </c>
      <c r="O881" s="80" t="str">
        <f>_xlfn.TEXTJOIN(", ",TRUE,P881:AN881)</f>
        <v/>
      </c>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t="s">
        <v>169</v>
      </c>
      <c r="AP881" s="79" t="s">
        <v>507</v>
      </c>
      <c r="AQ881" s="80" t="s">
        <v>171</v>
      </c>
      <c r="AR881" s="83" t="s">
        <v>171</v>
      </c>
      <c r="AS881" s="80" t="s">
        <v>171</v>
      </c>
      <c r="AT881" s="80" t="str">
        <f>_xlfn.TEXTJOIN(", ",TRUE,$AU881:$AY881)</f>
        <v>Distrital</v>
      </c>
      <c r="AU881" s="79" t="s">
        <v>172</v>
      </c>
      <c r="AV881" s="79"/>
      <c r="AW881" s="79"/>
      <c r="AX881" s="79"/>
      <c r="AY881" s="79"/>
      <c r="AZ881" s="79"/>
      <c r="BA881" s="80" t="str">
        <f>_xlfn.TEXTJOIN(", ",TRUE,$BB881:$BG881)</f>
        <v>Distrital</v>
      </c>
      <c r="BB881" s="79" t="s">
        <v>172</v>
      </c>
      <c r="BC881" s="79"/>
      <c r="BD881" s="79"/>
      <c r="BE881" s="79"/>
      <c r="BF881" s="79"/>
      <c r="BG881" s="79"/>
      <c r="BH881" s="80" t="str">
        <f>_xlfn.TEXTJOIN(", ",TRUE,$BI881:$BR881)</f>
        <v>Distrital</v>
      </c>
      <c r="BI881" s="79" t="s">
        <v>172</v>
      </c>
      <c r="BJ881" s="79"/>
      <c r="BK881" s="79"/>
      <c r="BL881" s="79"/>
      <c r="BM881" s="79"/>
      <c r="BN881" s="79"/>
      <c r="BO881" s="79"/>
      <c r="BP881" s="79"/>
      <c r="BQ881" s="79"/>
      <c r="BR881" s="79"/>
      <c r="BS881" s="80" t="s">
        <v>5672</v>
      </c>
      <c r="BT881" s="80" t="s">
        <v>5673</v>
      </c>
      <c r="BU881" s="128" t="s">
        <v>5991</v>
      </c>
      <c r="BV881" s="71"/>
      <c r="BW881" s="79" t="s">
        <v>152</v>
      </c>
      <c r="BX881" s="79" t="s">
        <v>179</v>
      </c>
      <c r="BY881" s="71"/>
      <c r="BZ881" s="79">
        <v>3</v>
      </c>
      <c r="CA881" s="79">
        <v>1</v>
      </c>
      <c r="CB881" s="79">
        <f>BZ881+CA881</f>
        <v>4</v>
      </c>
      <c r="CC881" s="79" t="str">
        <f>_xlfn.TEXTJOIN(", ",TRUE,$CD881:$CF881)</f>
        <v>Ninguna</v>
      </c>
      <c r="CD881" s="79" t="s">
        <v>174</v>
      </c>
      <c r="CE881" s="79"/>
      <c r="CF881" s="79"/>
      <c r="CG881" s="83" t="s">
        <v>5992</v>
      </c>
      <c r="CH881" s="41"/>
      <c r="CI881" s="79" t="s">
        <v>153</v>
      </c>
      <c r="CJ881" s="71"/>
      <c r="CK881" s="79">
        <f>COUNTIF(CL881:CQ881,"*")</f>
        <v>0</v>
      </c>
      <c r="CL881" s="79"/>
      <c r="CM881" s="79"/>
      <c r="CN881" s="79"/>
      <c r="CO881" s="79"/>
      <c r="CP881" s="79"/>
      <c r="CQ881" s="79"/>
      <c r="CR881" s="83"/>
      <c r="CS881" s="83"/>
      <c r="CT881" s="83"/>
      <c r="CU881" s="83"/>
      <c r="CV881" s="83"/>
      <c r="CW881" s="83"/>
      <c r="CX881" s="79"/>
      <c r="CY881" s="79">
        <f>SUM(COUNTIF(CR881:CW881,"Realizado y Devuelto a la Ciudadanía"),COUNTIF(CR881:CW881,"Realizado y Trasladado por competencia"), COUNTIF(CR881:CW881,"Realizado y Gestionado"))</f>
        <v>0</v>
      </c>
      <c r="CZ881" s="79">
        <v>0</v>
      </c>
      <c r="DA881" s="79">
        <f>COUNTIF(CR881:CW881,"Realizado y Devuelto a la Ciudadanía")</f>
        <v>0</v>
      </c>
      <c r="DB881" s="84" t="str">
        <f>IFERROR(CY881/CK881,"")</f>
        <v/>
      </c>
      <c r="DC881" s="41"/>
      <c r="DD881" s="79"/>
      <c r="DE881" s="71"/>
      <c r="DF881" s="127" t="s">
        <v>5993</v>
      </c>
      <c r="DG881" s="79"/>
      <c r="DH881" s="86">
        <f>IF(EE881="Por completar",C881+3,"Completo")</f>
        <v>45541</v>
      </c>
      <c r="DI881" s="79"/>
      <c r="DJ881" s="79"/>
      <c r="DK881" s="79"/>
      <c r="DL881" s="79">
        <v>0</v>
      </c>
      <c r="DM881" s="79">
        <v>0</v>
      </c>
      <c r="DN881" s="79"/>
      <c r="DO881" s="79"/>
      <c r="DP881" s="79"/>
      <c r="DQ881" s="79"/>
      <c r="DR881" s="75" t="str">
        <f>IF(H881="SÍ", (DQ881/(BZ881*0.3)), "No aplica")</f>
        <v>No aplica</v>
      </c>
      <c r="DS881" s="79"/>
      <c r="DT881" s="79"/>
      <c r="DU881" s="75" t="str">
        <f>IF(H881="SÍ", (DT881/(BZ881*0.35)), "No aplica")</f>
        <v>No aplica</v>
      </c>
      <c r="DV881" s="79"/>
      <c r="DW881" s="79"/>
      <c r="DX881" s="79"/>
      <c r="DY881" s="79"/>
      <c r="DZ881" s="79"/>
      <c r="EA881" s="79"/>
      <c r="EB881" s="79"/>
      <c r="EC881" s="79"/>
      <c r="ED881" s="79"/>
      <c r="EE881" s="79" t="str">
        <f>IF(DI881="Subsanado","Completo","Por Completar")</f>
        <v>Por Completar</v>
      </c>
      <c r="EF881" s="41"/>
      <c r="EG881" s="79"/>
      <c r="EH881" s="71"/>
      <c r="EI881" s="80"/>
      <c r="EJ881" s="71"/>
      <c r="EK881" s="79"/>
      <c r="EL881" s="87" t="str">
        <f>IF(F881="NO","No requiere",IF(H881="No","No requiere",IF(DW881="","",IF(DW881&lt;&gt;"No aplica",IF(DX881&lt;&gt;"No aplica",IF(DX881&gt;=2,"Sí","No"),"No aplica"),"No aplica"))))</f>
        <v>No requiere</v>
      </c>
      <c r="EM881" s="87" t="str">
        <f>IF(F881="NO","No requiere",IF(H881="No","No requiere",IF(DW881="","",IF(DW881&lt;&gt;"No aplica",IF(DY881&lt;&gt;"No aplica",IF(DY881&gt;=1,"Sí","No"),"No aplica"),"No aplica"))))</f>
        <v>No requiere</v>
      </c>
      <c r="EN881" s="87" t="str">
        <f>IF(F881="NO","No requiere",IF(H881="No","No requiere",IF(CC881="","",IF(CD881&lt;&gt;"No aplica",IF(CD881&lt;&gt;"Ninguna",IF(COUNTIF(CD881:CF881,"*")&gt;=1,"Sí","No"),"No"),"No aplica"))))</f>
        <v>No requiere</v>
      </c>
      <c r="EO881" s="71"/>
      <c r="EP881" s="84" t="str">
        <f>IF(F881="NO","No requiere",IF(H881="No","No requiere",IF(DL881="","",IF(DL881&gt;=1,DM881/DL881,"No aplica"))))</f>
        <v>No requiere</v>
      </c>
      <c r="EQ881" s="88" t="str">
        <f>IFERROR(IF(F881="NO","No requiere",IF(H881="No","No requiere",DU881)),"")</f>
        <v>No requiere</v>
      </c>
      <c r="ER881" s="71"/>
      <c r="ES881" s="79"/>
      <c r="ET881" s="84" t="str">
        <f>IF(F881="NO","No requiere",IF(H881="No","No requiere",IFERROR(COUNTIF(DJ881:DW881,"Completo")/SUM(COUNTIF(DJ881:DW881,"Completo"),COUNTIF(DJ881:DW881,"Incompleto"),COUNTIF(DJ881:DW881,"No subido"),COUNTIF(DJ881:DW881,"No existente"),COUNTIF(DJ881:DW881,"Pendiente")),"")))</f>
        <v>No requiere</v>
      </c>
      <c r="EU881" s="84" t="str">
        <f>IF(F881="NO","No requiere",IF(H881="No","No requiere",IF(#REF!="","",IF(CX881="SÍ",IF(CK881&gt;=1,CY881/CK881,"Sin compromisos"),"Por verificar"))))</f>
        <v>No requiere</v>
      </c>
      <c r="EV881" s="84" t="str">
        <f>IF(EU881="Por verificar","Por verificar",IF(F881="NO","No requiere",IF(H881="No","No requiere",IFERROR(IF(EU881="","",IF(CK881&gt;=1,DA881/CZ881,"No aplica")),"No aplica"))))</f>
        <v>No requiere</v>
      </c>
      <c r="EW881" s="84" t="str">
        <f>IF(F881="NO","No requiere",IF(H881="No","No requiere",IFERROR(IF(BZ881="","",IF(EA881&lt;&gt;"No aplica",IF(EA881&gt;=1,DO881/EA881,"0%"),"No aplica")),"")))</f>
        <v>No requiere</v>
      </c>
      <c r="EX881" s="78"/>
      <c r="EY881" s="78"/>
    </row>
    <row r="882" spans="1:215" ht="57" customHeight="1">
      <c r="A882" s="79" t="str">
        <v/>
      </c>
      <c r="B882" s="80" t="s">
        <v>5994</v>
      </c>
      <c r="C882" s="81">
        <v>45538</v>
      </c>
      <c r="D882" s="82" t="s">
        <v>5995</v>
      </c>
      <c r="E882" s="79" t="s">
        <v>151</v>
      </c>
      <c r="F882" s="79" t="s">
        <v>152</v>
      </c>
      <c r="G882" s="79" t="s">
        <v>152</v>
      </c>
      <c r="H882" s="79" t="s">
        <v>152</v>
      </c>
      <c r="I882" s="79" t="s">
        <v>152</v>
      </c>
      <c r="J882" s="79" t="s">
        <v>251</v>
      </c>
      <c r="K882" s="79" t="s">
        <v>202</v>
      </c>
      <c r="L882" s="80" t="s">
        <v>5996</v>
      </c>
      <c r="M882" s="80" t="s">
        <v>241</v>
      </c>
      <c r="N882" s="79" t="s">
        <v>5834</v>
      </c>
      <c r="O882" s="80" t="str">
        <f t="shared" ref="O882" si="1169">_xlfn.TEXTJOIN(", ",TRUE,P882:AN882)</f>
        <v>Mario Fernández</v>
      </c>
      <c r="P882" s="79" t="s">
        <v>5764</v>
      </c>
      <c r="Q882" s="79"/>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t="s">
        <v>169</v>
      </c>
      <c r="AP882" s="79" t="s">
        <v>507</v>
      </c>
      <c r="AQ882" s="80" t="s">
        <v>5835</v>
      </c>
      <c r="AR882" s="83" t="s">
        <v>171</v>
      </c>
      <c r="AS882" s="80" t="s">
        <v>537</v>
      </c>
      <c r="AT882" s="80" t="str">
        <f>_xlfn.TEXTJOIN(", ",TRUE,$AU882:$AY882)</f>
        <v>Distrital</v>
      </c>
      <c r="AU882" s="79" t="s">
        <v>172</v>
      </c>
      <c r="AV882" s="79"/>
      <c r="AW882" s="79"/>
      <c r="AX882" s="79"/>
      <c r="AY882" s="79"/>
      <c r="AZ882" s="79"/>
      <c r="BA882" s="80" t="str">
        <f>_xlfn.TEXTJOIN(", ",TRUE,$BB882:$BG882)</f>
        <v>Distrital</v>
      </c>
      <c r="BB882" s="79" t="s">
        <v>172</v>
      </c>
      <c r="BC882" s="79"/>
      <c r="BD882" s="79"/>
      <c r="BE882" s="79"/>
      <c r="BF882" s="79"/>
      <c r="BG882" s="79"/>
      <c r="BH882" s="80" t="str">
        <f>_xlfn.TEXTJOIN(", ",TRUE,$BI882:$BR882)</f>
        <v>Distrital</v>
      </c>
      <c r="BI882" s="79" t="s">
        <v>172</v>
      </c>
      <c r="BJ882" s="79"/>
      <c r="BK882" s="79"/>
      <c r="BL882" s="79"/>
      <c r="BM882" s="79"/>
      <c r="BN882" s="79"/>
      <c r="BO882" s="79"/>
      <c r="BP882" s="79"/>
      <c r="BQ882" s="79"/>
      <c r="BR882" s="79"/>
      <c r="BS882" s="80" t="s">
        <v>172</v>
      </c>
      <c r="BT882" s="80" t="s">
        <v>5673</v>
      </c>
      <c r="BU882" s="80" t="s">
        <v>5997</v>
      </c>
      <c r="BV882" s="71"/>
      <c r="BW882" s="79" t="s">
        <v>153</v>
      </c>
      <c r="BX882" s="79" t="s">
        <v>4242</v>
      </c>
      <c r="BY882" s="71"/>
      <c r="BZ882" s="79">
        <v>4</v>
      </c>
      <c r="CA882" s="79">
        <v>3</v>
      </c>
      <c r="CB882" s="79">
        <f t="shared" ref="CB882" si="1170">BZ882+CA882</f>
        <v>7</v>
      </c>
      <c r="CC882" s="79" t="str">
        <f t="shared" si="382"/>
        <v>Horarios Acordes</v>
      </c>
      <c r="CD882" s="79" t="s">
        <v>351</v>
      </c>
      <c r="CE882" s="79"/>
      <c r="CF882" s="79"/>
      <c r="CG882" s="83" t="s">
        <v>154</v>
      </c>
      <c r="CH882" s="41"/>
      <c r="CI882" s="79" t="s">
        <v>153</v>
      </c>
      <c r="CJ882" s="71"/>
      <c r="CK882" s="79">
        <f t="shared" ref="CK882" si="1171">COUNTIF(CL882:CQ882,"*")</f>
        <v>0</v>
      </c>
      <c r="CL882" s="79"/>
      <c r="CM882" s="79"/>
      <c r="CN882" s="79"/>
      <c r="CO882" s="79"/>
      <c r="CP882" s="79"/>
      <c r="CQ882" s="79"/>
      <c r="CR882" s="83"/>
      <c r="CS882" s="83"/>
      <c r="CT882" s="83"/>
      <c r="CU882" s="83"/>
      <c r="CV882" s="83"/>
      <c r="CW882" s="83"/>
      <c r="CX882" s="79"/>
      <c r="CY882" s="79">
        <f t="shared" ref="CY882" si="1172">SUM(COUNTIF(CR882:CW882,"Realizado y Devuelto a la Ciudadanía"),COUNTIF(CR882:CW882,"Realizado y Trasladado por competencia"), COUNTIF(CR882:CW882,"Realizado y Gestionado"))</f>
        <v>0</v>
      </c>
      <c r="CZ882" s="79">
        <v>0</v>
      </c>
      <c r="DA882" s="79">
        <f t="shared" ref="DA882" si="1173">COUNTIF(CR882:CW882,"Realizado y Devuelto a la Ciudadanía")</f>
        <v>0</v>
      </c>
      <c r="DB882" s="84" t="str">
        <f t="shared" ref="DB882" si="1174">IFERROR(CY882/CK882,"")</f>
        <v/>
      </c>
      <c r="DC882" s="41"/>
      <c r="DD882" s="79"/>
      <c r="DE882" s="71"/>
      <c r="DF882" s="161" t="s">
        <v>196</v>
      </c>
      <c r="DG882" s="79"/>
      <c r="DH882" s="86">
        <f t="shared" ref="DH882" si="1175">IF(EE882="Por completar",C882+3,"Completo")</f>
        <v>45541</v>
      </c>
      <c r="DI882" s="79"/>
      <c r="DJ882" s="79"/>
      <c r="DK882" s="79"/>
      <c r="DL882" s="79">
        <v>0</v>
      </c>
      <c r="DM882" s="79">
        <v>0</v>
      </c>
      <c r="DN882" s="79"/>
      <c r="DO882" s="79"/>
      <c r="DP882" s="79"/>
      <c r="DQ882" s="79"/>
      <c r="DR882" s="75" t="str">
        <f t="shared" ref="DR882" si="1176">IF(H882="SÍ", (DQ882/(BZ882*0.3)), "No aplica")</f>
        <v>No aplica</v>
      </c>
      <c r="DS882" s="79"/>
      <c r="DT882" s="79"/>
      <c r="DU882" s="75" t="str">
        <f t="shared" ref="DU882" si="1177">IF(H882="SÍ", (DT882/(BZ882*0.35)), "No aplica")</f>
        <v>No aplica</v>
      </c>
      <c r="DV882" s="79"/>
      <c r="DW882" s="79"/>
      <c r="DX882" s="79"/>
      <c r="DY882" s="79"/>
      <c r="DZ882" s="79"/>
      <c r="EA882" s="79"/>
      <c r="EB882" s="79"/>
      <c r="EC882" s="79"/>
      <c r="ED882" s="79"/>
      <c r="EE882" s="79" t="str">
        <f t="shared" ref="EE882" si="1178">IF(DI882="Subsanado","Completo","Por Completar")</f>
        <v>Por Completar</v>
      </c>
      <c r="EF882" s="41"/>
      <c r="EG882" s="79"/>
      <c r="EH882" s="71"/>
      <c r="EI882" s="80"/>
      <c r="EJ882" s="71"/>
      <c r="EK882" s="79"/>
      <c r="EL882" s="87" t="str">
        <f t="shared" ref="EL882" si="1179">IF(F882="NO","No requiere",IF(H882="No","No requiere",IF(DW882="","",IF(DW882&lt;&gt;"No aplica",IF(DX882&lt;&gt;"No aplica",IF(DX882&gt;=2,"Sí","No"),"No aplica"),"No aplica"))))</f>
        <v>No requiere</v>
      </c>
      <c r="EM882" s="87" t="str">
        <f t="shared" ref="EM882" si="1180">IF(F882="NO","No requiere",IF(H882="No","No requiere",IF(DW882="","",IF(DW882&lt;&gt;"No aplica",IF(DY882&lt;&gt;"No aplica",IF(DY882&gt;=1,"Sí","No"),"No aplica"),"No aplica"))))</f>
        <v>No requiere</v>
      </c>
      <c r="EN882" s="87" t="str">
        <f t="shared" ref="EN882" si="1181">IF(F882="NO","No requiere",IF(H882="No","No requiere",IF(CC882="","",IF(CD882&lt;&gt;"No aplica",IF(CD882&lt;&gt;"Ninguna",IF(COUNTIF(CD882:CF882,"*")&gt;=1,"Sí","No"),"No"),"No aplica"))))</f>
        <v>No requiere</v>
      </c>
      <c r="EO882" s="71"/>
      <c r="EP882" s="84" t="str">
        <f t="shared" ref="EP882" si="1182">IF(F882="NO","No requiere",IF(H882="No","No requiere",IF(DL882="","",IF(DL882&gt;=1,DM882/DL882,"No aplica"))))</f>
        <v>No requiere</v>
      </c>
      <c r="EQ882" s="88" t="str">
        <f t="shared" ref="EQ882" si="1183">IFERROR(IF(F882="NO","No requiere",IF(H882="No","No requiere",DU882)),"")</f>
        <v>No requiere</v>
      </c>
      <c r="ER882" s="71"/>
      <c r="ES882" s="79"/>
      <c r="ET882" s="84" t="str">
        <f t="shared" ref="ET882" si="1184">IF(F882="NO","No requiere",IF(H882="No","No requiere",IFERROR(COUNTIF(DJ882:DW882,"Completo")/SUM(COUNTIF(DJ882:DW882,"Completo"),COUNTIF(DJ882:DW882,"Incompleto"),COUNTIF(DJ882:DW882,"No subido"),COUNTIF(DJ882:DW882,"No existente"),COUNTIF(DJ882:DW882,"Pendiente")),"")))</f>
        <v>No requiere</v>
      </c>
      <c r="EU882" s="84" t="str">
        <f>IF(F882="NO","No requiere",IF(H882="No","No requiere",IF(B880="","",IF(CX882="SÍ",IF(CK882&gt;=1,CY882/CK882,"Sin compromisos"),"Por verificar"))))</f>
        <v>No requiere</v>
      </c>
      <c r="EV882" s="84" t="str">
        <f t="shared" ref="EV882" si="1185">IF(EU882="Por verificar","Por verificar",IF(F882="NO","No requiere",IF(H882="No","No requiere",IFERROR(IF(EU882="","",IF(CK882&gt;=1,DA882/CZ882,"No aplica")),"No aplica"))))</f>
        <v>No requiere</v>
      </c>
      <c r="EW882" s="84" t="str">
        <f t="shared" ref="EW882" si="1186">IF(F882="NO","No requiere",IF(H882="No","No requiere",IFERROR(IF(BZ882="","",IF(EA882&lt;&gt;"No aplica",IF(EA882&gt;=1,DO882/EA882,"0%"),"No aplica")),"")))</f>
        <v>No requiere</v>
      </c>
      <c r="EX882" s="78"/>
      <c r="EY882" s="78"/>
    </row>
    <row r="883" spans="1:215" ht="57" customHeight="1">
      <c r="A883" s="79">
        <v>879</v>
      </c>
      <c r="B883" s="80" t="s">
        <v>503</v>
      </c>
      <c r="C883" s="81">
        <v>45539</v>
      </c>
      <c r="D883" s="82">
        <v>0.33333333333333331</v>
      </c>
      <c r="E883" s="79" t="s">
        <v>200</v>
      </c>
      <c r="F883" s="79" t="s">
        <v>153</v>
      </c>
      <c r="G883" s="79" t="s">
        <v>152</v>
      </c>
      <c r="H883" s="79" t="s">
        <v>152</v>
      </c>
      <c r="I883" s="79" t="s">
        <v>152</v>
      </c>
      <c r="J883" s="79" t="s">
        <v>504</v>
      </c>
      <c r="K883" s="79" t="s">
        <v>202</v>
      </c>
      <c r="L883" s="80" t="s">
        <v>5172</v>
      </c>
      <c r="M883" s="80" t="s">
        <v>624</v>
      </c>
      <c r="N883" s="79" t="s">
        <v>506</v>
      </c>
      <c r="O883" s="80" t="str">
        <f>_xlfn.TEXTJOIN(", ",TRUE,P883:AN883)</f>
        <v/>
      </c>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t="s">
        <v>169</v>
      </c>
      <c r="AP883" s="79" t="s">
        <v>2702</v>
      </c>
      <c r="AQ883" s="80" t="s">
        <v>5998</v>
      </c>
      <c r="AR883" s="83" t="s">
        <v>5999</v>
      </c>
      <c r="AS883" s="80" t="s">
        <v>6000</v>
      </c>
      <c r="AT883" s="80" t="str">
        <f>_xlfn.TEXTJOIN(", ",TRUE,$AU883:$AY883)</f>
        <v>Sumapaz</v>
      </c>
      <c r="AU883" s="79" t="s">
        <v>510</v>
      </c>
      <c r="AV883" s="79"/>
      <c r="AW883" s="79"/>
      <c r="AX883" s="79"/>
      <c r="AY883" s="79"/>
      <c r="AZ883" s="79"/>
      <c r="BA883" s="80" t="str">
        <f>_xlfn.TEXTJOIN(", ",TRUE,$BB883:$BG883)</f>
        <v>Ruralidad</v>
      </c>
      <c r="BB883" s="79" t="s">
        <v>219</v>
      </c>
      <c r="BC883" s="79"/>
      <c r="BD883" s="79"/>
      <c r="BE883" s="79"/>
      <c r="BF883" s="79"/>
      <c r="BG883" s="79"/>
      <c r="BH883" s="80" t="str">
        <f>_xlfn.TEXTJOIN(", ",TRUE,$BI883:$BR883)</f>
        <v>Sumapaz</v>
      </c>
      <c r="BI883" s="79" t="s">
        <v>510</v>
      </c>
      <c r="BJ883" s="79"/>
      <c r="BK883" s="79"/>
      <c r="BL883" s="79"/>
      <c r="BM883" s="79"/>
      <c r="BN883" s="79"/>
      <c r="BO883" s="79"/>
      <c r="BP883" s="79"/>
      <c r="BQ883" s="79"/>
      <c r="BR883" s="79"/>
      <c r="BS883" s="80" t="s">
        <v>3652</v>
      </c>
      <c r="BT883" s="315" t="s">
        <v>171</v>
      </c>
      <c r="BU883" s="321" t="s">
        <v>6001</v>
      </c>
      <c r="BV883" s="71"/>
      <c r="BW883" s="79" t="s">
        <v>152</v>
      </c>
      <c r="BX883" s="79" t="s">
        <v>179</v>
      </c>
      <c r="BY883" s="71"/>
      <c r="BZ883" s="79">
        <v>24</v>
      </c>
      <c r="CA883" s="79">
        <v>1</v>
      </c>
      <c r="CB883" s="79">
        <f>BZ883+CA883</f>
        <v>25</v>
      </c>
      <c r="CC883" s="79" t="str">
        <f t="shared" si="382"/>
        <v>Ninguna</v>
      </c>
      <c r="CD883" s="79" t="s">
        <v>174</v>
      </c>
      <c r="CE883" s="79"/>
      <c r="CF883" s="165"/>
      <c r="CG883" s="319" t="s">
        <v>6002</v>
      </c>
      <c r="CH883" s="41"/>
      <c r="CI883" s="79" t="s">
        <v>153</v>
      </c>
      <c r="CJ883" s="71"/>
      <c r="CK883" s="79">
        <v>0</v>
      </c>
      <c r="CL883" s="79"/>
      <c r="CM883" s="79"/>
      <c r="CN883" s="79"/>
      <c r="CO883" s="79"/>
      <c r="CP883" s="79"/>
      <c r="CQ883" s="79"/>
      <c r="CR883" s="83"/>
      <c r="CS883" s="83"/>
      <c r="CT883" s="83"/>
      <c r="CU883" s="83"/>
      <c r="CV883" s="83"/>
      <c r="CW883" s="83"/>
      <c r="CX883" s="79"/>
      <c r="CY883" s="79">
        <v>0</v>
      </c>
      <c r="CZ883" s="79">
        <v>0</v>
      </c>
      <c r="DA883" s="79">
        <v>0</v>
      </c>
      <c r="DB883" s="84" t="s">
        <v>316</v>
      </c>
      <c r="DC883" s="41"/>
      <c r="DD883" s="79"/>
      <c r="DE883" s="71"/>
      <c r="DF883" s="127" t="s">
        <v>6003</v>
      </c>
      <c r="DG883" s="205"/>
      <c r="DH883" s="86">
        <f>IF(EE883="Por completar",C883+3,"Completo")</f>
        <v>45542</v>
      </c>
      <c r="DI883" s="79"/>
      <c r="DJ883" s="79"/>
      <c r="DK883" s="79"/>
      <c r="DL883" s="79">
        <v>0</v>
      </c>
      <c r="DM883" s="79">
        <v>0</v>
      </c>
      <c r="DN883" s="79"/>
      <c r="DO883" s="79"/>
      <c r="DP883" s="79"/>
      <c r="DQ883" s="79"/>
      <c r="DR883" s="75" t="str">
        <f>IF(H883="SÍ", (DQ883/(BZ883*0.3)), "No aplica")</f>
        <v>No aplica</v>
      </c>
      <c r="DS883" s="79"/>
      <c r="DT883" s="79"/>
      <c r="DU883" s="75" t="str">
        <f t="shared" si="1155"/>
        <v>No aplica</v>
      </c>
      <c r="DV883" s="79"/>
      <c r="DW883" s="79"/>
      <c r="DX883" s="79"/>
      <c r="DY883" s="79"/>
      <c r="DZ883" s="79"/>
      <c r="EA883" s="79"/>
      <c r="EB883" s="79"/>
      <c r="EC883" s="79"/>
      <c r="ED883" s="79"/>
      <c r="EE883" s="79" t="str">
        <f>IF(DI883="Subsanado","Completo","Por Completar")</f>
        <v>Por Completar</v>
      </c>
      <c r="EF883" s="41"/>
      <c r="EG883" s="79"/>
      <c r="EH883" s="71"/>
      <c r="EI883" s="80"/>
      <c r="EJ883" s="71"/>
      <c r="EK883" s="79"/>
      <c r="EL883" s="87" t="str">
        <f>IF(F883="NO","No requiere",IF(H883="No","No requiere",IF(DW883="","",IF(DW883&lt;&gt;"No aplica",IF(DX883&lt;&gt;"No aplica",IF(DX883&gt;=2,"Sí","No"),"No aplica"),"No aplica"))))</f>
        <v>No requiere</v>
      </c>
      <c r="EM883" s="87" t="str">
        <f>IF(F883="NO","No requiere",IF(H883="No","No requiere",IF(DW883="","",IF(DW883&lt;&gt;"No aplica",IF(DY883&lt;&gt;"No aplica",IF(DY883&gt;=1,"Sí","No"),"No aplica"),"No aplica"))))</f>
        <v>No requiere</v>
      </c>
      <c r="EN883" s="87" t="str">
        <f>IF(F883="NO","No requiere",IF(H883="No","No requiere",IF(CC883="","",IF(CD883&lt;&gt;"No aplica",IF(CD883&lt;&gt;"Ninguna",IF(COUNTIF(CD883:CF883,"*")&gt;=1,"Sí","No"),"No"),"No aplica"))))</f>
        <v>No requiere</v>
      </c>
      <c r="EO883" s="71"/>
      <c r="EP883" s="84" t="str">
        <f>IF(F883="NO","No requiere",IF(H883="No","No requiere",IF(DL883="","",IF(DL883&gt;=1,DM883/DL883,"No aplica"))))</f>
        <v>No requiere</v>
      </c>
      <c r="EQ883" s="88" t="str">
        <f>IFERROR(IF(F883="NO","No requiere",IF(H883="No","No requiere",DU883)),"")</f>
        <v>No requiere</v>
      </c>
      <c r="ER883" s="71"/>
      <c r="ES883" s="79"/>
      <c r="ET883" s="84" t="str">
        <f>IF(F883="NO","No requiere",IF(H883="No","No requiere",IFERROR(COUNTIF(DJ883:DW883,"Completo")/SUM(COUNTIF(DJ883:DW883,"Completo"),COUNTIF(DJ883:DW883,"Incompleto"),COUNTIF(DJ883:DW883,"No subido"),COUNTIF(DJ883:DW883,"No existente"),COUNTIF(DJ883:DW883,"Pendiente")),"")))</f>
        <v>No requiere</v>
      </c>
      <c r="EU883" s="84" t="str">
        <f>IF(F883="NO","No requiere",IF(H883="No","No requiere",IF(B883="","",IF(CX883="SÍ",IF(CK883&gt;=1,CY883/CK883,"Sin compromisos"),"Por verificar"))))</f>
        <v>No requiere</v>
      </c>
      <c r="EV883" s="84" t="str">
        <f>IF(EU883="Por verificar","Por verificar",IF(F883="NO","No requiere",IF(H883="No","No requiere",IFERROR(IF(EU883="","",IF(CK883&gt;=1,DA883/CZ883,"No aplica")),"No aplica"))))</f>
        <v>No requiere</v>
      </c>
      <c r="EW883" s="84" t="str">
        <f>IF(F883="NO","No requiere",IF(H883="No","No requiere",IFERROR(IF(BZ883="","",IF(EA883&lt;&gt;"No aplica",IF(EA883&gt;=1,DO883/EA883,"0%"),"No aplica")),"")))</f>
        <v>No requiere</v>
      </c>
      <c r="EX883" s="78"/>
      <c r="EY883" s="78"/>
    </row>
    <row r="884" spans="1:215" s="304" customFormat="1" ht="57" customHeight="1">
      <c r="A884" s="79">
        <v>880</v>
      </c>
      <c r="B884" s="80" t="s">
        <v>6004</v>
      </c>
      <c r="C884" s="81">
        <v>45539</v>
      </c>
      <c r="D884" s="82">
        <v>0.58333333333333337</v>
      </c>
      <c r="E884" s="79" t="s">
        <v>151</v>
      </c>
      <c r="F884" s="79" t="s">
        <v>153</v>
      </c>
      <c r="G884" s="79" t="s">
        <v>153</v>
      </c>
      <c r="H884" s="79" t="s">
        <v>152</v>
      </c>
      <c r="I884" s="79" t="s">
        <v>152</v>
      </c>
      <c r="J884" s="79" t="s">
        <v>2153</v>
      </c>
      <c r="K884" s="79" t="s">
        <v>202</v>
      </c>
      <c r="L884" s="80" t="s">
        <v>6005</v>
      </c>
      <c r="M884" s="80" t="s">
        <v>624</v>
      </c>
      <c r="N884" s="79" t="s">
        <v>5852</v>
      </c>
      <c r="O884" s="80" t="str">
        <f>_xlfn.TEXTJOIN(", ",TRUE,P884:AN884)</f>
        <v>César Augusto Barrantes</v>
      </c>
      <c r="P884" s="79" t="s">
        <v>729</v>
      </c>
      <c r="Q884" s="79"/>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t="s">
        <v>304</v>
      </c>
      <c r="AP884" s="79"/>
      <c r="AQ884" s="80" t="s">
        <v>171</v>
      </c>
      <c r="AR884" s="83" t="s">
        <v>171</v>
      </c>
      <c r="AS884" s="80" t="s">
        <v>171</v>
      </c>
      <c r="AT884" s="80" t="str">
        <f>_xlfn.TEXTJOIN(", ",TRUE,$AU884:$AY884)</f>
        <v>Distrital</v>
      </c>
      <c r="AU884" s="79" t="s">
        <v>172</v>
      </c>
      <c r="AV884" s="79"/>
      <c r="AW884" s="79"/>
      <c r="AX884" s="79"/>
      <c r="AY884" s="79"/>
      <c r="AZ884" s="79"/>
      <c r="BA884" s="80" t="str">
        <f>_xlfn.TEXTJOIN(", ",TRUE,$BB884:$BG884)</f>
        <v>Distrital</v>
      </c>
      <c r="BB884" s="79" t="s">
        <v>172</v>
      </c>
      <c r="BC884" s="79"/>
      <c r="BD884" s="79"/>
      <c r="BE884" s="79"/>
      <c r="BF884" s="79"/>
      <c r="BG884" s="79"/>
      <c r="BH884" s="80" t="str">
        <f>_xlfn.TEXTJOIN(", ",TRUE,$BI884:$BR884)</f>
        <v>Distrital</v>
      </c>
      <c r="BI884" s="79" t="s">
        <v>172</v>
      </c>
      <c r="BJ884" s="79"/>
      <c r="BK884" s="79"/>
      <c r="BL884" s="79"/>
      <c r="BM884" s="79"/>
      <c r="BN884" s="79"/>
      <c r="BO884" s="79"/>
      <c r="BP884" s="79"/>
      <c r="BQ884" s="79"/>
      <c r="BR884" s="79"/>
      <c r="BS884" s="80" t="s">
        <v>179</v>
      </c>
      <c r="BT884" s="80" t="s">
        <v>2447</v>
      </c>
      <c r="BU884" s="351" t="s">
        <v>3931</v>
      </c>
      <c r="BV884" s="71"/>
      <c r="BW884" s="79" t="s">
        <v>152</v>
      </c>
      <c r="BX884" s="79" t="s">
        <v>179</v>
      </c>
      <c r="BY884" s="71"/>
      <c r="BZ884" s="79">
        <v>13</v>
      </c>
      <c r="CA884" s="79">
        <v>4</v>
      </c>
      <c r="CB884" s="79">
        <f>BZ884+CA884</f>
        <v>17</v>
      </c>
      <c r="CC884" s="79" t="str">
        <f t="shared" si="382"/>
        <v>Ninguna</v>
      </c>
      <c r="CD884" s="79" t="s">
        <v>174</v>
      </c>
      <c r="CE884" s="79"/>
      <c r="CF884" s="79"/>
      <c r="CG884" s="204" t="s">
        <v>6006</v>
      </c>
      <c r="CH884" s="41"/>
      <c r="CI884" s="79"/>
      <c r="CJ884" s="71"/>
      <c r="CK884" s="79">
        <f>COUNTIF(CL884:CQ884,"*")</f>
        <v>0</v>
      </c>
      <c r="CL884" s="79"/>
      <c r="CM884" s="79"/>
      <c r="CN884" s="79"/>
      <c r="CO884" s="79"/>
      <c r="CP884" s="79"/>
      <c r="CQ884" s="79"/>
      <c r="CR884" s="83"/>
      <c r="CS884" s="83"/>
      <c r="CT884" s="83"/>
      <c r="CU884" s="83"/>
      <c r="CV884" s="83"/>
      <c r="CW884" s="83"/>
      <c r="CX884" s="79"/>
      <c r="CY884" s="79">
        <f>SUM(COUNTIF(CR884:CW884,"Realizado y Devuelto a la Ciudadanía"),COUNTIF(CR884:CW884,"Realizado y Trasladado por competencia"), COUNTIF(CR884:CW884,"Realizado y Gestionado"))</f>
        <v>0</v>
      </c>
      <c r="CZ884" s="79">
        <v>0</v>
      </c>
      <c r="DA884" s="79">
        <f>COUNTIF(CR884:CW884,"Realizado y Devuelto a la Ciudadanía")</f>
        <v>0</v>
      </c>
      <c r="DB884" s="84" t="str">
        <f>IFERROR(CY884/CK884,"")</f>
        <v/>
      </c>
      <c r="DC884" s="41"/>
      <c r="DD884" s="79"/>
      <c r="DE884" s="71"/>
      <c r="DF884" s="127" t="s">
        <v>6007</v>
      </c>
      <c r="DG884" s="79"/>
      <c r="DH884" s="86">
        <f>IF(EE884="Por completar",C884+3,"Completo")</f>
        <v>45542</v>
      </c>
      <c r="DI884" s="79"/>
      <c r="DJ884" s="79"/>
      <c r="DK884" s="79"/>
      <c r="DL884" s="79">
        <v>0</v>
      </c>
      <c r="DM884" s="79">
        <v>0</v>
      </c>
      <c r="DN884" s="79"/>
      <c r="DO884" s="79"/>
      <c r="DP884" s="79"/>
      <c r="DQ884" s="79"/>
      <c r="DR884" s="75" t="str">
        <f>IF(H884="SÍ", (DQ884/(BZ884*0.3)), "No aplica")</f>
        <v>No aplica</v>
      </c>
      <c r="DS884" s="79"/>
      <c r="DT884" s="79"/>
      <c r="DU884" s="75" t="str">
        <f>IF(H884="SÍ", (DT884/(BZ884*0.35)), "No aplica")</f>
        <v>No aplica</v>
      </c>
      <c r="DV884" s="79"/>
      <c r="DW884" s="79"/>
      <c r="DX884" s="79"/>
      <c r="DY884" s="79"/>
      <c r="DZ884" s="79"/>
      <c r="EA884" s="79"/>
      <c r="EB884" s="79"/>
      <c r="EC884" s="79"/>
      <c r="ED884" s="79"/>
      <c r="EE884" s="79" t="str">
        <f>IF(DI884="Subsanado","Completo","Por Completar")</f>
        <v>Por Completar</v>
      </c>
      <c r="EF884" s="41"/>
      <c r="EG884" s="79"/>
      <c r="EH884" s="71"/>
      <c r="EI884" s="80"/>
      <c r="EJ884" s="71"/>
      <c r="EK884" s="79"/>
      <c r="EL884" s="87" t="str">
        <f>IF(F884="NO","No requiere",IF(H884="No","No requiere",IF(DW884="","",IF(DW884&lt;&gt;"No aplica",IF(DX884&lt;&gt;"No aplica",IF(DX884&gt;=2,"Sí","No"),"No aplica"),"No aplica"))))</f>
        <v>No requiere</v>
      </c>
      <c r="EM884" s="87" t="str">
        <f>IF(F884="NO","No requiere",IF(H884="No","No requiere",IF(DW884="","",IF(DW884&lt;&gt;"No aplica",IF(DY884&lt;&gt;"No aplica",IF(DY884&gt;=1,"Sí","No"),"No aplica"),"No aplica"))))</f>
        <v>No requiere</v>
      </c>
      <c r="EN884" s="87" t="str">
        <f>IF(F884="NO","No requiere",IF(H884="No","No requiere",IF(CC884="","",IF(CD884&lt;&gt;"No aplica",IF(CD884&lt;&gt;"Ninguna",IF(COUNTIF(CD884:CF884,"*")&gt;=1,"Sí","No"),"No"),"No aplica"))))</f>
        <v>No requiere</v>
      </c>
      <c r="EO884" s="71"/>
      <c r="EP884" s="84" t="str">
        <f>IF(F884="NO","No requiere",IF(H884="No","No requiere",IF(DL884="","",IF(DL884&gt;=1,DM884/DL884,"No aplica"))))</f>
        <v>No requiere</v>
      </c>
      <c r="EQ884" s="88" t="str">
        <f>IFERROR(IF(F884="NO","No requiere",IF(H884="No","No requiere",DU884)),"")</f>
        <v>No requiere</v>
      </c>
      <c r="ER884" s="71"/>
      <c r="ES884" s="79"/>
      <c r="ET884" s="84" t="str">
        <f>IF(F884="NO","No requiere",IF(H884="No","No requiere",IFERROR(COUNTIF(DJ884:DW884,"Completo")/SUM(COUNTIF(DJ884:DW884,"Completo"),COUNTIF(DJ884:DW884,"Incompleto"),COUNTIF(DJ884:DW884,"No subido"),COUNTIF(DJ884:DW884,"No existente"),COUNTIF(DJ884:DW884,"Pendiente")),"")))</f>
        <v>No requiere</v>
      </c>
      <c r="EU884" s="84" t="str">
        <f>IF(F884="NO","No requiere",IF(H884="No","No requiere",IF(B908="","",IF(CX884="SÍ",IF(CK884&gt;=1,CY884/CK884,"Sin compromisos"),"Por verificar"))))</f>
        <v>No requiere</v>
      </c>
      <c r="EV884" s="84" t="str">
        <f>IF(EU884="Por verificar","Por verificar",IF(F884="NO","No requiere",IF(H884="No","No requiere",IFERROR(IF(EU884="","",IF(CK884&gt;=1,DA884/CZ884,"No aplica")),"No aplica"))))</f>
        <v>No requiere</v>
      </c>
      <c r="EW884" s="84" t="str">
        <f>IF(F884="NO","No requiere",IF(H884="No","No requiere",IFERROR(IF(BZ884="","",IF(EA884&lt;&gt;"No aplica",IF(EA884&gt;=1,DO884/EA884,"0%"),"No aplica")),"")))</f>
        <v>No requiere</v>
      </c>
      <c r="EX884" s="78"/>
      <c r="EY884" s="78"/>
      <c r="EZ884" s="179"/>
      <c r="FA884" s="179"/>
      <c r="FB884" s="179"/>
      <c r="FC884" s="179"/>
      <c r="FD884" s="179"/>
      <c r="FE884" s="179"/>
      <c r="FF884" s="179"/>
      <c r="FG884" s="179"/>
      <c r="FH884" s="179"/>
      <c r="FI884" s="179"/>
      <c r="FJ884" s="179"/>
      <c r="FK884" s="179"/>
      <c r="FL884" s="179"/>
      <c r="FM884" s="179"/>
      <c r="FN884" s="179"/>
      <c r="FO884" s="179"/>
      <c r="FP884" s="179"/>
      <c r="FQ884" s="179"/>
      <c r="FR884" s="179"/>
      <c r="FS884" s="179"/>
      <c r="FT884" s="179"/>
      <c r="FU884" s="179"/>
      <c r="FV884" s="179"/>
      <c r="FW884" s="179"/>
      <c r="FX884" s="179"/>
      <c r="FY884" s="179"/>
      <c r="FZ884" s="179"/>
      <c r="GA884" s="179"/>
      <c r="GB884" s="179"/>
      <c r="GC884" s="179"/>
      <c r="GD884" s="179"/>
      <c r="GE884" s="179"/>
      <c r="GF884" s="179"/>
      <c r="GG884" s="179"/>
      <c r="GH884" s="179"/>
      <c r="GI884" s="179"/>
      <c r="GJ884" s="179"/>
      <c r="GK884" s="179"/>
      <c r="GL884" s="179"/>
      <c r="GM884" s="179"/>
      <c r="GN884" s="179"/>
      <c r="GO884" s="179"/>
      <c r="GP884" s="179"/>
      <c r="GQ884" s="179"/>
      <c r="GR884" s="179"/>
      <c r="GS884" s="179"/>
      <c r="GT884" s="179"/>
      <c r="GU884" s="179"/>
      <c r="GV884" s="179"/>
      <c r="GW884" s="179"/>
      <c r="GX884" s="179"/>
      <c r="GY884" s="179"/>
      <c r="GZ884" s="179"/>
      <c r="HA884" s="179"/>
      <c r="HB884" s="179"/>
      <c r="HC884" s="179"/>
      <c r="HD884" s="179"/>
      <c r="HE884" s="179"/>
      <c r="HF884" s="179"/>
      <c r="HG884" s="179"/>
    </row>
    <row r="885" spans="1:215" ht="57" customHeight="1">
      <c r="A885" s="79">
        <v>881</v>
      </c>
      <c r="B885" s="80" t="s">
        <v>718</v>
      </c>
      <c r="C885" s="81">
        <v>45539</v>
      </c>
      <c r="D885" s="82">
        <v>0.58333333333333337</v>
      </c>
      <c r="E885" s="79" t="s">
        <v>200</v>
      </c>
      <c r="F885" s="79" t="s">
        <v>153</v>
      </c>
      <c r="G885" s="79" t="s">
        <v>152</v>
      </c>
      <c r="H885" s="79" t="s">
        <v>152</v>
      </c>
      <c r="I885" s="79" t="s">
        <v>152</v>
      </c>
      <c r="J885" s="79" t="s">
        <v>504</v>
      </c>
      <c r="K885" s="79" t="s">
        <v>155</v>
      </c>
      <c r="L885" s="80" t="s">
        <v>6008</v>
      </c>
      <c r="M885" s="80" t="s">
        <v>624</v>
      </c>
      <c r="N885" s="79" t="s">
        <v>5583</v>
      </c>
      <c r="O885" s="80" t="str">
        <f>_xlfn.TEXTJOIN(", ",TRUE,P885:AN885)</f>
        <v/>
      </c>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t="s">
        <v>169</v>
      </c>
      <c r="AP885" s="79" t="s">
        <v>2702</v>
      </c>
      <c r="AQ885" s="80" t="s">
        <v>2167</v>
      </c>
      <c r="AR885" s="83" t="s">
        <v>6009</v>
      </c>
      <c r="AS885" s="80" t="s">
        <v>6010</v>
      </c>
      <c r="AT885" s="80" t="str">
        <f>_xlfn.TEXTJOIN(", ",TRUE,$AU885:$AY885)</f>
        <v>Rafael Uribe Uribe</v>
      </c>
      <c r="AU885" s="79" t="s">
        <v>635</v>
      </c>
      <c r="AV885" s="79"/>
      <c r="AW885" s="79"/>
      <c r="AX885" s="79"/>
      <c r="AY885" s="79"/>
      <c r="AZ885" s="79"/>
      <c r="BA885" s="80" t="str">
        <f>_xlfn.TEXTJOIN(", ",TRUE,$BB885:$BG885)</f>
        <v>Suroriente</v>
      </c>
      <c r="BB885" s="79" t="s">
        <v>218</v>
      </c>
      <c r="BC885" s="79"/>
      <c r="BD885" s="79"/>
      <c r="BE885" s="79"/>
      <c r="BF885" s="79"/>
      <c r="BG885" s="79"/>
      <c r="BH885" s="80" t="str">
        <f>_xlfn.TEXTJOIN(", ",TRUE,$BI885:$BR885)</f>
        <v>Rafael Uribe</v>
      </c>
      <c r="BI885" s="79" t="s">
        <v>723</v>
      </c>
      <c r="BJ885" s="79"/>
      <c r="BK885" s="79"/>
      <c r="BL885" s="79"/>
      <c r="BM885" s="79"/>
      <c r="BN885" s="79"/>
      <c r="BO885" s="79"/>
      <c r="BP885" s="79"/>
      <c r="BQ885" s="79"/>
      <c r="BR885" s="79"/>
      <c r="BS885" s="80" t="s">
        <v>3705</v>
      </c>
      <c r="BT885" s="80" t="s">
        <v>2447</v>
      </c>
      <c r="BU885" s="321" t="s">
        <v>6011</v>
      </c>
      <c r="BV885" s="71"/>
      <c r="BW885" s="79" t="s">
        <v>152</v>
      </c>
      <c r="BX885" s="79" t="s">
        <v>179</v>
      </c>
      <c r="BY885" s="71"/>
      <c r="BZ885" s="79">
        <v>14</v>
      </c>
      <c r="CA885" s="79">
        <v>1</v>
      </c>
      <c r="CB885" s="79">
        <f>BZ885+CA885</f>
        <v>15</v>
      </c>
      <c r="CC885" s="79" t="str">
        <f t="shared" si="382"/>
        <v>Ninguna</v>
      </c>
      <c r="CD885" s="79" t="s">
        <v>174</v>
      </c>
      <c r="CE885" s="79"/>
      <c r="CF885" s="165"/>
      <c r="CG885" s="319" t="s">
        <v>6012</v>
      </c>
      <c r="CH885" s="41"/>
      <c r="CI885" s="79"/>
      <c r="CJ885" s="71"/>
      <c r="CK885" s="79">
        <v>0</v>
      </c>
      <c r="CL885" s="79"/>
      <c r="CM885" s="79"/>
      <c r="CN885" s="79"/>
      <c r="CO885" s="79"/>
      <c r="CP885" s="79"/>
      <c r="CQ885" s="79"/>
      <c r="CR885" s="83"/>
      <c r="CS885" s="83"/>
      <c r="CT885" s="83"/>
      <c r="CU885" s="83"/>
      <c r="CV885" s="83"/>
      <c r="CW885" s="83"/>
      <c r="CX885" s="79"/>
      <c r="CY885" s="79">
        <v>0</v>
      </c>
      <c r="CZ885" s="79">
        <v>0</v>
      </c>
      <c r="DA885" s="79">
        <v>0</v>
      </c>
      <c r="DB885" s="84" t="s">
        <v>316</v>
      </c>
      <c r="DC885" s="41"/>
      <c r="DD885" s="79"/>
      <c r="DE885" s="71"/>
      <c r="DF885" s="127" t="s">
        <v>6003</v>
      </c>
      <c r="DG885" s="205"/>
      <c r="DH885" s="86">
        <f>IF(EE885="Por completar",C885+3,"Completo")</f>
        <v>45542</v>
      </c>
      <c r="DI885" s="79"/>
      <c r="DJ885" s="79"/>
      <c r="DK885" s="79"/>
      <c r="DL885" s="79">
        <v>0</v>
      </c>
      <c r="DM885" s="79">
        <v>0</v>
      </c>
      <c r="DN885" s="79"/>
      <c r="DO885" s="79"/>
      <c r="DP885" s="79"/>
      <c r="DQ885" s="79"/>
      <c r="DR885" s="75" t="str">
        <f>IF(H885="SÍ", (DQ885/(BZ885*0.3)), "No aplica")</f>
        <v>No aplica</v>
      </c>
      <c r="DS885" s="79"/>
      <c r="DT885" s="79"/>
      <c r="DU885" s="75" t="str">
        <f t="shared" si="1155"/>
        <v>No aplica</v>
      </c>
      <c r="DV885" s="79"/>
      <c r="DW885" s="79"/>
      <c r="DX885" s="79"/>
      <c r="DY885" s="79"/>
      <c r="DZ885" s="79"/>
      <c r="EA885" s="79"/>
      <c r="EB885" s="79"/>
      <c r="EC885" s="79"/>
      <c r="ED885" s="79"/>
      <c r="EE885" s="79" t="str">
        <f>IF(DI885="Subsanado","Completo","Por Completar")</f>
        <v>Por Completar</v>
      </c>
      <c r="EF885" s="41"/>
      <c r="EG885" s="79"/>
      <c r="EH885" s="71"/>
      <c r="EI885" s="80"/>
      <c r="EJ885" s="71"/>
      <c r="EK885" s="79"/>
      <c r="EL885" s="87" t="str">
        <f>IF(F885="NO","No requiere",IF(H885="No","No requiere",IF(DW885="","",IF(DW885&lt;&gt;"No aplica",IF(DX885&lt;&gt;"No aplica",IF(DX885&gt;=2,"Sí","No"),"No aplica"),"No aplica"))))</f>
        <v>No requiere</v>
      </c>
      <c r="EM885" s="87" t="str">
        <f>IF(F885="NO","No requiere",IF(H885="No","No requiere",IF(DW885="","",IF(DW885&lt;&gt;"No aplica",IF(DY885&lt;&gt;"No aplica",IF(DY885&gt;=1,"Sí","No"),"No aplica"),"No aplica"))))</f>
        <v>No requiere</v>
      </c>
      <c r="EN885" s="87" t="str">
        <f>IF(F885="NO","No requiere",IF(H885="No","No requiere",IF(CC885="","",IF(CD885&lt;&gt;"No aplica",IF(CD885&lt;&gt;"Ninguna",IF(COUNTIF(CD885:CF885,"*")&gt;=1,"Sí","No"),"No"),"No aplica"))))</f>
        <v>No requiere</v>
      </c>
      <c r="EO885" s="71"/>
      <c r="EP885" s="84" t="str">
        <f>IF(F885="NO","No requiere",IF(H885="No","No requiere",IF(DL885="","",IF(DL885&gt;=1,DM885/DL885,"No aplica"))))</f>
        <v>No requiere</v>
      </c>
      <c r="EQ885" s="88" t="str">
        <f>IFERROR(IF(F885="NO","No requiere",IF(H885="No","No requiere",DU885)),"")</f>
        <v>No requiere</v>
      </c>
      <c r="ER885" s="71"/>
      <c r="ES885" s="79"/>
      <c r="ET885" s="84" t="str">
        <f>IF(F885="NO","No requiere",IF(H885="No","No requiere",IFERROR(COUNTIF(DJ885:DW885,"Completo")/SUM(COUNTIF(DJ885:DW885,"Completo"),COUNTIF(DJ885:DW885,"Incompleto"),COUNTIF(DJ885:DW885,"No subido"),COUNTIF(DJ885:DW885,"No existente"),COUNTIF(DJ885:DW885,"Pendiente")),"")))</f>
        <v>No requiere</v>
      </c>
      <c r="EU885" s="84" t="str">
        <f>IF(F885="NO","No requiere",IF(H885="No","No requiere",IF(B885="","",IF(CX885="SÍ",IF(CK885&gt;=1,CY885/CK885,"Sin compromisos"),"Por verificar"))))</f>
        <v>No requiere</v>
      </c>
      <c r="EV885" s="84" t="str">
        <f>IF(EU885="Por verificar","Por verificar",IF(F885="NO","No requiere",IF(H885="No","No requiere",IFERROR(IF(EU885="","",IF(CK885&gt;=1,DA885/CZ885,"No aplica")),"No aplica"))))</f>
        <v>No requiere</v>
      </c>
      <c r="EW885" s="84" t="str">
        <f>IF(F885="NO","No requiere",IF(H885="No","No requiere",IFERROR(IF(BZ885="","",IF(EA885&lt;&gt;"No aplica",IF(EA885&gt;=1,DO885/EA885,"0%"),"No aplica")),"")))</f>
        <v>No requiere</v>
      </c>
      <c r="EX885" s="78"/>
      <c r="EY885" s="78"/>
    </row>
    <row r="886" spans="1:215" ht="57" customHeight="1">
      <c r="A886" s="79" t="str">
        <v/>
      </c>
      <c r="B886" s="80" t="s">
        <v>5401</v>
      </c>
      <c r="C886" s="81">
        <v>45539</v>
      </c>
      <c r="D886" s="82">
        <v>0.72916666666666663</v>
      </c>
      <c r="E886" s="79" t="s">
        <v>151</v>
      </c>
      <c r="F886" s="79" t="s">
        <v>152</v>
      </c>
      <c r="G886" s="79" t="s">
        <v>152</v>
      </c>
      <c r="H886" s="79" t="s">
        <v>152</v>
      </c>
      <c r="I886" s="79" t="s">
        <v>152</v>
      </c>
      <c r="J886" s="79" t="s">
        <v>3297</v>
      </c>
      <c r="K886" s="79" t="s">
        <v>202</v>
      </c>
      <c r="L886" s="80" t="s">
        <v>6013</v>
      </c>
      <c r="M886" s="80" t="s">
        <v>624</v>
      </c>
      <c r="N886" s="79" t="s">
        <v>4960</v>
      </c>
      <c r="O886" s="80" t="str">
        <f>_xlfn.TEXTJOIN(", ",TRUE,P886:AN886)</f>
        <v/>
      </c>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t="s">
        <v>304</v>
      </c>
      <c r="AP886" s="79"/>
      <c r="AQ886" s="80" t="s">
        <v>171</v>
      </c>
      <c r="AR886" s="80" t="s">
        <v>171</v>
      </c>
      <c r="AS886" s="80" t="s">
        <v>171</v>
      </c>
      <c r="AT886" s="80" t="str">
        <f>_xlfn.TEXTJOIN(", ",TRUE,$AU886:$AY886)</f>
        <v>Distrital</v>
      </c>
      <c r="AU886" s="79" t="s">
        <v>172</v>
      </c>
      <c r="AV886" s="79"/>
      <c r="AW886" s="79"/>
      <c r="AX886" s="79"/>
      <c r="AY886" s="79"/>
      <c r="AZ886" s="79"/>
      <c r="BA886" s="80" t="str">
        <f>_xlfn.TEXTJOIN(", ",TRUE,$BB886:$BG886)</f>
        <v>Distrital</v>
      </c>
      <c r="BB886" s="79" t="s">
        <v>172</v>
      </c>
      <c r="BC886" s="79"/>
      <c r="BD886" s="79"/>
      <c r="BE886" s="79"/>
      <c r="BF886" s="79"/>
      <c r="BG886" s="79"/>
      <c r="BH886" s="80" t="str">
        <f>_xlfn.TEXTJOIN(", ",TRUE,$BI886:$BR886)</f>
        <v>Distrital</v>
      </c>
      <c r="BI886" s="79" t="s">
        <v>172</v>
      </c>
      <c r="BJ886" s="79"/>
      <c r="BK886" s="79"/>
      <c r="BL886" s="79"/>
      <c r="BM886" s="79"/>
      <c r="BN886" s="79"/>
      <c r="BO886" s="79"/>
      <c r="BP886" s="79"/>
      <c r="BQ886" s="79"/>
      <c r="BR886" s="79"/>
      <c r="BS886" s="80" t="s">
        <v>179</v>
      </c>
      <c r="BT886" s="80" t="s">
        <v>2447</v>
      </c>
      <c r="BU886" s="128" t="s">
        <v>3931</v>
      </c>
      <c r="BV886" s="71"/>
      <c r="BW886" s="79" t="s">
        <v>152</v>
      </c>
      <c r="BX886" s="79" t="s">
        <v>179</v>
      </c>
      <c r="BY886" s="71"/>
      <c r="BZ886" s="79">
        <v>1</v>
      </c>
      <c r="CA886" s="79">
        <v>3</v>
      </c>
      <c r="CB886" s="79">
        <f>BZ886+CA886</f>
        <v>4</v>
      </c>
      <c r="CC886" s="79" t="str">
        <f t="shared" si="382"/>
        <v>Ninguna</v>
      </c>
      <c r="CD886" s="79" t="s">
        <v>174</v>
      </c>
      <c r="CE886" s="79"/>
      <c r="CF886" s="79"/>
      <c r="CG886" s="204" t="s">
        <v>6014</v>
      </c>
      <c r="CH886" s="41"/>
      <c r="CI886" s="79"/>
      <c r="CJ886" s="71"/>
      <c r="CK886" s="79">
        <f>COUNTIF(CL886:CQ886,"*")</f>
        <v>0</v>
      </c>
      <c r="CL886" s="79"/>
      <c r="CM886" s="79"/>
      <c r="CN886" s="79"/>
      <c r="CO886" s="79"/>
      <c r="CP886" s="79"/>
      <c r="CQ886" s="79"/>
      <c r="CR886" s="83"/>
      <c r="CS886" s="83"/>
      <c r="CT886" s="83"/>
      <c r="CU886" s="83"/>
      <c r="CV886" s="83"/>
      <c r="CW886" s="83"/>
      <c r="CX886" s="79"/>
      <c r="CY886" s="79">
        <f>SUM(COUNTIF(CR886:CW886,"Realizado y Devuelto a la Ciudadanía"),COUNTIF(CR886:CW886,"Realizado y Trasladado por competencia"), COUNTIF(CR886:CW886,"Realizado y Gestionado"))</f>
        <v>0</v>
      </c>
      <c r="CZ886" s="79">
        <v>0</v>
      </c>
      <c r="DA886" s="79">
        <f>COUNTIF(CR886:CW886,"Realizado y Devuelto a la Ciudadanía")</f>
        <v>0</v>
      </c>
      <c r="DB886" s="84" t="str">
        <f>IFERROR(CY886/CK886,"")</f>
        <v/>
      </c>
      <c r="DC886" s="41"/>
      <c r="DD886" s="79"/>
      <c r="DE886" s="71"/>
      <c r="DF886" s="127" t="s">
        <v>6015</v>
      </c>
      <c r="DG886" s="79"/>
      <c r="DH886" s="86">
        <f>IF(EE886="Por completar",C886+3,"Completo")</f>
        <v>45542</v>
      </c>
      <c r="DI886" s="79"/>
      <c r="DJ886" s="79"/>
      <c r="DK886" s="79"/>
      <c r="DL886" s="79">
        <v>0</v>
      </c>
      <c r="DM886" s="79">
        <v>0</v>
      </c>
      <c r="DN886" s="79"/>
      <c r="DO886" s="79"/>
      <c r="DP886" s="79"/>
      <c r="DQ886" s="79"/>
      <c r="DR886" s="75" t="str">
        <f>IF(H886="SÍ", (DQ886/(BZ886*0.3)), "No aplica")</f>
        <v>No aplica</v>
      </c>
      <c r="DS886" s="79"/>
      <c r="DT886" s="79"/>
      <c r="DU886" s="75" t="str">
        <f>IF(H886="SÍ", (DT886/(BZ886*0.35)), "No aplica")</f>
        <v>No aplica</v>
      </c>
      <c r="DV886" s="79"/>
      <c r="DW886" s="79"/>
      <c r="DX886" s="79"/>
      <c r="DY886" s="79"/>
      <c r="DZ886" s="79"/>
      <c r="EA886" s="79"/>
      <c r="EB886" s="79"/>
      <c r="EC886" s="79"/>
      <c r="ED886" s="79"/>
      <c r="EE886" s="79" t="str">
        <f>IF(DI886="Subsanado","Completo","Por Completar")</f>
        <v>Por Completar</v>
      </c>
      <c r="EF886" s="41"/>
      <c r="EG886" s="79"/>
      <c r="EH886" s="71"/>
      <c r="EI886" s="80"/>
      <c r="EJ886" s="71"/>
      <c r="EK886" s="79"/>
      <c r="EL886" s="87" t="str">
        <f>IF(F886="NO","No requiere",IF(H886="No","No requiere",IF(DW886="","",IF(DW886&lt;&gt;"No aplica",IF(DX886&lt;&gt;"No aplica",IF(DX886&gt;=2,"Sí","No"),"No aplica"),"No aplica"))))</f>
        <v>No requiere</v>
      </c>
      <c r="EM886" s="87" t="str">
        <f>IF(F886="NO","No requiere",IF(H886="No","No requiere",IF(DW886="","",IF(DW886&lt;&gt;"No aplica",IF(DY886&lt;&gt;"No aplica",IF(DY886&gt;=1,"Sí","No"),"No aplica"),"No aplica"))))</f>
        <v>No requiere</v>
      </c>
      <c r="EN886" s="87" t="str">
        <f>IF(F886="NO","No requiere",IF(H886="No","No requiere",IF(CC886="","",IF(CD886&lt;&gt;"No aplica",IF(CD886&lt;&gt;"Ninguna",IF(COUNTIF(CD886:CF886,"*")&gt;=1,"Sí","No"),"No"),"No aplica"))))</f>
        <v>No requiere</v>
      </c>
      <c r="EO886" s="71"/>
      <c r="EP886" s="84" t="str">
        <f>IF(F886="NO","No requiere",IF(H886="No","No requiere",IF(DL886="","",IF(DL886&gt;=1,DM886/DL886,"No aplica"))))</f>
        <v>No requiere</v>
      </c>
      <c r="EQ886" s="88" t="str">
        <f>IFERROR(IF(F886="NO","No requiere",IF(H886="No","No requiere",DU886)),"")</f>
        <v>No requiere</v>
      </c>
      <c r="ER886" s="71"/>
      <c r="ES886" s="79"/>
      <c r="ET886" s="84" t="str">
        <f>IF(F886="NO","No requiere",IF(H886="No","No requiere",IFERROR(COUNTIF(DJ886:DW886,"Completo")/SUM(COUNTIF(DJ886:DW886,"Completo"),COUNTIF(DJ886:DW886,"Incompleto"),COUNTIF(DJ886:DW886,"No subido"),COUNTIF(DJ886:DW886,"No existente"),COUNTIF(DJ886:DW886,"Pendiente")),"")))</f>
        <v>No requiere</v>
      </c>
      <c r="EU886" s="84" t="str">
        <f>IF(F886="NO","No requiere",IF(H886="No","No requiere",IF(#REF!="","",IF(CX886="SÍ",IF(CK886&gt;=1,CY886/CK886,"Sin compromisos"),"Por verificar"))))</f>
        <v>No requiere</v>
      </c>
      <c r="EV886" s="84" t="str">
        <f>IF(EU886="Por verificar","Por verificar",IF(F886="NO","No requiere",IF(H886="No","No requiere",IFERROR(IF(EU886="","",IF(CK886&gt;=1,DA886/CZ886,"No aplica")),"No aplica"))))</f>
        <v>No requiere</v>
      </c>
      <c r="EW886" s="84" t="str">
        <f>IF(F886="NO","No requiere",IF(H886="No","No requiere",IFERROR(IF(BZ886="","",IF(EA886&lt;&gt;"No aplica",IF(EA886&gt;=1,DO886/EA886,"0%"),"No aplica")),"")))</f>
        <v>No requiere</v>
      </c>
      <c r="EX886" s="78"/>
      <c r="EY886" s="78"/>
    </row>
    <row r="887" spans="1:215" s="350" customFormat="1" ht="57" customHeight="1">
      <c r="A887" s="79">
        <v>883</v>
      </c>
      <c r="B887" s="80" t="s">
        <v>6016</v>
      </c>
      <c r="C887" s="81">
        <v>45540</v>
      </c>
      <c r="D887" s="82">
        <v>0.375</v>
      </c>
      <c r="E887" s="79" t="s">
        <v>200</v>
      </c>
      <c r="F887" s="79" t="s">
        <v>153</v>
      </c>
      <c r="G887" s="79" t="s">
        <v>152</v>
      </c>
      <c r="H887" s="79" t="s">
        <v>152</v>
      </c>
      <c r="I887" s="79" t="s">
        <v>152</v>
      </c>
      <c r="J887" s="79" t="s">
        <v>504</v>
      </c>
      <c r="K887" s="79" t="s">
        <v>202</v>
      </c>
      <c r="L887" s="80" t="s">
        <v>6017</v>
      </c>
      <c r="M887" s="80" t="s">
        <v>624</v>
      </c>
      <c r="N887" s="79" t="s">
        <v>525</v>
      </c>
      <c r="O887" s="80" t="str">
        <f>_xlfn.TEXTJOIN(", ",TRUE,P887:AN887)</f>
        <v/>
      </c>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t="s">
        <v>169</v>
      </c>
      <c r="AP887" s="79" t="s">
        <v>2702</v>
      </c>
      <c r="AQ887" s="80" t="s">
        <v>6018</v>
      </c>
      <c r="AR887" s="83" t="s">
        <v>4691</v>
      </c>
      <c r="AS887" s="80" t="s">
        <v>6019</v>
      </c>
      <c r="AT887" s="80" t="str">
        <f>_xlfn.TEXTJOIN(", ",TRUE,$AU887:$AY887)</f>
        <v>Usaquén</v>
      </c>
      <c r="AU887" s="79" t="s">
        <v>661</v>
      </c>
      <c r="AV887" s="79"/>
      <c r="AW887" s="79"/>
      <c r="AX887" s="79"/>
      <c r="AY887" s="79"/>
      <c r="AZ887" s="79"/>
      <c r="BA887" s="80" t="str">
        <f>_xlfn.TEXTJOIN(", ",TRUE,$BB887:$BG887)</f>
        <v>Norte</v>
      </c>
      <c r="BB887" s="79" t="s">
        <v>662</v>
      </c>
      <c r="BC887" s="79"/>
      <c r="BD887" s="79"/>
      <c r="BE887" s="79"/>
      <c r="BF887" s="79"/>
      <c r="BG887" s="79"/>
      <c r="BH887" s="80" t="str">
        <f>_xlfn.TEXTJOIN(", ",TRUE,$BI887:$BR887)</f>
        <v>Usaquén</v>
      </c>
      <c r="BI887" s="79" t="s">
        <v>661</v>
      </c>
      <c r="BJ887" s="79"/>
      <c r="BK887" s="79"/>
      <c r="BL887" s="79"/>
      <c r="BM887" s="79"/>
      <c r="BN887" s="79"/>
      <c r="BO887" s="79"/>
      <c r="BP887" s="79"/>
      <c r="BQ887" s="79"/>
      <c r="BR887" s="79"/>
      <c r="BS887" s="80" t="s">
        <v>179</v>
      </c>
      <c r="BT887" s="315" t="s">
        <v>2447</v>
      </c>
      <c r="BU887" s="371" t="s">
        <v>3931</v>
      </c>
      <c r="BV887" s="71"/>
      <c r="BW887" s="79" t="s">
        <v>152</v>
      </c>
      <c r="BX887" s="79" t="s">
        <v>179</v>
      </c>
      <c r="BY887" s="71"/>
      <c r="BZ887" s="79"/>
      <c r="CA887" s="79"/>
      <c r="CB887" s="79">
        <f>BZ887+CA887</f>
        <v>0</v>
      </c>
      <c r="CC887" s="79" t="str">
        <f>_xlfn.TEXTJOIN(", ",TRUE,$CD887:$CF887)</f>
        <v/>
      </c>
      <c r="CD887" s="79"/>
      <c r="CE887" s="79"/>
      <c r="CF887" s="79"/>
      <c r="CG887" s="204"/>
      <c r="CH887" s="41"/>
      <c r="CI887" s="79"/>
      <c r="CJ887" s="71"/>
      <c r="CK887" s="79">
        <f>COUNTIF(CL887:CQ887,"*")</f>
        <v>0</v>
      </c>
      <c r="CL887" s="79"/>
      <c r="CM887" s="79"/>
      <c r="CN887" s="79"/>
      <c r="CO887" s="79"/>
      <c r="CP887" s="79"/>
      <c r="CQ887" s="79"/>
      <c r="CR887" s="83"/>
      <c r="CS887" s="83"/>
      <c r="CT887" s="83"/>
      <c r="CU887" s="83"/>
      <c r="CV887" s="83"/>
      <c r="CW887" s="83"/>
      <c r="CX887" s="79"/>
      <c r="CY887" s="79">
        <f>SUM(COUNTIF(CR887:CW887,"Realizado y Devuelto a la Ciudadanía"),COUNTIF(CR887:CW887,"Realizado y Trasladado por competencia"), COUNTIF(CR887:CW887,"Realizado y Gestionado"))</f>
        <v>0</v>
      </c>
      <c r="CZ887" s="79">
        <v>0</v>
      </c>
      <c r="DA887" s="79">
        <f>COUNTIF(CR887:CW887,"Realizado y Devuelto a la Ciudadanía")</f>
        <v>0</v>
      </c>
      <c r="DB887" s="84" t="str">
        <f>IFERROR(CY887/CK887,"")</f>
        <v/>
      </c>
      <c r="DC887" s="41"/>
      <c r="DD887" s="79"/>
      <c r="DE887" s="71"/>
      <c r="DF887" s="127" t="s">
        <v>6020</v>
      </c>
      <c r="DG887" s="79"/>
      <c r="DH887" s="86">
        <f>IF(EE887="Por completar",C887+3,"Completo")</f>
        <v>45543</v>
      </c>
      <c r="DI887" s="79"/>
      <c r="DJ887" s="79"/>
      <c r="DK887" s="79"/>
      <c r="DL887" s="79">
        <v>0</v>
      </c>
      <c r="DM887" s="79">
        <v>0</v>
      </c>
      <c r="DN887" s="79"/>
      <c r="DO887" s="79"/>
      <c r="DP887" s="79"/>
      <c r="DQ887" s="79"/>
      <c r="DR887" s="75" t="str">
        <f>IF(H887="SÍ", (DQ887/(BZ887*0.3)), "No aplica")</f>
        <v>No aplica</v>
      </c>
      <c r="DS887" s="79"/>
      <c r="DT887" s="79"/>
      <c r="DU887" s="75" t="str">
        <f>IF(H887="SÍ", (DT887/(BZ887*0.35)), "No aplica")</f>
        <v>No aplica</v>
      </c>
      <c r="DV887" s="79"/>
      <c r="DW887" s="79"/>
      <c r="DX887" s="79"/>
      <c r="DY887" s="79"/>
      <c r="DZ887" s="79"/>
      <c r="EA887" s="79"/>
      <c r="EB887" s="79"/>
      <c r="EC887" s="79"/>
      <c r="ED887" s="79"/>
      <c r="EE887" s="79" t="str">
        <f>IF(DI887="Subsanado","Completo","Por Completar")</f>
        <v>Por Completar</v>
      </c>
      <c r="EF887" s="41"/>
      <c r="EG887" s="79"/>
      <c r="EH887" s="71"/>
      <c r="EI887" s="80"/>
      <c r="EJ887" s="71"/>
      <c r="EK887" s="79"/>
      <c r="EL887" s="87" t="str">
        <f>IF(F887="NO","No requiere",IF(H887="No","No requiere",IF(DW887="","",IF(DW887&lt;&gt;"No aplica",IF(DX887&lt;&gt;"No aplica",IF(DX887&gt;=2,"Sí","No"),"No aplica"),"No aplica"))))</f>
        <v>No requiere</v>
      </c>
      <c r="EM887" s="87" t="str">
        <f>IF(F887="NO","No requiere",IF(H887="No","No requiere",IF(DW887="","",IF(DW887&lt;&gt;"No aplica",IF(DY887&lt;&gt;"No aplica",IF(DY887&gt;=1,"Sí","No"),"No aplica"),"No aplica"))))</f>
        <v>No requiere</v>
      </c>
      <c r="EN887" s="87" t="str">
        <f>IF(F887="NO","No requiere",IF(H887="No","No requiere",IF(CC887="","",IF(CD887&lt;&gt;"No aplica",IF(CD887&lt;&gt;"Ninguna",IF(COUNTIF(CD887:CF887,"*")&gt;=1,"Sí","No"),"No"),"No aplica"))))</f>
        <v>No requiere</v>
      </c>
      <c r="EO887" s="71"/>
      <c r="EP887" s="84" t="str">
        <f>IF(F887="NO","No requiere",IF(H887="No","No requiere",IF(DL887="","",IF(DL887&gt;=1,DM887/DL887,"No aplica"))))</f>
        <v>No requiere</v>
      </c>
      <c r="EQ887" s="88" t="str">
        <f>IFERROR(IF(F887="NO","No requiere",IF(H887="No","No requiere",DU887)),"")</f>
        <v>No requiere</v>
      </c>
      <c r="ER887" s="71"/>
      <c r="ES887" s="79"/>
      <c r="ET887" s="84" t="str">
        <f>IF(F887="NO","No requiere",IF(H887="No","No requiere",IFERROR(COUNTIF(DJ887:DW887,"Completo")/SUM(COUNTIF(DJ887:DW887,"Completo"),COUNTIF(DJ887:DW887,"Incompleto"),COUNTIF(DJ887:DW887,"No subido"),COUNTIF(DJ887:DW887,"No existente"),COUNTIF(DJ887:DW887,"Pendiente")),"")))</f>
        <v>No requiere</v>
      </c>
      <c r="EU887" s="84" t="str">
        <f>IF(F887="NO","No requiere",IF(H887="No","No requiere",IF(#REF!="","",IF(CX887="SÍ",IF(CK887&gt;=1,CY887/CK887,"Sin compromisos"),"Por verificar"))))</f>
        <v>No requiere</v>
      </c>
      <c r="EV887" s="84" t="str">
        <f>IF(EU887="Por verificar","Por verificar",IF(F887="NO","No requiere",IF(H887="No","No requiere",IFERROR(IF(EU887="","",IF(CK887&gt;=1,DA887/CZ887,"No aplica")),"No aplica"))))</f>
        <v>No requiere</v>
      </c>
      <c r="EW887" s="84" t="str">
        <f>IF(F887="NO","No requiere",IF(H887="No","No requiere",IFERROR(IF(BZ887="","",IF(EA887&lt;&gt;"No aplica",IF(EA887&gt;=1,DO887/EA887,"0%"),"No aplica")),"")))</f>
        <v>No requiere</v>
      </c>
      <c r="EX887" s="78"/>
      <c r="EY887" s="78"/>
      <c r="EZ887" s="179"/>
      <c r="FA887" s="179"/>
      <c r="FB887" s="179"/>
      <c r="FC887" s="179"/>
      <c r="FD887" s="179"/>
      <c r="FE887" s="179"/>
      <c r="FF887" s="179"/>
      <c r="FG887" s="179"/>
      <c r="FH887" s="179"/>
      <c r="FI887" s="179"/>
      <c r="FJ887" s="179"/>
      <c r="FK887" s="179"/>
      <c r="FL887" s="179"/>
      <c r="FM887" s="179"/>
      <c r="FN887" s="179"/>
      <c r="FO887" s="179"/>
      <c r="FP887" s="179"/>
      <c r="FQ887" s="179"/>
      <c r="FR887" s="179"/>
      <c r="FS887" s="179"/>
      <c r="FT887" s="179"/>
      <c r="FU887" s="179"/>
      <c r="FV887" s="179"/>
      <c r="FW887" s="179"/>
      <c r="FX887" s="179"/>
      <c r="FY887" s="179"/>
      <c r="FZ887" s="179"/>
      <c r="GA887" s="179"/>
      <c r="GB887" s="179"/>
      <c r="GC887" s="179"/>
      <c r="GD887" s="179"/>
      <c r="GE887" s="179"/>
      <c r="GF887" s="179"/>
      <c r="GG887" s="179"/>
      <c r="GH887" s="179"/>
      <c r="GI887" s="179"/>
      <c r="GJ887" s="179"/>
      <c r="GK887" s="179"/>
      <c r="GL887" s="179"/>
      <c r="GM887" s="179"/>
      <c r="GN887" s="179"/>
      <c r="GO887" s="179"/>
      <c r="GP887" s="179"/>
      <c r="GQ887" s="179"/>
      <c r="GR887" s="179"/>
      <c r="GS887" s="179"/>
      <c r="GT887" s="179"/>
      <c r="GU887" s="179"/>
      <c r="GV887" s="179"/>
      <c r="GW887" s="179"/>
      <c r="GX887" s="179"/>
      <c r="GY887" s="179"/>
      <c r="GZ887" s="179"/>
      <c r="HA887" s="179"/>
      <c r="HB887" s="179"/>
      <c r="HC887" s="179"/>
      <c r="HD887" s="179"/>
      <c r="HE887" s="179"/>
      <c r="HF887" s="179"/>
      <c r="HG887" s="179"/>
    </row>
    <row r="888" spans="1:215" ht="66.75" customHeight="1">
      <c r="A888" s="79">
        <v>884</v>
      </c>
      <c r="B888" s="80" t="s">
        <v>6021</v>
      </c>
      <c r="C888" s="81">
        <v>45540</v>
      </c>
      <c r="D888" s="82">
        <v>0.375</v>
      </c>
      <c r="E888" s="79" t="s">
        <v>151</v>
      </c>
      <c r="F888" s="79" t="s">
        <v>153</v>
      </c>
      <c r="G888" s="79" t="s">
        <v>152</v>
      </c>
      <c r="H888" s="79" t="s">
        <v>152</v>
      </c>
      <c r="I888" s="79" t="s">
        <v>152</v>
      </c>
      <c r="J888" s="79" t="s">
        <v>272</v>
      </c>
      <c r="K888" s="79" t="s">
        <v>155</v>
      </c>
      <c r="L888" s="80" t="s">
        <v>6022</v>
      </c>
      <c r="M888" s="80" t="s">
        <v>157</v>
      </c>
      <c r="N888" s="79" t="s">
        <v>749</v>
      </c>
      <c r="O888" s="80" t="str">
        <f>_xlfn.TEXTJOIN(", ",TRUE,P888:AN888)</f>
        <v>Armando Alberto Montañez</v>
      </c>
      <c r="P888" s="79" t="s">
        <v>1387</v>
      </c>
      <c r="Q888" s="79"/>
      <c r="R888" s="79"/>
      <c r="S888" s="161"/>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t="s">
        <v>304</v>
      </c>
      <c r="AP888" s="79"/>
      <c r="AQ888" s="80" t="s">
        <v>5210</v>
      </c>
      <c r="AR888" s="83" t="s">
        <v>2537</v>
      </c>
      <c r="AS888" s="80" t="s">
        <v>5211</v>
      </c>
      <c r="AT888" s="80" t="str">
        <f>_xlfn.TEXTJOIN(", ",TRUE,$AU888:$AY888)</f>
        <v>Teusaquillo</v>
      </c>
      <c r="AU888" s="79" t="s">
        <v>1004</v>
      </c>
      <c r="AV888" s="79"/>
      <c r="AW888" s="79"/>
      <c r="AX888" s="79"/>
      <c r="AY888" s="79"/>
      <c r="AZ888" s="79"/>
      <c r="BA888" s="80" t="str">
        <f>_xlfn.TEXTJOIN(", ",TRUE,$BB888:$BG888)</f>
        <v>Centro Ampliado</v>
      </c>
      <c r="BB888" s="79" t="s">
        <v>636</v>
      </c>
      <c r="BC888" s="79"/>
      <c r="BD888" s="79"/>
      <c r="BE888" s="79"/>
      <c r="BF888" s="79"/>
      <c r="BG888" s="79"/>
      <c r="BH888" s="80" t="str">
        <f>_xlfn.TEXTJOIN(", ",TRUE,$BI888:$BR888)</f>
        <v>Teusaquillo</v>
      </c>
      <c r="BI888" s="79" t="s">
        <v>1004</v>
      </c>
      <c r="BJ888" s="79"/>
      <c r="BK888" s="79"/>
      <c r="BL888" s="79"/>
      <c r="BM888" s="79"/>
      <c r="BN888" s="79"/>
      <c r="BO888" s="79"/>
      <c r="BP888" s="79"/>
      <c r="BQ888" s="79"/>
      <c r="BR888" s="79"/>
      <c r="BS888" s="80" t="s">
        <v>2518</v>
      </c>
      <c r="BT888" s="80" t="s">
        <v>2447</v>
      </c>
      <c r="BU888" s="68" t="s">
        <v>6023</v>
      </c>
      <c r="BV888" s="71"/>
      <c r="BW888" s="79" t="s">
        <v>152</v>
      </c>
      <c r="BX888" s="79" t="s">
        <v>179</v>
      </c>
      <c r="BY888" s="71"/>
      <c r="BZ888" s="79">
        <v>20</v>
      </c>
      <c r="CA888" s="79">
        <v>2</v>
      </c>
      <c r="CB888" s="79">
        <f>BZ888+CA888</f>
        <v>22</v>
      </c>
      <c r="CC888" s="79" t="str">
        <f>_xlfn.TEXTJOIN(", ",TRUE,$CD888:$CF888)</f>
        <v>Ninguna</v>
      </c>
      <c r="CD888" s="79" t="s">
        <v>174</v>
      </c>
      <c r="CE888" s="79"/>
      <c r="CF888" s="79"/>
      <c r="CG888" s="83" t="s">
        <v>6024</v>
      </c>
      <c r="CH888" s="41"/>
      <c r="CI888" s="79"/>
      <c r="CJ888" s="71"/>
      <c r="CK888" s="79">
        <v>0</v>
      </c>
      <c r="CL888" s="79"/>
      <c r="CM888" s="79"/>
      <c r="CN888" s="79"/>
      <c r="CO888" s="79"/>
      <c r="CP888" s="79"/>
      <c r="CQ888" s="79"/>
      <c r="CR888" s="83"/>
      <c r="CS888" s="83"/>
      <c r="CT888" s="83"/>
      <c r="CU888" s="83"/>
      <c r="CV888" s="83"/>
      <c r="CW888" s="83"/>
      <c r="CX888" s="79"/>
      <c r="CY888" s="79">
        <v>0</v>
      </c>
      <c r="CZ888" s="79">
        <v>0</v>
      </c>
      <c r="DA888" s="79">
        <v>0</v>
      </c>
      <c r="DB888" s="84" t="s">
        <v>316</v>
      </c>
      <c r="DC888" s="41"/>
      <c r="DD888" s="79"/>
      <c r="DE888" s="71"/>
      <c r="DF888" s="127" t="s">
        <v>6025</v>
      </c>
      <c r="DG888" s="79"/>
      <c r="DH888" s="86">
        <f>IF(EE888="Por completar",C888+3,"Completo")</f>
        <v>45543</v>
      </c>
      <c r="DI888" s="79"/>
      <c r="DJ888" s="79"/>
      <c r="DK888" s="79"/>
      <c r="DL888" s="79">
        <v>0</v>
      </c>
      <c r="DM888" s="79">
        <v>0</v>
      </c>
      <c r="DN888" s="79"/>
      <c r="DO888" s="79"/>
      <c r="DP888" s="79"/>
      <c r="DQ888" s="79"/>
      <c r="DR888" s="75" t="s">
        <v>179</v>
      </c>
      <c r="DS888" s="79"/>
      <c r="DT888" s="79"/>
      <c r="DU888" s="75" t="str">
        <f>IF(H888="SÍ", (DT888/(BZ888*0.35)), "No aplica")</f>
        <v>No aplica</v>
      </c>
      <c r="DV888" s="79"/>
      <c r="DW888" s="79"/>
      <c r="DX888" s="79"/>
      <c r="DY888" s="79"/>
      <c r="DZ888" s="79"/>
      <c r="EA888" s="79"/>
      <c r="EB888" s="79"/>
      <c r="EC888" s="79"/>
      <c r="ED888" s="79"/>
      <c r="EE888" s="79" t="str">
        <f>IF(DI888="Subsanado","Completo","Por Completar")</f>
        <v>Por Completar</v>
      </c>
      <c r="EF888" s="41"/>
      <c r="EG888" s="79"/>
      <c r="EH888" s="71"/>
      <c r="EI888" s="80"/>
      <c r="EJ888" s="71"/>
      <c r="EK888" s="79"/>
      <c r="EL888" s="87" t="str">
        <f>IF(F888="NO","No requiere",IF(H888="No","No requiere",IF(DW888="","",IF(DW888&lt;&gt;"No aplica",IF(DX888&lt;&gt;"No aplica",IF(DX888&gt;=2,"Sí","No"),"No aplica"),"No aplica"))))</f>
        <v>No requiere</v>
      </c>
      <c r="EM888" s="87" t="str">
        <f>IF(F888="NO","No requiere",IF(H888="No","No requiere",IF(DW888="","",IF(DW888&lt;&gt;"No aplica",IF(DY888&lt;&gt;"No aplica",IF(DY888&gt;=1,"Sí","No"),"No aplica"),"No aplica"))))</f>
        <v>No requiere</v>
      </c>
      <c r="EN888" s="87" t="str">
        <f>IF(F888="NO","No requiere",IF(H888="No","No requiere",IF(CC888="","",IF(CD888&lt;&gt;"No aplica",IF(CD888&lt;&gt;"Ninguna",IF(COUNTIF(CD888:CF888,"*")&gt;=1,"Sí","No"),"No"),"No aplica"))))</f>
        <v>No requiere</v>
      </c>
      <c r="EO888" s="71"/>
      <c r="EP888" s="84" t="s">
        <v>179</v>
      </c>
      <c r="EQ888" s="88" t="s">
        <v>179</v>
      </c>
      <c r="ER888" s="71"/>
      <c r="ES888" s="79"/>
      <c r="ET888" s="84" t="str">
        <f>IF(F888="NO","No requiere",IF(H888="No","No requiere",IFERROR(COUNTIF(DJ888:DW888,"Completo")/SUM(COUNTIF(DJ888:DW888,"Completo"),COUNTIF(DJ888:DW888,"Incompleto"),COUNTIF(DJ888:DW888,"No subido"),COUNTIF(DJ888:DW888,"No existente"),COUNTIF(DJ888:DW888,"Pendiente")),"")))</f>
        <v>No requiere</v>
      </c>
      <c r="EU888" s="84" t="str">
        <f>IF(F888="NO","No requiere",IF(H888="No","No requiere",IF(B888="","",IF(CX888="SÍ",IF(CK888&gt;=1,CY888/CK888,"Sin compromisos"),"Por verificar"))))</f>
        <v>No requiere</v>
      </c>
      <c r="EV888" s="84" t="str">
        <f>IF(EU888="Por verificar","Por verificar",IF(F888="NO","No requiere",IF(H888="No","No requiere",IFERROR(IF(EU888="","",IF(CK888&gt;=1,DA888/CZ888,"No aplica")),"No aplica"))))</f>
        <v>No requiere</v>
      </c>
      <c r="EW888" s="84" t="str">
        <f>IF(F888="NO","No requiere",IF(H888="No","No requiere",IFERROR(IF(BZ888="","",IF(EA888&lt;&gt;"No aplica",IF(EA888&gt;=1,DO888/EA888,"0%"),"No aplica")),"")))</f>
        <v>No requiere</v>
      </c>
      <c r="EX888" s="78"/>
      <c r="EY888" s="78"/>
    </row>
    <row r="889" spans="1:215" ht="66.75" customHeight="1">
      <c r="A889" s="79" t="str">
        <v/>
      </c>
      <c r="B889" s="80" t="s">
        <v>6026</v>
      </c>
      <c r="C889" s="81">
        <v>45540</v>
      </c>
      <c r="D889" s="82">
        <v>0.41666666666666669</v>
      </c>
      <c r="E889" s="79" t="s">
        <v>151</v>
      </c>
      <c r="F889" s="79" t="s">
        <v>152</v>
      </c>
      <c r="G889" s="79" t="s">
        <v>152</v>
      </c>
      <c r="H889" s="79" t="s">
        <v>152</v>
      </c>
      <c r="I889" s="79" t="s">
        <v>152</v>
      </c>
      <c r="J889" s="79" t="s">
        <v>3297</v>
      </c>
      <c r="K889" s="79" t="s">
        <v>202</v>
      </c>
      <c r="L889" s="80" t="s">
        <v>6027</v>
      </c>
      <c r="M889" s="80" t="s">
        <v>624</v>
      </c>
      <c r="N889" s="79" t="s">
        <v>5867</v>
      </c>
      <c r="O889" s="80" t="str">
        <f t="shared" ref="O889" si="1187">_xlfn.TEXTJOIN(", ",TRUE,P889:AN889)</f>
        <v>Luna Paulina Benjumea</v>
      </c>
      <c r="P889" s="79" t="s">
        <v>4960</v>
      </c>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t="s">
        <v>304</v>
      </c>
      <c r="AP889" s="79"/>
      <c r="AQ889" s="80" t="s">
        <v>171</v>
      </c>
      <c r="AR889" s="80" t="s">
        <v>171</v>
      </c>
      <c r="AS889" s="80" t="s">
        <v>171</v>
      </c>
      <c r="AT889" s="80" t="str">
        <f>_xlfn.TEXTJOIN(", ",TRUE,$AU889:$AY889)</f>
        <v>Distrital</v>
      </c>
      <c r="AU889" s="79" t="s">
        <v>172</v>
      </c>
      <c r="AV889" s="79"/>
      <c r="AW889" s="79"/>
      <c r="AX889" s="79"/>
      <c r="AY889" s="79"/>
      <c r="AZ889" s="79"/>
      <c r="BA889" s="80" t="str">
        <f>_xlfn.TEXTJOIN(", ",TRUE,$BB889:$BG889)</f>
        <v>Distrital</v>
      </c>
      <c r="BB889" s="79" t="s">
        <v>172</v>
      </c>
      <c r="BC889" s="79"/>
      <c r="BD889" s="79"/>
      <c r="BE889" s="79"/>
      <c r="BF889" s="79"/>
      <c r="BG889" s="79"/>
      <c r="BH889" s="80" t="str">
        <f>_xlfn.TEXTJOIN(", ",TRUE,$BI889:$BR889)</f>
        <v>Distrital</v>
      </c>
      <c r="BI889" s="79" t="s">
        <v>172</v>
      </c>
      <c r="BJ889" s="79"/>
      <c r="BK889" s="79"/>
      <c r="BL889" s="79"/>
      <c r="BM889" s="79"/>
      <c r="BN889" s="79"/>
      <c r="BO889" s="79"/>
      <c r="BP889" s="79"/>
      <c r="BQ889" s="79"/>
      <c r="BR889" s="79"/>
      <c r="BS889" s="80" t="s">
        <v>179</v>
      </c>
      <c r="BT889" s="80" t="s">
        <v>2447</v>
      </c>
      <c r="BU889" s="128" t="s">
        <v>3931</v>
      </c>
      <c r="BV889" s="71"/>
      <c r="BW889" s="79" t="s">
        <v>152</v>
      </c>
      <c r="BX889" s="79" t="s">
        <v>179</v>
      </c>
      <c r="BY889" s="71"/>
      <c r="BZ889" s="79"/>
      <c r="CA889" s="79"/>
      <c r="CB889" s="79">
        <f t="shared" ref="CB889" si="1188">BZ889+CA889</f>
        <v>0</v>
      </c>
      <c r="CC889" s="79" t="str">
        <f t="shared" si="382"/>
        <v/>
      </c>
      <c r="CD889" s="79"/>
      <c r="CE889" s="79"/>
      <c r="CF889" s="79"/>
      <c r="CG889" s="83"/>
      <c r="CH889" s="41"/>
      <c r="CI889" s="79"/>
      <c r="CJ889" s="71"/>
      <c r="CK889" s="79">
        <f t="shared" ref="CK889" si="1189">COUNTIF(CL889:CQ889,"*")</f>
        <v>0</v>
      </c>
      <c r="CL889" s="79"/>
      <c r="CM889" s="79"/>
      <c r="CN889" s="79"/>
      <c r="CO889" s="79"/>
      <c r="CP889" s="79"/>
      <c r="CQ889" s="79"/>
      <c r="CR889" s="83"/>
      <c r="CS889" s="83"/>
      <c r="CT889" s="83"/>
      <c r="CU889" s="83"/>
      <c r="CV889" s="83"/>
      <c r="CW889" s="83"/>
      <c r="CX889" s="79"/>
      <c r="CY889" s="79">
        <f t="shared" ref="CY889" si="1190">SUM(COUNTIF(CR889:CW889,"Realizado y Devuelto a la Ciudadanía"),COUNTIF(CR889:CW889,"Realizado y Trasladado por competencia"), COUNTIF(CR889:CW889,"Realizado y Gestionado"))</f>
        <v>0</v>
      </c>
      <c r="CZ889" s="79">
        <v>0</v>
      </c>
      <c r="DA889" s="79">
        <f t="shared" ref="DA889" si="1191">COUNTIF(CR889:CW889,"Realizado y Devuelto a la Ciudadanía")</f>
        <v>0</v>
      </c>
      <c r="DB889" s="84" t="str">
        <f t="shared" ref="DB889" si="1192">IFERROR(CY889/CK889,"")</f>
        <v/>
      </c>
      <c r="DC889" s="41"/>
      <c r="DD889" s="79"/>
      <c r="DE889" s="71"/>
      <c r="DF889" s="127" t="s">
        <v>6028</v>
      </c>
      <c r="DG889" s="79"/>
      <c r="DH889" s="86">
        <f t="shared" ref="DH889" si="1193">IF(EE889="Por completar",C889+3,"Completo")</f>
        <v>45543</v>
      </c>
      <c r="DI889" s="79"/>
      <c r="DJ889" s="79"/>
      <c r="DK889" s="79"/>
      <c r="DL889" s="79">
        <v>0</v>
      </c>
      <c r="DM889" s="79">
        <v>0</v>
      </c>
      <c r="DN889" s="79"/>
      <c r="DO889" s="79"/>
      <c r="DP889" s="79"/>
      <c r="DQ889" s="79"/>
      <c r="DR889" s="75" t="str">
        <f t="shared" ref="DR889" si="1194">IF(H889="SÍ", (DQ889/(BZ889*0.3)), "No aplica")</f>
        <v>No aplica</v>
      </c>
      <c r="DS889" s="79"/>
      <c r="DT889" s="79"/>
      <c r="DU889" s="75" t="str">
        <f t="shared" ref="DU889" si="1195">IF(H889="SÍ", (DT889/(BZ889*0.35)), "No aplica")</f>
        <v>No aplica</v>
      </c>
      <c r="DV889" s="79"/>
      <c r="DW889" s="79"/>
      <c r="DX889" s="79"/>
      <c r="DY889" s="79"/>
      <c r="DZ889" s="79"/>
      <c r="EA889" s="79"/>
      <c r="EB889" s="79"/>
      <c r="EC889" s="79"/>
      <c r="ED889" s="79"/>
      <c r="EE889" s="79" t="str">
        <f t="shared" ref="EE889" si="1196">IF(DI889="Subsanado","Completo","Por Completar")</f>
        <v>Por Completar</v>
      </c>
      <c r="EF889" s="41"/>
      <c r="EG889" s="79"/>
      <c r="EH889" s="71"/>
      <c r="EI889" s="80"/>
      <c r="EJ889" s="71"/>
      <c r="EK889" s="79"/>
      <c r="EL889" s="87" t="str">
        <f t="shared" ref="EL889" si="1197">IF(F889="NO","No requiere",IF(H889="No","No requiere",IF(DW889="","",IF(DW889&lt;&gt;"No aplica",IF(DX889&lt;&gt;"No aplica",IF(DX889&gt;=2,"Sí","No"),"No aplica"),"No aplica"))))</f>
        <v>No requiere</v>
      </c>
      <c r="EM889" s="87" t="str">
        <f t="shared" ref="EM889" si="1198">IF(F889="NO","No requiere",IF(H889="No","No requiere",IF(DW889="","",IF(DW889&lt;&gt;"No aplica",IF(DY889&lt;&gt;"No aplica",IF(DY889&gt;=1,"Sí","No"),"No aplica"),"No aplica"))))</f>
        <v>No requiere</v>
      </c>
      <c r="EN889" s="87" t="str">
        <f t="shared" ref="EN889" si="1199">IF(F889="NO","No requiere",IF(H889="No","No requiere",IF(CC889="","",IF(CD889&lt;&gt;"No aplica",IF(CD889&lt;&gt;"Ninguna",IF(COUNTIF(CD889:CF889,"*")&gt;=1,"Sí","No"),"No"),"No aplica"))))</f>
        <v>No requiere</v>
      </c>
      <c r="EO889" s="71"/>
      <c r="EP889" s="84" t="str">
        <f t="shared" ref="EP889" si="1200">IF(F889="NO","No requiere",IF(H889="No","No requiere",IF(DL889="","",IF(DL889&gt;=1,DM889/DL889,"No aplica"))))</f>
        <v>No requiere</v>
      </c>
      <c r="EQ889" s="88" t="str">
        <f t="shared" ref="EQ889" si="1201">IFERROR(IF(F889="NO","No requiere",IF(H889="No","No requiere",DU889)),"")</f>
        <v>No requiere</v>
      </c>
      <c r="ER889" s="71"/>
      <c r="ES889" s="79"/>
      <c r="ET889" s="84" t="str">
        <f t="shared" ref="ET889" si="1202">IF(F889="NO","No requiere",IF(H889="No","No requiere",IFERROR(COUNTIF(DJ889:DW889,"Completo")/SUM(COUNTIF(DJ889:DW889,"Completo"),COUNTIF(DJ889:DW889,"Incompleto"),COUNTIF(DJ889:DW889,"No subido"),COUNTIF(DJ889:DW889,"No existente"),COUNTIF(DJ889:DW889,"Pendiente")),"")))</f>
        <v>No requiere</v>
      </c>
      <c r="EU889" s="84" t="str">
        <f>IF(F889="NO","No requiere",IF(H889="No","No requiere",IF(#REF!="","",IF(CX889="SÍ",IF(CK889&gt;=1,CY889/CK889,"Sin compromisos"),"Por verificar"))))</f>
        <v>No requiere</v>
      </c>
      <c r="EV889" s="84" t="str">
        <f t="shared" ref="EV889" si="1203">IF(EU889="Por verificar","Por verificar",IF(F889="NO","No requiere",IF(H889="No","No requiere",IFERROR(IF(EU889="","",IF(CK889&gt;=1,DA889/CZ889,"No aplica")),"No aplica"))))</f>
        <v>No requiere</v>
      </c>
      <c r="EW889" s="84" t="str">
        <f t="shared" ref="EW889" si="1204">IF(F889="NO","No requiere",IF(H889="No","No requiere",IFERROR(IF(BZ889="","",IF(EA889&lt;&gt;"No aplica",IF(EA889&gt;=1,DO889/EA889,"0%"),"No aplica")),"")))</f>
        <v>No requiere</v>
      </c>
      <c r="EX889" s="78"/>
      <c r="EY889" s="78"/>
    </row>
    <row r="890" spans="1:215" ht="66.75" customHeight="1">
      <c r="A890" s="79">
        <v>886</v>
      </c>
      <c r="B890" s="80" t="s">
        <v>6029</v>
      </c>
      <c r="C890" s="81">
        <v>45540</v>
      </c>
      <c r="D890" s="82">
        <v>0.58333333333333337</v>
      </c>
      <c r="E890" s="79" t="s">
        <v>200</v>
      </c>
      <c r="F890" s="79" t="s">
        <v>153</v>
      </c>
      <c r="G890" s="79" t="s">
        <v>152</v>
      </c>
      <c r="H890" s="79" t="s">
        <v>152</v>
      </c>
      <c r="I890" s="79" t="s">
        <v>152</v>
      </c>
      <c r="J890" s="79" t="s">
        <v>504</v>
      </c>
      <c r="K890" s="79" t="s">
        <v>202</v>
      </c>
      <c r="L890" s="80" t="s">
        <v>6030</v>
      </c>
      <c r="M890" s="80" t="s">
        <v>624</v>
      </c>
      <c r="N890" s="79" t="s">
        <v>5913</v>
      </c>
      <c r="O890" s="80"/>
      <c r="P890" s="79"/>
      <c r="Q890" s="79"/>
      <c r="R890" s="79"/>
      <c r="S890" s="161"/>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t="s">
        <v>169</v>
      </c>
      <c r="AP890" s="79" t="s">
        <v>2702</v>
      </c>
      <c r="AQ890" s="80" t="s">
        <v>3835</v>
      </c>
      <c r="AR890" s="83" t="s">
        <v>4915</v>
      </c>
      <c r="AS890" s="80" t="s">
        <v>6031</v>
      </c>
      <c r="AT890" s="80" t="str">
        <f>_xlfn.TEXTJOIN(", ",TRUE,$AU890:$AY890)</f>
        <v>Suba</v>
      </c>
      <c r="AU890" s="79" t="s">
        <v>602</v>
      </c>
      <c r="AV890" s="79"/>
      <c r="AW890" s="79"/>
      <c r="AX890" s="79"/>
      <c r="AY890" s="79"/>
      <c r="AZ890" s="79"/>
      <c r="BA890" s="80" t="str">
        <f>_xlfn.TEXTJOIN(", ",TRUE,$BB890:$BG890)</f>
        <v>Norte</v>
      </c>
      <c r="BB890" s="79" t="s">
        <v>662</v>
      </c>
      <c r="BC890" s="79"/>
      <c r="BD890" s="79"/>
      <c r="BE890" s="79"/>
      <c r="BF890" s="79"/>
      <c r="BG890" s="79"/>
      <c r="BH890" s="80" t="str">
        <f>_xlfn.TEXTJOIN(", ",TRUE,$BI890:$BR890)</f>
        <v>Suba</v>
      </c>
      <c r="BI890" s="79" t="s">
        <v>602</v>
      </c>
      <c r="BJ890" s="79"/>
      <c r="BK890" s="79"/>
      <c r="BL890" s="79"/>
      <c r="BM890" s="79"/>
      <c r="BN890" s="79"/>
      <c r="BO890" s="79"/>
      <c r="BP890" s="79"/>
      <c r="BQ890" s="79"/>
      <c r="BR890" s="79"/>
      <c r="BS890" s="80" t="s">
        <v>179</v>
      </c>
      <c r="BT890" s="315" t="s">
        <v>2447</v>
      </c>
      <c r="BU890" s="370" t="s">
        <v>3931</v>
      </c>
      <c r="BV890" s="71"/>
      <c r="BW890" s="79" t="s">
        <v>152</v>
      </c>
      <c r="BX890" s="79" t="s">
        <v>179</v>
      </c>
      <c r="BY890" s="71"/>
      <c r="BZ890" s="79"/>
      <c r="CA890" s="79"/>
      <c r="CB890" s="79"/>
      <c r="CC890" s="79"/>
      <c r="CD890" s="79"/>
      <c r="CE890" s="79"/>
      <c r="CF890" s="165"/>
      <c r="CG890" s="318"/>
      <c r="CH890" s="41"/>
      <c r="CI890" s="79"/>
      <c r="CJ890" s="71"/>
      <c r="CK890" s="79"/>
      <c r="CL890" s="79"/>
      <c r="CM890" s="79"/>
      <c r="CN890" s="79"/>
      <c r="CO890" s="79"/>
      <c r="CP890" s="79"/>
      <c r="CQ890" s="79"/>
      <c r="CR890" s="83"/>
      <c r="CS890" s="83"/>
      <c r="CT890" s="83"/>
      <c r="CU890" s="83"/>
      <c r="CV890" s="83"/>
      <c r="CW890" s="83"/>
      <c r="CX890" s="79"/>
      <c r="CY890" s="79"/>
      <c r="CZ890" s="79"/>
      <c r="DA890" s="79"/>
      <c r="DB890" s="84"/>
      <c r="DC890" s="41"/>
      <c r="DD890" s="79"/>
      <c r="DE890" s="71"/>
      <c r="DF890" s="127" t="s">
        <v>6020</v>
      </c>
      <c r="DG890" s="79"/>
      <c r="DH890" s="86">
        <f t="shared" ref="DH890" si="1205">IF(EE890="Por completar",C890+3,"Completo")</f>
        <v>45543</v>
      </c>
      <c r="DI890" s="79"/>
      <c r="DJ890" s="79"/>
      <c r="DK890" s="79"/>
      <c r="DL890" s="79">
        <v>0</v>
      </c>
      <c r="DM890" s="79">
        <v>0</v>
      </c>
      <c r="DN890" s="79"/>
      <c r="DO890" s="79"/>
      <c r="DP890" s="79"/>
      <c r="DQ890" s="79"/>
      <c r="DR890" s="75" t="str">
        <f t="shared" ref="DR890" si="1206">IF(H890="SÍ", (DQ890/(BZ890*0.3)), "No aplica")</f>
        <v>No aplica</v>
      </c>
      <c r="DS890" s="79"/>
      <c r="DT890" s="79"/>
      <c r="DU890" s="75" t="str">
        <f t="shared" ref="DU890" si="1207">IF(H890="SÍ", (DT890/(BZ890*0.35)), "No aplica")</f>
        <v>No aplica</v>
      </c>
      <c r="DV890" s="79"/>
      <c r="DW890" s="79"/>
      <c r="DX890" s="79"/>
      <c r="DY890" s="79"/>
      <c r="DZ890" s="79"/>
      <c r="EA890" s="79"/>
      <c r="EB890" s="79"/>
      <c r="EC890" s="79"/>
      <c r="ED890" s="79"/>
      <c r="EE890" s="79" t="str">
        <f t="shared" ref="EE890" si="1208">IF(DI890="Subsanado","Completo","Por Completar")</f>
        <v>Por Completar</v>
      </c>
      <c r="EF890" s="41"/>
      <c r="EG890" s="79"/>
      <c r="EH890" s="71"/>
      <c r="EI890" s="80"/>
      <c r="EJ890" s="71"/>
      <c r="EK890" s="79"/>
      <c r="EL890" s="87" t="str">
        <f t="shared" ref="EL890" si="1209">IF(F890="NO","No requiere",IF(H890="No","No requiere",IF(DW890="","",IF(DW890&lt;&gt;"No aplica",IF(DX890&lt;&gt;"No aplica",IF(DX890&gt;=2,"Sí","No"),"No aplica"),"No aplica"))))</f>
        <v>No requiere</v>
      </c>
      <c r="EM890" s="87" t="str">
        <f t="shared" ref="EM890" si="1210">IF(F890="NO","No requiere",IF(H890="No","No requiere",IF(DW890="","",IF(DW890&lt;&gt;"No aplica",IF(DY890&lt;&gt;"No aplica",IF(DY890&gt;=1,"Sí","No"),"No aplica"),"No aplica"))))</f>
        <v>No requiere</v>
      </c>
      <c r="EN890" s="87" t="str">
        <f t="shared" ref="EN890" si="1211">IF(F890="NO","No requiere",IF(H890="No","No requiere",IF(CC890="","",IF(CD890&lt;&gt;"No aplica",IF(CD890&lt;&gt;"Ninguna",IF(COUNTIF(CD890:CF890,"*")&gt;=1,"Sí","No"),"No"),"No aplica"))))</f>
        <v>No requiere</v>
      </c>
      <c r="EO890" s="71"/>
      <c r="EP890" s="84" t="str">
        <f t="shared" ref="EP890" si="1212">IF(F890="NO","No requiere",IF(H890="No","No requiere",IF(DL890="","",IF(DL890&gt;=1,DM890/DL890,"No aplica"))))</f>
        <v>No requiere</v>
      </c>
      <c r="EQ890" s="88" t="str">
        <f t="shared" ref="EQ890" si="1213">IFERROR(IF(F890="NO","No requiere",IF(H890="No","No requiere",DU890)),"")</f>
        <v>No requiere</v>
      </c>
      <c r="ER890" s="71"/>
      <c r="ES890" s="79"/>
      <c r="ET890" s="84" t="str">
        <f t="shared" ref="ET890" si="1214">IF(F890="NO","No requiere",IF(H890="No","No requiere",IFERROR(COUNTIF(DJ890:DW890,"Completo")/SUM(COUNTIF(DJ890:DW890,"Completo"),COUNTIF(DJ890:DW890,"Incompleto"),COUNTIF(DJ890:DW890,"No subido"),COUNTIF(DJ890:DW890,"No existente"),COUNTIF(DJ890:DW890,"Pendiente")),"")))</f>
        <v>No requiere</v>
      </c>
      <c r="EU890" s="84" t="str">
        <f>IF(F890="NO","No requiere",IF(H890="No","No requiere",IF(#REF!="","",IF(CX890="SÍ",IF(CK890&gt;=1,CY890/CK890,"Sin compromisos"),"Por verificar"))))</f>
        <v>No requiere</v>
      </c>
      <c r="EV890" s="84" t="str">
        <f t="shared" ref="EV890" si="1215">IF(EU890="Por verificar","Por verificar",IF(F890="NO","No requiere",IF(H890="No","No requiere",IFERROR(IF(EU890="","",IF(CK890&gt;=1,DA890/CZ890,"No aplica")),"No aplica"))))</f>
        <v>No requiere</v>
      </c>
      <c r="EW890" s="84" t="str">
        <f t="shared" ref="EW890" si="1216">IF(F890="NO","No requiere",IF(H890="No","No requiere",IFERROR(IF(BZ890="","",IF(EA890&lt;&gt;"No aplica",IF(EA890&gt;=1,DO890/EA890,"0%"),"No aplica")),"")))</f>
        <v>No requiere</v>
      </c>
      <c r="EX890" s="78"/>
      <c r="EY890" s="78"/>
    </row>
    <row r="891" spans="1:215" s="350" customFormat="1" ht="40.5" customHeight="1">
      <c r="A891" s="79">
        <v>887</v>
      </c>
      <c r="B891" s="80" t="s">
        <v>6032</v>
      </c>
      <c r="C891" s="81">
        <v>45540</v>
      </c>
      <c r="D891" s="82">
        <v>0.60416666666666663</v>
      </c>
      <c r="E891" s="79" t="s">
        <v>151</v>
      </c>
      <c r="F891" s="372" t="s">
        <v>153</v>
      </c>
      <c r="G891" s="79" t="s">
        <v>152</v>
      </c>
      <c r="H891" s="79" t="s">
        <v>152</v>
      </c>
      <c r="I891" s="79" t="s">
        <v>152</v>
      </c>
      <c r="J891" s="79" t="s">
        <v>2153</v>
      </c>
      <c r="K891" s="79" t="s">
        <v>155</v>
      </c>
      <c r="L891" s="80" t="s">
        <v>6033</v>
      </c>
      <c r="M891" s="80" t="s">
        <v>624</v>
      </c>
      <c r="N891" s="79" t="s">
        <v>5852</v>
      </c>
      <c r="O891" s="80" t="str">
        <f t="shared" ref="O891:O892" si="1217">_xlfn.TEXTJOIN(", ",TRUE,P891:AN891)</f>
        <v>Mónica Lyzeth Cantor, Michael Cruz Roa, César Augusto Barrantes</v>
      </c>
      <c r="P891" s="79" t="s">
        <v>346</v>
      </c>
      <c r="Q891" s="79" t="s">
        <v>265</v>
      </c>
      <c r="R891" s="79" t="s">
        <v>729</v>
      </c>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t="s">
        <v>169</v>
      </c>
      <c r="AP891" s="79" t="s">
        <v>170</v>
      </c>
      <c r="AQ891" s="373" t="s">
        <v>171</v>
      </c>
      <c r="AR891" s="373" t="s">
        <v>171</v>
      </c>
      <c r="AS891" s="373" t="s">
        <v>171</v>
      </c>
      <c r="AT891" s="80" t="s">
        <v>172</v>
      </c>
      <c r="AU891" s="79" t="s">
        <v>172</v>
      </c>
      <c r="AV891" s="79"/>
      <c r="AW891" s="79"/>
      <c r="AX891" s="79"/>
      <c r="AY891" s="79"/>
      <c r="AZ891" s="79"/>
      <c r="BA891" s="80" t="s">
        <v>172</v>
      </c>
      <c r="BB891" s="79" t="s">
        <v>172</v>
      </c>
      <c r="BC891" s="79"/>
      <c r="BD891" s="79"/>
      <c r="BE891" s="79"/>
      <c r="BF891" s="79"/>
      <c r="BG891" s="79"/>
      <c r="BH891" s="80" t="s">
        <v>172</v>
      </c>
      <c r="BI891" s="79" t="s">
        <v>172</v>
      </c>
      <c r="BJ891" s="79"/>
      <c r="BK891" s="79"/>
      <c r="BL891" s="79"/>
      <c r="BM891" s="79"/>
      <c r="BN891" s="79"/>
      <c r="BO891" s="79"/>
      <c r="BP891" s="79"/>
      <c r="BQ891" s="79"/>
      <c r="BR891" s="79"/>
      <c r="BS891" s="80" t="s">
        <v>171</v>
      </c>
      <c r="BT891" s="315" t="s">
        <v>171</v>
      </c>
      <c r="BU891" s="80" t="s">
        <v>6034</v>
      </c>
      <c r="BV891" s="71"/>
      <c r="BW891" s="79" t="s">
        <v>152</v>
      </c>
      <c r="BX891" s="79" t="s">
        <v>179</v>
      </c>
      <c r="BY891" s="71"/>
      <c r="BZ891" s="79"/>
      <c r="CA891" s="79"/>
      <c r="CB891" s="79">
        <f t="shared" ref="CB891:CB892" si="1218">BZ891+CA891</f>
        <v>0</v>
      </c>
      <c r="CC891" s="79" t="str">
        <f t="shared" si="382"/>
        <v/>
      </c>
      <c r="CD891" s="79"/>
      <c r="CE891" s="79"/>
      <c r="CF891" s="79"/>
      <c r="CG891" s="83"/>
      <c r="CH891" s="41"/>
      <c r="CI891" s="79"/>
      <c r="CJ891" s="71"/>
      <c r="CK891" s="79">
        <f t="shared" ref="CK891:CK892" si="1219">COUNTIF(CL891:CQ891,"*")</f>
        <v>0</v>
      </c>
      <c r="CL891" s="79"/>
      <c r="CM891" s="79"/>
      <c r="CN891" s="79"/>
      <c r="CO891" s="79"/>
      <c r="CP891" s="79"/>
      <c r="CQ891" s="79"/>
      <c r="CR891" s="83"/>
      <c r="CS891" s="83"/>
      <c r="CT891" s="83"/>
      <c r="CU891" s="83"/>
      <c r="CV891" s="83"/>
      <c r="CW891" s="83"/>
      <c r="CX891" s="79"/>
      <c r="CY891" s="79">
        <f t="shared" ref="CY891:CY892" si="1220">SUM(COUNTIF(CR891:CW891,"Realizado y Devuelto a la Ciudadanía"),COUNTIF(CR891:CW891,"Realizado y Trasladado por competencia"), COUNTIF(CR891:CW891,"Realizado y Gestionado"))</f>
        <v>0</v>
      </c>
      <c r="CZ891" s="79">
        <v>0</v>
      </c>
      <c r="DA891" s="79">
        <f t="shared" ref="DA891:DA892" si="1221">COUNTIF(CR891:CW891,"Realizado y Devuelto a la Ciudadanía")</f>
        <v>0</v>
      </c>
      <c r="DB891" s="84" t="str">
        <f t="shared" ref="DB891:DB892" si="1222">IFERROR(CY891/CK891,"")</f>
        <v/>
      </c>
      <c r="DC891" s="41"/>
      <c r="DD891" s="79"/>
      <c r="DE891" s="71"/>
      <c r="DF891" s="127" t="s">
        <v>6035</v>
      </c>
      <c r="DG891" s="79"/>
      <c r="DH891" s="86">
        <f t="shared" ref="DH891:DH892" si="1223">IF(EE891="Por completar",C891+3,"Completo")</f>
        <v>45543</v>
      </c>
      <c r="DI891" s="79"/>
      <c r="DJ891" s="79"/>
      <c r="DK891" s="79"/>
      <c r="DL891" s="79">
        <v>0</v>
      </c>
      <c r="DM891" s="79">
        <v>0</v>
      </c>
      <c r="DN891" s="79"/>
      <c r="DO891" s="79"/>
      <c r="DP891" s="79"/>
      <c r="DQ891" s="79"/>
      <c r="DR891" s="75" t="str">
        <f t="shared" ref="DR891:DR892" si="1224">IF(H891="SÍ", (DQ891/(BZ891*0.3)), "No aplica")</f>
        <v>No aplica</v>
      </c>
      <c r="DS891" s="79"/>
      <c r="DT891" s="79"/>
      <c r="DU891" s="75" t="str">
        <f t="shared" ref="DU891:DU892" si="1225">IF(H891="SÍ", (DT891/(BZ891*0.35)), "No aplica")</f>
        <v>No aplica</v>
      </c>
      <c r="DV891" s="79"/>
      <c r="DW891" s="79"/>
      <c r="DX891" s="79"/>
      <c r="DY891" s="79"/>
      <c r="DZ891" s="79"/>
      <c r="EA891" s="79"/>
      <c r="EB891" s="79"/>
      <c r="EC891" s="79"/>
      <c r="ED891" s="79"/>
      <c r="EE891" s="79" t="str">
        <f t="shared" ref="EE891:EE892" si="1226">IF(DI891="Subsanado","Completo","Por Completar")</f>
        <v>Por Completar</v>
      </c>
      <c r="EF891" s="41"/>
      <c r="EG891" s="79"/>
      <c r="EH891" s="71"/>
      <c r="EI891" s="80"/>
      <c r="EJ891" s="71"/>
      <c r="EK891" s="79"/>
      <c r="EL891" s="87" t="str">
        <f t="shared" ref="EL891:EL892" si="1227">IF(F891="NO","No requiere",IF(H891="No","No requiere",IF(DW891="","",IF(DW891&lt;&gt;"No aplica",IF(DX891&lt;&gt;"No aplica",IF(DX891&gt;=2,"Sí","No"),"No aplica"),"No aplica"))))</f>
        <v>No requiere</v>
      </c>
      <c r="EM891" s="87" t="str">
        <f t="shared" ref="EM891:EM892" si="1228">IF(F891="NO","No requiere",IF(H891="No","No requiere",IF(DW891="","",IF(DW891&lt;&gt;"No aplica",IF(DY891&lt;&gt;"No aplica",IF(DY891&gt;=1,"Sí","No"),"No aplica"),"No aplica"))))</f>
        <v>No requiere</v>
      </c>
      <c r="EN891" s="87" t="str">
        <f t="shared" ref="EN891:EN892" si="1229">IF(F891="NO","No requiere",IF(H891="No","No requiere",IF(CC891="","",IF(CD891&lt;&gt;"No aplica",IF(CD891&lt;&gt;"Ninguna",IF(COUNTIF(CD891:CF891,"*")&gt;=1,"Sí","No"),"No"),"No aplica"))))</f>
        <v>No requiere</v>
      </c>
      <c r="EO891" s="71"/>
      <c r="EP891" s="84" t="str">
        <f t="shared" ref="EP891:EP892" si="1230">IF(F891="NO","No requiere",IF(H891="No","No requiere",IF(DL891="","",IF(DL891&gt;=1,DM891/DL891,"No aplica"))))</f>
        <v>No requiere</v>
      </c>
      <c r="EQ891" s="88" t="str">
        <f t="shared" ref="EQ891:EQ892" si="1231">IFERROR(IF(F891="NO","No requiere",IF(H891="No","No requiere",DU891)),"")</f>
        <v>No requiere</v>
      </c>
      <c r="ER891" s="71"/>
      <c r="ES891" s="79"/>
      <c r="ET891" s="84" t="str">
        <f t="shared" ref="ET891:ET892" si="1232">IF(F891="NO","No requiere",IF(H891="No","No requiere",IFERROR(COUNTIF(DJ891:DW891,"Completo")/SUM(COUNTIF(DJ891:DW891,"Completo"),COUNTIF(DJ891:DW891,"Incompleto"),COUNTIF(DJ891:DW891,"No subido"),COUNTIF(DJ891:DW891,"No existente"),COUNTIF(DJ891:DW891,"Pendiente")),"")))</f>
        <v>No requiere</v>
      </c>
      <c r="EU891" s="84" t="str">
        <f>IF(F891="NO","No requiere",IF(H891="No","No requiere",IF(#REF!="","",IF(CX891="SÍ",IF(CK891&gt;=1,CY891/CK891,"Sin compromisos"),"Por verificar"))))</f>
        <v>No requiere</v>
      </c>
      <c r="EV891" s="84" t="str">
        <f t="shared" ref="EV891:EV892" si="1233">IF(EU891="Por verificar","Por verificar",IF(F891="NO","No requiere",IF(H891="No","No requiere",IFERROR(IF(EU891="","",IF(CK891&gt;=1,DA891/CZ891,"No aplica")),"No aplica"))))</f>
        <v>No requiere</v>
      </c>
      <c r="EW891" s="84" t="str">
        <f t="shared" ref="EW891:EW892" si="1234">IF(F891="NO","No requiere",IF(H891="No","No requiere",IFERROR(IF(BZ891="","",IF(EA891&lt;&gt;"No aplica",IF(EA891&gt;=1,DO891/EA891,"0%"),"No aplica")),"")))</f>
        <v>No requiere</v>
      </c>
      <c r="EX891" s="78"/>
      <c r="EY891" s="78"/>
      <c r="EZ891" s="179"/>
      <c r="FA891" s="179"/>
      <c r="FB891" s="179"/>
      <c r="FC891" s="179"/>
      <c r="FD891" s="179"/>
      <c r="FE891" s="179"/>
      <c r="FF891" s="179"/>
      <c r="FG891" s="179"/>
      <c r="FH891" s="179"/>
      <c r="FI891" s="179"/>
      <c r="FJ891" s="179"/>
      <c r="FK891" s="179"/>
      <c r="FL891" s="179"/>
      <c r="FM891" s="179"/>
      <c r="FN891" s="179"/>
      <c r="FO891" s="179"/>
      <c r="FP891" s="179"/>
      <c r="FQ891" s="179"/>
      <c r="FR891" s="179"/>
      <c r="FS891" s="179"/>
      <c r="FT891" s="179"/>
      <c r="FU891" s="179"/>
      <c r="FV891" s="179"/>
      <c r="FW891" s="179"/>
      <c r="FX891" s="179"/>
      <c r="FY891" s="179"/>
      <c r="FZ891" s="179"/>
      <c r="GA891" s="179"/>
      <c r="GB891" s="179"/>
      <c r="GC891" s="179"/>
      <c r="GD891" s="179"/>
      <c r="GE891" s="179"/>
      <c r="GF891" s="179"/>
      <c r="GG891" s="179"/>
      <c r="GH891" s="179"/>
      <c r="GI891" s="179"/>
      <c r="GJ891" s="179"/>
      <c r="GK891" s="179"/>
      <c r="GL891" s="179"/>
      <c r="GM891" s="179"/>
      <c r="GN891" s="179"/>
      <c r="GO891" s="179"/>
      <c r="GP891" s="179"/>
      <c r="GQ891" s="179"/>
      <c r="GR891" s="179"/>
      <c r="GS891" s="179"/>
      <c r="GT891" s="179"/>
      <c r="GU891" s="179"/>
      <c r="GV891" s="179"/>
      <c r="GW891" s="179"/>
      <c r="GX891" s="179"/>
      <c r="GY891" s="179"/>
      <c r="GZ891" s="179"/>
      <c r="HA891" s="179"/>
      <c r="HB891" s="179"/>
      <c r="HC891" s="179"/>
      <c r="HD891" s="179"/>
      <c r="HE891" s="179"/>
      <c r="HF891" s="179"/>
      <c r="HG891" s="179"/>
    </row>
    <row r="892" spans="1:215" s="350" customFormat="1" ht="40.5" customHeight="1">
      <c r="A892" s="79">
        <v>888</v>
      </c>
      <c r="B892" s="80" t="s">
        <v>6036</v>
      </c>
      <c r="C892" s="81">
        <v>45540</v>
      </c>
      <c r="D892" s="82">
        <v>0.66666666666666663</v>
      </c>
      <c r="E892" s="79" t="s">
        <v>151</v>
      </c>
      <c r="F892" s="79" t="s">
        <v>153</v>
      </c>
      <c r="G892" s="79" t="s">
        <v>153</v>
      </c>
      <c r="H892" s="79" t="s">
        <v>152</v>
      </c>
      <c r="I892" s="79" t="s">
        <v>152</v>
      </c>
      <c r="J892" s="79" t="s">
        <v>154</v>
      </c>
      <c r="K892" s="79" t="s">
        <v>202</v>
      </c>
      <c r="L892" s="80" t="s">
        <v>6037</v>
      </c>
      <c r="M892" s="80" t="s">
        <v>624</v>
      </c>
      <c r="N892" s="79" t="s">
        <v>265</v>
      </c>
      <c r="O892" s="80" t="str">
        <f t="shared" si="1217"/>
        <v/>
      </c>
      <c r="P892" s="79"/>
      <c r="Q892" s="79"/>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t="s">
        <v>304</v>
      </c>
      <c r="AP892" s="79"/>
      <c r="AQ892" s="80" t="s">
        <v>1674</v>
      </c>
      <c r="AR892" s="83" t="s">
        <v>6038</v>
      </c>
      <c r="AS892" s="80" t="s">
        <v>1675</v>
      </c>
      <c r="AT892" s="80" t="str">
        <f t="shared" si="950"/>
        <v>No Especifica</v>
      </c>
      <c r="AU892" s="79" t="s">
        <v>5085</v>
      </c>
      <c r="AV892" s="79"/>
      <c r="AW892" s="79"/>
      <c r="AX892" s="79"/>
      <c r="AY892" s="79"/>
      <c r="AZ892" s="79"/>
      <c r="BA892" s="80" t="str">
        <f t="shared" si="1000"/>
        <v>Distrital</v>
      </c>
      <c r="BB892" s="79" t="s">
        <v>172</v>
      </c>
      <c r="BC892" s="79"/>
      <c r="BD892" s="79"/>
      <c r="BE892" s="79"/>
      <c r="BF892" s="79"/>
      <c r="BG892" s="79"/>
      <c r="BH892" s="80" t="str">
        <f t="shared" si="1001"/>
        <v>Distrital</v>
      </c>
      <c r="BI892" s="79" t="s">
        <v>172</v>
      </c>
      <c r="BJ892" s="79"/>
      <c r="BK892" s="79"/>
      <c r="BL892" s="79"/>
      <c r="BM892" s="79"/>
      <c r="BN892" s="79"/>
      <c r="BO892" s="79"/>
      <c r="BP892" s="79"/>
      <c r="BQ892" s="79"/>
      <c r="BR892" s="79"/>
      <c r="BS892" s="80" t="s">
        <v>171</v>
      </c>
      <c r="BT892" s="315" t="s">
        <v>171</v>
      </c>
      <c r="BU892" s="128" t="s">
        <v>3931</v>
      </c>
      <c r="BV892" s="71"/>
      <c r="BW892" s="79" t="s">
        <v>152</v>
      </c>
      <c r="BX892" s="79" t="s">
        <v>179</v>
      </c>
      <c r="BY892" s="71"/>
      <c r="BZ892" s="79"/>
      <c r="CA892" s="79"/>
      <c r="CB892" s="79">
        <f t="shared" si="1218"/>
        <v>0</v>
      </c>
      <c r="CC892" s="79" t="str">
        <f t="shared" si="382"/>
        <v/>
      </c>
      <c r="CD892" s="79"/>
      <c r="CE892" s="79"/>
      <c r="CF892" s="79"/>
      <c r="CG892" s="83"/>
      <c r="CH892" s="41"/>
      <c r="CI892" s="79"/>
      <c r="CJ892" s="71"/>
      <c r="CK892" s="79">
        <f t="shared" si="1219"/>
        <v>0</v>
      </c>
      <c r="CL892" s="79"/>
      <c r="CM892" s="79"/>
      <c r="CN892" s="79"/>
      <c r="CO892" s="79"/>
      <c r="CP892" s="79"/>
      <c r="CQ892" s="79"/>
      <c r="CR892" s="83"/>
      <c r="CS892" s="83"/>
      <c r="CT892" s="83"/>
      <c r="CU892" s="83"/>
      <c r="CV892" s="83"/>
      <c r="CW892" s="83"/>
      <c r="CX892" s="79"/>
      <c r="CY892" s="79">
        <f t="shared" si="1220"/>
        <v>0</v>
      </c>
      <c r="CZ892" s="79">
        <v>0</v>
      </c>
      <c r="DA892" s="79">
        <f t="shared" si="1221"/>
        <v>0</v>
      </c>
      <c r="DB892" s="84" t="str">
        <f t="shared" si="1222"/>
        <v/>
      </c>
      <c r="DC892" s="41"/>
      <c r="DD892" s="79"/>
      <c r="DE892" s="71"/>
      <c r="DF892" s="127" t="s">
        <v>6039</v>
      </c>
      <c r="DG892" s="79"/>
      <c r="DH892" s="86">
        <f t="shared" si="1223"/>
        <v>45543</v>
      </c>
      <c r="DI892" s="79"/>
      <c r="DJ892" s="79"/>
      <c r="DK892" s="79"/>
      <c r="DL892" s="79">
        <v>0</v>
      </c>
      <c r="DM892" s="79">
        <v>0</v>
      </c>
      <c r="DN892" s="79"/>
      <c r="DO892" s="79"/>
      <c r="DP892" s="79"/>
      <c r="DQ892" s="79"/>
      <c r="DR892" s="75" t="str">
        <f t="shared" si="1224"/>
        <v>No aplica</v>
      </c>
      <c r="DS892" s="79"/>
      <c r="DT892" s="79"/>
      <c r="DU892" s="75" t="str">
        <f t="shared" si="1225"/>
        <v>No aplica</v>
      </c>
      <c r="DV892" s="79"/>
      <c r="DW892" s="79"/>
      <c r="DX892" s="79"/>
      <c r="DY892" s="79"/>
      <c r="DZ892" s="79"/>
      <c r="EA892" s="79"/>
      <c r="EB892" s="79"/>
      <c r="EC892" s="79"/>
      <c r="ED892" s="79"/>
      <c r="EE892" s="79" t="str">
        <f t="shared" si="1226"/>
        <v>Por Completar</v>
      </c>
      <c r="EF892" s="41"/>
      <c r="EG892" s="79"/>
      <c r="EH892" s="71"/>
      <c r="EI892" s="80"/>
      <c r="EJ892" s="71"/>
      <c r="EK892" s="79"/>
      <c r="EL892" s="87" t="str">
        <f t="shared" si="1227"/>
        <v>No requiere</v>
      </c>
      <c r="EM892" s="87" t="str">
        <f t="shared" si="1228"/>
        <v>No requiere</v>
      </c>
      <c r="EN892" s="87" t="str">
        <f t="shared" si="1229"/>
        <v>No requiere</v>
      </c>
      <c r="EO892" s="71"/>
      <c r="EP892" s="84" t="str">
        <f t="shared" si="1230"/>
        <v>No requiere</v>
      </c>
      <c r="EQ892" s="88" t="str">
        <f t="shared" si="1231"/>
        <v>No requiere</v>
      </c>
      <c r="ER892" s="71"/>
      <c r="ES892" s="79"/>
      <c r="ET892" s="84" t="str">
        <f t="shared" si="1232"/>
        <v>No requiere</v>
      </c>
      <c r="EU892" s="84" t="str">
        <f>IF(F892="NO","No requiere",IF(H892="No","No requiere",IF(#REF!="","",IF(CX892="SÍ",IF(CK892&gt;=1,CY892/CK892,"Sin compromisos"),"Por verificar"))))</f>
        <v>No requiere</v>
      </c>
      <c r="EV892" s="84" t="str">
        <f t="shared" si="1233"/>
        <v>No requiere</v>
      </c>
      <c r="EW892" s="84" t="str">
        <f t="shared" si="1234"/>
        <v>No requiere</v>
      </c>
      <c r="EX892" s="78"/>
      <c r="EY892" s="78"/>
      <c r="EZ892" s="179"/>
      <c r="FA892" s="179"/>
      <c r="FB892" s="179"/>
      <c r="FC892" s="179"/>
      <c r="FD892" s="179"/>
      <c r="FE892" s="179"/>
      <c r="FF892" s="179"/>
      <c r="FG892" s="179"/>
      <c r="FH892" s="179"/>
      <c r="FI892" s="179"/>
      <c r="FJ892" s="179"/>
      <c r="FK892" s="179"/>
      <c r="FL892" s="179"/>
      <c r="FM892" s="179"/>
      <c r="FN892" s="179"/>
      <c r="FO892" s="179"/>
      <c r="FP892" s="179"/>
      <c r="FQ892" s="179"/>
      <c r="FR892" s="179"/>
      <c r="FS892" s="179"/>
      <c r="FT892" s="179"/>
      <c r="FU892" s="179"/>
      <c r="FV892" s="179"/>
      <c r="FW892" s="179"/>
      <c r="FX892" s="179"/>
      <c r="FY892" s="179"/>
      <c r="FZ892" s="179"/>
      <c r="GA892" s="179"/>
      <c r="GB892" s="179"/>
      <c r="GC892" s="179"/>
      <c r="GD892" s="179"/>
      <c r="GE892" s="179"/>
      <c r="GF892" s="179"/>
      <c r="GG892" s="179"/>
      <c r="GH892" s="179"/>
      <c r="GI892" s="179"/>
      <c r="GJ892" s="179"/>
      <c r="GK892" s="179"/>
      <c r="GL892" s="179"/>
      <c r="GM892" s="179"/>
      <c r="GN892" s="179"/>
      <c r="GO892" s="179"/>
      <c r="GP892" s="179"/>
      <c r="GQ892" s="179"/>
      <c r="GR892" s="179"/>
      <c r="GS892" s="179"/>
      <c r="GT892" s="179"/>
      <c r="GU892" s="179"/>
      <c r="GV892" s="179"/>
      <c r="GW892" s="179"/>
      <c r="GX892" s="179"/>
      <c r="GY892" s="179"/>
      <c r="GZ892" s="179"/>
      <c r="HA892" s="179"/>
      <c r="HB892" s="179"/>
      <c r="HC892" s="179"/>
      <c r="HD892" s="179"/>
      <c r="HE892" s="179"/>
      <c r="HF892" s="179"/>
      <c r="HG892" s="179"/>
    </row>
    <row r="893" spans="1:215" s="350" customFormat="1" ht="40.5" customHeight="1">
      <c r="A893" s="79">
        <v>889</v>
      </c>
      <c r="B893" s="80" t="s">
        <v>680</v>
      </c>
      <c r="C893" s="81">
        <v>45540</v>
      </c>
      <c r="D893" s="82">
        <v>0.70833333333333337</v>
      </c>
      <c r="E893" s="79" t="s">
        <v>200</v>
      </c>
      <c r="F893" s="79" t="s">
        <v>153</v>
      </c>
      <c r="G893" s="79" t="s">
        <v>152</v>
      </c>
      <c r="H893" s="79" t="s">
        <v>152</v>
      </c>
      <c r="I893" s="79" t="s">
        <v>152</v>
      </c>
      <c r="J893" s="79" t="s">
        <v>211</v>
      </c>
      <c r="K893" s="79" t="s">
        <v>202</v>
      </c>
      <c r="L893" s="80" t="s">
        <v>6040</v>
      </c>
      <c r="M893" s="80" t="s">
        <v>624</v>
      </c>
      <c r="N893" s="79" t="s">
        <v>5846</v>
      </c>
      <c r="O893" s="80" t="str">
        <f t="shared" ref="O893" si="1235">_xlfn.TEXTJOIN(", ",TRUE,P893:AN893)</f>
        <v>Yohan David Díaz</v>
      </c>
      <c r="P893" s="79" t="s">
        <v>164</v>
      </c>
      <c r="Q893" s="79"/>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t="s">
        <v>230</v>
      </c>
      <c r="AP893" s="79" t="s">
        <v>242</v>
      </c>
      <c r="AQ893" s="80" t="s">
        <v>1945</v>
      </c>
      <c r="AR893" s="83" t="s">
        <v>5810</v>
      </c>
      <c r="AS893" s="80" t="s">
        <v>682</v>
      </c>
      <c r="AT893" s="80" t="s">
        <v>172</v>
      </c>
      <c r="AU893" s="79" t="s">
        <v>172</v>
      </c>
      <c r="AV893" s="79"/>
      <c r="AW893" s="79"/>
      <c r="AX893" s="79"/>
      <c r="AY893" s="79"/>
      <c r="AZ893" s="79"/>
      <c r="BA893" s="80" t="s">
        <v>172</v>
      </c>
      <c r="BB893" s="79" t="s">
        <v>172</v>
      </c>
      <c r="BC893" s="79"/>
      <c r="BD893" s="79"/>
      <c r="BE893" s="79"/>
      <c r="BF893" s="79"/>
      <c r="BG893" s="79"/>
      <c r="BH893" s="80" t="s">
        <v>172</v>
      </c>
      <c r="BI893" s="79" t="s">
        <v>172</v>
      </c>
      <c r="BJ893" s="79"/>
      <c r="BK893" s="79"/>
      <c r="BL893" s="79"/>
      <c r="BM893" s="79"/>
      <c r="BN893" s="79"/>
      <c r="BO893" s="79"/>
      <c r="BP893" s="79"/>
      <c r="BQ893" s="79"/>
      <c r="BR893" s="79"/>
      <c r="BS893" s="80" t="s">
        <v>171</v>
      </c>
      <c r="BT893" s="315" t="s">
        <v>171</v>
      </c>
      <c r="BU893" s="128" t="s">
        <v>3931</v>
      </c>
      <c r="BV893" s="71"/>
      <c r="BW893" s="79" t="s">
        <v>152</v>
      </c>
      <c r="BX893" s="79" t="s">
        <v>179</v>
      </c>
      <c r="BY893" s="71"/>
      <c r="BZ893" s="79"/>
      <c r="CA893" s="79"/>
      <c r="CB893" s="79">
        <f t="shared" ref="CB893" si="1236">BZ893+CA893</f>
        <v>0</v>
      </c>
      <c r="CC893" s="79" t="str">
        <f t="shared" si="382"/>
        <v/>
      </c>
      <c r="CD893" s="79"/>
      <c r="CE893" s="79"/>
      <c r="CF893" s="79"/>
      <c r="CG893" s="83"/>
      <c r="CH893" s="41"/>
      <c r="CI893" s="79"/>
      <c r="CJ893" s="71"/>
      <c r="CK893" s="79">
        <f t="shared" ref="CK893" si="1237">COUNTIF(CL893:CQ893,"*")</f>
        <v>0</v>
      </c>
      <c r="CL893" s="79"/>
      <c r="CM893" s="79"/>
      <c r="CN893" s="79"/>
      <c r="CO893" s="79"/>
      <c r="CP893" s="79"/>
      <c r="CQ893" s="79"/>
      <c r="CR893" s="83"/>
      <c r="CS893" s="83"/>
      <c r="CT893" s="83"/>
      <c r="CU893" s="83"/>
      <c r="CV893" s="83"/>
      <c r="CW893" s="83"/>
      <c r="CX893" s="79"/>
      <c r="CY893" s="79">
        <f t="shared" ref="CY893" si="1238">SUM(COUNTIF(CR893:CW893,"Realizado y Devuelto a la Ciudadanía"),COUNTIF(CR893:CW893,"Realizado y Trasladado por competencia"), COUNTIF(CR893:CW893,"Realizado y Gestionado"))</f>
        <v>0</v>
      </c>
      <c r="CZ893" s="79">
        <v>0</v>
      </c>
      <c r="DA893" s="79">
        <f t="shared" ref="DA893" si="1239">COUNTIF(CR893:CW893,"Realizado y Devuelto a la Ciudadanía")</f>
        <v>0</v>
      </c>
      <c r="DB893" s="84" t="str">
        <f t="shared" ref="DB893" si="1240">IFERROR(CY893/CK893,"")</f>
        <v/>
      </c>
      <c r="DC893" s="41"/>
      <c r="DD893" s="79"/>
      <c r="DE893" s="71"/>
      <c r="DF893" s="127" t="s">
        <v>6041</v>
      </c>
      <c r="DG893" s="79"/>
      <c r="DH893" s="86">
        <f t="shared" ref="DH893" si="1241">IF(EE893="Por completar",C893+3,"Completo")</f>
        <v>45543</v>
      </c>
      <c r="DI893" s="79"/>
      <c r="DJ893" s="79"/>
      <c r="DK893" s="79"/>
      <c r="DL893" s="79">
        <v>0</v>
      </c>
      <c r="DM893" s="79">
        <v>0</v>
      </c>
      <c r="DN893" s="79"/>
      <c r="DO893" s="79"/>
      <c r="DP893" s="79"/>
      <c r="DQ893" s="79"/>
      <c r="DR893" s="75" t="str">
        <f t="shared" ref="DR893" si="1242">IF(H893="SÍ", (DQ893/(BZ893*0.3)), "No aplica")</f>
        <v>No aplica</v>
      </c>
      <c r="DS893" s="79"/>
      <c r="DT893" s="79"/>
      <c r="DU893" s="75" t="str">
        <f t="shared" ref="DU893" si="1243">IF(H893="SÍ", (DT893/(BZ893*0.35)), "No aplica")</f>
        <v>No aplica</v>
      </c>
      <c r="DV893" s="79"/>
      <c r="DW893" s="79"/>
      <c r="DX893" s="79"/>
      <c r="DY893" s="79"/>
      <c r="DZ893" s="79"/>
      <c r="EA893" s="79"/>
      <c r="EB893" s="79"/>
      <c r="EC893" s="79"/>
      <c r="ED893" s="79"/>
      <c r="EE893" s="79" t="str">
        <f t="shared" ref="EE893" si="1244">IF(DI893="Subsanado","Completo","Por Completar")</f>
        <v>Por Completar</v>
      </c>
      <c r="EF893" s="41"/>
      <c r="EG893" s="79"/>
      <c r="EH893" s="71"/>
      <c r="EI893" s="80"/>
      <c r="EJ893" s="71"/>
      <c r="EK893" s="79"/>
      <c r="EL893" s="87" t="str">
        <f t="shared" ref="EL893" si="1245">IF(F893="NO","No requiere",IF(H893="No","No requiere",IF(DW893="","",IF(DW893&lt;&gt;"No aplica",IF(DX893&lt;&gt;"No aplica",IF(DX893&gt;=2,"Sí","No"),"No aplica"),"No aplica"))))</f>
        <v>No requiere</v>
      </c>
      <c r="EM893" s="87" t="str">
        <f t="shared" ref="EM893" si="1246">IF(F893="NO","No requiere",IF(H893="No","No requiere",IF(DW893="","",IF(DW893&lt;&gt;"No aplica",IF(DY893&lt;&gt;"No aplica",IF(DY893&gt;=1,"Sí","No"),"No aplica"),"No aplica"))))</f>
        <v>No requiere</v>
      </c>
      <c r="EN893" s="87" t="str">
        <f t="shared" ref="EN893" si="1247">IF(F893="NO","No requiere",IF(H893="No","No requiere",IF(CC893="","",IF(CD893&lt;&gt;"No aplica",IF(CD893&lt;&gt;"Ninguna",IF(COUNTIF(CD893:CF893,"*")&gt;=1,"Sí","No"),"No"),"No aplica"))))</f>
        <v>No requiere</v>
      </c>
      <c r="EO893" s="71"/>
      <c r="EP893" s="84" t="str">
        <f t="shared" ref="EP893" si="1248">IF(F893="NO","No requiere",IF(H893="No","No requiere",IF(DL893="","",IF(DL893&gt;=1,DM893/DL893,"No aplica"))))</f>
        <v>No requiere</v>
      </c>
      <c r="EQ893" s="88" t="str">
        <f t="shared" ref="EQ893" si="1249">IFERROR(IF(F893="NO","No requiere",IF(H893="No","No requiere",DU893)),"")</f>
        <v>No requiere</v>
      </c>
      <c r="ER893" s="71"/>
      <c r="ES893" s="79"/>
      <c r="ET893" s="84" t="str">
        <f t="shared" ref="ET893" si="1250">IF(F893="NO","No requiere",IF(H893="No","No requiere",IFERROR(COUNTIF(DJ893:DW893,"Completo")/SUM(COUNTIF(DJ893:DW893,"Completo"),COUNTIF(DJ893:DW893,"Incompleto"),COUNTIF(DJ893:DW893,"No subido"),COUNTIF(DJ893:DW893,"No existente"),COUNTIF(DJ893:DW893,"Pendiente")),"")))</f>
        <v>No requiere</v>
      </c>
      <c r="EU893" s="84" t="str">
        <f>IF(F893="NO","No requiere",IF(H893="No","No requiere",IF(#REF!="","",IF(CX893="SÍ",IF(CK893&gt;=1,CY893/CK893,"Sin compromisos"),"Por verificar"))))</f>
        <v>No requiere</v>
      </c>
      <c r="EV893" s="84" t="str">
        <f t="shared" ref="EV893" si="1251">IF(EU893="Por verificar","Por verificar",IF(F893="NO","No requiere",IF(H893="No","No requiere",IFERROR(IF(EU893="","",IF(CK893&gt;=1,DA893/CZ893,"No aplica")),"No aplica"))))</f>
        <v>No requiere</v>
      </c>
      <c r="EW893" s="84" t="str">
        <f t="shared" ref="EW893" si="1252">IF(F893="NO","No requiere",IF(H893="No","No requiere",IFERROR(IF(BZ893="","",IF(EA893&lt;&gt;"No aplica",IF(EA893&gt;=1,DO893/EA893,"0%"),"No aplica")),"")))</f>
        <v>No requiere</v>
      </c>
      <c r="EX893" s="78"/>
      <c r="EY893" s="78"/>
      <c r="EZ893" s="179"/>
      <c r="FA893" s="179"/>
      <c r="FB893" s="179"/>
      <c r="FC893" s="179"/>
      <c r="FD893" s="179"/>
      <c r="FE893" s="179"/>
      <c r="FF893" s="179"/>
      <c r="FG893" s="179"/>
      <c r="FH893" s="179"/>
      <c r="FI893" s="179"/>
      <c r="FJ893" s="179"/>
      <c r="FK893" s="179"/>
      <c r="FL893" s="179"/>
      <c r="FM893" s="179"/>
      <c r="FN893" s="179"/>
      <c r="FO893" s="179"/>
      <c r="FP893" s="179"/>
      <c r="FQ893" s="179"/>
      <c r="FR893" s="179"/>
      <c r="FS893" s="179"/>
      <c r="FT893" s="179"/>
      <c r="FU893" s="179"/>
      <c r="FV893" s="179"/>
      <c r="FW893" s="179"/>
      <c r="FX893" s="179"/>
      <c r="FY893" s="179"/>
      <c r="FZ893" s="179"/>
      <c r="GA893" s="179"/>
      <c r="GB893" s="179"/>
      <c r="GC893" s="179"/>
      <c r="GD893" s="179"/>
      <c r="GE893" s="179"/>
      <c r="GF893" s="179"/>
      <c r="GG893" s="179"/>
      <c r="GH893" s="179"/>
      <c r="GI893" s="179"/>
      <c r="GJ893" s="179"/>
      <c r="GK893" s="179"/>
      <c r="GL893" s="179"/>
      <c r="GM893" s="179"/>
      <c r="GN893" s="179"/>
      <c r="GO893" s="179"/>
      <c r="GP893" s="179"/>
      <c r="GQ893" s="179"/>
      <c r="GR893" s="179"/>
      <c r="GS893" s="179"/>
      <c r="GT893" s="179"/>
      <c r="GU893" s="179"/>
      <c r="GV893" s="179"/>
      <c r="GW893" s="179"/>
      <c r="GX893" s="179"/>
      <c r="GY893" s="179"/>
      <c r="GZ893" s="179"/>
      <c r="HA893" s="179"/>
      <c r="HB893" s="179"/>
      <c r="HC893" s="179"/>
      <c r="HD893" s="179"/>
      <c r="HE893" s="179"/>
      <c r="HF893" s="179"/>
      <c r="HG893" s="179"/>
    </row>
    <row r="894" spans="1:215" ht="66.75" customHeight="1">
      <c r="A894" s="79">
        <v>890</v>
      </c>
      <c r="B894" s="80" t="s">
        <v>6042</v>
      </c>
      <c r="C894" s="81">
        <v>45541</v>
      </c>
      <c r="D894" s="82">
        <v>0.58333333333333337</v>
      </c>
      <c r="E894" s="79" t="s">
        <v>151</v>
      </c>
      <c r="F894" s="79" t="s">
        <v>153</v>
      </c>
      <c r="G894" s="79" t="s">
        <v>152</v>
      </c>
      <c r="H894" s="79" t="s">
        <v>152</v>
      </c>
      <c r="I894" s="79" t="s">
        <v>153</v>
      </c>
      <c r="J894" s="79" t="s">
        <v>251</v>
      </c>
      <c r="K894" s="79" t="s">
        <v>155</v>
      </c>
      <c r="L894" s="80" t="s">
        <v>6043</v>
      </c>
      <c r="M894" s="80" t="s">
        <v>157</v>
      </c>
      <c r="N894" s="79" t="s">
        <v>632</v>
      </c>
      <c r="O894" s="80" t="str">
        <f>_xlfn.TEXTJOIN(", ",TRUE,P894:AN894)</f>
        <v>Diego Alejandro Camacho, Juan Pablo Serna, Nixon Sandoval Mateus</v>
      </c>
      <c r="P894" s="79" t="s">
        <v>422</v>
      </c>
      <c r="Q894" s="79" t="s">
        <v>818</v>
      </c>
      <c r="R894" s="79" t="s">
        <v>644</v>
      </c>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t="s">
        <v>304</v>
      </c>
      <c r="AP894" s="79"/>
      <c r="AQ894" s="80" t="s">
        <v>171</v>
      </c>
      <c r="AR894" s="80" t="s">
        <v>171</v>
      </c>
      <c r="AS894" s="80" t="s">
        <v>171</v>
      </c>
      <c r="AT894" s="80" t="str">
        <f>_xlfn.TEXTJOIN(", ",TRUE,$AU894:$AY894)</f>
        <v>Fontibón</v>
      </c>
      <c r="AU894" s="79" t="s">
        <v>646</v>
      </c>
      <c r="AV894" s="79"/>
      <c r="AW894" s="79"/>
      <c r="AX894" s="79"/>
      <c r="AY894" s="79"/>
      <c r="AZ894" s="79"/>
      <c r="BA894" s="80" t="str">
        <f>_xlfn.TEXTJOIN(", ",TRUE,$BB894:$BG894)</f>
        <v>Occidente</v>
      </c>
      <c r="BB894" s="79" t="s">
        <v>235</v>
      </c>
      <c r="BC894" s="79"/>
      <c r="BD894" s="79"/>
      <c r="BE894" s="79"/>
      <c r="BF894" s="79"/>
      <c r="BG894" s="79"/>
      <c r="BH894" s="80"/>
      <c r="BI894" s="79" t="s">
        <v>646</v>
      </c>
      <c r="BJ894" s="79"/>
      <c r="BK894" s="79"/>
      <c r="BL894" s="79"/>
      <c r="BM894" s="79"/>
      <c r="BN894" s="79"/>
      <c r="BO894" s="79"/>
      <c r="BP894" s="79"/>
      <c r="BQ894" s="79"/>
      <c r="BR894" s="79"/>
      <c r="BS894" s="80" t="s">
        <v>646</v>
      </c>
      <c r="BT894" s="80" t="s">
        <v>236</v>
      </c>
      <c r="BU894" s="80" t="s">
        <v>6044</v>
      </c>
      <c r="BV894" s="71"/>
      <c r="BW894" s="79" t="s">
        <v>152</v>
      </c>
      <c r="BX894" s="79" t="s">
        <v>179</v>
      </c>
      <c r="BY894" s="71"/>
      <c r="BZ894" s="79"/>
      <c r="CA894" s="79"/>
      <c r="CB894" s="79">
        <f>BZ894+CA894</f>
        <v>0</v>
      </c>
      <c r="CC894" s="79" t="str">
        <f>_xlfn.TEXTJOIN(", ",TRUE,$CD894:$CF894)</f>
        <v/>
      </c>
      <c r="CD894" s="79"/>
      <c r="CE894" s="79"/>
      <c r="CF894" s="79"/>
      <c r="CG894" s="83"/>
      <c r="CH894" s="41"/>
      <c r="CI894" s="79"/>
      <c r="CJ894" s="71"/>
      <c r="CK894" s="79">
        <f>COUNTIF(CL894:CQ894,"*")</f>
        <v>0</v>
      </c>
      <c r="CL894" s="79"/>
      <c r="CM894" s="79"/>
      <c r="CN894" s="79"/>
      <c r="CO894" s="79"/>
      <c r="CP894" s="79"/>
      <c r="CQ894" s="79"/>
      <c r="CR894" s="83"/>
      <c r="CS894" s="83"/>
      <c r="CT894" s="83"/>
      <c r="CU894" s="83"/>
      <c r="CV894" s="83"/>
      <c r="CW894" s="83"/>
      <c r="CX894" s="79"/>
      <c r="CY894" s="79">
        <f>SUM(COUNTIF(CR894:CW894,"Realizado y Devuelto a la Ciudadanía"),COUNTIF(CR894:CW894,"Realizado y Trasladado por competencia"), COUNTIF(CR894:CW894,"Realizado y Gestionado"))</f>
        <v>0</v>
      </c>
      <c r="CZ894" s="79">
        <v>0</v>
      </c>
      <c r="DA894" s="79">
        <f>COUNTIF(CR894:CW894,"Realizado y Devuelto a la Ciudadanía")</f>
        <v>0</v>
      </c>
      <c r="DB894" s="84" t="str">
        <f>IFERROR(CY894/CK894,"")</f>
        <v/>
      </c>
      <c r="DC894" s="41"/>
      <c r="DD894" s="79"/>
      <c r="DE894" s="71"/>
      <c r="DF894" s="127" t="s">
        <v>6045</v>
      </c>
      <c r="DG894" s="79"/>
      <c r="DH894" s="86">
        <f>IF(EE894="Por completar",C894+3,"Completo")</f>
        <v>45544</v>
      </c>
      <c r="DI894" s="79"/>
      <c r="DJ894" s="79"/>
      <c r="DK894" s="79"/>
      <c r="DL894" s="79">
        <v>0</v>
      </c>
      <c r="DM894" s="79">
        <v>0</v>
      </c>
      <c r="DN894" s="79"/>
      <c r="DO894" s="79"/>
      <c r="DP894" s="79"/>
      <c r="DQ894" s="79"/>
      <c r="DR894" s="75" t="str">
        <f>IF(H894="SÍ", (DQ894/(BZ894*0.3)), "No aplica")</f>
        <v>No aplica</v>
      </c>
      <c r="DS894" s="79"/>
      <c r="DT894" s="79"/>
      <c r="DU894" s="75" t="str">
        <f>IF(H894="SÍ", (DT894/(BZ894*0.35)), "No aplica")</f>
        <v>No aplica</v>
      </c>
      <c r="DV894" s="79"/>
      <c r="DW894" s="79"/>
      <c r="DX894" s="79"/>
      <c r="DY894" s="79"/>
      <c r="DZ894" s="79"/>
      <c r="EA894" s="79"/>
      <c r="EB894" s="79"/>
      <c r="EC894" s="79"/>
      <c r="ED894" s="79"/>
      <c r="EE894" s="79" t="str">
        <f>IF(DI894="Subsanado","Completo","Por Completar")</f>
        <v>Por Completar</v>
      </c>
      <c r="EF894" s="41"/>
      <c r="EG894" s="79"/>
      <c r="EH894" s="71"/>
      <c r="EI894" s="80"/>
      <c r="EJ894" s="71"/>
      <c r="EK894" s="79"/>
      <c r="EL894" s="87" t="str">
        <f>IF(F894="NO","No requiere",IF(H894="No","No requiere",IF(DW894="","",IF(DW894&lt;&gt;"No aplica",IF(DX894&lt;&gt;"No aplica",IF(DX894&gt;=2,"Sí","No"),"No aplica"),"No aplica"))))</f>
        <v>No requiere</v>
      </c>
      <c r="EM894" s="87" t="str">
        <f>IF(F894="NO","No requiere",IF(H894="No","No requiere",IF(DW894="","",IF(DW894&lt;&gt;"No aplica",IF(DY894&lt;&gt;"No aplica",IF(DY894&gt;=1,"Sí","No"),"No aplica"),"No aplica"))))</f>
        <v>No requiere</v>
      </c>
      <c r="EN894" s="87" t="str">
        <f>IF(F894="NO","No requiere",IF(H894="No","No requiere",IF(CC894="","",IF(CD894&lt;&gt;"No aplica",IF(CD894&lt;&gt;"Ninguna",IF(COUNTIF(CD894:CF894,"*")&gt;=1,"Sí","No"),"No"),"No aplica"))))</f>
        <v>No requiere</v>
      </c>
      <c r="EO894" s="71"/>
      <c r="EP894" s="84" t="str">
        <f>IF(F894="NO","No requiere",IF(H894="No","No requiere",IF(DL894="","",IF(DL894&gt;=1,DM894/DL894,"No aplica"))))</f>
        <v>No requiere</v>
      </c>
      <c r="EQ894" s="88" t="str">
        <f>IFERROR(IF(F894="NO","No requiere",IF(H894="No","No requiere",DU894)),"")</f>
        <v>No requiere</v>
      </c>
      <c r="ER894" s="71"/>
      <c r="ES894" s="79"/>
      <c r="ET894" s="84" t="str">
        <f>IF(F894="NO","No requiere",IF(H894="No","No requiere",IFERROR(COUNTIF(DJ894:DW894,"Completo")/SUM(COUNTIF(DJ894:DW894,"Completo"),COUNTIF(DJ894:DW894,"Incompleto"),COUNTIF(DJ894:DW894,"No subido"),COUNTIF(DJ894:DW894,"No existente"),COUNTIF(DJ894:DW894,"Pendiente")),"")))</f>
        <v>No requiere</v>
      </c>
      <c r="EU894" s="84" t="str">
        <f>IF(F894="NO","No requiere",IF(H894="No","No requiere",IF(#REF!="","",IF(CX894="SÍ",IF(CK894&gt;=1,CY894/CK894,"Sin compromisos"),"Por verificar"))))</f>
        <v>No requiere</v>
      </c>
      <c r="EV894" s="84" t="str">
        <f>IF(EU894="Por verificar","Por verificar",IF(F894="NO","No requiere",IF(H894="No","No requiere",IFERROR(IF(EU894="","",IF(CK894&gt;=1,DA894/CZ894,"No aplica")),"No aplica"))))</f>
        <v>No requiere</v>
      </c>
      <c r="EW894" s="84" t="str">
        <f>IF(F894="NO","No requiere",IF(H894="No","No requiere",IFERROR(IF(BZ894="","",IF(EA894&lt;&gt;"No aplica",IF(EA894&gt;=1,DO894/EA894,"0%"),"No aplica")),"")))</f>
        <v>No requiere</v>
      </c>
      <c r="EX894" s="78"/>
      <c r="EY894" s="78"/>
    </row>
    <row r="895" spans="1:215" ht="88.5" customHeight="1">
      <c r="A895" s="79">
        <v>891</v>
      </c>
      <c r="B895" s="80" t="s">
        <v>6046</v>
      </c>
      <c r="C895" s="81">
        <v>45542</v>
      </c>
      <c r="D895" s="82">
        <v>0.33333333333333331</v>
      </c>
      <c r="E895" s="79" t="s">
        <v>151</v>
      </c>
      <c r="F895" s="79" t="s">
        <v>153</v>
      </c>
      <c r="G895" s="79" t="s">
        <v>153</v>
      </c>
      <c r="H895" s="79" t="s">
        <v>153</v>
      </c>
      <c r="I895" s="79" t="s">
        <v>152</v>
      </c>
      <c r="J895" s="79" t="s">
        <v>154</v>
      </c>
      <c r="K895" s="79" t="s">
        <v>155</v>
      </c>
      <c r="L895" s="80" t="s">
        <v>4764</v>
      </c>
      <c r="M895" s="80" t="s">
        <v>241</v>
      </c>
      <c r="N895" s="79" t="s">
        <v>749</v>
      </c>
      <c r="O895" s="80" t="str">
        <f>_xlfn.TEXTJOIN(", ",TRUE,P895:AN895)</f>
        <v>Armando Alberto Montañez, Carlos Eduardo Escandón, Germán Ramón Jacome, Nancy Stella Villa, Paola Andrea González, William Arturo González , Renata Rengifo Moyano , Joan Sebastian García, Luis Fernando Barreto, Juan Sebastian Daza, James Fernando Núñez, César Augusto Barrantes, Jorge Eduardo Bermúdez, Erika Lizeth Rueda, Camilo Andrés Vásquez, Miguel Ángel Aguilar</v>
      </c>
      <c r="P895" s="79" t="s">
        <v>1387</v>
      </c>
      <c r="Q895" s="79" t="s">
        <v>819</v>
      </c>
      <c r="R895" s="79" t="s">
        <v>525</v>
      </c>
      <c r="S895" s="79" t="s">
        <v>5913</v>
      </c>
      <c r="T895" s="79" t="s">
        <v>924</v>
      </c>
      <c r="U895" s="79" t="s">
        <v>5892</v>
      </c>
      <c r="V895" s="79" t="s">
        <v>5755</v>
      </c>
      <c r="W895" s="79" t="s">
        <v>728</v>
      </c>
      <c r="X895" s="79" t="s">
        <v>5583</v>
      </c>
      <c r="Y895" s="79" t="s">
        <v>6047</v>
      </c>
      <c r="Z895" s="79" t="s">
        <v>632</v>
      </c>
      <c r="AA895" s="129" t="s">
        <v>729</v>
      </c>
      <c r="AB895" s="129" t="s">
        <v>5899</v>
      </c>
      <c r="AC895" s="330" t="s">
        <v>556</v>
      </c>
      <c r="AD895" s="330" t="s">
        <v>373</v>
      </c>
      <c r="AE895" s="330" t="s">
        <v>6048</v>
      </c>
      <c r="AF895" s="79"/>
      <c r="AG895" s="79"/>
      <c r="AH895" s="79"/>
      <c r="AI895" s="79"/>
      <c r="AJ895" s="79"/>
      <c r="AK895" s="79"/>
      <c r="AL895" s="79"/>
      <c r="AM895" s="79"/>
      <c r="AN895" s="79"/>
      <c r="AO895" s="79" t="s">
        <v>304</v>
      </c>
      <c r="AP895" s="79"/>
      <c r="AQ895" s="80" t="s">
        <v>171</v>
      </c>
      <c r="AR895" s="80" t="s">
        <v>171</v>
      </c>
      <c r="AS895" s="80" t="s">
        <v>171</v>
      </c>
      <c r="AT895" s="80" t="str">
        <f>_xlfn.TEXTJOIN(", ",TRUE,$AU895:$AY895)</f>
        <v>Barrios Unidos</v>
      </c>
      <c r="AU895" s="79" t="s">
        <v>1031</v>
      </c>
      <c r="AV895" s="79"/>
      <c r="AW895" s="79"/>
      <c r="AX895" s="79"/>
      <c r="AY895" s="79"/>
      <c r="AZ895" s="79"/>
      <c r="BA895" s="80" t="str">
        <f>_xlfn.TEXTJOIN(", ",TRUE,$BB895:$BG895)</f>
        <v>Centro Ampliado</v>
      </c>
      <c r="BB895" s="79" t="s">
        <v>636</v>
      </c>
      <c r="BC895" s="79"/>
      <c r="BD895" s="79"/>
      <c r="BE895" s="79"/>
      <c r="BF895" s="79"/>
      <c r="BG895" s="79"/>
      <c r="BH895" s="80" t="str">
        <f>_xlfn.TEXTJOIN(", ",TRUE,$BI895:$BR895)</f>
        <v>Barrios Unidos, Centro Histórico, Teusaquillo, Chapinero, Restrepo, Puente Aranda</v>
      </c>
      <c r="BI895" s="79" t="s">
        <v>1031</v>
      </c>
      <c r="BJ895" s="79" t="s">
        <v>754</v>
      </c>
      <c r="BK895" s="79" t="s">
        <v>1004</v>
      </c>
      <c r="BL895" s="79" t="s">
        <v>360</v>
      </c>
      <c r="BM895" s="79" t="s">
        <v>637</v>
      </c>
      <c r="BN895" s="79" t="s">
        <v>1235</v>
      </c>
      <c r="BO895" s="79"/>
      <c r="BP895" s="79"/>
      <c r="BQ895" s="79"/>
      <c r="BR895" s="79"/>
      <c r="BS895" s="80" t="s">
        <v>636</v>
      </c>
      <c r="BT895" s="80" t="s">
        <v>6049</v>
      </c>
      <c r="BU895" s="80" t="s">
        <v>6050</v>
      </c>
      <c r="BV895" s="71"/>
      <c r="BW895" s="79" t="s">
        <v>153</v>
      </c>
      <c r="BX895" s="79" t="s">
        <v>4242</v>
      </c>
      <c r="BY895" s="71"/>
      <c r="BZ895" s="79"/>
      <c r="CA895" s="79"/>
      <c r="CB895" s="79">
        <f>BZ895+CA895</f>
        <v>0</v>
      </c>
      <c r="CC895" s="79" t="str">
        <f>_xlfn.TEXTJOIN(", ",TRUE,$CD895:$CF895)</f>
        <v/>
      </c>
      <c r="CD895" s="79"/>
      <c r="CE895" s="79"/>
      <c r="CF895" s="79"/>
      <c r="CG895" s="83"/>
      <c r="CH895" s="41"/>
      <c r="CI895" s="79"/>
      <c r="CJ895" s="71"/>
      <c r="CK895" s="79">
        <f>COUNTIF(CL895:CQ895,"*")</f>
        <v>0</v>
      </c>
      <c r="CL895" s="79"/>
      <c r="CM895" s="79"/>
      <c r="CN895" s="79"/>
      <c r="CO895" s="79"/>
      <c r="CP895" s="79"/>
      <c r="CQ895" s="79"/>
      <c r="CR895" s="83"/>
      <c r="CS895" s="83"/>
      <c r="CT895" s="83"/>
      <c r="CU895" s="83"/>
      <c r="CV895" s="83"/>
      <c r="CW895" s="83"/>
      <c r="CX895" s="79"/>
      <c r="CY895" s="79">
        <f>SUM(COUNTIF(CR895:CW895,"Realizado y Devuelto a la Ciudadanía"),COUNTIF(CR895:CW895,"Realizado y Trasladado por competencia"), COUNTIF(CR895:CW895,"Realizado y Gestionado"))</f>
        <v>0</v>
      </c>
      <c r="CZ895" s="79">
        <v>0</v>
      </c>
      <c r="DA895" s="79">
        <f>COUNTIF(CR895:CW895,"Realizado y Devuelto a la Ciudadanía")</f>
        <v>0</v>
      </c>
      <c r="DB895" s="84" t="str">
        <f>IFERROR(CY895/CK895,"")</f>
        <v/>
      </c>
      <c r="DC895" s="41"/>
      <c r="DD895" s="79"/>
      <c r="DE895" s="71"/>
      <c r="DF895" s="224" t="s">
        <v>6051</v>
      </c>
      <c r="DG895" s="79"/>
      <c r="DH895" s="86">
        <f>IF(EE895="Por completar",C895+3,"Completo")</f>
        <v>45545</v>
      </c>
      <c r="DI895" s="79"/>
      <c r="DJ895" s="79"/>
      <c r="DK895" s="79"/>
      <c r="DL895" s="79">
        <v>0</v>
      </c>
      <c r="DM895" s="79">
        <v>0</v>
      </c>
      <c r="DN895" s="79"/>
      <c r="DO895" s="79"/>
      <c r="DP895" s="79"/>
      <c r="DQ895" s="79"/>
      <c r="DR895" s="75" t="e">
        <f>IF(H895="SÍ", (DQ895/(BZ895*0.3)), "No aplica")</f>
        <v>#DIV/0!</v>
      </c>
      <c r="DS895" s="79"/>
      <c r="DT895" s="79"/>
      <c r="DU895" s="75" t="e">
        <f t="shared" si="1155"/>
        <v>#DIV/0!</v>
      </c>
      <c r="DV895" s="79"/>
      <c r="DW895" s="79"/>
      <c r="DX895" s="79"/>
      <c r="DY895" s="79"/>
      <c r="DZ895" s="79"/>
      <c r="EA895" s="79"/>
      <c r="EB895" s="79"/>
      <c r="EC895" s="79"/>
      <c r="ED895" s="79"/>
      <c r="EE895" s="79" t="str">
        <f>IF(DI895="Subsanado","Completo","Por Completar")</f>
        <v>Por Completar</v>
      </c>
      <c r="EF895" s="41"/>
      <c r="EG895" s="79"/>
      <c r="EH895" s="71"/>
      <c r="EI895" s="80"/>
      <c r="EJ895" s="71"/>
      <c r="EK895" s="79"/>
      <c r="EL895" s="87" t="str">
        <f t="shared" ref="EL895:EL896" si="1253">IF(F895="NO","No requiere",IF(H895="No","No requiere",IF(DW895="","",IF(DW895&lt;&gt;"No aplica",IF(DX895&lt;&gt;"No aplica",IF(DX895&gt;=2,"Sí","No"),"No aplica"),"No aplica"))))</f>
        <v/>
      </c>
      <c r="EM895" s="87" t="str">
        <f t="shared" ref="EM895:EM896" si="1254">IF(F895="NO","No requiere",IF(H895="No","No requiere",IF(DW895="","",IF(DW895&lt;&gt;"No aplica",IF(DY895&lt;&gt;"No aplica",IF(DY895&gt;=1,"Sí","No"),"No aplica"),"No aplica"))))</f>
        <v/>
      </c>
      <c r="EN895" s="87" t="str">
        <f t="shared" ref="EN895:EN896" si="1255">IF(F895="NO","No requiere",IF(H895="No","No requiere",IF(CC895="","",IF(CD895&lt;&gt;"No aplica",IF(CD895&lt;&gt;"Ninguna",IF(COUNTIF(CD895:CF895,"*")&gt;=1,"Sí","No"),"No"),"No aplica"))))</f>
        <v/>
      </c>
      <c r="EO895" s="71"/>
      <c r="EP895" s="84" t="str">
        <f>IF(F895="NO","No requiere",IF(H895="No","No requiere",IF(DL895="","",IF(DL895&gt;=1,DM895/DL895,"No aplica"))))</f>
        <v>No aplica</v>
      </c>
      <c r="EQ895" s="88" t="str">
        <f>IFERROR(IF(F895="NO","No requiere",IF(H895="No","No requiere",DU895)),"")</f>
        <v/>
      </c>
      <c r="ER895" s="71"/>
      <c r="ES895" s="79"/>
      <c r="ET895" s="84" t="str">
        <f t="shared" si="1138"/>
        <v/>
      </c>
      <c r="EU895" s="84" t="str">
        <f t="shared" si="1139"/>
        <v>Por verificar</v>
      </c>
      <c r="EV895" s="84" t="str">
        <f t="shared" si="1140"/>
        <v>Por verificar</v>
      </c>
      <c r="EW895" s="84" t="str">
        <f t="shared" si="1141"/>
        <v/>
      </c>
      <c r="EX895" s="78"/>
      <c r="EY895" s="78"/>
    </row>
    <row r="896" spans="1:215" ht="66.75" customHeight="1">
      <c r="A896" s="79">
        <v>892</v>
      </c>
      <c r="B896" s="80" t="s">
        <v>6052</v>
      </c>
      <c r="C896" s="81">
        <v>45542</v>
      </c>
      <c r="D896" s="82">
        <v>0.5</v>
      </c>
      <c r="E896" s="79" t="s">
        <v>151</v>
      </c>
      <c r="F896" s="79" t="s">
        <v>153</v>
      </c>
      <c r="G896" s="79" t="s">
        <v>153</v>
      </c>
      <c r="H896" s="79" t="s">
        <v>152</v>
      </c>
      <c r="I896" s="79" t="s">
        <v>152</v>
      </c>
      <c r="J896" s="79" t="s">
        <v>2153</v>
      </c>
      <c r="K896" s="79" t="s">
        <v>155</v>
      </c>
      <c r="L896" s="80" t="s">
        <v>6053</v>
      </c>
      <c r="M896" s="80" t="s">
        <v>624</v>
      </c>
      <c r="N896" s="79" t="s">
        <v>506</v>
      </c>
      <c r="O896" s="80" t="str">
        <f>_xlfn.TEXTJOIN(", ",TRUE,P896:AN896)</f>
        <v>Mónica Lyzeth Cantor, Mario Fernández, Sebastian Higuera Góngora</v>
      </c>
      <c r="P896" s="79" t="s">
        <v>346</v>
      </c>
      <c r="Q896" s="79" t="s">
        <v>5764</v>
      </c>
      <c r="R896" s="79" t="s">
        <v>5901</v>
      </c>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t="s">
        <v>1226</v>
      </c>
      <c r="AP896" s="79"/>
      <c r="AQ896" s="373" t="s">
        <v>171</v>
      </c>
      <c r="AR896" s="373" t="s">
        <v>171</v>
      </c>
      <c r="AS896" s="373" t="s">
        <v>171</v>
      </c>
      <c r="AT896" s="80" t="str">
        <f t="shared" si="950"/>
        <v>Sumapaz</v>
      </c>
      <c r="AU896" s="79" t="s">
        <v>510</v>
      </c>
      <c r="AV896" s="79"/>
      <c r="AW896" s="79"/>
      <c r="AX896" s="79"/>
      <c r="AY896" s="79"/>
      <c r="AZ896" s="79"/>
      <c r="BA896" s="80" t="str">
        <f t="shared" si="1000"/>
        <v>Ruralidad</v>
      </c>
      <c r="BB896" s="79" t="s">
        <v>219</v>
      </c>
      <c r="BC896" s="79"/>
      <c r="BD896" s="79"/>
      <c r="BE896" s="79"/>
      <c r="BF896" s="79"/>
      <c r="BG896" s="79"/>
      <c r="BH896" s="80" t="str">
        <f t="shared" si="1001"/>
        <v>Sumapaz</v>
      </c>
      <c r="BI896" s="79" t="s">
        <v>510</v>
      </c>
      <c r="BJ896" s="79"/>
      <c r="BK896" s="79"/>
      <c r="BL896" s="79"/>
      <c r="BM896" s="79"/>
      <c r="BN896" s="79"/>
      <c r="BO896" s="79"/>
      <c r="BP896" s="79"/>
      <c r="BQ896" s="79"/>
      <c r="BR896" s="79"/>
      <c r="BS896" s="80" t="s">
        <v>179</v>
      </c>
      <c r="BT896" s="80" t="s">
        <v>179</v>
      </c>
      <c r="BU896" s="68" t="s">
        <v>6054</v>
      </c>
      <c r="BV896" s="71"/>
      <c r="BW896" s="79" t="s">
        <v>152</v>
      </c>
      <c r="BX896" s="79" t="s">
        <v>179</v>
      </c>
      <c r="BY896" s="71"/>
      <c r="BZ896" s="79"/>
      <c r="CA896" s="79"/>
      <c r="CB896" s="79">
        <f t="shared" ref="CB896:CB926" si="1256">BZ896+CA896</f>
        <v>0</v>
      </c>
      <c r="CC896" s="79" t="s">
        <v>316</v>
      </c>
      <c r="CD896" s="79"/>
      <c r="CE896" s="79"/>
      <c r="CF896" s="79"/>
      <c r="CG896" s="83"/>
      <c r="CH896" s="41"/>
      <c r="CI896" s="79"/>
      <c r="CJ896" s="71"/>
      <c r="CK896" s="79">
        <v>0</v>
      </c>
      <c r="CL896" s="79"/>
      <c r="CM896" s="79"/>
      <c r="CN896" s="79"/>
      <c r="CO896" s="79"/>
      <c r="CP896" s="79"/>
      <c r="CQ896" s="79"/>
      <c r="CR896" s="83"/>
      <c r="CS896" s="83"/>
      <c r="CT896" s="83"/>
      <c r="CU896" s="83"/>
      <c r="CV896" s="83"/>
      <c r="CW896" s="83"/>
      <c r="CX896" s="79"/>
      <c r="CY896" s="79">
        <v>0</v>
      </c>
      <c r="CZ896" s="79">
        <v>0</v>
      </c>
      <c r="DA896" s="79">
        <v>0</v>
      </c>
      <c r="DB896" s="84" t="s">
        <v>316</v>
      </c>
      <c r="DC896" s="41"/>
      <c r="DD896" s="79"/>
      <c r="DE896" s="71"/>
      <c r="DF896" s="127" t="s">
        <v>6055</v>
      </c>
      <c r="DG896" s="79"/>
      <c r="DH896" s="86">
        <f t="shared" si="722"/>
        <v>45545</v>
      </c>
      <c r="DI896" s="79"/>
      <c r="DJ896" s="79"/>
      <c r="DK896" s="79"/>
      <c r="DL896" s="79">
        <v>0</v>
      </c>
      <c r="DM896" s="79">
        <v>0</v>
      </c>
      <c r="DN896" s="79"/>
      <c r="DO896" s="79"/>
      <c r="DP896" s="79"/>
      <c r="DQ896" s="79"/>
      <c r="DR896" s="156" t="str">
        <f>IF(H896="SÍ", (DQ896/(BZ896*0.3)), "No aplica")</f>
        <v>No aplica</v>
      </c>
      <c r="DS896" s="79"/>
      <c r="DT896" s="79"/>
      <c r="DU896" s="75" t="str">
        <f t="shared" si="1155"/>
        <v>No aplica</v>
      </c>
      <c r="DV896" s="79"/>
      <c r="DW896" s="79"/>
      <c r="DX896" s="79"/>
      <c r="DY896" s="79"/>
      <c r="DZ896" s="79"/>
      <c r="EA896" s="79"/>
      <c r="EB896" s="79"/>
      <c r="EC896" s="79"/>
      <c r="ED896" s="79"/>
      <c r="EE896" s="129" t="str">
        <f>IF(DI896="Subsanado","Completo","Por Completar")</f>
        <v>Por Completar</v>
      </c>
      <c r="EF896" s="41"/>
      <c r="EG896" s="79"/>
      <c r="EH896" s="71"/>
      <c r="EI896" s="80"/>
      <c r="EJ896" s="71"/>
      <c r="EK896" s="87"/>
      <c r="EL896" s="87" t="str">
        <f t="shared" si="1253"/>
        <v>No requiere</v>
      </c>
      <c r="EM896" s="87" t="str">
        <f t="shared" si="1254"/>
        <v>No requiere</v>
      </c>
      <c r="EN896" s="87" t="str">
        <f t="shared" si="1255"/>
        <v>No requiere</v>
      </c>
      <c r="EO896" s="71"/>
      <c r="EP896" s="154" t="str">
        <f>IF(F896="NO","No requiere",IF(H896="No","No requiere",IF(DL896="","",IF(DL896&gt;=1,DM896/DL896,"No aplica"))))</f>
        <v>No requiere</v>
      </c>
      <c r="EQ896" s="158" t="str">
        <f>IFERROR(IF(F896="NO","No requiere",IF(H896="No","No requiere",DU896)),"")</f>
        <v>No requiere</v>
      </c>
      <c r="ER896" s="71"/>
      <c r="ES896" s="79"/>
      <c r="ET896" s="84" t="str">
        <f t="shared" si="1138"/>
        <v>No requiere</v>
      </c>
      <c r="EU896" s="84" t="str">
        <f t="shared" si="1139"/>
        <v>No requiere</v>
      </c>
      <c r="EV896" s="84" t="str">
        <f t="shared" si="1140"/>
        <v>No requiere</v>
      </c>
      <c r="EW896" s="84" t="str">
        <f t="shared" si="1141"/>
        <v>No requiere</v>
      </c>
      <c r="EX896" s="78"/>
      <c r="EY896" s="78"/>
    </row>
    <row r="897" spans="1:215" ht="66.75" customHeight="1">
      <c r="A897" s="79">
        <v>893</v>
      </c>
      <c r="B897" s="80" t="s">
        <v>6056</v>
      </c>
      <c r="C897" s="81">
        <v>45543</v>
      </c>
      <c r="D897" s="82">
        <v>0.33333333333333331</v>
      </c>
      <c r="E897" s="79" t="s">
        <v>151</v>
      </c>
      <c r="F897" s="79" t="s">
        <v>153</v>
      </c>
      <c r="G897" s="79" t="s">
        <v>153</v>
      </c>
      <c r="H897" s="79" t="s">
        <v>152</v>
      </c>
      <c r="I897" s="79" t="s">
        <v>152</v>
      </c>
      <c r="J897" s="79" t="s">
        <v>2153</v>
      </c>
      <c r="K897" s="79" t="s">
        <v>155</v>
      </c>
      <c r="L897" s="80" t="s">
        <v>6057</v>
      </c>
      <c r="M897" s="80" t="s">
        <v>624</v>
      </c>
      <c r="N897" s="79" t="s">
        <v>5852</v>
      </c>
      <c r="O897" s="80" t="str">
        <f>_xlfn.TEXTJOIN(", ",TRUE,P897:AN897)</f>
        <v>Yeiker Guerra Sarmiento, Nicolás Enrique Moncaleano, David Julián Sepúlveda, Juan Pablo Saiz, Luna Paulina Benjumea, Jimmy Alejandro Osorio, Natalia Gómez Meza</v>
      </c>
      <c r="P897" s="79" t="s">
        <v>163</v>
      </c>
      <c r="Q897" s="161" t="s">
        <v>966</v>
      </c>
      <c r="R897" s="79" t="s">
        <v>5925</v>
      </c>
      <c r="S897" s="161" t="s">
        <v>5949</v>
      </c>
      <c r="T897" s="79" t="s">
        <v>4960</v>
      </c>
      <c r="U897" s="79" t="s">
        <v>549</v>
      </c>
      <c r="V897" s="79" t="s">
        <v>5900</v>
      </c>
      <c r="W897" s="79"/>
      <c r="X897" s="79"/>
      <c r="Y897" s="79"/>
      <c r="Z897" s="79"/>
      <c r="AA897" s="79"/>
      <c r="AB897" s="79"/>
      <c r="AC897" s="79"/>
      <c r="AD897" s="79"/>
      <c r="AE897" s="79"/>
      <c r="AF897" s="79"/>
      <c r="AG897" s="79"/>
      <c r="AH897" s="79"/>
      <c r="AI897" s="79"/>
      <c r="AJ897" s="79"/>
      <c r="AK897" s="79"/>
      <c r="AL897" s="79"/>
      <c r="AM897" s="79"/>
      <c r="AN897" s="79"/>
      <c r="AO897" s="79" t="s">
        <v>1226</v>
      </c>
      <c r="AP897" s="79"/>
      <c r="AQ897" s="373" t="s">
        <v>171</v>
      </c>
      <c r="AR897" s="373" t="s">
        <v>171</v>
      </c>
      <c r="AS897" s="373" t="s">
        <v>171</v>
      </c>
      <c r="AT897" s="80" t="str">
        <f t="shared" si="950"/>
        <v>Rafael Uribe Uribe</v>
      </c>
      <c r="AU897" s="79" t="s">
        <v>635</v>
      </c>
      <c r="AV897" s="79"/>
      <c r="AW897" s="79"/>
      <c r="AX897" s="79"/>
      <c r="AY897" s="79"/>
      <c r="AZ897" s="79"/>
      <c r="BA897" s="80" t="str">
        <f t="shared" si="1000"/>
        <v>Suroriente</v>
      </c>
      <c r="BB897" s="79" t="s">
        <v>218</v>
      </c>
      <c r="BC897" s="79"/>
      <c r="BD897" s="79"/>
      <c r="BE897" s="79"/>
      <c r="BF897" s="79"/>
      <c r="BG897" s="79"/>
      <c r="BH897" s="80" t="str">
        <f t="shared" si="1001"/>
        <v>San Cristobal</v>
      </c>
      <c r="BI897" s="79" t="s">
        <v>571</v>
      </c>
      <c r="BJ897" s="79"/>
      <c r="BK897" s="79"/>
      <c r="BL897" s="79"/>
      <c r="BM897" s="79"/>
      <c r="BN897" s="79"/>
      <c r="BO897" s="79"/>
      <c r="BP897" s="79"/>
      <c r="BQ897" s="79"/>
      <c r="BR897" s="79"/>
      <c r="BS897" s="80" t="s">
        <v>179</v>
      </c>
      <c r="BT897" s="80" t="s">
        <v>179</v>
      </c>
      <c r="BU897" s="68" t="s">
        <v>6058</v>
      </c>
      <c r="BV897" s="71"/>
      <c r="BW897" s="79" t="s">
        <v>152</v>
      </c>
      <c r="BX897" s="79" t="s">
        <v>179</v>
      </c>
      <c r="BY897" s="71"/>
      <c r="BZ897" s="79"/>
      <c r="CA897" s="79"/>
      <c r="CB897" s="79">
        <f t="shared" si="1256"/>
        <v>0</v>
      </c>
      <c r="CC897" s="79"/>
      <c r="CD897" s="79"/>
      <c r="CE897" s="79"/>
      <c r="CF897" s="79"/>
      <c r="CG897" s="83"/>
      <c r="CH897" s="41"/>
      <c r="CI897" s="79"/>
      <c r="CJ897" s="71"/>
      <c r="CK897" s="79">
        <f t="shared" ref="CK897:CK926" si="1257">COUNTIF(CL897:CQ897,"*")</f>
        <v>0</v>
      </c>
      <c r="CL897" s="79"/>
      <c r="CM897" s="79"/>
      <c r="CN897" s="79"/>
      <c r="CO897" s="79"/>
      <c r="CP897" s="79"/>
      <c r="CQ897" s="79"/>
      <c r="CR897" s="83"/>
      <c r="CS897" s="83"/>
      <c r="CT897" s="83"/>
      <c r="CU897" s="83"/>
      <c r="CV897" s="83"/>
      <c r="CW897" s="83"/>
      <c r="CX897" s="79"/>
      <c r="CY897" s="79">
        <f t="shared" ref="CY897:CY926" si="1258">SUM(COUNTIF(CR897:CW897,"Realizado y Devuelto a la Ciudadanía"),COUNTIF(CR897:CW897,"Realizado y Trasladado por competencia"), COUNTIF(CR897:CW897,"Realizado y Gestionado"))</f>
        <v>0</v>
      </c>
      <c r="CZ897" s="79">
        <v>0</v>
      </c>
      <c r="DA897" s="79">
        <f t="shared" ref="DA897:DA926" si="1259">COUNTIF(CR897:CW897,"Realizado y Devuelto a la Ciudadanía")</f>
        <v>0</v>
      </c>
      <c r="DB897" s="84"/>
      <c r="DC897" s="41"/>
      <c r="DD897" s="79"/>
      <c r="DE897" s="71"/>
      <c r="DF897" s="127" t="s">
        <v>6059</v>
      </c>
      <c r="DG897" s="79"/>
      <c r="DH897" s="86">
        <f t="shared" si="722"/>
        <v>45546</v>
      </c>
      <c r="DI897" s="79"/>
      <c r="DJ897" s="79"/>
      <c r="DK897" s="79"/>
      <c r="DL897" s="79">
        <v>0</v>
      </c>
      <c r="DM897" s="79">
        <v>0</v>
      </c>
      <c r="DN897" s="79"/>
      <c r="DO897" s="79"/>
      <c r="DP897" s="79"/>
      <c r="DQ897" s="79"/>
      <c r="DR897" s="75" t="str">
        <f t="shared" si="576"/>
        <v>No aplica</v>
      </c>
      <c r="DS897" s="79"/>
      <c r="DT897" s="79"/>
      <c r="DU897" s="75" t="str">
        <f t="shared" si="577"/>
        <v>No aplica</v>
      </c>
      <c r="DV897" s="79"/>
      <c r="DW897" s="79"/>
      <c r="DX897" s="79"/>
      <c r="DY897" s="79"/>
      <c r="DZ897" s="79"/>
      <c r="EA897" s="79"/>
      <c r="EB897" s="79"/>
      <c r="EC897" s="79"/>
      <c r="ED897" s="79"/>
      <c r="EE897" s="79" t="str">
        <f t="shared" ref="EE897:EE926" si="1260">IF(DI897="Subsanado","Completo","Por Completar")</f>
        <v>Por Completar</v>
      </c>
      <c r="EF897" s="41"/>
      <c r="EG897" s="79"/>
      <c r="EH897" s="71"/>
      <c r="EI897" s="80"/>
      <c r="EJ897" s="71"/>
      <c r="EK897" s="87" t="str">
        <f t="shared" si="942"/>
        <v/>
      </c>
      <c r="EL897" s="87" t="str">
        <f t="shared" si="942"/>
        <v>No requiere</v>
      </c>
      <c r="EM897" s="87" t="str">
        <f t="shared" si="943"/>
        <v>No requiere</v>
      </c>
      <c r="EN897" s="87" t="str">
        <f t="shared" ref="EN897:EN926" si="1261">IF(F897="NO","No requiere",IF(H897="No","No requiere",IF(CC897="","",IF(CD897&lt;&gt;"No aplica",IF(CD897&lt;&gt;"Ninguna",IF(COUNTIF(CD897:CF897,"*")&gt;=1,"Sí","No"),"No"),"No aplica"))))</f>
        <v>No requiere</v>
      </c>
      <c r="EO897" s="71"/>
      <c r="EP897" s="84" t="str">
        <f t="shared" si="945"/>
        <v>No requiere</v>
      </c>
      <c r="EQ897" s="88" t="str">
        <f t="shared" si="946"/>
        <v>No requiere</v>
      </c>
      <c r="ER897" s="71"/>
      <c r="ES897" s="79"/>
      <c r="ET897" s="84" t="str">
        <f t="shared" si="1138"/>
        <v>No requiere</v>
      </c>
      <c r="EU897" s="84" t="str">
        <f t="shared" si="1139"/>
        <v>No requiere</v>
      </c>
      <c r="EV897" s="84" t="str">
        <f t="shared" si="1140"/>
        <v>No requiere</v>
      </c>
      <c r="EW897" s="84" t="str">
        <f t="shared" si="1141"/>
        <v>No requiere</v>
      </c>
      <c r="EX897" s="78"/>
      <c r="EY897" s="78"/>
    </row>
    <row r="898" spans="1:215" ht="66.75" customHeight="1">
      <c r="A898" s="79">
        <v>894</v>
      </c>
      <c r="B898" s="80" t="s">
        <v>6060</v>
      </c>
      <c r="C898" s="81">
        <v>45543</v>
      </c>
      <c r="D898" s="82">
        <v>0.33333333333333331</v>
      </c>
      <c r="E898" s="79" t="s">
        <v>151</v>
      </c>
      <c r="F898" s="79" t="s">
        <v>153</v>
      </c>
      <c r="G898" s="79" t="s">
        <v>153</v>
      </c>
      <c r="H898" s="79" t="s">
        <v>152</v>
      </c>
      <c r="I898" s="79" t="s">
        <v>152</v>
      </c>
      <c r="J898" s="79" t="s">
        <v>2153</v>
      </c>
      <c r="K898" s="79" t="s">
        <v>155</v>
      </c>
      <c r="L898" s="80" t="s">
        <v>6061</v>
      </c>
      <c r="M898" s="80" t="s">
        <v>624</v>
      </c>
      <c r="N898" s="79" t="s">
        <v>5852</v>
      </c>
      <c r="O898" s="80" t="str">
        <f>_xlfn.TEXTJOIN(", ",TRUE,P898:AN898)</f>
        <v>Maria Angélica Higuera, Martín René Perdomo, Luisa Romero, Yohan David Díaz, Sarah Lucia Triviño, Humberto Díaz Acosta, Valentina González Pontón</v>
      </c>
      <c r="P898" s="79" t="s">
        <v>328</v>
      </c>
      <c r="Q898" s="79" t="s">
        <v>5922</v>
      </c>
      <c r="R898" s="79" t="s">
        <v>5709</v>
      </c>
      <c r="S898" s="79" t="s">
        <v>164</v>
      </c>
      <c r="T898" s="79" t="s">
        <v>499</v>
      </c>
      <c r="U898" s="79" t="s">
        <v>253</v>
      </c>
      <c r="V898" s="79" t="s">
        <v>329</v>
      </c>
      <c r="W898" s="79"/>
      <c r="X898" s="79"/>
      <c r="Y898" s="79"/>
      <c r="Z898" s="79"/>
      <c r="AA898" s="79"/>
      <c r="AB898" s="79"/>
      <c r="AC898" s="79"/>
      <c r="AD898" s="79"/>
      <c r="AE898" s="79"/>
      <c r="AF898" s="79"/>
      <c r="AG898" s="79"/>
      <c r="AH898" s="79"/>
      <c r="AI898" s="79"/>
      <c r="AJ898" s="79"/>
      <c r="AK898" s="79"/>
      <c r="AL898" s="79"/>
      <c r="AM898" s="79"/>
      <c r="AN898" s="79"/>
      <c r="AO898" s="79" t="s">
        <v>1226</v>
      </c>
      <c r="AP898" s="79"/>
      <c r="AQ898" s="373" t="s">
        <v>171</v>
      </c>
      <c r="AR898" s="373" t="s">
        <v>171</v>
      </c>
      <c r="AS898" s="373" t="s">
        <v>171</v>
      </c>
      <c r="AT898" s="80" t="str">
        <f t="shared" si="950"/>
        <v>Teusaquillo</v>
      </c>
      <c r="AU898" s="79" t="s">
        <v>1004</v>
      </c>
      <c r="AV898" s="79"/>
      <c r="AW898" s="79"/>
      <c r="AX898" s="79"/>
      <c r="AY898" s="79"/>
      <c r="AZ898" s="79"/>
      <c r="BA898" s="80" t="str">
        <f t="shared" si="1000"/>
        <v>Centro Ampliado</v>
      </c>
      <c r="BB898" s="79" t="s">
        <v>636</v>
      </c>
      <c r="BC898" s="79"/>
      <c r="BD898" s="79"/>
      <c r="BE898" s="79"/>
      <c r="BF898" s="79"/>
      <c r="BG898" s="79"/>
      <c r="BH898" s="80" t="str">
        <f t="shared" si="1001"/>
        <v>Teusaquillo</v>
      </c>
      <c r="BI898" s="79" t="s">
        <v>1004</v>
      </c>
      <c r="BJ898" s="79"/>
      <c r="BK898" s="79"/>
      <c r="BL898" s="79"/>
      <c r="BM898" s="79"/>
      <c r="BN898" s="79"/>
      <c r="BO898" s="79"/>
      <c r="BP898" s="79"/>
      <c r="BQ898" s="79"/>
      <c r="BR898" s="79"/>
      <c r="BS898" s="80" t="s">
        <v>179</v>
      </c>
      <c r="BT898" s="80" t="s">
        <v>179</v>
      </c>
      <c r="BU898" s="68" t="s">
        <v>6062</v>
      </c>
      <c r="BV898" s="71"/>
      <c r="BW898" s="79" t="s">
        <v>152</v>
      </c>
      <c r="BX898" s="79" t="s">
        <v>179</v>
      </c>
      <c r="BY898" s="71"/>
      <c r="BZ898" s="79"/>
      <c r="CA898" s="79"/>
      <c r="CB898" s="79">
        <f t="shared" si="1256"/>
        <v>0</v>
      </c>
      <c r="CC898" s="79" t="s">
        <v>316</v>
      </c>
      <c r="CD898" s="79"/>
      <c r="CE898" s="79"/>
      <c r="CF898" s="79"/>
      <c r="CG898" s="83"/>
      <c r="CH898" s="41"/>
      <c r="CI898" s="79"/>
      <c r="CJ898" s="71"/>
      <c r="CK898" s="79">
        <v>0</v>
      </c>
      <c r="CL898" s="79"/>
      <c r="CM898" s="79"/>
      <c r="CN898" s="79"/>
      <c r="CO898" s="79"/>
      <c r="CP898" s="79"/>
      <c r="CQ898" s="79"/>
      <c r="CR898" s="83"/>
      <c r="CS898" s="83"/>
      <c r="CT898" s="83"/>
      <c r="CU898" s="83"/>
      <c r="CV898" s="83"/>
      <c r="CW898" s="83"/>
      <c r="CX898" s="79"/>
      <c r="CY898" s="79">
        <f t="shared" si="1258"/>
        <v>0</v>
      </c>
      <c r="CZ898" s="79">
        <v>0</v>
      </c>
      <c r="DA898" s="79">
        <v>0</v>
      </c>
      <c r="DB898" s="84" t="s">
        <v>316</v>
      </c>
      <c r="DC898" s="41"/>
      <c r="DD898" s="79"/>
      <c r="DE898" s="71"/>
      <c r="DF898" s="127" t="s">
        <v>6063</v>
      </c>
      <c r="DG898" s="79"/>
      <c r="DH898" s="86">
        <f t="shared" si="722"/>
        <v>45546</v>
      </c>
      <c r="DI898" s="79"/>
      <c r="DJ898" s="79"/>
      <c r="DK898" s="79"/>
      <c r="DL898" s="79">
        <v>0</v>
      </c>
      <c r="DM898" s="79">
        <v>0</v>
      </c>
      <c r="DN898" s="79"/>
      <c r="DO898" s="79"/>
      <c r="DP898" s="79"/>
      <c r="DQ898" s="79"/>
      <c r="DR898" s="75" t="s">
        <v>179</v>
      </c>
      <c r="DS898" s="79"/>
      <c r="DT898" s="79"/>
      <c r="DU898" s="75" t="s">
        <v>179</v>
      </c>
      <c r="DV898" s="79"/>
      <c r="DW898" s="79"/>
      <c r="DX898" s="79"/>
      <c r="DY898" s="79"/>
      <c r="DZ898" s="79"/>
      <c r="EA898" s="79"/>
      <c r="EB898" s="79"/>
      <c r="EC898" s="79"/>
      <c r="ED898" s="79"/>
      <c r="EE898" s="79" t="str">
        <f t="shared" si="1260"/>
        <v>Por Completar</v>
      </c>
      <c r="EF898" s="41"/>
      <c r="EG898" s="79"/>
      <c r="EH898" s="71"/>
      <c r="EI898" s="80"/>
      <c r="EJ898" s="71"/>
      <c r="EK898" s="87"/>
      <c r="EL898" s="87" t="str">
        <f t="shared" si="942"/>
        <v>No requiere</v>
      </c>
      <c r="EM898" s="87" t="str">
        <f t="shared" si="943"/>
        <v>No requiere</v>
      </c>
      <c r="EN898" s="87" t="str">
        <f t="shared" si="1261"/>
        <v>No requiere</v>
      </c>
      <c r="EO898" s="71"/>
      <c r="EP898" s="84" t="str">
        <f t="shared" si="945"/>
        <v>No requiere</v>
      </c>
      <c r="EQ898" s="88" t="str">
        <f t="shared" si="946"/>
        <v>No requiere</v>
      </c>
      <c r="ER898" s="71"/>
      <c r="ES898" s="79"/>
      <c r="ET898" s="84" t="str">
        <f t="shared" si="1138"/>
        <v>No requiere</v>
      </c>
      <c r="EU898" s="84" t="str">
        <f t="shared" si="1139"/>
        <v>No requiere</v>
      </c>
      <c r="EV898" s="84" t="str">
        <f t="shared" si="1140"/>
        <v>No requiere</v>
      </c>
      <c r="EW898" s="84" t="str">
        <f t="shared" si="1140"/>
        <v>No requiere</v>
      </c>
      <c r="EX898" s="78"/>
      <c r="EY898" s="78"/>
    </row>
    <row r="899" spans="1:215" ht="66.75" customHeight="1">
      <c r="A899" s="79">
        <v>895</v>
      </c>
      <c r="B899" s="80" t="s">
        <v>3656</v>
      </c>
      <c r="C899" s="81">
        <v>45544</v>
      </c>
      <c r="D899" s="82">
        <v>0.4375</v>
      </c>
      <c r="E899" s="79" t="s">
        <v>200</v>
      </c>
      <c r="F899" s="79" t="s">
        <v>153</v>
      </c>
      <c r="G899" s="79" t="s">
        <v>152</v>
      </c>
      <c r="H899" s="79" t="s">
        <v>152</v>
      </c>
      <c r="I899" s="79" t="s">
        <v>152</v>
      </c>
      <c r="J899" s="79" t="s">
        <v>504</v>
      </c>
      <c r="K899" s="79" t="s">
        <v>155</v>
      </c>
      <c r="L899" s="80" t="s">
        <v>3657</v>
      </c>
      <c r="M899" s="80" t="s">
        <v>624</v>
      </c>
      <c r="N899" s="79" t="s">
        <v>5825</v>
      </c>
      <c r="O899" s="80" t="str">
        <f t="shared" ref="O899" si="1262">_xlfn.TEXTJOIN(", ",TRUE,P899:AN899)</f>
        <v/>
      </c>
      <c r="P899" s="79"/>
      <c r="Q899" s="79"/>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t="s">
        <v>169</v>
      </c>
      <c r="AP899" s="79" t="s">
        <v>2702</v>
      </c>
      <c r="AQ899" s="80" t="s">
        <v>6064</v>
      </c>
      <c r="AR899" s="83">
        <v>3012144352</v>
      </c>
      <c r="AS899" s="80" t="s">
        <v>4611</v>
      </c>
      <c r="AT899" s="80" t="str">
        <f t="shared" si="950"/>
        <v>Santa Fe</v>
      </c>
      <c r="AU899" s="79" t="s">
        <v>822</v>
      </c>
      <c r="AV899" s="79"/>
      <c r="AW899" s="79"/>
      <c r="AX899" s="79"/>
      <c r="AY899" s="79"/>
      <c r="AZ899" s="79"/>
      <c r="BA899" s="80" t="str">
        <f t="shared" si="1000"/>
        <v>Centro Ampliado</v>
      </c>
      <c r="BB899" s="79" t="s">
        <v>636</v>
      </c>
      <c r="BC899" s="79"/>
      <c r="BD899" s="79"/>
      <c r="BE899" s="79"/>
      <c r="BF899" s="79"/>
      <c r="BG899" s="79"/>
      <c r="BH899" s="80" t="str">
        <f t="shared" si="1001"/>
        <v>Centro Histórico</v>
      </c>
      <c r="BI899" s="79" t="s">
        <v>754</v>
      </c>
      <c r="BJ899" s="79"/>
      <c r="BK899" s="79"/>
      <c r="BL899" s="79"/>
      <c r="BM899" s="79"/>
      <c r="BN899" s="79"/>
      <c r="BO899" s="79"/>
      <c r="BP899" s="79"/>
      <c r="BQ899" s="79"/>
      <c r="BR899" s="79"/>
      <c r="BS899" s="80" t="s">
        <v>179</v>
      </c>
      <c r="BT899" s="315" t="s">
        <v>2447</v>
      </c>
      <c r="BU899" s="80" t="s">
        <v>6065</v>
      </c>
      <c r="BV899" s="71"/>
      <c r="BW899" s="79" t="s">
        <v>152</v>
      </c>
      <c r="BX899" s="79" t="s">
        <v>179</v>
      </c>
      <c r="BY899" s="71"/>
      <c r="BZ899" s="79"/>
      <c r="CA899" s="79"/>
      <c r="CB899" s="79">
        <f t="shared" si="1256"/>
        <v>0</v>
      </c>
      <c r="CC899" s="79" t="str">
        <f t="shared" si="382"/>
        <v/>
      </c>
      <c r="CD899" s="79"/>
      <c r="CE899" s="79"/>
      <c r="CF899" s="79"/>
      <c r="CG899" s="83"/>
      <c r="CH899" s="41"/>
      <c r="CI899" s="79"/>
      <c r="CJ899" s="71"/>
      <c r="CK899" s="79">
        <f t="shared" ref="CK899" si="1263">COUNTIF(CL899:CQ899,"*")</f>
        <v>0</v>
      </c>
      <c r="CL899" s="79"/>
      <c r="CM899" s="79"/>
      <c r="CN899" s="79"/>
      <c r="CO899" s="79"/>
      <c r="CP899" s="79"/>
      <c r="CQ899" s="79"/>
      <c r="CR899" s="83"/>
      <c r="CS899" s="83"/>
      <c r="CT899" s="83"/>
      <c r="CU899" s="83"/>
      <c r="CV899" s="83"/>
      <c r="CW899" s="83"/>
      <c r="CX899" s="79"/>
      <c r="CY899" s="79">
        <f t="shared" si="1258"/>
        <v>0</v>
      </c>
      <c r="CZ899" s="79">
        <v>0</v>
      </c>
      <c r="DA899" s="79">
        <f t="shared" ref="DA899" si="1264">COUNTIF(CR899:CW899,"Realizado y Devuelto a la Ciudadanía")</f>
        <v>0</v>
      </c>
      <c r="DB899" s="84" t="str">
        <f t="shared" ref="DB899" si="1265">IFERROR(CY899/CK899,"")</f>
        <v/>
      </c>
      <c r="DC899" s="41"/>
      <c r="DD899" s="79"/>
      <c r="DE899" s="71"/>
      <c r="DF899" s="127" t="s">
        <v>6066</v>
      </c>
      <c r="DG899" s="79"/>
      <c r="DH899" s="86">
        <f t="shared" ref="DH899:DH901" si="1266">IF(EE899="Por completar",C899+3,"Completo")</f>
        <v>45547</v>
      </c>
      <c r="DI899" s="79"/>
      <c r="DJ899" s="79"/>
      <c r="DK899" s="79"/>
      <c r="DL899" s="79">
        <v>0</v>
      </c>
      <c r="DM899" s="79">
        <v>0</v>
      </c>
      <c r="DN899" s="79"/>
      <c r="DO899" s="79"/>
      <c r="DP899" s="79"/>
      <c r="DQ899" s="79"/>
      <c r="DR899" s="75" t="str">
        <f t="shared" ref="DR899" si="1267">IF(H899="SÍ", (DQ899/(BZ899*0.3)), "No aplica")</f>
        <v>No aplica</v>
      </c>
      <c r="DS899" s="79"/>
      <c r="DT899" s="79"/>
      <c r="DU899" s="75" t="str">
        <f t="shared" ref="DU899" si="1268">IF(H899="SÍ", (DT899/(BZ899*0.35)), "No aplica")</f>
        <v>No aplica</v>
      </c>
      <c r="DV899" s="79"/>
      <c r="DW899" s="79"/>
      <c r="DX899" s="79"/>
      <c r="DY899" s="79"/>
      <c r="DZ899" s="79"/>
      <c r="EA899" s="79"/>
      <c r="EB899" s="79"/>
      <c r="EC899" s="79"/>
      <c r="ED899" s="79"/>
      <c r="EE899" s="79" t="str">
        <f t="shared" si="1260"/>
        <v>Por Completar</v>
      </c>
      <c r="EF899" s="41"/>
      <c r="EG899" s="79"/>
      <c r="EH899" s="71"/>
      <c r="EI899" s="80"/>
      <c r="EJ899" s="71"/>
      <c r="EK899" s="79"/>
      <c r="EL899" s="87" t="str">
        <f t="shared" ref="EL899:EL901" si="1269">IF(F899="NO","No requiere",IF(H899="No","No requiere",IF(DW899="","",IF(DW899&lt;&gt;"No aplica",IF(DX899&lt;&gt;"No aplica",IF(DX899&gt;=2,"Sí","No"),"No aplica"),"No aplica"))))</f>
        <v>No requiere</v>
      </c>
      <c r="EM899" s="87" t="str">
        <f t="shared" ref="EM899:EM901" si="1270">IF(F899="NO","No requiere",IF(H899="No","No requiere",IF(DW899="","",IF(DW899&lt;&gt;"No aplica",IF(DY899&lt;&gt;"No aplica",IF(DY899&gt;=1,"Sí","No"),"No aplica"),"No aplica"))))</f>
        <v>No requiere</v>
      </c>
      <c r="EN899" s="87" t="str">
        <f t="shared" si="1261"/>
        <v>No requiere</v>
      </c>
      <c r="EO899" s="71"/>
      <c r="EP899" s="84" t="str">
        <f t="shared" ref="EP899:EP901" si="1271">IF(F899="NO","No requiere",IF(H899="No","No requiere",IF(DL899="","",IF(DL899&gt;=1,DM899/DL899,"No aplica"))))</f>
        <v>No requiere</v>
      </c>
      <c r="EQ899" s="88" t="str">
        <f t="shared" ref="EQ899:EQ901" si="1272">IFERROR(IF(F899="NO","No requiere",IF(H899="No","No requiere",DU899)),"")</f>
        <v>No requiere</v>
      </c>
      <c r="ER899" s="71"/>
      <c r="ES899" s="79"/>
      <c r="ET899" s="84" t="str">
        <f t="shared" si="1138"/>
        <v>No requiere</v>
      </c>
      <c r="EU899" s="84" t="str">
        <f>IF(F899="NO","No requiere",IF(H899="No","No requiere",IF(#REF!="","",IF(CX899="SÍ",IF(CK899&gt;=1,CY899/CK899,"Sin compromisos"),"Por verificar"))))</f>
        <v>No requiere</v>
      </c>
      <c r="EV899" s="84" t="str">
        <f t="shared" si="1140"/>
        <v>No requiere</v>
      </c>
      <c r="EW899" s="84" t="str">
        <f t="shared" ref="EW899:EW901" si="1273">IF(F899="NO","No requiere",IF(H899="No","No requiere",IFERROR(IF(BZ899="","",IF(EA899&lt;&gt;"No aplica",IF(EA899&gt;=1,DO899/EA899,"0%"),"No aplica")),"")))</f>
        <v>No requiere</v>
      </c>
      <c r="EX899" s="78"/>
      <c r="EY899" s="78"/>
    </row>
    <row r="900" spans="1:215" ht="66.75" customHeight="1">
      <c r="A900" s="79">
        <v>896</v>
      </c>
      <c r="B900" s="80" t="s">
        <v>6067</v>
      </c>
      <c r="C900" s="81">
        <v>45544</v>
      </c>
      <c r="D900" s="82">
        <v>0.33333333333333331</v>
      </c>
      <c r="E900" s="79" t="s">
        <v>151</v>
      </c>
      <c r="F900" s="79" t="s">
        <v>153</v>
      </c>
      <c r="G900" s="79" t="s">
        <v>153</v>
      </c>
      <c r="H900" s="79" t="s">
        <v>152</v>
      </c>
      <c r="I900" s="79" t="s">
        <v>152</v>
      </c>
      <c r="J900" s="79" t="s">
        <v>2153</v>
      </c>
      <c r="K900" s="79" t="s">
        <v>155</v>
      </c>
      <c r="L900" s="80" t="s">
        <v>6068</v>
      </c>
      <c r="M900" s="80" t="s">
        <v>624</v>
      </c>
      <c r="N900" s="79" t="s">
        <v>5852</v>
      </c>
      <c r="O900" s="80" t="str">
        <f>_xlfn.TEXTJOIN(", ",TRUE,P900:AN900)</f>
        <v>Andres Castro Latorre, Julián Camilo Taylor , Mario Fernández, Nixon Sandoval Mateus, Angie Pérez Sandoval, Paola Andrea González, Armando Alberto Montañez</v>
      </c>
      <c r="P900" s="79" t="s">
        <v>749</v>
      </c>
      <c r="Q900" s="79" t="s">
        <v>5846</v>
      </c>
      <c r="R900" s="79" t="s">
        <v>5764</v>
      </c>
      <c r="S900" s="161" t="s">
        <v>644</v>
      </c>
      <c r="T900" s="79" t="s">
        <v>5923</v>
      </c>
      <c r="U900" s="79" t="s">
        <v>924</v>
      </c>
      <c r="V900" s="79" t="s">
        <v>1387</v>
      </c>
      <c r="W900" s="79"/>
      <c r="X900" s="79"/>
      <c r="Y900" s="79"/>
      <c r="Z900" s="79"/>
      <c r="AA900" s="79"/>
      <c r="AB900" s="79"/>
      <c r="AC900" s="79"/>
      <c r="AD900" s="79"/>
      <c r="AE900" s="79"/>
      <c r="AF900" s="79"/>
      <c r="AG900" s="79"/>
      <c r="AH900" s="79"/>
      <c r="AI900" s="79"/>
      <c r="AJ900" s="79"/>
      <c r="AK900" s="79"/>
      <c r="AL900" s="79"/>
      <c r="AM900" s="79"/>
      <c r="AN900" s="79"/>
      <c r="AO900" s="79" t="s">
        <v>1226</v>
      </c>
      <c r="AP900" s="79"/>
      <c r="AQ900" s="373" t="s">
        <v>171</v>
      </c>
      <c r="AR900" s="373" t="s">
        <v>171</v>
      </c>
      <c r="AS900" s="373" t="s">
        <v>171</v>
      </c>
      <c r="AT900" s="80" t="str">
        <f>_xlfn.TEXTJOIN(", ",TRUE,$AU900:$AY900)</f>
        <v>Antonio Nariño</v>
      </c>
      <c r="AU900" s="79" t="s">
        <v>634</v>
      </c>
      <c r="AV900" s="79"/>
      <c r="AW900" s="79"/>
      <c r="AX900" s="79"/>
      <c r="AY900" s="79"/>
      <c r="AZ900" s="79"/>
      <c r="BA900" s="80" t="str">
        <f>_xlfn.TEXTJOIN(", ",TRUE,$BB900:$BG900)</f>
        <v>Centro Ampliado</v>
      </c>
      <c r="BB900" s="79" t="s">
        <v>636</v>
      </c>
      <c r="BC900" s="79"/>
      <c r="BD900" s="79"/>
      <c r="BE900" s="79"/>
      <c r="BF900" s="79"/>
      <c r="BG900" s="79"/>
      <c r="BH900" s="80" t="str">
        <f>_xlfn.TEXTJOIN(", ",TRUE,$BI900:$BR900)</f>
        <v>Restrepo</v>
      </c>
      <c r="BI900" s="79" t="s">
        <v>637</v>
      </c>
      <c r="BJ900" s="79"/>
      <c r="BK900" s="79"/>
      <c r="BL900" s="79"/>
      <c r="BM900" s="79"/>
      <c r="BN900" s="79"/>
      <c r="BO900" s="79"/>
      <c r="BP900" s="79"/>
      <c r="BQ900" s="79"/>
      <c r="BR900" s="79"/>
      <c r="BS900" s="80" t="s">
        <v>179</v>
      </c>
      <c r="BT900" s="80" t="s">
        <v>2447</v>
      </c>
      <c r="BU900" s="68" t="s">
        <v>6069</v>
      </c>
      <c r="BV900" s="71"/>
      <c r="BW900" s="79" t="s">
        <v>152</v>
      </c>
      <c r="BX900" s="79" t="s">
        <v>179</v>
      </c>
      <c r="BY900" s="71"/>
      <c r="BZ900" s="79"/>
      <c r="CA900" s="79"/>
      <c r="CB900" s="79">
        <f>BZ900+CA900</f>
        <v>0</v>
      </c>
      <c r="CC900" s="79" t="s">
        <v>316</v>
      </c>
      <c r="CD900" s="79"/>
      <c r="CE900" s="79"/>
      <c r="CF900" s="79"/>
      <c r="CG900" s="83"/>
      <c r="CH900" s="41"/>
      <c r="CI900" s="79"/>
      <c r="CJ900" s="71"/>
      <c r="CK900" s="79">
        <v>0</v>
      </c>
      <c r="CL900" s="79"/>
      <c r="CM900" s="79"/>
      <c r="CN900" s="79"/>
      <c r="CO900" s="79"/>
      <c r="CP900" s="79"/>
      <c r="CQ900" s="79"/>
      <c r="CR900" s="83"/>
      <c r="CS900" s="83"/>
      <c r="CT900" s="83"/>
      <c r="CU900" s="83"/>
      <c r="CV900" s="83"/>
      <c r="CW900" s="83"/>
      <c r="CX900" s="79"/>
      <c r="CY900" s="79">
        <v>0</v>
      </c>
      <c r="CZ900" s="79">
        <v>0</v>
      </c>
      <c r="DA900" s="79">
        <v>0</v>
      </c>
      <c r="DB900" s="84"/>
      <c r="DC900" s="41"/>
      <c r="DD900" s="79"/>
      <c r="DE900" s="71"/>
      <c r="DF900" s="127" t="s">
        <v>6070</v>
      </c>
      <c r="DG900" s="79"/>
      <c r="DH900" s="86">
        <f>IF(EE900="Por completar",C900+3,"Completo")</f>
        <v>45547</v>
      </c>
      <c r="DI900" s="79"/>
      <c r="DJ900" s="79"/>
      <c r="DK900" s="79"/>
      <c r="DL900" s="79">
        <v>0</v>
      </c>
      <c r="DM900" s="79">
        <v>0</v>
      </c>
      <c r="DN900" s="79"/>
      <c r="DO900" s="79"/>
      <c r="DP900" s="79"/>
      <c r="DQ900" s="79"/>
      <c r="DR900" s="75" t="s">
        <v>179</v>
      </c>
      <c r="DS900" s="79"/>
      <c r="DT900" s="79"/>
      <c r="DU900" s="75" t="s">
        <v>179</v>
      </c>
      <c r="DV900" s="79"/>
      <c r="DW900" s="79"/>
      <c r="DX900" s="79"/>
      <c r="DY900" s="79"/>
      <c r="DZ900" s="79"/>
      <c r="EA900" s="79"/>
      <c r="EB900" s="79"/>
      <c r="EC900" s="79"/>
      <c r="ED900" s="79"/>
      <c r="EE900" s="79" t="str">
        <f>IF(DI900="Subsanado","Completo","Por Completar")</f>
        <v>Por Completar</v>
      </c>
      <c r="EF900" s="41"/>
      <c r="EG900" s="79"/>
      <c r="EH900" s="71"/>
      <c r="EI900" s="80"/>
      <c r="EJ900" s="71"/>
      <c r="EK900" s="87"/>
      <c r="EL900" s="87" t="str">
        <f>IF(F900="NO","No requiere",IF(H900="No","No requiere",IF(DW900="","",IF(DW900&lt;&gt;"No aplica",IF(DX900&lt;&gt;"No aplica",IF(DX900&gt;=2,"Sí","No"),"No aplica"),"No aplica"))))</f>
        <v>No requiere</v>
      </c>
      <c r="EM900" s="87" t="str">
        <f>IF(F900="NO","No requiere",IF(H900="No","No requiere",IF(DW900="","",IF(DW900&lt;&gt;"No aplica",IF(DY900&lt;&gt;"No aplica",IF(DY900&gt;=1,"Sí","No"),"No aplica"),"No aplica"))))</f>
        <v>No requiere</v>
      </c>
      <c r="EN900" s="87" t="str">
        <f>IF(F900="NO","No requiere",IF(H900="No","No requiere",IF(CC900="","",IF(CD900&lt;&gt;"No aplica",IF(CD900&lt;&gt;"Ninguna",IF(COUNTIF(CD900:CF900,"*")&gt;=1,"Sí","No"),"No"),"No aplica"))))</f>
        <v>No requiere</v>
      </c>
      <c r="EO900" s="71"/>
      <c r="EP900" s="84" t="str">
        <f>IF(F900="NO","No requiere",IF(H900="No","No requiere",IF(DL900="","",IF(DL900&gt;=1,DM900/DL900,"No aplica"))))</f>
        <v>No requiere</v>
      </c>
      <c r="EQ900" s="88" t="str">
        <f>IFERROR(IF(F900="NO","No requiere",IF(H900="No","No requiere",DU900)),"")</f>
        <v>No requiere</v>
      </c>
      <c r="ER900" s="71"/>
      <c r="ES900" s="79"/>
      <c r="ET900" s="84" t="str">
        <f>IF(F900="NO","No requiere",IF(H900="No","No requiere",IFERROR(COUNTIF(DJ900:DW900,"Completo")/SUM(COUNTIF(DJ900:DW900,"Completo"),COUNTIF(DJ900:DW900,"Incompleto"),COUNTIF(DJ900:DW900,"No subido"),COUNTIF(DJ900:DW900,"No existente"),COUNTIF(DJ900:DW900,"Pendiente")),"")))</f>
        <v>No requiere</v>
      </c>
      <c r="EU900" s="84" t="str">
        <f>IF(F900="NO","No requiere",IF(H900="No","No requiere",IF(B900="","",IF(CX900="SÍ",IF(CK900&gt;=1,CY900/CK900,"Sin compromisos"),"Por verificar"))))</f>
        <v>No requiere</v>
      </c>
      <c r="EV900" s="84" t="str">
        <f>IF(EU900="Por verificar","Por verificar",IF(F900="NO","No requiere",IF(H900="No","No requiere",IFERROR(IF(EU900="","",IF(CK900&gt;=1,DA900/CZ900,"No aplica")),"No aplica"))))</f>
        <v>No requiere</v>
      </c>
      <c r="EW900" s="84" t="str">
        <f>IF(F900="NO","No requiere",IF(H900="No","No requiere",IFERROR(IF(BZ900="","",IF(EA900&lt;&gt;"No aplica",IF(EA900&gt;=1,DO900/EA900,"0%"),"No aplica")),"")))</f>
        <v>No requiere</v>
      </c>
      <c r="EX900" s="78"/>
      <c r="EY900" s="78"/>
    </row>
    <row r="901" spans="1:215" ht="66.75" customHeight="1">
      <c r="A901" s="79">
        <v>897</v>
      </c>
      <c r="B901" s="80" t="s">
        <v>6071</v>
      </c>
      <c r="C901" s="81">
        <v>45544</v>
      </c>
      <c r="D901" s="82">
        <v>0.58333333333333337</v>
      </c>
      <c r="E901" s="79" t="s">
        <v>151</v>
      </c>
      <c r="F901" s="79" t="s">
        <v>153</v>
      </c>
      <c r="G901" s="79" t="s">
        <v>153</v>
      </c>
      <c r="H901" s="79" t="s">
        <v>152</v>
      </c>
      <c r="I901" s="79" t="s">
        <v>152</v>
      </c>
      <c r="J901" s="79" t="s">
        <v>2153</v>
      </c>
      <c r="K901" s="79" t="s">
        <v>155</v>
      </c>
      <c r="L901" s="80" t="s">
        <v>6072</v>
      </c>
      <c r="M901" s="80" t="s">
        <v>624</v>
      </c>
      <c r="N901" s="79" t="s">
        <v>5852</v>
      </c>
      <c r="O901" s="80" t="str">
        <f>_xlfn.TEXTJOIN(", ",TRUE,P901:AN901)</f>
        <v>Viviana Buriticá Peláez, David Reinaldo Jojoa, William Eduardo Quintero, William Arturo González , Sebastian Potes Buitrago , Juan Pablo Serna, Laura Camila Bechara</v>
      </c>
      <c r="P901" s="79" t="s">
        <v>5825</v>
      </c>
      <c r="Q901" s="79" t="s">
        <v>548</v>
      </c>
      <c r="R901" s="79" t="s">
        <v>6073</v>
      </c>
      <c r="S901" s="79" t="s">
        <v>5892</v>
      </c>
      <c r="T901" s="79" t="s">
        <v>5920</v>
      </c>
      <c r="U901" s="79" t="s">
        <v>818</v>
      </c>
      <c r="V901" s="79" t="s">
        <v>887</v>
      </c>
      <c r="W901" s="79"/>
      <c r="X901" s="79"/>
      <c r="Y901" s="79"/>
      <c r="Z901" s="79"/>
      <c r="AA901" s="79"/>
      <c r="AB901" s="79"/>
      <c r="AC901" s="79"/>
      <c r="AD901" s="79"/>
      <c r="AE901" s="79"/>
      <c r="AF901" s="79"/>
      <c r="AG901" s="79"/>
      <c r="AH901" s="79"/>
      <c r="AI901" s="79"/>
      <c r="AJ901" s="79"/>
      <c r="AK901" s="79"/>
      <c r="AL901" s="79"/>
      <c r="AM901" s="79"/>
      <c r="AN901" s="79"/>
      <c r="AO901" s="79" t="s">
        <v>1226</v>
      </c>
      <c r="AP901" s="79"/>
      <c r="AQ901" s="373" t="s">
        <v>171</v>
      </c>
      <c r="AR901" s="373" t="s">
        <v>171</v>
      </c>
      <c r="AS901" s="373" t="s">
        <v>171</v>
      </c>
      <c r="AT901" s="80" t="str">
        <f t="shared" si="950"/>
        <v>Antonio Nariño</v>
      </c>
      <c r="AU901" s="79" t="s">
        <v>634</v>
      </c>
      <c r="AV901" s="79"/>
      <c r="AW901" s="79"/>
      <c r="AX901" s="79"/>
      <c r="AY901" s="79"/>
      <c r="AZ901" s="79"/>
      <c r="BA901" s="80" t="str">
        <f t="shared" si="1000"/>
        <v>Centro Ampliado</v>
      </c>
      <c r="BB901" s="79" t="s">
        <v>636</v>
      </c>
      <c r="BC901" s="79"/>
      <c r="BD901" s="79"/>
      <c r="BE901" s="79"/>
      <c r="BF901" s="79"/>
      <c r="BG901" s="79"/>
      <c r="BH901" s="80" t="str">
        <f t="shared" si="1001"/>
        <v>Restrepo</v>
      </c>
      <c r="BI901" s="79" t="s">
        <v>637</v>
      </c>
      <c r="BJ901" s="79"/>
      <c r="BK901" s="79"/>
      <c r="BL901" s="79"/>
      <c r="BM901" s="79"/>
      <c r="BN901" s="79"/>
      <c r="BO901" s="79"/>
      <c r="BP901" s="79"/>
      <c r="BQ901" s="79"/>
      <c r="BR901" s="79"/>
      <c r="BS901" s="80" t="s">
        <v>179</v>
      </c>
      <c r="BT901" s="80" t="s">
        <v>2447</v>
      </c>
      <c r="BU901" s="68"/>
      <c r="BV901" s="71"/>
      <c r="BW901" s="79" t="s">
        <v>152</v>
      </c>
      <c r="BX901" s="79" t="s">
        <v>179</v>
      </c>
      <c r="BY901" s="71"/>
      <c r="BZ901" s="79"/>
      <c r="CA901" s="79"/>
      <c r="CB901" s="79">
        <f t="shared" ref="CB901" si="1274">BZ901+CA901</f>
        <v>0</v>
      </c>
      <c r="CC901" s="79" t="s">
        <v>316</v>
      </c>
      <c r="CD901" s="79"/>
      <c r="CE901" s="79"/>
      <c r="CF901" s="79"/>
      <c r="CG901" s="83"/>
      <c r="CH901" s="41"/>
      <c r="CI901" s="79"/>
      <c r="CJ901" s="71"/>
      <c r="CK901" s="79">
        <v>0</v>
      </c>
      <c r="CL901" s="79"/>
      <c r="CM901" s="79"/>
      <c r="CN901" s="79"/>
      <c r="CO901" s="79"/>
      <c r="CP901" s="79"/>
      <c r="CQ901" s="79"/>
      <c r="CR901" s="83"/>
      <c r="CS901" s="83"/>
      <c r="CT901" s="83"/>
      <c r="CU901" s="83"/>
      <c r="CV901" s="83"/>
      <c r="CW901" s="83"/>
      <c r="CX901" s="79"/>
      <c r="CY901" s="79">
        <v>0</v>
      </c>
      <c r="CZ901" s="79">
        <v>0</v>
      </c>
      <c r="DA901" s="79">
        <v>0</v>
      </c>
      <c r="DB901" s="84"/>
      <c r="DC901" s="41"/>
      <c r="DD901" s="79"/>
      <c r="DE901" s="71"/>
      <c r="DF901" s="127" t="s">
        <v>6074</v>
      </c>
      <c r="DG901" s="79"/>
      <c r="DH901" s="86">
        <f t="shared" si="1266"/>
        <v>45547</v>
      </c>
      <c r="DI901" s="79"/>
      <c r="DJ901" s="79"/>
      <c r="DK901" s="79"/>
      <c r="DL901" s="79">
        <v>0</v>
      </c>
      <c r="DM901" s="79">
        <v>0</v>
      </c>
      <c r="DN901" s="79"/>
      <c r="DO901" s="79"/>
      <c r="DP901" s="79"/>
      <c r="DQ901" s="79"/>
      <c r="DR901" s="75" t="s">
        <v>179</v>
      </c>
      <c r="DS901" s="79"/>
      <c r="DT901" s="79"/>
      <c r="DU901" s="75" t="s">
        <v>179</v>
      </c>
      <c r="DV901" s="79"/>
      <c r="DW901" s="79"/>
      <c r="DX901" s="79"/>
      <c r="DY901" s="79"/>
      <c r="DZ901" s="79"/>
      <c r="EA901" s="79"/>
      <c r="EB901" s="79"/>
      <c r="EC901" s="79"/>
      <c r="ED901" s="79"/>
      <c r="EE901" s="79" t="str">
        <f t="shared" ref="EE901" si="1275">IF(DI901="Subsanado","Completo","Por Completar")</f>
        <v>Por Completar</v>
      </c>
      <c r="EF901" s="41"/>
      <c r="EG901" s="79"/>
      <c r="EH901" s="71"/>
      <c r="EI901" s="80"/>
      <c r="EJ901" s="71"/>
      <c r="EK901" s="87"/>
      <c r="EL901" s="87" t="str">
        <f t="shared" si="1269"/>
        <v>No requiere</v>
      </c>
      <c r="EM901" s="87" t="str">
        <f t="shared" si="1270"/>
        <v>No requiere</v>
      </c>
      <c r="EN901" s="87" t="str">
        <f t="shared" ref="EN901" si="1276">IF(F901="NO","No requiere",IF(H901="No","No requiere",IF(CC901="","",IF(CD901&lt;&gt;"No aplica",IF(CD901&lt;&gt;"Ninguna",IF(COUNTIF(CD901:CF901,"*")&gt;=1,"Sí","No"),"No"),"No aplica"))))</f>
        <v>No requiere</v>
      </c>
      <c r="EO901" s="71"/>
      <c r="EP901" s="84" t="str">
        <f t="shared" si="1271"/>
        <v>No requiere</v>
      </c>
      <c r="EQ901" s="88" t="str">
        <f t="shared" si="1272"/>
        <v>No requiere</v>
      </c>
      <c r="ER901" s="71"/>
      <c r="ES901" s="79"/>
      <c r="ET901" s="84" t="str">
        <f t="shared" ref="ET901" si="1277">IF(F901="NO","No requiere",IF(H901="No","No requiere",IFERROR(COUNTIF(DJ901:DW901,"Completo")/SUM(COUNTIF(DJ901:DW901,"Completo"),COUNTIF(DJ901:DW901,"Incompleto"),COUNTIF(DJ901:DW901,"No subido"),COUNTIF(DJ901:DW901,"No existente"),COUNTIF(DJ901:DW901,"Pendiente")),"")))</f>
        <v>No requiere</v>
      </c>
      <c r="EU901" s="84" t="str">
        <f t="shared" ref="EU901" si="1278">IF(F901="NO","No requiere",IF(H901="No","No requiere",IF(B901="","",IF(CX901="SÍ",IF(CK901&gt;=1,CY901/CK901,"Sin compromisos"),"Por verificar"))))</f>
        <v>No requiere</v>
      </c>
      <c r="EV901" s="84" t="str">
        <f t="shared" ref="EV901" si="1279">IF(EU901="Por verificar","Por verificar",IF(F901="NO","No requiere",IF(H901="No","No requiere",IFERROR(IF(EU901="","",IF(CK901&gt;=1,DA901/CZ901,"No aplica")),"No aplica"))))</f>
        <v>No requiere</v>
      </c>
      <c r="EW901" s="84" t="str">
        <f t="shared" si="1273"/>
        <v>No requiere</v>
      </c>
      <c r="EX901" s="78"/>
      <c r="EY901" s="78"/>
    </row>
    <row r="902" spans="1:215" ht="66.75" customHeight="1">
      <c r="A902" s="79">
        <v>898</v>
      </c>
      <c r="B902" s="80" t="s">
        <v>6075</v>
      </c>
      <c r="C902" s="81">
        <v>45545</v>
      </c>
      <c r="D902" s="82">
        <v>0.33333333333333331</v>
      </c>
      <c r="E902" s="79" t="s">
        <v>151</v>
      </c>
      <c r="F902" s="79" t="s">
        <v>153</v>
      </c>
      <c r="G902" s="79" t="s">
        <v>153</v>
      </c>
      <c r="H902" s="79" t="s">
        <v>152</v>
      </c>
      <c r="I902" s="79" t="s">
        <v>152</v>
      </c>
      <c r="J902" s="79" t="s">
        <v>2153</v>
      </c>
      <c r="K902" s="79" t="s">
        <v>155</v>
      </c>
      <c r="L902" s="80" t="s">
        <v>6076</v>
      </c>
      <c r="M902" s="80" t="s">
        <v>624</v>
      </c>
      <c r="N902" s="79" t="s">
        <v>5852</v>
      </c>
      <c r="O902" s="80" t="str">
        <f>_xlfn.TEXTJOIN(", ",TRUE,P902:AN902)</f>
        <v>PENDIENTE, PENDIENTE, PENDIENTE, PENDIENTE, PENDIENTE, PENDIENTE, PENDIENTE</v>
      </c>
      <c r="P902" s="79" t="s">
        <v>196</v>
      </c>
      <c r="Q902" s="79" t="s">
        <v>196</v>
      </c>
      <c r="R902" s="79" t="s">
        <v>196</v>
      </c>
      <c r="S902" s="161" t="s">
        <v>196</v>
      </c>
      <c r="T902" s="79" t="s">
        <v>196</v>
      </c>
      <c r="U902" s="79" t="s">
        <v>196</v>
      </c>
      <c r="V902" s="79" t="s">
        <v>196</v>
      </c>
      <c r="W902" s="79"/>
      <c r="X902" s="79"/>
      <c r="Y902" s="79"/>
      <c r="Z902" s="79"/>
      <c r="AA902" s="79"/>
      <c r="AB902" s="79"/>
      <c r="AC902" s="79"/>
      <c r="AD902" s="79"/>
      <c r="AE902" s="79"/>
      <c r="AF902" s="79"/>
      <c r="AG902" s="79"/>
      <c r="AH902" s="79"/>
      <c r="AI902" s="79"/>
      <c r="AJ902" s="79"/>
      <c r="AK902" s="79"/>
      <c r="AL902" s="79"/>
      <c r="AM902" s="79"/>
      <c r="AN902" s="79"/>
      <c r="AO902" s="79" t="s">
        <v>1226</v>
      </c>
      <c r="AP902" s="79"/>
      <c r="AQ902" s="373" t="s">
        <v>171</v>
      </c>
      <c r="AR902" s="373" t="s">
        <v>171</v>
      </c>
      <c r="AS902" s="373" t="s">
        <v>171</v>
      </c>
      <c r="AT902" s="80" t="str">
        <f t="shared" si="950"/>
        <v>Usme</v>
      </c>
      <c r="AU902" s="79" t="s">
        <v>1009</v>
      </c>
      <c r="AV902" s="79"/>
      <c r="AW902" s="79"/>
      <c r="AX902" s="79"/>
      <c r="AY902" s="79"/>
      <c r="AZ902" s="79"/>
      <c r="BA902" s="80" t="str">
        <f t="shared" si="1000"/>
        <v>Suroriente</v>
      </c>
      <c r="BB902" s="79" t="s">
        <v>218</v>
      </c>
      <c r="BC902" s="79"/>
      <c r="BD902" s="79"/>
      <c r="BE902" s="79"/>
      <c r="BF902" s="79"/>
      <c r="BG902" s="79"/>
      <c r="BH902" s="80" t="str">
        <f t="shared" si="1001"/>
        <v>Usme Entrenubes</v>
      </c>
      <c r="BI902" s="79" t="s">
        <v>1010</v>
      </c>
      <c r="BJ902" s="79"/>
      <c r="BK902" s="79"/>
      <c r="BL902" s="79"/>
      <c r="BM902" s="79"/>
      <c r="BN902" s="79"/>
      <c r="BO902" s="79"/>
      <c r="BP902" s="79"/>
      <c r="BQ902" s="79"/>
      <c r="BR902" s="79"/>
      <c r="BS902" s="80" t="s">
        <v>179</v>
      </c>
      <c r="BT902" s="80" t="s">
        <v>2447</v>
      </c>
      <c r="BU902" s="68" t="s">
        <v>6077</v>
      </c>
      <c r="BV902" s="71"/>
      <c r="BW902" s="79" t="s">
        <v>152</v>
      </c>
      <c r="BX902" s="79" t="s">
        <v>179</v>
      </c>
      <c r="BY902" s="71"/>
      <c r="BZ902" s="79"/>
      <c r="CA902" s="79"/>
      <c r="CB902" s="79">
        <f t="shared" si="1256"/>
        <v>0</v>
      </c>
      <c r="CC902" s="79" t="s">
        <v>316</v>
      </c>
      <c r="CD902" s="79"/>
      <c r="CE902" s="79"/>
      <c r="CF902" s="79"/>
      <c r="CG902" s="83"/>
      <c r="CH902" s="41"/>
      <c r="CI902" s="79"/>
      <c r="CJ902" s="71"/>
      <c r="CK902" s="79">
        <v>0</v>
      </c>
      <c r="CL902" s="79"/>
      <c r="CM902" s="79"/>
      <c r="CN902" s="79"/>
      <c r="CO902" s="79"/>
      <c r="CP902" s="79"/>
      <c r="CQ902" s="79"/>
      <c r="CR902" s="83"/>
      <c r="CS902" s="83"/>
      <c r="CT902" s="83"/>
      <c r="CU902" s="83"/>
      <c r="CV902" s="83"/>
      <c r="CW902" s="83"/>
      <c r="CX902" s="79"/>
      <c r="CY902" s="79">
        <v>0</v>
      </c>
      <c r="CZ902" s="79">
        <v>0</v>
      </c>
      <c r="DA902" s="79">
        <v>0</v>
      </c>
      <c r="DB902" s="84" t="s">
        <v>316</v>
      </c>
      <c r="DC902" s="41"/>
      <c r="DD902" s="79"/>
      <c r="DE902" s="71"/>
      <c r="DF902" s="127" t="s">
        <v>6078</v>
      </c>
      <c r="DG902" s="79"/>
      <c r="DH902" s="86">
        <f t="shared" si="722"/>
        <v>45548</v>
      </c>
      <c r="DI902" s="79"/>
      <c r="DJ902" s="79"/>
      <c r="DK902" s="79"/>
      <c r="DL902" s="79">
        <v>0</v>
      </c>
      <c r="DM902" s="79">
        <v>0</v>
      </c>
      <c r="DN902" s="79"/>
      <c r="DO902" s="79"/>
      <c r="DP902" s="79"/>
      <c r="DQ902" s="79"/>
      <c r="DR902" s="75" t="s">
        <v>179</v>
      </c>
      <c r="DS902" s="79"/>
      <c r="DT902" s="79"/>
      <c r="DU902" s="75" t="s">
        <v>179</v>
      </c>
      <c r="DV902" s="79"/>
      <c r="DW902" s="79"/>
      <c r="DX902" s="79"/>
      <c r="DY902" s="79"/>
      <c r="DZ902" s="79"/>
      <c r="EA902" s="79"/>
      <c r="EB902" s="79"/>
      <c r="EC902" s="79"/>
      <c r="ED902" s="79"/>
      <c r="EE902" s="79" t="str">
        <f t="shared" si="1260"/>
        <v>Por Completar</v>
      </c>
      <c r="EF902" s="41"/>
      <c r="EG902" s="79"/>
      <c r="EH902" s="71"/>
      <c r="EI902" s="80"/>
      <c r="EJ902" s="71"/>
      <c r="EK902" s="87"/>
      <c r="EL902" s="87" t="str">
        <f t="shared" si="942"/>
        <v>No requiere</v>
      </c>
      <c r="EM902" s="87" t="str">
        <f t="shared" si="943"/>
        <v>No requiere</v>
      </c>
      <c r="EN902" s="87" t="str">
        <f t="shared" si="1261"/>
        <v>No requiere</v>
      </c>
      <c r="EO902" s="71"/>
      <c r="EP902" s="84" t="str">
        <f t="shared" si="945"/>
        <v>No requiere</v>
      </c>
      <c r="EQ902" s="88" t="str">
        <f t="shared" si="946"/>
        <v>No requiere</v>
      </c>
      <c r="ER902" s="71"/>
      <c r="ES902" s="79"/>
      <c r="ET902" s="84" t="str">
        <f t="shared" si="1138"/>
        <v>No requiere</v>
      </c>
      <c r="EU902" s="84" t="str">
        <f t="shared" si="1139"/>
        <v>No requiere</v>
      </c>
      <c r="EV902" s="84" t="str">
        <f t="shared" si="1140"/>
        <v>No requiere</v>
      </c>
      <c r="EW902" s="84" t="str">
        <f t="shared" si="1141"/>
        <v>No requiere</v>
      </c>
      <c r="EX902" s="78"/>
      <c r="EY902" s="78"/>
    </row>
    <row r="903" spans="1:215" ht="66.75" customHeight="1">
      <c r="A903" s="79" t="str">
        <v/>
      </c>
      <c r="B903" s="80" t="s">
        <v>6079</v>
      </c>
      <c r="C903" s="81">
        <v>45545</v>
      </c>
      <c r="D903" s="82">
        <v>0.375</v>
      </c>
      <c r="E903" s="79" t="s">
        <v>151</v>
      </c>
      <c r="F903" s="79" t="s">
        <v>152</v>
      </c>
      <c r="G903" s="79" t="s">
        <v>153</v>
      </c>
      <c r="H903" s="79" t="s">
        <v>152</v>
      </c>
      <c r="I903" s="79" t="s">
        <v>152</v>
      </c>
      <c r="J903" s="79" t="s">
        <v>251</v>
      </c>
      <c r="K903" s="79" t="s">
        <v>155</v>
      </c>
      <c r="L903" s="80" t="s">
        <v>6080</v>
      </c>
      <c r="M903" s="80" t="s">
        <v>624</v>
      </c>
      <c r="N903" s="79" t="s">
        <v>422</v>
      </c>
      <c r="O903" s="80" t="str">
        <f t="shared" si="636"/>
        <v/>
      </c>
      <c r="P903" s="79"/>
      <c r="Q903" s="79"/>
      <c r="R903" s="79"/>
      <c r="S903" s="161"/>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t="s">
        <v>169</v>
      </c>
      <c r="AP903" s="79" t="s">
        <v>170</v>
      </c>
      <c r="AQ903" s="80" t="s">
        <v>6081</v>
      </c>
      <c r="AR903" s="83" t="s">
        <v>6082</v>
      </c>
      <c r="AS903" s="80" t="s">
        <v>6083</v>
      </c>
      <c r="AT903" s="80" t="str">
        <f>_xlfn.TEXTJOIN(", ",TRUE,$AU903:$AY903)</f>
        <v>Distrital</v>
      </c>
      <c r="AU903" s="79" t="s">
        <v>172</v>
      </c>
      <c r="AV903" s="79"/>
      <c r="AW903" s="79"/>
      <c r="AX903" s="79"/>
      <c r="AY903" s="79"/>
      <c r="AZ903" s="79"/>
      <c r="BA903" s="80" t="str">
        <f>_xlfn.TEXTJOIN(", ",TRUE,$BB903:$BG903)</f>
        <v>Distrital</v>
      </c>
      <c r="BB903" s="79" t="s">
        <v>172</v>
      </c>
      <c r="BC903" s="79"/>
      <c r="BD903" s="79"/>
      <c r="BE903" s="79"/>
      <c r="BF903" s="79"/>
      <c r="BG903" s="79"/>
      <c r="BH903" s="80" t="str">
        <f>_xlfn.TEXTJOIN(", ",TRUE,$BI903:$BR903)</f>
        <v>Distrital</v>
      </c>
      <c r="BI903" s="79" t="s">
        <v>172</v>
      </c>
      <c r="BJ903" s="79"/>
      <c r="BK903" s="79"/>
      <c r="BL903" s="79"/>
      <c r="BM903" s="79"/>
      <c r="BN903" s="79"/>
      <c r="BO903" s="79"/>
      <c r="BP903" s="79"/>
      <c r="BQ903" s="79"/>
      <c r="BR903" s="79"/>
      <c r="BS903" s="80" t="s">
        <v>179</v>
      </c>
      <c r="BT903" s="80" t="s">
        <v>2447</v>
      </c>
      <c r="BU903" s="68" t="s">
        <v>6084</v>
      </c>
      <c r="BV903" s="71"/>
      <c r="BW903" s="79" t="s">
        <v>152</v>
      </c>
      <c r="BX903" s="79" t="s">
        <v>179</v>
      </c>
      <c r="BY903" s="71"/>
      <c r="BZ903" s="79"/>
      <c r="CA903" s="79"/>
      <c r="CB903" s="79">
        <f>BZ903+CA903</f>
        <v>0</v>
      </c>
      <c r="CC903" s="79" t="s">
        <v>316</v>
      </c>
      <c r="CD903" s="79"/>
      <c r="CE903" s="79"/>
      <c r="CF903" s="79"/>
      <c r="CG903" s="83"/>
      <c r="CH903" s="41"/>
      <c r="CI903" s="79"/>
      <c r="CJ903" s="71"/>
      <c r="CK903" s="79">
        <v>0</v>
      </c>
      <c r="CL903" s="79"/>
      <c r="CM903" s="79"/>
      <c r="CN903" s="79"/>
      <c r="CO903" s="79"/>
      <c r="CP903" s="79"/>
      <c r="CQ903" s="79"/>
      <c r="CR903" s="83"/>
      <c r="CS903" s="83"/>
      <c r="CT903" s="83"/>
      <c r="CU903" s="83"/>
      <c r="CV903" s="83"/>
      <c r="CW903" s="83"/>
      <c r="CX903" s="79"/>
      <c r="CY903" s="79">
        <v>0</v>
      </c>
      <c r="CZ903" s="79">
        <v>0</v>
      </c>
      <c r="DA903" s="79">
        <v>0</v>
      </c>
      <c r="DB903" s="84" t="s">
        <v>316</v>
      </c>
      <c r="DC903" s="41"/>
      <c r="DD903" s="79"/>
      <c r="DE903" s="71"/>
      <c r="DF903" s="127" t="s">
        <v>6085</v>
      </c>
      <c r="DG903" s="79"/>
      <c r="DH903" s="86">
        <f>IF(EE903="Por completar",C903+3,"Completo")</f>
        <v>45548</v>
      </c>
      <c r="DI903" s="79"/>
      <c r="DJ903" s="79"/>
      <c r="DK903" s="79"/>
      <c r="DL903" s="79">
        <v>0</v>
      </c>
      <c r="DM903" s="79">
        <v>0</v>
      </c>
      <c r="DN903" s="79"/>
      <c r="DO903" s="79"/>
      <c r="DP903" s="79"/>
      <c r="DQ903" s="79"/>
      <c r="DR903" s="75" t="s">
        <v>179</v>
      </c>
      <c r="DS903" s="79"/>
      <c r="DT903" s="79"/>
      <c r="DU903" s="75" t="s">
        <v>179</v>
      </c>
      <c r="DV903" s="79"/>
      <c r="DW903" s="79"/>
      <c r="DX903" s="79"/>
      <c r="DY903" s="79"/>
      <c r="DZ903" s="79"/>
      <c r="EA903" s="79"/>
      <c r="EB903" s="79"/>
      <c r="EC903" s="79"/>
      <c r="ED903" s="79"/>
      <c r="EE903" s="79" t="str">
        <f t="shared" si="1260"/>
        <v>Por Completar</v>
      </c>
      <c r="EF903" s="41"/>
      <c r="EG903" s="79"/>
      <c r="EH903" s="71"/>
      <c r="EI903" s="80"/>
      <c r="EJ903" s="71"/>
      <c r="EK903" s="87"/>
      <c r="EL903" s="87" t="str">
        <f>IF(F903="NO","No requiere",IF(H903="No","No requiere",IF(DW903="","",IF(DW903&lt;&gt;"No aplica",IF(DX903&lt;&gt;"No aplica",IF(DX903&gt;=2,"Sí","No"),"No aplica"),"No aplica"))))</f>
        <v>No requiere</v>
      </c>
      <c r="EM903" s="87" t="str">
        <f>IF(F903="NO","No requiere",IF(H903="No","No requiere",IF(DW903="","",IF(DW903&lt;&gt;"No aplica",IF(DY903&lt;&gt;"No aplica",IF(DY903&gt;=1,"Sí","No"),"No aplica"),"No aplica"))))</f>
        <v>No requiere</v>
      </c>
      <c r="EN903" s="87" t="str">
        <f>IF(F903="NO","No requiere",IF(H903="No","No requiere",IF(CC903="","",IF(CD903&lt;&gt;"No aplica",IF(CD903&lt;&gt;"Ninguna",IF(COUNTIF(CD903:CF903,"*")&gt;=1,"Sí","No"),"No"),"No aplica"))))</f>
        <v>No requiere</v>
      </c>
      <c r="EO903" s="71"/>
      <c r="EP903" s="84" t="str">
        <f>IF(F903="NO","No requiere",IF(H903="No","No requiere",IF(DL903="","",IF(DL903&gt;=1,DM903/DL903,"No aplica"))))</f>
        <v>No requiere</v>
      </c>
      <c r="EQ903" s="88" t="str">
        <f>IFERROR(IF(F903="NO","No requiere",IF(H903="No","No requiere",DU903)),"")</f>
        <v>No requiere</v>
      </c>
      <c r="ER903" s="71"/>
      <c r="ES903" s="79"/>
      <c r="ET903" s="84" t="str">
        <f>IF(F903="NO","No requiere",IF(H903="No","No requiere",IFERROR(COUNTIF(DJ903:DW903,"Completo")/SUM(COUNTIF(DJ903:DW903,"Completo"),COUNTIF(DJ903:DW903,"Incompleto"),COUNTIF(DJ903:DW903,"No subido"),COUNTIF(DJ903:DW903,"No existente"),COUNTIF(DJ903:DW903,"Pendiente")),"")))</f>
        <v>No requiere</v>
      </c>
      <c r="EU903" s="84" t="str">
        <f t="shared" si="1139"/>
        <v>No requiere</v>
      </c>
      <c r="EV903" s="84" t="str">
        <f t="shared" si="1140"/>
        <v>No requiere</v>
      </c>
      <c r="EW903" s="84" t="str">
        <f t="shared" si="1141"/>
        <v>No requiere</v>
      </c>
      <c r="EX903" s="78"/>
      <c r="EY903" s="78"/>
    </row>
    <row r="904" spans="1:215" ht="66.75" customHeight="1">
      <c r="A904" s="79">
        <v>900</v>
      </c>
      <c r="B904" s="80" t="s">
        <v>3833</v>
      </c>
      <c r="C904" s="81">
        <v>45545</v>
      </c>
      <c r="D904" s="82">
        <v>0.58333333333333337</v>
      </c>
      <c r="E904" s="79" t="s">
        <v>200</v>
      </c>
      <c r="F904" s="79" t="s">
        <v>153</v>
      </c>
      <c r="G904" s="79" t="s">
        <v>152</v>
      </c>
      <c r="H904" s="79" t="s">
        <v>152</v>
      </c>
      <c r="I904" s="79" t="s">
        <v>152</v>
      </c>
      <c r="J904" s="79" t="s">
        <v>504</v>
      </c>
      <c r="K904" s="79" t="s">
        <v>155</v>
      </c>
      <c r="L904" s="80" t="s">
        <v>3834</v>
      </c>
      <c r="M904" s="80" t="s">
        <v>624</v>
      </c>
      <c r="N904" s="79" t="s">
        <v>5949</v>
      </c>
      <c r="O904" s="80" t="str">
        <f t="shared" ref="O904" si="1280">_xlfn.TEXTJOIN(", ",TRUE,P904:AN904)</f>
        <v/>
      </c>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t="s">
        <v>169</v>
      </c>
      <c r="AP904" s="79" t="s">
        <v>2702</v>
      </c>
      <c r="AQ904" s="80" t="s">
        <v>1989</v>
      </c>
      <c r="AR904" s="83" t="s">
        <v>1989</v>
      </c>
      <c r="AS904" s="80" t="s">
        <v>1989</v>
      </c>
      <c r="AT904" s="80" t="str">
        <f t="shared" si="950"/>
        <v>Chapinero</v>
      </c>
      <c r="AU904" s="79" t="s">
        <v>360</v>
      </c>
      <c r="AV904" s="79"/>
      <c r="AW904" s="79"/>
      <c r="AX904" s="79"/>
      <c r="AY904" s="79"/>
      <c r="AZ904" s="79"/>
      <c r="BA904" s="80" t="str">
        <f t="shared" si="1000"/>
        <v>Centro Ampliado</v>
      </c>
      <c r="BB904" s="79" t="s">
        <v>636</v>
      </c>
      <c r="BC904" s="79"/>
      <c r="BD904" s="79"/>
      <c r="BE904" s="79"/>
      <c r="BF904" s="79"/>
      <c r="BG904" s="79"/>
      <c r="BH904" s="80" t="str">
        <f t="shared" si="1001"/>
        <v>Chapinero</v>
      </c>
      <c r="BI904" s="79" t="s">
        <v>360</v>
      </c>
      <c r="BJ904" s="79"/>
      <c r="BK904" s="79"/>
      <c r="BL904" s="79"/>
      <c r="BM904" s="79"/>
      <c r="BN904" s="79"/>
      <c r="BO904" s="79"/>
      <c r="BP904" s="79"/>
      <c r="BQ904" s="79"/>
      <c r="BR904" s="79"/>
      <c r="BS904" s="80" t="s">
        <v>179</v>
      </c>
      <c r="BT904" s="80" t="s">
        <v>2447</v>
      </c>
      <c r="BU904" s="80" t="s">
        <v>6086</v>
      </c>
      <c r="BV904" s="71"/>
      <c r="BW904" s="79" t="s">
        <v>152</v>
      </c>
      <c r="BX904" s="79" t="s">
        <v>179</v>
      </c>
      <c r="BY904" s="71"/>
      <c r="BZ904" s="79"/>
      <c r="CA904" s="79"/>
      <c r="CB904" s="79">
        <f t="shared" ref="CB904" si="1281">BZ904+CA904</f>
        <v>0</v>
      </c>
      <c r="CC904" s="79" t="str">
        <f t="shared" si="382"/>
        <v/>
      </c>
      <c r="CD904" s="79"/>
      <c r="CE904" s="79"/>
      <c r="CF904" s="79"/>
      <c r="CG904" s="83"/>
      <c r="CH904" s="41"/>
      <c r="CI904" s="79"/>
      <c r="CJ904" s="71"/>
      <c r="CK904" s="79">
        <f t="shared" ref="CK904" si="1282">COUNTIF(CL904:CQ904,"*")</f>
        <v>0</v>
      </c>
      <c r="CL904" s="79"/>
      <c r="CM904" s="79"/>
      <c r="CN904" s="79"/>
      <c r="CO904" s="79"/>
      <c r="CP904" s="79"/>
      <c r="CQ904" s="79"/>
      <c r="CR904" s="83"/>
      <c r="CS904" s="83"/>
      <c r="CT904" s="83"/>
      <c r="CU904" s="83"/>
      <c r="CV904" s="83"/>
      <c r="CW904" s="83"/>
      <c r="CX904" s="79"/>
      <c r="CY904" s="79">
        <f t="shared" ref="CY904" si="1283">SUM(COUNTIF(CR904:CW904,"Realizado y Devuelto a la Ciudadanía"),COUNTIF(CR904:CW904,"Realizado y Trasladado por competencia"), COUNTIF(CR904:CW904,"Realizado y Gestionado"))</f>
        <v>0</v>
      </c>
      <c r="CZ904" s="79">
        <v>0</v>
      </c>
      <c r="DA904" s="79">
        <f t="shared" ref="DA904" si="1284">COUNTIF(CR904:CW904,"Realizado y Devuelto a la Ciudadanía")</f>
        <v>0</v>
      </c>
      <c r="DB904" s="84" t="str">
        <f t="shared" ref="DB904" si="1285">IFERROR(CY904/CK904,"")</f>
        <v/>
      </c>
      <c r="DC904" s="41"/>
      <c r="DD904" s="79"/>
      <c r="DE904" s="71"/>
      <c r="DF904" s="127" t="s">
        <v>6087</v>
      </c>
      <c r="DG904" s="79"/>
      <c r="DH904" s="86">
        <f t="shared" ref="DH904" si="1286">IF(EE904="Por completar",C904+3,"Completo")</f>
        <v>45548</v>
      </c>
      <c r="DI904" s="79"/>
      <c r="DJ904" s="79"/>
      <c r="DK904" s="79"/>
      <c r="DL904" s="79">
        <v>0</v>
      </c>
      <c r="DM904" s="79">
        <v>0</v>
      </c>
      <c r="DN904" s="79"/>
      <c r="DO904" s="79"/>
      <c r="DP904" s="79"/>
      <c r="DQ904" s="79"/>
      <c r="DR904" s="75" t="str">
        <f t="shared" ref="DR904" si="1287">IF(H904="SÍ", (DQ904/(BZ904*0.3)), "No aplica")</f>
        <v>No aplica</v>
      </c>
      <c r="DS904" s="79"/>
      <c r="DT904" s="79"/>
      <c r="DU904" s="75" t="str">
        <f t="shared" ref="DU904" si="1288">IF(H904="SÍ", (DT904/(BZ904*0.35)), "No aplica")</f>
        <v>No aplica</v>
      </c>
      <c r="DV904" s="79"/>
      <c r="DW904" s="79"/>
      <c r="DX904" s="79"/>
      <c r="DY904" s="79"/>
      <c r="DZ904" s="79"/>
      <c r="EA904" s="79"/>
      <c r="EB904" s="79"/>
      <c r="EC904" s="79"/>
      <c r="ED904" s="79"/>
      <c r="EE904" s="79" t="str">
        <f t="shared" si="1260"/>
        <v>Por Completar</v>
      </c>
      <c r="EF904" s="41"/>
      <c r="EG904" s="79"/>
      <c r="EH904" s="71"/>
      <c r="EI904" s="80"/>
      <c r="EJ904" s="71"/>
      <c r="EK904" s="79"/>
      <c r="EL904" s="87" t="str">
        <f t="shared" ref="EL904" si="1289">IF(F904="NO","No requiere",IF(H904="No","No requiere",IF(DW904="","",IF(DW904&lt;&gt;"No aplica",IF(DX904&lt;&gt;"No aplica",IF(DX904&gt;=2,"Sí","No"),"No aplica"),"No aplica"))))</f>
        <v>No requiere</v>
      </c>
      <c r="EM904" s="87" t="str">
        <f t="shared" ref="EM904" si="1290">IF(F904="NO","No requiere",IF(H904="No","No requiere",IF(DW904="","",IF(DW904&lt;&gt;"No aplica",IF(DY904&lt;&gt;"No aplica",IF(DY904&gt;=1,"Sí","No"),"No aplica"),"No aplica"))))</f>
        <v>No requiere</v>
      </c>
      <c r="EN904" s="87" t="str">
        <f t="shared" ref="EN904" si="1291">IF(F904="NO","No requiere",IF(H904="No","No requiere",IF(CC904="","",IF(CD904&lt;&gt;"No aplica",IF(CD904&lt;&gt;"Ninguna",IF(COUNTIF(CD904:CF904,"*")&gt;=1,"Sí","No"),"No"),"No aplica"))))</f>
        <v>No requiere</v>
      </c>
      <c r="EO904" s="71"/>
      <c r="EP904" s="84" t="str">
        <f t="shared" ref="EP904" si="1292">IF(F904="NO","No requiere",IF(H904="No","No requiere",IF(DL904="","",IF(DL904&gt;=1,DM904/DL904,"No aplica"))))</f>
        <v>No requiere</v>
      </c>
      <c r="EQ904" s="88" t="str">
        <f t="shared" ref="EQ904" si="1293">IFERROR(IF(F904="NO","No requiere",IF(H904="No","No requiere",DU904)),"")</f>
        <v>No requiere</v>
      </c>
      <c r="ER904" s="71"/>
      <c r="ES904" s="79"/>
      <c r="ET904" s="84" t="str">
        <f t="shared" ref="ET904" si="1294">IF(F904="NO","No requiere",IF(H904="No","No requiere",IFERROR(COUNTIF(DJ904:DW904,"Completo")/SUM(COUNTIF(DJ904:DW904,"Completo"),COUNTIF(DJ904:DW904,"Incompleto"),COUNTIF(DJ904:DW904,"No subido"),COUNTIF(DJ904:DW904,"No existente"),COUNTIF(DJ904:DW904,"Pendiente")),"")))</f>
        <v>No requiere</v>
      </c>
      <c r="EU904" s="84" t="str">
        <f>IF(F904="NO","No requiere",IF(H904="No","No requiere",IF(#REF!="","",IF(CX904="SÍ",IF(CK904&gt;=1,CY904/CK904,"Sin compromisos"),"Por verificar"))))</f>
        <v>No requiere</v>
      </c>
      <c r="EV904" s="84" t="str">
        <f t="shared" si="1140"/>
        <v>No requiere</v>
      </c>
      <c r="EW904" s="84" t="str">
        <f t="shared" si="1141"/>
        <v>No requiere</v>
      </c>
      <c r="EX904" s="78"/>
      <c r="EY904" s="78"/>
    </row>
    <row r="905" spans="1:215" ht="66.75" customHeight="1">
      <c r="A905" s="79">
        <v>901</v>
      </c>
      <c r="B905" s="80" t="s">
        <v>6088</v>
      </c>
      <c r="C905" s="81">
        <v>45545</v>
      </c>
      <c r="D905" s="82">
        <v>0.58333333333333337</v>
      </c>
      <c r="E905" s="79" t="s">
        <v>151</v>
      </c>
      <c r="F905" s="79" t="s">
        <v>153</v>
      </c>
      <c r="G905" s="79" t="s">
        <v>153</v>
      </c>
      <c r="H905" s="79" t="s">
        <v>152</v>
      </c>
      <c r="I905" s="79" t="s">
        <v>152</v>
      </c>
      <c r="J905" s="79" t="s">
        <v>2153</v>
      </c>
      <c r="K905" s="79" t="s">
        <v>155</v>
      </c>
      <c r="L905" s="80" t="s">
        <v>6089</v>
      </c>
      <c r="M905" s="80" t="s">
        <v>624</v>
      </c>
      <c r="N905" s="79" t="s">
        <v>5852</v>
      </c>
      <c r="O905" s="80" t="str">
        <f>_xlfn.TEXTJOIN(", ",TRUE,P905:AN905)</f>
        <v>PENDIENTE, PENDIENTE, PENDIENTE, PENDIENTE, PENDIENTE, PENDIENTE, PENDIENTE</v>
      </c>
      <c r="P905" s="79" t="s">
        <v>196</v>
      </c>
      <c r="Q905" s="79" t="s">
        <v>196</v>
      </c>
      <c r="R905" s="79" t="s">
        <v>196</v>
      </c>
      <c r="S905" s="161" t="s">
        <v>196</v>
      </c>
      <c r="T905" s="79" t="s">
        <v>196</v>
      </c>
      <c r="U905" s="79" t="s">
        <v>196</v>
      </c>
      <c r="V905" s="79" t="s">
        <v>196</v>
      </c>
      <c r="W905" s="79"/>
      <c r="X905" s="79"/>
      <c r="Y905" s="79"/>
      <c r="Z905" s="79"/>
      <c r="AA905" s="79"/>
      <c r="AB905" s="79"/>
      <c r="AC905" s="79"/>
      <c r="AD905" s="79"/>
      <c r="AE905" s="79"/>
      <c r="AF905" s="79"/>
      <c r="AG905" s="79"/>
      <c r="AH905" s="79"/>
      <c r="AI905" s="79"/>
      <c r="AJ905" s="79"/>
      <c r="AK905" s="79"/>
      <c r="AL905" s="79"/>
      <c r="AM905" s="79"/>
      <c r="AN905" s="79"/>
      <c r="AO905" s="79" t="s">
        <v>1226</v>
      </c>
      <c r="AP905" s="79"/>
      <c r="AQ905" s="373" t="s">
        <v>171</v>
      </c>
      <c r="AR905" s="373" t="s">
        <v>171</v>
      </c>
      <c r="AS905" s="373" t="s">
        <v>171</v>
      </c>
      <c r="AT905" s="80" t="str">
        <f t="shared" si="950"/>
        <v>Tunjuelito</v>
      </c>
      <c r="AU905" s="79" t="s">
        <v>937</v>
      </c>
      <c r="AV905" s="79"/>
      <c r="AW905" s="79"/>
      <c r="AX905" s="79"/>
      <c r="AY905" s="79"/>
      <c r="AZ905" s="79"/>
      <c r="BA905" s="80" t="str">
        <f t="shared" si="1000"/>
        <v>Suroriente</v>
      </c>
      <c r="BB905" s="79" t="s">
        <v>218</v>
      </c>
      <c r="BC905" s="79"/>
      <c r="BD905" s="79"/>
      <c r="BE905" s="79"/>
      <c r="BF905" s="79"/>
      <c r="BG905" s="79"/>
      <c r="BH905" s="80" t="str">
        <f t="shared" si="1001"/>
        <v>Tunjuelito</v>
      </c>
      <c r="BI905" s="79" t="s">
        <v>937</v>
      </c>
      <c r="BJ905" s="79"/>
      <c r="BK905" s="79"/>
      <c r="BL905" s="79"/>
      <c r="BM905" s="79"/>
      <c r="BN905" s="79"/>
      <c r="BO905" s="79"/>
      <c r="BP905" s="79"/>
      <c r="BQ905" s="79"/>
      <c r="BR905" s="79"/>
      <c r="BS905" s="80" t="s">
        <v>179</v>
      </c>
      <c r="BT905" s="80" t="s">
        <v>2447</v>
      </c>
      <c r="BU905" s="68" t="s">
        <v>6090</v>
      </c>
      <c r="BV905" s="71"/>
      <c r="BW905" s="79" t="s">
        <v>152</v>
      </c>
      <c r="BX905" s="79" t="s">
        <v>179</v>
      </c>
      <c r="BY905" s="71"/>
      <c r="BZ905" s="79"/>
      <c r="CA905" s="79"/>
      <c r="CB905" s="79">
        <f t="shared" si="1256"/>
        <v>0</v>
      </c>
      <c r="CC905" s="79" t="s">
        <v>316</v>
      </c>
      <c r="CD905" s="79"/>
      <c r="CE905" s="79"/>
      <c r="CF905" s="79"/>
      <c r="CG905" s="83"/>
      <c r="CH905" s="41"/>
      <c r="CI905" s="79"/>
      <c r="CJ905" s="71"/>
      <c r="CK905" s="79">
        <v>0</v>
      </c>
      <c r="CL905" s="79"/>
      <c r="CM905" s="79"/>
      <c r="CN905" s="79"/>
      <c r="CO905" s="79"/>
      <c r="CP905" s="79"/>
      <c r="CQ905" s="79"/>
      <c r="CR905" s="83"/>
      <c r="CS905" s="83"/>
      <c r="CT905" s="83"/>
      <c r="CU905" s="83"/>
      <c r="CV905" s="83"/>
      <c r="CW905" s="83"/>
      <c r="CX905" s="79"/>
      <c r="CY905" s="79">
        <v>0</v>
      </c>
      <c r="CZ905" s="79">
        <v>0</v>
      </c>
      <c r="DA905" s="79">
        <v>0</v>
      </c>
      <c r="DB905" s="84" t="s">
        <v>316</v>
      </c>
      <c r="DC905" s="41"/>
      <c r="DD905" s="79"/>
      <c r="DE905" s="71"/>
      <c r="DF905" s="127" t="s">
        <v>6091</v>
      </c>
      <c r="DG905" s="79"/>
      <c r="DH905" s="86">
        <f t="shared" si="722"/>
        <v>45548</v>
      </c>
      <c r="DI905" s="79"/>
      <c r="DJ905" s="79"/>
      <c r="DK905" s="79"/>
      <c r="DL905" s="79">
        <v>0</v>
      </c>
      <c r="DM905" s="79">
        <v>0</v>
      </c>
      <c r="DN905" s="79"/>
      <c r="DO905" s="79"/>
      <c r="DP905" s="79"/>
      <c r="DQ905" s="79"/>
      <c r="DR905" s="75" t="s">
        <v>179</v>
      </c>
      <c r="DS905" s="79"/>
      <c r="DT905" s="79"/>
      <c r="DU905" s="75" t="s">
        <v>179</v>
      </c>
      <c r="DV905" s="79"/>
      <c r="DW905" s="79"/>
      <c r="DX905" s="79"/>
      <c r="DY905" s="79"/>
      <c r="DZ905" s="79"/>
      <c r="EA905" s="79"/>
      <c r="EB905" s="79"/>
      <c r="EC905" s="79"/>
      <c r="ED905" s="79"/>
      <c r="EE905" s="79" t="str">
        <f t="shared" si="1260"/>
        <v>Por Completar</v>
      </c>
      <c r="EF905" s="41"/>
      <c r="EG905" s="79"/>
      <c r="EH905" s="71"/>
      <c r="EI905" s="80"/>
      <c r="EJ905" s="71"/>
      <c r="EK905" s="87"/>
      <c r="EL905" s="87" t="str">
        <f t="shared" si="942"/>
        <v>No requiere</v>
      </c>
      <c r="EM905" s="87" t="str">
        <f t="shared" si="943"/>
        <v>No requiere</v>
      </c>
      <c r="EN905" s="87" t="str">
        <f t="shared" si="1261"/>
        <v>No requiere</v>
      </c>
      <c r="EO905" s="71"/>
      <c r="EP905" s="84" t="str">
        <f t="shared" si="945"/>
        <v>No requiere</v>
      </c>
      <c r="EQ905" s="88" t="str">
        <f t="shared" si="946"/>
        <v>No requiere</v>
      </c>
      <c r="ER905" s="71"/>
      <c r="ES905" s="79"/>
      <c r="ET905" s="84" t="str">
        <f t="shared" si="1138"/>
        <v>No requiere</v>
      </c>
      <c r="EU905" s="84" t="str">
        <f t="shared" si="1139"/>
        <v>No requiere</v>
      </c>
      <c r="EV905" s="84" t="str">
        <f t="shared" si="1140"/>
        <v>No requiere</v>
      </c>
      <c r="EW905" s="84" t="str">
        <f t="shared" si="1141"/>
        <v>No requiere</v>
      </c>
      <c r="EX905" s="78"/>
      <c r="EY905" s="78"/>
    </row>
    <row r="906" spans="1:215" s="350" customFormat="1" ht="57" customHeight="1">
      <c r="A906" s="332">
        <v>902</v>
      </c>
      <c r="B906" s="333" t="s">
        <v>6092</v>
      </c>
      <c r="C906" s="334">
        <v>45546</v>
      </c>
      <c r="D906" s="335">
        <v>0.33333333333333331</v>
      </c>
      <c r="E906" s="332" t="s">
        <v>151</v>
      </c>
      <c r="F906" s="332" t="s">
        <v>153</v>
      </c>
      <c r="G906" s="332" t="s">
        <v>153</v>
      </c>
      <c r="H906" s="332" t="s">
        <v>152</v>
      </c>
      <c r="I906" s="332" t="s">
        <v>152</v>
      </c>
      <c r="J906" s="332" t="s">
        <v>2153</v>
      </c>
      <c r="K906" s="332" t="s">
        <v>155</v>
      </c>
      <c r="L906" s="333" t="s">
        <v>6093</v>
      </c>
      <c r="M906" s="333" t="s">
        <v>624</v>
      </c>
      <c r="N906" s="332" t="s">
        <v>5852</v>
      </c>
      <c r="O906" s="333" t="str">
        <f>_xlfn.TEXTJOIN(", ",TRUE,P906:AN906)</f>
        <v>PENDIENTE, PENDIENTE, PENDIENTE, PENDIENTE, PENDIENTE, PENDIENTE, PENDIENTE</v>
      </c>
      <c r="P906" s="332" t="s">
        <v>196</v>
      </c>
      <c r="Q906" s="332" t="s">
        <v>196</v>
      </c>
      <c r="R906" s="332" t="s">
        <v>196</v>
      </c>
      <c r="S906" s="332" t="s">
        <v>196</v>
      </c>
      <c r="T906" s="332" t="s">
        <v>196</v>
      </c>
      <c r="U906" s="332" t="s">
        <v>196</v>
      </c>
      <c r="V906" s="332" t="s">
        <v>196</v>
      </c>
      <c r="W906" s="332"/>
      <c r="X906" s="332"/>
      <c r="Y906" s="332"/>
      <c r="Z906" s="332"/>
      <c r="AA906" s="332"/>
      <c r="AB906" s="332"/>
      <c r="AC906" s="332"/>
      <c r="AD906" s="332"/>
      <c r="AE906" s="332"/>
      <c r="AF906" s="332"/>
      <c r="AG906" s="332"/>
      <c r="AH906" s="332"/>
      <c r="AI906" s="332"/>
      <c r="AJ906" s="332"/>
      <c r="AK906" s="332"/>
      <c r="AL906" s="332"/>
      <c r="AM906" s="332"/>
      <c r="AN906" s="332"/>
      <c r="AO906" s="332" t="s">
        <v>1226</v>
      </c>
      <c r="AP906" s="332"/>
      <c r="AQ906" s="333" t="s">
        <v>179</v>
      </c>
      <c r="AR906" s="336" t="s">
        <v>179</v>
      </c>
      <c r="AS906" s="333" t="s">
        <v>179</v>
      </c>
      <c r="AT906" s="333" t="str">
        <f>_xlfn.TEXTJOIN(", ",TRUE,$AU906:$AY906)</f>
        <v>Barrios Unidos</v>
      </c>
      <c r="AU906" s="332" t="s">
        <v>1031</v>
      </c>
      <c r="AV906" s="332"/>
      <c r="AW906" s="332"/>
      <c r="AX906" s="332"/>
      <c r="AY906" s="332"/>
      <c r="AZ906" s="332"/>
      <c r="BA906" s="333" t="str">
        <f>_xlfn.TEXTJOIN(", ",TRUE,$BB906:$BG906)</f>
        <v>Centro Ampliado</v>
      </c>
      <c r="BB906" s="332" t="s">
        <v>636</v>
      </c>
      <c r="BC906" s="332"/>
      <c r="BD906" s="332"/>
      <c r="BE906" s="332"/>
      <c r="BF906" s="332"/>
      <c r="BG906" s="332"/>
      <c r="BH906" s="333" t="str">
        <f>_xlfn.TEXTJOIN(", ",TRUE,$BI906:$BR906)</f>
        <v>Barrios Unidos</v>
      </c>
      <c r="BI906" s="332" t="s">
        <v>1031</v>
      </c>
      <c r="BJ906" s="332"/>
      <c r="BK906" s="332"/>
      <c r="BL906" s="332"/>
      <c r="BM906" s="332"/>
      <c r="BN906" s="332"/>
      <c r="BO906" s="332"/>
      <c r="BP906" s="332"/>
      <c r="BQ906" s="332"/>
      <c r="BR906" s="332"/>
      <c r="BS906" s="333" t="s">
        <v>179</v>
      </c>
      <c r="BT906" s="337" t="s">
        <v>179</v>
      </c>
      <c r="BU906" s="338" t="s">
        <v>6094</v>
      </c>
      <c r="BV906" s="339"/>
      <c r="BW906" s="332" t="s">
        <v>152</v>
      </c>
      <c r="BX906" s="332" t="s">
        <v>179</v>
      </c>
      <c r="BY906" s="339"/>
      <c r="BZ906" s="332"/>
      <c r="CA906" s="332"/>
      <c r="CB906" s="332">
        <f>BZ906+CA906</f>
        <v>0</v>
      </c>
      <c r="CC906" s="352" t="str">
        <f>_xlfn.TEXTJOIN(", ",TRUE,$CD906:$CF906)</f>
        <v/>
      </c>
      <c r="CD906" s="332"/>
      <c r="CE906" s="332"/>
      <c r="CF906" s="340"/>
      <c r="CG906" s="341"/>
      <c r="CH906" s="339"/>
      <c r="CI906" s="332"/>
      <c r="CJ906" s="339"/>
      <c r="CK906" s="332">
        <v>0</v>
      </c>
      <c r="CL906" s="332"/>
      <c r="CM906" s="332"/>
      <c r="CN906" s="332"/>
      <c r="CO906" s="332"/>
      <c r="CP906" s="332"/>
      <c r="CQ906" s="332"/>
      <c r="CR906" s="336"/>
      <c r="CS906" s="336"/>
      <c r="CT906" s="336"/>
      <c r="CU906" s="336"/>
      <c r="CV906" s="336"/>
      <c r="CW906" s="336"/>
      <c r="CX906" s="332"/>
      <c r="CY906" s="332">
        <v>0</v>
      </c>
      <c r="CZ906" s="332">
        <v>0</v>
      </c>
      <c r="DA906" s="332">
        <v>0</v>
      </c>
      <c r="DB906" s="342" t="s">
        <v>316</v>
      </c>
      <c r="DC906" s="339"/>
      <c r="DD906" s="332"/>
      <c r="DE906" s="339"/>
      <c r="DF906" s="343" t="s">
        <v>6095</v>
      </c>
      <c r="DG906" s="344"/>
      <c r="DH906" s="345">
        <f>IF(EE906="Por completar",C906+3,"Completo")</f>
        <v>45549</v>
      </c>
      <c r="DI906" s="332"/>
      <c r="DJ906" s="332"/>
      <c r="DK906" s="332"/>
      <c r="DL906" s="332">
        <v>0</v>
      </c>
      <c r="DM906" s="332">
        <v>0</v>
      </c>
      <c r="DN906" s="332"/>
      <c r="DO906" s="332"/>
      <c r="DP906" s="332"/>
      <c r="DQ906" s="332"/>
      <c r="DR906" s="346" t="str">
        <f>IF(H906="SÍ", (DQ906/(BZ906*0.3)), "No aplica")</f>
        <v>No aplica</v>
      </c>
      <c r="DS906" s="332"/>
      <c r="DT906" s="332"/>
      <c r="DU906" s="346" t="str">
        <f>IF(H906="SÍ", (DT906/(BZ906*0.35)), "No aplica")</f>
        <v>No aplica</v>
      </c>
      <c r="DV906" s="332"/>
      <c r="DW906" s="332"/>
      <c r="DX906" s="332"/>
      <c r="DY906" s="332"/>
      <c r="DZ906" s="332"/>
      <c r="EA906" s="332"/>
      <c r="EB906" s="332"/>
      <c r="EC906" s="332"/>
      <c r="ED906" s="332"/>
      <c r="EE906" s="332" t="str">
        <f>IF(DI906="Subsanado","Completo","Por Completar")</f>
        <v>Por Completar</v>
      </c>
      <c r="EF906" s="339"/>
      <c r="EG906" s="332"/>
      <c r="EH906" s="339"/>
      <c r="EI906" s="333"/>
      <c r="EJ906" s="339"/>
      <c r="EK906" s="332"/>
      <c r="EL906" s="347" t="str">
        <f t="shared" ref="EL906:EL907" si="1295">IF(F906="NO","No requiere",IF(H906="No","No requiere",IF(DW906="","",IF(DW906&lt;&gt;"No aplica",IF(DX906&lt;&gt;"No aplica",IF(DX906&gt;=2,"Sí","No"),"No aplica"),"No aplica"))))</f>
        <v>No requiere</v>
      </c>
      <c r="EM906" s="347" t="str">
        <f t="shared" ref="EM906:EM907" si="1296">IF(F906="NO","No requiere",IF(H906="No","No requiere",IF(DW906="","",IF(DW906&lt;&gt;"No aplica",IF(DY906&lt;&gt;"No aplica",IF(DY906&gt;=1,"Sí","No"),"No aplica"),"No aplica"))))</f>
        <v>No requiere</v>
      </c>
      <c r="EN906" s="347" t="str">
        <f t="shared" ref="EN906:EN907" si="1297">IF(F906="NO","No requiere",IF(H906="No","No requiere",IF(CC906="","",IF(CD906&lt;&gt;"No aplica",IF(CD906&lt;&gt;"Ninguna",IF(COUNTIF(CD906:CF906,"*")&gt;=1,"Sí","No"),"No"),"No aplica"))))</f>
        <v>No requiere</v>
      </c>
      <c r="EO906" s="339"/>
      <c r="EP906" s="342" t="str">
        <f t="shared" ref="EP906:EP907" si="1298">IF(F906="NO","No requiere",IF(H906="No","No requiere",IF(DL906="","",IF(DL906&gt;=1,DM906/DL906,"No aplica"))))</f>
        <v>No requiere</v>
      </c>
      <c r="EQ906" s="348" t="str">
        <f t="shared" ref="EQ906:EQ907" si="1299">IFERROR(IF(F906="NO","No requiere",IF(H906="No","No requiere",DU906)),"")</f>
        <v>No requiere</v>
      </c>
      <c r="ER906" s="339"/>
      <c r="ES906" s="332"/>
      <c r="ET906" s="342" t="str">
        <f>IF(F906="NO","No requiere",IF(H906="No","No requiere",IFERROR(COUNTIF(DJ906:DW906,"Completo")/SUM(COUNTIF(DJ906:DW906,"Completo"),COUNTIF(DJ906:DW906,"Incompleto"),COUNTIF(DJ906:DW906,"No subido"),COUNTIF(DJ906:DW906,"No existente"),COUNTIF(DJ906:DW906,"Pendiente")),"")))</f>
        <v>No requiere</v>
      </c>
      <c r="EU906" s="342" t="str">
        <f>IF(F906="NO","No requiere",IF(H906="No","No requiere",IF(B906="","",IF(CX906="SÍ",IF(CK906&gt;=1,CY906/CK906,"Sin compromisos"),"Por verificar"))))</f>
        <v>No requiere</v>
      </c>
      <c r="EV906" s="342" t="str">
        <f>IF(EU906="Por verificar","Por verificar",IF(F906="NO","No requiere",IF(H906="No","No requiere",IFERROR(IF(EU906="","",IF(CK906&gt;=1,DA906/CZ906,"No aplica")),"No aplica"))))</f>
        <v>No requiere</v>
      </c>
      <c r="EW906" s="342" t="str">
        <f>IF(F906="NO","No requiere",IF(H906="No","No requiere",IFERROR(IF(BZ906="","",IF(EA906&lt;&gt;"No aplica",IF(EA906&gt;=1,DO906/EA906,"0%"),"No aplica")),"")))</f>
        <v>No requiere</v>
      </c>
      <c r="EX906" s="349"/>
      <c r="EY906" s="349"/>
    </row>
    <row r="907" spans="1:215" s="350" customFormat="1" ht="57" customHeight="1">
      <c r="A907" s="79" t="str">
        <v/>
      </c>
      <c r="B907" s="80" t="s">
        <v>6096</v>
      </c>
      <c r="C907" s="81">
        <v>45546</v>
      </c>
      <c r="D907" s="82">
        <v>0.33333333333333331</v>
      </c>
      <c r="E907" s="79" t="s">
        <v>151</v>
      </c>
      <c r="F907" s="79" t="s">
        <v>152</v>
      </c>
      <c r="G907" s="79" t="s">
        <v>153</v>
      </c>
      <c r="H907" s="79" t="s">
        <v>152</v>
      </c>
      <c r="I907" s="79" t="s">
        <v>152</v>
      </c>
      <c r="J907" s="79" t="s">
        <v>154</v>
      </c>
      <c r="K907" s="79" t="s">
        <v>202</v>
      </c>
      <c r="L907" s="80" t="s">
        <v>6097</v>
      </c>
      <c r="M907" s="80" t="s">
        <v>624</v>
      </c>
      <c r="N907" s="79" t="s">
        <v>888</v>
      </c>
      <c r="O907" s="80" t="str">
        <f t="shared" ref="O907" si="1300">_xlfn.TEXTJOIN(", ",TRUE,P907:AN907)</f>
        <v/>
      </c>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t="s">
        <v>169</v>
      </c>
      <c r="AP907" s="79" t="s">
        <v>170</v>
      </c>
      <c r="AQ907" s="373" t="s">
        <v>171</v>
      </c>
      <c r="AR907" s="373" t="s">
        <v>171</v>
      </c>
      <c r="AS907" s="373" t="s">
        <v>171</v>
      </c>
      <c r="AT907" s="80" t="str">
        <f t="shared" si="950"/>
        <v>Usme</v>
      </c>
      <c r="AU907" s="79" t="s">
        <v>1009</v>
      </c>
      <c r="AV907" s="79"/>
      <c r="AW907" s="79"/>
      <c r="AX907" s="79"/>
      <c r="AY907" s="79"/>
      <c r="AZ907" s="79"/>
      <c r="BA907" s="80" t="str">
        <f t="shared" si="1000"/>
        <v>Suroriente</v>
      </c>
      <c r="BB907" s="79" t="s">
        <v>218</v>
      </c>
      <c r="BC907" s="79"/>
      <c r="BD907" s="79"/>
      <c r="BE907" s="79"/>
      <c r="BF907" s="79"/>
      <c r="BG907" s="79"/>
      <c r="BH907" s="80" t="str">
        <f t="shared" si="1001"/>
        <v>Usme Entrenubes</v>
      </c>
      <c r="BI907" s="79" t="s">
        <v>1010</v>
      </c>
      <c r="BJ907" s="79"/>
      <c r="BK907" s="79"/>
      <c r="BL907" s="79"/>
      <c r="BM907" s="79"/>
      <c r="BN907" s="79"/>
      <c r="BO907" s="79"/>
      <c r="BP907" s="79"/>
      <c r="BQ907" s="79"/>
      <c r="BR907" s="79"/>
      <c r="BS907" s="80" t="s">
        <v>222</v>
      </c>
      <c r="BT907" s="80" t="s">
        <v>1798</v>
      </c>
      <c r="BU907" s="80" t="s">
        <v>196</v>
      </c>
      <c r="BV907" s="71"/>
      <c r="BW907" s="79" t="s">
        <v>152</v>
      </c>
      <c r="BX907" s="79" t="s">
        <v>179</v>
      </c>
      <c r="BY907" s="71"/>
      <c r="BZ907" s="79"/>
      <c r="CA907" s="79"/>
      <c r="CB907" s="79">
        <f t="shared" ref="CB907" si="1301">BZ907+CA907</f>
        <v>0</v>
      </c>
      <c r="CC907" s="79" t="str">
        <f t="shared" si="382"/>
        <v/>
      </c>
      <c r="CD907" s="79"/>
      <c r="CE907" s="79"/>
      <c r="CF907" s="79"/>
      <c r="CG907" s="83"/>
      <c r="CH907" s="41"/>
      <c r="CI907" s="79"/>
      <c r="CJ907" s="71"/>
      <c r="CK907" s="79">
        <f t="shared" ref="CK907" si="1302">COUNTIF(CL907:CQ907,"*")</f>
        <v>0</v>
      </c>
      <c r="CL907" s="79"/>
      <c r="CM907" s="79"/>
      <c r="CN907" s="79"/>
      <c r="CO907" s="79"/>
      <c r="CP907" s="79"/>
      <c r="CQ907" s="79"/>
      <c r="CR907" s="83"/>
      <c r="CS907" s="83"/>
      <c r="CT907" s="83"/>
      <c r="CU907" s="83"/>
      <c r="CV907" s="83"/>
      <c r="CW907" s="83"/>
      <c r="CX907" s="79"/>
      <c r="CY907" s="79">
        <f t="shared" ref="CY907" si="1303">SUM(COUNTIF(CR907:CW907,"Realizado y Devuelto a la Ciudadanía"),COUNTIF(CR907:CW907,"Realizado y Trasladado por competencia"), COUNTIF(CR907:CW907,"Realizado y Gestionado"))</f>
        <v>0</v>
      </c>
      <c r="CZ907" s="79">
        <v>0</v>
      </c>
      <c r="DA907" s="79">
        <f t="shared" ref="DA907" si="1304">COUNTIF(CR907:CW907,"Realizado y Devuelto a la Ciudadanía")</f>
        <v>0</v>
      </c>
      <c r="DB907" s="84" t="str">
        <f t="shared" ref="DB907" si="1305">IFERROR(CY907/CK907,"")</f>
        <v/>
      </c>
      <c r="DC907" s="41"/>
      <c r="DD907" s="79"/>
      <c r="DE907" s="71"/>
      <c r="DF907" s="127" t="s">
        <v>6098</v>
      </c>
      <c r="DG907" s="79"/>
      <c r="DH907" s="86">
        <f t="shared" ref="DH907" si="1306">IF(EE907="Por completar",C907+3,"Completo")</f>
        <v>45549</v>
      </c>
      <c r="DI907" s="79"/>
      <c r="DJ907" s="79"/>
      <c r="DK907" s="79"/>
      <c r="DL907" s="79">
        <v>0</v>
      </c>
      <c r="DM907" s="79">
        <v>0</v>
      </c>
      <c r="DN907" s="79"/>
      <c r="DO907" s="79"/>
      <c r="DP907" s="79"/>
      <c r="DQ907" s="79"/>
      <c r="DR907" s="75" t="str">
        <f t="shared" ref="DR907" si="1307">IF(H907="SÍ", (DQ907/(BZ907*0.3)), "No aplica")</f>
        <v>No aplica</v>
      </c>
      <c r="DS907" s="79"/>
      <c r="DT907" s="79"/>
      <c r="DU907" s="75" t="str">
        <f t="shared" ref="DU907" si="1308">IF(H907="SÍ", (DT907/(BZ907*0.35)), "No aplica")</f>
        <v>No aplica</v>
      </c>
      <c r="DV907" s="79"/>
      <c r="DW907" s="79"/>
      <c r="DX907" s="79"/>
      <c r="DY907" s="79"/>
      <c r="DZ907" s="79"/>
      <c r="EA907" s="79"/>
      <c r="EB907" s="79"/>
      <c r="EC907" s="79"/>
      <c r="ED907" s="79"/>
      <c r="EE907" s="79" t="str">
        <f t="shared" ref="EE907" si="1309">IF(DI907="Subsanado","Completo","Por Completar")</f>
        <v>Por Completar</v>
      </c>
      <c r="EF907" s="41"/>
      <c r="EG907" s="79"/>
      <c r="EH907" s="71"/>
      <c r="EI907" s="80"/>
      <c r="EJ907" s="71"/>
      <c r="EK907" s="79"/>
      <c r="EL907" s="87" t="str">
        <f t="shared" si="1295"/>
        <v>No requiere</v>
      </c>
      <c r="EM907" s="87" t="str">
        <f t="shared" si="1296"/>
        <v>No requiere</v>
      </c>
      <c r="EN907" s="87" t="str">
        <f t="shared" si="1297"/>
        <v>No requiere</v>
      </c>
      <c r="EO907" s="71"/>
      <c r="EP907" s="84" t="str">
        <f t="shared" si="1298"/>
        <v>No requiere</v>
      </c>
      <c r="EQ907" s="88" t="str">
        <f t="shared" si="1299"/>
        <v>No requiere</v>
      </c>
      <c r="ER907" s="71"/>
      <c r="ES907" s="79"/>
      <c r="ET907" s="84" t="str">
        <f t="shared" ref="ET907" si="1310">IF(F907="NO","No requiere",IF(H907="No","No requiere",IFERROR(COUNTIF(DJ907:DW907,"Completo")/SUM(COUNTIF(DJ907:DW907,"Completo"),COUNTIF(DJ907:DW907,"Incompleto"),COUNTIF(DJ907:DW907,"No subido"),COUNTIF(DJ907:DW907,"No existente"),COUNTIF(DJ907:DW907,"Pendiente")),"")))</f>
        <v>No requiere</v>
      </c>
      <c r="EU907" s="84" t="str">
        <f>IF(F907="NO","No requiere",IF(H907="No","No requiere",IF(#REF!="","",IF(CX907="SÍ",IF(CK907&gt;=1,CY907/CK907,"Sin compromisos"),"Por verificar"))))</f>
        <v>No requiere</v>
      </c>
      <c r="EV907" s="84" t="str">
        <f t="shared" ref="EV907" si="1311">IF(EU907="Por verificar","Por verificar",IF(F907="NO","No requiere",IF(H907="No","No requiere",IFERROR(IF(EU907="","",IF(CK907&gt;=1,DA907/CZ907,"No aplica")),"No aplica"))))</f>
        <v>No requiere</v>
      </c>
      <c r="EW907" s="84" t="str">
        <f t="shared" ref="EW907" si="1312">IF(F907="NO","No requiere",IF(H907="No","No requiere",IFERROR(IF(BZ907="","",IF(EA907&lt;&gt;"No aplica",IF(EA907&gt;=1,DO907/EA907,"0%"),"No aplica")),"")))</f>
        <v>No requiere</v>
      </c>
      <c r="EX907" s="78"/>
      <c r="EY907" s="78"/>
      <c r="EZ907" s="179"/>
      <c r="FA907" s="179"/>
      <c r="FB907" s="179"/>
      <c r="FC907" s="179"/>
      <c r="FD907" s="179"/>
      <c r="FE907" s="179"/>
      <c r="FF907" s="179"/>
      <c r="FG907" s="179"/>
      <c r="FH907" s="179"/>
      <c r="FI907" s="179"/>
      <c r="FJ907" s="179"/>
      <c r="FK907" s="179"/>
      <c r="FL907" s="179"/>
      <c r="FM907" s="179"/>
      <c r="FN907" s="179"/>
      <c r="FO907" s="179"/>
      <c r="FP907" s="179"/>
      <c r="FQ907" s="179"/>
      <c r="FR907" s="179"/>
      <c r="FS907" s="179"/>
      <c r="FT907" s="179"/>
      <c r="FU907" s="179"/>
      <c r="FV907" s="179"/>
      <c r="FW907" s="179"/>
      <c r="FX907" s="179"/>
      <c r="FY907" s="179"/>
      <c r="FZ907" s="179"/>
      <c r="GA907" s="179"/>
      <c r="GB907" s="179"/>
      <c r="GC907" s="179"/>
      <c r="GD907" s="179"/>
      <c r="GE907" s="179"/>
      <c r="GF907" s="179"/>
      <c r="GG907" s="179"/>
      <c r="GH907" s="179"/>
      <c r="GI907" s="179"/>
      <c r="GJ907" s="179"/>
      <c r="GK907" s="179"/>
      <c r="GL907" s="179"/>
      <c r="GM907" s="179"/>
      <c r="GN907" s="179"/>
      <c r="GO907" s="179"/>
      <c r="GP907" s="179"/>
      <c r="GQ907" s="179"/>
      <c r="GR907" s="179"/>
      <c r="GS907" s="179"/>
      <c r="GT907" s="179"/>
      <c r="GU907" s="179"/>
      <c r="GV907" s="179"/>
      <c r="GW907" s="179"/>
      <c r="GX907" s="179"/>
      <c r="GY907" s="179"/>
      <c r="GZ907" s="179"/>
      <c r="HA907" s="179"/>
      <c r="HB907" s="179"/>
      <c r="HC907" s="179"/>
      <c r="HD907" s="179"/>
      <c r="HE907" s="179"/>
      <c r="HF907" s="179"/>
      <c r="HG907" s="179"/>
    </row>
    <row r="908" spans="1:215" s="350" customFormat="1" ht="57" customHeight="1">
      <c r="A908" s="332">
        <v>904</v>
      </c>
      <c r="B908" s="333" t="s">
        <v>6099</v>
      </c>
      <c r="C908" s="334">
        <v>45546</v>
      </c>
      <c r="D908" s="335">
        <v>0.33333333333333331</v>
      </c>
      <c r="E908" s="332" t="s">
        <v>151</v>
      </c>
      <c r="F908" s="332" t="s">
        <v>153</v>
      </c>
      <c r="G908" s="332" t="s">
        <v>153</v>
      </c>
      <c r="H908" s="332" t="s">
        <v>152</v>
      </c>
      <c r="I908" s="332" t="s">
        <v>152</v>
      </c>
      <c r="J908" s="332" t="s">
        <v>2153</v>
      </c>
      <c r="K908" s="332" t="s">
        <v>155</v>
      </c>
      <c r="L908" s="333" t="s">
        <v>6100</v>
      </c>
      <c r="M908" s="333" t="s">
        <v>624</v>
      </c>
      <c r="N908" s="332" t="s">
        <v>5852</v>
      </c>
      <c r="O908" s="333" t="str">
        <f>_xlfn.TEXTJOIN(", ",TRUE,P908:AN908)</f>
        <v>PENDIENTE, PENDIENTE, PENDIENTE, PENDIENTE, PENDIENTE, PENDIENTE, PENDIENTE</v>
      </c>
      <c r="P908" s="332" t="s">
        <v>196</v>
      </c>
      <c r="Q908" s="332" t="s">
        <v>196</v>
      </c>
      <c r="R908" s="332" t="s">
        <v>196</v>
      </c>
      <c r="S908" s="332" t="s">
        <v>196</v>
      </c>
      <c r="T908" s="332" t="s">
        <v>196</v>
      </c>
      <c r="U908" s="332" t="s">
        <v>196</v>
      </c>
      <c r="V908" s="332" t="s">
        <v>196</v>
      </c>
      <c r="W908" s="332"/>
      <c r="X908" s="332"/>
      <c r="Y908" s="332"/>
      <c r="Z908" s="332"/>
      <c r="AA908" s="332"/>
      <c r="AB908" s="332"/>
      <c r="AC908" s="332"/>
      <c r="AD908" s="332"/>
      <c r="AE908" s="332"/>
      <c r="AF908" s="332"/>
      <c r="AG908" s="332"/>
      <c r="AH908" s="332"/>
      <c r="AI908" s="332"/>
      <c r="AJ908" s="332"/>
      <c r="AK908" s="332"/>
      <c r="AL908" s="332"/>
      <c r="AM908" s="332"/>
      <c r="AN908" s="332"/>
      <c r="AO908" s="332" t="s">
        <v>1226</v>
      </c>
      <c r="AP908" s="332"/>
      <c r="AQ908" s="333" t="s">
        <v>179</v>
      </c>
      <c r="AR908" s="336" t="s">
        <v>179</v>
      </c>
      <c r="AS908" s="333" t="s">
        <v>179</v>
      </c>
      <c r="AT908" s="333" t="str">
        <f>_xlfn.TEXTJOIN(", ",TRUE,$AU908:$AY908)</f>
        <v>Fontibón</v>
      </c>
      <c r="AU908" s="332" t="s">
        <v>646</v>
      </c>
      <c r="AV908" s="332"/>
      <c r="AW908" s="332"/>
      <c r="AX908" s="332"/>
      <c r="AY908" s="332"/>
      <c r="AZ908" s="332"/>
      <c r="BA908" s="333" t="str">
        <f>_xlfn.TEXTJOIN(", ",TRUE,$BB908:$BG908)</f>
        <v>Occidente</v>
      </c>
      <c r="BB908" s="332" t="s">
        <v>235</v>
      </c>
      <c r="BC908" s="332"/>
      <c r="BD908" s="332"/>
      <c r="BE908" s="332"/>
      <c r="BF908" s="332"/>
      <c r="BG908" s="332"/>
      <c r="BH908" s="333" t="str">
        <f>_xlfn.TEXTJOIN(", ",TRUE,$BI908:$BR908)</f>
        <v>Fontibón</v>
      </c>
      <c r="BI908" s="332" t="s">
        <v>646</v>
      </c>
      <c r="BJ908" s="332"/>
      <c r="BK908" s="332"/>
      <c r="BL908" s="332"/>
      <c r="BM908" s="332"/>
      <c r="BN908" s="332"/>
      <c r="BO908" s="332"/>
      <c r="BP908" s="332"/>
      <c r="BQ908" s="332"/>
      <c r="BR908" s="332"/>
      <c r="BS908" s="333" t="s">
        <v>179</v>
      </c>
      <c r="BT908" s="337" t="s">
        <v>179</v>
      </c>
      <c r="BU908" s="338" t="s">
        <v>6101</v>
      </c>
      <c r="BV908" s="339"/>
      <c r="BW908" s="332" t="s">
        <v>152</v>
      </c>
      <c r="BX908" s="332" t="s">
        <v>179</v>
      </c>
      <c r="BY908" s="339"/>
      <c r="BZ908" s="332"/>
      <c r="CA908" s="332"/>
      <c r="CB908" s="332">
        <f t="shared" ref="CB908:CB909" si="1313">BZ908+CA908</f>
        <v>0</v>
      </c>
      <c r="CC908" s="352" t="str">
        <f>_xlfn.TEXTJOIN(", ",TRUE,$CD908:$CF908)</f>
        <v/>
      </c>
      <c r="CD908" s="332"/>
      <c r="CE908" s="332"/>
      <c r="CF908" s="340"/>
      <c r="CG908" s="341"/>
      <c r="CH908" s="339"/>
      <c r="CI908" s="332"/>
      <c r="CJ908" s="339"/>
      <c r="CK908" s="332">
        <v>0</v>
      </c>
      <c r="CL908" s="332"/>
      <c r="CM908" s="332"/>
      <c r="CN908" s="332"/>
      <c r="CO908" s="332"/>
      <c r="CP908" s="332"/>
      <c r="CQ908" s="332"/>
      <c r="CR908" s="336"/>
      <c r="CS908" s="336"/>
      <c r="CT908" s="336"/>
      <c r="CU908" s="336"/>
      <c r="CV908" s="336"/>
      <c r="CW908" s="336"/>
      <c r="CX908" s="332"/>
      <c r="CY908" s="332">
        <v>0</v>
      </c>
      <c r="CZ908" s="332">
        <v>0</v>
      </c>
      <c r="DA908" s="332">
        <v>0</v>
      </c>
      <c r="DB908" s="342" t="s">
        <v>316</v>
      </c>
      <c r="DC908" s="339"/>
      <c r="DD908" s="332"/>
      <c r="DE908" s="339"/>
      <c r="DF908" s="343" t="s">
        <v>6102</v>
      </c>
      <c r="DG908" s="344"/>
      <c r="DH908" s="345">
        <f>IF(EE908="Por completar",C908+3,"Completo")</f>
        <v>45549</v>
      </c>
      <c r="DI908" s="332"/>
      <c r="DJ908" s="332"/>
      <c r="DK908" s="332"/>
      <c r="DL908" s="332">
        <v>0</v>
      </c>
      <c r="DM908" s="332">
        <v>0</v>
      </c>
      <c r="DN908" s="332"/>
      <c r="DO908" s="332"/>
      <c r="DP908" s="332"/>
      <c r="DQ908" s="332"/>
      <c r="DR908" s="346" t="s">
        <v>179</v>
      </c>
      <c r="DS908" s="332"/>
      <c r="DT908" s="332"/>
      <c r="DU908" s="346" t="str">
        <f>IF(H908="SÍ", (DT908/(BZ908*0.35)), "No aplica")</f>
        <v>No aplica</v>
      </c>
      <c r="DV908" s="332"/>
      <c r="DW908" s="332"/>
      <c r="DX908" s="332"/>
      <c r="DY908" s="332"/>
      <c r="DZ908" s="332"/>
      <c r="EA908" s="332"/>
      <c r="EB908" s="332"/>
      <c r="EC908" s="332"/>
      <c r="ED908" s="332"/>
      <c r="EE908" s="332" t="str">
        <f>IF(DI908="Subsanado","Completo","Por Completar")</f>
        <v>Por Completar</v>
      </c>
      <c r="EF908" s="339"/>
      <c r="EG908" s="332"/>
      <c r="EH908" s="339"/>
      <c r="EI908" s="333"/>
      <c r="EJ908" s="339"/>
      <c r="EK908" s="332"/>
      <c r="EL908" s="347" t="str">
        <f>IF(F908="NO","No requiere",IF(H908="No","No requiere",IF(DW908="","",IF(DW908&lt;&gt;"No aplica",IF(DX908&lt;&gt;"No aplica",IF(DX908&gt;=2,"Sí","No"),"No aplica"),"No aplica"))))</f>
        <v>No requiere</v>
      </c>
      <c r="EM908" s="347" t="str">
        <f>IF(F908="NO","No requiere",IF(H908="No","No requiere",IF(DW908="","",IF(DW908&lt;&gt;"No aplica",IF(DY908&lt;&gt;"No aplica",IF(DY908&gt;=1,"Sí","No"),"No aplica"),"No aplica"))))</f>
        <v>No requiere</v>
      </c>
      <c r="EN908" s="347" t="str">
        <f>IF(F908="NO","No requiere",IF(H908="No","No requiere",IF(CC908="","",IF(CD908&lt;&gt;"No aplica",IF(CD908&lt;&gt;"Ninguna",IF(COUNTIF(CD908:CF908,"*")&gt;=1,"Sí","No"),"No"),"No aplica"))))</f>
        <v>No requiere</v>
      </c>
      <c r="EO908" s="339"/>
      <c r="EP908" s="342" t="s">
        <v>179</v>
      </c>
      <c r="EQ908" s="348" t="s">
        <v>179</v>
      </c>
      <c r="ER908" s="339"/>
      <c r="ES908" s="332"/>
      <c r="ET908" s="342" t="str">
        <f>IF(F908="NO","No requiere",IF(H908="No","No requiere",IFERROR(COUNTIF(DJ908:DW908,"Completo")/SUM(COUNTIF(DJ908:DW908,"Completo"),COUNTIF(DJ908:DW908,"Incompleto"),COUNTIF(DJ908:DW908,"No subido"),COUNTIF(DJ908:DW908,"No existente"),COUNTIF(DJ908:DW908,"Pendiente")),"")))</f>
        <v>No requiere</v>
      </c>
      <c r="EU908" s="342" t="str">
        <f>IF(F908="NO","No requiere",IF(H908="No","No requiere",IF(B908="","",IF(CX908="SÍ",IF(CK908&gt;=1,CY908/CK908,"Sin compromisos"),"Por verificar"))))</f>
        <v>No requiere</v>
      </c>
      <c r="EV908" s="342" t="str">
        <f>IF(EU908="Por verificar","Por verificar",IF(F908="NO","No requiere",IF(H908="No","No requiere",IFERROR(IF(EU908="","",IF(CK908&gt;=1,DA908/CZ908,"No aplica")),"No aplica"))))</f>
        <v>No requiere</v>
      </c>
      <c r="EW908" s="342" t="str">
        <f>IF(F908="NO","No requiere",IF(H908="No","No requiere",IFERROR(IF(BZ908="","",IF(EA908&lt;&gt;"No aplica",IF(EA908&gt;=1,DO908/EA908,"0%"),"No aplica")),"")))</f>
        <v>No requiere</v>
      </c>
      <c r="EX908" s="349"/>
      <c r="EY908" s="349"/>
    </row>
    <row r="909" spans="1:215" s="350" customFormat="1" ht="57" customHeight="1">
      <c r="A909" s="332">
        <v>905</v>
      </c>
      <c r="B909" s="333" t="s">
        <v>6103</v>
      </c>
      <c r="C909" s="334">
        <v>45547</v>
      </c>
      <c r="D909" s="335">
        <v>0.58333333333333337</v>
      </c>
      <c r="E909" s="332" t="s">
        <v>151</v>
      </c>
      <c r="F909" s="332" t="s">
        <v>153</v>
      </c>
      <c r="G909" s="332" t="s">
        <v>153</v>
      </c>
      <c r="H909" s="332" t="s">
        <v>152</v>
      </c>
      <c r="I909" s="332" t="s">
        <v>152</v>
      </c>
      <c r="J909" s="332" t="s">
        <v>2153</v>
      </c>
      <c r="K909" s="332" t="s">
        <v>155</v>
      </c>
      <c r="L909" s="333" t="s">
        <v>6104</v>
      </c>
      <c r="M909" s="333" t="s">
        <v>624</v>
      </c>
      <c r="N909" s="332" t="s">
        <v>5852</v>
      </c>
      <c r="O909" s="333" t="str">
        <f>_xlfn.TEXTJOIN(", ",TRUE,P909:AN909)</f>
        <v>PENDIENTE, PENDIENTE, PENDIENTE, PENDIENTE, PENDIENTE, PENDIENTE, PENDIENTE</v>
      </c>
      <c r="P909" s="332" t="s">
        <v>196</v>
      </c>
      <c r="Q909" s="332" t="s">
        <v>196</v>
      </c>
      <c r="R909" s="332" t="s">
        <v>196</v>
      </c>
      <c r="S909" s="332" t="s">
        <v>196</v>
      </c>
      <c r="T909" s="332" t="s">
        <v>196</v>
      </c>
      <c r="U909" s="332" t="s">
        <v>196</v>
      </c>
      <c r="V909" s="332" t="s">
        <v>196</v>
      </c>
      <c r="W909" s="332"/>
      <c r="X909" s="332"/>
      <c r="Y909" s="332"/>
      <c r="Z909" s="332"/>
      <c r="AA909" s="332"/>
      <c r="AB909" s="332"/>
      <c r="AC909" s="332"/>
      <c r="AD909" s="332"/>
      <c r="AE909" s="332"/>
      <c r="AF909" s="332"/>
      <c r="AG909" s="332"/>
      <c r="AH909" s="332"/>
      <c r="AI909" s="332"/>
      <c r="AJ909" s="332"/>
      <c r="AK909" s="332"/>
      <c r="AL909" s="332"/>
      <c r="AM909" s="332"/>
      <c r="AN909" s="332"/>
      <c r="AO909" s="332" t="s">
        <v>1226</v>
      </c>
      <c r="AP909" s="332"/>
      <c r="AQ909" s="333" t="s">
        <v>179</v>
      </c>
      <c r="AR909" s="336" t="s">
        <v>179</v>
      </c>
      <c r="AS909" s="333" t="s">
        <v>179</v>
      </c>
      <c r="AT909" s="333" t="str">
        <f>_xlfn.TEXTJOIN(", ",TRUE,$AU909:$AY909)</f>
        <v>Puente Aranda</v>
      </c>
      <c r="AU909" s="332" t="s">
        <v>1235</v>
      </c>
      <c r="AV909" s="332"/>
      <c r="AW909" s="332"/>
      <c r="AX909" s="332"/>
      <c r="AY909" s="332"/>
      <c r="AZ909" s="332"/>
      <c r="BA909" s="333" t="str">
        <f>_xlfn.TEXTJOIN(", ",TRUE,$BB909:$BG909)</f>
        <v>Centro Ampliado</v>
      </c>
      <c r="BB909" s="332" t="s">
        <v>636</v>
      </c>
      <c r="BC909" s="332"/>
      <c r="BD909" s="332"/>
      <c r="BE909" s="332"/>
      <c r="BF909" s="332"/>
      <c r="BG909" s="332"/>
      <c r="BH909" s="333" t="str">
        <f>_xlfn.TEXTJOIN(", ",TRUE,$BI909:$BR909)</f>
        <v>Puente Aranda</v>
      </c>
      <c r="BI909" s="332" t="s">
        <v>1235</v>
      </c>
      <c r="BJ909" s="332"/>
      <c r="BK909" s="332"/>
      <c r="BL909" s="332"/>
      <c r="BM909" s="332"/>
      <c r="BN909" s="332"/>
      <c r="BO909" s="332"/>
      <c r="BP909" s="332"/>
      <c r="BQ909" s="332"/>
      <c r="BR909" s="332"/>
      <c r="BS909" s="333" t="s">
        <v>179</v>
      </c>
      <c r="BT909" s="337" t="s">
        <v>179</v>
      </c>
      <c r="BU909" s="338" t="s">
        <v>6105</v>
      </c>
      <c r="BV909" s="339"/>
      <c r="BW909" s="332" t="s">
        <v>152</v>
      </c>
      <c r="BX909" s="332" t="s">
        <v>179</v>
      </c>
      <c r="BY909" s="339"/>
      <c r="BZ909" s="332"/>
      <c r="CA909" s="332"/>
      <c r="CB909" s="332">
        <f t="shared" si="1313"/>
        <v>0</v>
      </c>
      <c r="CC909" s="352" t="str">
        <f>_xlfn.TEXTJOIN(", ",TRUE,$CD909:$CF909)</f>
        <v/>
      </c>
      <c r="CD909" s="332"/>
      <c r="CE909" s="332"/>
      <c r="CF909" s="340"/>
      <c r="CG909" s="341"/>
      <c r="CH909" s="339"/>
      <c r="CI909" s="332"/>
      <c r="CJ909" s="339"/>
      <c r="CK909" s="332"/>
      <c r="CL909" s="332"/>
      <c r="CM909" s="332"/>
      <c r="CN909" s="332"/>
      <c r="CO909" s="332"/>
      <c r="CP909" s="332"/>
      <c r="CQ909" s="332"/>
      <c r="CR909" s="336"/>
      <c r="CS909" s="336"/>
      <c r="CT909" s="336"/>
      <c r="CU909" s="336"/>
      <c r="CV909" s="336"/>
      <c r="CW909" s="336"/>
      <c r="CX909" s="332"/>
      <c r="CY909" s="332">
        <v>0</v>
      </c>
      <c r="CZ909" s="332">
        <v>0</v>
      </c>
      <c r="DA909" s="332">
        <v>0</v>
      </c>
      <c r="DB909" s="342"/>
      <c r="DC909" s="339"/>
      <c r="DD909" s="332"/>
      <c r="DE909" s="339"/>
      <c r="DF909" s="343" t="s">
        <v>6106</v>
      </c>
      <c r="DG909" s="344"/>
      <c r="DH909" s="345">
        <f>IF(EE909="Por completar",C909+3,"Completo")</f>
        <v>45550</v>
      </c>
      <c r="DI909" s="332"/>
      <c r="DJ909" s="332"/>
      <c r="DK909" s="332"/>
      <c r="DL909" s="332">
        <v>0</v>
      </c>
      <c r="DM909" s="332">
        <v>0</v>
      </c>
      <c r="DN909" s="332"/>
      <c r="DO909" s="332"/>
      <c r="DP909" s="332"/>
      <c r="DQ909" s="332"/>
      <c r="DR909" s="346" t="s">
        <v>179</v>
      </c>
      <c r="DS909" s="332"/>
      <c r="DT909" s="332"/>
      <c r="DU909" s="346" t="str">
        <f>IF(H909="SÍ", (DT909/(BZ909*0.35)), "No aplica")</f>
        <v>No aplica</v>
      </c>
      <c r="DV909" s="332"/>
      <c r="DW909" s="332"/>
      <c r="DX909" s="332"/>
      <c r="DY909" s="332"/>
      <c r="DZ909" s="332"/>
      <c r="EA909" s="332"/>
      <c r="EB909" s="332"/>
      <c r="EC909" s="332"/>
      <c r="ED909" s="332"/>
      <c r="EE909" s="332" t="str">
        <f>IF(DI909="Subsanado","Completo","Por Completar")</f>
        <v>Por Completar</v>
      </c>
      <c r="EF909" s="339"/>
      <c r="EG909" s="332"/>
      <c r="EH909" s="339"/>
      <c r="EI909" s="333"/>
      <c r="EJ909" s="339"/>
      <c r="EK909" s="332"/>
      <c r="EL909" s="347" t="str">
        <f>IF(F909="NO","No requiere",IF(H909="No","No requiere",IF(DW909="","",IF(DW909&lt;&gt;"No aplica",IF(DX909&lt;&gt;"No aplica",IF(DX909&gt;=2,"Sí","No"),"No aplica"),"No aplica"))))</f>
        <v>No requiere</v>
      </c>
      <c r="EM909" s="347" t="str">
        <f>IF(F909="NO","No requiere",IF(H909="No","No requiere",IF(DW909="","",IF(DW909&lt;&gt;"No aplica",IF(DY909&lt;&gt;"No aplica",IF(DY909&gt;=1,"Sí","No"),"No aplica"),"No aplica"))))</f>
        <v>No requiere</v>
      </c>
      <c r="EN909" s="347" t="str">
        <f>IF(F909="NO","No requiere",IF(H909="No","No requiere",IF(CC909="","",IF(CD909&lt;&gt;"No aplica",IF(CD909&lt;&gt;"Ninguna",IF(COUNTIF(CD909:CF909,"*")&gt;=1,"Sí","No"),"No"),"No aplica"))))</f>
        <v>No requiere</v>
      </c>
      <c r="EO909" s="339"/>
      <c r="EP909" s="342"/>
      <c r="EQ909" s="348"/>
      <c r="ER909" s="339"/>
      <c r="ES909" s="332"/>
      <c r="ET909" s="342" t="str">
        <f>IF(F909="NO","No requiere",IF(H909="No","No requiere",IFERROR(COUNTIF(DJ909:DW909,"Completo")/SUM(COUNTIF(DJ909:DW909,"Completo"),COUNTIF(DJ909:DW909,"Incompleto"),COUNTIF(DJ909:DW909,"No subido"),COUNTIF(DJ909:DW909,"No existente"),COUNTIF(DJ909:DW909,"Pendiente")),"")))</f>
        <v>No requiere</v>
      </c>
      <c r="EU909" s="342" t="str">
        <f>IF(F909="NO","No requiere",IF(H909="No","No requiere",IF(B909="","",IF(CX909="SÍ",IF(CK909&gt;=1,CY909/CK909,"Sin compromisos"),"Por verificar"))))</f>
        <v>No requiere</v>
      </c>
      <c r="EV909" s="342" t="str">
        <f>IF(EU909="Por verificar","Por verificar",IF(F909="NO","No requiere",IF(H909="No","No requiere",IFERROR(IF(EU909="","",IF(CK909&gt;=1,DA909/CZ909,"No aplica")),"No aplica"))))</f>
        <v>No requiere</v>
      </c>
      <c r="EW909" s="342" t="str">
        <f>IF(F909="NO","No requiere",IF(H909="No","No requiere",IFERROR(IF(BZ909="","",IF(EA909&lt;&gt;"No aplica",IF(EA909&gt;=1,DO909/EA909,"0%"),"No aplica")),"")))</f>
        <v>No requiere</v>
      </c>
      <c r="EX909" s="349"/>
      <c r="EY909" s="349"/>
    </row>
    <row r="910" spans="1:215" s="350" customFormat="1" ht="57" customHeight="1">
      <c r="A910" s="352">
        <v>906</v>
      </c>
      <c r="B910" s="353" t="s">
        <v>6107</v>
      </c>
      <c r="C910" s="334">
        <v>45547</v>
      </c>
      <c r="D910" s="355">
        <v>0.33333333333333331</v>
      </c>
      <c r="E910" s="352" t="s">
        <v>151</v>
      </c>
      <c r="F910" s="352" t="s">
        <v>153</v>
      </c>
      <c r="G910" s="352" t="s">
        <v>153</v>
      </c>
      <c r="H910" s="352" t="s">
        <v>152</v>
      </c>
      <c r="I910" s="352" t="s">
        <v>152</v>
      </c>
      <c r="J910" s="352" t="s">
        <v>2153</v>
      </c>
      <c r="K910" s="352" t="s">
        <v>155</v>
      </c>
      <c r="L910" s="353" t="s">
        <v>6108</v>
      </c>
      <c r="M910" s="353" t="s">
        <v>624</v>
      </c>
      <c r="N910" s="352" t="s">
        <v>5852</v>
      </c>
      <c r="O910" s="353" t="str">
        <f>_xlfn.TEXTJOIN(", ",TRUE,P910:AN910)</f>
        <v>PENDIENTE, PENDIENTE, PENDIENTE, PENDIENTE, PENDIENTE, PENDIENTE, PENDIENTE</v>
      </c>
      <c r="P910" s="352" t="s">
        <v>196</v>
      </c>
      <c r="Q910" s="352" t="s">
        <v>196</v>
      </c>
      <c r="R910" s="352" t="s">
        <v>196</v>
      </c>
      <c r="S910" s="352" t="s">
        <v>196</v>
      </c>
      <c r="T910" s="352" t="s">
        <v>196</v>
      </c>
      <c r="U910" s="352" t="s">
        <v>196</v>
      </c>
      <c r="V910" s="352" t="s">
        <v>196</v>
      </c>
      <c r="W910" s="352"/>
      <c r="X910" s="352"/>
      <c r="Y910" s="352"/>
      <c r="Z910" s="352"/>
      <c r="AA910" s="352"/>
      <c r="AB910" s="352"/>
      <c r="AC910" s="352"/>
      <c r="AD910" s="352"/>
      <c r="AE910" s="352"/>
      <c r="AF910" s="352"/>
      <c r="AG910" s="352"/>
      <c r="AH910" s="352"/>
      <c r="AI910" s="352"/>
      <c r="AJ910" s="352"/>
      <c r="AK910" s="352"/>
      <c r="AL910" s="352"/>
      <c r="AM910" s="352"/>
      <c r="AN910" s="352"/>
      <c r="AO910" s="352" t="s">
        <v>1226</v>
      </c>
      <c r="AP910" s="352"/>
      <c r="AQ910" s="353" t="s">
        <v>179</v>
      </c>
      <c r="AR910" s="356" t="s">
        <v>179</v>
      </c>
      <c r="AS910" s="353" t="s">
        <v>179</v>
      </c>
      <c r="AT910" s="353" t="str">
        <f>_xlfn.TEXTJOIN(", ",TRUE,$AU910:$AY910)</f>
        <v>Rafael Uribe Uribe</v>
      </c>
      <c r="AU910" s="352" t="s">
        <v>635</v>
      </c>
      <c r="AV910" s="352"/>
      <c r="AW910" s="352"/>
      <c r="AX910" s="352"/>
      <c r="AY910" s="352"/>
      <c r="AZ910" s="352"/>
      <c r="BA910" s="353" t="str">
        <f>_xlfn.TEXTJOIN(", ",TRUE,$BB910:$BG910)</f>
        <v>Suroriente</v>
      </c>
      <c r="BB910" s="352" t="s">
        <v>218</v>
      </c>
      <c r="BC910" s="352"/>
      <c r="BD910" s="352"/>
      <c r="BE910" s="352"/>
      <c r="BF910" s="352"/>
      <c r="BG910" s="352"/>
      <c r="BH910" s="353" t="str">
        <f>_xlfn.TEXTJOIN(", ",TRUE,$BI910:$BR910)</f>
        <v>Rafael Uribe</v>
      </c>
      <c r="BI910" s="352" t="s">
        <v>723</v>
      </c>
      <c r="BJ910" s="352"/>
      <c r="BK910" s="352"/>
      <c r="BL910" s="352"/>
      <c r="BM910" s="352"/>
      <c r="BN910" s="352"/>
      <c r="BO910" s="352"/>
      <c r="BP910" s="352"/>
      <c r="BQ910" s="352"/>
      <c r="BR910" s="352"/>
      <c r="BS910" s="353" t="s">
        <v>179</v>
      </c>
      <c r="BT910" s="353" t="s">
        <v>2447</v>
      </c>
      <c r="BU910" s="357" t="s">
        <v>6109</v>
      </c>
      <c r="BV910" s="358"/>
      <c r="BW910" s="352" t="s">
        <v>152</v>
      </c>
      <c r="BX910" s="352" t="s">
        <v>179</v>
      </c>
      <c r="BY910" s="358"/>
      <c r="BZ910" s="352"/>
      <c r="CA910" s="352"/>
      <c r="CB910" s="352">
        <f>BZ910+CA910</f>
        <v>0</v>
      </c>
      <c r="CC910" s="352"/>
      <c r="CD910" s="352"/>
      <c r="CE910" s="352"/>
      <c r="CF910" s="359"/>
      <c r="CG910" s="341"/>
      <c r="CH910" s="339"/>
      <c r="CI910" s="352"/>
      <c r="CJ910" s="358"/>
      <c r="CK910" s="352">
        <v>0</v>
      </c>
      <c r="CL910" s="352"/>
      <c r="CM910" s="352"/>
      <c r="CN910" s="352"/>
      <c r="CO910" s="352"/>
      <c r="CP910" s="352"/>
      <c r="CQ910" s="352"/>
      <c r="CR910" s="356"/>
      <c r="CS910" s="356"/>
      <c r="CT910" s="356"/>
      <c r="CU910" s="356"/>
      <c r="CV910" s="356"/>
      <c r="CW910" s="356"/>
      <c r="CX910" s="352"/>
      <c r="CY910" s="352">
        <v>0</v>
      </c>
      <c r="CZ910" s="352">
        <v>0</v>
      </c>
      <c r="DA910" s="352">
        <v>0</v>
      </c>
      <c r="DB910" s="360"/>
      <c r="DC910" s="339"/>
      <c r="DD910" s="352"/>
      <c r="DE910" s="358"/>
      <c r="DF910" s="361" t="s">
        <v>6110</v>
      </c>
      <c r="DG910" s="362"/>
      <c r="DH910" s="363">
        <f>IF(EE910="Por completar",C910+3,"Completo")</f>
        <v>45550</v>
      </c>
      <c r="DI910" s="352"/>
      <c r="DJ910" s="352"/>
      <c r="DK910" s="352"/>
      <c r="DL910" s="352">
        <v>0</v>
      </c>
      <c r="DM910" s="352">
        <v>0</v>
      </c>
      <c r="DN910" s="352"/>
      <c r="DO910" s="352"/>
      <c r="DP910" s="352"/>
      <c r="DQ910" s="352"/>
      <c r="DR910" s="364" t="s">
        <v>179</v>
      </c>
      <c r="DS910" s="352"/>
      <c r="DT910" s="352"/>
      <c r="DU910" s="364" t="str">
        <f>IF(H910="SÍ", (DT910/(BZ910*0.35)), "No aplica")</f>
        <v>No aplica</v>
      </c>
      <c r="DV910" s="352"/>
      <c r="DW910" s="352"/>
      <c r="DX910" s="352"/>
      <c r="DY910" s="352"/>
      <c r="DZ910" s="352"/>
      <c r="EA910" s="352"/>
      <c r="EB910" s="352"/>
      <c r="EC910" s="352"/>
      <c r="ED910" s="352"/>
      <c r="EE910" s="352" t="str">
        <f>IF(DI910="Subsanado","Completo","Por Completar")</f>
        <v>Por Completar</v>
      </c>
      <c r="EF910" s="339"/>
      <c r="EG910" s="352"/>
      <c r="EH910" s="358"/>
      <c r="EI910" s="353"/>
      <c r="EJ910" s="358"/>
      <c r="EK910" s="352"/>
      <c r="EL910" s="365" t="str">
        <f>IF(F910="NO","No requiere",IF(H910="No","No requiere",IF(DW910="","",IF(DW910&lt;&gt;"No aplica",IF(DX910&lt;&gt;"No aplica",IF(DX910&gt;=2,"Sí","No"),"No aplica"),"No aplica"))))</f>
        <v>No requiere</v>
      </c>
      <c r="EM910" s="365" t="str">
        <f>IF(F910="NO","No requiere",IF(H910="No","No requiere",IF(DW910="","",IF(DW910&lt;&gt;"No aplica",IF(DY910&lt;&gt;"No aplica",IF(DY910&gt;=1,"Sí","No"),"No aplica"),"No aplica"))))</f>
        <v>No requiere</v>
      </c>
      <c r="EN910" s="365" t="str">
        <f>IF(F910="NO","No requiere",IF(H910="No","No requiere",IF(CC910="","",IF(CD910&lt;&gt;"No aplica",IF(CD910&lt;&gt;"Ninguna",IF(COUNTIF(CD910:CF910,"*")&gt;=1,"Sí","No"),"No"),"No aplica"))))</f>
        <v>No requiere</v>
      </c>
      <c r="EO910" s="358"/>
      <c r="EP910" s="360"/>
      <c r="EQ910" s="366"/>
      <c r="ER910" s="358"/>
      <c r="ES910" s="352"/>
      <c r="ET910" s="360" t="str">
        <f>IF(F910="NO","No requiere",IF(H910="No","No requiere",IFERROR(COUNTIF(DJ910:DW910,"Completo")/SUM(COUNTIF(DJ910:DW910,"Completo"),COUNTIF(DJ910:DW910,"Incompleto"),COUNTIF(DJ910:DW910,"No subido"),COUNTIF(DJ910:DW910,"No existente"),COUNTIF(DJ910:DW910,"Pendiente")),"")))</f>
        <v>No requiere</v>
      </c>
      <c r="EU910" s="360" t="str">
        <f>IF(F910="NO","No requiere",IF(H910="No","No requiere",IF(B910="","",IF(CX910="SÍ",IF(CK910&gt;=1,CY910/CK910,"Sin compromisos"),"Por verificar"))))</f>
        <v>No requiere</v>
      </c>
      <c r="EV910" s="360" t="str">
        <f>IF(EU910="Por verificar","Por verificar",IF(F910="NO","No requiere",IF(H910="No","No requiere",IFERROR(IF(EU910="","",IF(CK910&gt;=1,DA910/CZ910,"No aplica")),"No aplica"))))</f>
        <v>No requiere</v>
      </c>
      <c r="EW910" s="360" t="str">
        <f>IF(F910="NO","No requiere",IF(H910="No","No requiere",IFERROR(IF(BZ910="","",IF(EA910&lt;&gt;"No aplica",IF(EA910&gt;=1,DO910/EA910,"0%"),"No aplica")),"")))</f>
        <v>No requiere</v>
      </c>
      <c r="EX910" s="349"/>
      <c r="EY910" s="349"/>
    </row>
    <row r="911" spans="1:215" ht="66.75" customHeight="1">
      <c r="A911" s="79">
        <v>907</v>
      </c>
      <c r="B911" s="80" t="s">
        <v>1052</v>
      </c>
      <c r="C911" s="81">
        <v>45547</v>
      </c>
      <c r="D911" s="82">
        <v>0.35416666666666669</v>
      </c>
      <c r="E911" s="79" t="s">
        <v>200</v>
      </c>
      <c r="F911" s="79" t="s">
        <v>153</v>
      </c>
      <c r="G911" s="79" t="s">
        <v>152</v>
      </c>
      <c r="H911" s="79" t="s">
        <v>152</v>
      </c>
      <c r="I911" s="79" t="s">
        <v>152</v>
      </c>
      <c r="J911" s="79" t="s">
        <v>504</v>
      </c>
      <c r="K911" s="79" t="s">
        <v>155</v>
      </c>
      <c r="L911" s="80" t="s">
        <v>1053</v>
      </c>
      <c r="M911" s="80" t="s">
        <v>624</v>
      </c>
      <c r="N911" s="79" t="s">
        <v>924</v>
      </c>
      <c r="O911" s="80" t="str">
        <f t="shared" ref="O911" si="1314">_xlfn.TEXTJOIN(", ",TRUE,P911:AN911)</f>
        <v/>
      </c>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t="s">
        <v>169</v>
      </c>
      <c r="AP911" s="79" t="s">
        <v>2702</v>
      </c>
      <c r="AQ911" s="80" t="s">
        <v>2071</v>
      </c>
      <c r="AR911" s="83" t="s">
        <v>6111</v>
      </c>
      <c r="AS911" s="80" t="s">
        <v>1056</v>
      </c>
      <c r="AT911" s="80" t="str">
        <f>_xlfn.TEXTJOIN(", ",TRUE,$AU911:$AY911)</f>
        <v>Bosa</v>
      </c>
      <c r="AU911" s="79" t="s">
        <v>730</v>
      </c>
      <c r="AV911" s="79"/>
      <c r="AW911" s="79"/>
      <c r="AX911" s="79"/>
      <c r="AY911" s="79"/>
      <c r="AZ911" s="79"/>
      <c r="BA911" s="80" t="str">
        <f>_xlfn.TEXTJOIN(", ",TRUE,$BB911:$BG911)</f>
        <v>Suroccidente</v>
      </c>
      <c r="BB911" s="79" t="s">
        <v>732</v>
      </c>
      <c r="BC911" s="79"/>
      <c r="BD911" s="79"/>
      <c r="BE911" s="79"/>
      <c r="BF911" s="79"/>
      <c r="BG911" s="79"/>
      <c r="BH911" s="80" t="str">
        <f>_xlfn.TEXTJOIN(", ",TRUE,$BI911:$BR911)</f>
        <v>Bosa</v>
      </c>
      <c r="BI911" s="79" t="s">
        <v>730</v>
      </c>
      <c r="BJ911" s="79"/>
      <c r="BK911" s="79"/>
      <c r="BL911" s="79"/>
      <c r="BM911" s="79"/>
      <c r="BN911" s="79"/>
      <c r="BO911" s="79"/>
      <c r="BP911" s="79"/>
      <c r="BQ911" s="79"/>
      <c r="BR911" s="79"/>
      <c r="BS911" s="80" t="s">
        <v>179</v>
      </c>
      <c r="BT911" s="315" t="s">
        <v>2447</v>
      </c>
      <c r="BU911" s="80" t="s">
        <v>5014</v>
      </c>
      <c r="BV911" s="71"/>
      <c r="BW911" s="79" t="s">
        <v>152</v>
      </c>
      <c r="BX911" s="79" t="s">
        <v>179</v>
      </c>
      <c r="BY911" s="71"/>
      <c r="BZ911" s="79"/>
      <c r="CA911" s="79"/>
      <c r="CB911" s="79">
        <f>BZ911+CA911</f>
        <v>0</v>
      </c>
      <c r="CC911" s="79" t="str">
        <f>_xlfn.TEXTJOIN(", ",TRUE,$CD911:$CF911)</f>
        <v/>
      </c>
      <c r="CD911" s="79"/>
      <c r="CE911" s="79"/>
      <c r="CF911" s="79"/>
      <c r="CG911" s="83"/>
      <c r="CH911" s="41"/>
      <c r="CI911" s="79"/>
      <c r="CJ911" s="71"/>
      <c r="CK911" s="79">
        <f t="shared" ref="CK911" si="1315">COUNTIF(CL911:CQ911,"*")</f>
        <v>0</v>
      </c>
      <c r="CL911" s="79"/>
      <c r="CM911" s="79"/>
      <c r="CN911" s="79"/>
      <c r="CO911" s="79"/>
      <c r="CP911" s="79"/>
      <c r="CQ911" s="79"/>
      <c r="CR911" s="83"/>
      <c r="CS911" s="83"/>
      <c r="CT911" s="83"/>
      <c r="CU911" s="83"/>
      <c r="CV911" s="83"/>
      <c r="CW911" s="83"/>
      <c r="CX911" s="79"/>
      <c r="CY911" s="79">
        <f t="shared" ref="CY911" si="1316">SUM(COUNTIF(CR911:CW911,"Realizado y Devuelto a la Ciudadanía"),COUNTIF(CR911:CW911,"Realizado y Trasladado por competencia"), COUNTIF(CR911:CW911,"Realizado y Gestionado"))</f>
        <v>0</v>
      </c>
      <c r="CZ911" s="79">
        <v>0</v>
      </c>
      <c r="DA911" s="79">
        <f t="shared" ref="DA911" si="1317">COUNTIF(CR911:CW911,"Realizado y Devuelto a la Ciudadanía")</f>
        <v>0</v>
      </c>
      <c r="DB911" s="84" t="str">
        <f t="shared" ref="DB911" si="1318">IFERROR(CY911/CK911,"")</f>
        <v/>
      </c>
      <c r="DC911" s="41"/>
      <c r="DD911" s="79"/>
      <c r="DE911" s="71"/>
      <c r="DF911" s="127" t="s">
        <v>6112</v>
      </c>
      <c r="DG911" s="79"/>
      <c r="DH911" s="86">
        <f t="shared" ref="DH911" si="1319">IF(EE911="Por completar",C911+3,"Completo")</f>
        <v>45550</v>
      </c>
      <c r="DI911" s="79"/>
      <c r="DJ911" s="79"/>
      <c r="DK911" s="79"/>
      <c r="DL911" s="79">
        <v>0</v>
      </c>
      <c r="DM911" s="79">
        <v>0</v>
      </c>
      <c r="DN911" s="79"/>
      <c r="DO911" s="79"/>
      <c r="DP911" s="79"/>
      <c r="DQ911" s="79"/>
      <c r="DR911" s="75" t="str">
        <f t="shared" ref="DR911" si="1320">IF(H911="SÍ", (DQ911/(BZ911*0.3)), "No aplica")</f>
        <v>No aplica</v>
      </c>
      <c r="DS911" s="79"/>
      <c r="DT911" s="79"/>
      <c r="DU911" s="75" t="str">
        <f t="shared" ref="DU911" si="1321">IF(H911="SÍ", (DT911/(BZ911*0.35)), "No aplica")</f>
        <v>No aplica</v>
      </c>
      <c r="DV911" s="79"/>
      <c r="DW911" s="79"/>
      <c r="DX911" s="79"/>
      <c r="DY911" s="79"/>
      <c r="DZ911" s="79"/>
      <c r="EA911" s="79"/>
      <c r="EB911" s="79"/>
      <c r="EC911" s="79"/>
      <c r="ED911" s="79"/>
      <c r="EE911" s="79" t="str">
        <f>IF(DI911="Subsanado","Completo","Por Completar")</f>
        <v>Por Completar</v>
      </c>
      <c r="EF911" s="41"/>
      <c r="EG911" s="79"/>
      <c r="EH911" s="71"/>
      <c r="EI911" s="80"/>
      <c r="EJ911" s="71"/>
      <c r="EK911" s="79"/>
      <c r="EL911" s="87" t="str">
        <f t="shared" ref="EL911" si="1322">IF(F911="NO","No requiere",IF(H911="No","No requiere",IF(DW911="","",IF(DW911&lt;&gt;"No aplica",IF(DX911&lt;&gt;"No aplica",IF(DX911&gt;=2,"Sí","No"),"No aplica"),"No aplica"))))</f>
        <v>No requiere</v>
      </c>
      <c r="EM911" s="87" t="str">
        <f t="shared" ref="EM911" si="1323">IF(F911="NO","No requiere",IF(H911="No","No requiere",IF(DW911="","",IF(DW911&lt;&gt;"No aplica",IF(DY911&lt;&gt;"No aplica",IF(DY911&gt;=1,"Sí","No"),"No aplica"),"No aplica"))))</f>
        <v>No requiere</v>
      </c>
      <c r="EN911" s="87" t="str">
        <f>IF(F911="NO","No requiere",IF(H911="No","No requiere",IF(CC911="","",IF(CD911&lt;&gt;"No aplica",IF(CD911&lt;&gt;"Ninguna",IF(COUNTIF(CD911:CF911,"*")&gt;=1,"Sí","No"),"No"),"No aplica"))))</f>
        <v>No requiere</v>
      </c>
      <c r="EO911" s="71"/>
      <c r="EP911" s="84" t="str">
        <f t="shared" ref="EP911" si="1324">IF(F911="NO","No requiere",IF(H911="No","No requiere",IF(DL911="","",IF(DL911&gt;=1,DM911/DL911,"No aplica"))))</f>
        <v>No requiere</v>
      </c>
      <c r="EQ911" s="88" t="str">
        <f t="shared" ref="EQ911" si="1325">IFERROR(IF(F911="NO","No requiere",IF(H911="No","No requiere",DU911)),"")</f>
        <v>No requiere</v>
      </c>
      <c r="ER911" s="71"/>
      <c r="ES911" s="79"/>
      <c r="ET911" s="84" t="str">
        <f t="shared" ref="ET911" si="1326">IF(F911="NO","No requiere",IF(H911="No","No requiere",IFERROR(COUNTIF(DJ911:DW911,"Completo")/SUM(COUNTIF(DJ911:DW911,"Completo"),COUNTIF(DJ911:DW911,"Incompleto"),COUNTIF(DJ911:DW911,"No subido"),COUNTIF(DJ911:DW911,"No existente"),COUNTIF(DJ911:DW911,"Pendiente")),"")))</f>
        <v>No requiere</v>
      </c>
      <c r="EU911" s="84" t="str">
        <f>IF(F911="NO","No requiere",IF(H911="No","No requiere",IF(#REF!="","",IF(CX911="SÍ",IF(CK911&gt;=1,CY911/CK911,"Sin compromisos"),"Por verificar"))))</f>
        <v>No requiere</v>
      </c>
      <c r="EV911" s="84" t="str">
        <f t="shared" ref="EV911" si="1327">IF(EU911="Por verificar","Por verificar",IF(F911="NO","No requiere",IF(H911="No","No requiere",IFERROR(IF(EU911="","",IF(CK911&gt;=1,DA911/CZ911,"No aplica")),"No aplica"))))</f>
        <v>No requiere</v>
      </c>
      <c r="EW911" s="84" t="str">
        <f>IF(F911="NO","No requiere",IF(H911="No","No requiere",IFERROR(IF(BZ911="","",IF(EA911&lt;&gt;"No aplica",IF(EA911&gt;=1,DO911/EA911,"0%"),"No aplica")),"")))</f>
        <v>No requiere</v>
      </c>
      <c r="EX911" s="78"/>
      <c r="EY911" s="78"/>
    </row>
    <row r="912" spans="1:215" s="350" customFormat="1" ht="40.5" customHeight="1">
      <c r="A912" s="352">
        <v>908</v>
      </c>
      <c r="B912" s="353" t="s">
        <v>6113</v>
      </c>
      <c r="C912" s="354">
        <v>45548</v>
      </c>
      <c r="D912" s="355">
        <v>0.58333333333333337</v>
      </c>
      <c r="E912" s="352" t="s">
        <v>151</v>
      </c>
      <c r="F912" s="352" t="s">
        <v>153</v>
      </c>
      <c r="G912" s="352" t="s">
        <v>153</v>
      </c>
      <c r="H912" s="352" t="s">
        <v>152</v>
      </c>
      <c r="I912" s="352" t="s">
        <v>152</v>
      </c>
      <c r="J912" s="352" t="s">
        <v>2153</v>
      </c>
      <c r="K912" s="352" t="s">
        <v>155</v>
      </c>
      <c r="L912" s="353" t="s">
        <v>6114</v>
      </c>
      <c r="M912" s="353" t="s">
        <v>624</v>
      </c>
      <c r="N912" s="352" t="s">
        <v>5852</v>
      </c>
      <c r="O912" s="353" t="str">
        <f>_xlfn.TEXTJOIN(", ",TRUE,P912:AN912)</f>
        <v>PENDIENTE, PENDIENTE, PENDIENTE, PENDIENTE, PENDIENTE, PENDIENTE, PENDIENTE</v>
      </c>
      <c r="P912" s="352" t="s">
        <v>196</v>
      </c>
      <c r="Q912" s="352" t="s">
        <v>196</v>
      </c>
      <c r="R912" s="352" t="s">
        <v>196</v>
      </c>
      <c r="S912" s="352" t="s">
        <v>196</v>
      </c>
      <c r="T912" s="352" t="s">
        <v>196</v>
      </c>
      <c r="U912" s="352" t="s">
        <v>196</v>
      </c>
      <c r="V912" s="352" t="s">
        <v>196</v>
      </c>
      <c r="W912" s="352"/>
      <c r="X912" s="352"/>
      <c r="Y912" s="352"/>
      <c r="Z912" s="352"/>
      <c r="AA912" s="352"/>
      <c r="AB912" s="352"/>
      <c r="AC912" s="352"/>
      <c r="AD912" s="352"/>
      <c r="AE912" s="352"/>
      <c r="AF912" s="352"/>
      <c r="AG912" s="352"/>
      <c r="AH912" s="352"/>
      <c r="AI912" s="352"/>
      <c r="AJ912" s="352"/>
      <c r="AK912" s="352"/>
      <c r="AL912" s="352"/>
      <c r="AM912" s="352"/>
      <c r="AN912" s="352"/>
      <c r="AO912" s="352" t="s">
        <v>1226</v>
      </c>
      <c r="AP912" s="352"/>
      <c r="AQ912" s="353" t="s">
        <v>171</v>
      </c>
      <c r="AR912" s="356" t="s">
        <v>171</v>
      </c>
      <c r="AS912" s="353" t="s">
        <v>171</v>
      </c>
      <c r="AT912" s="353" t="str">
        <f>_xlfn.TEXTJOIN(", ",TRUE,$AU912:$AY912)</f>
        <v>Kennedy</v>
      </c>
      <c r="AU912" s="352" t="s">
        <v>731</v>
      </c>
      <c r="AV912" s="352"/>
      <c r="AW912" s="352"/>
      <c r="AX912" s="352"/>
      <c r="AY912" s="352"/>
      <c r="AZ912" s="352"/>
      <c r="BA912" s="353" t="str">
        <f>_xlfn.TEXTJOIN(", ",TRUE,$BB912:$BG912)</f>
        <v>Suroccidente</v>
      </c>
      <c r="BB912" s="352" t="s">
        <v>732</v>
      </c>
      <c r="BC912" s="352"/>
      <c r="BD912" s="352"/>
      <c r="BE912" s="352"/>
      <c r="BF912" s="352"/>
      <c r="BG912" s="352"/>
      <c r="BH912" s="353" t="str">
        <f>_xlfn.TEXTJOIN(", ",TRUE,$BI912:$BR912)</f>
        <v>Kennedy</v>
      </c>
      <c r="BI912" s="352" t="s">
        <v>731</v>
      </c>
      <c r="BJ912" s="352"/>
      <c r="BK912" s="352"/>
      <c r="BL912" s="352"/>
      <c r="BM912" s="352"/>
      <c r="BN912" s="352"/>
      <c r="BO912" s="352"/>
      <c r="BP912" s="352"/>
      <c r="BQ912" s="352"/>
      <c r="BR912" s="352"/>
      <c r="BS912" s="353" t="s">
        <v>179</v>
      </c>
      <c r="BT912" s="367" t="s">
        <v>179</v>
      </c>
      <c r="BU912" s="368" t="s">
        <v>6115</v>
      </c>
      <c r="BV912" s="358"/>
      <c r="BW912" s="352" t="s">
        <v>152</v>
      </c>
      <c r="BX912" s="352" t="s">
        <v>179</v>
      </c>
      <c r="BY912" s="358"/>
      <c r="BZ912" s="352"/>
      <c r="CA912" s="352"/>
      <c r="CB912" s="352">
        <f>BZ912+CA912</f>
        <v>0</v>
      </c>
      <c r="CC912" s="352"/>
      <c r="CD912" s="352"/>
      <c r="CE912" s="352"/>
      <c r="CF912" s="359"/>
      <c r="CG912" s="369"/>
      <c r="CH912" s="339"/>
      <c r="CI912" s="352"/>
      <c r="CJ912" s="358"/>
      <c r="CK912" s="352">
        <v>0</v>
      </c>
      <c r="CL912" s="352"/>
      <c r="CM912" s="352"/>
      <c r="CN912" s="352"/>
      <c r="CO912" s="352"/>
      <c r="CP912" s="352"/>
      <c r="CQ912" s="352"/>
      <c r="CR912" s="356"/>
      <c r="CS912" s="356"/>
      <c r="CT912" s="356"/>
      <c r="CU912" s="356"/>
      <c r="CV912" s="356"/>
      <c r="CW912" s="356"/>
      <c r="CX912" s="352"/>
      <c r="CY912" s="352"/>
      <c r="CZ912" s="352"/>
      <c r="DA912" s="352"/>
      <c r="DB912" s="360"/>
      <c r="DC912" s="339"/>
      <c r="DD912" s="352"/>
      <c r="DE912" s="358"/>
      <c r="DF912" s="361" t="s">
        <v>6116</v>
      </c>
      <c r="DG912" s="362"/>
      <c r="DH912" s="363">
        <f>IF(EE912="Por completar",C912+3,"Completo")</f>
        <v>45551</v>
      </c>
      <c r="DI912" s="352"/>
      <c r="DJ912" s="352"/>
      <c r="DK912" s="352"/>
      <c r="DL912" s="352">
        <v>0</v>
      </c>
      <c r="DM912" s="352">
        <v>0</v>
      </c>
      <c r="DN912" s="352"/>
      <c r="DO912" s="352"/>
      <c r="DP912" s="352"/>
      <c r="DQ912" s="352"/>
      <c r="DR912" s="364" t="s">
        <v>179</v>
      </c>
      <c r="DS912" s="352"/>
      <c r="DT912" s="352"/>
      <c r="DU912" s="364" t="str">
        <f>IF(H912="SÍ", (DT912/(BZ912*0.35)), "No aplica")</f>
        <v>No aplica</v>
      </c>
      <c r="DV912" s="352"/>
      <c r="DW912" s="352"/>
      <c r="DX912" s="352"/>
      <c r="DY912" s="352"/>
      <c r="DZ912" s="352"/>
      <c r="EA912" s="352"/>
      <c r="EB912" s="352"/>
      <c r="EC912" s="352"/>
      <c r="ED912" s="352"/>
      <c r="EE912" s="352" t="str">
        <f>IF(DI912="Subsanado","Completo","Por Completar")</f>
        <v>Por Completar</v>
      </c>
      <c r="EF912" s="339"/>
      <c r="EG912" s="352"/>
      <c r="EH912" s="358"/>
      <c r="EI912" s="353"/>
      <c r="EJ912" s="358"/>
      <c r="EK912" s="352"/>
      <c r="EL912" s="365" t="str">
        <f>IF(F912="NO","No requiere",IF(H912="No","No requiere",IF(DW912="","",IF(DW912&lt;&gt;"No aplica",IF(DX912&lt;&gt;"No aplica",IF(DX912&gt;=2,"Sí","No"),"No aplica"),"No aplica"))))</f>
        <v>No requiere</v>
      </c>
      <c r="EM912" s="365" t="str">
        <f>IF(F912="NO","No requiere",IF(H912="No","No requiere",IF(DW912="","",IF(DW912&lt;&gt;"No aplica",IF(DY912&lt;&gt;"No aplica",IF(DY912&gt;=1,"Sí","No"),"No aplica"),"No aplica"))))</f>
        <v>No requiere</v>
      </c>
      <c r="EN912" s="365" t="str">
        <f>IF(F912="NO","No requiere",IF(H912="No","No requiere",IF(CC912="","",IF(CD912&lt;&gt;"No aplica",IF(CD912&lt;&gt;"Ninguna",IF(COUNTIF(CD912:CF912,"*")&gt;=1,"Sí","No"),"No"),"No aplica"))))</f>
        <v>No requiere</v>
      </c>
      <c r="EO912" s="358"/>
      <c r="EP912" s="360"/>
      <c r="EQ912" s="366"/>
      <c r="ER912" s="358"/>
      <c r="ES912" s="352"/>
      <c r="ET912" s="360" t="str">
        <f>IF(F912="NO","No requiere",IF(H912="No","No requiere",IFERROR(COUNTIF(DJ912:DW912,"Completo")/SUM(COUNTIF(DJ912:DW912,"Completo"),COUNTIF(DJ912:DW912,"Incompleto"),COUNTIF(DJ912:DW912,"No subido"),COUNTIF(DJ912:DW912,"No existente"),COUNTIF(DJ912:DW912,"Pendiente")),"")))</f>
        <v>No requiere</v>
      </c>
      <c r="EU912" s="360" t="str">
        <f>IF(F912="NO","No requiere",IF(H912="No","No requiere",IF(B912="","",IF(CX912="SÍ",IF(CK912&gt;=1,CY912/CK912,"Sin compromisos"),"Por verificar"))))</f>
        <v>No requiere</v>
      </c>
      <c r="EV912" s="360" t="str">
        <f>IF(EU912="Por verificar","Por verificar",IF(F912="NO","No requiere",IF(H912="No","No requiere",IFERROR(IF(EU912="","",IF(CK912&gt;=1,DA912/CZ912,"No aplica")),"No aplica"))))</f>
        <v>No requiere</v>
      </c>
      <c r="EW912" s="360" t="str">
        <f>IF(F912="NO","No requiere",IF(H912="No","No requiere",IFERROR(IF(BZ912="","",IF(EA912&lt;&gt;"No aplica",IF(EA912&gt;=1,DO912/EA912,"0%"),"No aplica")),"")))</f>
        <v>No requiere</v>
      </c>
      <c r="EX912" s="349"/>
      <c r="EY912" s="349"/>
    </row>
    <row r="913" spans="1:155" s="350" customFormat="1" ht="66.75" customHeight="1">
      <c r="A913" s="352">
        <v>909</v>
      </c>
      <c r="B913" s="353" t="s">
        <v>6117</v>
      </c>
      <c r="C913" s="354">
        <v>45548</v>
      </c>
      <c r="D913" s="355">
        <v>0.33333333333333331</v>
      </c>
      <c r="E913" s="352" t="s">
        <v>151</v>
      </c>
      <c r="F913" s="352" t="s">
        <v>153</v>
      </c>
      <c r="G913" s="352" t="s">
        <v>153</v>
      </c>
      <c r="H913" s="352" t="s">
        <v>152</v>
      </c>
      <c r="I913" s="352" t="s">
        <v>152</v>
      </c>
      <c r="J913" s="352" t="s">
        <v>2153</v>
      </c>
      <c r="K913" s="352" t="s">
        <v>155</v>
      </c>
      <c r="L913" s="353" t="s">
        <v>6118</v>
      </c>
      <c r="M913" s="353" t="s">
        <v>624</v>
      </c>
      <c r="N913" s="352" t="s">
        <v>5852</v>
      </c>
      <c r="O913" s="353" t="str">
        <f>_xlfn.TEXTJOIN(", ",TRUE,P913:AN913)</f>
        <v>PENDIENTE, PENDIENTE, PENDIENTE, PENDIENTE, PENDIENTE, PENDIENTE, PENDIENTE</v>
      </c>
      <c r="P913" s="352" t="s">
        <v>196</v>
      </c>
      <c r="Q913" s="352" t="s">
        <v>196</v>
      </c>
      <c r="R913" s="352" t="s">
        <v>196</v>
      </c>
      <c r="S913" s="332" t="s">
        <v>196</v>
      </c>
      <c r="T913" s="352" t="s">
        <v>196</v>
      </c>
      <c r="U913" s="352" t="s">
        <v>196</v>
      </c>
      <c r="V913" s="352" t="s">
        <v>196</v>
      </c>
      <c r="W913" s="352"/>
      <c r="X913" s="352"/>
      <c r="Y913" s="352"/>
      <c r="Z913" s="352"/>
      <c r="AA913" s="352"/>
      <c r="AB913" s="352"/>
      <c r="AC913" s="352"/>
      <c r="AD913" s="352"/>
      <c r="AE913" s="352"/>
      <c r="AF913" s="352"/>
      <c r="AG913" s="352"/>
      <c r="AH913" s="352"/>
      <c r="AI913" s="352"/>
      <c r="AJ913" s="352"/>
      <c r="AK913" s="352"/>
      <c r="AL913" s="352"/>
      <c r="AM913" s="352"/>
      <c r="AN913" s="352"/>
      <c r="AO913" s="352" t="s">
        <v>1226</v>
      </c>
      <c r="AP913" s="352"/>
      <c r="AQ913" s="374" t="s">
        <v>171</v>
      </c>
      <c r="AR913" s="374" t="s">
        <v>171</v>
      </c>
      <c r="AS913" s="374" t="s">
        <v>171</v>
      </c>
      <c r="AT913" s="353" t="str">
        <f>_xlfn.TEXTJOIN(", ",TRUE,$AU913:$AY913)</f>
        <v>Bosa</v>
      </c>
      <c r="AU913" s="352" t="s">
        <v>730</v>
      </c>
      <c r="AV913" s="352"/>
      <c r="AW913" s="352"/>
      <c r="AX913" s="352"/>
      <c r="AY913" s="352"/>
      <c r="AZ913" s="352"/>
      <c r="BA913" s="353" t="str">
        <f>_xlfn.TEXTJOIN(", ",TRUE,$BB913:$BG913)</f>
        <v>Suroccidente</v>
      </c>
      <c r="BB913" s="352" t="s">
        <v>732</v>
      </c>
      <c r="BC913" s="352"/>
      <c r="BD913" s="352"/>
      <c r="BE913" s="352"/>
      <c r="BF913" s="352"/>
      <c r="BG913" s="352"/>
      <c r="BH913" s="353" t="str">
        <f>_xlfn.TEXTJOIN(", ",TRUE,$BI913:$BR913)</f>
        <v>Bosa</v>
      </c>
      <c r="BI913" s="352" t="s">
        <v>730</v>
      </c>
      <c r="BJ913" s="352"/>
      <c r="BK913" s="352"/>
      <c r="BL913" s="352"/>
      <c r="BM913" s="352"/>
      <c r="BN913" s="352"/>
      <c r="BO913" s="352"/>
      <c r="BP913" s="352"/>
      <c r="BQ913" s="352"/>
      <c r="BR913" s="352"/>
      <c r="BS913" s="353" t="s">
        <v>171</v>
      </c>
      <c r="BT913" s="367" t="s">
        <v>171</v>
      </c>
      <c r="BU913" s="375" t="s">
        <v>6119</v>
      </c>
      <c r="BV913" s="358"/>
      <c r="BW913" s="352" t="s">
        <v>152</v>
      </c>
      <c r="BX913" s="352" t="s">
        <v>179</v>
      </c>
      <c r="BY913" s="358"/>
      <c r="BZ913" s="352"/>
      <c r="CA913" s="352"/>
      <c r="CB913" s="352">
        <f>BZ913+CA913</f>
        <v>0</v>
      </c>
      <c r="CC913" s="352" t="s">
        <v>316</v>
      </c>
      <c r="CD913" s="352"/>
      <c r="CE913" s="352"/>
      <c r="CF913" s="352"/>
      <c r="CG913" s="356"/>
      <c r="CH913" s="339"/>
      <c r="CI913" s="352"/>
      <c r="CJ913" s="358"/>
      <c r="CK913" s="352">
        <v>0</v>
      </c>
      <c r="CL913" s="352"/>
      <c r="CM913" s="352"/>
      <c r="CN913" s="352"/>
      <c r="CO913" s="352"/>
      <c r="CP913" s="352"/>
      <c r="CQ913" s="352"/>
      <c r="CR913" s="356"/>
      <c r="CS913" s="356"/>
      <c r="CT913" s="356"/>
      <c r="CU913" s="356"/>
      <c r="CV913" s="356"/>
      <c r="CW913" s="356"/>
      <c r="CX913" s="352"/>
      <c r="CY913" s="352">
        <v>0</v>
      </c>
      <c r="CZ913" s="352">
        <v>0</v>
      </c>
      <c r="DA913" s="352">
        <v>0</v>
      </c>
      <c r="DB913" s="360" t="s">
        <v>316</v>
      </c>
      <c r="DC913" s="339"/>
      <c r="DD913" s="352"/>
      <c r="DE913" s="358"/>
      <c r="DF913" s="361" t="s">
        <v>6120</v>
      </c>
      <c r="DG913" s="352"/>
      <c r="DH913" s="363">
        <f>IF(EE913="Por completar",C913+3,"Completo")</f>
        <v>45551</v>
      </c>
      <c r="DI913" s="352"/>
      <c r="DJ913" s="352"/>
      <c r="DK913" s="352"/>
      <c r="DL913" s="352">
        <v>0</v>
      </c>
      <c r="DM913" s="352">
        <v>0</v>
      </c>
      <c r="DN913" s="352"/>
      <c r="DO913" s="352"/>
      <c r="DP913" s="352"/>
      <c r="DQ913" s="352"/>
      <c r="DR913" s="364" t="s">
        <v>179</v>
      </c>
      <c r="DS913" s="352"/>
      <c r="DT913" s="352"/>
      <c r="DU913" s="364" t="str">
        <f>IF(H913="SÍ", (DT913/(BZ913*0.35)), "No aplica")</f>
        <v>No aplica</v>
      </c>
      <c r="DV913" s="352"/>
      <c r="DW913" s="352"/>
      <c r="DX913" s="352"/>
      <c r="DY913" s="352"/>
      <c r="DZ913" s="352"/>
      <c r="EA913" s="352"/>
      <c r="EB913" s="352"/>
      <c r="EC913" s="352"/>
      <c r="ED913" s="352"/>
      <c r="EE913" s="352" t="str">
        <f>IF(DI913="Subsanado","Completo","Por Completar")</f>
        <v>Por Completar</v>
      </c>
      <c r="EF913" s="339"/>
      <c r="EG913" s="352"/>
      <c r="EH913" s="358"/>
      <c r="EI913" s="353"/>
      <c r="EJ913" s="358"/>
      <c r="EK913" s="352"/>
      <c r="EL913" s="365" t="str">
        <f>IF(F913="NO","No requiere",IF(H913="No","No requiere",IF(DW913="","",IF(DW913&lt;&gt;"No aplica",IF(DX913&lt;&gt;"No aplica",IF(DX913&gt;=2,"Sí","No"),"No aplica"),"No aplica"))))</f>
        <v>No requiere</v>
      </c>
      <c r="EM913" s="365" t="str">
        <f>IF(F913="NO","No requiere",IF(H913="No","No requiere",IF(DW913="","",IF(DW913&lt;&gt;"No aplica",IF(DY913&lt;&gt;"No aplica",IF(DY913&gt;=1,"Sí","No"),"No aplica"),"No aplica"))))</f>
        <v>No requiere</v>
      </c>
      <c r="EN913" s="365" t="str">
        <f>IF(F913="NO","No requiere",IF(H913="No","No requiere",IF(CC913="","",IF(CD913&lt;&gt;"No aplica",IF(CD913&lt;&gt;"Ninguna",IF(COUNTIF(CD913:CF913,"*")&gt;=1,"Sí","No"),"No"),"No aplica"))))</f>
        <v>No requiere</v>
      </c>
      <c r="EO913" s="358"/>
      <c r="EP913" s="360" t="s">
        <v>179</v>
      </c>
      <c r="EQ913" s="366" t="s">
        <v>179</v>
      </c>
      <c r="ER913" s="358"/>
      <c r="ES913" s="352"/>
      <c r="ET913" s="360" t="str">
        <f>IF(F913="NO","No requiere",IF(H913="No","No requiere",IFERROR(COUNTIF(DJ913:DW913,"Completo")/SUM(COUNTIF(DJ913:DW913,"Completo"),COUNTIF(DJ913:DW913,"Incompleto"),COUNTIF(DJ913:DW913,"No subido"),COUNTIF(DJ913:DW913,"No existente"),COUNTIF(DJ913:DW913,"Pendiente")),"")))</f>
        <v>No requiere</v>
      </c>
      <c r="EU913" s="360" t="str">
        <f>IF(F913="NO","No requiere",IF(H913="No","No requiere",IF(B913="","",IF(CX913="SÍ",IF(CK913&gt;=1,CY913/CK913,"Sin compromisos"),"Por verificar"))))</f>
        <v>No requiere</v>
      </c>
      <c r="EV913" s="360" t="str">
        <f>IF(EU913="Por verificar","Por verificar",IF(F913="NO","No requiere",IF(H913="No","No requiere",IFERROR(IF(EU913="","",IF(CK913&gt;=1,DA913/CZ913,"No aplica")),"No aplica"))))</f>
        <v>No requiere</v>
      </c>
      <c r="EW913" s="360" t="str">
        <f>IF(F913="NO","No requiere",IF(H913="No","No requiere",IFERROR(IF(BZ913="","",IF(EA913&lt;&gt;"No aplica",IF(EA913&gt;=1,DO913/EA913,"0%"),"No aplica")),"")))</f>
        <v>No requiere</v>
      </c>
      <c r="EX913" s="349"/>
      <c r="EY913" s="349"/>
    </row>
    <row r="914" spans="1:155" ht="46.5" customHeight="1">
      <c r="A914" s="79">
        <v>910</v>
      </c>
      <c r="B914" s="80" t="s">
        <v>6121</v>
      </c>
      <c r="C914" s="81">
        <v>45549</v>
      </c>
      <c r="D914" s="82">
        <v>0.375</v>
      </c>
      <c r="E914" s="79" t="s">
        <v>151</v>
      </c>
      <c r="F914" s="79" t="s">
        <v>153</v>
      </c>
      <c r="G914" s="79" t="s">
        <v>153</v>
      </c>
      <c r="H914" s="79" t="s">
        <v>153</v>
      </c>
      <c r="I914" s="79" t="s">
        <v>152</v>
      </c>
      <c r="J914" s="79" t="s">
        <v>154</v>
      </c>
      <c r="K914" s="79" t="s">
        <v>155</v>
      </c>
      <c r="L914" s="80" t="s">
        <v>4764</v>
      </c>
      <c r="M914" s="80" t="s">
        <v>241</v>
      </c>
      <c r="N914" s="79" t="s">
        <v>888</v>
      </c>
      <c r="O914" s="80" t="str">
        <f>_xlfn.TEXTJOIN(", ",TRUE,P914:AN914)</f>
        <v>Laura Sofia Morales, Juan Pablo Saiz, Luis Fernando Barreto, Carlos Eduardo Escandón, Germán Ramón Jacome, Nicolás Enrique Moncaleano, Edinson Alejandro Celis</v>
      </c>
      <c r="P914" s="79" t="s">
        <v>506</v>
      </c>
      <c r="Q914" s="79" t="s">
        <v>5949</v>
      </c>
      <c r="R914" s="79" t="s">
        <v>5583</v>
      </c>
      <c r="S914" s="79" t="s">
        <v>819</v>
      </c>
      <c r="T914" s="79" t="s">
        <v>525</v>
      </c>
      <c r="U914" s="79" t="s">
        <v>966</v>
      </c>
      <c r="V914" s="79" t="s">
        <v>6122</v>
      </c>
      <c r="W914" s="79"/>
      <c r="X914" s="79"/>
      <c r="Y914" s="79"/>
      <c r="Z914" s="79"/>
      <c r="AA914" s="79"/>
      <c r="AB914" s="79"/>
      <c r="AC914" s="79"/>
      <c r="AD914" s="79"/>
      <c r="AE914" s="79"/>
      <c r="AF914" s="79"/>
      <c r="AG914" s="79"/>
      <c r="AH914" s="79"/>
      <c r="AI914" s="79"/>
      <c r="AJ914" s="79"/>
      <c r="AK914" s="79"/>
      <c r="AL914" s="79"/>
      <c r="AM914" s="79"/>
      <c r="AN914" s="79"/>
      <c r="AO914" s="79" t="s">
        <v>304</v>
      </c>
      <c r="AP914" s="79"/>
      <c r="AQ914" s="80" t="s">
        <v>171</v>
      </c>
      <c r="AR914" s="80" t="s">
        <v>171</v>
      </c>
      <c r="AS914" s="80" t="s">
        <v>171</v>
      </c>
      <c r="AT914" s="80" t="str">
        <f>_xlfn.TEXTJOIN(", ",TRUE,$AU914:$AY914)</f>
        <v>Distrital</v>
      </c>
      <c r="AU914" s="79" t="s">
        <v>172</v>
      </c>
      <c r="AV914" s="79"/>
      <c r="AW914" s="79"/>
      <c r="AX914" s="79"/>
      <c r="AY914" s="79"/>
      <c r="AZ914" s="79"/>
      <c r="BA914" s="80" t="str">
        <f>_xlfn.TEXTJOIN(", ",TRUE,$BB914:$BG914)</f>
        <v>Ruralidad</v>
      </c>
      <c r="BB914" s="79" t="s">
        <v>219</v>
      </c>
      <c r="BC914" s="79"/>
      <c r="BD914" s="79"/>
      <c r="BE914" s="79"/>
      <c r="BF914" s="79"/>
      <c r="BG914" s="79"/>
      <c r="BH914" s="80" t="str">
        <f>_xlfn.TEXTJOIN(", ",TRUE,$BI914:$BR914)</f>
        <v>Cuenca del Tunjuelo</v>
      </c>
      <c r="BI914" s="79" t="s">
        <v>222</v>
      </c>
      <c r="BJ914" s="79"/>
      <c r="BK914" s="79"/>
      <c r="BL914" s="79"/>
      <c r="BM914" s="79"/>
      <c r="BN914" s="79"/>
      <c r="BO914" s="79"/>
      <c r="BP914" s="79"/>
      <c r="BQ914" s="79"/>
      <c r="BR914" s="79"/>
      <c r="BS914" s="80" t="s">
        <v>219</v>
      </c>
      <c r="BT914" s="80" t="s">
        <v>1798</v>
      </c>
      <c r="BU914" s="227" t="s">
        <v>6123</v>
      </c>
      <c r="BV914" s="71"/>
      <c r="BW914" s="79" t="s">
        <v>153</v>
      </c>
      <c r="BX914" s="79" t="s">
        <v>4242</v>
      </c>
      <c r="BY914" s="71"/>
      <c r="BZ914" s="79"/>
      <c r="CA914" s="79"/>
      <c r="CB914" s="79">
        <f>BZ914+CA914</f>
        <v>0</v>
      </c>
      <c r="CC914" s="79" t="str">
        <f>_xlfn.TEXTJOIN(", ",TRUE,$CD914:$CF914)</f>
        <v/>
      </c>
      <c r="CD914" s="79"/>
      <c r="CE914" s="79"/>
      <c r="CF914" s="79"/>
      <c r="CG914" s="83"/>
      <c r="CH914" s="41"/>
      <c r="CI914" s="79"/>
      <c r="CJ914" s="71"/>
      <c r="CK914" s="79">
        <f>COUNTIF(CL914:CQ914,"*")</f>
        <v>0</v>
      </c>
      <c r="CL914" s="79"/>
      <c r="CM914" s="79"/>
      <c r="CN914" s="79"/>
      <c r="CO914" s="79"/>
      <c r="CP914" s="79"/>
      <c r="CQ914" s="79"/>
      <c r="CR914" s="83"/>
      <c r="CS914" s="83"/>
      <c r="CT914" s="83"/>
      <c r="CU914" s="83"/>
      <c r="CV914" s="83"/>
      <c r="CW914" s="83"/>
      <c r="CX914" s="79"/>
      <c r="CY914" s="79">
        <f>SUM(COUNTIF(CR914:CW914,"Realizado y Devuelto a la Ciudadanía"),COUNTIF(CR914:CW914,"Realizado y Trasladado por competencia"), COUNTIF(CR914:CW914,"Realizado y Gestionado"))</f>
        <v>0</v>
      </c>
      <c r="CZ914" s="79">
        <v>0</v>
      </c>
      <c r="DA914" s="79">
        <f>COUNTIF(CR914:CW914,"Realizado y Devuelto a la Ciudadanía")</f>
        <v>0</v>
      </c>
      <c r="DB914" s="84" t="str">
        <f>IFERROR(CY914/CK914,"")</f>
        <v/>
      </c>
      <c r="DC914" s="41"/>
      <c r="DD914" s="79"/>
      <c r="DE914" s="71"/>
      <c r="DF914" s="160" t="s">
        <v>6124</v>
      </c>
      <c r="DG914" s="79"/>
      <c r="DH914" s="86">
        <f>IF(EE914="Por completar",C914+3,"Completo")</f>
        <v>45552</v>
      </c>
      <c r="DI914" s="79"/>
      <c r="DJ914" s="79"/>
      <c r="DK914" s="79"/>
      <c r="DL914" s="79">
        <v>0</v>
      </c>
      <c r="DM914" s="79">
        <v>0</v>
      </c>
      <c r="DN914" s="79"/>
      <c r="DO914" s="79"/>
      <c r="DP914" s="79"/>
      <c r="DQ914" s="79"/>
      <c r="DR914" s="75" t="e">
        <f>IF(H914="SÍ", (DQ914/(BZ914*0.3)), "No aplica")</f>
        <v>#DIV/0!</v>
      </c>
      <c r="DS914" s="79"/>
      <c r="DT914" s="79"/>
      <c r="DU914" s="75" t="e">
        <f>IF(H914="SÍ", (DT914/(BZ914*0.35)), "No aplica")</f>
        <v>#DIV/0!</v>
      </c>
      <c r="DV914" s="79"/>
      <c r="DW914" s="79"/>
      <c r="DX914" s="79"/>
      <c r="DY914" s="79"/>
      <c r="DZ914" s="79"/>
      <c r="EA914" s="79"/>
      <c r="EB914" s="79"/>
      <c r="EC914" s="79"/>
      <c r="ED914" s="79"/>
      <c r="EE914" s="79" t="str">
        <f>IF(DI914="Subsanado","Completo","Por Completar")</f>
        <v>Por Completar</v>
      </c>
      <c r="EF914" s="41"/>
      <c r="EG914" s="79"/>
      <c r="EH914" s="71"/>
      <c r="EI914" s="80"/>
      <c r="EJ914" s="71"/>
      <c r="EK914" s="87" t="str">
        <f>IF(E914="NO","No requiere",IF(G914="No","No requiere",IF(DV914="","",IF(DV914&lt;&gt;"No aplica",IF(DW914&lt;&gt;"No aplica",IF(DW914&gt;=2,"Sí","No"),"No aplica"),"No aplica"))))</f>
        <v/>
      </c>
      <c r="EL914" s="87" t="str">
        <f>IF(F914="NO","No requiere",IF(H914="No","No requiere",IF(DW914="","",IF(DW914&lt;&gt;"No aplica",IF(DX914&lt;&gt;"No aplica",IF(DX914&gt;=2,"Sí","No"),"No aplica"),"No aplica"))))</f>
        <v/>
      </c>
      <c r="EM914" s="87" t="str">
        <f>IF(F914="NO","No requiere",IF(H914="No","No requiere",IF(DW914="","",IF(DW914&lt;&gt;"No aplica",IF(DY914&lt;&gt;"No aplica",IF(DY914&gt;=1,"Sí","No"),"No aplica"),"No aplica"))))</f>
        <v/>
      </c>
      <c r="EN914" s="87" t="str">
        <f>IF(F914="NO","No requiere",IF(H914="No","No requiere",IF(CC914="","",IF(CD914&lt;&gt;"No aplica",IF(CD914&lt;&gt;"Ninguna",IF(COUNTIF(CD914:CF914,"*")&gt;=1,"Sí","No"),"No"),"No aplica"))))</f>
        <v/>
      </c>
      <c r="EO914" s="71"/>
      <c r="EP914" s="84" t="str">
        <f>IF(F914="NO","No requiere",IF(H914="No","No requiere",IF(DL914="","",IF(DL914&gt;=1,DM914/DL914,"No aplica"))))</f>
        <v>No aplica</v>
      </c>
      <c r="EQ914" s="88" t="str">
        <f>IFERROR(IF(F914="NO","No requiere",IF(H914="No","No requiere",DU914)),"")</f>
        <v/>
      </c>
      <c r="ER914" s="71"/>
      <c r="ES914" s="79"/>
      <c r="ET914" s="84" t="str">
        <f>IF(F914="NO","No requiere",IF(H914="No","No requiere",IFERROR(COUNTIF(DJ914:DW914,"Completo")/SUM(COUNTIF(DJ914:DW914,"Completo"),COUNTIF(DJ914:DW914,"Incompleto"),COUNTIF(DJ914:DW914,"No subido"),COUNTIF(DJ914:DW914,"No existente"),COUNTIF(DJ914:DW914,"Pendiente")),"")))</f>
        <v/>
      </c>
      <c r="EU914" s="84" t="str">
        <f>IF(F914="NO","No requiere",IF(H914="No","No requiere",IF(B914="","",IF(CX914="SÍ",IF(CK914&gt;=1,CY914/CK914,"Sin compromisos"),"Por verificar"))))</f>
        <v>Por verificar</v>
      </c>
      <c r="EV914" s="84" t="str">
        <f>IF(EU914="Por verificar","Por verificar",IF(F914="NO","No requiere",IF(H914="No","No requiere",IFERROR(IF(EU914="","",IF(CK914&gt;=1,DA914/CZ914,"No aplica")),"No aplica"))))</f>
        <v>Por verificar</v>
      </c>
      <c r="EW914" s="84" t="str">
        <f>IF(F914="NO","No requiere",IF(H914="No","No requiere",IFERROR(IF(BZ914="","",IF(EA914&lt;&gt;"No aplica",IF(EA914&gt;=1,DO914/EA914,"0%"),"No aplica")),"")))</f>
        <v/>
      </c>
      <c r="EX914" s="78"/>
      <c r="EY914" s="78"/>
    </row>
    <row r="915" spans="1:155" s="350" customFormat="1" ht="66.75" customHeight="1">
      <c r="A915" s="352">
        <v>911</v>
      </c>
      <c r="B915" s="353" t="s">
        <v>6125</v>
      </c>
      <c r="C915" s="354">
        <v>45550</v>
      </c>
      <c r="D915" s="355">
        <v>0.58333333333333337</v>
      </c>
      <c r="E915" s="352" t="s">
        <v>151</v>
      </c>
      <c r="F915" s="352" t="s">
        <v>153</v>
      </c>
      <c r="G915" s="352" t="s">
        <v>153</v>
      </c>
      <c r="H915" s="352" t="s">
        <v>152</v>
      </c>
      <c r="I915" s="352" t="s">
        <v>152</v>
      </c>
      <c r="J915" s="352" t="s">
        <v>2153</v>
      </c>
      <c r="K915" s="352" t="s">
        <v>155</v>
      </c>
      <c r="L915" s="353" t="s">
        <v>6126</v>
      </c>
      <c r="M915" s="353" t="s">
        <v>624</v>
      </c>
      <c r="N915" s="352" t="s">
        <v>5852</v>
      </c>
      <c r="O915" s="353" t="str">
        <f>_xlfn.TEXTJOIN(", ",TRUE,P915:AN915)</f>
        <v>PENDIENTE, PENDIENTE, PENDIENTE, PENDIENTE, PENDIENTE, PENDIENTE, PENDIENTE</v>
      </c>
      <c r="P915" s="352" t="s">
        <v>196</v>
      </c>
      <c r="Q915" s="352" t="s">
        <v>196</v>
      </c>
      <c r="R915" s="352" t="s">
        <v>196</v>
      </c>
      <c r="S915" s="332" t="s">
        <v>196</v>
      </c>
      <c r="T915" s="352" t="s">
        <v>196</v>
      </c>
      <c r="U915" s="352" t="s">
        <v>196</v>
      </c>
      <c r="V915" s="352" t="s">
        <v>196</v>
      </c>
      <c r="W915" s="352"/>
      <c r="X915" s="352"/>
      <c r="Y915" s="352"/>
      <c r="Z915" s="352"/>
      <c r="AA915" s="352"/>
      <c r="AB915" s="352"/>
      <c r="AC915" s="352"/>
      <c r="AD915" s="352"/>
      <c r="AE915" s="352"/>
      <c r="AF915" s="352"/>
      <c r="AG915" s="352"/>
      <c r="AH915" s="352"/>
      <c r="AI915" s="352"/>
      <c r="AJ915" s="352"/>
      <c r="AK915" s="352"/>
      <c r="AL915" s="352"/>
      <c r="AM915" s="352"/>
      <c r="AN915" s="352"/>
      <c r="AO915" s="352" t="s">
        <v>1226</v>
      </c>
      <c r="AP915" s="352"/>
      <c r="AQ915" s="374" t="s">
        <v>171</v>
      </c>
      <c r="AR915" s="374" t="s">
        <v>171</v>
      </c>
      <c r="AS915" s="374" t="s">
        <v>171</v>
      </c>
      <c r="AT915" s="353" t="str">
        <f>_xlfn.TEXTJOIN(", ",TRUE,$AU915:$AY915)</f>
        <v>Ciudad Bolívar</v>
      </c>
      <c r="AU915" s="352" t="s">
        <v>217</v>
      </c>
      <c r="AV915" s="352"/>
      <c r="AW915" s="352"/>
      <c r="AX915" s="352"/>
      <c r="AY915" s="352"/>
      <c r="AZ915" s="352"/>
      <c r="BA915" s="353" t="str">
        <f>_xlfn.TEXTJOIN(", ",TRUE,$BB915:$BG915)</f>
        <v>Suroriente</v>
      </c>
      <c r="BB915" s="352" t="s">
        <v>218</v>
      </c>
      <c r="BC915" s="352"/>
      <c r="BD915" s="352"/>
      <c r="BE915" s="352"/>
      <c r="BF915" s="352"/>
      <c r="BG915" s="352"/>
      <c r="BH915" s="353" t="str">
        <f>_xlfn.TEXTJOIN(", ",TRUE,$BI915:$BR915)</f>
        <v>Arborizadora</v>
      </c>
      <c r="BI915" s="352" t="s">
        <v>220</v>
      </c>
      <c r="BJ915" s="352"/>
      <c r="BK915" s="352"/>
      <c r="BL915" s="352"/>
      <c r="BM915" s="352"/>
      <c r="BN915" s="352"/>
      <c r="BO915" s="352"/>
      <c r="BP915" s="352"/>
      <c r="BQ915" s="352"/>
      <c r="BR915" s="352"/>
      <c r="BS915" s="353" t="s">
        <v>179</v>
      </c>
      <c r="BT915" s="353" t="s">
        <v>179</v>
      </c>
      <c r="BU915" s="375" t="s">
        <v>6127</v>
      </c>
      <c r="BV915" s="358"/>
      <c r="BW915" s="352" t="s">
        <v>152</v>
      </c>
      <c r="BX915" s="352" t="s">
        <v>179</v>
      </c>
      <c r="BY915" s="358"/>
      <c r="BZ915" s="352"/>
      <c r="CA915" s="352"/>
      <c r="CB915" s="352">
        <f>BZ915+CA915</f>
        <v>0</v>
      </c>
      <c r="CC915" s="352" t="s">
        <v>316</v>
      </c>
      <c r="CD915" s="352"/>
      <c r="CE915" s="352"/>
      <c r="CF915" s="352"/>
      <c r="CG915" s="356"/>
      <c r="CH915" s="339"/>
      <c r="CI915" s="352"/>
      <c r="CJ915" s="358"/>
      <c r="CK915" s="352">
        <v>0</v>
      </c>
      <c r="CL915" s="352"/>
      <c r="CM915" s="352"/>
      <c r="CN915" s="352"/>
      <c r="CO915" s="352"/>
      <c r="CP915" s="352"/>
      <c r="CQ915" s="352"/>
      <c r="CR915" s="356"/>
      <c r="CS915" s="356"/>
      <c r="CT915" s="356"/>
      <c r="CU915" s="356"/>
      <c r="CV915" s="356"/>
      <c r="CW915" s="356"/>
      <c r="CX915" s="352"/>
      <c r="CY915" s="352">
        <v>0</v>
      </c>
      <c r="CZ915" s="352">
        <v>0</v>
      </c>
      <c r="DA915" s="352">
        <v>0</v>
      </c>
      <c r="DB915" s="360" t="s">
        <v>316</v>
      </c>
      <c r="DC915" s="339"/>
      <c r="DD915" s="352"/>
      <c r="DE915" s="358"/>
      <c r="DF915" s="361" t="s">
        <v>6128</v>
      </c>
      <c r="DG915" s="352"/>
      <c r="DH915" s="363">
        <f>IF(EE915="Por completar",C915+3,"Completo")</f>
        <v>45553</v>
      </c>
      <c r="DI915" s="352"/>
      <c r="DJ915" s="352"/>
      <c r="DK915" s="352"/>
      <c r="DL915" s="352">
        <v>0</v>
      </c>
      <c r="DM915" s="352">
        <v>0</v>
      </c>
      <c r="DN915" s="352"/>
      <c r="DO915" s="352"/>
      <c r="DP915" s="352"/>
      <c r="DQ915" s="352"/>
      <c r="DR915" s="364" t="s">
        <v>179</v>
      </c>
      <c r="DS915" s="352"/>
      <c r="DT915" s="352"/>
      <c r="DU915" s="364" t="str">
        <f>IF(H915="SÍ", (DT915/(BZ915*0.35)), "No aplica")</f>
        <v>No aplica</v>
      </c>
      <c r="DV915" s="352"/>
      <c r="DW915" s="352"/>
      <c r="DX915" s="352"/>
      <c r="DY915" s="352"/>
      <c r="DZ915" s="352"/>
      <c r="EA915" s="352"/>
      <c r="EB915" s="352"/>
      <c r="EC915" s="352"/>
      <c r="ED915" s="352"/>
      <c r="EE915" s="352" t="str">
        <f>IF(DI915="Subsanado","Completo","Por Completar")</f>
        <v>Por Completar</v>
      </c>
      <c r="EF915" s="339"/>
      <c r="EG915" s="352"/>
      <c r="EH915" s="358"/>
      <c r="EI915" s="353"/>
      <c r="EJ915" s="358"/>
      <c r="EK915" s="352"/>
      <c r="EL915" s="365" t="str">
        <f>IF(F915="NO","No requiere",IF(H915="No","No requiere",IF(DW915="","",IF(DW915&lt;&gt;"No aplica",IF(DX915&lt;&gt;"No aplica",IF(DX915&gt;=2,"Sí","No"),"No aplica"),"No aplica"))))</f>
        <v>No requiere</v>
      </c>
      <c r="EM915" s="365" t="str">
        <f>IF(F915="NO","No requiere",IF(H915="No","No requiere",IF(DW915="","",IF(DW915&lt;&gt;"No aplica",IF(DY915&lt;&gt;"No aplica",IF(DY915&gt;=1,"Sí","No"),"No aplica"),"No aplica"))))</f>
        <v>No requiere</v>
      </c>
      <c r="EN915" s="365" t="str">
        <f>IF(F915="NO","No requiere",IF(H915="No","No requiere",IF(CC915="","",IF(CD915&lt;&gt;"No aplica",IF(CD915&lt;&gt;"Ninguna",IF(COUNTIF(CD915:CF915,"*")&gt;=1,"Sí","No"),"No"),"No aplica"))))</f>
        <v>No requiere</v>
      </c>
      <c r="EO915" s="358"/>
      <c r="EP915" s="360" t="s">
        <v>179</v>
      </c>
      <c r="EQ915" s="366" t="s">
        <v>179</v>
      </c>
      <c r="ER915" s="358"/>
      <c r="ES915" s="352"/>
      <c r="ET915" s="360" t="str">
        <f>IF(F915="NO","No requiere",IF(H915="No","No requiere",IFERROR(COUNTIF(DJ915:DW915,"Completo")/SUM(COUNTIF(DJ915:DW915,"Completo"),COUNTIF(DJ915:DW915,"Incompleto"),COUNTIF(DJ915:DW915,"No subido"),COUNTIF(DJ915:DW915,"No existente"),COUNTIF(DJ915:DW915,"Pendiente")),"")))</f>
        <v>No requiere</v>
      </c>
      <c r="EU915" s="360" t="str">
        <f>IF(F915="NO","No requiere",IF(H915="No","No requiere",IF(B915="","",IF(CX915="SÍ",IF(CK915&gt;=1,CY915/CK915,"Sin compromisos"),"Por verificar"))))</f>
        <v>No requiere</v>
      </c>
      <c r="EV915" s="360" t="str">
        <f>IF(EU915="Por verificar","Por verificar",IF(F915="NO","No requiere",IF(H915="No","No requiere",IFERROR(IF(EU915="","",IF(CK915&gt;=1,DA915/CZ915,"No aplica")),"No aplica"))))</f>
        <v>No requiere</v>
      </c>
      <c r="EW915" s="360" t="str">
        <f>IF(F915="NO","No requiere",IF(H915="No","No requiere",IFERROR(IF(BZ915="","",IF(EA915&lt;&gt;"No aplica",IF(EA915&gt;=1,DO915/EA915,"0%"),"No aplica")),"")))</f>
        <v>No requiere</v>
      </c>
      <c r="EX915" s="349"/>
      <c r="EY915" s="349"/>
    </row>
    <row r="916" spans="1:155" ht="57" customHeight="1">
      <c r="A916" s="79">
        <v>912</v>
      </c>
      <c r="B916" s="80" t="s">
        <v>6129</v>
      </c>
      <c r="C916" s="81">
        <v>45551</v>
      </c>
      <c r="D916" s="82">
        <v>0.33333333333333331</v>
      </c>
      <c r="E916" s="79" t="s">
        <v>151</v>
      </c>
      <c r="F916" s="79" t="s">
        <v>153</v>
      </c>
      <c r="G916" s="79" t="s">
        <v>153</v>
      </c>
      <c r="H916" s="79" t="s">
        <v>152</v>
      </c>
      <c r="I916" s="79" t="s">
        <v>152</v>
      </c>
      <c r="J916" s="79" t="s">
        <v>251</v>
      </c>
      <c r="K916" s="79" t="s">
        <v>155</v>
      </c>
      <c r="L916" s="80" t="s">
        <v>6130</v>
      </c>
      <c r="M916" s="80" t="s">
        <v>157</v>
      </c>
      <c r="N916" s="79" t="s">
        <v>167</v>
      </c>
      <c r="O916" s="80" t="str">
        <f>_xlfn.TEXTJOIN(", ",TRUE,P916:AN916)</f>
        <v>Natalia Gómez Meza, Nathalia Guzmán Martínez , Laura Camila Bechara, Luisa Romero, Yeiker Guerra Sarmiento, Michael Cruz Roa, Mario Fernández, Julio César Martínez, Nancy Stella Villa</v>
      </c>
      <c r="P916" s="79" t="s">
        <v>5900</v>
      </c>
      <c r="Q916" s="79" t="s">
        <v>5834</v>
      </c>
      <c r="R916" s="79" t="s">
        <v>887</v>
      </c>
      <c r="S916" s="79" t="s">
        <v>5709</v>
      </c>
      <c r="T916" s="79" t="s">
        <v>163</v>
      </c>
      <c r="U916" s="79" t="s">
        <v>265</v>
      </c>
      <c r="V916" s="79" t="s">
        <v>5764</v>
      </c>
      <c r="W916" s="79" t="s">
        <v>601</v>
      </c>
      <c r="X916" s="79" t="s">
        <v>5913</v>
      </c>
      <c r="Y916" s="79"/>
      <c r="Z916" s="79"/>
      <c r="AA916" s="79"/>
      <c r="AB916" s="79"/>
      <c r="AC916" s="79"/>
      <c r="AD916" s="79"/>
      <c r="AE916" s="79"/>
      <c r="AF916" s="79"/>
      <c r="AG916" s="79"/>
      <c r="AH916" s="79"/>
      <c r="AI916" s="79"/>
      <c r="AJ916" s="79"/>
      <c r="AK916" s="79"/>
      <c r="AL916" s="79"/>
      <c r="AM916" s="79"/>
      <c r="AN916" s="79"/>
      <c r="AO916" s="79" t="s">
        <v>1226</v>
      </c>
      <c r="AP916" s="79"/>
      <c r="AQ916" s="373" t="s">
        <v>171</v>
      </c>
      <c r="AR916" s="373" t="s">
        <v>171</v>
      </c>
      <c r="AS916" s="373" t="s">
        <v>171</v>
      </c>
      <c r="AT916" s="80" t="str">
        <f>_xlfn.TEXTJOIN(", ",TRUE,$AU916:$AY916)</f>
        <v>Distrital</v>
      </c>
      <c r="AU916" s="79" t="s">
        <v>172</v>
      </c>
      <c r="AV916" s="79"/>
      <c r="AW916" s="79"/>
      <c r="AX916" s="79"/>
      <c r="AY916" s="79"/>
      <c r="AZ916" s="79"/>
      <c r="BA916" s="80" t="str">
        <f>_xlfn.TEXTJOIN(", ",TRUE,$BB916:$BG916)</f>
        <v>Distrital</v>
      </c>
      <c r="BB916" s="79" t="s">
        <v>172</v>
      </c>
      <c r="BC916" s="79"/>
      <c r="BD916" s="79"/>
      <c r="BE916" s="79"/>
      <c r="BF916" s="79"/>
      <c r="BG916" s="79"/>
      <c r="BH916" s="80" t="str">
        <f>_xlfn.TEXTJOIN(", ",TRUE,$BI916:$BR916)</f>
        <v>Distrital</v>
      </c>
      <c r="BI916" s="79" t="s">
        <v>172</v>
      </c>
      <c r="BJ916" s="79"/>
      <c r="BK916" s="79"/>
      <c r="BL916" s="79"/>
      <c r="BM916" s="79"/>
      <c r="BN916" s="79"/>
      <c r="BO916" s="79"/>
      <c r="BP916" s="79"/>
      <c r="BQ916" s="79"/>
      <c r="BR916" s="79"/>
      <c r="BS916" s="80" t="s">
        <v>171</v>
      </c>
      <c r="BT916" s="315" t="s">
        <v>171</v>
      </c>
      <c r="BU916" s="321" t="s">
        <v>6131</v>
      </c>
      <c r="BV916" s="71"/>
      <c r="BW916" s="79" t="s">
        <v>152</v>
      </c>
      <c r="BX916" s="79" t="s">
        <v>179</v>
      </c>
      <c r="BY916" s="71"/>
      <c r="BZ916" s="79"/>
      <c r="CA916" s="79"/>
      <c r="CB916" s="79">
        <f>BZ916+CA916</f>
        <v>0</v>
      </c>
      <c r="CC916" s="79" t="s">
        <v>316</v>
      </c>
      <c r="CD916" s="79"/>
      <c r="CE916" s="79"/>
      <c r="CF916" s="165"/>
      <c r="CG916" s="319"/>
      <c r="CH916" s="41"/>
      <c r="CI916" s="79"/>
      <c r="CJ916" s="71"/>
      <c r="CK916" s="79">
        <v>0</v>
      </c>
      <c r="CL916" s="79"/>
      <c r="CM916" s="79"/>
      <c r="CN916" s="79"/>
      <c r="CO916" s="79"/>
      <c r="CP916" s="79"/>
      <c r="CQ916" s="79"/>
      <c r="CR916" s="83"/>
      <c r="CS916" s="83"/>
      <c r="CT916" s="83"/>
      <c r="CU916" s="83"/>
      <c r="CV916" s="83"/>
      <c r="CW916" s="83"/>
      <c r="CX916" s="79"/>
      <c r="CY916" s="79">
        <v>0</v>
      </c>
      <c r="CZ916" s="79">
        <v>0</v>
      </c>
      <c r="DA916" s="79">
        <v>0</v>
      </c>
      <c r="DB916" s="84" t="s">
        <v>316</v>
      </c>
      <c r="DC916" s="41"/>
      <c r="DD916" s="79"/>
      <c r="DE916" s="71"/>
      <c r="DF916" s="160" t="s">
        <v>6132</v>
      </c>
      <c r="DG916" s="205"/>
      <c r="DH916" s="86">
        <f>IF(EE916="Por completar",C916+3,"Completo")</f>
        <v>45554</v>
      </c>
      <c r="DI916" s="79"/>
      <c r="DJ916" s="79"/>
      <c r="DK916" s="79"/>
      <c r="DL916" s="79">
        <v>0</v>
      </c>
      <c r="DM916" s="79">
        <v>0</v>
      </c>
      <c r="DN916" s="79"/>
      <c r="DO916" s="79"/>
      <c r="DP916" s="79"/>
      <c r="DQ916" s="79"/>
      <c r="DR916" s="75" t="str">
        <f>IF(H916="SÍ", (DQ916/(BZ916*0.3)), "No aplica")</f>
        <v>No aplica</v>
      </c>
      <c r="DS916" s="79"/>
      <c r="DT916" s="79"/>
      <c r="DU916" s="75" t="str">
        <f>IF(H916="SÍ", (DT916/(BZ916*0.35)), "No aplica")</f>
        <v>No aplica</v>
      </c>
      <c r="DV916" s="79"/>
      <c r="DW916" s="79"/>
      <c r="DX916" s="79"/>
      <c r="DY916" s="79"/>
      <c r="DZ916" s="79"/>
      <c r="EA916" s="79"/>
      <c r="EB916" s="79"/>
      <c r="EC916" s="79"/>
      <c r="ED916" s="79"/>
      <c r="EE916" s="79" t="str">
        <f>IF(DI916="Subsanado","Completo","Por Completar")</f>
        <v>Por Completar</v>
      </c>
      <c r="EF916" s="41"/>
      <c r="EG916" s="79"/>
      <c r="EH916" s="71"/>
      <c r="EI916" s="80"/>
      <c r="EJ916" s="71"/>
      <c r="EK916" s="79"/>
      <c r="EL916" s="87" t="str">
        <f>IF(F916="NO","No requiere",IF(H916="No","No requiere",IF(DW916="","",IF(DW916&lt;&gt;"No aplica",IF(DX916&lt;&gt;"No aplica",IF(DX916&gt;=2,"Sí","No"),"No aplica"),"No aplica"))))</f>
        <v>No requiere</v>
      </c>
      <c r="EM916" s="87" t="str">
        <f>IF(F916="NO","No requiere",IF(H916="No","No requiere",IF(DW916="","",IF(DW916&lt;&gt;"No aplica",IF(DY916&lt;&gt;"No aplica",IF(DY916&gt;=1,"Sí","No"),"No aplica"),"No aplica"))))</f>
        <v>No requiere</v>
      </c>
      <c r="EN916" s="87" t="str">
        <f>IF(F916="NO","No requiere",IF(H916="No","No requiere",IF(CC916="","",IF(CD916&lt;&gt;"No aplica",IF(CD916&lt;&gt;"Ninguna",IF(COUNTIF(CD916:CF916,"*")&gt;=1,"Sí","No"),"No"),"No aplica"))))</f>
        <v>No requiere</v>
      </c>
      <c r="EO916" s="71"/>
      <c r="EP916" s="84" t="str">
        <f>IF(F916="NO","No requiere",IF(H916="No","No requiere",IF(DL916="","",IF(DL916&gt;=1,DM916/DL916,"No aplica"))))</f>
        <v>No requiere</v>
      </c>
      <c r="EQ916" s="88" t="str">
        <f>IFERROR(IF(F916="NO","No requiere",IF(H916="No","No requiere",DU916)),"")</f>
        <v>No requiere</v>
      </c>
      <c r="ER916" s="71"/>
      <c r="ES916" s="79"/>
      <c r="ET916" s="84" t="str">
        <f>IF(F916="NO","No requiere",IF(H916="No","No requiere",IFERROR(COUNTIF(DJ916:DW916,"Completo")/SUM(COUNTIF(DJ916:DW916,"Completo"),COUNTIF(DJ916:DW916,"Incompleto"),COUNTIF(DJ916:DW916,"No subido"),COUNTIF(DJ916:DW916,"No existente"),COUNTIF(DJ916:DW916,"Pendiente")),"")))</f>
        <v>No requiere</v>
      </c>
      <c r="EU916" s="84" t="str">
        <f>IF(F916="NO","No requiere",IF(H916="No","No requiere",IF(B916="","",IF(CX916="SÍ",IF(CK916&gt;=1,CY916/CK916,"Sin compromisos"),"Por verificar"))))</f>
        <v>No requiere</v>
      </c>
      <c r="EV916" s="84" t="str">
        <f>IF(EU916="Por verificar","Por verificar",IF(F916="NO","No requiere",IF(H916="No","No requiere",IFERROR(IF(EU916="","",IF(CK916&gt;=1,DA916/CZ916,"No aplica")),"No aplica"))))</f>
        <v>No requiere</v>
      </c>
      <c r="EW916" s="84" t="str">
        <f>IF(F916="NO","No requiere",IF(H916="No","No requiere",IFERROR(IF(BZ916="","",IF(EA916&lt;&gt;"No aplica",IF(EA916&gt;=1,DO916/EA916,"0%"),"No aplica")),"")))</f>
        <v>No requiere</v>
      </c>
      <c r="EX916" s="78"/>
      <c r="EY916" s="78"/>
    </row>
    <row r="917" spans="1:155" ht="57" customHeight="1">
      <c r="A917" s="79">
        <v>913</v>
      </c>
      <c r="B917" s="80" t="s">
        <v>6133</v>
      </c>
      <c r="C917" s="81">
        <v>45552</v>
      </c>
      <c r="D917" s="82">
        <v>0.33333333333333331</v>
      </c>
      <c r="E917" s="79" t="s">
        <v>151</v>
      </c>
      <c r="F917" s="79" t="s">
        <v>153</v>
      </c>
      <c r="G917" s="79" t="s">
        <v>153</v>
      </c>
      <c r="H917" s="79" t="s">
        <v>153</v>
      </c>
      <c r="I917" s="79" t="s">
        <v>152</v>
      </c>
      <c r="J917" s="79" t="s">
        <v>154</v>
      </c>
      <c r="K917" s="79" t="s">
        <v>155</v>
      </c>
      <c r="L917" s="80" t="s">
        <v>6134</v>
      </c>
      <c r="M917" s="80" t="s">
        <v>241</v>
      </c>
      <c r="N917" s="79" t="s">
        <v>632</v>
      </c>
      <c r="O917" s="80" t="str">
        <f>_xlfn.TEXTJOIN(", ",TRUE,P917:AN917)</f>
        <v>PENDIENTE, PENDIENTE, PENDIENTE</v>
      </c>
      <c r="P917" s="79" t="s">
        <v>196</v>
      </c>
      <c r="Q917" s="79" t="s">
        <v>196</v>
      </c>
      <c r="R917" s="79" t="s">
        <v>196</v>
      </c>
      <c r="S917" s="79"/>
      <c r="T917" s="79"/>
      <c r="U917" s="79"/>
      <c r="V917" s="79"/>
      <c r="W917" s="79"/>
      <c r="X917" s="79"/>
      <c r="Y917" s="79"/>
      <c r="Z917" s="79"/>
      <c r="AA917" s="79"/>
      <c r="AB917" s="79"/>
      <c r="AC917" s="79"/>
      <c r="AD917" s="79"/>
      <c r="AE917" s="79"/>
      <c r="AF917" s="79"/>
      <c r="AG917" s="79"/>
      <c r="AH917" s="79"/>
      <c r="AI917" s="79"/>
      <c r="AJ917" s="79"/>
      <c r="AK917" s="79"/>
      <c r="AL917" s="79"/>
      <c r="AM917" s="79"/>
      <c r="AN917" s="79"/>
      <c r="AO917" s="79" t="s">
        <v>578</v>
      </c>
      <c r="AP917" s="79" t="s">
        <v>810</v>
      </c>
      <c r="AQ917" s="373" t="s">
        <v>6135</v>
      </c>
      <c r="AR917" s="373" t="s">
        <v>6136</v>
      </c>
      <c r="AS917" s="373" t="s">
        <v>171</v>
      </c>
      <c r="AT917" s="80" t="str">
        <f>_xlfn.TEXTJOIN(", ",TRUE,$AU917:$AY917)</f>
        <v>Distrital</v>
      </c>
      <c r="AU917" s="79" t="s">
        <v>172</v>
      </c>
      <c r="AV917" s="79"/>
      <c r="AW917" s="79"/>
      <c r="AX917" s="79"/>
      <c r="AY917" s="79"/>
      <c r="AZ917" s="79"/>
      <c r="BA917" s="80" t="str">
        <f>_xlfn.TEXTJOIN(", ",TRUE,$BB917:$BG917)</f>
        <v>Distrital</v>
      </c>
      <c r="BB917" s="79" t="s">
        <v>172</v>
      </c>
      <c r="BC917" s="79"/>
      <c r="BD917" s="79"/>
      <c r="BE917" s="79"/>
      <c r="BF917" s="79"/>
      <c r="BG917" s="79"/>
      <c r="BH917" s="80" t="str">
        <f>_xlfn.TEXTJOIN(", ",TRUE,$BI917:$BR917)</f>
        <v>Distrital</v>
      </c>
      <c r="BI917" s="79" t="s">
        <v>172</v>
      </c>
      <c r="BJ917" s="79"/>
      <c r="BK917" s="79"/>
      <c r="BL917" s="79"/>
      <c r="BM917" s="79"/>
      <c r="BN917" s="79"/>
      <c r="BO917" s="79"/>
      <c r="BP917" s="79"/>
      <c r="BQ917" s="79"/>
      <c r="BR917" s="79"/>
      <c r="BS917" s="80" t="s">
        <v>179</v>
      </c>
      <c r="BT917" s="315" t="s">
        <v>2352</v>
      </c>
      <c r="BU917" s="321" t="s">
        <v>6137</v>
      </c>
      <c r="BV917" s="71"/>
      <c r="BW917" s="79" t="s">
        <v>153</v>
      </c>
      <c r="BX917" s="79" t="s">
        <v>4242</v>
      </c>
      <c r="BY917" s="71"/>
      <c r="BZ917" s="79"/>
      <c r="CA917" s="79"/>
      <c r="CB917" s="79">
        <v>0</v>
      </c>
      <c r="CC917" s="79" t="s">
        <v>316</v>
      </c>
      <c r="CD917" s="79"/>
      <c r="CE917" s="79"/>
      <c r="CF917" s="165"/>
      <c r="CG917" s="319"/>
      <c r="CH917" s="41"/>
      <c r="CI917" s="79"/>
      <c r="CJ917" s="71"/>
      <c r="CK917" s="79">
        <v>0</v>
      </c>
      <c r="CL917" s="79"/>
      <c r="CM917" s="79"/>
      <c r="CN917" s="79"/>
      <c r="CO917" s="79"/>
      <c r="CP917" s="79"/>
      <c r="CQ917" s="79"/>
      <c r="CR917" s="83"/>
      <c r="CS917" s="83"/>
      <c r="CT917" s="83"/>
      <c r="CU917" s="83"/>
      <c r="CV917" s="83"/>
      <c r="CW917" s="83"/>
      <c r="CX917" s="79"/>
      <c r="CY917" s="79">
        <v>0</v>
      </c>
      <c r="CZ917" s="79">
        <v>0</v>
      </c>
      <c r="DA917" s="79">
        <v>0</v>
      </c>
      <c r="DB917" s="84" t="s">
        <v>316</v>
      </c>
      <c r="DC917" s="41"/>
      <c r="DD917" s="79"/>
      <c r="DE917" s="71"/>
      <c r="DF917" s="160" t="s">
        <v>6138</v>
      </c>
      <c r="DG917" s="205"/>
      <c r="DH917" s="86">
        <v>3</v>
      </c>
      <c r="DI917" s="79"/>
      <c r="DJ917" s="79"/>
      <c r="DK917" s="79"/>
      <c r="DL917" s="79">
        <v>0</v>
      </c>
      <c r="DM917" s="79">
        <v>0</v>
      </c>
      <c r="DN917" s="79"/>
      <c r="DO917" s="79"/>
      <c r="DP917" s="79"/>
      <c r="DQ917" s="79"/>
      <c r="DR917" s="75" t="s">
        <v>179</v>
      </c>
      <c r="DS917" s="79"/>
      <c r="DT917" s="79"/>
      <c r="DU917" s="75" t="s">
        <v>179</v>
      </c>
      <c r="DV917" s="79"/>
      <c r="DW917" s="79"/>
      <c r="DX917" s="79"/>
      <c r="DY917" s="79"/>
      <c r="DZ917" s="79"/>
      <c r="EA917" s="79"/>
      <c r="EB917" s="79"/>
      <c r="EC917" s="79"/>
      <c r="ED917" s="79"/>
      <c r="EE917" s="79" t="s">
        <v>621</v>
      </c>
      <c r="EF917" s="41"/>
      <c r="EG917" s="79"/>
      <c r="EH917" s="71"/>
      <c r="EI917" s="80"/>
      <c r="EJ917" s="71"/>
      <c r="EK917" s="79"/>
      <c r="EL917" s="87" t="s">
        <v>316</v>
      </c>
      <c r="EM917" s="87" t="s">
        <v>316</v>
      </c>
      <c r="EN917" s="87" t="s">
        <v>316</v>
      </c>
      <c r="EO917" s="71"/>
      <c r="EP917" s="84" t="s">
        <v>179</v>
      </c>
      <c r="EQ917" s="88" t="s">
        <v>179</v>
      </c>
      <c r="ER917" s="71"/>
      <c r="ES917" s="79"/>
      <c r="ET917" s="84" t="s">
        <v>316</v>
      </c>
      <c r="EU917" s="84" t="e">
        <v>#REF!</v>
      </c>
      <c r="EV917" s="84" t="e">
        <v>#REF!</v>
      </c>
      <c r="EW917" s="84" t="s">
        <v>316</v>
      </c>
      <c r="EX917" s="78"/>
      <c r="EY917" s="78"/>
    </row>
    <row r="918" spans="1:155" ht="57" customHeight="1">
      <c r="A918" s="79">
        <v>914</v>
      </c>
      <c r="B918" s="80" t="s">
        <v>2321</v>
      </c>
      <c r="C918" s="81">
        <v>45553</v>
      </c>
      <c r="D918" s="82">
        <v>0.58333333333333337</v>
      </c>
      <c r="E918" s="79" t="s">
        <v>200</v>
      </c>
      <c r="F918" s="79" t="s">
        <v>153</v>
      </c>
      <c r="G918" s="79" t="s">
        <v>152</v>
      </c>
      <c r="H918" s="79" t="s">
        <v>152</v>
      </c>
      <c r="I918" s="79" t="s">
        <v>152</v>
      </c>
      <c r="J918" s="79" t="s">
        <v>504</v>
      </c>
      <c r="K918" s="79" t="s">
        <v>155</v>
      </c>
      <c r="L918" s="80" t="s">
        <v>2322</v>
      </c>
      <c r="M918" s="80" t="s">
        <v>624</v>
      </c>
      <c r="N918" s="79" t="s">
        <v>924</v>
      </c>
      <c r="O918" s="80" t="str">
        <f t="shared" ref="O918" si="1328">_xlfn.TEXTJOIN(", ",TRUE,P918:AN918)</f>
        <v/>
      </c>
      <c r="P918" s="79"/>
      <c r="Q918" s="79"/>
      <c r="R918" s="79"/>
      <c r="S918" s="79"/>
      <c r="T918" s="79"/>
      <c r="U918" s="79"/>
      <c r="V918" s="79"/>
      <c r="W918" s="79"/>
      <c r="X918" s="79"/>
      <c r="Y918" s="79"/>
      <c r="Z918" s="79"/>
      <c r="AA918" s="79"/>
      <c r="AB918" s="79"/>
      <c r="AC918" s="79"/>
      <c r="AD918" s="79"/>
      <c r="AE918" s="79"/>
      <c r="AF918" s="79"/>
      <c r="AG918" s="79"/>
      <c r="AH918" s="79"/>
      <c r="AI918" s="79"/>
      <c r="AJ918" s="79"/>
      <c r="AK918" s="79"/>
      <c r="AL918" s="79"/>
      <c r="AM918" s="79"/>
      <c r="AN918" s="79"/>
      <c r="AO918" s="79" t="s">
        <v>169</v>
      </c>
      <c r="AP918" s="79" t="s">
        <v>2702</v>
      </c>
      <c r="AQ918" s="80" t="s">
        <v>3691</v>
      </c>
      <c r="AR918" s="83" t="s">
        <v>4104</v>
      </c>
      <c r="AS918" s="80" t="s">
        <v>3692</v>
      </c>
      <c r="AT918" s="80" t="str">
        <f t="shared" si="950"/>
        <v>Kennedy</v>
      </c>
      <c r="AU918" s="79" t="s">
        <v>731</v>
      </c>
      <c r="AV918" s="79"/>
      <c r="AW918" s="79"/>
      <c r="AX918" s="79"/>
      <c r="AY918" s="79"/>
      <c r="AZ918" s="79"/>
      <c r="BA918" s="80" t="str">
        <f t="shared" si="1000"/>
        <v>Suroccidente</v>
      </c>
      <c r="BB918" s="79" t="s">
        <v>732</v>
      </c>
      <c r="BC918" s="79"/>
      <c r="BD918" s="79"/>
      <c r="BE918" s="79"/>
      <c r="BF918" s="79"/>
      <c r="BG918" s="79"/>
      <c r="BH918" s="80" t="str">
        <f t="shared" si="1001"/>
        <v>Kennedy</v>
      </c>
      <c r="BI918" s="79" t="s">
        <v>731</v>
      </c>
      <c r="BJ918" s="79"/>
      <c r="BK918" s="79"/>
      <c r="BL918" s="79"/>
      <c r="BM918" s="79"/>
      <c r="BN918" s="79"/>
      <c r="BO918" s="79"/>
      <c r="BP918" s="79"/>
      <c r="BQ918" s="79"/>
      <c r="BR918" s="79"/>
      <c r="BS918" s="80" t="s">
        <v>179</v>
      </c>
      <c r="BT918" s="315" t="s">
        <v>2447</v>
      </c>
      <c r="BU918" s="80" t="s">
        <v>4105</v>
      </c>
      <c r="BV918" s="71"/>
      <c r="BW918" s="79" t="s">
        <v>152</v>
      </c>
      <c r="BX918" s="79" t="s">
        <v>179</v>
      </c>
      <c r="BY918" s="71"/>
      <c r="BZ918" s="79"/>
      <c r="CA918" s="79"/>
      <c r="CB918" s="79">
        <f t="shared" ref="CB918" si="1329">BZ918+CA918</f>
        <v>0</v>
      </c>
      <c r="CC918" s="79" t="str">
        <f t="shared" si="382"/>
        <v/>
      </c>
      <c r="CD918" s="79"/>
      <c r="CE918" s="79"/>
      <c r="CF918" s="79"/>
      <c r="CG918" s="83"/>
      <c r="CH918" s="41"/>
      <c r="CI918" s="79"/>
      <c r="CJ918" s="71"/>
      <c r="CK918" s="79">
        <f t="shared" ref="CK918" si="1330">COUNTIF(CL918:CQ918,"*")</f>
        <v>0</v>
      </c>
      <c r="CL918" s="79"/>
      <c r="CM918" s="79"/>
      <c r="CN918" s="79"/>
      <c r="CO918" s="79"/>
      <c r="CP918" s="79"/>
      <c r="CQ918" s="79"/>
      <c r="CR918" s="83"/>
      <c r="CS918" s="83"/>
      <c r="CT918" s="83"/>
      <c r="CU918" s="83"/>
      <c r="CV918" s="83"/>
      <c r="CW918" s="83"/>
      <c r="CX918" s="79"/>
      <c r="CY918" s="79">
        <f t="shared" ref="CY918" si="1331">SUM(COUNTIF(CR918:CW918,"Realizado y Devuelto a la Ciudadanía"),COUNTIF(CR918:CW918,"Realizado y Trasladado por competencia"), COUNTIF(CR918:CW918,"Realizado y Gestionado"))</f>
        <v>0</v>
      </c>
      <c r="CZ918" s="79">
        <v>0</v>
      </c>
      <c r="DA918" s="79">
        <f t="shared" ref="DA918" si="1332">COUNTIF(CR918:CW918,"Realizado y Devuelto a la Ciudadanía")</f>
        <v>0</v>
      </c>
      <c r="DB918" s="84" t="str">
        <f t="shared" ref="DB918" si="1333">IFERROR(CY918/CK918,"")</f>
        <v/>
      </c>
      <c r="DC918" s="41"/>
      <c r="DD918" s="79"/>
      <c r="DE918" s="71"/>
      <c r="DF918" s="127" t="s">
        <v>6139</v>
      </c>
      <c r="DG918" s="79"/>
      <c r="DH918" s="86">
        <f t="shared" ref="DH918" si="1334">IF(EE918="Por completar",C918+3,"Completo")</f>
        <v>45556</v>
      </c>
      <c r="DI918" s="79"/>
      <c r="DJ918" s="79"/>
      <c r="DK918" s="79"/>
      <c r="DL918" s="79">
        <v>0</v>
      </c>
      <c r="DM918" s="79">
        <v>0</v>
      </c>
      <c r="DN918" s="79"/>
      <c r="DO918" s="79"/>
      <c r="DP918" s="79"/>
      <c r="DQ918" s="79"/>
      <c r="DR918" s="75" t="str">
        <f t="shared" ref="DR918" si="1335">IF(H918="SÍ", (DQ918/(BZ918*0.3)), "No aplica")</f>
        <v>No aplica</v>
      </c>
      <c r="DS918" s="79"/>
      <c r="DT918" s="79"/>
      <c r="DU918" s="75" t="str">
        <f t="shared" ref="DU918" si="1336">IF(H918="SÍ", (DT918/(BZ918*0.35)), "No aplica")</f>
        <v>No aplica</v>
      </c>
      <c r="DV918" s="79"/>
      <c r="DW918" s="79"/>
      <c r="DX918" s="79"/>
      <c r="DY918" s="79"/>
      <c r="DZ918" s="79"/>
      <c r="EA918" s="79"/>
      <c r="EB918" s="79"/>
      <c r="EC918" s="79"/>
      <c r="ED918" s="79"/>
      <c r="EE918" s="79" t="str">
        <f t="shared" ref="EE918" si="1337">IF(DI918="Subsanado","Completo","Por Completar")</f>
        <v>Por Completar</v>
      </c>
      <c r="EF918" s="41"/>
      <c r="EG918" s="79"/>
      <c r="EH918" s="71"/>
      <c r="EI918" s="80"/>
      <c r="EJ918" s="71"/>
      <c r="EK918" s="79"/>
      <c r="EL918" s="87" t="str">
        <f t="shared" ref="EL918" si="1338">IF(F918="NO","No requiere",IF(H918="No","No requiere",IF(DW918="","",IF(DW918&lt;&gt;"No aplica",IF(DX918&lt;&gt;"No aplica",IF(DX918&gt;=2,"Sí","No"),"No aplica"),"No aplica"))))</f>
        <v>No requiere</v>
      </c>
      <c r="EM918" s="87" t="str">
        <f t="shared" ref="EM918" si="1339">IF(F918="NO","No requiere",IF(H918="No","No requiere",IF(DW918="","",IF(DW918&lt;&gt;"No aplica",IF(DY918&lt;&gt;"No aplica",IF(DY918&gt;=1,"Sí","No"),"No aplica"),"No aplica"))))</f>
        <v>No requiere</v>
      </c>
      <c r="EN918" s="87" t="str">
        <f t="shared" ref="EN918" si="1340">IF(F918="NO","No requiere",IF(H918="No","No requiere",IF(CC918="","",IF(CD918&lt;&gt;"No aplica",IF(CD918&lt;&gt;"Ninguna",IF(COUNTIF(CD918:CF918,"*")&gt;=1,"Sí","No"),"No"),"No aplica"))))</f>
        <v>No requiere</v>
      </c>
      <c r="EO918" s="71"/>
      <c r="EP918" s="84" t="str">
        <f t="shared" ref="EP918" si="1341">IF(F918="NO","No requiere",IF(H918="No","No requiere",IF(DL918="","",IF(DL918&gt;=1,DM918/DL918,"No aplica"))))</f>
        <v>No requiere</v>
      </c>
      <c r="EQ918" s="88" t="str">
        <f t="shared" ref="EQ918" si="1342">IFERROR(IF(F918="NO","No requiere",IF(H918="No","No requiere",DU918)),"")</f>
        <v>No requiere</v>
      </c>
      <c r="ER918" s="71"/>
      <c r="ES918" s="79"/>
      <c r="ET918" s="84" t="str">
        <f t="shared" ref="ET918" si="1343">IF(F918="NO","No requiere",IF(H918="No","No requiere",IFERROR(COUNTIF(DJ918:DW918,"Completo")/SUM(COUNTIF(DJ918:DW918,"Completo"),COUNTIF(DJ918:DW918,"Incompleto"),COUNTIF(DJ918:DW918,"No subido"),COUNTIF(DJ918:DW918,"No existente"),COUNTIF(DJ918:DW918,"Pendiente")),"")))</f>
        <v>No requiere</v>
      </c>
      <c r="EU918" s="84" t="str">
        <f>IF(F918="NO","No requiere",IF(H918="No","No requiere",IF(#REF!="","",IF(CX918="SÍ",IF(CK918&gt;=1,CY918/CK918,"Sin compromisos"),"Por verificar"))))</f>
        <v>No requiere</v>
      </c>
      <c r="EV918" s="84" t="str">
        <f t="shared" ref="EV918" si="1344">IF(EU918="Por verificar","Por verificar",IF(F918="NO","No requiere",IF(H918="No","No requiere",IFERROR(IF(EU918="","",IF(CK918&gt;=1,DA918/CZ918,"No aplica")),"No aplica"))))</f>
        <v>No requiere</v>
      </c>
      <c r="EW918" s="84" t="str">
        <f t="shared" ref="EW918" si="1345">IF(F918="NO","No requiere",IF(H918="No","No requiere",IFERROR(IF(BZ918="","",IF(EA918&lt;&gt;"No aplica",IF(EA918&gt;=1,DO918/EA918,"0%"),"No aplica")),"")))</f>
        <v>No requiere</v>
      </c>
      <c r="EX918" s="78"/>
      <c r="EY918" s="78"/>
    </row>
    <row r="919" spans="1:155" ht="66.75" customHeight="1">
      <c r="A919" s="79">
        <v>915</v>
      </c>
      <c r="B919" s="80" t="s">
        <v>6140</v>
      </c>
      <c r="C919" s="81">
        <v>45554</v>
      </c>
      <c r="D919" s="82">
        <v>0.33333333333333331</v>
      </c>
      <c r="E919" s="79" t="s">
        <v>151</v>
      </c>
      <c r="F919" s="79" t="s">
        <v>153</v>
      </c>
      <c r="G919" s="79" t="s">
        <v>153</v>
      </c>
      <c r="H919" s="79" t="s">
        <v>153</v>
      </c>
      <c r="I919" s="79" t="s">
        <v>152</v>
      </c>
      <c r="J919" s="79" t="s">
        <v>154</v>
      </c>
      <c r="K919" s="79" t="s">
        <v>155</v>
      </c>
      <c r="L919" s="80" t="s">
        <v>6141</v>
      </c>
      <c r="M919" s="80" t="s">
        <v>241</v>
      </c>
      <c r="N919" s="79" t="s">
        <v>167</v>
      </c>
      <c r="O919" s="80" t="str">
        <f>_xlfn.TEXTJOIN(", ",TRUE,P919:AN919)</f>
        <v>Laura Camila Bechara, Yeiker Guerra Sarmiento, Natalia Gómez Meza, Nathalia Guzmán Martínez , Nancy Stella Villa, Mario Fernández, Luisa Romero, Michael Cruz Roa</v>
      </c>
      <c r="P919" s="79" t="s">
        <v>887</v>
      </c>
      <c r="Q919" s="79" t="s">
        <v>163</v>
      </c>
      <c r="R919" s="79" t="s">
        <v>5900</v>
      </c>
      <c r="S919" s="161" t="s">
        <v>5834</v>
      </c>
      <c r="T919" s="79" t="s">
        <v>5913</v>
      </c>
      <c r="U919" s="79" t="s">
        <v>5764</v>
      </c>
      <c r="V919" s="79" t="s">
        <v>5709</v>
      </c>
      <c r="W919" s="79" t="s">
        <v>265</v>
      </c>
      <c r="X919" s="79"/>
      <c r="Y919" s="79"/>
      <c r="Z919" s="79"/>
      <c r="AA919" s="79"/>
      <c r="AB919" s="79"/>
      <c r="AC919" s="79"/>
      <c r="AD919" s="79"/>
      <c r="AE919" s="79"/>
      <c r="AF919" s="79"/>
      <c r="AG919" s="79"/>
      <c r="AH919" s="79"/>
      <c r="AI919" s="79"/>
      <c r="AJ919" s="79"/>
      <c r="AK919" s="79"/>
      <c r="AL919" s="79"/>
      <c r="AM919" s="79"/>
      <c r="AN919" s="79"/>
      <c r="AO919" s="79" t="s">
        <v>230</v>
      </c>
      <c r="AP919" s="79"/>
      <c r="AQ919" s="80" t="s">
        <v>6142</v>
      </c>
      <c r="AR919" s="83" t="s">
        <v>6143</v>
      </c>
      <c r="AS919" s="80" t="s">
        <v>6144</v>
      </c>
      <c r="AT919" s="80" t="str">
        <f>_xlfn.TEXTJOIN(", ",TRUE,$AU919:$AY919)</f>
        <v>Usme</v>
      </c>
      <c r="AU919" s="79" t="s">
        <v>1009</v>
      </c>
      <c r="AV919" s="79"/>
      <c r="AW919" s="79"/>
      <c r="AX919" s="79"/>
      <c r="AY919" s="79"/>
      <c r="AZ919" s="79"/>
      <c r="BA919" s="80" t="str">
        <f>_xlfn.TEXTJOIN(", ",TRUE,$BB919:$BG919)</f>
        <v>Suroriente</v>
      </c>
      <c r="BB919" s="79" t="s">
        <v>218</v>
      </c>
      <c r="BC919" s="79"/>
      <c r="BD919" s="79"/>
      <c r="BE919" s="79"/>
      <c r="BF919" s="79"/>
      <c r="BG919" s="79"/>
      <c r="BH919" s="80" t="str">
        <f>_xlfn.TEXTJOIN(", ",TRUE,$BI919:$BR919)</f>
        <v>Usme Entrenubes</v>
      </c>
      <c r="BI919" s="79" t="s">
        <v>1010</v>
      </c>
      <c r="BJ919" s="79"/>
      <c r="BK919" s="79"/>
      <c r="BL919" s="79"/>
      <c r="BM919" s="79"/>
      <c r="BN919" s="79"/>
      <c r="BO919" s="79"/>
      <c r="BP919" s="79"/>
      <c r="BQ919" s="79"/>
      <c r="BR919" s="79"/>
      <c r="BS919" s="80" t="s">
        <v>6145</v>
      </c>
      <c r="BT919" s="80" t="s">
        <v>179</v>
      </c>
      <c r="BU919" s="68" t="s">
        <v>6146</v>
      </c>
      <c r="BV919" s="71"/>
      <c r="BW919" s="79" t="s">
        <v>153</v>
      </c>
      <c r="BX919" s="79" t="s">
        <v>4242</v>
      </c>
      <c r="BY919" s="71"/>
      <c r="BZ919" s="79"/>
      <c r="CA919" s="79"/>
      <c r="CB919" s="79">
        <f>BZ919+CA919</f>
        <v>0</v>
      </c>
      <c r="CC919" s="79" t="s">
        <v>316</v>
      </c>
      <c r="CD919" s="79"/>
      <c r="CE919" s="79"/>
      <c r="CF919" s="79"/>
      <c r="CG919" s="83"/>
      <c r="CH919" s="41"/>
      <c r="CI919" s="79"/>
      <c r="CJ919" s="71"/>
      <c r="CK919" s="79">
        <v>0</v>
      </c>
      <c r="CL919" s="79"/>
      <c r="CM919" s="79"/>
      <c r="CN919" s="79"/>
      <c r="CO919" s="79"/>
      <c r="CP919" s="79"/>
      <c r="CQ919" s="79"/>
      <c r="CR919" s="83"/>
      <c r="CS919" s="83"/>
      <c r="CT919" s="83"/>
      <c r="CU919" s="83"/>
      <c r="CV919" s="83"/>
      <c r="CW919" s="83"/>
      <c r="CX919" s="79"/>
      <c r="CY919" s="79">
        <v>0</v>
      </c>
      <c r="CZ919" s="79">
        <v>0</v>
      </c>
      <c r="DA919" s="79">
        <v>0</v>
      </c>
      <c r="DB919" s="84" t="s">
        <v>316</v>
      </c>
      <c r="DC919" s="41"/>
      <c r="DD919" s="79"/>
      <c r="DE919" s="71"/>
      <c r="DF919" s="160" t="s">
        <v>6147</v>
      </c>
      <c r="DG919" s="79"/>
      <c r="DH919" s="86">
        <f>IF(EE919="Por completar",C919+3,"Completo")</f>
        <v>45557</v>
      </c>
      <c r="DI919" s="79"/>
      <c r="DJ919" s="79"/>
      <c r="DK919" s="79"/>
      <c r="DL919" s="79">
        <v>0</v>
      </c>
      <c r="DM919" s="79">
        <v>0</v>
      </c>
      <c r="DN919" s="79"/>
      <c r="DO919" s="79"/>
      <c r="DP919" s="79"/>
      <c r="DQ919" s="79"/>
      <c r="DR919" s="75" t="s">
        <v>179</v>
      </c>
      <c r="DS919" s="79"/>
      <c r="DT919" s="79"/>
      <c r="DU919" s="75" t="s">
        <v>179</v>
      </c>
      <c r="DV919" s="79"/>
      <c r="DW919" s="79"/>
      <c r="DX919" s="79"/>
      <c r="DY919" s="79"/>
      <c r="DZ919" s="79"/>
      <c r="EA919" s="79"/>
      <c r="EB919" s="79"/>
      <c r="EC919" s="79"/>
      <c r="ED919" s="79"/>
      <c r="EE919" s="79" t="str">
        <f>IF(DI919="Subsanado","Completo","Por Completar")</f>
        <v>Por Completar</v>
      </c>
      <c r="EF919" s="41"/>
      <c r="EG919" s="79"/>
      <c r="EH919" s="71"/>
      <c r="EI919" s="80"/>
      <c r="EJ919" s="71"/>
      <c r="EK919" s="87"/>
      <c r="EL919" s="87" t="str">
        <f>IF(F919="NO","No requiere",IF(H919="No","No requiere",IF(DW919="","",IF(DW919&lt;&gt;"No aplica",IF(DX919&lt;&gt;"No aplica",IF(DX919&gt;=2,"Sí","No"),"No aplica"),"No aplica"))))</f>
        <v/>
      </c>
      <c r="EM919" s="87" t="str">
        <f>IF(F919="NO","No requiere",IF(H919="No","No requiere",IF(DW919="","",IF(DW919&lt;&gt;"No aplica",IF(DY919&lt;&gt;"No aplica",IF(DY919&gt;=1,"Sí","No"),"No aplica"),"No aplica"))))</f>
        <v/>
      </c>
      <c r="EN919" s="87" t="str">
        <f>IF(F919="NO","No requiere",IF(H919="No","No requiere",IF(CC919="","",IF(CD919&lt;&gt;"No aplica",IF(CD919&lt;&gt;"Ninguna",IF(COUNTIF(CD919:CF919,"*")&gt;=1,"Sí","No"),"No"),"No aplica"))))</f>
        <v/>
      </c>
      <c r="EO919" s="71"/>
      <c r="EP919" s="84" t="str">
        <f>IF(F919="NO","No requiere",IF(H919="No","No requiere",IF(DL919="","",IF(DL919&gt;=1,DM919/DL919,"No aplica"))))</f>
        <v>No aplica</v>
      </c>
      <c r="EQ919" s="88" t="str">
        <f>IFERROR(IF(F919="NO","No requiere",IF(H919="No","No requiere",DU919)),"")</f>
        <v>No aplica</v>
      </c>
      <c r="ER919" s="71"/>
      <c r="ES919" s="79"/>
      <c r="ET919" s="84" t="str">
        <f>IF(F919="NO","No requiere",IF(H919="No","No requiere",IFERROR(COUNTIF(DJ919:DW919,"Completo")/SUM(COUNTIF(DJ919:DW919,"Completo"),COUNTIF(DJ919:DW919,"Incompleto"),COUNTIF(DJ919:DW919,"No subido"),COUNTIF(DJ919:DW919,"No existente"),COUNTIF(DJ919:DW919,"Pendiente")),"")))</f>
        <v/>
      </c>
      <c r="EU919" s="84" t="str">
        <f>IF(F919="NO","No requiere",IF(H919="No","No requiere",IF(B919="","",IF(CX919="SÍ",IF(CK919&gt;=1,CY919/CK919,"Sin compromisos"),"Por verificar"))))</f>
        <v>Por verificar</v>
      </c>
      <c r="EV919" s="84" t="str">
        <f>IF(EU919="Por verificar","Por verificar",IF(F919="NO","No requiere",IF(H919="No","No requiere",IFERROR(IF(EU919="","",IF(CK919&gt;=1,DA919/CZ919,"No aplica")),"No aplica"))))</f>
        <v>Por verificar</v>
      </c>
      <c r="EW919" s="84" t="str">
        <f>IF(EV919="Por verificar","Por verificar",IF(G919="NO","No requiere",IF(I919="No","No requiere",IFERROR(IF(EV919="","",IF(CL919&gt;=1,DB919/DA919,"No aplica")),"No aplica"))))</f>
        <v>Por verificar</v>
      </c>
      <c r="EX919" s="78"/>
      <c r="EY919" s="78"/>
    </row>
    <row r="920" spans="1:155" ht="66.75" customHeight="1">
      <c r="A920" s="79">
        <v>916</v>
      </c>
      <c r="B920" s="80" t="s">
        <v>6148</v>
      </c>
      <c r="C920" s="81">
        <v>45554</v>
      </c>
      <c r="D920" s="82">
        <v>0.58333333333333337</v>
      </c>
      <c r="E920" s="79" t="s">
        <v>151</v>
      </c>
      <c r="F920" s="79" t="s">
        <v>153</v>
      </c>
      <c r="G920" s="79" t="s">
        <v>152</v>
      </c>
      <c r="H920" s="79" t="s">
        <v>152</v>
      </c>
      <c r="I920" s="79" t="s">
        <v>152</v>
      </c>
      <c r="J920" s="79" t="s">
        <v>1711</v>
      </c>
      <c r="K920" s="79" t="s">
        <v>155</v>
      </c>
      <c r="L920" s="80" t="s">
        <v>6149</v>
      </c>
      <c r="M920" s="80" t="s">
        <v>624</v>
      </c>
      <c r="N920" s="79" t="s">
        <v>887</v>
      </c>
      <c r="O920" s="80" t="str">
        <f>_xlfn.TEXTJOIN(", ",TRUE,P920:AN920)</f>
        <v>Luz Maritza Acero, Yeiker Guerra Sarmiento, Natalia Gómez Meza</v>
      </c>
      <c r="P920" s="79" t="s">
        <v>167</v>
      </c>
      <c r="Q920" s="79" t="s">
        <v>163</v>
      </c>
      <c r="R920" s="79" t="s">
        <v>5900</v>
      </c>
      <c r="S920" s="161"/>
      <c r="T920" s="79"/>
      <c r="U920" s="79"/>
      <c r="V920" s="79"/>
      <c r="W920" s="79"/>
      <c r="X920" s="79"/>
      <c r="Y920" s="79"/>
      <c r="Z920" s="79"/>
      <c r="AA920" s="79"/>
      <c r="AB920" s="79"/>
      <c r="AC920" s="79"/>
      <c r="AD920" s="79"/>
      <c r="AE920" s="79"/>
      <c r="AF920" s="79"/>
      <c r="AG920" s="79"/>
      <c r="AH920" s="79"/>
      <c r="AI920" s="79"/>
      <c r="AJ920" s="79"/>
      <c r="AK920" s="79"/>
      <c r="AL920" s="79"/>
      <c r="AM920" s="79"/>
      <c r="AN920" s="79"/>
      <c r="AO920" s="79" t="s">
        <v>304</v>
      </c>
      <c r="AP920" s="79"/>
      <c r="AQ920" s="80" t="s">
        <v>1603</v>
      </c>
      <c r="AR920" s="83" t="s">
        <v>6150</v>
      </c>
      <c r="AS920" s="80" t="s">
        <v>1453</v>
      </c>
      <c r="AT920" s="80" t="str">
        <f>_xlfn.TEXTJOIN(", ",TRUE,$AU920:$AY920)</f>
        <v>Distrital</v>
      </c>
      <c r="AU920" s="79" t="s">
        <v>172</v>
      </c>
      <c r="AV920" s="79"/>
      <c r="AW920" s="79"/>
      <c r="AX920" s="79"/>
      <c r="AY920" s="79"/>
      <c r="AZ920" s="79"/>
      <c r="BA920" s="80" t="str">
        <f>_xlfn.TEXTJOIN(", ",TRUE,$BB920:$BG920)</f>
        <v>Distrital</v>
      </c>
      <c r="BB920" s="79" t="s">
        <v>172</v>
      </c>
      <c r="BC920" s="79"/>
      <c r="BD920" s="79"/>
      <c r="BE920" s="79"/>
      <c r="BF920" s="79"/>
      <c r="BG920" s="79"/>
      <c r="BH920" s="80" t="str">
        <f>_xlfn.TEXTJOIN(", ",TRUE,$BI920:$BR920)</f>
        <v>Distrital</v>
      </c>
      <c r="BI920" s="79" t="s">
        <v>172</v>
      </c>
      <c r="BJ920" s="79"/>
      <c r="BK920" s="79"/>
      <c r="BL920" s="79"/>
      <c r="BM920" s="79"/>
      <c r="BN920" s="79"/>
      <c r="BO920" s="79"/>
      <c r="BP920" s="79"/>
      <c r="BQ920" s="79"/>
      <c r="BR920" s="79"/>
      <c r="BS920" s="80" t="s">
        <v>4924</v>
      </c>
      <c r="BT920" s="80" t="s">
        <v>2447</v>
      </c>
      <c r="BU920" s="68" t="s">
        <v>1972</v>
      </c>
      <c r="BV920" s="71"/>
      <c r="BW920" s="79" t="s">
        <v>152</v>
      </c>
      <c r="BX920" s="79" t="s">
        <v>179</v>
      </c>
      <c r="BY920" s="71"/>
      <c r="BZ920" s="79"/>
      <c r="CA920" s="79"/>
      <c r="CB920" s="79">
        <v>0</v>
      </c>
      <c r="CC920" s="79" t="s">
        <v>316</v>
      </c>
      <c r="CD920" s="79"/>
      <c r="CE920" s="79"/>
      <c r="CF920" s="79"/>
      <c r="CG920" s="83"/>
      <c r="CH920" s="41"/>
      <c r="CI920" s="79"/>
      <c r="CJ920" s="71"/>
      <c r="CK920" s="79">
        <v>0</v>
      </c>
      <c r="CL920" s="79"/>
      <c r="CM920" s="79"/>
      <c r="CN920" s="79"/>
      <c r="CO920" s="79"/>
      <c r="CP920" s="79"/>
      <c r="CQ920" s="79"/>
      <c r="CR920" s="83"/>
      <c r="CS920" s="83"/>
      <c r="CT920" s="83"/>
      <c r="CU920" s="83"/>
      <c r="CV920" s="83"/>
      <c r="CW920" s="83"/>
      <c r="CX920" s="79"/>
      <c r="CY920" s="79">
        <v>0</v>
      </c>
      <c r="CZ920" s="79">
        <v>0</v>
      </c>
      <c r="DA920" s="79">
        <v>0</v>
      </c>
      <c r="DB920" s="84" t="s">
        <v>316</v>
      </c>
      <c r="DC920" s="41"/>
      <c r="DD920" s="79"/>
      <c r="DE920" s="71"/>
      <c r="DF920" s="127" t="s">
        <v>6151</v>
      </c>
      <c r="DG920" s="79"/>
      <c r="DH920" s="86">
        <v>3</v>
      </c>
      <c r="DI920" s="79"/>
      <c r="DJ920" s="79"/>
      <c r="DK920" s="79"/>
      <c r="DL920" s="79">
        <v>0</v>
      </c>
      <c r="DM920" s="79">
        <v>0</v>
      </c>
      <c r="DN920" s="79"/>
      <c r="DO920" s="79"/>
      <c r="DP920" s="79"/>
      <c r="DQ920" s="79"/>
      <c r="DR920" s="75" t="s">
        <v>179</v>
      </c>
      <c r="DS920" s="79"/>
      <c r="DT920" s="79"/>
      <c r="DU920" s="75" t="s">
        <v>179</v>
      </c>
      <c r="DV920" s="79"/>
      <c r="DW920" s="79"/>
      <c r="DX920" s="79"/>
      <c r="DY920" s="79"/>
      <c r="DZ920" s="79"/>
      <c r="EA920" s="79"/>
      <c r="EB920" s="79"/>
      <c r="EC920" s="79"/>
      <c r="ED920" s="79"/>
      <c r="EE920" s="79" t="s">
        <v>621</v>
      </c>
      <c r="EF920" s="41"/>
      <c r="EG920" s="79"/>
      <c r="EH920" s="71"/>
      <c r="EI920" s="80"/>
      <c r="EJ920" s="71"/>
      <c r="EK920" s="87"/>
      <c r="EL920" s="87" t="s">
        <v>316</v>
      </c>
      <c r="EM920" s="87" t="s">
        <v>316</v>
      </c>
      <c r="EN920" s="87" t="s">
        <v>316</v>
      </c>
      <c r="EO920" s="71"/>
      <c r="EP920" s="84" t="s">
        <v>179</v>
      </c>
      <c r="EQ920" s="88" t="s">
        <v>179</v>
      </c>
      <c r="ER920" s="71"/>
      <c r="ES920" s="79"/>
      <c r="ET920" s="84" t="s">
        <v>316</v>
      </c>
      <c r="EU920" s="84" t="e">
        <v>#REF!</v>
      </c>
      <c r="EV920" s="84" t="e">
        <v>#REF!</v>
      </c>
      <c r="EW920" s="84" t="s">
        <v>316</v>
      </c>
      <c r="EX920" s="78"/>
      <c r="EY920" s="78"/>
    </row>
    <row r="921" spans="1:155" ht="46.5" customHeight="1">
      <c r="A921" s="79">
        <v>917</v>
      </c>
      <c r="B921" s="80" t="s">
        <v>6152</v>
      </c>
      <c r="C921" s="81">
        <v>45555</v>
      </c>
      <c r="D921" s="82">
        <v>0.58333333333333337</v>
      </c>
      <c r="E921" s="79" t="s">
        <v>151</v>
      </c>
      <c r="F921" s="79" t="s">
        <v>153</v>
      </c>
      <c r="G921" s="79" t="s">
        <v>152</v>
      </c>
      <c r="H921" s="79" t="s">
        <v>152</v>
      </c>
      <c r="I921" s="79" t="s">
        <v>153</v>
      </c>
      <c r="J921" s="79" t="s">
        <v>2752</v>
      </c>
      <c r="K921" s="79" t="s">
        <v>155</v>
      </c>
      <c r="L921" s="80" t="s">
        <v>6153</v>
      </c>
      <c r="M921" s="80" t="s">
        <v>229</v>
      </c>
      <c r="N921" s="79" t="s">
        <v>632</v>
      </c>
      <c r="O921" s="80" t="str">
        <f t="shared" si="636"/>
        <v/>
      </c>
      <c r="P921" s="79"/>
      <c r="Q921" s="79"/>
      <c r="R921" s="79"/>
      <c r="S921" s="79"/>
      <c r="T921" s="79"/>
      <c r="U921" s="79"/>
      <c r="V921" s="79"/>
      <c r="W921" s="79"/>
      <c r="X921" s="79"/>
      <c r="Y921" s="79"/>
      <c r="Z921" s="79"/>
      <c r="AA921" s="79"/>
      <c r="AB921" s="79"/>
      <c r="AC921" s="79"/>
      <c r="AD921" s="79"/>
      <c r="AE921" s="79"/>
      <c r="AF921" s="79"/>
      <c r="AG921" s="79"/>
      <c r="AH921" s="79"/>
      <c r="AI921" s="79"/>
      <c r="AJ921" s="79"/>
      <c r="AK921" s="79"/>
      <c r="AL921" s="79"/>
      <c r="AM921" s="79"/>
      <c r="AN921" s="79"/>
      <c r="AO921" s="79" t="s">
        <v>230</v>
      </c>
      <c r="AP921" s="79" t="s">
        <v>231</v>
      </c>
      <c r="AQ921" s="80" t="s">
        <v>6154</v>
      </c>
      <c r="AR921" s="83" t="s">
        <v>6155</v>
      </c>
      <c r="AS921" s="80" t="s">
        <v>6156</v>
      </c>
      <c r="AT921" s="80" t="str">
        <f t="shared" si="950"/>
        <v>Engativá</v>
      </c>
      <c r="AU921" s="79" t="s">
        <v>234</v>
      </c>
      <c r="AV921" s="79"/>
      <c r="AW921" s="79"/>
      <c r="AX921" s="79"/>
      <c r="AY921" s="79"/>
      <c r="AZ921" s="79"/>
      <c r="BA921" s="80" t="str">
        <f t="shared" si="1000"/>
        <v>Occidente</v>
      </c>
      <c r="BB921" s="79" t="s">
        <v>235</v>
      </c>
      <c r="BC921" s="79"/>
      <c r="BD921" s="79"/>
      <c r="BE921" s="79"/>
      <c r="BF921" s="79"/>
      <c r="BG921" s="79"/>
      <c r="BH921" s="80" t="str">
        <f t="shared" si="1001"/>
        <v>Engativá</v>
      </c>
      <c r="BI921" s="79" t="s">
        <v>234</v>
      </c>
      <c r="BJ921" s="79"/>
      <c r="BK921" s="79"/>
      <c r="BL921" s="79"/>
      <c r="BM921" s="79"/>
      <c r="BN921" s="79"/>
      <c r="BO921" s="79"/>
      <c r="BP921" s="79"/>
      <c r="BQ921" s="79"/>
      <c r="BR921" s="79"/>
      <c r="BS921" s="80" t="s">
        <v>6157</v>
      </c>
      <c r="BT921" s="80" t="s">
        <v>2757</v>
      </c>
      <c r="BU921" s="80" t="s">
        <v>6158</v>
      </c>
      <c r="BV921" s="71"/>
      <c r="BW921" s="79" t="s">
        <v>152</v>
      </c>
      <c r="BX921" s="79" t="s">
        <v>179</v>
      </c>
      <c r="BY921" s="71"/>
      <c r="BZ921" s="79"/>
      <c r="CA921" s="79"/>
      <c r="CB921" s="79">
        <f t="shared" si="1256"/>
        <v>0</v>
      </c>
      <c r="CC921" s="79" t="str">
        <f t="shared" si="382"/>
        <v/>
      </c>
      <c r="CD921" s="79"/>
      <c r="CE921" s="79"/>
      <c r="CF921" s="79"/>
      <c r="CG921" s="83"/>
      <c r="CH921" s="41"/>
      <c r="CI921" s="79"/>
      <c r="CJ921" s="71"/>
      <c r="CK921" s="79">
        <f t="shared" si="1257"/>
        <v>0</v>
      </c>
      <c r="CL921" s="79"/>
      <c r="CM921" s="79"/>
      <c r="CN921" s="79"/>
      <c r="CO921" s="79"/>
      <c r="CP921" s="79"/>
      <c r="CQ921" s="79"/>
      <c r="CR921" s="83"/>
      <c r="CS921" s="83"/>
      <c r="CT921" s="83"/>
      <c r="CU921" s="83"/>
      <c r="CV921" s="83"/>
      <c r="CW921" s="83"/>
      <c r="CX921" s="79"/>
      <c r="CY921" s="79">
        <f t="shared" si="1258"/>
        <v>0</v>
      </c>
      <c r="CZ921" s="79">
        <v>0</v>
      </c>
      <c r="DA921" s="79">
        <f t="shared" si="1259"/>
        <v>0</v>
      </c>
      <c r="DB921" s="84" t="str">
        <f t="shared" ref="DB921:DB926" si="1346">IFERROR(CY921/CK921,"")</f>
        <v/>
      </c>
      <c r="DC921" s="41"/>
      <c r="DD921" s="79"/>
      <c r="DE921" s="71"/>
      <c r="DF921" s="160" t="s">
        <v>6159</v>
      </c>
      <c r="DG921" s="79"/>
      <c r="DH921" s="86">
        <f t="shared" ref="DH921" si="1347">IF(EE921="Por completar",C921+3,"Completo")</f>
        <v>45558</v>
      </c>
      <c r="DI921" s="79"/>
      <c r="DJ921" s="79"/>
      <c r="DK921" s="79"/>
      <c r="DL921" s="79">
        <v>0</v>
      </c>
      <c r="DM921" s="79">
        <v>0</v>
      </c>
      <c r="DN921" s="79"/>
      <c r="DO921" s="79"/>
      <c r="DP921" s="79"/>
      <c r="DQ921" s="79"/>
      <c r="DR921" s="75" t="str">
        <f t="shared" si="576"/>
        <v>No aplica</v>
      </c>
      <c r="DS921" s="79"/>
      <c r="DT921" s="79"/>
      <c r="DU921" s="75" t="str">
        <f t="shared" si="577"/>
        <v>No aplica</v>
      </c>
      <c r="DV921" s="79"/>
      <c r="DW921" s="79"/>
      <c r="DX921" s="79"/>
      <c r="DY921" s="79"/>
      <c r="DZ921" s="79"/>
      <c r="EA921" s="79"/>
      <c r="EB921" s="79"/>
      <c r="EC921" s="79"/>
      <c r="ED921" s="79"/>
      <c r="EE921" s="79" t="str">
        <f t="shared" si="1260"/>
        <v>Por Completar</v>
      </c>
      <c r="EF921" s="41"/>
      <c r="EG921" s="79"/>
      <c r="EH921" s="71"/>
      <c r="EI921" s="80"/>
      <c r="EJ921" s="71"/>
      <c r="EK921" s="79"/>
      <c r="EL921" s="87" t="str">
        <f t="shared" ref="EL921" si="1348">IF(F921="NO","No requiere",IF(H921="No","No requiere",IF(DW921="","",IF(DW921&lt;&gt;"No aplica",IF(DX921&lt;&gt;"No aplica",IF(DX921&gt;=2,"Sí","No"),"No aplica"),"No aplica"))))</f>
        <v>No requiere</v>
      </c>
      <c r="EM921" s="87" t="str">
        <f t="shared" ref="EM921" si="1349">IF(F921="NO","No requiere",IF(H921="No","No requiere",IF(DW921="","",IF(DW921&lt;&gt;"No aplica",IF(DY921&lt;&gt;"No aplica",IF(DY921&gt;=1,"Sí","No"),"No aplica"),"No aplica"))))</f>
        <v>No requiere</v>
      </c>
      <c r="EN921" s="87" t="str">
        <f t="shared" si="1261"/>
        <v>No requiere</v>
      </c>
      <c r="EO921" s="71"/>
      <c r="EP921" s="84" t="str">
        <f t="shared" ref="EP921" si="1350">IF(F921="NO","No requiere",IF(H921="No","No requiere",IF(DL921="","",IF(DL921&gt;=1,DM921/DL921,"No aplica"))))</f>
        <v>No requiere</v>
      </c>
      <c r="EQ921" s="88" t="str">
        <f t="shared" ref="EQ921" si="1351">IFERROR(IF(F921="NO","No requiere",IF(H921="No","No requiere",DU921)),"")</f>
        <v>No requiere</v>
      </c>
      <c r="ER921" s="71"/>
      <c r="ES921" s="79"/>
      <c r="ET921" s="84" t="str">
        <f t="shared" ref="ET921" si="1352">IF(F921="NO","No requiere",IF(H921="No","No requiere",IFERROR(COUNTIF(DJ921:DW921,"Completo")/SUM(COUNTIF(DJ921:DW921,"Completo"),COUNTIF(DJ921:DW921,"Incompleto"),COUNTIF(DJ921:DW921,"No subido"),COUNTIF(DJ921:DW921,"No existente"),COUNTIF(DJ921:DW921,"Pendiente")),"")))</f>
        <v>No requiere</v>
      </c>
      <c r="EU921" s="84" t="str">
        <f>IF(F921="NO","No requiere",IF(H921="No","No requiere",IF(B921="","",IF(CX921="SÍ",IF(CK921&gt;=1,CY921/CK921,"Sin compromisos"),"Por verificar"))))</f>
        <v>No requiere</v>
      </c>
      <c r="EV921" s="84" t="str">
        <f t="shared" ref="EV921" si="1353">IF(EU921="Por verificar","Por verificar",IF(F921="NO","No requiere",IF(H921="No","No requiere",IFERROR(IF(EU921="","",IF(CK921&gt;=1,DA921/CZ921,"No aplica")),"No aplica"))))</f>
        <v>No requiere</v>
      </c>
      <c r="EW921" s="84" t="str">
        <f t="shared" si="581"/>
        <v>No requiere</v>
      </c>
      <c r="EX921" s="78"/>
      <c r="EY921" s="78"/>
    </row>
    <row r="922" spans="1:155" s="197" customFormat="1" ht="57" customHeight="1">
      <c r="A922" s="129">
        <v>918</v>
      </c>
      <c r="B922" s="148" t="s">
        <v>6160</v>
      </c>
      <c r="C922" s="149">
        <v>45562</v>
      </c>
      <c r="D922" s="150">
        <v>0.375</v>
      </c>
      <c r="E922" s="129" t="s">
        <v>151</v>
      </c>
      <c r="F922" s="129" t="s">
        <v>153</v>
      </c>
      <c r="G922" s="129" t="s">
        <v>152</v>
      </c>
      <c r="H922" s="129" t="s">
        <v>152</v>
      </c>
      <c r="I922" s="79" t="s">
        <v>153</v>
      </c>
      <c r="J922" s="129" t="s">
        <v>2645</v>
      </c>
      <c r="K922" s="129" t="s">
        <v>155</v>
      </c>
      <c r="L922" s="148" t="s">
        <v>6161</v>
      </c>
      <c r="M922" s="148" t="s">
        <v>241</v>
      </c>
      <c r="N922" s="129" t="s">
        <v>506</v>
      </c>
      <c r="O922" s="148" t="str">
        <f>_xlfn.TEXTJOIN(", ",TRUE,P922:AN922)</f>
        <v/>
      </c>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t="s">
        <v>169</v>
      </c>
      <c r="AP922" s="129"/>
      <c r="AQ922" s="148" t="s">
        <v>6162</v>
      </c>
      <c r="AR922" s="152">
        <v>3166281026</v>
      </c>
      <c r="AS922" s="148" t="s">
        <v>6163</v>
      </c>
      <c r="AT922" s="148" t="str">
        <f>_xlfn.TEXTJOIN(", ",TRUE,$AU922:$AY922)</f>
        <v>Sumapaz</v>
      </c>
      <c r="AU922" s="129" t="s">
        <v>510</v>
      </c>
      <c r="AV922" s="129"/>
      <c r="AW922" s="129"/>
      <c r="AX922" s="129"/>
      <c r="AY922" s="129"/>
      <c r="AZ922" s="129"/>
      <c r="BA922" s="148" t="str">
        <f>_xlfn.TEXTJOIN(", ",TRUE,$BB922:$BG922)</f>
        <v>Ruralidad</v>
      </c>
      <c r="BB922" s="129" t="s">
        <v>219</v>
      </c>
      <c r="BC922" s="129"/>
      <c r="BD922" s="129"/>
      <c r="BE922" s="129"/>
      <c r="BF922" s="129"/>
      <c r="BG922" s="129"/>
      <c r="BH922" s="148" t="str">
        <f>_xlfn.TEXTJOIN(", ",TRUE,$BI922:$BR922)</f>
        <v>Sumapaz</v>
      </c>
      <c r="BI922" s="129" t="s">
        <v>510</v>
      </c>
      <c r="BJ922" s="129"/>
      <c r="BK922" s="129"/>
      <c r="BL922" s="129"/>
      <c r="BM922" s="129"/>
      <c r="BN922" s="129"/>
      <c r="BO922" s="129"/>
      <c r="BP922" s="129"/>
      <c r="BQ922" s="129"/>
      <c r="BR922" s="129"/>
      <c r="BS922" s="148"/>
      <c r="BT922" s="148"/>
      <c r="BU922" s="148" t="s">
        <v>6164</v>
      </c>
      <c r="BV922" s="151"/>
      <c r="BW922" s="129" t="s">
        <v>152</v>
      </c>
      <c r="BX922" s="129" t="s">
        <v>179</v>
      </c>
      <c r="BY922" s="151"/>
      <c r="BZ922" s="129"/>
      <c r="CA922" s="129"/>
      <c r="CB922" s="129">
        <f>BZ922+CA922</f>
        <v>0</v>
      </c>
      <c r="CC922" s="129" t="s">
        <v>316</v>
      </c>
      <c r="CD922" s="129"/>
      <c r="CE922" s="129"/>
      <c r="CF922" s="129"/>
      <c r="CG922" s="152"/>
      <c r="CH922" s="153"/>
      <c r="CI922" s="129"/>
      <c r="CJ922" s="151"/>
      <c r="CK922" s="129">
        <v>0</v>
      </c>
      <c r="CL922" s="129"/>
      <c r="CM922" s="129"/>
      <c r="CN922" s="129"/>
      <c r="CO922" s="129"/>
      <c r="CP922" s="129"/>
      <c r="CQ922" s="129"/>
      <c r="CR922" s="152"/>
      <c r="CS922" s="152"/>
      <c r="CT922" s="152"/>
      <c r="CU922" s="152"/>
      <c r="CV922" s="152"/>
      <c r="CW922" s="152"/>
      <c r="CX922" s="129"/>
      <c r="CY922" s="129">
        <v>0</v>
      </c>
      <c r="CZ922" s="129">
        <v>0</v>
      </c>
      <c r="DA922" s="129">
        <v>0</v>
      </c>
      <c r="DB922" s="154" t="s">
        <v>316</v>
      </c>
      <c r="DC922" s="153"/>
      <c r="DD922" s="129"/>
      <c r="DE922" s="71"/>
      <c r="DF922" s="160" t="s">
        <v>6165</v>
      </c>
      <c r="DG922" s="129"/>
      <c r="DH922" s="155">
        <f>IF(EE922="Por completar",C922+3,"Completo")</f>
        <v>45565</v>
      </c>
      <c r="DI922" s="129"/>
      <c r="DJ922" s="129"/>
      <c r="DK922" s="129"/>
      <c r="DL922" s="129">
        <v>0</v>
      </c>
      <c r="DM922" s="129">
        <v>0</v>
      </c>
      <c r="DN922" s="129"/>
      <c r="DO922" s="129"/>
      <c r="DP922" s="129"/>
      <c r="DQ922" s="129"/>
      <c r="DR922" s="156" t="s">
        <v>179</v>
      </c>
      <c r="DS922" s="129"/>
      <c r="DT922" s="129"/>
      <c r="DU922" s="156" t="s">
        <v>179</v>
      </c>
      <c r="DV922" s="129"/>
      <c r="DW922" s="129"/>
      <c r="DX922" s="129"/>
      <c r="DY922" s="129"/>
      <c r="DZ922" s="129"/>
      <c r="EA922" s="129"/>
      <c r="EB922" s="129"/>
      <c r="EC922" s="129"/>
      <c r="ED922" s="129"/>
      <c r="EE922" s="129" t="s">
        <v>621</v>
      </c>
      <c r="EF922" s="153"/>
      <c r="EG922" s="129"/>
      <c r="EH922" s="151"/>
      <c r="EI922" s="148"/>
      <c r="EJ922" s="151"/>
      <c r="EK922" s="129"/>
      <c r="EL922" s="157" t="s">
        <v>316</v>
      </c>
      <c r="EM922" s="157" t="s">
        <v>316</v>
      </c>
      <c r="EN922" s="157" t="s">
        <v>316</v>
      </c>
      <c r="EO922" s="151"/>
      <c r="EP922" s="154" t="s">
        <v>179</v>
      </c>
      <c r="EQ922" s="158" t="s">
        <v>179</v>
      </c>
      <c r="ER922" s="151"/>
      <c r="ES922" s="129"/>
      <c r="ET922" s="154" t="s">
        <v>316</v>
      </c>
      <c r="EU922" s="154" t="s">
        <v>316</v>
      </c>
      <c r="EV922" s="154" t="s">
        <v>316</v>
      </c>
      <c r="EW922" s="154" t="s">
        <v>316</v>
      </c>
      <c r="EX922" s="159"/>
      <c r="EY922" s="159"/>
    </row>
    <row r="923" spans="1:155" ht="46.5" customHeight="1">
      <c r="A923" s="79">
        <v>919</v>
      </c>
      <c r="B923" s="80" t="s">
        <v>6166</v>
      </c>
      <c r="C923" s="81">
        <v>45563</v>
      </c>
      <c r="D923" s="82">
        <v>0.375</v>
      </c>
      <c r="E923" s="79" t="s">
        <v>151</v>
      </c>
      <c r="F923" s="79" t="s">
        <v>153</v>
      </c>
      <c r="G923" s="79" t="s">
        <v>153</v>
      </c>
      <c r="H923" s="79" t="s">
        <v>153</v>
      </c>
      <c r="I923" s="79" t="s">
        <v>152</v>
      </c>
      <c r="J923" s="79" t="s">
        <v>154</v>
      </c>
      <c r="K923" s="79" t="s">
        <v>155</v>
      </c>
      <c r="L923" s="80" t="s">
        <v>4764</v>
      </c>
      <c r="M923" s="80" t="s">
        <v>241</v>
      </c>
      <c r="N923" s="79" t="s">
        <v>506</v>
      </c>
      <c r="O923" s="80" t="str">
        <f t="shared" si="636"/>
        <v>PENDIENTE, PENDIENTE, PENDIENTE, PENDIENTE, PENDIENTE, PENDIENTE</v>
      </c>
      <c r="P923" s="79" t="s">
        <v>196</v>
      </c>
      <c r="Q923" s="79" t="s">
        <v>196</v>
      </c>
      <c r="R923" s="79" t="s">
        <v>196</v>
      </c>
      <c r="S923" s="79" t="s">
        <v>196</v>
      </c>
      <c r="T923" s="79" t="s">
        <v>196</v>
      </c>
      <c r="U923" s="79" t="s">
        <v>196</v>
      </c>
      <c r="V923" s="79"/>
      <c r="W923" s="79"/>
      <c r="X923" s="79"/>
      <c r="Y923" s="79"/>
      <c r="Z923" s="79"/>
      <c r="AA923" s="79"/>
      <c r="AB923" s="79"/>
      <c r="AC923" s="79"/>
      <c r="AD923" s="79"/>
      <c r="AE923" s="79"/>
      <c r="AF923" s="79"/>
      <c r="AG923" s="79"/>
      <c r="AH923" s="79"/>
      <c r="AI923" s="79"/>
      <c r="AJ923" s="79"/>
      <c r="AK923" s="79"/>
      <c r="AL923" s="79"/>
      <c r="AM923" s="79"/>
      <c r="AN923" s="79"/>
      <c r="AO923" s="79" t="s">
        <v>304</v>
      </c>
      <c r="AP923" s="79"/>
      <c r="AQ923" s="80" t="s">
        <v>171</v>
      </c>
      <c r="AR923" s="80" t="s">
        <v>171</v>
      </c>
      <c r="AS923" s="80" t="s">
        <v>171</v>
      </c>
      <c r="AT923" s="80" t="str">
        <f t="shared" si="950"/>
        <v>Distrital</v>
      </c>
      <c r="AU923" s="79" t="s">
        <v>172</v>
      </c>
      <c r="AV923" s="79"/>
      <c r="AW923" s="79"/>
      <c r="AX923" s="79"/>
      <c r="AY923" s="79"/>
      <c r="AZ923" s="79"/>
      <c r="BA923" s="80" t="str">
        <f t="shared" si="1000"/>
        <v>Ruralidad</v>
      </c>
      <c r="BB923" s="79" t="s">
        <v>219</v>
      </c>
      <c r="BC923" s="79"/>
      <c r="BD923" s="79"/>
      <c r="BE923" s="79"/>
      <c r="BF923" s="79"/>
      <c r="BG923" s="79"/>
      <c r="BH923" s="80" t="str">
        <f t="shared" si="1001"/>
        <v>Cerros Orientales, Cuenca del Tunjuelo</v>
      </c>
      <c r="BI923" s="79" t="s">
        <v>361</v>
      </c>
      <c r="BJ923" s="79" t="s">
        <v>222</v>
      </c>
      <c r="BK923" s="79"/>
      <c r="BL923" s="79"/>
      <c r="BM923" s="79"/>
      <c r="BN923" s="79"/>
      <c r="BO923" s="79"/>
      <c r="BP923" s="79"/>
      <c r="BQ923" s="79"/>
      <c r="BR923" s="79"/>
      <c r="BS923" s="80" t="s">
        <v>219</v>
      </c>
      <c r="BT923" s="80" t="s">
        <v>1798</v>
      </c>
      <c r="BU923" s="80" t="s">
        <v>6167</v>
      </c>
      <c r="BV923" s="71"/>
      <c r="BW923" s="79" t="s">
        <v>153</v>
      </c>
      <c r="BX923" s="79" t="s">
        <v>4242</v>
      </c>
      <c r="BY923" s="71"/>
      <c r="BZ923" s="79"/>
      <c r="CA923" s="79"/>
      <c r="CB923" s="79">
        <f t="shared" si="1256"/>
        <v>0</v>
      </c>
      <c r="CC923" s="79" t="str">
        <f t="shared" ref="CC923:CC925" si="1354">_xlfn.TEXTJOIN(", ",TRUE,$CD923:$CF923)</f>
        <v/>
      </c>
      <c r="CD923" s="79"/>
      <c r="CE923" s="79"/>
      <c r="CF923" s="79"/>
      <c r="CG923" s="83"/>
      <c r="CH923" s="41"/>
      <c r="CI923" s="79"/>
      <c r="CJ923" s="71"/>
      <c r="CK923" s="79">
        <f t="shared" si="1257"/>
        <v>0</v>
      </c>
      <c r="CL923" s="79"/>
      <c r="CM923" s="79"/>
      <c r="CN923" s="79"/>
      <c r="CO923" s="79"/>
      <c r="CP923" s="79"/>
      <c r="CQ923" s="79"/>
      <c r="CR923" s="83"/>
      <c r="CS923" s="83"/>
      <c r="CT923" s="83"/>
      <c r="CU923" s="83"/>
      <c r="CV923" s="83"/>
      <c r="CW923" s="83"/>
      <c r="CX923" s="79"/>
      <c r="CY923" s="79">
        <f t="shared" si="1258"/>
        <v>0</v>
      </c>
      <c r="CZ923" s="79">
        <v>0</v>
      </c>
      <c r="DA923" s="79">
        <f t="shared" si="1259"/>
        <v>0</v>
      </c>
      <c r="DB923" s="84" t="str">
        <f t="shared" si="1346"/>
        <v/>
      </c>
      <c r="DC923" s="41"/>
      <c r="DD923" s="79"/>
      <c r="DE923" s="71"/>
      <c r="DF923" s="160" t="s">
        <v>6168</v>
      </c>
      <c r="DG923" s="79"/>
      <c r="DH923" s="86">
        <f t="shared" si="722"/>
        <v>45566</v>
      </c>
      <c r="DI923" s="79"/>
      <c r="DJ923" s="79"/>
      <c r="DK923" s="79"/>
      <c r="DL923" s="79">
        <v>0</v>
      </c>
      <c r="DM923" s="79">
        <v>0</v>
      </c>
      <c r="DN923" s="79"/>
      <c r="DO923" s="79"/>
      <c r="DP923" s="79"/>
      <c r="DQ923" s="79"/>
      <c r="DR923" s="75" t="e">
        <f t="shared" si="576"/>
        <v>#DIV/0!</v>
      </c>
      <c r="DS923" s="79"/>
      <c r="DT923" s="79"/>
      <c r="DU923" s="75" t="e">
        <f t="shared" si="577"/>
        <v>#DIV/0!</v>
      </c>
      <c r="DV923" s="79"/>
      <c r="DW923" s="79"/>
      <c r="DX923" s="79"/>
      <c r="DY923" s="79"/>
      <c r="DZ923" s="79"/>
      <c r="EA923" s="79"/>
      <c r="EB923" s="79"/>
      <c r="EC923" s="79"/>
      <c r="ED923" s="79"/>
      <c r="EE923" s="79" t="str">
        <f t="shared" si="1260"/>
        <v>Por Completar</v>
      </c>
      <c r="EF923" s="41"/>
      <c r="EG923" s="79"/>
      <c r="EH923" s="71"/>
      <c r="EI923" s="80"/>
      <c r="EJ923" s="71"/>
      <c r="EK923" s="79"/>
      <c r="EL923" s="87" t="str">
        <f t="shared" si="942"/>
        <v/>
      </c>
      <c r="EM923" s="87" t="str">
        <f t="shared" si="943"/>
        <v/>
      </c>
      <c r="EN923" s="87" t="str">
        <f t="shared" si="1261"/>
        <v/>
      </c>
      <c r="EO923" s="71"/>
      <c r="EP923" s="84" t="str">
        <f t="shared" si="945"/>
        <v>No aplica</v>
      </c>
      <c r="EQ923" s="88" t="str">
        <f t="shared" si="946"/>
        <v/>
      </c>
      <c r="ER923" s="71"/>
      <c r="ES923" s="79"/>
      <c r="ET923" s="84" t="str">
        <f t="shared" si="947"/>
        <v/>
      </c>
      <c r="EU923" s="84" t="str">
        <f>IF(F923="NO","No requiere",IF(H923="No","No requiere",IF(B923="","",IF(CX923="SÍ",IF(CK923&gt;=1,CY923/CK923,"Sin compromisos"),"Por verificar"))))</f>
        <v>Por verificar</v>
      </c>
      <c r="EV923" s="84" t="str">
        <f t="shared" si="949"/>
        <v>Por verificar</v>
      </c>
      <c r="EW923" s="84" t="str">
        <f t="shared" si="581"/>
        <v/>
      </c>
      <c r="EX923" s="78"/>
      <c r="EY923" s="78"/>
    </row>
    <row r="924" spans="1:155" s="190" customFormat="1" ht="46.5" customHeight="1">
      <c r="A924" s="135">
        <v>920</v>
      </c>
      <c r="B924" s="136" t="s">
        <v>6169</v>
      </c>
      <c r="C924" s="137">
        <v>45563</v>
      </c>
      <c r="D924" s="138">
        <v>0.33333333333333331</v>
      </c>
      <c r="E924" s="135" t="s">
        <v>151</v>
      </c>
      <c r="F924" s="135" t="s">
        <v>153</v>
      </c>
      <c r="G924" s="135" t="s">
        <v>153</v>
      </c>
      <c r="H924" s="135" t="s">
        <v>153</v>
      </c>
      <c r="I924" s="135" t="s">
        <v>152</v>
      </c>
      <c r="J924" s="135" t="s">
        <v>154</v>
      </c>
      <c r="K924" s="135" t="s">
        <v>155</v>
      </c>
      <c r="L924" s="136" t="s">
        <v>4764</v>
      </c>
      <c r="M924" s="136" t="s">
        <v>241</v>
      </c>
      <c r="N924" s="135" t="s">
        <v>632</v>
      </c>
      <c r="O924" s="80" t="str">
        <f t="shared" si="636"/>
        <v>PENDIENTE, PENDIENTE, PENDIENTE, PENDIENTE, PENDIENTE, PENDIENTE, PENDIENTE, PENDIENTE, PENDIENTE, PENDIENTE, PENDIENTE, PENDIENTE</v>
      </c>
      <c r="P924" s="135" t="s">
        <v>196</v>
      </c>
      <c r="Q924" s="135" t="s">
        <v>196</v>
      </c>
      <c r="R924" s="135" t="s">
        <v>196</v>
      </c>
      <c r="S924" s="135" t="s">
        <v>196</v>
      </c>
      <c r="T924" s="135" t="s">
        <v>196</v>
      </c>
      <c r="U924" s="135" t="s">
        <v>196</v>
      </c>
      <c r="V924" s="135" t="s">
        <v>196</v>
      </c>
      <c r="W924" s="135" t="s">
        <v>196</v>
      </c>
      <c r="X924" s="135" t="s">
        <v>196</v>
      </c>
      <c r="Y924" s="135" t="s">
        <v>196</v>
      </c>
      <c r="Z924" s="135" t="s">
        <v>196</v>
      </c>
      <c r="AA924" s="135" t="s">
        <v>196</v>
      </c>
      <c r="AB924" s="135"/>
      <c r="AC924" s="135"/>
      <c r="AD924" s="135"/>
      <c r="AE924" s="135"/>
      <c r="AF924" s="135"/>
      <c r="AG924" s="135"/>
      <c r="AH924" s="135"/>
      <c r="AI924" s="135"/>
      <c r="AJ924" s="135"/>
      <c r="AK924" s="135"/>
      <c r="AL924" s="135"/>
      <c r="AM924" s="135"/>
      <c r="AN924" s="135"/>
      <c r="AO924" s="135" t="s">
        <v>304</v>
      </c>
      <c r="AP924" s="135"/>
      <c r="AQ924" s="136" t="s">
        <v>171</v>
      </c>
      <c r="AR924" s="136" t="s">
        <v>171</v>
      </c>
      <c r="AS924" s="136" t="s">
        <v>171</v>
      </c>
      <c r="AT924" s="136" t="str">
        <f t="shared" si="950"/>
        <v>Barrios Unidos</v>
      </c>
      <c r="AU924" s="135" t="s">
        <v>1031</v>
      </c>
      <c r="AV924" s="135"/>
      <c r="AW924" s="135"/>
      <c r="AX924" s="135"/>
      <c r="AY924" s="135"/>
      <c r="AZ924" s="135"/>
      <c r="BA924" s="136" t="str">
        <f t="shared" si="1000"/>
        <v>Occidente</v>
      </c>
      <c r="BB924" s="135" t="s">
        <v>235</v>
      </c>
      <c r="BC924" s="135"/>
      <c r="BD924" s="135"/>
      <c r="BE924" s="135"/>
      <c r="BF924" s="135"/>
      <c r="BG924" s="135"/>
      <c r="BH924" s="136" t="str">
        <f t="shared" si="1001"/>
        <v>Fontibón, Salitre, Tabora, Engativá</v>
      </c>
      <c r="BI924" s="135" t="s">
        <v>646</v>
      </c>
      <c r="BJ924" s="135" t="s">
        <v>415</v>
      </c>
      <c r="BK924" s="135" t="s">
        <v>414</v>
      </c>
      <c r="BL924" s="135" t="s">
        <v>234</v>
      </c>
      <c r="BM924" s="135"/>
      <c r="BN924" s="135"/>
      <c r="BO924" s="135"/>
      <c r="BP924" s="135"/>
      <c r="BQ924" s="135"/>
      <c r="BR924" s="135"/>
      <c r="BS924" s="136" t="s">
        <v>235</v>
      </c>
      <c r="BT924" s="136" t="s">
        <v>6170</v>
      </c>
      <c r="BU924" s="203" t="s">
        <v>196</v>
      </c>
      <c r="BV924" s="140"/>
      <c r="BW924" s="135" t="s">
        <v>153</v>
      </c>
      <c r="BX924" s="135" t="s">
        <v>4242</v>
      </c>
      <c r="BY924" s="140"/>
      <c r="BZ924" s="135"/>
      <c r="CA924" s="135"/>
      <c r="CB924" s="135">
        <f t="shared" si="1256"/>
        <v>0</v>
      </c>
      <c r="CC924" s="135" t="str">
        <f t="shared" si="1354"/>
        <v/>
      </c>
      <c r="CD924" s="135"/>
      <c r="CE924" s="135"/>
      <c r="CF924" s="135"/>
      <c r="CG924" s="139"/>
      <c r="CH924" s="141"/>
      <c r="CI924" s="135"/>
      <c r="CJ924" s="140"/>
      <c r="CK924" s="135">
        <f t="shared" si="1257"/>
        <v>0</v>
      </c>
      <c r="CL924" s="135"/>
      <c r="CM924" s="135"/>
      <c r="CN924" s="135"/>
      <c r="CO924" s="135"/>
      <c r="CP924" s="135"/>
      <c r="CQ924" s="135"/>
      <c r="CR924" s="139"/>
      <c r="CS924" s="139"/>
      <c r="CT924" s="139"/>
      <c r="CU924" s="139"/>
      <c r="CV924" s="139"/>
      <c r="CW924" s="139"/>
      <c r="CX924" s="135"/>
      <c r="CY924" s="135">
        <f t="shared" si="1258"/>
        <v>0</v>
      </c>
      <c r="CZ924" s="135">
        <v>0</v>
      </c>
      <c r="DA924" s="135">
        <f t="shared" si="1259"/>
        <v>0</v>
      </c>
      <c r="DB924" s="142" t="str">
        <f t="shared" si="1346"/>
        <v/>
      </c>
      <c r="DC924" s="141"/>
      <c r="DD924" s="135"/>
      <c r="DE924" s="71"/>
      <c r="DF924" s="160" t="s">
        <v>6171</v>
      </c>
      <c r="DG924" s="135"/>
      <c r="DH924" s="143">
        <f t="shared" si="722"/>
        <v>45566</v>
      </c>
      <c r="DI924" s="135"/>
      <c r="DJ924" s="135"/>
      <c r="DK924" s="135"/>
      <c r="DL924" s="135">
        <v>0</v>
      </c>
      <c r="DM924" s="135">
        <v>0</v>
      </c>
      <c r="DN924" s="135"/>
      <c r="DO924" s="135"/>
      <c r="DP924" s="135"/>
      <c r="DQ924" s="135"/>
      <c r="DR924" s="144" t="e">
        <f t="shared" ref="DR924:DR935" si="1355">IF(H924="SÍ", (DQ924/(BZ924*0.3)), "No aplica")</f>
        <v>#DIV/0!</v>
      </c>
      <c r="DS924" s="135"/>
      <c r="DT924" s="135"/>
      <c r="DU924" s="144" t="e">
        <f t="shared" ref="DU924:DU935" si="1356">IF(H924="SÍ", (DT924/(BZ924*0.35)), "No aplica")</f>
        <v>#DIV/0!</v>
      </c>
      <c r="DV924" s="135"/>
      <c r="DW924" s="135"/>
      <c r="DX924" s="135"/>
      <c r="DY924" s="135"/>
      <c r="DZ924" s="135"/>
      <c r="EA924" s="135"/>
      <c r="EB924" s="135"/>
      <c r="EC924" s="135"/>
      <c r="ED924" s="135"/>
      <c r="EE924" s="135" t="str">
        <f t="shared" si="1260"/>
        <v>Por Completar</v>
      </c>
      <c r="EF924" s="141"/>
      <c r="EG924" s="135"/>
      <c r="EH924" s="140"/>
      <c r="EI924" s="136"/>
      <c r="EJ924" s="140"/>
      <c r="EK924" s="135"/>
      <c r="EL924" s="145" t="str">
        <f t="shared" si="942"/>
        <v/>
      </c>
      <c r="EM924" s="145" t="str">
        <f t="shared" si="943"/>
        <v/>
      </c>
      <c r="EN924" s="145" t="str">
        <f t="shared" si="1261"/>
        <v/>
      </c>
      <c r="EO924" s="140"/>
      <c r="EP924" s="142" t="str">
        <f t="shared" si="945"/>
        <v>No aplica</v>
      </c>
      <c r="EQ924" s="146" t="str">
        <f t="shared" si="946"/>
        <v/>
      </c>
      <c r="ER924" s="140"/>
      <c r="ES924" s="135"/>
      <c r="ET924" s="142" t="str">
        <f t="shared" si="947"/>
        <v/>
      </c>
      <c r="EU924" s="142" t="str">
        <f>IF(F924="NO","No requiere",IF(H924="No","No requiere",IF(B924="","",IF(CX924="SÍ",IF(CK924&gt;=1,CY924/CK924,"Sin compromisos"),"Por verificar"))))</f>
        <v>Por verificar</v>
      </c>
      <c r="EV924" s="142" t="str">
        <f t="shared" si="949"/>
        <v>Por verificar</v>
      </c>
      <c r="EW924" s="142" t="str">
        <f t="shared" ref="EW924:EW935" si="1357">IF(F924="NO","No requiere",IF(H924="No","No requiere",IFERROR(IF(BZ924="","",IF(EA924&lt;&gt;"No aplica",IF(EA924&gt;=1,DO924/EA924,"0%"),"No aplica")),"")))</f>
        <v/>
      </c>
      <c r="EX924" s="147"/>
      <c r="EY924" s="147"/>
    </row>
    <row r="925" spans="1:155" ht="46.5" customHeight="1">
      <c r="A925" s="79">
        <v>921</v>
      </c>
      <c r="B925" s="80" t="s">
        <v>6172</v>
      </c>
      <c r="C925" s="163">
        <v>45564</v>
      </c>
      <c r="D925" s="82">
        <v>0.33333333333333331</v>
      </c>
      <c r="E925" s="79" t="s">
        <v>151</v>
      </c>
      <c r="F925" s="79" t="s">
        <v>153</v>
      </c>
      <c r="G925" s="79" t="s">
        <v>153</v>
      </c>
      <c r="H925" s="79" t="s">
        <v>153</v>
      </c>
      <c r="I925" s="79" t="s">
        <v>152</v>
      </c>
      <c r="J925" s="79" t="s">
        <v>154</v>
      </c>
      <c r="K925" s="79" t="s">
        <v>155</v>
      </c>
      <c r="L925" s="80" t="s">
        <v>4764</v>
      </c>
      <c r="M925" s="80" t="s">
        <v>241</v>
      </c>
      <c r="N925" s="79" t="s">
        <v>5913</v>
      </c>
      <c r="O925" s="80" t="str">
        <f t="shared" si="636"/>
        <v>PENDIENTE, PENDIENTE, PENDIENTE, PENDIENTE, PENDIENTE, PENDIENTE, PENDIENTE, PENDIENTE, PENDIENTE, PENDIENTE, PENDIENTE, PENDIENTE</v>
      </c>
      <c r="P925" s="79" t="s">
        <v>196</v>
      </c>
      <c r="Q925" s="79" t="s">
        <v>196</v>
      </c>
      <c r="R925" s="79" t="s">
        <v>196</v>
      </c>
      <c r="S925" s="79" t="s">
        <v>196</v>
      </c>
      <c r="T925" s="79" t="s">
        <v>196</v>
      </c>
      <c r="U925" s="79" t="s">
        <v>196</v>
      </c>
      <c r="V925" s="79" t="s">
        <v>196</v>
      </c>
      <c r="W925" s="79" t="s">
        <v>196</v>
      </c>
      <c r="X925" s="79" t="s">
        <v>196</v>
      </c>
      <c r="Y925" s="79" t="s">
        <v>196</v>
      </c>
      <c r="Z925" s="79" t="s">
        <v>196</v>
      </c>
      <c r="AA925" s="79" t="s">
        <v>196</v>
      </c>
      <c r="AB925" s="79"/>
      <c r="AC925" s="79"/>
      <c r="AD925" s="79"/>
      <c r="AE925" s="79"/>
      <c r="AF925" s="79"/>
      <c r="AG925" s="79"/>
      <c r="AH925" s="79"/>
      <c r="AI925" s="79"/>
      <c r="AJ925" s="79"/>
      <c r="AK925" s="79"/>
      <c r="AL925" s="79"/>
      <c r="AM925" s="79"/>
      <c r="AN925" s="79"/>
      <c r="AO925" s="79" t="s">
        <v>304</v>
      </c>
      <c r="AP925" s="79"/>
      <c r="AQ925" s="80" t="s">
        <v>171</v>
      </c>
      <c r="AR925" s="80" t="s">
        <v>171</v>
      </c>
      <c r="AS925" s="80" t="s">
        <v>171</v>
      </c>
      <c r="AT925" s="80" t="str">
        <f t="shared" si="950"/>
        <v>Suba</v>
      </c>
      <c r="AU925" s="79" t="s">
        <v>602</v>
      </c>
      <c r="AV925" s="79"/>
      <c r="AW925" s="79"/>
      <c r="AX925" s="79"/>
      <c r="AY925" s="79"/>
      <c r="AZ925" s="79"/>
      <c r="BA925" s="80" t="str">
        <f t="shared" si="1000"/>
        <v>Noroccidente</v>
      </c>
      <c r="BB925" s="79" t="s">
        <v>603</v>
      </c>
      <c r="BC925" s="79"/>
      <c r="BD925" s="79"/>
      <c r="BE925" s="79"/>
      <c r="BF925" s="79"/>
      <c r="BG925" s="79"/>
      <c r="BH925" s="80" t="str">
        <f t="shared" si="1001"/>
        <v>Suba, Suba Rincón, Tibabuyes</v>
      </c>
      <c r="BI925" s="79" t="s">
        <v>602</v>
      </c>
      <c r="BJ925" s="79" t="s">
        <v>604</v>
      </c>
      <c r="BK925" s="79" t="s">
        <v>1378</v>
      </c>
      <c r="BL925" s="79"/>
      <c r="BM925" s="79"/>
      <c r="BN925" s="79"/>
      <c r="BO925" s="79"/>
      <c r="BP925" s="79"/>
      <c r="BQ925" s="79"/>
      <c r="BR925" s="79"/>
      <c r="BS925" s="80" t="s">
        <v>603</v>
      </c>
      <c r="BT925" s="80" t="s">
        <v>6173</v>
      </c>
      <c r="BU925" s="203" t="s">
        <v>196</v>
      </c>
      <c r="BV925" s="71"/>
      <c r="BW925" s="79" t="s">
        <v>153</v>
      </c>
      <c r="BX925" s="79" t="s">
        <v>4242</v>
      </c>
      <c r="BY925" s="71"/>
      <c r="BZ925" s="79"/>
      <c r="CA925" s="79"/>
      <c r="CB925" s="79">
        <f t="shared" si="1256"/>
        <v>0</v>
      </c>
      <c r="CC925" s="79" t="str">
        <f t="shared" si="1354"/>
        <v/>
      </c>
      <c r="CD925" s="79"/>
      <c r="CE925" s="79"/>
      <c r="CF925" s="79"/>
      <c r="CG925" s="83"/>
      <c r="CH925" s="41"/>
      <c r="CI925" s="79"/>
      <c r="CJ925" s="71"/>
      <c r="CK925" s="79">
        <f t="shared" si="1257"/>
        <v>0</v>
      </c>
      <c r="CL925" s="79"/>
      <c r="CM925" s="79"/>
      <c r="CN925" s="79"/>
      <c r="CO925" s="79"/>
      <c r="CP925" s="79"/>
      <c r="CQ925" s="79"/>
      <c r="CR925" s="83"/>
      <c r="CS925" s="83"/>
      <c r="CT925" s="83"/>
      <c r="CU925" s="83"/>
      <c r="CV925" s="83"/>
      <c r="CW925" s="83"/>
      <c r="CX925" s="79"/>
      <c r="CY925" s="79">
        <f t="shared" si="1258"/>
        <v>0</v>
      </c>
      <c r="CZ925" s="79">
        <v>0</v>
      </c>
      <c r="DA925" s="79">
        <f t="shared" si="1259"/>
        <v>0</v>
      </c>
      <c r="DB925" s="84" t="str">
        <f t="shared" si="1346"/>
        <v/>
      </c>
      <c r="DC925" s="41"/>
      <c r="DD925" s="79"/>
      <c r="DE925" s="71"/>
      <c r="DF925" s="160" t="s">
        <v>6174</v>
      </c>
      <c r="DG925" s="79"/>
      <c r="DH925" s="86">
        <f t="shared" si="722"/>
        <v>45567</v>
      </c>
      <c r="DI925" s="79"/>
      <c r="DJ925" s="79"/>
      <c r="DK925" s="79"/>
      <c r="DL925" s="79">
        <v>0</v>
      </c>
      <c r="DM925" s="79">
        <v>0</v>
      </c>
      <c r="DN925" s="79"/>
      <c r="DO925" s="79"/>
      <c r="DP925" s="79"/>
      <c r="DQ925" s="79"/>
      <c r="DR925" s="75" t="e">
        <f t="shared" si="1355"/>
        <v>#DIV/0!</v>
      </c>
      <c r="DS925" s="79"/>
      <c r="DT925" s="79"/>
      <c r="DU925" s="75" t="e">
        <f t="shared" si="1356"/>
        <v>#DIV/0!</v>
      </c>
      <c r="DV925" s="79"/>
      <c r="DW925" s="79"/>
      <c r="DX925" s="79"/>
      <c r="DY925" s="79"/>
      <c r="DZ925" s="79"/>
      <c r="EA925" s="79"/>
      <c r="EB925" s="79"/>
      <c r="EC925" s="79"/>
      <c r="ED925" s="79"/>
      <c r="EE925" s="79" t="str">
        <f t="shared" si="1260"/>
        <v>Por Completar</v>
      </c>
      <c r="EF925" s="41"/>
      <c r="EG925" s="79"/>
      <c r="EH925" s="71"/>
      <c r="EI925" s="80"/>
      <c r="EJ925" s="71"/>
      <c r="EK925" s="79"/>
      <c r="EL925" s="87" t="str">
        <f t="shared" si="942"/>
        <v/>
      </c>
      <c r="EM925" s="87" t="str">
        <f t="shared" si="943"/>
        <v/>
      </c>
      <c r="EN925" s="87" t="str">
        <f t="shared" si="1261"/>
        <v/>
      </c>
      <c r="EO925" s="71"/>
      <c r="EP925" s="84" t="str">
        <f t="shared" si="945"/>
        <v>No aplica</v>
      </c>
      <c r="EQ925" s="88" t="str">
        <f t="shared" si="946"/>
        <v/>
      </c>
      <c r="ER925" s="71"/>
      <c r="ES925" s="79"/>
      <c r="ET925" s="84" t="str">
        <f t="shared" si="947"/>
        <v/>
      </c>
      <c r="EU925" s="84" t="str">
        <f>IF(F925="NO","No requiere",IF(H925="No","No requiere",IF(B925="","",IF(CX925="SÍ",IF(CK925&gt;=1,CY925/CK925,"Sin compromisos"),"Por verificar"))))</f>
        <v>Por verificar</v>
      </c>
      <c r="EV925" s="84" t="str">
        <f t="shared" si="949"/>
        <v>Por verificar</v>
      </c>
      <c r="EW925" s="84" t="str">
        <f t="shared" si="1357"/>
        <v/>
      </c>
      <c r="EX925" s="78"/>
      <c r="EY925" s="78"/>
    </row>
    <row r="926" spans="1:155" ht="46.5" customHeight="1">
      <c r="A926" s="79">
        <v>922</v>
      </c>
      <c r="B926" s="80" t="s">
        <v>503</v>
      </c>
      <c r="C926" s="81">
        <v>45567</v>
      </c>
      <c r="D926" s="82">
        <v>0.375</v>
      </c>
      <c r="E926" s="79" t="s">
        <v>200</v>
      </c>
      <c r="F926" s="79" t="s">
        <v>153</v>
      </c>
      <c r="G926" s="79" t="s">
        <v>152</v>
      </c>
      <c r="H926" s="79" t="s">
        <v>152</v>
      </c>
      <c r="I926" s="79" t="s">
        <v>152</v>
      </c>
      <c r="J926" s="79" t="s">
        <v>504</v>
      </c>
      <c r="K926" s="79" t="s">
        <v>155</v>
      </c>
      <c r="L926" s="80" t="s">
        <v>505</v>
      </c>
      <c r="M926" s="80" t="s">
        <v>624</v>
      </c>
      <c r="N926" s="79" t="s">
        <v>506</v>
      </c>
      <c r="O926" s="80" t="str">
        <f t="shared" ref="O926" si="1358">_xlfn.TEXTJOIN(", ",TRUE,P926:AN926)</f>
        <v/>
      </c>
      <c r="P926" s="79"/>
      <c r="Q926" s="79"/>
      <c r="R926" s="79"/>
      <c r="S926" s="79"/>
      <c r="T926" s="79"/>
      <c r="U926" s="79"/>
      <c r="V926" s="79"/>
      <c r="W926" s="79"/>
      <c r="X926" s="79"/>
      <c r="Y926" s="79"/>
      <c r="Z926" s="79"/>
      <c r="AA926" s="79"/>
      <c r="AB926" s="79"/>
      <c r="AC926" s="79"/>
      <c r="AD926" s="79"/>
      <c r="AE926" s="79"/>
      <c r="AF926" s="79"/>
      <c r="AG926" s="79"/>
      <c r="AH926" s="79"/>
      <c r="AI926" s="79"/>
      <c r="AJ926" s="79"/>
      <c r="AK926" s="79"/>
      <c r="AL926" s="79"/>
      <c r="AM926" s="79"/>
      <c r="AN926" s="79"/>
      <c r="AO926" s="79" t="s">
        <v>169</v>
      </c>
      <c r="AP926" s="79" t="s">
        <v>2702</v>
      </c>
      <c r="AQ926" s="80" t="s">
        <v>6175</v>
      </c>
      <c r="AR926" s="83" t="s">
        <v>6176</v>
      </c>
      <c r="AS926" s="80" t="s">
        <v>6000</v>
      </c>
      <c r="AT926" s="80" t="str">
        <f t="shared" si="950"/>
        <v>Sumapaz</v>
      </c>
      <c r="AU926" s="79" t="s">
        <v>510</v>
      </c>
      <c r="AV926" s="79"/>
      <c r="AW926" s="79"/>
      <c r="AX926" s="79"/>
      <c r="AY926" s="79"/>
      <c r="AZ926" s="79"/>
      <c r="BA926" s="80" t="str">
        <f t="shared" si="1000"/>
        <v>Ruralidad</v>
      </c>
      <c r="BB926" s="79" t="s">
        <v>219</v>
      </c>
      <c r="BC926" s="79"/>
      <c r="BD926" s="79"/>
      <c r="BE926" s="79"/>
      <c r="BF926" s="79"/>
      <c r="BG926" s="79"/>
      <c r="BH926" s="80" t="str">
        <f t="shared" si="1001"/>
        <v>Sumapaz</v>
      </c>
      <c r="BI926" s="79" t="s">
        <v>510</v>
      </c>
      <c r="BJ926" s="79"/>
      <c r="BK926" s="79"/>
      <c r="BL926" s="79"/>
      <c r="BM926" s="79"/>
      <c r="BN926" s="79"/>
      <c r="BO926" s="79"/>
      <c r="BP926" s="79"/>
      <c r="BQ926" s="79"/>
      <c r="BR926" s="79"/>
      <c r="BS926" s="80" t="s">
        <v>179</v>
      </c>
      <c r="BT926" s="315" t="s">
        <v>2447</v>
      </c>
      <c r="BU926" s="80" t="s">
        <v>6177</v>
      </c>
      <c r="BV926" s="71"/>
      <c r="BW926" s="79" t="s">
        <v>152</v>
      </c>
      <c r="BX926" s="79" t="s">
        <v>179</v>
      </c>
      <c r="BY926" s="71"/>
      <c r="BZ926" s="79"/>
      <c r="CA926" s="79"/>
      <c r="CB926" s="79">
        <f t="shared" si="1256"/>
        <v>0</v>
      </c>
      <c r="CC926" s="79" t="str">
        <f t="shared" si="382"/>
        <v/>
      </c>
      <c r="CD926" s="79"/>
      <c r="CE926" s="79"/>
      <c r="CF926" s="79"/>
      <c r="CG926" s="83"/>
      <c r="CH926" s="41"/>
      <c r="CI926" s="79"/>
      <c r="CJ926" s="71"/>
      <c r="CK926" s="79">
        <f t="shared" si="1257"/>
        <v>0</v>
      </c>
      <c r="CL926" s="79"/>
      <c r="CM926" s="79"/>
      <c r="CN926" s="79"/>
      <c r="CO926" s="79"/>
      <c r="CP926" s="79"/>
      <c r="CQ926" s="79"/>
      <c r="CR926" s="83"/>
      <c r="CS926" s="83"/>
      <c r="CT926" s="83"/>
      <c r="CU926" s="83"/>
      <c r="CV926" s="83"/>
      <c r="CW926" s="83"/>
      <c r="CX926" s="79"/>
      <c r="CY926" s="79">
        <f t="shared" si="1258"/>
        <v>0</v>
      </c>
      <c r="CZ926" s="79">
        <v>0</v>
      </c>
      <c r="DA926" s="79">
        <f t="shared" si="1259"/>
        <v>0</v>
      </c>
      <c r="DB926" s="84" t="str">
        <f t="shared" si="1346"/>
        <v/>
      </c>
      <c r="DC926" s="41"/>
      <c r="DD926" s="79"/>
      <c r="DE926" s="71"/>
      <c r="DF926" s="127" t="s">
        <v>6178</v>
      </c>
      <c r="DG926" s="79"/>
      <c r="DH926" s="86">
        <f t="shared" ref="DH926" si="1359">IF(EE926="Por completar",C926+3,"Completo")</f>
        <v>45570</v>
      </c>
      <c r="DI926" s="79"/>
      <c r="DJ926" s="79"/>
      <c r="DK926" s="79"/>
      <c r="DL926" s="79">
        <v>0</v>
      </c>
      <c r="DM926" s="79">
        <v>0</v>
      </c>
      <c r="DN926" s="79"/>
      <c r="DO926" s="79"/>
      <c r="DP926" s="79"/>
      <c r="DQ926" s="79"/>
      <c r="DR926" s="75" t="str">
        <f t="shared" ref="DR926" si="1360">IF(H926="SÍ", (DQ926/(BZ926*0.3)), "No aplica")</f>
        <v>No aplica</v>
      </c>
      <c r="DS926" s="79"/>
      <c r="DT926" s="79"/>
      <c r="DU926" s="75" t="str">
        <f t="shared" ref="DU926" si="1361">IF(H926="SÍ", (DT926/(BZ926*0.35)), "No aplica")</f>
        <v>No aplica</v>
      </c>
      <c r="DV926" s="79"/>
      <c r="DW926" s="79"/>
      <c r="DX926" s="79"/>
      <c r="DY926" s="79"/>
      <c r="DZ926" s="79"/>
      <c r="EA926" s="79"/>
      <c r="EB926" s="79"/>
      <c r="EC926" s="79"/>
      <c r="ED926" s="79"/>
      <c r="EE926" s="79" t="str">
        <f t="shared" si="1260"/>
        <v>Por Completar</v>
      </c>
      <c r="EF926" s="41"/>
      <c r="EG926" s="79"/>
      <c r="EH926" s="71"/>
      <c r="EI926" s="80"/>
      <c r="EJ926" s="71"/>
      <c r="EK926" s="79"/>
      <c r="EL926" s="87" t="str">
        <f t="shared" ref="EL926" si="1362">IF(F926="NO","No requiere",IF(H926="No","No requiere",IF(DW926="","",IF(DW926&lt;&gt;"No aplica",IF(DX926&lt;&gt;"No aplica",IF(DX926&gt;=2,"Sí","No"),"No aplica"),"No aplica"))))</f>
        <v>No requiere</v>
      </c>
      <c r="EM926" s="87" t="str">
        <f t="shared" ref="EM926" si="1363">IF(F926="NO","No requiere",IF(H926="No","No requiere",IF(DW926="","",IF(DW926&lt;&gt;"No aplica",IF(DY926&lt;&gt;"No aplica",IF(DY926&gt;=1,"Sí","No"),"No aplica"),"No aplica"))))</f>
        <v>No requiere</v>
      </c>
      <c r="EN926" s="87" t="str">
        <f t="shared" si="1261"/>
        <v>No requiere</v>
      </c>
      <c r="EO926" s="71"/>
      <c r="EP926" s="84" t="str">
        <f t="shared" ref="EP926" si="1364">IF(F926="NO","No requiere",IF(H926="No","No requiere",IF(DL926="","",IF(DL926&gt;=1,DM926/DL926,"No aplica"))))</f>
        <v>No requiere</v>
      </c>
      <c r="EQ926" s="88" t="str">
        <f t="shared" ref="EQ926" si="1365">IFERROR(IF(F926="NO","No requiere",IF(H926="No","No requiere",DU926)),"")</f>
        <v>No requiere</v>
      </c>
      <c r="ER926" s="71"/>
      <c r="ES926" s="79"/>
      <c r="ET926" s="84" t="str">
        <f t="shared" ref="ET926" si="1366">IF(F926="NO","No requiere",IF(H926="No","No requiere",IFERROR(COUNTIF(DJ926:DW926,"Completo")/SUM(COUNTIF(DJ926:DW926,"Completo"),COUNTIF(DJ926:DW926,"Incompleto"),COUNTIF(DJ926:DW926,"No subido"),COUNTIF(DJ926:DW926,"No existente"),COUNTIF(DJ926:DW926,"Pendiente")),"")))</f>
        <v>No requiere</v>
      </c>
      <c r="EU926" s="84" t="str">
        <f>IF(F926="NO","No requiere",IF(H926="No","No requiere",IF(#REF!="","",IF(CX926="SÍ",IF(CK926&gt;=1,CY926/CK926,"Sin compromisos"),"Por verificar"))))</f>
        <v>No requiere</v>
      </c>
      <c r="EV926" s="84" t="str">
        <f t="shared" ref="EV926" si="1367">IF(EU926="Por verificar","Por verificar",IF(F926="NO","No requiere",IF(H926="No","No requiere",IFERROR(IF(EU926="","",IF(CK926&gt;=1,DA926/CZ926,"No aplica")),"No aplica"))))</f>
        <v>No requiere</v>
      </c>
      <c r="EW926" s="84" t="str">
        <f t="shared" ref="EW926" si="1368">IF(F926="NO","No requiere",IF(H926="No","No requiere",IFERROR(IF(BZ926="","",IF(EA926&lt;&gt;"No aplica",IF(EA926&gt;=1,DO926/EA926,"0%"),"No aplica")),"")))</f>
        <v>No requiere</v>
      </c>
      <c r="EX926" s="78"/>
      <c r="EY926" s="78"/>
    </row>
    <row r="927" spans="1:155" ht="12.75" customHeight="1">
      <c r="A927" s="79" t="str">
        <v/>
      </c>
      <c r="B927" s="80"/>
      <c r="C927" s="81"/>
      <c r="D927" s="82"/>
      <c r="E927" s="79"/>
      <c r="F927" s="79"/>
      <c r="G927" s="79"/>
      <c r="H927" s="79"/>
      <c r="I927" s="79"/>
      <c r="J927" s="79"/>
      <c r="K927" s="79"/>
      <c r="L927" s="80"/>
      <c r="M927" s="80"/>
      <c r="N927" s="79"/>
      <c r="O927" s="80" t="str">
        <f t="shared" si="636"/>
        <v/>
      </c>
      <c r="P927" s="79"/>
      <c r="Q927" s="79"/>
      <c r="R927" s="79"/>
      <c r="S927" s="79"/>
      <c r="T927" s="79"/>
      <c r="U927" s="79"/>
      <c r="V927" s="79"/>
      <c r="W927" s="79"/>
      <c r="X927" s="79"/>
      <c r="Y927" s="79"/>
      <c r="Z927" s="79"/>
      <c r="AA927" s="79"/>
      <c r="AB927" s="79"/>
      <c r="AC927" s="79"/>
      <c r="AD927" s="79"/>
      <c r="AE927" s="79"/>
      <c r="AF927" s="79"/>
      <c r="AG927" s="79"/>
      <c r="AH927" s="79"/>
      <c r="AI927" s="79"/>
      <c r="AJ927" s="79"/>
      <c r="AK927" s="79"/>
      <c r="AL927" s="79"/>
      <c r="AM927" s="79"/>
      <c r="AN927" s="79"/>
      <c r="AO927" s="79"/>
      <c r="AP927" s="79"/>
      <c r="AQ927" s="80"/>
      <c r="AR927" s="83"/>
      <c r="AS927" s="80"/>
      <c r="AT927" s="80" t="str">
        <f t="shared" si="950"/>
        <v/>
      </c>
      <c r="AU927" s="79"/>
      <c r="AV927" s="79"/>
      <c r="AW927" s="79"/>
      <c r="AX927" s="79"/>
      <c r="AY927" s="79"/>
      <c r="AZ927" s="79"/>
      <c r="BA927" s="80" t="str">
        <f t="shared" si="1000"/>
        <v/>
      </c>
      <c r="BB927" s="79"/>
      <c r="BC927" s="79"/>
      <c r="BD927" s="79"/>
      <c r="BE927" s="79"/>
      <c r="BF927" s="79"/>
      <c r="BG927" s="79"/>
      <c r="BH927" s="80" t="str">
        <f t="shared" si="1001"/>
        <v/>
      </c>
      <c r="BI927" s="79"/>
      <c r="BJ927" s="79"/>
      <c r="BK927" s="79"/>
      <c r="BL927" s="79"/>
      <c r="BM927" s="79"/>
      <c r="BN927" s="79"/>
      <c r="BO927" s="79"/>
      <c r="BP927" s="79"/>
      <c r="BQ927" s="79"/>
      <c r="BR927" s="79"/>
      <c r="BS927" s="80"/>
      <c r="BT927" s="80"/>
      <c r="BU927" s="80"/>
      <c r="BV927" s="71"/>
      <c r="BW927" s="79"/>
      <c r="BX927" s="79"/>
      <c r="BY927" s="71"/>
      <c r="BZ927" s="79"/>
      <c r="CA927" s="79"/>
      <c r="CB927" s="79">
        <f t="shared" si="281"/>
        <v>0</v>
      </c>
      <c r="CC927" s="79" t="str">
        <f t="shared" si="382"/>
        <v/>
      </c>
      <c r="CD927" s="79"/>
      <c r="CE927" s="79"/>
      <c r="CF927" s="79"/>
      <c r="CG927" s="83"/>
      <c r="CH927" s="41"/>
      <c r="CI927" s="79"/>
      <c r="CJ927" s="71"/>
      <c r="CK927" s="79">
        <f t="shared" si="377"/>
        <v>0</v>
      </c>
      <c r="CL927" s="79"/>
      <c r="CM927" s="79"/>
      <c r="CN927" s="79"/>
      <c r="CO927" s="79"/>
      <c r="CP927" s="79"/>
      <c r="CQ927" s="79"/>
      <c r="CR927" s="83"/>
      <c r="CS927" s="83"/>
      <c r="CT927" s="83"/>
      <c r="CU927" s="83"/>
      <c r="CV927" s="83"/>
      <c r="CW927" s="83"/>
      <c r="CX927" s="79"/>
      <c r="CY927" s="79">
        <f t="shared" si="358"/>
        <v>0</v>
      </c>
      <c r="CZ927" s="79">
        <v>0</v>
      </c>
      <c r="DA927" s="79">
        <f t="shared" si="359"/>
        <v>0</v>
      </c>
      <c r="DB927" s="84" t="str">
        <f t="shared" si="364"/>
        <v/>
      </c>
      <c r="DC927" s="41"/>
      <c r="DD927" s="79"/>
      <c r="DE927" s="71"/>
      <c r="DF927" s="161"/>
      <c r="DG927" s="79"/>
      <c r="DH927" s="86">
        <f t="shared" si="722"/>
        <v>3</v>
      </c>
      <c r="DI927" s="79"/>
      <c r="DJ927" s="79"/>
      <c r="DK927" s="79"/>
      <c r="DL927" s="79">
        <v>0</v>
      </c>
      <c r="DM927" s="79">
        <v>0</v>
      </c>
      <c r="DN927" s="79"/>
      <c r="DO927" s="79"/>
      <c r="DP927" s="79"/>
      <c r="DQ927" s="79"/>
      <c r="DR927" s="75" t="str">
        <f t="shared" si="1355"/>
        <v>No aplica</v>
      </c>
      <c r="DS927" s="79"/>
      <c r="DT927" s="79"/>
      <c r="DU927" s="75" t="str">
        <f t="shared" si="1356"/>
        <v>No aplica</v>
      </c>
      <c r="DV927" s="79"/>
      <c r="DW927" s="79"/>
      <c r="DX927" s="79"/>
      <c r="DY927" s="79"/>
      <c r="DZ927" s="79"/>
      <c r="EA927" s="79"/>
      <c r="EB927" s="79"/>
      <c r="EC927" s="79"/>
      <c r="ED927" s="79"/>
      <c r="EE927" s="79" t="str">
        <f t="shared" si="384"/>
        <v>Por Completar</v>
      </c>
      <c r="EF927" s="41"/>
      <c r="EG927" s="79"/>
      <c r="EH927" s="71"/>
      <c r="EI927" s="80"/>
      <c r="EJ927" s="71"/>
      <c r="EK927" s="79"/>
      <c r="EL927" s="87" t="str">
        <f t="shared" si="942"/>
        <v/>
      </c>
      <c r="EM927" s="87" t="str">
        <f t="shared" si="943"/>
        <v/>
      </c>
      <c r="EN927" s="87" t="str">
        <f t="shared" si="715"/>
        <v/>
      </c>
      <c r="EO927" s="71"/>
      <c r="EP927" s="84" t="str">
        <f t="shared" si="945"/>
        <v>No aplica</v>
      </c>
      <c r="EQ927" s="88" t="str">
        <f t="shared" si="946"/>
        <v>No aplica</v>
      </c>
      <c r="ER927" s="71"/>
      <c r="ES927" s="79"/>
      <c r="ET927" s="84" t="str">
        <f t="shared" si="947"/>
        <v/>
      </c>
      <c r="EU927" s="84" t="e">
        <f>IF(F927="NO","No requiere",IF(H927="No","No requiere",IF(#REF!="","",IF(CX927="SÍ",IF(CK927&gt;=1,CY927/CK927,"Sin compromisos"),"Por verificar"))))</f>
        <v>#REF!</v>
      </c>
      <c r="EV927" s="84" t="e">
        <f t="shared" si="949"/>
        <v>#REF!</v>
      </c>
      <c r="EW927" s="84" t="str">
        <f t="shared" si="1357"/>
        <v/>
      </c>
      <c r="EX927" s="78"/>
      <c r="EY927" s="78"/>
    </row>
    <row r="928" spans="1:155" ht="12.75" customHeight="1">
      <c r="A928" s="79" t="str">
        <v/>
      </c>
      <c r="B928" s="80"/>
      <c r="C928" s="81"/>
      <c r="D928" s="82"/>
      <c r="E928" s="79"/>
      <c r="F928" s="79"/>
      <c r="G928" s="79"/>
      <c r="H928" s="79"/>
      <c r="I928" s="79"/>
      <c r="J928" s="79"/>
      <c r="K928" s="79"/>
      <c r="L928" s="80"/>
      <c r="M928" s="80"/>
      <c r="N928" s="79"/>
      <c r="O928" s="80"/>
      <c r="P928" s="79"/>
      <c r="Q928" s="79"/>
      <c r="R928" s="79"/>
      <c r="S928" s="79"/>
      <c r="T928" s="79"/>
      <c r="U928" s="79"/>
      <c r="V928" s="79"/>
      <c r="W928" s="79"/>
      <c r="X928" s="79"/>
      <c r="Y928" s="79"/>
      <c r="Z928" s="79"/>
      <c r="AA928" s="79"/>
      <c r="AB928" s="79"/>
      <c r="AC928" s="79"/>
      <c r="AD928" s="79"/>
      <c r="AE928" s="79"/>
      <c r="AF928" s="79"/>
      <c r="AG928" s="79"/>
      <c r="AH928" s="79"/>
      <c r="AI928" s="79"/>
      <c r="AJ928" s="79"/>
      <c r="AK928" s="79"/>
      <c r="AL928" s="79"/>
      <c r="AM928" s="79"/>
      <c r="AN928" s="79"/>
      <c r="AO928" s="79"/>
      <c r="AP928" s="79"/>
      <c r="AQ928" s="80"/>
      <c r="AR928" s="83"/>
      <c r="AS928" s="80"/>
      <c r="AT928" s="80"/>
      <c r="AU928" s="79"/>
      <c r="AV928" s="79"/>
      <c r="AW928" s="79"/>
      <c r="AX928" s="79"/>
      <c r="AY928" s="79"/>
      <c r="AZ928" s="79"/>
      <c r="BA928" s="80"/>
      <c r="BB928" s="79"/>
      <c r="BC928" s="79"/>
      <c r="BD928" s="79"/>
      <c r="BE928" s="79"/>
      <c r="BF928" s="79"/>
      <c r="BG928" s="79"/>
      <c r="BH928" s="80"/>
      <c r="BI928" s="79"/>
      <c r="BJ928" s="79"/>
      <c r="BK928" s="79"/>
      <c r="BL928" s="79"/>
      <c r="BM928" s="79"/>
      <c r="BN928" s="79"/>
      <c r="BO928" s="79"/>
      <c r="BP928" s="79"/>
      <c r="BQ928" s="79"/>
      <c r="BR928" s="79"/>
      <c r="BS928" s="80"/>
      <c r="BT928" s="80"/>
      <c r="BU928" s="80"/>
      <c r="BV928" s="71"/>
      <c r="BW928" s="79"/>
      <c r="BX928" s="79"/>
      <c r="BY928" s="71"/>
      <c r="BZ928" s="79"/>
      <c r="CA928" s="79"/>
      <c r="CB928" s="79"/>
      <c r="CC928" s="79"/>
      <c r="CD928" s="79"/>
      <c r="CE928" s="79"/>
      <c r="CF928" s="79"/>
      <c r="CG928" s="83"/>
      <c r="CH928" s="41"/>
      <c r="CI928" s="79"/>
      <c r="CJ928" s="71"/>
      <c r="CK928" s="79"/>
      <c r="CL928" s="79"/>
      <c r="CM928" s="79"/>
      <c r="CN928" s="79"/>
      <c r="CO928" s="79"/>
      <c r="CP928" s="79"/>
      <c r="CQ928" s="79"/>
      <c r="CR928" s="83"/>
      <c r="CS928" s="83"/>
      <c r="CT928" s="83"/>
      <c r="CU928" s="83"/>
      <c r="CV928" s="83"/>
      <c r="CW928" s="83"/>
      <c r="CX928" s="79"/>
      <c r="CY928" s="79"/>
      <c r="CZ928" s="79"/>
      <c r="DA928" s="79"/>
      <c r="DB928" s="84"/>
      <c r="DC928" s="41"/>
      <c r="DD928" s="79"/>
      <c r="DE928" s="71"/>
      <c r="DF928" s="161"/>
      <c r="DG928" s="79"/>
      <c r="DH928" s="86"/>
      <c r="DI928" s="79"/>
      <c r="DJ928" s="79"/>
      <c r="DK928" s="79"/>
      <c r="DL928" s="79"/>
      <c r="DM928" s="79"/>
      <c r="DN928" s="79"/>
      <c r="DO928" s="79"/>
      <c r="DP928" s="79"/>
      <c r="DQ928" s="79"/>
      <c r="DR928" s="75"/>
      <c r="DS928" s="79"/>
      <c r="DT928" s="79"/>
      <c r="DU928" s="75"/>
      <c r="DV928" s="79"/>
      <c r="DW928" s="79"/>
      <c r="DX928" s="79"/>
      <c r="DY928" s="79"/>
      <c r="DZ928" s="79"/>
      <c r="EA928" s="79"/>
      <c r="EB928" s="79"/>
      <c r="EC928" s="79"/>
      <c r="ED928" s="79"/>
      <c r="EE928" s="79"/>
      <c r="EF928" s="41"/>
      <c r="EG928" s="79"/>
      <c r="EH928" s="71"/>
      <c r="EI928" s="80"/>
      <c r="EJ928" s="71"/>
      <c r="EK928" s="79"/>
      <c r="EL928" s="87"/>
      <c r="EM928" s="87"/>
      <c r="EN928" s="87"/>
      <c r="EO928" s="71"/>
      <c r="EP928" s="84"/>
      <c r="EQ928" s="88"/>
      <c r="ER928" s="71"/>
      <c r="ES928" s="79"/>
      <c r="ET928" s="84"/>
      <c r="EU928" s="84"/>
      <c r="EV928" s="84"/>
      <c r="EW928" s="84"/>
      <c r="EX928" s="78"/>
      <c r="EY928" s="78"/>
    </row>
    <row r="929" spans="1:155" ht="12.75" customHeight="1">
      <c r="A929" s="79" t="str">
        <v/>
      </c>
      <c r="B929" s="80"/>
      <c r="C929" s="81"/>
      <c r="D929" s="82"/>
      <c r="E929" s="79"/>
      <c r="F929" s="79"/>
      <c r="G929" s="79"/>
      <c r="H929" s="79"/>
      <c r="I929" s="79"/>
      <c r="J929" s="79"/>
      <c r="K929" s="79"/>
      <c r="L929" s="80"/>
      <c r="M929" s="80"/>
      <c r="N929" s="79"/>
      <c r="O929" s="80" t="str">
        <f t="shared" si="636"/>
        <v/>
      </c>
      <c r="P929" s="79"/>
      <c r="Q929" s="79"/>
      <c r="R929" s="79"/>
      <c r="S929" s="79"/>
      <c r="T929" s="79"/>
      <c r="U929" s="79"/>
      <c r="V929" s="79"/>
      <c r="W929" s="79"/>
      <c r="X929" s="79"/>
      <c r="Y929" s="79"/>
      <c r="Z929" s="79"/>
      <c r="AA929" s="79"/>
      <c r="AB929" s="79"/>
      <c r="AC929" s="79"/>
      <c r="AD929" s="79"/>
      <c r="AE929" s="79"/>
      <c r="AF929" s="79"/>
      <c r="AG929" s="79"/>
      <c r="AH929" s="79"/>
      <c r="AI929" s="79"/>
      <c r="AJ929" s="79"/>
      <c r="AK929" s="79"/>
      <c r="AL929" s="79"/>
      <c r="AM929" s="79"/>
      <c r="AN929" s="79"/>
      <c r="AO929" s="79"/>
      <c r="AP929" s="79"/>
      <c r="AQ929" s="80"/>
      <c r="AR929" s="83"/>
      <c r="AS929" s="80"/>
      <c r="AT929" s="80" t="str">
        <f t="shared" si="950"/>
        <v/>
      </c>
      <c r="AU929" s="79"/>
      <c r="AV929" s="79"/>
      <c r="AW929" s="79"/>
      <c r="AX929" s="79"/>
      <c r="AY929" s="79"/>
      <c r="AZ929" s="79"/>
      <c r="BA929" s="80" t="str">
        <f t="shared" si="1000"/>
        <v/>
      </c>
      <c r="BB929" s="79"/>
      <c r="BC929" s="79"/>
      <c r="BD929" s="79"/>
      <c r="BE929" s="79"/>
      <c r="BF929" s="79"/>
      <c r="BG929" s="79"/>
      <c r="BH929" s="80" t="str">
        <f t="shared" si="1001"/>
        <v/>
      </c>
      <c r="BI929" s="79"/>
      <c r="BJ929" s="79"/>
      <c r="BK929" s="79"/>
      <c r="BL929" s="79"/>
      <c r="BM929" s="79"/>
      <c r="BN929" s="79"/>
      <c r="BO929" s="79"/>
      <c r="BP929" s="79"/>
      <c r="BQ929" s="79"/>
      <c r="BR929" s="79"/>
      <c r="BS929" s="80"/>
      <c r="BT929" s="80"/>
      <c r="BU929" s="80"/>
      <c r="BV929" s="71"/>
      <c r="BW929" s="79"/>
      <c r="BX929" s="79"/>
      <c r="BY929" s="71"/>
      <c r="BZ929" s="79"/>
      <c r="CA929" s="79"/>
      <c r="CB929" s="79">
        <f t="shared" si="281"/>
        <v>0</v>
      </c>
      <c r="CC929" s="79" t="str">
        <f t="shared" si="382"/>
        <v/>
      </c>
      <c r="CD929" s="79"/>
      <c r="CE929" s="79"/>
      <c r="CF929" s="79"/>
      <c r="CG929" s="83"/>
      <c r="CH929" s="41"/>
      <c r="CI929" s="79"/>
      <c r="CJ929" s="71"/>
      <c r="CK929" s="79">
        <f t="shared" si="377"/>
        <v>0</v>
      </c>
      <c r="CL929" s="79"/>
      <c r="CM929" s="79"/>
      <c r="CN929" s="79"/>
      <c r="CO929" s="79"/>
      <c r="CP929" s="79"/>
      <c r="CQ929" s="79"/>
      <c r="CR929" s="83"/>
      <c r="CS929" s="83"/>
      <c r="CT929" s="83"/>
      <c r="CU929" s="83"/>
      <c r="CV929" s="83"/>
      <c r="CW929" s="83"/>
      <c r="CX929" s="79"/>
      <c r="CY929" s="79">
        <f t="shared" si="358"/>
        <v>0</v>
      </c>
      <c r="CZ929" s="79">
        <v>0</v>
      </c>
      <c r="DA929" s="79">
        <f t="shared" si="359"/>
        <v>0</v>
      </c>
      <c r="DB929" s="84" t="str">
        <f t="shared" si="364"/>
        <v/>
      </c>
      <c r="DC929" s="41"/>
      <c r="DD929" s="79"/>
      <c r="DE929" s="71"/>
      <c r="DF929" s="161"/>
      <c r="DG929" s="79"/>
      <c r="DH929" s="86">
        <f t="shared" si="722"/>
        <v>3</v>
      </c>
      <c r="DI929" s="79"/>
      <c r="DJ929" s="79"/>
      <c r="DK929" s="79"/>
      <c r="DL929" s="79">
        <v>0</v>
      </c>
      <c r="DM929" s="79">
        <v>0</v>
      </c>
      <c r="DN929" s="79"/>
      <c r="DO929" s="79"/>
      <c r="DP929" s="79"/>
      <c r="DQ929" s="79"/>
      <c r="DR929" s="75" t="str">
        <f t="shared" si="1355"/>
        <v>No aplica</v>
      </c>
      <c r="DS929" s="79"/>
      <c r="DT929" s="79"/>
      <c r="DU929" s="75" t="str">
        <f t="shared" si="1356"/>
        <v>No aplica</v>
      </c>
      <c r="DV929" s="79"/>
      <c r="DW929" s="79"/>
      <c r="DX929" s="79"/>
      <c r="DY929" s="79"/>
      <c r="DZ929" s="79"/>
      <c r="EA929" s="79"/>
      <c r="EB929" s="79"/>
      <c r="EC929" s="79"/>
      <c r="ED929" s="79"/>
      <c r="EE929" s="79" t="str">
        <f t="shared" si="384"/>
        <v>Por Completar</v>
      </c>
      <c r="EF929" s="41"/>
      <c r="EG929" s="79"/>
      <c r="EH929" s="71"/>
      <c r="EI929" s="80"/>
      <c r="EJ929" s="71"/>
      <c r="EK929" s="79"/>
      <c r="EL929" s="87" t="str">
        <f t="shared" si="942"/>
        <v/>
      </c>
      <c r="EM929" s="87" t="str">
        <f t="shared" si="943"/>
        <v/>
      </c>
      <c r="EN929" s="87" t="str">
        <f t="shared" si="715"/>
        <v/>
      </c>
      <c r="EO929" s="71"/>
      <c r="EP929" s="84" t="str">
        <f t="shared" si="945"/>
        <v>No aplica</v>
      </c>
      <c r="EQ929" s="88" t="str">
        <f t="shared" si="946"/>
        <v>No aplica</v>
      </c>
      <c r="ER929" s="71"/>
      <c r="ES929" s="79"/>
      <c r="ET929" s="84" t="str">
        <f t="shared" si="947"/>
        <v/>
      </c>
      <c r="EU929" s="84" t="str">
        <f>IF(F929="NO","No requiere",IF(H929="No","No requiere",IF(B927="","",IF(CX929="SÍ",IF(CK929&gt;=1,CY929/CK929,"Sin compromisos"),"Por verificar"))))</f>
        <v/>
      </c>
      <c r="EV929" s="84" t="str">
        <f t="shared" si="949"/>
        <v/>
      </c>
      <c r="EW929" s="84" t="str">
        <f t="shared" si="1357"/>
        <v/>
      </c>
      <c r="EX929" s="78"/>
      <c r="EY929" s="78"/>
    </row>
    <row r="930" spans="1:155" ht="12.75" customHeight="1">
      <c r="A930" s="79" t="str">
        <v/>
      </c>
      <c r="B930" s="80"/>
      <c r="C930" s="81"/>
      <c r="D930" s="82"/>
      <c r="E930" s="79"/>
      <c r="F930" s="79"/>
      <c r="G930" s="79"/>
      <c r="H930" s="79"/>
      <c r="I930" s="79"/>
      <c r="J930" s="79"/>
      <c r="K930" s="79"/>
      <c r="L930" s="80"/>
      <c r="M930" s="80"/>
      <c r="N930" s="79"/>
      <c r="O930" s="80" t="str">
        <f t="shared" si="636"/>
        <v/>
      </c>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80"/>
      <c r="AR930" s="83"/>
      <c r="AS930" s="80"/>
      <c r="AT930" s="80" t="str">
        <f t="shared" si="950"/>
        <v/>
      </c>
      <c r="AU930" s="79"/>
      <c r="AV930" s="79"/>
      <c r="AW930" s="79"/>
      <c r="AX930" s="79"/>
      <c r="AY930" s="79"/>
      <c r="AZ930" s="79"/>
      <c r="BA930" s="80" t="str">
        <f t="shared" si="1000"/>
        <v/>
      </c>
      <c r="BB930" s="79"/>
      <c r="BC930" s="79"/>
      <c r="BD930" s="79"/>
      <c r="BE930" s="79"/>
      <c r="BF930" s="79"/>
      <c r="BG930" s="79"/>
      <c r="BH930" s="80" t="str">
        <f t="shared" si="1001"/>
        <v/>
      </c>
      <c r="BI930" s="79"/>
      <c r="BJ930" s="79"/>
      <c r="BK930" s="79"/>
      <c r="BL930" s="79"/>
      <c r="BM930" s="79"/>
      <c r="BN930" s="79"/>
      <c r="BO930" s="79"/>
      <c r="BP930" s="79"/>
      <c r="BQ930" s="79"/>
      <c r="BR930" s="79"/>
      <c r="BS930" s="80"/>
      <c r="BT930" s="80"/>
      <c r="BU930" s="80"/>
      <c r="BV930" s="71"/>
      <c r="BW930" s="79"/>
      <c r="BX930" s="79"/>
      <c r="BY930" s="71"/>
      <c r="BZ930" s="79"/>
      <c r="CA930" s="79"/>
      <c r="CB930" s="79">
        <f t="shared" si="281"/>
        <v>0</v>
      </c>
      <c r="CC930" s="79" t="str">
        <f t="shared" si="382"/>
        <v/>
      </c>
      <c r="CD930" s="79"/>
      <c r="CE930" s="79"/>
      <c r="CF930" s="79"/>
      <c r="CG930" s="83"/>
      <c r="CH930" s="41"/>
      <c r="CI930" s="79"/>
      <c r="CJ930" s="71"/>
      <c r="CK930" s="79">
        <f t="shared" si="377"/>
        <v>0</v>
      </c>
      <c r="CL930" s="79"/>
      <c r="CM930" s="79"/>
      <c r="CN930" s="79"/>
      <c r="CO930" s="79"/>
      <c r="CP930" s="79"/>
      <c r="CQ930" s="79"/>
      <c r="CR930" s="83"/>
      <c r="CS930" s="83"/>
      <c r="CT930" s="83"/>
      <c r="CU930" s="83"/>
      <c r="CV930" s="83"/>
      <c r="CW930" s="83"/>
      <c r="CX930" s="79"/>
      <c r="CY930" s="79">
        <f t="shared" si="358"/>
        <v>0</v>
      </c>
      <c r="CZ930" s="79">
        <v>0</v>
      </c>
      <c r="DA930" s="79">
        <f t="shared" si="359"/>
        <v>0</v>
      </c>
      <c r="DB930" s="84" t="str">
        <f t="shared" si="364"/>
        <v/>
      </c>
      <c r="DC930" s="41"/>
      <c r="DD930" s="79"/>
      <c r="DE930" s="71"/>
      <c r="DF930" s="79"/>
      <c r="DG930" s="79"/>
      <c r="DH930" s="86">
        <f t="shared" si="722"/>
        <v>3</v>
      </c>
      <c r="DI930" s="79"/>
      <c r="DJ930" s="79"/>
      <c r="DK930" s="79"/>
      <c r="DL930" s="79">
        <v>0</v>
      </c>
      <c r="DM930" s="79">
        <v>0</v>
      </c>
      <c r="DN930" s="79"/>
      <c r="DO930" s="79"/>
      <c r="DP930" s="79"/>
      <c r="DQ930" s="79"/>
      <c r="DR930" s="75" t="str">
        <f t="shared" si="1355"/>
        <v>No aplica</v>
      </c>
      <c r="DS930" s="79"/>
      <c r="DT930" s="79"/>
      <c r="DU930" s="75" t="str">
        <f t="shared" si="1356"/>
        <v>No aplica</v>
      </c>
      <c r="DV930" s="79"/>
      <c r="DW930" s="79"/>
      <c r="DX930" s="79"/>
      <c r="DY930" s="79"/>
      <c r="DZ930" s="79"/>
      <c r="EA930" s="79"/>
      <c r="EB930" s="79"/>
      <c r="EC930" s="79"/>
      <c r="ED930" s="79"/>
      <c r="EE930" s="79" t="str">
        <f t="shared" si="384"/>
        <v>Por Completar</v>
      </c>
      <c r="EF930" s="41"/>
      <c r="EG930" s="79"/>
      <c r="EH930" s="71"/>
      <c r="EI930" s="80"/>
      <c r="EJ930" s="71"/>
      <c r="EK930" s="79"/>
      <c r="EL930" s="87" t="str">
        <f t="shared" si="942"/>
        <v/>
      </c>
      <c r="EM930" s="87" t="str">
        <f t="shared" si="943"/>
        <v/>
      </c>
      <c r="EN930" s="87" t="str">
        <f t="shared" si="715"/>
        <v/>
      </c>
      <c r="EO930" s="71"/>
      <c r="EP930" s="84" t="str">
        <f t="shared" si="945"/>
        <v>No aplica</v>
      </c>
      <c r="EQ930" s="88" t="str">
        <f t="shared" si="946"/>
        <v>No aplica</v>
      </c>
      <c r="ER930" s="71"/>
      <c r="ES930" s="79"/>
      <c r="ET930" s="84" t="str">
        <f t="shared" si="947"/>
        <v/>
      </c>
      <c r="EU930" s="84" t="str">
        <f>IF(F930="NO","No requiere",IF(H930="No","No requiere",IF(B929="","",IF(CX930="SÍ",IF(CK930&gt;=1,CY930/CK930,"Sin compromisos"),"Por verificar"))))</f>
        <v/>
      </c>
      <c r="EV930" s="84" t="str">
        <f t="shared" si="949"/>
        <v/>
      </c>
      <c r="EW930" s="84" t="str">
        <f t="shared" si="1357"/>
        <v/>
      </c>
      <c r="EX930" s="78"/>
      <c r="EY930" s="78"/>
    </row>
    <row r="931" spans="1:155" ht="12.75" customHeight="1">
      <c r="A931" s="79" t="str">
        <v/>
      </c>
      <c r="B931" s="80"/>
      <c r="C931" s="81"/>
      <c r="D931" s="82"/>
      <c r="E931" s="79"/>
      <c r="F931" s="79"/>
      <c r="G931" s="79"/>
      <c r="H931" s="79"/>
      <c r="I931" s="79"/>
      <c r="J931" s="79"/>
      <c r="K931" s="79"/>
      <c r="L931" s="80"/>
      <c r="M931" s="80"/>
      <c r="N931" s="79"/>
      <c r="O931" s="80" t="str">
        <f t="shared" si="636"/>
        <v/>
      </c>
      <c r="P931" s="79"/>
      <c r="Q931" s="79"/>
      <c r="R931" s="79"/>
      <c r="S931" s="79"/>
      <c r="T931" s="79"/>
      <c r="U931" s="79"/>
      <c r="V931" s="79"/>
      <c r="W931" s="79"/>
      <c r="X931" s="79"/>
      <c r="Y931" s="79"/>
      <c r="Z931" s="79"/>
      <c r="AA931" s="79"/>
      <c r="AB931" s="79"/>
      <c r="AC931" s="79"/>
      <c r="AD931" s="79"/>
      <c r="AE931" s="79"/>
      <c r="AF931" s="79"/>
      <c r="AG931" s="79"/>
      <c r="AH931" s="79"/>
      <c r="AI931" s="79"/>
      <c r="AJ931" s="79"/>
      <c r="AK931" s="79"/>
      <c r="AL931" s="79"/>
      <c r="AM931" s="79"/>
      <c r="AN931" s="79"/>
      <c r="AO931" s="79"/>
      <c r="AP931" s="79"/>
      <c r="AQ931" s="80"/>
      <c r="AR931" s="83"/>
      <c r="AS931" s="80"/>
      <c r="AT931" s="80" t="str">
        <f t="shared" si="950"/>
        <v/>
      </c>
      <c r="AU931" s="79"/>
      <c r="AV931" s="79"/>
      <c r="AW931" s="79"/>
      <c r="AX931" s="79"/>
      <c r="AY931" s="79"/>
      <c r="AZ931" s="79"/>
      <c r="BA931" s="80" t="str">
        <f t="shared" si="1000"/>
        <v/>
      </c>
      <c r="BB931" s="79"/>
      <c r="BC931" s="79"/>
      <c r="BD931" s="79"/>
      <c r="BE931" s="79"/>
      <c r="BF931" s="79"/>
      <c r="BG931" s="79"/>
      <c r="BH931" s="80" t="str">
        <f t="shared" si="1001"/>
        <v/>
      </c>
      <c r="BI931" s="79"/>
      <c r="BJ931" s="79"/>
      <c r="BK931" s="79"/>
      <c r="BL931" s="79"/>
      <c r="BM931" s="79"/>
      <c r="BN931" s="79"/>
      <c r="BO931" s="79"/>
      <c r="BP931" s="79"/>
      <c r="BQ931" s="79"/>
      <c r="BR931" s="79"/>
      <c r="BS931" s="80"/>
      <c r="BT931" s="80"/>
      <c r="BU931" s="80"/>
      <c r="BV931" s="71"/>
      <c r="BW931" s="79"/>
      <c r="BX931" s="79"/>
      <c r="BY931" s="71"/>
      <c r="BZ931" s="79"/>
      <c r="CA931" s="79"/>
      <c r="CB931" s="79">
        <f t="shared" si="281"/>
        <v>0</v>
      </c>
      <c r="CC931" s="79" t="str">
        <f t="shared" si="382"/>
        <v/>
      </c>
      <c r="CD931" s="79"/>
      <c r="CE931" s="79"/>
      <c r="CF931" s="79"/>
      <c r="CG931" s="83"/>
      <c r="CH931" s="41"/>
      <c r="CI931" s="79"/>
      <c r="CJ931" s="71"/>
      <c r="CK931" s="79">
        <f t="shared" si="377"/>
        <v>0</v>
      </c>
      <c r="CL931" s="79"/>
      <c r="CM931" s="79"/>
      <c r="CN931" s="79"/>
      <c r="CO931" s="79"/>
      <c r="CP931" s="79"/>
      <c r="CQ931" s="79"/>
      <c r="CR931" s="83"/>
      <c r="CS931" s="83"/>
      <c r="CT931" s="83"/>
      <c r="CU931" s="83"/>
      <c r="CV931" s="83"/>
      <c r="CW931" s="83"/>
      <c r="CX931" s="79"/>
      <c r="CY931" s="79">
        <f t="shared" si="358"/>
        <v>0</v>
      </c>
      <c r="CZ931" s="79">
        <v>0</v>
      </c>
      <c r="DA931" s="79">
        <f t="shared" si="359"/>
        <v>0</v>
      </c>
      <c r="DB931" s="84" t="str">
        <f t="shared" si="364"/>
        <v/>
      </c>
      <c r="DC931" s="41"/>
      <c r="DD931" s="79"/>
      <c r="DE931" s="71"/>
      <c r="DF931" s="79"/>
      <c r="DG931" s="79"/>
      <c r="DH931" s="86">
        <f t="shared" si="722"/>
        <v>3</v>
      </c>
      <c r="DI931" s="79"/>
      <c r="DJ931" s="79"/>
      <c r="DK931" s="79"/>
      <c r="DL931" s="79">
        <v>0</v>
      </c>
      <c r="DM931" s="79">
        <v>0</v>
      </c>
      <c r="DN931" s="79"/>
      <c r="DO931" s="79"/>
      <c r="DP931" s="79"/>
      <c r="DQ931" s="79"/>
      <c r="DR931" s="75" t="str">
        <f t="shared" si="1355"/>
        <v>No aplica</v>
      </c>
      <c r="DS931" s="79"/>
      <c r="DT931" s="79"/>
      <c r="DU931" s="75" t="str">
        <f t="shared" si="1356"/>
        <v>No aplica</v>
      </c>
      <c r="DV931" s="79"/>
      <c r="DW931" s="79"/>
      <c r="DX931" s="79"/>
      <c r="DY931" s="79"/>
      <c r="DZ931" s="79"/>
      <c r="EA931" s="79"/>
      <c r="EB931" s="79"/>
      <c r="EC931" s="79"/>
      <c r="ED931" s="79"/>
      <c r="EE931" s="79" t="s">
        <v>621</v>
      </c>
      <c r="EF931" s="41"/>
      <c r="EG931" s="79"/>
      <c r="EH931" s="71"/>
      <c r="EI931" s="80"/>
      <c r="EJ931" s="71"/>
      <c r="EK931" s="79"/>
      <c r="EL931" s="87" t="str">
        <f t="shared" si="942"/>
        <v/>
      </c>
      <c r="EM931" s="87" t="str">
        <f t="shared" si="943"/>
        <v/>
      </c>
      <c r="EN931" s="87" t="str">
        <f t="shared" si="715"/>
        <v/>
      </c>
      <c r="EO931" s="71"/>
      <c r="EP931" s="84" t="str">
        <f t="shared" si="945"/>
        <v>No aplica</v>
      </c>
      <c r="EQ931" s="88" t="str">
        <f t="shared" si="946"/>
        <v>No aplica</v>
      </c>
      <c r="ER931" s="71"/>
      <c r="ES931" s="79"/>
      <c r="ET931" s="84" t="str">
        <f t="shared" si="947"/>
        <v/>
      </c>
      <c r="EU931" s="84" t="str">
        <f>IF(F931="NO","No requiere",IF(H931="No","No requiere",IF(B930="","",IF(CX931="SÍ",IF(CK931&gt;=1,CY931/CK931,"Sin compromisos"),"Por verificar"))))</f>
        <v/>
      </c>
      <c r="EV931" s="84" t="str">
        <f t="shared" si="949"/>
        <v/>
      </c>
      <c r="EW931" s="84" t="str">
        <f t="shared" si="1357"/>
        <v/>
      </c>
      <c r="EX931" s="78"/>
      <c r="EY931" s="78"/>
    </row>
    <row r="932" spans="1:155" ht="12.75" customHeight="1">
      <c r="A932" s="79" t="str">
        <v/>
      </c>
      <c r="B932" s="80"/>
      <c r="C932" s="81"/>
      <c r="D932" s="82"/>
      <c r="E932" s="79"/>
      <c r="F932" s="79"/>
      <c r="G932" s="79"/>
      <c r="H932" s="79"/>
      <c r="I932" s="79"/>
      <c r="J932" s="79"/>
      <c r="K932" s="79"/>
      <c r="L932" s="80"/>
      <c r="M932" s="80"/>
      <c r="N932" s="79"/>
      <c r="O932" s="80" t="str">
        <f t="shared" si="636"/>
        <v/>
      </c>
      <c r="P932" s="79"/>
      <c r="Q932" s="79"/>
      <c r="R932" s="79"/>
      <c r="S932" s="79"/>
      <c r="T932" s="79"/>
      <c r="U932" s="79"/>
      <c r="V932" s="79"/>
      <c r="W932" s="79"/>
      <c r="X932" s="79"/>
      <c r="Y932" s="79"/>
      <c r="Z932" s="79"/>
      <c r="AA932" s="79"/>
      <c r="AB932" s="79"/>
      <c r="AC932" s="79"/>
      <c r="AD932" s="79"/>
      <c r="AE932" s="79"/>
      <c r="AF932" s="79"/>
      <c r="AG932" s="79"/>
      <c r="AH932" s="79"/>
      <c r="AI932" s="79"/>
      <c r="AJ932" s="79"/>
      <c r="AK932" s="79"/>
      <c r="AL932" s="79"/>
      <c r="AM932" s="79"/>
      <c r="AN932" s="79"/>
      <c r="AO932" s="79"/>
      <c r="AP932" s="79"/>
      <c r="AQ932" s="80"/>
      <c r="AR932" s="83"/>
      <c r="AS932" s="80"/>
      <c r="AT932" s="80" t="str">
        <f t="shared" si="950"/>
        <v/>
      </c>
      <c r="AU932" s="79"/>
      <c r="AV932" s="79"/>
      <c r="AW932" s="79"/>
      <c r="AX932" s="79"/>
      <c r="AY932" s="79"/>
      <c r="AZ932" s="79"/>
      <c r="BA932" s="80" t="str">
        <f t="shared" si="1000"/>
        <v/>
      </c>
      <c r="BB932" s="79"/>
      <c r="BC932" s="79"/>
      <c r="BD932" s="79"/>
      <c r="BE932" s="79"/>
      <c r="BF932" s="79"/>
      <c r="BG932" s="79"/>
      <c r="BH932" s="80" t="str">
        <f t="shared" si="1001"/>
        <v/>
      </c>
      <c r="BI932" s="79"/>
      <c r="BJ932" s="79"/>
      <c r="BK932" s="79"/>
      <c r="BL932" s="79"/>
      <c r="BM932" s="79"/>
      <c r="BN932" s="79"/>
      <c r="BO932" s="79"/>
      <c r="BP932" s="79"/>
      <c r="BQ932" s="79"/>
      <c r="BR932" s="79"/>
      <c r="BS932" s="80"/>
      <c r="BT932" s="80"/>
      <c r="BU932" s="80"/>
      <c r="BV932" s="71"/>
      <c r="BW932" s="79"/>
      <c r="BX932" s="79"/>
      <c r="BY932" s="71"/>
      <c r="BZ932" s="79"/>
      <c r="CA932" s="79"/>
      <c r="CB932" s="79">
        <f t="shared" si="281"/>
        <v>0</v>
      </c>
      <c r="CC932" s="79" t="str">
        <f t="shared" si="382"/>
        <v/>
      </c>
      <c r="CD932" s="79"/>
      <c r="CE932" s="79"/>
      <c r="CF932" s="79"/>
      <c r="CG932" s="83"/>
      <c r="CH932" s="41"/>
      <c r="CI932" s="79"/>
      <c r="CJ932" s="71"/>
      <c r="CK932" s="79">
        <f t="shared" si="377"/>
        <v>0</v>
      </c>
      <c r="CL932" s="79"/>
      <c r="CM932" s="79"/>
      <c r="CN932" s="79"/>
      <c r="CO932" s="79"/>
      <c r="CP932" s="79"/>
      <c r="CQ932" s="79"/>
      <c r="CR932" s="83"/>
      <c r="CS932" s="83"/>
      <c r="CT932" s="83"/>
      <c r="CU932" s="83"/>
      <c r="CV932" s="83"/>
      <c r="CW932" s="83"/>
      <c r="CX932" s="79"/>
      <c r="CY932" s="79">
        <f t="shared" si="358"/>
        <v>0</v>
      </c>
      <c r="CZ932" s="79">
        <v>0</v>
      </c>
      <c r="DA932" s="79">
        <f t="shared" si="359"/>
        <v>0</v>
      </c>
      <c r="DB932" s="84" t="str">
        <f t="shared" si="364"/>
        <v/>
      </c>
      <c r="DC932" s="41"/>
      <c r="DD932" s="79"/>
      <c r="DE932" s="71"/>
      <c r="DF932" s="79"/>
      <c r="DG932" s="81"/>
      <c r="DH932" s="86">
        <v>3</v>
      </c>
      <c r="DI932" s="79"/>
      <c r="DJ932" s="79"/>
      <c r="DK932" s="79"/>
      <c r="DL932" s="79">
        <v>0</v>
      </c>
      <c r="DM932" s="79">
        <v>0</v>
      </c>
      <c r="DN932" s="79"/>
      <c r="DO932" s="79"/>
      <c r="DP932" s="79"/>
      <c r="DQ932" s="79"/>
      <c r="DR932" s="75" t="str">
        <f t="shared" si="1355"/>
        <v>No aplica</v>
      </c>
      <c r="DS932" s="79"/>
      <c r="DT932" s="79"/>
      <c r="DU932" s="75" t="str">
        <f t="shared" si="1356"/>
        <v>No aplica</v>
      </c>
      <c r="DV932" s="79"/>
      <c r="DW932" s="79"/>
      <c r="DX932" s="79"/>
      <c r="DY932" s="79"/>
      <c r="DZ932" s="79"/>
      <c r="EA932" s="79"/>
      <c r="EB932" s="79"/>
      <c r="EC932" s="79"/>
      <c r="ED932" s="79"/>
      <c r="EE932" s="79" t="s">
        <v>621</v>
      </c>
      <c r="EF932" s="41"/>
      <c r="EG932" s="79"/>
      <c r="EH932" s="71"/>
      <c r="EI932" s="80"/>
      <c r="EJ932" s="71"/>
      <c r="EK932" s="79"/>
      <c r="EL932" s="87" t="str">
        <f t="shared" si="942"/>
        <v/>
      </c>
      <c r="EM932" s="87" t="str">
        <f t="shared" si="943"/>
        <v/>
      </c>
      <c r="EN932" s="87" t="str">
        <f t="shared" si="715"/>
        <v/>
      </c>
      <c r="EO932" s="71"/>
      <c r="EP932" s="84" t="str">
        <f t="shared" si="945"/>
        <v>No aplica</v>
      </c>
      <c r="EQ932" s="88" t="str">
        <f t="shared" si="946"/>
        <v>No aplica</v>
      </c>
      <c r="ER932" s="71"/>
      <c r="ES932" s="79"/>
      <c r="ET932" s="84" t="str">
        <f t="shared" si="947"/>
        <v/>
      </c>
      <c r="EU932" s="84" t="str">
        <f>IF(F932="NO","No requiere",IF(H932="No","No requiere",IF(B931="","",IF(CX932="SÍ",IF(CK932&gt;=1,CY932/CK932,"Sin compromisos"),"Por verificar"))))</f>
        <v/>
      </c>
      <c r="EV932" s="84" t="str">
        <f t="shared" si="949"/>
        <v/>
      </c>
      <c r="EW932" s="84" t="str">
        <f t="shared" si="1357"/>
        <v/>
      </c>
      <c r="EX932" s="78"/>
      <c r="EY932" s="78"/>
    </row>
    <row r="933" spans="1:155" ht="12.75" customHeight="1">
      <c r="A933" s="79" t="str">
        <v/>
      </c>
      <c r="B933" s="80"/>
      <c r="C933" s="81"/>
      <c r="D933" s="82"/>
      <c r="E933" s="79"/>
      <c r="F933" s="79"/>
      <c r="G933" s="79"/>
      <c r="H933" s="79"/>
      <c r="I933" s="79"/>
      <c r="J933" s="79"/>
      <c r="K933" s="79"/>
      <c r="L933" s="80"/>
      <c r="M933" s="80"/>
      <c r="N933" s="79"/>
      <c r="O933" s="80" t="str">
        <f t="shared" si="636"/>
        <v/>
      </c>
      <c r="P933" s="79"/>
      <c r="Q933" s="79"/>
      <c r="R933" s="79"/>
      <c r="S933" s="79"/>
      <c r="T933" s="79"/>
      <c r="U933" s="79"/>
      <c r="V933" s="79"/>
      <c r="W933" s="79"/>
      <c r="X933" s="79"/>
      <c r="Y933" s="79"/>
      <c r="Z933" s="79"/>
      <c r="AA933" s="79"/>
      <c r="AB933" s="79"/>
      <c r="AC933" s="79"/>
      <c r="AD933" s="79"/>
      <c r="AE933" s="79"/>
      <c r="AF933" s="79"/>
      <c r="AG933" s="79"/>
      <c r="AH933" s="79"/>
      <c r="AI933" s="79"/>
      <c r="AJ933" s="79"/>
      <c r="AK933" s="79"/>
      <c r="AL933" s="79"/>
      <c r="AM933" s="79"/>
      <c r="AN933" s="79"/>
      <c r="AO933" s="79"/>
      <c r="AP933" s="79"/>
      <c r="AQ933" s="80"/>
      <c r="AR933" s="83"/>
      <c r="AS933" s="80"/>
      <c r="AT933" s="80" t="str">
        <f t="shared" si="950"/>
        <v/>
      </c>
      <c r="AU933" s="79"/>
      <c r="AV933" s="79"/>
      <c r="AW933" s="79"/>
      <c r="AX933" s="79"/>
      <c r="AY933" s="79"/>
      <c r="AZ933" s="79"/>
      <c r="BA933" s="80" t="str">
        <f t="shared" si="1000"/>
        <v/>
      </c>
      <c r="BB933" s="79"/>
      <c r="BC933" s="79"/>
      <c r="BD933" s="79"/>
      <c r="BE933" s="79"/>
      <c r="BF933" s="79"/>
      <c r="BG933" s="79"/>
      <c r="BH933" s="80" t="str">
        <f t="shared" si="1001"/>
        <v/>
      </c>
      <c r="BI933" s="79"/>
      <c r="BJ933" s="79"/>
      <c r="BK933" s="79"/>
      <c r="BL933" s="79"/>
      <c r="BM933" s="79"/>
      <c r="BN933" s="79"/>
      <c r="BO933" s="79"/>
      <c r="BP933" s="79"/>
      <c r="BQ933" s="79"/>
      <c r="BR933" s="79"/>
      <c r="BS933" s="80"/>
      <c r="BT933" s="80"/>
      <c r="BU933" s="80"/>
      <c r="BV933" s="71"/>
      <c r="BW933" s="79"/>
      <c r="BX933" s="79"/>
      <c r="BY933" s="71"/>
      <c r="BZ933" s="79"/>
      <c r="CA933" s="79"/>
      <c r="CB933" s="79">
        <f t="shared" si="281"/>
        <v>0</v>
      </c>
      <c r="CC933" s="79" t="str">
        <f t="shared" si="382"/>
        <v/>
      </c>
      <c r="CD933" s="79"/>
      <c r="CE933" s="79"/>
      <c r="CF933" s="79"/>
      <c r="CG933" s="83"/>
      <c r="CH933" s="41"/>
      <c r="CI933" s="79"/>
      <c r="CJ933" s="71"/>
      <c r="CK933" s="79">
        <f t="shared" si="377"/>
        <v>0</v>
      </c>
      <c r="CL933" s="79"/>
      <c r="CM933" s="79"/>
      <c r="CN933" s="79"/>
      <c r="CO933" s="79"/>
      <c r="CP933" s="79"/>
      <c r="CQ933" s="79"/>
      <c r="CR933" s="83"/>
      <c r="CS933" s="83"/>
      <c r="CT933" s="83"/>
      <c r="CU933" s="83"/>
      <c r="CV933" s="83"/>
      <c r="CW933" s="83"/>
      <c r="CX933" s="79"/>
      <c r="CY933" s="79">
        <f t="shared" si="358"/>
        <v>0</v>
      </c>
      <c r="CZ933" s="79">
        <v>0</v>
      </c>
      <c r="DA933" s="79">
        <f t="shared" si="359"/>
        <v>0</v>
      </c>
      <c r="DB933" s="84" t="str">
        <f t="shared" si="364"/>
        <v/>
      </c>
      <c r="DC933" s="41"/>
      <c r="DD933" s="79"/>
      <c r="DE933" s="71"/>
      <c r="DF933" s="79"/>
      <c r="DG933" s="81"/>
      <c r="DH933" s="86">
        <v>3</v>
      </c>
      <c r="DI933" s="79"/>
      <c r="DJ933" s="79"/>
      <c r="DK933" s="79"/>
      <c r="DL933" s="79">
        <v>0</v>
      </c>
      <c r="DM933" s="79">
        <v>0</v>
      </c>
      <c r="DN933" s="79"/>
      <c r="DO933" s="79"/>
      <c r="DP933" s="79"/>
      <c r="DQ933" s="79"/>
      <c r="DR933" s="75" t="str">
        <f t="shared" si="1355"/>
        <v>No aplica</v>
      </c>
      <c r="DS933" s="79"/>
      <c r="DT933" s="79"/>
      <c r="DU933" s="75" t="str">
        <f t="shared" si="1356"/>
        <v>No aplica</v>
      </c>
      <c r="DV933" s="79"/>
      <c r="DW933" s="79"/>
      <c r="DX933" s="79"/>
      <c r="DY933" s="79"/>
      <c r="DZ933" s="79"/>
      <c r="EA933" s="79"/>
      <c r="EB933" s="79"/>
      <c r="EC933" s="79"/>
      <c r="ED933" s="79"/>
      <c r="EE933" s="79" t="s">
        <v>621</v>
      </c>
      <c r="EF933" s="41"/>
      <c r="EG933" s="79"/>
      <c r="EH933" s="71"/>
      <c r="EI933" s="80"/>
      <c r="EJ933" s="71"/>
      <c r="EK933" s="79"/>
      <c r="EL933" s="87" t="str">
        <f t="shared" si="942"/>
        <v/>
      </c>
      <c r="EM933" s="87" t="str">
        <f t="shared" si="943"/>
        <v/>
      </c>
      <c r="EN933" s="87" t="str">
        <f t="shared" si="715"/>
        <v/>
      </c>
      <c r="EO933" s="71"/>
      <c r="EP933" s="84" t="str">
        <f t="shared" si="945"/>
        <v>No aplica</v>
      </c>
      <c r="EQ933" s="88" t="str">
        <f t="shared" si="946"/>
        <v>No aplica</v>
      </c>
      <c r="ER933" s="71"/>
      <c r="ES933" s="79"/>
      <c r="ET933" s="84" t="str">
        <f t="shared" si="947"/>
        <v/>
      </c>
      <c r="EU933" s="84" t="str">
        <f>IF(F933="NO","No requiere",IF(H933="No","No requiere",IF(B932="","",IF(CX933="SÍ",IF(CK933&gt;=1,CY933/CK933,"Sin compromisos"),"Por verificar"))))</f>
        <v/>
      </c>
      <c r="EV933" s="84" t="str">
        <f t="shared" si="949"/>
        <v/>
      </c>
      <c r="EW933" s="84" t="str">
        <f t="shared" si="1357"/>
        <v/>
      </c>
      <c r="EX933" s="78"/>
      <c r="EY933" s="78"/>
    </row>
    <row r="934" spans="1:155" ht="12.75" customHeight="1">
      <c r="A934" s="79" t="str">
        <v/>
      </c>
      <c r="B934" s="80"/>
      <c r="C934" s="81"/>
      <c r="D934" s="82"/>
      <c r="E934" s="79"/>
      <c r="F934" s="79"/>
      <c r="G934" s="79"/>
      <c r="H934" s="79"/>
      <c r="I934" s="79"/>
      <c r="J934" s="79"/>
      <c r="K934" s="79"/>
      <c r="L934" s="80"/>
      <c r="M934" s="80"/>
      <c r="N934" s="79"/>
      <c r="O934" s="80" t="str">
        <f t="shared" si="636"/>
        <v/>
      </c>
      <c r="P934" s="79"/>
      <c r="Q934" s="79"/>
      <c r="R934" s="79"/>
      <c r="S934" s="79"/>
      <c r="T934" s="79"/>
      <c r="U934" s="79"/>
      <c r="V934" s="79"/>
      <c r="W934" s="79"/>
      <c r="X934" s="79"/>
      <c r="Y934" s="79"/>
      <c r="Z934" s="79"/>
      <c r="AA934" s="79"/>
      <c r="AB934" s="79"/>
      <c r="AC934" s="79"/>
      <c r="AD934" s="79"/>
      <c r="AE934" s="79"/>
      <c r="AF934" s="79"/>
      <c r="AG934" s="79"/>
      <c r="AH934" s="79"/>
      <c r="AI934" s="79"/>
      <c r="AJ934" s="79"/>
      <c r="AK934" s="79"/>
      <c r="AL934" s="79"/>
      <c r="AM934" s="79"/>
      <c r="AN934" s="79"/>
      <c r="AO934" s="79"/>
      <c r="AP934" s="79"/>
      <c r="AQ934" s="80"/>
      <c r="AR934" s="83"/>
      <c r="AS934" s="80"/>
      <c r="AT934" s="80" t="str">
        <f t="shared" si="950"/>
        <v/>
      </c>
      <c r="AU934" s="79"/>
      <c r="AV934" s="79"/>
      <c r="AW934" s="79"/>
      <c r="AX934" s="79"/>
      <c r="AY934" s="79"/>
      <c r="AZ934" s="79"/>
      <c r="BA934" s="80" t="str">
        <f t="shared" si="1000"/>
        <v/>
      </c>
      <c r="BB934" s="79"/>
      <c r="BC934" s="79"/>
      <c r="BD934" s="79"/>
      <c r="BE934" s="79"/>
      <c r="BF934" s="79"/>
      <c r="BG934" s="79"/>
      <c r="BH934" s="80" t="str">
        <f t="shared" si="1001"/>
        <v/>
      </c>
      <c r="BI934" s="79"/>
      <c r="BJ934" s="79"/>
      <c r="BK934" s="79"/>
      <c r="BL934" s="79"/>
      <c r="BM934" s="79"/>
      <c r="BN934" s="79"/>
      <c r="BO934" s="79"/>
      <c r="BP934" s="79"/>
      <c r="BQ934" s="79"/>
      <c r="BR934" s="79"/>
      <c r="BS934" s="80"/>
      <c r="BT934" s="80"/>
      <c r="BU934" s="80"/>
      <c r="BV934" s="71"/>
      <c r="BW934" s="79"/>
      <c r="BX934" s="79"/>
      <c r="BY934" s="71"/>
      <c r="BZ934" s="79"/>
      <c r="CA934" s="79"/>
      <c r="CB934" s="79">
        <f t="shared" si="281"/>
        <v>0</v>
      </c>
      <c r="CC934" s="79" t="str">
        <f t="shared" si="382"/>
        <v/>
      </c>
      <c r="CD934" s="79"/>
      <c r="CE934" s="79"/>
      <c r="CF934" s="79"/>
      <c r="CG934" s="83"/>
      <c r="CH934" s="41"/>
      <c r="CI934" s="79"/>
      <c r="CJ934" s="71"/>
      <c r="CK934" s="79">
        <f t="shared" si="377"/>
        <v>0</v>
      </c>
      <c r="CL934" s="79"/>
      <c r="CM934" s="79"/>
      <c r="CN934" s="79"/>
      <c r="CO934" s="79"/>
      <c r="CP934" s="79"/>
      <c r="CQ934" s="79"/>
      <c r="CR934" s="83"/>
      <c r="CS934" s="83"/>
      <c r="CT934" s="83"/>
      <c r="CU934" s="83"/>
      <c r="CV934" s="83"/>
      <c r="CW934" s="83"/>
      <c r="CX934" s="79"/>
      <c r="CY934" s="79">
        <f t="shared" si="358"/>
        <v>0</v>
      </c>
      <c r="CZ934" s="79">
        <v>0</v>
      </c>
      <c r="DA934" s="79">
        <f t="shared" si="359"/>
        <v>0</v>
      </c>
      <c r="DB934" s="84" t="str">
        <f t="shared" si="364"/>
        <v/>
      </c>
      <c r="DC934" s="41"/>
      <c r="DD934" s="79"/>
      <c r="DE934" s="71"/>
      <c r="DF934" s="79"/>
      <c r="DG934" s="81"/>
      <c r="DH934" s="86">
        <v>3</v>
      </c>
      <c r="DI934" s="79"/>
      <c r="DJ934" s="79"/>
      <c r="DK934" s="79"/>
      <c r="DL934" s="79">
        <v>0</v>
      </c>
      <c r="DM934" s="79">
        <v>0</v>
      </c>
      <c r="DN934" s="79"/>
      <c r="DO934" s="79"/>
      <c r="DP934" s="79"/>
      <c r="DQ934" s="79"/>
      <c r="DR934" s="75" t="str">
        <f t="shared" si="1355"/>
        <v>No aplica</v>
      </c>
      <c r="DS934" s="79"/>
      <c r="DT934" s="79"/>
      <c r="DU934" s="75" t="str">
        <f t="shared" si="1356"/>
        <v>No aplica</v>
      </c>
      <c r="DV934" s="79"/>
      <c r="DW934" s="79"/>
      <c r="DX934" s="79"/>
      <c r="DY934" s="79"/>
      <c r="DZ934" s="79"/>
      <c r="EA934" s="79"/>
      <c r="EB934" s="79"/>
      <c r="EC934" s="79"/>
      <c r="ED934" s="79"/>
      <c r="EE934" s="79" t="s">
        <v>621</v>
      </c>
      <c r="EF934" s="41"/>
      <c r="EG934" s="79"/>
      <c r="EH934" s="71"/>
      <c r="EI934" s="80"/>
      <c r="EJ934" s="71"/>
      <c r="EK934" s="79"/>
      <c r="EL934" s="87" t="str">
        <f t="shared" si="942"/>
        <v/>
      </c>
      <c r="EM934" s="87" t="str">
        <f t="shared" si="943"/>
        <v/>
      </c>
      <c r="EN934" s="87" t="str">
        <f t="shared" si="715"/>
        <v/>
      </c>
      <c r="EO934" s="71"/>
      <c r="EP934" s="84" t="str">
        <f t="shared" si="945"/>
        <v>No aplica</v>
      </c>
      <c r="EQ934" s="88" t="str">
        <f t="shared" si="946"/>
        <v>No aplica</v>
      </c>
      <c r="ER934" s="71"/>
      <c r="ES934" s="79"/>
      <c r="ET934" s="84" t="str">
        <f t="shared" si="947"/>
        <v/>
      </c>
      <c r="EU934" s="84" t="str">
        <f>IF(F934="NO","No requiere",IF(H934="No","No requiere",IF(B933="","",IF(CX934="SÍ",IF(CK934&gt;=1,CY934/CK934,"Sin compromisos"),"Por verificar"))))</f>
        <v/>
      </c>
      <c r="EV934" s="84" t="str">
        <f t="shared" si="949"/>
        <v/>
      </c>
      <c r="EW934" s="84" t="str">
        <f t="shared" si="1357"/>
        <v/>
      </c>
      <c r="EX934" s="78"/>
      <c r="EY934" s="78"/>
    </row>
    <row r="935" spans="1:155" ht="12.75" customHeight="1">
      <c r="A935" s="79" t="str">
        <v/>
      </c>
      <c r="B935" s="80"/>
      <c r="C935" s="81"/>
      <c r="D935" s="82"/>
      <c r="E935" s="79"/>
      <c r="F935" s="79"/>
      <c r="G935" s="79"/>
      <c r="H935" s="79"/>
      <c r="I935" s="79"/>
      <c r="J935" s="79"/>
      <c r="K935" s="79"/>
      <c r="L935" s="80"/>
      <c r="M935" s="80"/>
      <c r="N935" s="79"/>
      <c r="O935" s="80" t="str">
        <f t="shared" si="636"/>
        <v/>
      </c>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c r="AP935" s="79"/>
      <c r="AQ935" s="80"/>
      <c r="AR935" s="83"/>
      <c r="AS935" s="80"/>
      <c r="AT935" s="80" t="str">
        <f t="shared" si="950"/>
        <v/>
      </c>
      <c r="AU935" s="79"/>
      <c r="AV935" s="79"/>
      <c r="AW935" s="79"/>
      <c r="AX935" s="79"/>
      <c r="AY935" s="79"/>
      <c r="AZ935" s="79"/>
      <c r="BA935" s="80" t="str">
        <f t="shared" si="1000"/>
        <v/>
      </c>
      <c r="BB935" s="79"/>
      <c r="BC935" s="79"/>
      <c r="BD935" s="79"/>
      <c r="BE935" s="79"/>
      <c r="BF935" s="79"/>
      <c r="BG935" s="79"/>
      <c r="BH935" s="80" t="str">
        <f t="shared" si="1001"/>
        <v/>
      </c>
      <c r="BI935" s="79"/>
      <c r="BJ935" s="79"/>
      <c r="BK935" s="79"/>
      <c r="BL935" s="79"/>
      <c r="BM935" s="79"/>
      <c r="BN935" s="79"/>
      <c r="BO935" s="79"/>
      <c r="BP935" s="79"/>
      <c r="BQ935" s="79"/>
      <c r="BR935" s="79"/>
      <c r="BS935" s="80"/>
      <c r="BT935" s="80"/>
      <c r="BU935" s="80"/>
      <c r="BV935" s="71"/>
      <c r="BW935" s="79"/>
      <c r="BX935" s="79"/>
      <c r="BY935" s="71"/>
      <c r="BZ935" s="79"/>
      <c r="CA935" s="79"/>
      <c r="CB935" s="79">
        <f t="shared" si="281"/>
        <v>0</v>
      </c>
      <c r="CC935" s="79" t="str">
        <f t="shared" si="382"/>
        <v/>
      </c>
      <c r="CD935" s="79"/>
      <c r="CE935" s="79"/>
      <c r="CF935" s="79"/>
      <c r="CG935" s="83"/>
      <c r="CH935" s="41"/>
      <c r="CI935" s="79"/>
      <c r="CJ935" s="71"/>
      <c r="CK935" s="79">
        <f t="shared" si="377"/>
        <v>0</v>
      </c>
      <c r="CL935" s="79"/>
      <c r="CM935" s="79"/>
      <c r="CN935" s="79"/>
      <c r="CO935" s="79"/>
      <c r="CP935" s="79"/>
      <c r="CQ935" s="79"/>
      <c r="CR935" s="83"/>
      <c r="CS935" s="83"/>
      <c r="CT935" s="83"/>
      <c r="CU935" s="83"/>
      <c r="CV935" s="83"/>
      <c r="CW935" s="83"/>
      <c r="CX935" s="79"/>
      <c r="CY935" s="79">
        <f t="shared" si="358"/>
        <v>0</v>
      </c>
      <c r="CZ935" s="79">
        <v>0</v>
      </c>
      <c r="DA935" s="79">
        <f t="shared" si="359"/>
        <v>0</v>
      </c>
      <c r="DB935" s="84" t="str">
        <f t="shared" si="364"/>
        <v/>
      </c>
      <c r="DC935" s="41"/>
      <c r="DD935" s="79"/>
      <c r="DE935" s="71"/>
      <c r="DF935" s="79"/>
      <c r="DG935" s="79"/>
      <c r="DH935" s="86">
        <f>IF(EE935="Por completar",C935+3,"Completo")</f>
        <v>3</v>
      </c>
      <c r="DI935" s="79"/>
      <c r="DJ935" s="79"/>
      <c r="DK935" s="79"/>
      <c r="DL935" s="79">
        <v>0</v>
      </c>
      <c r="DM935" s="79">
        <v>0</v>
      </c>
      <c r="DN935" s="79"/>
      <c r="DO935" s="79"/>
      <c r="DP935" s="79"/>
      <c r="DQ935" s="79"/>
      <c r="DR935" s="75" t="str">
        <f t="shared" si="1355"/>
        <v>No aplica</v>
      </c>
      <c r="DS935" s="79"/>
      <c r="DT935" s="79"/>
      <c r="DU935" s="75" t="str">
        <f t="shared" si="1356"/>
        <v>No aplica</v>
      </c>
      <c r="DV935" s="79"/>
      <c r="DW935" s="79"/>
      <c r="DX935" s="79"/>
      <c r="DY935" s="79"/>
      <c r="DZ935" s="79"/>
      <c r="EA935" s="79"/>
      <c r="EB935" s="79"/>
      <c r="EC935" s="79"/>
      <c r="ED935" s="79"/>
      <c r="EE935" s="79" t="str">
        <f>IF(DI935="Subsanado","Completo","Por Completar")</f>
        <v>Por Completar</v>
      </c>
      <c r="EF935" s="41"/>
      <c r="EG935" s="79"/>
      <c r="EH935" s="71"/>
      <c r="EI935" s="80"/>
      <c r="EJ935" s="71"/>
      <c r="EK935" s="79"/>
      <c r="EL935" s="87" t="str">
        <f t="shared" si="942"/>
        <v/>
      </c>
      <c r="EM935" s="87" t="str">
        <f t="shared" si="943"/>
        <v/>
      </c>
      <c r="EN935" s="87" t="str">
        <f t="shared" si="715"/>
        <v/>
      </c>
      <c r="EO935" s="71"/>
      <c r="EP935" s="84" t="str">
        <f t="shared" si="945"/>
        <v>No aplica</v>
      </c>
      <c r="EQ935" s="88" t="str">
        <f t="shared" si="946"/>
        <v>No aplica</v>
      </c>
      <c r="ER935" s="71"/>
      <c r="ES935" s="79"/>
      <c r="ET935" s="84" t="str">
        <f t="shared" si="947"/>
        <v/>
      </c>
      <c r="EU935" s="84" t="str">
        <f>IF(F935="NO","No requiere",IF(H935="No","No requiere",IF(B934="","",IF(CX935="SÍ",IF(CK935&gt;=1,CY935/CK935,"Sin compromisos"),"Por verificar"))))</f>
        <v/>
      </c>
      <c r="EV935" s="84" t="str">
        <f t="shared" si="949"/>
        <v/>
      </c>
      <c r="EW935" s="84" t="str">
        <f t="shared" si="1357"/>
        <v/>
      </c>
      <c r="EX935" s="78"/>
      <c r="EY935" s="78"/>
    </row>
    <row r="936" spans="1:155" ht="12.75" customHeight="1">
      <c r="A936" s="93"/>
      <c r="B936" s="80"/>
      <c r="C936" s="81"/>
      <c r="D936" s="93"/>
      <c r="E936" s="93"/>
      <c r="F936" s="93"/>
      <c r="G936" s="93"/>
      <c r="H936" s="93"/>
      <c r="I936" s="93"/>
      <c r="J936" s="93"/>
      <c r="K936" s="93"/>
      <c r="L936" s="93"/>
      <c r="M936" s="93"/>
      <c r="N936" s="93"/>
      <c r="O936" s="80" t="str">
        <f t="shared" ref="O936:O967" si="1369">_xlfn.TEXTJOIN(", ",TRUE,P936:AN936)</f>
        <v/>
      </c>
      <c r="P936" s="93"/>
      <c r="Q936" s="93"/>
      <c r="R936" s="93"/>
      <c r="S936" s="93"/>
      <c r="T936" s="93"/>
      <c r="U936" s="93"/>
      <c r="V936" s="93"/>
      <c r="W936" s="93"/>
      <c r="X936" s="93"/>
      <c r="Y936" s="93"/>
      <c r="Z936" s="93"/>
      <c r="AA936" s="93"/>
      <c r="AB936" s="93"/>
      <c r="AC936" s="93"/>
      <c r="AD936" s="93"/>
      <c r="AE936" s="93"/>
      <c r="AF936" s="93"/>
      <c r="AG936" s="93"/>
      <c r="AH936" s="93"/>
      <c r="AI936" s="93"/>
      <c r="AJ936" s="93"/>
      <c r="AK936" s="93"/>
      <c r="AL936" s="93"/>
      <c r="AM936" s="93"/>
      <c r="AN936" s="93"/>
      <c r="AO936" s="93"/>
      <c r="AP936" s="93"/>
      <c r="AQ936" s="93"/>
      <c r="AR936" s="93"/>
      <c r="AS936" s="93"/>
      <c r="AT936" s="93"/>
      <c r="AU936" s="161"/>
      <c r="AV936" s="161"/>
      <c r="AW936" s="161"/>
      <c r="AX936" s="161"/>
      <c r="AY936" s="161"/>
      <c r="AZ936" s="161"/>
      <c r="BA936" s="93"/>
      <c r="BB936" s="93"/>
      <c r="BC936" s="93"/>
      <c r="BD936" s="93"/>
      <c r="BE936" s="93"/>
      <c r="BF936" s="93"/>
      <c r="BG936" s="93"/>
      <c r="BH936" s="93"/>
      <c r="BI936" s="106"/>
      <c r="BJ936" s="106"/>
      <c r="BK936" s="106"/>
      <c r="BL936" s="106"/>
      <c r="BM936" s="106"/>
      <c r="BN936" s="106"/>
      <c r="BO936" s="106"/>
      <c r="BP936" s="106"/>
      <c r="BQ936" s="106"/>
      <c r="BR936" s="106"/>
      <c r="BS936" s="93"/>
      <c r="BT936" s="93"/>
      <c r="BU936" s="93"/>
      <c r="BW936" s="93"/>
      <c r="BX936" s="106"/>
      <c r="BZ936" s="93"/>
      <c r="CA936" s="93"/>
      <c r="CB936" s="93"/>
      <c r="CC936" s="93"/>
      <c r="CD936" s="93"/>
      <c r="CE936" s="93"/>
      <c r="CF936" s="93"/>
      <c r="CG936" s="93"/>
      <c r="CI936" s="106"/>
      <c r="CK936" s="93"/>
      <c r="CL936" s="93"/>
      <c r="CM936" s="93"/>
      <c r="CN936" s="93"/>
      <c r="CO936" s="93"/>
      <c r="CP936" s="93"/>
      <c r="CQ936" s="93"/>
      <c r="CR936" s="192"/>
      <c r="CS936" s="192"/>
      <c r="CT936" s="192"/>
      <c r="CU936" s="192"/>
      <c r="CV936" s="192"/>
      <c r="CW936" s="192"/>
      <c r="CX936" s="93"/>
      <c r="CY936" s="93"/>
      <c r="CZ936" s="93"/>
      <c r="DA936" s="93"/>
      <c r="DB936" s="93"/>
      <c r="DD936" s="106"/>
      <c r="DF936" s="93"/>
      <c r="DG936" s="93"/>
      <c r="DH936" s="193"/>
      <c r="DI936" s="93"/>
      <c r="DJ936" s="93"/>
      <c r="DK936" s="161"/>
      <c r="DL936" s="93"/>
      <c r="DM936" s="93"/>
      <c r="DN936" s="93"/>
      <c r="DO936" s="93"/>
      <c r="DP936" s="93"/>
      <c r="DQ936" s="93"/>
      <c r="DR936" s="93"/>
      <c r="DS936" s="93"/>
      <c r="DT936" s="93"/>
      <c r="DU936" s="93"/>
      <c r="DV936" s="93"/>
      <c r="DW936" s="93"/>
      <c r="DX936" s="93"/>
      <c r="DY936" s="93"/>
      <c r="DZ936" s="93"/>
      <c r="EA936" s="93"/>
      <c r="EB936" s="93"/>
      <c r="EC936" s="93"/>
      <c r="ED936" s="93"/>
      <c r="EE936" s="93"/>
      <c r="EG936" s="106"/>
      <c r="EI936" s="93"/>
      <c r="EK936" s="93"/>
      <c r="EL936" s="93"/>
      <c r="EM936" s="93"/>
      <c r="EN936" s="93"/>
      <c r="EP936" s="93"/>
      <c r="EQ936" s="93"/>
      <c r="ES936" s="93"/>
      <c r="ET936" s="93"/>
      <c r="EU936" s="93"/>
      <c r="EV936" s="93"/>
      <c r="EW936" s="93"/>
    </row>
    <row r="937" spans="1:155" ht="12.75" customHeight="1">
      <c r="A937" s="93"/>
      <c r="B937" s="93"/>
      <c r="C937" s="81"/>
      <c r="D937" s="93"/>
      <c r="E937" s="93"/>
      <c r="F937" s="93"/>
      <c r="G937" s="93"/>
      <c r="H937" s="93"/>
      <c r="I937" s="93"/>
      <c r="J937" s="93"/>
      <c r="K937" s="93"/>
      <c r="L937" s="93"/>
      <c r="M937" s="93"/>
      <c r="N937" s="93"/>
      <c r="O937" s="80" t="str">
        <f t="shared" si="1369"/>
        <v/>
      </c>
      <c r="P937" s="93"/>
      <c r="Q937" s="93"/>
      <c r="R937" s="93"/>
      <c r="S937" s="93"/>
      <c r="T937" s="93"/>
      <c r="U937" s="93"/>
      <c r="V937" s="93"/>
      <c r="W937" s="93"/>
      <c r="X937" s="93"/>
      <c r="Y937" s="93"/>
      <c r="Z937" s="93"/>
      <c r="AA937" s="93"/>
      <c r="AB937" s="93"/>
      <c r="AC937" s="93"/>
      <c r="AD937" s="93"/>
      <c r="AE937" s="93"/>
      <c r="AF937" s="93"/>
      <c r="AG937" s="93"/>
      <c r="AH937" s="93"/>
      <c r="AI937" s="93"/>
      <c r="AJ937" s="93"/>
      <c r="AK937" s="93"/>
      <c r="AL937" s="93"/>
      <c r="AM937" s="93"/>
      <c r="AN937" s="93"/>
      <c r="AO937" s="93"/>
      <c r="AP937" s="93"/>
      <c r="AQ937" s="93"/>
      <c r="AR937" s="93"/>
      <c r="AS937" s="93"/>
      <c r="AT937" s="93"/>
      <c r="AU937" s="161"/>
      <c r="AV937" s="161"/>
      <c r="AW937" s="161"/>
      <c r="AX937" s="161"/>
      <c r="AY937" s="161"/>
      <c r="AZ937" s="161"/>
      <c r="BA937" s="93"/>
      <c r="BB937" s="93"/>
      <c r="BC937" s="93"/>
      <c r="BD937" s="93"/>
      <c r="BE937" s="93"/>
      <c r="BF937" s="93"/>
      <c r="BG937" s="93"/>
      <c r="BH937" s="93"/>
      <c r="BI937" s="106"/>
      <c r="BJ937" s="106"/>
      <c r="BK937" s="106"/>
      <c r="BL937" s="106"/>
      <c r="BM937" s="106"/>
      <c r="BN937" s="106"/>
      <c r="BO937" s="106"/>
      <c r="BP937" s="106"/>
      <c r="BQ937" s="106"/>
      <c r="BR937" s="106"/>
      <c r="BS937" s="93"/>
      <c r="BT937" s="93"/>
      <c r="BU937" s="93"/>
      <c r="BW937" s="93"/>
      <c r="BX937" s="106"/>
      <c r="BZ937" s="93"/>
      <c r="CA937" s="93"/>
      <c r="CB937" s="93"/>
      <c r="CC937" s="93"/>
      <c r="CD937" s="93"/>
      <c r="CE937" s="93"/>
      <c r="CF937" s="93"/>
      <c r="CG937" s="93"/>
      <c r="CI937" s="106"/>
      <c r="CK937" s="93"/>
      <c r="CL937" s="93"/>
      <c r="CM937" s="93"/>
      <c r="CN937" s="93"/>
      <c r="CO937" s="93"/>
      <c r="CP937" s="93"/>
      <c r="CQ937" s="93"/>
      <c r="CR937" s="192"/>
      <c r="CS937" s="192"/>
      <c r="CT937" s="192"/>
      <c r="CU937" s="192"/>
      <c r="CV937" s="192"/>
      <c r="CW937" s="192"/>
      <c r="CX937" s="93"/>
      <c r="CY937" s="93"/>
      <c r="CZ937" s="93"/>
      <c r="DA937" s="93"/>
      <c r="DB937" s="93"/>
      <c r="DD937" s="106"/>
      <c r="DF937" s="93"/>
      <c r="DG937" s="93"/>
      <c r="DH937" s="193"/>
      <c r="DI937" s="93"/>
      <c r="DJ937" s="93"/>
      <c r="DK937" s="161"/>
      <c r="DL937" s="93"/>
      <c r="DM937" s="93"/>
      <c r="DN937" s="93"/>
      <c r="DO937" s="93"/>
      <c r="DP937" s="93"/>
      <c r="DQ937" s="93"/>
      <c r="DR937" s="93"/>
      <c r="DS937" s="93"/>
      <c r="DT937" s="93"/>
      <c r="DU937" s="93"/>
      <c r="DV937" s="93"/>
      <c r="DW937" s="93"/>
      <c r="DX937" s="93"/>
      <c r="DY937" s="93"/>
      <c r="DZ937" s="93"/>
      <c r="EA937" s="93"/>
      <c r="EB937" s="93"/>
      <c r="EC937" s="93"/>
      <c r="ED937" s="93"/>
      <c r="EE937" s="93"/>
      <c r="EG937" s="106"/>
      <c r="EI937" s="93"/>
      <c r="EK937" s="93"/>
      <c r="EL937" s="93"/>
      <c r="EM937" s="93"/>
      <c r="EN937" s="93"/>
      <c r="EP937" s="93"/>
      <c r="EQ937" s="93"/>
      <c r="ES937" s="93"/>
      <c r="ET937" s="93"/>
      <c r="EU937" s="93"/>
      <c r="EV937" s="93"/>
      <c r="EW937" s="93"/>
    </row>
    <row r="938" spans="1:155" ht="12.75" customHeight="1">
      <c r="A938" s="93"/>
      <c r="B938" s="93"/>
      <c r="C938" s="93"/>
      <c r="D938" s="93"/>
      <c r="E938" s="93"/>
      <c r="F938" s="93"/>
      <c r="G938" s="93"/>
      <c r="H938" s="93"/>
      <c r="I938" s="93"/>
      <c r="J938" s="93"/>
      <c r="K938" s="93"/>
      <c r="L938" s="93"/>
      <c r="M938" s="93"/>
      <c r="N938" s="93"/>
      <c r="O938" s="80" t="str">
        <f t="shared" si="1369"/>
        <v/>
      </c>
      <c r="P938" s="93"/>
      <c r="Q938" s="93"/>
      <c r="R938" s="93"/>
      <c r="S938" s="93"/>
      <c r="T938" s="93"/>
      <c r="U938" s="93"/>
      <c r="V938" s="93"/>
      <c r="W938" s="93"/>
      <c r="X938" s="93"/>
      <c r="Y938" s="93"/>
      <c r="Z938" s="93"/>
      <c r="AA938" s="93"/>
      <c r="AB938" s="93"/>
      <c r="AC938" s="93"/>
      <c r="AD938" s="93"/>
      <c r="AE938" s="93"/>
      <c r="AF938" s="93"/>
      <c r="AG938" s="93"/>
      <c r="AH938" s="93"/>
      <c r="AI938" s="93"/>
      <c r="AJ938" s="93"/>
      <c r="AK938" s="93"/>
      <c r="AL938" s="93"/>
      <c r="AM938" s="93"/>
      <c r="AN938" s="93"/>
      <c r="AO938" s="93"/>
      <c r="AP938" s="93"/>
      <c r="AQ938" s="93"/>
      <c r="AR938" s="93"/>
      <c r="AS938" s="93"/>
      <c r="AT938" s="93"/>
      <c r="AU938" s="161"/>
      <c r="AV938" s="161"/>
      <c r="AW938" s="161"/>
      <c r="AX938" s="161"/>
      <c r="AY938" s="161"/>
      <c r="AZ938" s="161"/>
      <c r="BA938" s="93"/>
      <c r="BB938" s="93"/>
      <c r="BC938" s="93"/>
      <c r="BD938" s="93"/>
      <c r="BE938" s="93"/>
      <c r="BF938" s="93"/>
      <c r="BG938" s="93"/>
      <c r="BH938" s="93"/>
      <c r="BI938" s="106"/>
      <c r="BJ938" s="106"/>
      <c r="BK938" s="106"/>
      <c r="BL938" s="106"/>
      <c r="BM938" s="106"/>
      <c r="BN938" s="106"/>
      <c r="BO938" s="106"/>
      <c r="BP938" s="106"/>
      <c r="BQ938" s="106"/>
      <c r="BR938" s="106"/>
      <c r="BS938" s="93"/>
      <c r="BT938" s="93"/>
      <c r="BU938" s="93"/>
      <c r="BW938" s="93"/>
      <c r="BX938" s="106"/>
      <c r="BZ938" s="93"/>
      <c r="CA938" s="93"/>
      <c r="CB938" s="93"/>
      <c r="CC938" s="93"/>
      <c r="CD938" s="93"/>
      <c r="CE938" s="93"/>
      <c r="CF938" s="93"/>
      <c r="CG938" s="93"/>
      <c r="CI938" s="106"/>
      <c r="CK938" s="93"/>
      <c r="CL938" s="93"/>
      <c r="CM938" s="93"/>
      <c r="CN938" s="93"/>
      <c r="CO938" s="93"/>
      <c r="CP938" s="93"/>
      <c r="CQ938" s="93"/>
      <c r="CR938" s="192"/>
      <c r="CS938" s="192"/>
      <c r="CT938" s="192"/>
      <c r="CU938" s="192"/>
      <c r="CV938" s="192"/>
      <c r="CW938" s="192"/>
      <c r="CX938" s="93"/>
      <c r="CY938" s="93"/>
      <c r="CZ938" s="93"/>
      <c r="DA938" s="93"/>
      <c r="DB938" s="93"/>
      <c r="DD938" s="106"/>
      <c r="DF938" s="93"/>
      <c r="DG938" s="93"/>
      <c r="DH938" s="193"/>
      <c r="DI938" s="93"/>
      <c r="DJ938" s="93"/>
      <c r="DK938" s="161"/>
      <c r="DL938" s="93"/>
      <c r="DM938" s="93"/>
      <c r="DN938" s="93"/>
      <c r="DO938" s="93"/>
      <c r="DP938" s="93"/>
      <c r="DQ938" s="93"/>
      <c r="DR938" s="93"/>
      <c r="DS938" s="93"/>
      <c r="DT938" s="93"/>
      <c r="DU938" s="93"/>
      <c r="DV938" s="93"/>
      <c r="DW938" s="93"/>
      <c r="DX938" s="93"/>
      <c r="DY938" s="93"/>
      <c r="DZ938" s="93"/>
      <c r="EA938" s="93"/>
      <c r="EB938" s="93"/>
      <c r="EC938" s="93"/>
      <c r="ED938" s="93"/>
      <c r="EE938" s="93"/>
      <c r="EG938" s="106"/>
      <c r="EI938" s="93"/>
      <c r="EK938" s="93"/>
      <c r="EL938" s="93"/>
      <c r="EM938" s="93"/>
      <c r="EN938" s="93"/>
      <c r="EP938" s="93"/>
      <c r="EQ938" s="93"/>
      <c r="ES938" s="93"/>
      <c r="ET938" s="93"/>
      <c r="EU938" s="93"/>
      <c r="EV938" s="93"/>
      <c r="EW938" s="93"/>
    </row>
    <row r="939" spans="1:155" ht="12.75" customHeight="1">
      <c r="A939" s="93"/>
      <c r="B939" s="93"/>
      <c r="C939" s="93"/>
      <c r="D939" s="93"/>
      <c r="E939" s="93"/>
      <c r="F939" s="93"/>
      <c r="G939" s="93"/>
      <c r="H939" s="93"/>
      <c r="I939" s="93"/>
      <c r="J939" s="93"/>
      <c r="K939" s="93"/>
      <c r="L939" s="93"/>
      <c r="M939" s="93"/>
      <c r="N939" s="93"/>
      <c r="O939" s="80" t="str">
        <f t="shared" si="1369"/>
        <v/>
      </c>
      <c r="P939" s="93"/>
      <c r="Q939" s="93"/>
      <c r="R939" s="93"/>
      <c r="S939" s="93"/>
      <c r="T939" s="93"/>
      <c r="U939" s="93"/>
      <c r="V939" s="93"/>
      <c r="W939" s="93"/>
      <c r="X939" s="93"/>
      <c r="Y939" s="93"/>
      <c r="Z939" s="93"/>
      <c r="AA939" s="93"/>
      <c r="AB939" s="93"/>
      <c r="AC939" s="93"/>
      <c r="AD939" s="93"/>
      <c r="AE939" s="93"/>
      <c r="AF939" s="93"/>
      <c r="AG939" s="93"/>
      <c r="AH939" s="93"/>
      <c r="AI939" s="93"/>
      <c r="AJ939" s="93"/>
      <c r="AK939" s="93"/>
      <c r="AL939" s="93"/>
      <c r="AM939" s="93"/>
      <c r="AN939" s="93"/>
      <c r="AO939" s="93"/>
      <c r="AP939" s="93"/>
      <c r="AQ939" s="93"/>
      <c r="AR939" s="93"/>
      <c r="AS939" s="93"/>
      <c r="AT939" s="93"/>
      <c r="AU939" s="161"/>
      <c r="AV939" s="161"/>
      <c r="AW939" s="161"/>
      <c r="AX939" s="161"/>
      <c r="AY939" s="161"/>
      <c r="AZ939" s="161"/>
      <c r="BA939" s="93"/>
      <c r="BB939" s="93"/>
      <c r="BC939" s="93"/>
      <c r="BD939" s="93"/>
      <c r="BE939" s="93"/>
      <c r="BF939" s="93"/>
      <c r="BG939" s="93"/>
      <c r="BH939" s="93"/>
      <c r="BI939" s="106"/>
      <c r="BJ939" s="106"/>
      <c r="BK939" s="106"/>
      <c r="BL939" s="106"/>
      <c r="BM939" s="106"/>
      <c r="BN939" s="106"/>
      <c r="BO939" s="106"/>
      <c r="BP939" s="106"/>
      <c r="BQ939" s="106"/>
      <c r="BR939" s="106"/>
      <c r="BS939" s="93"/>
      <c r="BT939" s="93"/>
      <c r="BU939" s="93"/>
      <c r="BW939" s="93"/>
      <c r="BX939" s="106"/>
      <c r="BZ939" s="93"/>
      <c r="CA939" s="93"/>
      <c r="CB939" s="93"/>
      <c r="CC939" s="93"/>
      <c r="CD939" s="93"/>
      <c r="CE939" s="93"/>
      <c r="CF939" s="93"/>
      <c r="CG939" s="93"/>
      <c r="CI939" s="106"/>
      <c r="CK939" s="93"/>
      <c r="CL939" s="93"/>
      <c r="CM939" s="93"/>
      <c r="CN939" s="93"/>
      <c r="CO939" s="93"/>
      <c r="CP939" s="93"/>
      <c r="CQ939" s="93"/>
      <c r="CR939" s="192"/>
      <c r="CS939" s="192"/>
      <c r="CT939" s="192"/>
      <c r="CU939" s="192"/>
      <c r="CV939" s="192"/>
      <c r="CW939" s="192"/>
      <c r="CX939" s="93"/>
      <c r="CY939" s="93"/>
      <c r="CZ939" s="93"/>
      <c r="DA939" s="93"/>
      <c r="DB939" s="93"/>
      <c r="DD939" s="106"/>
      <c r="DF939" s="93"/>
      <c r="DG939" s="93"/>
      <c r="DH939" s="193"/>
      <c r="DI939" s="93"/>
      <c r="DJ939" s="93"/>
      <c r="DK939" s="161"/>
      <c r="DL939" s="93"/>
      <c r="DM939" s="93"/>
      <c r="DN939" s="93"/>
      <c r="DO939" s="93"/>
      <c r="DP939" s="93"/>
      <c r="DQ939" s="93"/>
      <c r="DR939" s="93"/>
      <c r="DS939" s="93"/>
      <c r="DT939" s="93"/>
      <c r="DU939" s="93"/>
      <c r="DV939" s="93"/>
      <c r="DW939" s="93"/>
      <c r="DX939" s="93"/>
      <c r="DY939" s="93"/>
      <c r="DZ939" s="93"/>
      <c r="EA939" s="93"/>
      <c r="EB939" s="93"/>
      <c r="EC939" s="93"/>
      <c r="ED939" s="93"/>
      <c r="EE939" s="93"/>
      <c r="EG939" s="106"/>
      <c r="EI939" s="93"/>
      <c r="EK939" s="93"/>
      <c r="EL939" s="93"/>
      <c r="EM939" s="93"/>
      <c r="EN939" s="93"/>
      <c r="EP939" s="93"/>
      <c r="EQ939" s="93"/>
      <c r="ES939" s="93"/>
      <c r="ET939" s="93"/>
      <c r="EU939" s="93"/>
      <c r="EV939" s="93"/>
      <c r="EW939" s="93"/>
    </row>
    <row r="940" spans="1:155" ht="12.75" customHeight="1">
      <c r="A940" s="93"/>
      <c r="B940" s="93"/>
      <c r="C940" s="93"/>
      <c r="D940" s="93"/>
      <c r="E940" s="93"/>
      <c r="F940" s="93"/>
      <c r="G940" s="93"/>
      <c r="H940" s="93"/>
      <c r="I940" s="93"/>
      <c r="J940" s="93"/>
      <c r="K940" s="93"/>
      <c r="L940" s="93"/>
      <c r="M940" s="93"/>
      <c r="N940" s="93"/>
      <c r="O940" s="80" t="str">
        <f t="shared" si="1369"/>
        <v/>
      </c>
      <c r="P940" s="93"/>
      <c r="Q940" s="93"/>
      <c r="R940" s="93"/>
      <c r="S940" s="93"/>
      <c r="T940" s="93"/>
      <c r="U940" s="93"/>
      <c r="V940" s="93"/>
      <c r="W940" s="93"/>
      <c r="X940" s="93"/>
      <c r="Y940" s="93"/>
      <c r="Z940" s="93"/>
      <c r="AA940" s="93"/>
      <c r="AB940" s="93"/>
      <c r="AC940" s="93"/>
      <c r="AD940" s="93"/>
      <c r="AE940" s="93"/>
      <c r="AF940" s="93"/>
      <c r="AG940" s="93"/>
      <c r="AH940" s="93"/>
      <c r="AI940" s="93"/>
      <c r="AJ940" s="93"/>
      <c r="AK940" s="93"/>
      <c r="AL940" s="93"/>
      <c r="AM940" s="93"/>
      <c r="AN940" s="93"/>
      <c r="AO940" s="93"/>
      <c r="AP940" s="93"/>
      <c r="AQ940" s="93"/>
      <c r="AR940" s="93"/>
      <c r="AS940" s="93"/>
      <c r="AT940" s="93"/>
      <c r="AU940" s="161"/>
      <c r="AV940" s="161"/>
      <c r="AW940" s="161"/>
      <c r="AX940" s="161"/>
      <c r="AY940" s="161"/>
      <c r="AZ940" s="161"/>
      <c r="BA940" s="93"/>
      <c r="BB940" s="93"/>
      <c r="BC940" s="93"/>
      <c r="BD940" s="93"/>
      <c r="BE940" s="93"/>
      <c r="BF940" s="93"/>
      <c r="BG940" s="93"/>
      <c r="BH940" s="93"/>
      <c r="BI940" s="106"/>
      <c r="BJ940" s="106"/>
      <c r="BK940" s="106"/>
      <c r="BL940" s="106"/>
      <c r="BM940" s="106"/>
      <c r="BN940" s="106"/>
      <c r="BO940" s="106"/>
      <c r="BP940" s="106"/>
      <c r="BQ940" s="106"/>
      <c r="BR940" s="106"/>
      <c r="BS940" s="93"/>
      <c r="BT940" s="93"/>
      <c r="BU940" s="93"/>
      <c r="BW940" s="93"/>
      <c r="BX940" s="106"/>
      <c r="BZ940" s="93"/>
      <c r="CA940" s="93"/>
      <c r="CB940" s="93"/>
      <c r="CC940" s="93"/>
      <c r="CD940" s="93"/>
      <c r="CE940" s="93"/>
      <c r="CF940" s="93"/>
      <c r="CG940" s="93"/>
      <c r="CI940" s="106"/>
      <c r="CK940" s="93"/>
      <c r="CL940" s="93"/>
      <c r="CM940" s="93"/>
      <c r="CN940" s="93"/>
      <c r="CO940" s="93"/>
      <c r="CP940" s="93"/>
      <c r="CQ940" s="93"/>
      <c r="CR940" s="192"/>
      <c r="CS940" s="192"/>
      <c r="CT940" s="192"/>
      <c r="CU940" s="192"/>
      <c r="CV940" s="192"/>
      <c r="CW940" s="192"/>
      <c r="CX940" s="93"/>
      <c r="CY940" s="93"/>
      <c r="CZ940" s="93"/>
      <c r="DA940" s="93"/>
      <c r="DB940" s="93"/>
      <c r="DD940" s="106"/>
      <c r="DF940" s="93"/>
      <c r="DG940" s="93"/>
      <c r="DH940" s="193"/>
      <c r="DI940" s="93"/>
      <c r="DJ940" s="93"/>
      <c r="DK940" s="161"/>
      <c r="DL940" s="93"/>
      <c r="DM940" s="93"/>
      <c r="DN940" s="93"/>
      <c r="DO940" s="93"/>
      <c r="DP940" s="93"/>
      <c r="DQ940" s="93"/>
      <c r="DR940" s="93"/>
      <c r="DS940" s="93"/>
      <c r="DT940" s="93"/>
      <c r="DU940" s="93"/>
      <c r="DV940" s="93"/>
      <c r="DW940" s="93"/>
      <c r="DX940" s="93"/>
      <c r="DY940" s="93"/>
      <c r="DZ940" s="93"/>
      <c r="EA940" s="93"/>
      <c r="EB940" s="93"/>
      <c r="EC940" s="93"/>
      <c r="ED940" s="93"/>
      <c r="EE940" s="93"/>
      <c r="EG940" s="106"/>
      <c r="EI940" s="93"/>
      <c r="EK940" s="93"/>
      <c r="EL940" s="93"/>
      <c r="EM940" s="93"/>
      <c r="EN940" s="93"/>
      <c r="EP940" s="93"/>
      <c r="EQ940" s="93"/>
      <c r="ES940" s="93"/>
      <c r="ET940" s="93"/>
      <c r="EU940" s="93"/>
      <c r="EV940" s="93"/>
      <c r="EW940" s="93"/>
    </row>
    <row r="941" spans="1:155" ht="12.75" customHeight="1">
      <c r="A941" s="93"/>
      <c r="B941" s="93"/>
      <c r="C941" s="93"/>
      <c r="D941" s="93"/>
      <c r="E941" s="93"/>
      <c r="F941" s="93"/>
      <c r="G941" s="93"/>
      <c r="H941" s="93"/>
      <c r="I941" s="93"/>
      <c r="J941" s="93"/>
      <c r="K941" s="93"/>
      <c r="L941" s="93"/>
      <c r="M941" s="93"/>
      <c r="N941" s="93"/>
      <c r="O941" s="80" t="str">
        <f t="shared" si="1369"/>
        <v/>
      </c>
      <c r="P941" s="93"/>
      <c r="Q941" s="93"/>
      <c r="R941" s="93"/>
      <c r="S941" s="93"/>
      <c r="T941" s="93"/>
      <c r="U941" s="93"/>
      <c r="V941" s="93"/>
      <c r="W941" s="93"/>
      <c r="X941" s="93"/>
      <c r="Y941" s="93"/>
      <c r="Z941" s="93"/>
      <c r="AA941" s="93"/>
      <c r="AB941" s="93"/>
      <c r="AC941" s="93"/>
      <c r="AD941" s="93"/>
      <c r="AE941" s="93"/>
      <c r="AF941" s="93"/>
      <c r="AG941" s="93"/>
      <c r="AH941" s="93"/>
      <c r="AI941" s="93"/>
      <c r="AJ941" s="93"/>
      <c r="AK941" s="93"/>
      <c r="AL941" s="93"/>
      <c r="AM941" s="93"/>
      <c r="AN941" s="93"/>
      <c r="AO941" s="93"/>
      <c r="AP941" s="93"/>
      <c r="AQ941" s="93"/>
      <c r="AR941" s="93"/>
      <c r="AS941" s="93"/>
      <c r="AT941" s="93"/>
      <c r="AU941" s="161"/>
      <c r="AV941" s="161"/>
      <c r="AW941" s="161"/>
      <c r="AX941" s="161"/>
      <c r="AY941" s="161"/>
      <c r="AZ941" s="161"/>
      <c r="BA941" s="93"/>
      <c r="BB941" s="93"/>
      <c r="BC941" s="93"/>
      <c r="BD941" s="93"/>
      <c r="BE941" s="93"/>
      <c r="BF941" s="93"/>
      <c r="BG941" s="93"/>
      <c r="BH941" s="93"/>
      <c r="BI941" s="106"/>
      <c r="BJ941" s="106"/>
      <c r="BK941" s="106"/>
      <c r="BL941" s="106"/>
      <c r="BM941" s="106"/>
      <c r="BN941" s="106"/>
      <c r="BO941" s="106"/>
      <c r="BP941" s="106"/>
      <c r="BQ941" s="106"/>
      <c r="BR941" s="106"/>
      <c r="BS941" s="93"/>
      <c r="BT941" s="93"/>
      <c r="BU941" s="93"/>
      <c r="BW941" s="93"/>
      <c r="BX941" s="106"/>
      <c r="BZ941" s="93"/>
      <c r="CA941" s="93"/>
      <c r="CB941" s="93"/>
      <c r="CC941" s="93"/>
      <c r="CD941" s="93"/>
      <c r="CE941" s="93"/>
      <c r="CF941" s="93"/>
      <c r="CG941" s="93"/>
      <c r="CI941" s="106"/>
      <c r="CK941" s="93"/>
      <c r="CL941" s="93"/>
      <c r="CM941" s="93"/>
      <c r="CN941" s="93"/>
      <c r="CO941" s="93"/>
      <c r="CP941" s="93"/>
      <c r="CQ941" s="93"/>
      <c r="CR941" s="192"/>
      <c r="CS941" s="192"/>
      <c r="CT941" s="192"/>
      <c r="CU941" s="192"/>
      <c r="CV941" s="192"/>
      <c r="CW941" s="192"/>
      <c r="CX941" s="93"/>
      <c r="CY941" s="93"/>
      <c r="CZ941" s="93"/>
      <c r="DA941" s="93"/>
      <c r="DB941" s="93"/>
      <c r="DD941" s="106"/>
      <c r="DF941" s="93"/>
      <c r="DG941" s="93"/>
      <c r="DH941" s="193"/>
      <c r="DI941" s="93"/>
      <c r="DJ941" s="93"/>
      <c r="DK941" s="161"/>
      <c r="DL941" s="93"/>
      <c r="DM941" s="93"/>
      <c r="DN941" s="93"/>
      <c r="DO941" s="93"/>
      <c r="DP941" s="93"/>
      <c r="DQ941" s="93"/>
      <c r="DR941" s="93"/>
      <c r="DS941" s="93"/>
      <c r="DT941" s="93"/>
      <c r="DU941" s="93"/>
      <c r="DV941" s="93"/>
      <c r="DW941" s="93"/>
      <c r="DX941" s="93"/>
      <c r="DY941" s="93"/>
      <c r="DZ941" s="93"/>
      <c r="EA941" s="93"/>
      <c r="EB941" s="93"/>
      <c r="EC941" s="93"/>
      <c r="ED941" s="93"/>
      <c r="EE941" s="93"/>
      <c r="EG941" s="106"/>
      <c r="EI941" s="93"/>
      <c r="EK941" s="93"/>
      <c r="EL941" s="93"/>
      <c r="EM941" s="93"/>
      <c r="EN941" s="93"/>
      <c r="EP941" s="93"/>
      <c r="EQ941" s="93"/>
      <c r="ES941" s="93"/>
      <c r="ET941" s="93"/>
      <c r="EU941" s="93"/>
      <c r="EV941" s="93"/>
      <c r="EW941" s="93"/>
    </row>
    <row r="942" spans="1:155" ht="12.75" customHeight="1">
      <c r="A942" s="93"/>
      <c r="B942" s="93"/>
      <c r="C942" s="93"/>
      <c r="D942" s="93"/>
      <c r="E942" s="93"/>
      <c r="F942" s="93"/>
      <c r="G942" s="93"/>
      <c r="H942" s="93"/>
      <c r="I942" s="93"/>
      <c r="J942" s="93"/>
      <c r="K942" s="93"/>
      <c r="L942" s="93"/>
      <c r="M942" s="93"/>
      <c r="N942" s="93"/>
      <c r="O942" s="80" t="str">
        <f t="shared" si="1369"/>
        <v/>
      </c>
      <c r="P942" s="93"/>
      <c r="Q942" s="93"/>
      <c r="R942" s="93"/>
      <c r="S942" s="93"/>
      <c r="T942" s="93"/>
      <c r="U942" s="93"/>
      <c r="V942" s="93"/>
      <c r="W942" s="93"/>
      <c r="X942" s="93"/>
      <c r="Y942" s="93"/>
      <c r="Z942" s="93"/>
      <c r="AA942" s="93"/>
      <c r="AB942" s="93"/>
      <c r="AC942" s="93"/>
      <c r="AD942" s="93"/>
      <c r="AE942" s="93"/>
      <c r="AF942" s="93"/>
      <c r="AG942" s="93"/>
      <c r="AH942" s="93"/>
      <c r="AI942" s="93"/>
      <c r="AJ942" s="93"/>
      <c r="AK942" s="93"/>
      <c r="AL942" s="93"/>
      <c r="AM942" s="93"/>
      <c r="AN942" s="93"/>
      <c r="AO942" s="93"/>
      <c r="AP942" s="93"/>
      <c r="AQ942" s="93"/>
      <c r="AR942" s="93"/>
      <c r="AS942" s="93"/>
      <c r="AT942" s="93"/>
      <c r="AU942" s="161"/>
      <c r="AV942" s="161"/>
      <c r="AW942" s="161"/>
      <c r="AX942" s="161"/>
      <c r="AY942" s="161"/>
      <c r="AZ942" s="161"/>
      <c r="BA942" s="93"/>
      <c r="BB942" s="93"/>
      <c r="BC942" s="93"/>
      <c r="BD942" s="93"/>
      <c r="BE942" s="93"/>
      <c r="BF942" s="93"/>
      <c r="BG942" s="93"/>
      <c r="BH942" s="93"/>
      <c r="BI942" s="106"/>
      <c r="BJ942" s="106"/>
      <c r="BK942" s="106"/>
      <c r="BL942" s="106"/>
      <c r="BM942" s="106"/>
      <c r="BN942" s="106"/>
      <c r="BO942" s="106"/>
      <c r="BP942" s="106"/>
      <c r="BQ942" s="106"/>
      <c r="BR942" s="106"/>
      <c r="BS942" s="93"/>
      <c r="BT942" s="93"/>
      <c r="BU942" s="93"/>
      <c r="BW942" s="93"/>
      <c r="BX942" s="106"/>
      <c r="BZ942" s="93"/>
      <c r="CA942" s="93"/>
      <c r="CB942" s="93"/>
      <c r="CC942" s="93"/>
      <c r="CD942" s="93"/>
      <c r="CE942" s="93"/>
      <c r="CF942" s="93"/>
      <c r="CG942" s="93"/>
      <c r="CI942" s="106"/>
      <c r="CK942" s="93"/>
      <c r="CL942" s="93"/>
      <c r="CM942" s="93"/>
      <c r="CN942" s="93"/>
      <c r="CO942" s="93"/>
      <c r="CP942" s="93"/>
      <c r="CQ942" s="93"/>
      <c r="CR942" s="192"/>
      <c r="CS942" s="192"/>
      <c r="CT942" s="192"/>
      <c r="CU942" s="192"/>
      <c r="CV942" s="192"/>
      <c r="CW942" s="192"/>
      <c r="CX942" s="93"/>
      <c r="CY942" s="93"/>
      <c r="CZ942" s="93"/>
      <c r="DA942" s="93"/>
      <c r="DB942" s="93"/>
      <c r="DD942" s="106"/>
      <c r="DF942" s="93"/>
      <c r="DG942" s="93"/>
      <c r="DH942" s="193"/>
      <c r="DI942" s="93"/>
      <c r="DJ942" s="93"/>
      <c r="DK942" s="161"/>
      <c r="DL942" s="93"/>
      <c r="DM942" s="93"/>
      <c r="DN942" s="93"/>
      <c r="DO942" s="93"/>
      <c r="DP942" s="93"/>
      <c r="DQ942" s="93"/>
      <c r="DR942" s="93"/>
      <c r="DS942" s="93"/>
      <c r="DT942" s="93"/>
      <c r="DU942" s="93"/>
      <c r="DV942" s="93"/>
      <c r="DW942" s="93"/>
      <c r="DX942" s="93"/>
      <c r="DY942" s="93"/>
      <c r="DZ942" s="93"/>
      <c r="EA942" s="93"/>
      <c r="EB942" s="93"/>
      <c r="EC942" s="93"/>
      <c r="ED942" s="93"/>
      <c r="EE942" s="93"/>
      <c r="EG942" s="106"/>
      <c r="EI942" s="93"/>
      <c r="EK942" s="93"/>
      <c r="EL942" s="93"/>
      <c r="EM942" s="93"/>
      <c r="EN942" s="93"/>
      <c r="EP942" s="93"/>
      <c r="EQ942" s="93"/>
      <c r="ES942" s="93"/>
      <c r="ET942" s="93"/>
      <c r="EU942" s="93"/>
      <c r="EV942" s="93"/>
      <c r="EW942" s="93"/>
    </row>
    <row r="943" spans="1:155" ht="12.75" customHeight="1">
      <c r="A943" s="93"/>
      <c r="B943" s="93"/>
      <c r="C943" s="93"/>
      <c r="D943" s="93"/>
      <c r="E943" s="93"/>
      <c r="F943" s="93"/>
      <c r="G943" s="93"/>
      <c r="H943" s="93"/>
      <c r="I943" s="93"/>
      <c r="J943" s="93"/>
      <c r="K943" s="93"/>
      <c r="L943" s="93"/>
      <c r="M943" s="93"/>
      <c r="N943" s="93"/>
      <c r="O943" s="80" t="str">
        <f t="shared" si="1369"/>
        <v/>
      </c>
      <c r="P943" s="93"/>
      <c r="Q943" s="93"/>
      <c r="R943" s="93"/>
      <c r="S943" s="93"/>
      <c r="T943" s="93"/>
      <c r="U943" s="93"/>
      <c r="V943" s="93"/>
      <c r="W943" s="93"/>
      <c r="X943" s="93"/>
      <c r="Y943" s="93"/>
      <c r="Z943" s="93"/>
      <c r="AA943" s="93"/>
      <c r="AB943" s="93"/>
      <c r="AC943" s="93"/>
      <c r="AD943" s="93"/>
      <c r="AE943" s="93"/>
      <c r="AF943" s="93"/>
      <c r="AG943" s="93"/>
      <c r="AH943" s="93"/>
      <c r="AI943" s="93"/>
      <c r="AJ943" s="93"/>
      <c r="AK943" s="93"/>
      <c r="AL943" s="93"/>
      <c r="AM943" s="93"/>
      <c r="AN943" s="93"/>
      <c r="AO943" s="93"/>
      <c r="AP943" s="93"/>
      <c r="AQ943" s="93"/>
      <c r="AR943" s="93"/>
      <c r="AS943" s="93"/>
      <c r="AT943" s="93"/>
      <c r="AU943" s="161"/>
      <c r="AV943" s="161"/>
      <c r="AW943" s="161"/>
      <c r="AX943" s="161"/>
      <c r="AY943" s="161"/>
      <c r="AZ943" s="161"/>
      <c r="BA943" s="93"/>
      <c r="BB943" s="93"/>
      <c r="BC943" s="93"/>
      <c r="BD943" s="93"/>
      <c r="BE943" s="93"/>
      <c r="BF943" s="93"/>
      <c r="BG943" s="93"/>
      <c r="BH943" s="93"/>
      <c r="BI943" s="106"/>
      <c r="BJ943" s="106"/>
      <c r="BK943" s="106"/>
      <c r="BL943" s="106"/>
      <c r="BM943" s="106"/>
      <c r="BN943" s="106"/>
      <c r="BO943" s="106"/>
      <c r="BP943" s="106"/>
      <c r="BQ943" s="106"/>
      <c r="BR943" s="106"/>
      <c r="BS943" s="93"/>
      <c r="BT943" s="93"/>
      <c r="BU943" s="93"/>
      <c r="BW943" s="93"/>
      <c r="BX943" s="106"/>
      <c r="BZ943" s="93"/>
      <c r="CA943" s="93"/>
      <c r="CB943" s="93"/>
      <c r="CC943" s="93"/>
      <c r="CD943" s="93"/>
      <c r="CE943" s="93"/>
      <c r="CF943" s="93"/>
      <c r="CG943" s="93"/>
      <c r="CI943" s="106"/>
      <c r="CK943" s="93"/>
      <c r="CL943" s="93"/>
      <c r="CM943" s="93"/>
      <c r="CN943" s="93"/>
      <c r="CO943" s="93"/>
      <c r="CP943" s="93"/>
      <c r="CQ943" s="93"/>
      <c r="CR943" s="192"/>
      <c r="CS943" s="192"/>
      <c r="CT943" s="192"/>
      <c r="CU943" s="192"/>
      <c r="CV943" s="192"/>
      <c r="CW943" s="192"/>
      <c r="CX943" s="93"/>
      <c r="CY943" s="93"/>
      <c r="CZ943" s="93"/>
      <c r="DA943" s="93"/>
      <c r="DB943" s="93"/>
      <c r="DD943" s="106"/>
      <c r="DF943" s="93"/>
      <c r="DG943" s="93"/>
      <c r="DH943" s="193"/>
      <c r="DI943" s="93"/>
      <c r="DJ943" s="93"/>
      <c r="DK943" s="161"/>
      <c r="DL943" s="93"/>
      <c r="DM943" s="93"/>
      <c r="DN943" s="93"/>
      <c r="DO943" s="93"/>
      <c r="DP943" s="93"/>
      <c r="DQ943" s="93"/>
      <c r="DR943" s="93"/>
      <c r="DS943" s="93"/>
      <c r="DT943" s="93"/>
      <c r="DU943" s="93"/>
      <c r="DV943" s="93"/>
      <c r="DW943" s="93"/>
      <c r="DX943" s="93"/>
      <c r="DY943" s="93"/>
      <c r="DZ943" s="93"/>
      <c r="EA943" s="93"/>
      <c r="EB943" s="93"/>
      <c r="EC943" s="93"/>
      <c r="ED943" s="93"/>
      <c r="EE943" s="93"/>
      <c r="EG943" s="106"/>
      <c r="EI943" s="93"/>
      <c r="EK943" s="93"/>
      <c r="EL943" s="93"/>
      <c r="EM943" s="93"/>
      <c r="EN943" s="93"/>
      <c r="EP943" s="93"/>
      <c r="EQ943" s="93"/>
      <c r="ES943" s="93"/>
      <c r="ET943" s="93"/>
      <c r="EU943" s="93"/>
      <c r="EV943" s="93"/>
      <c r="EW943" s="93"/>
    </row>
    <row r="944" spans="1:155" ht="12.75" customHeight="1">
      <c r="A944" s="93"/>
      <c r="B944" s="93"/>
      <c r="C944" s="93"/>
      <c r="D944" s="93"/>
      <c r="E944" s="93"/>
      <c r="F944" s="93"/>
      <c r="G944" s="93"/>
      <c r="H944" s="93"/>
      <c r="I944" s="93"/>
      <c r="J944" s="93"/>
      <c r="K944" s="93"/>
      <c r="L944" s="93"/>
      <c r="M944" s="93"/>
      <c r="N944" s="93"/>
      <c r="O944" s="80" t="str">
        <f t="shared" si="1369"/>
        <v/>
      </c>
      <c r="P944" s="93"/>
      <c r="Q944" s="93"/>
      <c r="R944" s="93"/>
      <c r="S944" s="93"/>
      <c r="T944" s="93"/>
      <c r="U944" s="93"/>
      <c r="V944" s="93"/>
      <c r="W944" s="93"/>
      <c r="X944" s="93"/>
      <c r="Y944" s="93"/>
      <c r="Z944" s="93"/>
      <c r="AA944" s="93"/>
      <c r="AB944" s="93"/>
      <c r="AC944" s="93"/>
      <c r="AD944" s="93"/>
      <c r="AE944" s="93"/>
      <c r="AF944" s="93"/>
      <c r="AG944" s="93"/>
      <c r="AH944" s="93"/>
      <c r="AI944" s="93"/>
      <c r="AJ944" s="93"/>
      <c r="AK944" s="93"/>
      <c r="AL944" s="93"/>
      <c r="AM944" s="93"/>
      <c r="AN944" s="93"/>
      <c r="AO944" s="93"/>
      <c r="AP944" s="93"/>
      <c r="AQ944" s="93"/>
      <c r="AR944" s="93"/>
      <c r="AS944" s="93"/>
      <c r="AT944" s="93"/>
      <c r="AU944" s="161"/>
      <c r="AV944" s="161"/>
      <c r="AW944" s="161"/>
      <c r="AX944" s="161"/>
      <c r="AY944" s="161"/>
      <c r="AZ944" s="161"/>
      <c r="BA944" s="93"/>
      <c r="BB944" s="93"/>
      <c r="BC944" s="93"/>
      <c r="BD944" s="93"/>
      <c r="BE944" s="93"/>
      <c r="BF944" s="93"/>
      <c r="BG944" s="93"/>
      <c r="BH944" s="93"/>
      <c r="BI944" s="106"/>
      <c r="BJ944" s="106"/>
      <c r="BK944" s="106"/>
      <c r="BL944" s="106"/>
      <c r="BM944" s="106"/>
      <c r="BN944" s="106"/>
      <c r="BO944" s="106"/>
      <c r="BP944" s="106"/>
      <c r="BQ944" s="106"/>
      <c r="BR944" s="106"/>
      <c r="BS944" s="93"/>
      <c r="BT944" s="93"/>
      <c r="BU944" s="93"/>
      <c r="BW944" s="93"/>
      <c r="BX944" s="106"/>
      <c r="BZ944" s="93"/>
      <c r="CA944" s="93"/>
      <c r="CB944" s="93"/>
      <c r="CC944" s="93"/>
      <c r="CD944" s="93"/>
      <c r="CE944" s="93"/>
      <c r="CF944" s="93"/>
      <c r="CG944" s="93"/>
      <c r="CI944" s="106"/>
      <c r="CK944" s="93"/>
      <c r="CL944" s="93"/>
      <c r="CM944" s="93"/>
      <c r="CN944" s="93"/>
      <c r="CO944" s="93"/>
      <c r="CP944" s="93"/>
      <c r="CQ944" s="93"/>
      <c r="CR944" s="192"/>
      <c r="CS944" s="192"/>
      <c r="CT944" s="192"/>
      <c r="CU944" s="192"/>
      <c r="CV944" s="192"/>
      <c r="CW944" s="192"/>
      <c r="CX944" s="93"/>
      <c r="CY944" s="93"/>
      <c r="CZ944" s="93"/>
      <c r="DA944" s="93"/>
      <c r="DB944" s="93"/>
      <c r="DD944" s="106"/>
      <c r="DF944" s="93"/>
      <c r="DG944" s="93"/>
      <c r="DH944" s="193"/>
      <c r="DI944" s="93"/>
      <c r="DJ944" s="93"/>
      <c r="DK944" s="161"/>
      <c r="DL944" s="93"/>
      <c r="DM944" s="93"/>
      <c r="DN944" s="93"/>
      <c r="DO944" s="93"/>
      <c r="DP944" s="93"/>
      <c r="DQ944" s="93"/>
      <c r="DR944" s="93"/>
      <c r="DS944" s="93"/>
      <c r="DT944" s="93"/>
      <c r="DU944" s="93"/>
      <c r="DV944" s="93"/>
      <c r="DW944" s="93"/>
      <c r="DX944" s="93"/>
      <c r="DY944" s="93"/>
      <c r="DZ944" s="93"/>
      <c r="EA944" s="93"/>
      <c r="EB944" s="93"/>
      <c r="EC944" s="93"/>
      <c r="ED944" s="93"/>
      <c r="EE944" s="93"/>
      <c r="EG944" s="106"/>
      <c r="EI944" s="93"/>
      <c r="EK944" s="93"/>
      <c r="EL944" s="93"/>
      <c r="EM944" s="93"/>
      <c r="EN944" s="93"/>
      <c r="EP944" s="93"/>
      <c r="EQ944" s="93"/>
      <c r="ES944" s="93"/>
      <c r="ET944" s="93"/>
      <c r="EU944" s="93"/>
      <c r="EV944" s="93"/>
      <c r="EW944" s="93"/>
    </row>
    <row r="945" spans="1:153" ht="12.75" customHeight="1">
      <c r="A945" s="93"/>
      <c r="B945" s="93"/>
      <c r="C945" s="93"/>
      <c r="D945" s="93"/>
      <c r="E945" s="93"/>
      <c r="F945" s="93"/>
      <c r="G945" s="93"/>
      <c r="H945" s="93"/>
      <c r="I945" s="93"/>
      <c r="J945" s="93"/>
      <c r="K945" s="93"/>
      <c r="L945" s="93"/>
      <c r="M945" s="93"/>
      <c r="N945" s="93"/>
      <c r="O945" s="80" t="str">
        <f t="shared" si="1369"/>
        <v/>
      </c>
      <c r="P945" s="93"/>
      <c r="Q945" s="93"/>
      <c r="R945" s="93"/>
      <c r="S945" s="93"/>
      <c r="T945" s="93"/>
      <c r="U945" s="93"/>
      <c r="V945" s="93"/>
      <c r="W945" s="93"/>
      <c r="X945" s="93"/>
      <c r="Y945" s="93"/>
      <c r="Z945" s="93"/>
      <c r="AA945" s="93"/>
      <c r="AB945" s="93"/>
      <c r="AC945" s="93"/>
      <c r="AD945" s="93"/>
      <c r="AE945" s="93"/>
      <c r="AF945" s="93"/>
      <c r="AG945" s="93"/>
      <c r="AH945" s="93"/>
      <c r="AI945" s="93"/>
      <c r="AJ945" s="93"/>
      <c r="AK945" s="93"/>
      <c r="AL945" s="93"/>
      <c r="AM945" s="93"/>
      <c r="AN945" s="93"/>
      <c r="AO945" s="93"/>
      <c r="AP945" s="93"/>
      <c r="AQ945" s="93"/>
      <c r="AR945" s="93"/>
      <c r="AS945" s="93"/>
      <c r="AT945" s="93"/>
      <c r="AU945" s="161"/>
      <c r="AV945" s="161"/>
      <c r="AW945" s="161"/>
      <c r="AX945" s="161"/>
      <c r="AY945" s="161"/>
      <c r="AZ945" s="161"/>
      <c r="BA945" s="93"/>
      <c r="BB945" s="93"/>
      <c r="BC945" s="93"/>
      <c r="BD945" s="93"/>
      <c r="BE945" s="93"/>
      <c r="BF945" s="93"/>
      <c r="BG945" s="93"/>
      <c r="BH945" s="93"/>
      <c r="BI945" s="106"/>
      <c r="BJ945" s="106"/>
      <c r="BK945" s="106"/>
      <c r="BL945" s="106"/>
      <c r="BM945" s="106"/>
      <c r="BN945" s="106"/>
      <c r="BO945" s="106"/>
      <c r="BP945" s="106"/>
      <c r="BQ945" s="106"/>
      <c r="BR945" s="106"/>
      <c r="BS945" s="93"/>
      <c r="BT945" s="93"/>
      <c r="BU945" s="93"/>
      <c r="BW945" s="93"/>
      <c r="BX945" s="106"/>
      <c r="BZ945" s="93"/>
      <c r="CA945" s="93"/>
      <c r="CB945" s="93"/>
      <c r="CC945" s="93"/>
      <c r="CD945" s="93"/>
      <c r="CE945" s="93"/>
      <c r="CF945" s="93"/>
      <c r="CG945" s="93"/>
      <c r="CI945" s="106"/>
      <c r="CK945" s="93"/>
      <c r="CL945" s="93"/>
      <c r="CM945" s="93"/>
      <c r="CN945" s="93"/>
      <c r="CO945" s="93"/>
      <c r="CP945" s="93"/>
      <c r="CQ945" s="93"/>
      <c r="CR945" s="192"/>
      <c r="CS945" s="192"/>
      <c r="CT945" s="192"/>
      <c r="CU945" s="192"/>
      <c r="CV945" s="192"/>
      <c r="CW945" s="192"/>
      <c r="CX945" s="93"/>
      <c r="CY945" s="93"/>
      <c r="CZ945" s="93"/>
      <c r="DA945" s="93"/>
      <c r="DB945" s="93"/>
      <c r="DD945" s="106"/>
      <c r="DF945" s="93"/>
      <c r="DG945" s="93"/>
      <c r="DH945" s="193"/>
      <c r="DI945" s="93"/>
      <c r="DJ945" s="93"/>
      <c r="DK945" s="161"/>
      <c r="DL945" s="93"/>
      <c r="DM945" s="93"/>
      <c r="DN945" s="93"/>
      <c r="DO945" s="93"/>
      <c r="DP945" s="93"/>
      <c r="DQ945" s="93"/>
      <c r="DR945" s="93"/>
      <c r="DS945" s="93"/>
      <c r="DT945" s="93"/>
      <c r="DU945" s="93"/>
      <c r="DV945" s="93"/>
      <c r="DW945" s="93"/>
      <c r="DX945" s="93"/>
      <c r="DY945" s="93"/>
      <c r="DZ945" s="93"/>
      <c r="EA945" s="93"/>
      <c r="EB945" s="93"/>
      <c r="EC945" s="93"/>
      <c r="ED945" s="93"/>
      <c r="EE945" s="93"/>
      <c r="EG945" s="106"/>
      <c r="EI945" s="93"/>
      <c r="EK945" s="93"/>
      <c r="EL945" s="93"/>
      <c r="EM945" s="93"/>
      <c r="EN945" s="93"/>
      <c r="EP945" s="93"/>
      <c r="EQ945" s="93"/>
      <c r="ES945" s="93"/>
      <c r="ET945" s="93"/>
      <c r="EU945" s="93"/>
      <c r="EV945" s="93"/>
      <c r="EW945" s="93"/>
    </row>
    <row r="946" spans="1:153" ht="12.75" customHeight="1">
      <c r="A946" s="93"/>
      <c r="B946" s="93"/>
      <c r="C946" s="93"/>
      <c r="D946" s="93"/>
      <c r="E946" s="93"/>
      <c r="F946" s="93"/>
      <c r="G946" s="93"/>
      <c r="H946" s="93"/>
      <c r="I946" s="93"/>
      <c r="J946" s="93"/>
      <c r="K946" s="93"/>
      <c r="L946" s="93"/>
      <c r="M946" s="93"/>
      <c r="N946" s="93"/>
      <c r="O946" s="80" t="str">
        <f t="shared" si="1369"/>
        <v/>
      </c>
      <c r="P946" s="93"/>
      <c r="Q946" s="93"/>
      <c r="R946" s="93"/>
      <c r="S946" s="93"/>
      <c r="T946" s="93"/>
      <c r="U946" s="93"/>
      <c r="V946" s="93"/>
      <c r="W946" s="93"/>
      <c r="X946" s="93"/>
      <c r="Y946" s="93"/>
      <c r="Z946" s="93"/>
      <c r="AA946" s="93"/>
      <c r="AB946" s="93"/>
      <c r="AC946" s="93"/>
      <c r="AD946" s="93"/>
      <c r="AE946" s="93"/>
      <c r="AF946" s="93"/>
      <c r="AG946" s="93"/>
      <c r="AH946" s="93"/>
      <c r="AI946" s="93"/>
      <c r="AJ946" s="93"/>
      <c r="AK946" s="93"/>
      <c r="AL946" s="93"/>
      <c r="AM946" s="93"/>
      <c r="AN946" s="93"/>
      <c r="AO946" s="93"/>
      <c r="AP946" s="93"/>
      <c r="AQ946" s="93"/>
      <c r="AR946" s="93"/>
      <c r="AS946" s="93"/>
      <c r="AT946" s="93"/>
      <c r="AU946" s="161"/>
      <c r="AV946" s="161"/>
      <c r="AW946" s="161"/>
      <c r="AX946" s="161"/>
      <c r="AY946" s="161"/>
      <c r="AZ946" s="161"/>
      <c r="BA946" s="93"/>
      <c r="BB946" s="93"/>
      <c r="BC946" s="93"/>
      <c r="BD946" s="93"/>
      <c r="BE946" s="93"/>
      <c r="BF946" s="93"/>
      <c r="BG946" s="93"/>
      <c r="BH946" s="93"/>
      <c r="BI946" s="106"/>
      <c r="BJ946" s="106"/>
      <c r="BK946" s="106"/>
      <c r="BL946" s="106"/>
      <c r="BM946" s="106"/>
      <c r="BN946" s="106"/>
      <c r="BO946" s="106"/>
      <c r="BP946" s="106"/>
      <c r="BQ946" s="106"/>
      <c r="BR946" s="106"/>
      <c r="BS946" s="93"/>
      <c r="BT946" s="93"/>
      <c r="BU946" s="93"/>
      <c r="BW946" s="93"/>
      <c r="BX946" s="106"/>
      <c r="BZ946" s="93"/>
      <c r="CA946" s="93"/>
      <c r="CB946" s="93"/>
      <c r="CC946" s="93"/>
      <c r="CD946" s="93"/>
      <c r="CE946" s="93"/>
      <c r="CF946" s="93"/>
      <c r="CG946" s="93"/>
      <c r="CI946" s="106"/>
      <c r="CK946" s="93"/>
      <c r="CL946" s="93"/>
      <c r="CM946" s="93"/>
      <c r="CN946" s="93"/>
      <c r="CO946" s="93"/>
      <c r="CP946" s="93"/>
      <c r="CQ946" s="93"/>
      <c r="CR946" s="192"/>
      <c r="CS946" s="192"/>
      <c r="CT946" s="192"/>
      <c r="CU946" s="192"/>
      <c r="CV946" s="192"/>
      <c r="CW946" s="192"/>
      <c r="CX946" s="93"/>
      <c r="CY946" s="93"/>
      <c r="CZ946" s="93"/>
      <c r="DA946" s="93"/>
      <c r="DB946" s="93"/>
      <c r="DD946" s="106"/>
      <c r="DF946" s="93"/>
      <c r="DG946" s="93"/>
      <c r="DH946" s="193"/>
      <c r="DI946" s="93"/>
      <c r="DJ946" s="93"/>
      <c r="DK946" s="161"/>
      <c r="DL946" s="93"/>
      <c r="DM946" s="93"/>
      <c r="DN946" s="93"/>
      <c r="DO946" s="93"/>
      <c r="DP946" s="93"/>
      <c r="DQ946" s="93"/>
      <c r="DR946" s="93"/>
      <c r="DS946" s="93"/>
      <c r="DT946" s="93"/>
      <c r="DU946" s="93"/>
      <c r="DV946" s="93"/>
      <c r="DW946" s="93"/>
      <c r="DX946" s="93"/>
      <c r="DY946" s="93"/>
      <c r="DZ946" s="93"/>
      <c r="EA946" s="93"/>
      <c r="EB946" s="93"/>
      <c r="EC946" s="93"/>
      <c r="ED946" s="93"/>
      <c r="EE946" s="93"/>
      <c r="EG946" s="106"/>
      <c r="EI946" s="93"/>
      <c r="EK946" s="93"/>
      <c r="EL946" s="93"/>
      <c r="EM946" s="93"/>
      <c r="EN946" s="93"/>
      <c r="EP946" s="93"/>
      <c r="EQ946" s="93"/>
      <c r="ES946" s="93"/>
      <c r="ET946" s="93"/>
      <c r="EU946" s="93"/>
      <c r="EV946" s="93"/>
      <c r="EW946" s="93"/>
    </row>
    <row r="947" spans="1:153" ht="12.75" customHeight="1">
      <c r="A947" s="93"/>
      <c r="B947" s="93"/>
      <c r="C947" s="93"/>
      <c r="D947" s="93"/>
      <c r="E947" s="93"/>
      <c r="F947" s="93"/>
      <c r="G947" s="93"/>
      <c r="H947" s="93"/>
      <c r="I947" s="93"/>
      <c r="J947" s="93"/>
      <c r="K947" s="93"/>
      <c r="L947" s="93"/>
      <c r="M947" s="93"/>
      <c r="N947" s="93"/>
      <c r="O947" s="80" t="str">
        <f t="shared" si="1369"/>
        <v/>
      </c>
      <c r="P947" s="93"/>
      <c r="Q947" s="93"/>
      <c r="R947" s="93"/>
      <c r="S947" s="93"/>
      <c r="T947" s="93"/>
      <c r="U947" s="93"/>
      <c r="V947" s="93"/>
      <c r="W947" s="93"/>
      <c r="X947" s="93"/>
      <c r="Y947" s="93"/>
      <c r="Z947" s="93"/>
      <c r="AA947" s="93"/>
      <c r="AB947" s="93"/>
      <c r="AC947" s="93"/>
      <c r="AD947" s="93"/>
      <c r="AE947" s="93"/>
      <c r="AF947" s="93"/>
      <c r="AG947" s="93"/>
      <c r="AH947" s="93"/>
      <c r="AI947" s="93"/>
      <c r="AJ947" s="93"/>
      <c r="AK947" s="93"/>
      <c r="AL947" s="93"/>
      <c r="AM947" s="93"/>
      <c r="AN947" s="93"/>
      <c r="AO947" s="93"/>
      <c r="AP947" s="93"/>
      <c r="AQ947" s="93"/>
      <c r="AR947" s="93"/>
      <c r="AS947" s="93"/>
      <c r="AT947" s="93"/>
      <c r="AU947" s="161"/>
      <c r="AV947" s="161"/>
      <c r="AW947" s="161"/>
      <c r="AX947" s="161"/>
      <c r="AY947" s="161"/>
      <c r="AZ947" s="161"/>
      <c r="BA947" s="93"/>
      <c r="BB947" s="93"/>
      <c r="BC947" s="93"/>
      <c r="BD947" s="93"/>
      <c r="BE947" s="93"/>
      <c r="BF947" s="93"/>
      <c r="BG947" s="93"/>
      <c r="BH947" s="93"/>
      <c r="BI947" s="106"/>
      <c r="BJ947" s="106"/>
      <c r="BK947" s="106"/>
      <c r="BL947" s="106"/>
      <c r="BM947" s="106"/>
      <c r="BN947" s="106"/>
      <c r="BO947" s="106"/>
      <c r="BP947" s="106"/>
      <c r="BQ947" s="106"/>
      <c r="BR947" s="106"/>
      <c r="BS947" s="93"/>
      <c r="BT947" s="93"/>
      <c r="BU947" s="93"/>
      <c r="BW947" s="93"/>
      <c r="BX947" s="106"/>
      <c r="BZ947" s="93"/>
      <c r="CA947" s="93"/>
      <c r="CB947" s="93"/>
      <c r="CC947" s="93"/>
      <c r="CD947" s="93"/>
      <c r="CE947" s="93"/>
      <c r="CF947" s="93"/>
      <c r="CG947" s="93"/>
      <c r="CI947" s="106"/>
      <c r="CK947" s="93"/>
      <c r="CL947" s="93"/>
      <c r="CM947" s="93"/>
      <c r="CN947" s="93"/>
      <c r="CO947" s="93"/>
      <c r="CP947" s="93"/>
      <c r="CQ947" s="93"/>
      <c r="CR947" s="192"/>
      <c r="CS947" s="192"/>
      <c r="CT947" s="192"/>
      <c r="CU947" s="192"/>
      <c r="CV947" s="192"/>
      <c r="CW947" s="192"/>
      <c r="CX947" s="93"/>
      <c r="CY947" s="93"/>
      <c r="CZ947" s="93"/>
      <c r="DA947" s="93"/>
      <c r="DB947" s="93"/>
      <c r="DD947" s="106"/>
      <c r="DF947" s="93"/>
      <c r="DG947" s="93"/>
      <c r="DH947" s="193"/>
      <c r="DI947" s="93"/>
      <c r="DJ947" s="93"/>
      <c r="DK947" s="161"/>
      <c r="DL947" s="93"/>
      <c r="DM947" s="93"/>
      <c r="DN947" s="93"/>
      <c r="DO947" s="93"/>
      <c r="DP947" s="93"/>
      <c r="DQ947" s="93"/>
      <c r="DR947" s="93"/>
      <c r="DS947" s="93"/>
      <c r="DT947" s="93"/>
      <c r="DU947" s="93"/>
      <c r="DV947" s="93"/>
      <c r="DW947" s="93"/>
      <c r="DX947" s="93"/>
      <c r="DY947" s="93"/>
      <c r="DZ947" s="93"/>
      <c r="EA947" s="93"/>
      <c r="EB947" s="93"/>
      <c r="EC947" s="93"/>
      <c r="ED947" s="93"/>
      <c r="EE947" s="93"/>
      <c r="EG947" s="106"/>
      <c r="EI947" s="93"/>
      <c r="EK947" s="93"/>
      <c r="EL947" s="93"/>
      <c r="EM947" s="93"/>
      <c r="EN947" s="93"/>
      <c r="EP947" s="93"/>
      <c r="EQ947" s="93"/>
      <c r="ES947" s="93"/>
      <c r="ET947" s="93"/>
      <c r="EU947" s="93"/>
      <c r="EV947" s="93"/>
      <c r="EW947" s="93"/>
    </row>
    <row r="948" spans="1:153" ht="12.75" customHeight="1">
      <c r="A948" s="93"/>
      <c r="B948" s="93"/>
      <c r="C948" s="93"/>
      <c r="D948" s="93"/>
      <c r="E948" s="93"/>
      <c r="F948" s="93"/>
      <c r="G948" s="93"/>
      <c r="H948" s="93"/>
      <c r="I948" s="93"/>
      <c r="J948" s="93"/>
      <c r="K948" s="93"/>
      <c r="L948" s="93"/>
      <c r="M948" s="93"/>
      <c r="N948" s="93"/>
      <c r="O948" s="80" t="str">
        <f t="shared" si="1369"/>
        <v/>
      </c>
      <c r="P948" s="93"/>
      <c r="Q948" s="93"/>
      <c r="R948" s="93"/>
      <c r="S948" s="93"/>
      <c r="T948" s="93"/>
      <c r="U948" s="93"/>
      <c r="V948" s="93"/>
      <c r="W948" s="93"/>
      <c r="X948" s="93"/>
      <c r="Y948" s="93"/>
      <c r="Z948" s="93"/>
      <c r="AA948" s="93"/>
      <c r="AB948" s="93"/>
      <c r="AC948" s="93"/>
      <c r="AD948" s="93"/>
      <c r="AE948" s="93"/>
      <c r="AF948" s="93"/>
      <c r="AG948" s="93"/>
      <c r="AH948" s="93"/>
      <c r="AI948" s="93"/>
      <c r="AJ948" s="93"/>
      <c r="AK948" s="93"/>
      <c r="AL948" s="93"/>
      <c r="AM948" s="93"/>
      <c r="AN948" s="93"/>
      <c r="AO948" s="93"/>
      <c r="AP948" s="93"/>
      <c r="AQ948" s="93"/>
      <c r="AR948" s="93"/>
      <c r="AS948" s="93"/>
      <c r="AT948" s="93"/>
      <c r="AU948" s="161"/>
      <c r="AV948" s="161"/>
      <c r="AW948" s="161"/>
      <c r="AX948" s="161"/>
      <c r="AY948" s="161"/>
      <c r="AZ948" s="161"/>
      <c r="BA948" s="93"/>
      <c r="BB948" s="93"/>
      <c r="BC948" s="93"/>
      <c r="BD948" s="93"/>
      <c r="BE948" s="93"/>
      <c r="BF948" s="93"/>
      <c r="BG948" s="93"/>
      <c r="BH948" s="93"/>
      <c r="BI948" s="106"/>
      <c r="BJ948" s="106"/>
      <c r="BK948" s="106"/>
      <c r="BL948" s="106"/>
      <c r="BM948" s="106"/>
      <c r="BN948" s="106"/>
      <c r="BO948" s="106"/>
      <c r="BP948" s="106"/>
      <c r="BQ948" s="106"/>
      <c r="BR948" s="106"/>
      <c r="BS948" s="93"/>
      <c r="BT948" s="93"/>
      <c r="BU948" s="93"/>
      <c r="BW948" s="93"/>
      <c r="BX948" s="106"/>
      <c r="BZ948" s="93"/>
      <c r="CA948" s="93"/>
      <c r="CB948" s="93"/>
      <c r="CC948" s="93"/>
      <c r="CD948" s="93"/>
      <c r="CE948" s="93"/>
      <c r="CF948" s="93"/>
      <c r="CG948" s="93"/>
      <c r="CI948" s="106"/>
      <c r="CK948" s="93"/>
      <c r="CL948" s="93"/>
      <c r="CM948" s="93"/>
      <c r="CN948" s="93"/>
      <c r="CO948" s="93"/>
      <c r="CP948" s="93"/>
      <c r="CQ948" s="93"/>
      <c r="CR948" s="192"/>
      <c r="CS948" s="192"/>
      <c r="CT948" s="192"/>
      <c r="CU948" s="192"/>
      <c r="CV948" s="192"/>
      <c r="CW948" s="192"/>
      <c r="CX948" s="93"/>
      <c r="CY948" s="93"/>
      <c r="CZ948" s="93"/>
      <c r="DA948" s="93"/>
      <c r="DB948" s="93"/>
      <c r="DD948" s="106"/>
      <c r="DF948" s="93"/>
      <c r="DG948" s="93"/>
      <c r="DH948" s="193"/>
      <c r="DI948" s="93"/>
      <c r="DJ948" s="93"/>
      <c r="DK948" s="161"/>
      <c r="DL948" s="93"/>
      <c r="DM948" s="93"/>
      <c r="DN948" s="93"/>
      <c r="DO948" s="93"/>
      <c r="DP948" s="93"/>
      <c r="DQ948" s="93"/>
      <c r="DR948" s="93"/>
      <c r="DS948" s="93"/>
      <c r="DT948" s="93"/>
      <c r="DU948" s="93"/>
      <c r="DV948" s="93"/>
      <c r="DW948" s="93"/>
      <c r="DX948" s="93"/>
      <c r="DY948" s="93"/>
      <c r="DZ948" s="93"/>
      <c r="EA948" s="93"/>
      <c r="EB948" s="93"/>
      <c r="EC948" s="93"/>
      <c r="ED948" s="93"/>
      <c r="EE948" s="93"/>
      <c r="EG948" s="106"/>
      <c r="EI948" s="93"/>
      <c r="EK948" s="93"/>
      <c r="EL948" s="93"/>
      <c r="EM948" s="93"/>
      <c r="EN948" s="93"/>
      <c r="EP948" s="93"/>
      <c r="EQ948" s="93"/>
      <c r="ES948" s="93"/>
      <c r="ET948" s="93"/>
      <c r="EU948" s="93"/>
      <c r="EV948" s="93"/>
      <c r="EW948" s="93"/>
    </row>
    <row r="949" spans="1:153" ht="12.75" customHeight="1">
      <c r="A949" s="93"/>
      <c r="B949" s="93"/>
      <c r="C949" s="93"/>
      <c r="D949" s="93"/>
      <c r="E949" s="93"/>
      <c r="F949" s="93"/>
      <c r="G949" s="93"/>
      <c r="H949" s="93"/>
      <c r="I949" s="93"/>
      <c r="J949" s="93"/>
      <c r="K949" s="93"/>
      <c r="L949" s="93"/>
      <c r="M949" s="93"/>
      <c r="N949" s="93"/>
      <c r="O949" s="80" t="str">
        <f t="shared" si="1369"/>
        <v/>
      </c>
      <c r="P949" s="93"/>
      <c r="Q949" s="93"/>
      <c r="R949" s="93"/>
      <c r="S949" s="93"/>
      <c r="T949" s="93"/>
      <c r="U949" s="93"/>
      <c r="V949" s="93"/>
      <c r="W949" s="93"/>
      <c r="X949" s="93"/>
      <c r="Y949" s="93"/>
      <c r="Z949" s="93"/>
      <c r="AA949" s="93"/>
      <c r="AB949" s="93"/>
      <c r="AC949" s="93"/>
      <c r="AD949" s="93"/>
      <c r="AE949" s="93"/>
      <c r="AF949" s="93"/>
      <c r="AG949" s="93"/>
      <c r="AH949" s="93"/>
      <c r="AI949" s="93"/>
      <c r="AJ949" s="93"/>
      <c r="AK949" s="93"/>
      <c r="AL949" s="93"/>
      <c r="AM949" s="93"/>
      <c r="AN949" s="93"/>
      <c r="AO949" s="93"/>
      <c r="AP949" s="93"/>
      <c r="AQ949" s="93"/>
      <c r="AR949" s="93"/>
      <c r="AS949" s="93"/>
      <c r="AT949" s="93"/>
      <c r="AU949" s="161"/>
      <c r="AV949" s="161"/>
      <c r="AW949" s="161"/>
      <c r="AX949" s="161"/>
      <c r="AY949" s="161"/>
      <c r="AZ949" s="161"/>
      <c r="BA949" s="93"/>
      <c r="BB949" s="93"/>
      <c r="BC949" s="93"/>
      <c r="BD949" s="93"/>
      <c r="BE949" s="93"/>
      <c r="BF949" s="93"/>
      <c r="BG949" s="93"/>
      <c r="BH949" s="93"/>
      <c r="BI949" s="106"/>
      <c r="BJ949" s="106"/>
      <c r="BK949" s="106"/>
      <c r="BL949" s="106"/>
      <c r="BM949" s="106"/>
      <c r="BN949" s="106"/>
      <c r="BO949" s="106"/>
      <c r="BP949" s="106"/>
      <c r="BQ949" s="106"/>
      <c r="BR949" s="106"/>
      <c r="BS949" s="93"/>
      <c r="BT949" s="93"/>
      <c r="BU949" s="93"/>
      <c r="BW949" s="93"/>
      <c r="BX949" s="106"/>
      <c r="BZ949" s="93"/>
      <c r="CA949" s="93"/>
      <c r="CB949" s="93"/>
      <c r="CC949" s="93"/>
      <c r="CD949" s="93"/>
      <c r="CE949" s="93"/>
      <c r="CF949" s="93"/>
      <c r="CG949" s="93"/>
      <c r="CI949" s="106"/>
      <c r="CK949" s="93"/>
      <c r="CL949" s="93"/>
      <c r="CM949" s="93"/>
      <c r="CN949" s="93"/>
      <c r="CO949" s="93"/>
      <c r="CP949" s="93"/>
      <c r="CQ949" s="93"/>
      <c r="CR949" s="192"/>
      <c r="CS949" s="192"/>
      <c r="CT949" s="192"/>
      <c r="CU949" s="192"/>
      <c r="CV949" s="192"/>
      <c r="CW949" s="192"/>
      <c r="CX949" s="93"/>
      <c r="CY949" s="93"/>
      <c r="CZ949" s="93"/>
      <c r="DA949" s="93"/>
      <c r="DB949" s="93"/>
      <c r="DD949" s="106"/>
      <c r="DF949" s="93"/>
      <c r="DG949" s="93"/>
      <c r="DH949" s="193"/>
      <c r="DI949" s="93"/>
      <c r="DJ949" s="93"/>
      <c r="DK949" s="161"/>
      <c r="DL949" s="93"/>
      <c r="DM949" s="93"/>
      <c r="DN949" s="93"/>
      <c r="DO949" s="93"/>
      <c r="DP949" s="93"/>
      <c r="DQ949" s="93"/>
      <c r="DR949" s="93"/>
      <c r="DS949" s="93"/>
      <c r="DT949" s="93"/>
      <c r="DU949" s="93"/>
      <c r="DV949" s="93"/>
      <c r="DW949" s="93"/>
      <c r="DX949" s="93"/>
      <c r="DY949" s="93"/>
      <c r="DZ949" s="93"/>
      <c r="EA949" s="93"/>
      <c r="EB949" s="93"/>
      <c r="EC949" s="93"/>
      <c r="ED949" s="93"/>
      <c r="EE949" s="93"/>
      <c r="EG949" s="106"/>
      <c r="EI949" s="93"/>
      <c r="EK949" s="93"/>
      <c r="EL949" s="93"/>
      <c r="EM949" s="93"/>
      <c r="EN949" s="93"/>
      <c r="EP949" s="93"/>
      <c r="EQ949" s="93"/>
      <c r="ES949" s="93"/>
      <c r="ET949" s="93"/>
      <c r="EU949" s="93"/>
      <c r="EV949" s="93"/>
      <c r="EW949" s="93"/>
    </row>
    <row r="950" spans="1:153" ht="12.75" customHeight="1">
      <c r="A950" s="93"/>
      <c r="B950" s="93"/>
      <c r="C950" s="93"/>
      <c r="D950" s="93"/>
      <c r="E950" s="93"/>
      <c r="F950" s="93"/>
      <c r="G950" s="93"/>
      <c r="H950" s="93"/>
      <c r="I950" s="93"/>
      <c r="J950" s="93"/>
      <c r="K950" s="93"/>
      <c r="L950" s="93"/>
      <c r="M950" s="93"/>
      <c r="N950" s="93"/>
      <c r="O950" s="80" t="str">
        <f t="shared" si="1369"/>
        <v/>
      </c>
      <c r="P950" s="93"/>
      <c r="Q950" s="93"/>
      <c r="R950" s="93"/>
      <c r="S950" s="93"/>
      <c r="T950" s="93"/>
      <c r="U950" s="93"/>
      <c r="V950" s="93"/>
      <c r="W950" s="93"/>
      <c r="X950" s="93"/>
      <c r="Y950" s="93"/>
      <c r="Z950" s="93"/>
      <c r="AA950" s="93"/>
      <c r="AB950" s="93"/>
      <c r="AC950" s="93"/>
      <c r="AD950" s="93"/>
      <c r="AE950" s="93"/>
      <c r="AF950" s="93"/>
      <c r="AG950" s="93"/>
      <c r="AH950" s="93"/>
      <c r="AI950" s="93"/>
      <c r="AJ950" s="93"/>
      <c r="AK950" s="93"/>
      <c r="AL950" s="93"/>
      <c r="AM950" s="93"/>
      <c r="AN950" s="93"/>
      <c r="AO950" s="93"/>
      <c r="AP950" s="93"/>
      <c r="AQ950" s="93"/>
      <c r="AR950" s="93"/>
      <c r="AS950" s="93"/>
      <c r="AT950" s="93"/>
      <c r="AU950" s="161"/>
      <c r="AV950" s="161"/>
      <c r="AW950" s="161"/>
      <c r="AX950" s="161"/>
      <c r="AY950" s="161"/>
      <c r="AZ950" s="161"/>
      <c r="BA950" s="93"/>
      <c r="BB950" s="93"/>
      <c r="BC950" s="93"/>
      <c r="BD950" s="93"/>
      <c r="BE950" s="93"/>
      <c r="BF950" s="93"/>
      <c r="BG950" s="93"/>
      <c r="BH950" s="93"/>
      <c r="BI950" s="106"/>
      <c r="BJ950" s="106"/>
      <c r="BK950" s="106"/>
      <c r="BL950" s="106"/>
      <c r="BM950" s="106"/>
      <c r="BN950" s="106"/>
      <c r="BO950" s="106"/>
      <c r="BP950" s="106"/>
      <c r="BQ950" s="106"/>
      <c r="BR950" s="106"/>
      <c r="BS950" s="93"/>
      <c r="BT950" s="93"/>
      <c r="BU950" s="93"/>
      <c r="BW950" s="93"/>
      <c r="BX950" s="106"/>
      <c r="BZ950" s="93"/>
      <c r="CA950" s="93"/>
      <c r="CB950" s="93"/>
      <c r="CC950" s="93"/>
      <c r="CD950" s="93"/>
      <c r="CE950" s="93"/>
      <c r="CF950" s="93"/>
      <c r="CG950" s="93"/>
      <c r="CI950" s="106"/>
      <c r="CK950" s="93"/>
      <c r="CL950" s="93"/>
      <c r="CM950" s="93"/>
      <c r="CN950" s="93"/>
      <c r="CO950" s="93"/>
      <c r="CP950" s="93"/>
      <c r="CQ950" s="93"/>
      <c r="CR950" s="192"/>
      <c r="CS950" s="192"/>
      <c r="CT950" s="192"/>
      <c r="CU950" s="192"/>
      <c r="CV950" s="192"/>
      <c r="CW950" s="192"/>
      <c r="CX950" s="93"/>
      <c r="CY950" s="93"/>
      <c r="CZ950" s="93"/>
      <c r="DA950" s="93"/>
      <c r="DB950" s="93"/>
      <c r="DD950" s="106"/>
      <c r="DF950" s="93"/>
      <c r="DG950" s="93"/>
      <c r="DH950" s="193"/>
      <c r="DI950" s="93"/>
      <c r="DJ950" s="93"/>
      <c r="DK950" s="161"/>
      <c r="DL950" s="93"/>
      <c r="DM950" s="93"/>
      <c r="DN950" s="93"/>
      <c r="DO950" s="93"/>
      <c r="DP950" s="93"/>
      <c r="DQ950" s="93"/>
      <c r="DR950" s="93"/>
      <c r="DS950" s="93"/>
      <c r="DT950" s="93"/>
      <c r="DU950" s="93"/>
      <c r="DV950" s="93"/>
      <c r="DW950" s="93"/>
      <c r="DX950" s="93"/>
      <c r="DY950" s="93"/>
      <c r="DZ950" s="93"/>
      <c r="EA950" s="93"/>
      <c r="EB950" s="93"/>
      <c r="EC950" s="93"/>
      <c r="ED950" s="93"/>
      <c r="EE950" s="93"/>
      <c r="EG950" s="106"/>
      <c r="EI950" s="93"/>
      <c r="EK950" s="93"/>
      <c r="EL950" s="93"/>
      <c r="EM950" s="93"/>
      <c r="EN950" s="93"/>
      <c r="EP950" s="93"/>
      <c r="EQ950" s="93"/>
      <c r="ES950" s="93"/>
      <c r="ET950" s="93"/>
      <c r="EU950" s="93"/>
      <c r="EV950" s="93"/>
      <c r="EW950" s="93"/>
    </row>
    <row r="951" spans="1:153" ht="12.75" customHeight="1">
      <c r="A951" s="93"/>
      <c r="B951" s="93"/>
      <c r="C951" s="93"/>
      <c r="D951" s="93"/>
      <c r="E951" s="93"/>
      <c r="F951" s="93"/>
      <c r="G951" s="93"/>
      <c r="H951" s="93"/>
      <c r="I951" s="93"/>
      <c r="J951" s="93"/>
      <c r="K951" s="93"/>
      <c r="L951" s="93"/>
      <c r="M951" s="93"/>
      <c r="N951" s="93"/>
      <c r="O951" s="80" t="str">
        <f t="shared" si="1369"/>
        <v/>
      </c>
      <c r="P951" s="93"/>
      <c r="Q951" s="93"/>
      <c r="R951" s="93"/>
      <c r="S951" s="93"/>
      <c r="T951" s="93"/>
      <c r="U951" s="93"/>
      <c r="V951" s="93"/>
      <c r="W951" s="93"/>
      <c r="X951" s="93"/>
      <c r="Y951" s="93"/>
      <c r="Z951" s="93"/>
      <c r="AA951" s="93"/>
      <c r="AB951" s="93"/>
      <c r="AC951" s="93"/>
      <c r="AD951" s="93"/>
      <c r="AE951" s="93"/>
      <c r="AF951" s="93"/>
      <c r="AG951" s="93"/>
      <c r="AH951" s="93"/>
      <c r="AI951" s="93"/>
      <c r="AJ951" s="93"/>
      <c r="AK951" s="93"/>
      <c r="AL951" s="93"/>
      <c r="AM951" s="93"/>
      <c r="AN951" s="93"/>
      <c r="AO951" s="93"/>
      <c r="AP951" s="93"/>
      <c r="AQ951" s="93"/>
      <c r="AR951" s="93"/>
      <c r="AS951" s="93"/>
      <c r="AT951" s="93"/>
      <c r="AU951" s="161"/>
      <c r="AV951" s="161"/>
      <c r="AW951" s="161"/>
      <c r="AX951" s="161"/>
      <c r="AY951" s="161"/>
      <c r="AZ951" s="161"/>
      <c r="BA951" s="93"/>
      <c r="BB951" s="93"/>
      <c r="BC951" s="93"/>
      <c r="BD951" s="93"/>
      <c r="BE951" s="93"/>
      <c r="BF951" s="93"/>
      <c r="BG951" s="93"/>
      <c r="BH951" s="93"/>
      <c r="BI951" s="106"/>
      <c r="BJ951" s="106"/>
      <c r="BK951" s="106"/>
      <c r="BL951" s="106"/>
      <c r="BM951" s="106"/>
      <c r="BN951" s="106"/>
      <c r="BO951" s="106"/>
      <c r="BP951" s="106"/>
      <c r="BQ951" s="106"/>
      <c r="BR951" s="106"/>
      <c r="BS951" s="93"/>
      <c r="BT951" s="93"/>
      <c r="BU951" s="93"/>
    </row>
    <row r="952" spans="1:153" ht="12.75" customHeight="1">
      <c r="A952" s="93"/>
      <c r="B952" s="93"/>
      <c r="C952" s="93"/>
      <c r="D952" s="93"/>
      <c r="E952" s="93"/>
      <c r="F952" s="93"/>
      <c r="G952" s="93"/>
      <c r="H952" s="93"/>
      <c r="I952" s="93"/>
      <c r="J952" s="93"/>
      <c r="K952" s="93"/>
      <c r="L952" s="93"/>
      <c r="M952" s="93"/>
      <c r="N952" s="93"/>
      <c r="O952" s="80" t="str">
        <f t="shared" si="1369"/>
        <v/>
      </c>
      <c r="P952" s="93"/>
      <c r="Q952" s="93"/>
      <c r="R952" s="93"/>
      <c r="S952" s="93"/>
      <c r="T952" s="93"/>
      <c r="U952" s="93"/>
      <c r="V952" s="93"/>
      <c r="W952" s="93"/>
      <c r="X952" s="93"/>
      <c r="Y952" s="93"/>
      <c r="Z952" s="93"/>
      <c r="AA952" s="93"/>
      <c r="AB952" s="93"/>
      <c r="AC952" s="93"/>
      <c r="AD952" s="93"/>
      <c r="AE952" s="93"/>
      <c r="AF952" s="93"/>
      <c r="AG952" s="93"/>
      <c r="AH952" s="93"/>
      <c r="AI952" s="93"/>
      <c r="AJ952" s="93"/>
      <c r="AK952" s="93"/>
      <c r="AL952" s="93"/>
      <c r="AM952" s="93"/>
      <c r="AN952" s="93"/>
      <c r="AO952" s="93"/>
      <c r="AP952" s="93"/>
      <c r="AQ952" s="93"/>
      <c r="AR952" s="93"/>
      <c r="AS952" s="93"/>
      <c r="AT952" s="93"/>
      <c r="AU952" s="161"/>
      <c r="AV952" s="161"/>
      <c r="AW952" s="161"/>
      <c r="AX952" s="161"/>
      <c r="AY952" s="161"/>
      <c r="AZ952" s="161"/>
      <c r="BA952" s="93"/>
      <c r="BB952" s="93"/>
      <c r="BC952" s="93"/>
      <c r="BD952" s="93"/>
      <c r="BE952" s="93"/>
      <c r="BF952" s="93"/>
      <c r="BG952" s="93"/>
      <c r="BH952" s="93"/>
      <c r="BI952" s="106"/>
      <c r="BJ952" s="106"/>
      <c r="BK952" s="106"/>
      <c r="BL952" s="106"/>
      <c r="BM952" s="106"/>
      <c r="BN952" s="106"/>
      <c r="BO952" s="106"/>
      <c r="BP952" s="106"/>
      <c r="BQ952" s="106"/>
      <c r="BR952" s="106"/>
      <c r="BS952" s="93"/>
      <c r="BT952" s="93"/>
      <c r="BU952" s="93"/>
    </row>
    <row r="953" spans="1:153" ht="12.75" customHeight="1">
      <c r="A953" s="93"/>
      <c r="B953" s="93"/>
      <c r="C953" s="93"/>
      <c r="D953" s="93"/>
      <c r="E953" s="93"/>
      <c r="F953" s="93"/>
      <c r="G953" s="93"/>
      <c r="H953" s="93"/>
      <c r="I953" s="93"/>
      <c r="J953" s="93"/>
      <c r="K953" s="93"/>
      <c r="L953" s="93"/>
      <c r="M953" s="93"/>
      <c r="N953" s="93"/>
      <c r="O953" s="80" t="str">
        <f t="shared" si="1369"/>
        <v/>
      </c>
      <c r="P953" s="93"/>
      <c r="Q953" s="93"/>
      <c r="R953" s="93"/>
      <c r="S953" s="93"/>
      <c r="T953" s="93"/>
      <c r="U953" s="93"/>
      <c r="V953" s="93"/>
      <c r="W953" s="93"/>
      <c r="X953" s="93"/>
      <c r="Y953" s="93"/>
      <c r="Z953" s="93"/>
      <c r="AA953" s="93"/>
      <c r="AB953" s="93"/>
      <c r="AC953" s="93"/>
      <c r="AD953" s="93"/>
      <c r="AE953" s="93"/>
      <c r="AF953" s="93"/>
      <c r="AG953" s="93"/>
      <c r="AH953" s="93"/>
      <c r="AI953" s="93"/>
      <c r="AJ953" s="93"/>
      <c r="AK953" s="93"/>
      <c r="AL953" s="93"/>
      <c r="AM953" s="93"/>
      <c r="AN953" s="93"/>
      <c r="AO953" s="93"/>
      <c r="AP953" s="93"/>
      <c r="AQ953" s="93"/>
      <c r="AR953" s="93"/>
      <c r="AS953" s="93"/>
      <c r="AT953" s="93"/>
      <c r="AU953" s="161"/>
      <c r="AV953" s="161"/>
      <c r="AW953" s="161"/>
      <c r="AX953" s="161"/>
      <c r="AY953" s="161"/>
      <c r="AZ953" s="161"/>
      <c r="BA953" s="93"/>
      <c r="BB953" s="93"/>
      <c r="BC953" s="93"/>
      <c r="BD953" s="93"/>
      <c r="BE953" s="93"/>
      <c r="BF953" s="93"/>
      <c r="BG953" s="93"/>
      <c r="BH953" s="93"/>
      <c r="BI953" s="106"/>
      <c r="BJ953" s="106"/>
      <c r="BK953" s="106"/>
      <c r="BL953" s="106"/>
      <c r="BM953" s="106"/>
      <c r="BN953" s="106"/>
      <c r="BO953" s="106"/>
      <c r="BP953" s="106"/>
      <c r="BQ953" s="106"/>
      <c r="BR953" s="106"/>
      <c r="BS953" s="93"/>
      <c r="BT953" s="93"/>
      <c r="BU953" s="93"/>
    </row>
    <row r="954" spans="1:153" ht="12.75" customHeight="1">
      <c r="A954" s="93"/>
      <c r="B954" s="93"/>
      <c r="C954" s="93"/>
      <c r="D954" s="93"/>
      <c r="E954" s="93"/>
      <c r="F954" s="93"/>
      <c r="G954" s="93"/>
      <c r="H954" s="93"/>
      <c r="I954" s="93"/>
      <c r="J954" s="93"/>
      <c r="K954" s="93"/>
      <c r="L954" s="93"/>
      <c r="M954" s="93"/>
      <c r="N954" s="93"/>
      <c r="O954" s="80" t="str">
        <f t="shared" si="1369"/>
        <v/>
      </c>
      <c r="P954" s="93"/>
      <c r="Q954" s="93"/>
      <c r="R954" s="93"/>
      <c r="S954" s="93"/>
      <c r="T954" s="93"/>
      <c r="U954" s="93"/>
      <c r="V954" s="93"/>
      <c r="W954" s="93"/>
      <c r="X954" s="93"/>
      <c r="Y954" s="93"/>
      <c r="Z954" s="93"/>
      <c r="AA954" s="93"/>
      <c r="AB954" s="93"/>
      <c r="AC954" s="93"/>
      <c r="AD954" s="93"/>
      <c r="AE954" s="93"/>
      <c r="AF954" s="93"/>
      <c r="AG954" s="93"/>
      <c r="AH954" s="93"/>
      <c r="AI954" s="93"/>
      <c r="AJ954" s="93"/>
      <c r="AK954" s="93"/>
      <c r="AL954" s="93"/>
      <c r="AM954" s="93"/>
      <c r="AN954" s="93"/>
      <c r="AO954" s="93"/>
      <c r="AP954" s="93"/>
      <c r="AQ954" s="93"/>
      <c r="AR954" s="93"/>
      <c r="AS954" s="93"/>
      <c r="AT954" s="93"/>
      <c r="AU954" s="161"/>
      <c r="AV954" s="161"/>
      <c r="AW954" s="161"/>
      <c r="AX954" s="161"/>
      <c r="AY954" s="161"/>
      <c r="AZ954" s="161"/>
      <c r="BA954" s="93"/>
      <c r="BB954" s="93"/>
      <c r="BC954" s="93"/>
      <c r="BD954" s="93"/>
      <c r="BE954" s="93"/>
      <c r="BF954" s="93"/>
      <c r="BG954" s="93"/>
      <c r="BH954" s="93"/>
      <c r="BI954" s="106"/>
      <c r="BJ954" s="106"/>
      <c r="BK954" s="106"/>
      <c r="BL954" s="106"/>
      <c r="BM954" s="106"/>
      <c r="BN954" s="106"/>
      <c r="BO954" s="106"/>
      <c r="BP954" s="106"/>
      <c r="BQ954" s="106"/>
      <c r="BR954" s="106"/>
      <c r="BS954" s="93"/>
      <c r="BT954" s="93"/>
      <c r="BU954" s="93"/>
    </row>
    <row r="955" spans="1:153" ht="12.75" customHeight="1">
      <c r="A955" s="93"/>
      <c r="B955" s="93"/>
      <c r="C955" s="93"/>
      <c r="D955" s="93"/>
      <c r="E955" s="93"/>
      <c r="F955" s="93"/>
      <c r="G955" s="93"/>
      <c r="H955" s="93"/>
      <c r="I955" s="93"/>
      <c r="J955" s="93"/>
      <c r="K955" s="93"/>
      <c r="L955" s="93"/>
      <c r="M955" s="93"/>
      <c r="N955" s="93"/>
      <c r="O955" s="80" t="str">
        <f t="shared" si="1369"/>
        <v/>
      </c>
      <c r="P955" s="93"/>
      <c r="Q955" s="93"/>
      <c r="R955" s="93"/>
      <c r="S955" s="93"/>
      <c r="T955" s="93"/>
      <c r="U955" s="93"/>
      <c r="V955" s="93"/>
      <c r="W955" s="93"/>
      <c r="X955" s="93"/>
      <c r="Y955" s="93"/>
      <c r="Z955" s="93"/>
      <c r="AA955" s="93"/>
      <c r="AB955" s="93"/>
      <c r="AC955" s="93"/>
      <c r="AD955" s="93"/>
      <c r="AE955" s="93"/>
      <c r="AF955" s="93"/>
      <c r="AG955" s="93"/>
      <c r="AH955" s="93"/>
      <c r="AI955" s="93"/>
      <c r="AJ955" s="93"/>
      <c r="AK955" s="93"/>
      <c r="AL955" s="93"/>
      <c r="AM955" s="93"/>
      <c r="AN955" s="93"/>
      <c r="AO955" s="93"/>
      <c r="AP955" s="93"/>
      <c r="AQ955" s="93"/>
      <c r="AR955" s="93"/>
      <c r="AS955" s="93"/>
      <c r="AT955" s="93"/>
      <c r="AU955" s="161"/>
      <c r="AV955" s="161"/>
      <c r="AW955" s="161"/>
      <c r="AX955" s="161"/>
      <c r="AY955" s="161"/>
      <c r="AZ955" s="161"/>
      <c r="BA955" s="93"/>
      <c r="BB955" s="93"/>
      <c r="BC955" s="93"/>
      <c r="BD955" s="93"/>
      <c r="BE955" s="93"/>
      <c r="BF955" s="93"/>
      <c r="BG955" s="93"/>
      <c r="BH955" s="93"/>
      <c r="BI955" s="106"/>
      <c r="BJ955" s="106"/>
      <c r="BK955" s="106"/>
      <c r="BL955" s="106"/>
      <c r="BM955" s="106"/>
      <c r="BN955" s="106"/>
      <c r="BO955" s="106"/>
      <c r="BP955" s="106"/>
      <c r="BQ955" s="106"/>
      <c r="BR955" s="106"/>
      <c r="BS955" s="93"/>
      <c r="BT955" s="93"/>
      <c r="BU955" s="93"/>
    </row>
    <row r="956" spans="1:153" ht="12.75" customHeight="1">
      <c r="A956" s="93"/>
      <c r="B956" s="93"/>
      <c r="C956" s="93"/>
      <c r="D956" s="93"/>
      <c r="E956" s="93"/>
      <c r="F956" s="93"/>
      <c r="G956" s="93"/>
      <c r="H956" s="93"/>
      <c r="I956" s="93"/>
      <c r="J956" s="93"/>
      <c r="K956" s="93"/>
      <c r="L956" s="93"/>
      <c r="M956" s="93"/>
      <c r="N956" s="93"/>
      <c r="O956" s="80" t="str">
        <f t="shared" si="1369"/>
        <v/>
      </c>
      <c r="P956" s="93"/>
      <c r="Q956" s="93"/>
      <c r="R956" s="93"/>
      <c r="S956" s="93"/>
      <c r="T956" s="93"/>
      <c r="U956" s="93"/>
      <c r="V956" s="93"/>
      <c r="W956" s="93"/>
      <c r="X956" s="93"/>
      <c r="Y956" s="93"/>
      <c r="Z956" s="93"/>
      <c r="AA956" s="93"/>
      <c r="AB956" s="93"/>
      <c r="AC956" s="93"/>
      <c r="AD956" s="93"/>
      <c r="AE956" s="93"/>
      <c r="AF956" s="93"/>
      <c r="AG956" s="93"/>
      <c r="AH956" s="93"/>
      <c r="AI956" s="93"/>
      <c r="AJ956" s="93"/>
      <c r="AK956" s="93"/>
      <c r="AL956" s="93"/>
      <c r="AM956" s="93"/>
      <c r="AN956" s="93"/>
      <c r="AO956" s="93"/>
      <c r="AP956" s="93"/>
      <c r="AQ956" s="93"/>
      <c r="AR956" s="93"/>
      <c r="AS956" s="93"/>
      <c r="AT956" s="93"/>
      <c r="AU956" s="161"/>
      <c r="AV956" s="161"/>
      <c r="AW956" s="161"/>
      <c r="AX956" s="161"/>
      <c r="AY956" s="161"/>
      <c r="AZ956" s="161"/>
      <c r="BA956" s="93"/>
      <c r="BB956" s="93"/>
      <c r="BC956" s="93"/>
      <c r="BD956" s="93"/>
      <c r="BE956" s="93"/>
      <c r="BF956" s="93"/>
      <c r="BG956" s="93"/>
      <c r="BH956" s="93"/>
      <c r="BI956" s="106"/>
      <c r="BJ956" s="106"/>
      <c r="BK956" s="106"/>
      <c r="BL956" s="106"/>
      <c r="BM956" s="106"/>
      <c r="BN956" s="106"/>
      <c r="BO956" s="106"/>
      <c r="BP956" s="106"/>
      <c r="BQ956" s="106"/>
      <c r="BR956" s="106"/>
      <c r="BS956" s="93"/>
      <c r="BT956" s="93"/>
      <c r="BU956" s="93"/>
    </row>
    <row r="957" spans="1:153" ht="12.75" customHeight="1">
      <c r="A957" s="93"/>
      <c r="B957" s="93"/>
      <c r="C957" s="93"/>
      <c r="D957" s="93"/>
      <c r="E957" s="93"/>
      <c r="F957" s="93"/>
      <c r="G957" s="93"/>
      <c r="H957" s="93"/>
      <c r="I957" s="93"/>
      <c r="J957" s="93"/>
      <c r="K957" s="93"/>
      <c r="L957" s="93"/>
      <c r="M957" s="93"/>
      <c r="N957" s="93"/>
      <c r="O957" s="80" t="str">
        <f t="shared" si="1369"/>
        <v/>
      </c>
      <c r="P957" s="93"/>
      <c r="Q957" s="93"/>
      <c r="R957" s="93"/>
      <c r="S957" s="93"/>
      <c r="T957" s="93"/>
      <c r="U957" s="93"/>
      <c r="V957" s="93"/>
      <c r="W957" s="93"/>
      <c r="X957" s="93"/>
      <c r="Y957" s="93"/>
      <c r="Z957" s="93"/>
      <c r="AA957" s="93"/>
      <c r="AB957" s="93"/>
      <c r="AC957" s="93"/>
      <c r="AD957" s="93"/>
      <c r="AE957" s="93"/>
      <c r="AF957" s="93"/>
      <c r="AG957" s="93"/>
      <c r="AH957" s="93"/>
      <c r="AI957" s="93"/>
      <c r="AJ957" s="93"/>
      <c r="AK957" s="93"/>
      <c r="AL957" s="93"/>
      <c r="AM957" s="93"/>
      <c r="AN957" s="93"/>
      <c r="AO957" s="93"/>
      <c r="AP957" s="93"/>
      <c r="AQ957" s="93"/>
      <c r="AR957" s="93"/>
      <c r="AS957" s="93"/>
      <c r="AT957" s="93"/>
      <c r="AU957" s="161"/>
      <c r="AV957" s="161"/>
      <c r="AW957" s="161"/>
      <c r="AX957" s="161"/>
      <c r="AY957" s="161"/>
      <c r="AZ957" s="161"/>
      <c r="BA957" s="93"/>
      <c r="BB957" s="93"/>
      <c r="BC957" s="93"/>
      <c r="BD957" s="93"/>
      <c r="BE957" s="93"/>
      <c r="BF957" s="93"/>
      <c r="BG957" s="93"/>
      <c r="BH957" s="93"/>
      <c r="BI957" s="106"/>
      <c r="BJ957" s="106"/>
      <c r="BK957" s="106"/>
      <c r="BL957" s="106"/>
      <c r="BM957" s="106"/>
      <c r="BN957" s="106"/>
      <c r="BO957" s="106"/>
      <c r="BP957" s="106"/>
      <c r="BQ957" s="106"/>
      <c r="BR957" s="106"/>
      <c r="BS957" s="93"/>
      <c r="BT957" s="93"/>
      <c r="BU957" s="93"/>
    </row>
    <row r="958" spans="1:153" ht="12.75" customHeight="1">
      <c r="A958" s="93"/>
      <c r="B958" s="93"/>
      <c r="C958" s="93"/>
      <c r="D958" s="93"/>
      <c r="E958" s="93"/>
      <c r="F958" s="93"/>
      <c r="G958" s="93"/>
      <c r="H958" s="93"/>
      <c r="I958" s="93"/>
      <c r="J958" s="93"/>
      <c r="K958" s="93"/>
      <c r="L958" s="93"/>
      <c r="M958" s="93"/>
      <c r="N958" s="93"/>
      <c r="O958" s="80" t="str">
        <f t="shared" si="1369"/>
        <v/>
      </c>
      <c r="P958" s="93"/>
      <c r="Q958" s="93"/>
      <c r="R958" s="93"/>
      <c r="S958" s="93"/>
      <c r="T958" s="93"/>
      <c r="U958" s="93"/>
      <c r="V958" s="93"/>
      <c r="W958" s="93"/>
      <c r="X958" s="93"/>
      <c r="Y958" s="93"/>
      <c r="Z958" s="93"/>
      <c r="AA958" s="93"/>
      <c r="AB958" s="93"/>
      <c r="AC958" s="93"/>
      <c r="AD958" s="93"/>
      <c r="AE958" s="93"/>
      <c r="AF958" s="93"/>
      <c r="AG958" s="93"/>
      <c r="AH958" s="93"/>
      <c r="AI958" s="93"/>
      <c r="AJ958" s="93"/>
      <c r="AK958" s="93"/>
      <c r="AL958" s="93"/>
      <c r="AM958" s="93"/>
      <c r="AN958" s="93"/>
      <c r="AO958" s="93"/>
      <c r="AP958" s="93"/>
      <c r="AQ958" s="93"/>
      <c r="AR958" s="93"/>
      <c r="AS958" s="93"/>
      <c r="AT958" s="93"/>
      <c r="AU958" s="161"/>
      <c r="AV958" s="161"/>
      <c r="AW958" s="161"/>
      <c r="AX958" s="161"/>
      <c r="AY958" s="161"/>
      <c r="AZ958" s="161"/>
      <c r="BA958" s="93"/>
      <c r="BB958" s="93"/>
      <c r="BC958" s="93"/>
      <c r="BD958" s="93"/>
      <c r="BE958" s="93"/>
      <c r="BF958" s="93"/>
      <c r="BG958" s="93"/>
      <c r="BH958" s="93"/>
      <c r="BI958" s="106"/>
      <c r="BJ958" s="106"/>
      <c r="BK958" s="106"/>
      <c r="BL958" s="106"/>
      <c r="BM958" s="106"/>
      <c r="BN958" s="106"/>
      <c r="BO958" s="106"/>
      <c r="BP958" s="106"/>
      <c r="BQ958" s="106"/>
      <c r="BR958" s="106"/>
      <c r="BS958" s="93"/>
      <c r="BT958" s="93"/>
      <c r="BU958" s="93"/>
    </row>
    <row r="959" spans="1:153" ht="12.75" customHeight="1">
      <c r="A959" s="93"/>
      <c r="B959" s="93"/>
      <c r="C959" s="93"/>
      <c r="D959" s="93"/>
      <c r="E959" s="93"/>
      <c r="F959" s="93"/>
      <c r="G959" s="93"/>
      <c r="H959" s="93"/>
      <c r="I959" s="93"/>
      <c r="J959" s="93"/>
      <c r="K959" s="93"/>
      <c r="L959" s="93"/>
      <c r="M959" s="93"/>
      <c r="N959" s="93"/>
      <c r="O959" s="80" t="str">
        <f t="shared" si="1369"/>
        <v/>
      </c>
      <c r="P959" s="93"/>
      <c r="Q959" s="93"/>
      <c r="R959" s="93"/>
      <c r="S959" s="93"/>
      <c r="T959" s="93"/>
      <c r="U959" s="93"/>
      <c r="V959" s="93"/>
      <c r="W959" s="93"/>
      <c r="X959" s="93"/>
      <c r="Y959" s="93"/>
      <c r="Z959" s="93"/>
      <c r="AA959" s="93"/>
      <c r="AB959" s="93"/>
      <c r="AC959" s="93"/>
      <c r="AD959" s="93"/>
      <c r="AE959" s="93"/>
      <c r="AF959" s="93"/>
      <c r="AG959" s="93"/>
      <c r="AH959" s="93"/>
      <c r="AI959" s="93"/>
      <c r="AJ959" s="93"/>
      <c r="AK959" s="93"/>
      <c r="AL959" s="93"/>
      <c r="AM959" s="93"/>
      <c r="AN959" s="93"/>
      <c r="AO959" s="93"/>
      <c r="AP959" s="93"/>
      <c r="AQ959" s="93"/>
      <c r="AR959" s="93"/>
      <c r="AS959" s="93"/>
      <c r="AT959" s="93"/>
      <c r="AU959" s="161"/>
      <c r="AV959" s="161"/>
      <c r="AW959" s="161"/>
      <c r="AX959" s="161"/>
      <c r="AY959" s="161"/>
      <c r="AZ959" s="161"/>
      <c r="BA959" s="93"/>
      <c r="BB959" s="93"/>
      <c r="BC959" s="93"/>
      <c r="BD959" s="93"/>
      <c r="BE959" s="93"/>
      <c r="BF959" s="93"/>
      <c r="BG959" s="93"/>
      <c r="BH959" s="93"/>
      <c r="BI959" s="106"/>
      <c r="BJ959" s="106"/>
      <c r="BK959" s="106"/>
      <c r="BL959" s="106"/>
      <c r="BM959" s="106"/>
      <c r="BN959" s="106"/>
      <c r="BO959" s="106"/>
      <c r="BP959" s="106"/>
      <c r="BQ959" s="106"/>
      <c r="BR959" s="106"/>
      <c r="BS959" s="93"/>
      <c r="BT959" s="93"/>
      <c r="BU959" s="93"/>
    </row>
    <row r="960" spans="1:153" ht="12.75" customHeight="1">
      <c r="A960" s="93"/>
      <c r="B960" s="93"/>
      <c r="C960" s="93"/>
      <c r="D960" s="93"/>
      <c r="E960" s="93"/>
      <c r="F960" s="93"/>
      <c r="G960" s="93"/>
      <c r="H960" s="93"/>
      <c r="I960" s="93"/>
      <c r="J960" s="93"/>
      <c r="K960" s="93"/>
      <c r="L960" s="93"/>
      <c r="M960" s="93"/>
      <c r="N960" s="93"/>
      <c r="O960" s="80" t="str">
        <f t="shared" si="1369"/>
        <v/>
      </c>
      <c r="P960" s="93"/>
      <c r="Q960" s="93"/>
      <c r="R960" s="93"/>
      <c r="S960" s="93"/>
      <c r="T960" s="93"/>
      <c r="U960" s="93"/>
      <c r="V960" s="93"/>
      <c r="W960" s="93"/>
      <c r="X960" s="93"/>
      <c r="Y960" s="93"/>
      <c r="Z960" s="93"/>
      <c r="AA960" s="93"/>
      <c r="AB960" s="93"/>
      <c r="AC960" s="93"/>
      <c r="AD960" s="93"/>
      <c r="AE960" s="93"/>
      <c r="AF960" s="93"/>
      <c r="AG960" s="93"/>
      <c r="AH960" s="93"/>
      <c r="AI960" s="93"/>
      <c r="AJ960" s="93"/>
      <c r="AK960" s="93"/>
      <c r="AL960" s="93"/>
      <c r="AM960" s="93"/>
      <c r="AN960" s="93"/>
      <c r="AO960" s="93"/>
      <c r="AP960" s="93"/>
      <c r="AQ960" s="93"/>
      <c r="AR960" s="93"/>
      <c r="AS960" s="93"/>
      <c r="AT960" s="93"/>
      <c r="AU960" s="161"/>
      <c r="AV960" s="161"/>
      <c r="AW960" s="161"/>
      <c r="AX960" s="161"/>
      <c r="AY960" s="161"/>
      <c r="AZ960" s="161"/>
      <c r="BA960" s="93"/>
      <c r="BB960" s="93"/>
      <c r="BC960" s="93"/>
      <c r="BD960" s="93"/>
      <c r="BE960" s="93"/>
      <c r="BF960" s="93"/>
      <c r="BG960" s="93"/>
      <c r="BH960" s="93"/>
      <c r="BI960" s="106"/>
      <c r="BJ960" s="106"/>
      <c r="BK960" s="106"/>
      <c r="BL960" s="106"/>
      <c r="BM960" s="106"/>
      <c r="BN960" s="106"/>
      <c r="BO960" s="106"/>
      <c r="BP960" s="106"/>
      <c r="BQ960" s="106"/>
      <c r="BR960" s="106"/>
      <c r="BS960" s="93"/>
      <c r="BT960" s="93"/>
      <c r="BU960" s="93"/>
    </row>
    <row r="961" spans="1:73" ht="12.75" customHeight="1">
      <c r="A961" s="93"/>
      <c r="B961" s="93"/>
      <c r="C961" s="93"/>
      <c r="D961" s="93"/>
      <c r="E961" s="93"/>
      <c r="F961" s="93"/>
      <c r="G961" s="93"/>
      <c r="H961" s="93"/>
      <c r="I961" s="93"/>
      <c r="J961" s="93"/>
      <c r="K961" s="93"/>
      <c r="L961" s="93"/>
      <c r="M961" s="93"/>
      <c r="N961" s="93"/>
      <c r="O961" s="80" t="str">
        <f t="shared" si="1369"/>
        <v/>
      </c>
      <c r="P961" s="93"/>
      <c r="Q961" s="93"/>
      <c r="R961" s="93"/>
      <c r="S961" s="93"/>
      <c r="T961" s="93"/>
      <c r="U961" s="93"/>
      <c r="V961" s="93"/>
      <c r="W961" s="93"/>
      <c r="X961" s="93"/>
      <c r="Y961" s="93"/>
      <c r="Z961" s="93"/>
      <c r="AA961" s="93"/>
      <c r="AB961" s="93"/>
      <c r="AC961" s="93"/>
      <c r="AD961" s="93"/>
      <c r="AE961" s="93"/>
      <c r="AF961" s="93"/>
      <c r="AG961" s="93"/>
      <c r="AH961" s="93"/>
      <c r="AI961" s="93"/>
      <c r="AJ961" s="93"/>
      <c r="AK961" s="93"/>
      <c r="AL961" s="93"/>
      <c r="AM961" s="93"/>
      <c r="AN961" s="93"/>
      <c r="AO961" s="93"/>
      <c r="AP961" s="93"/>
      <c r="AQ961" s="93"/>
      <c r="AR961" s="93"/>
      <c r="AS961" s="93"/>
      <c r="AT961" s="93"/>
      <c r="AU961" s="161"/>
      <c r="AV961" s="161"/>
      <c r="AW961" s="161"/>
      <c r="AX961" s="161"/>
      <c r="AY961" s="161"/>
      <c r="AZ961" s="161"/>
      <c r="BA961" s="93"/>
      <c r="BB961" s="93"/>
      <c r="BC961" s="93"/>
      <c r="BD961" s="93"/>
      <c r="BE961" s="93"/>
      <c r="BF961" s="93"/>
      <c r="BG961" s="93"/>
      <c r="BH961" s="93"/>
      <c r="BI961" s="106"/>
      <c r="BJ961" s="106"/>
      <c r="BK961" s="106"/>
      <c r="BL961" s="106"/>
      <c r="BM961" s="106"/>
      <c r="BN961" s="106"/>
      <c r="BO961" s="106"/>
      <c r="BP961" s="106"/>
      <c r="BQ961" s="106"/>
      <c r="BR961" s="106"/>
      <c r="BS961" s="93"/>
      <c r="BT961" s="93"/>
      <c r="BU961" s="93"/>
    </row>
    <row r="962" spans="1:73" ht="12.75" customHeight="1">
      <c r="A962" s="93"/>
      <c r="B962" s="93"/>
      <c r="C962" s="93"/>
      <c r="D962" s="93"/>
      <c r="E962" s="93"/>
      <c r="F962" s="93"/>
      <c r="G962" s="93"/>
      <c r="H962" s="93"/>
      <c r="I962" s="93"/>
      <c r="J962" s="93"/>
      <c r="K962" s="93"/>
      <c r="L962" s="93"/>
      <c r="M962" s="93"/>
      <c r="N962" s="93"/>
      <c r="O962" s="80" t="str">
        <f t="shared" si="1369"/>
        <v/>
      </c>
      <c r="P962" s="93"/>
      <c r="Q962" s="93"/>
      <c r="R962" s="93"/>
      <c r="S962" s="93"/>
      <c r="T962" s="93"/>
      <c r="U962" s="93"/>
      <c r="V962" s="93"/>
      <c r="W962" s="93"/>
      <c r="X962" s="93"/>
      <c r="Y962" s="93"/>
      <c r="Z962" s="93"/>
      <c r="AA962" s="93"/>
      <c r="AB962" s="93"/>
      <c r="AC962" s="93"/>
      <c r="AD962" s="93"/>
      <c r="AE962" s="93"/>
      <c r="AF962" s="93"/>
      <c r="AG962" s="93"/>
      <c r="AH962" s="93"/>
      <c r="AI962" s="93"/>
      <c r="AJ962" s="93"/>
      <c r="AK962" s="93"/>
      <c r="AL962" s="93"/>
      <c r="AM962" s="93"/>
      <c r="AN962" s="93"/>
      <c r="AO962" s="93"/>
      <c r="AP962" s="93"/>
      <c r="AQ962" s="93"/>
      <c r="AR962" s="93"/>
      <c r="AS962" s="93"/>
      <c r="AT962" s="93"/>
      <c r="AU962" s="161"/>
      <c r="AV962" s="161"/>
      <c r="AW962" s="161"/>
      <c r="AX962" s="161"/>
      <c r="AY962" s="161"/>
      <c r="AZ962" s="161"/>
      <c r="BA962" s="93"/>
      <c r="BB962" s="93"/>
      <c r="BC962" s="93"/>
      <c r="BD962" s="93"/>
      <c r="BE962" s="93"/>
      <c r="BF962" s="93"/>
      <c r="BG962" s="93"/>
      <c r="BH962" s="93"/>
      <c r="BI962" s="106"/>
      <c r="BJ962" s="106"/>
      <c r="BK962" s="106"/>
      <c r="BL962" s="106"/>
      <c r="BM962" s="106"/>
      <c r="BN962" s="106"/>
      <c r="BO962" s="106"/>
      <c r="BP962" s="106"/>
      <c r="BQ962" s="106"/>
      <c r="BR962" s="106"/>
      <c r="BS962" s="93"/>
      <c r="BT962" s="93"/>
      <c r="BU962" s="93"/>
    </row>
    <row r="963" spans="1:73" ht="12.75" customHeight="1">
      <c r="A963" s="93"/>
      <c r="B963" s="93"/>
      <c r="C963" s="93"/>
      <c r="D963" s="93"/>
      <c r="E963" s="93"/>
      <c r="F963" s="93"/>
      <c r="G963" s="93"/>
      <c r="H963" s="93"/>
      <c r="I963" s="93"/>
      <c r="J963" s="93"/>
      <c r="K963" s="93"/>
      <c r="L963" s="93"/>
      <c r="M963" s="93"/>
      <c r="N963" s="93"/>
      <c r="O963" s="80" t="str">
        <f t="shared" si="1369"/>
        <v/>
      </c>
      <c r="P963" s="93"/>
      <c r="Q963" s="93"/>
      <c r="R963" s="93"/>
      <c r="S963" s="93"/>
      <c r="T963" s="93"/>
      <c r="U963" s="93"/>
      <c r="V963" s="93"/>
      <c r="W963" s="93"/>
      <c r="X963" s="93"/>
      <c r="Y963" s="93"/>
      <c r="Z963" s="93"/>
      <c r="AA963" s="93"/>
      <c r="AB963" s="93"/>
      <c r="AC963" s="93"/>
      <c r="AD963" s="93"/>
      <c r="AE963" s="93"/>
      <c r="AF963" s="93"/>
      <c r="AG963" s="93"/>
      <c r="AH963" s="93"/>
      <c r="AI963" s="93"/>
      <c r="AJ963" s="93"/>
      <c r="AK963" s="93"/>
      <c r="AL963" s="93"/>
      <c r="AM963" s="93"/>
      <c r="AN963" s="93"/>
      <c r="AO963" s="93"/>
      <c r="AP963" s="93"/>
      <c r="AQ963" s="93"/>
      <c r="AR963" s="93"/>
      <c r="AS963" s="93"/>
      <c r="AT963" s="93"/>
      <c r="AU963" s="161"/>
      <c r="AV963" s="161"/>
      <c r="AW963" s="161"/>
      <c r="AX963" s="161"/>
      <c r="AY963" s="161"/>
      <c r="AZ963" s="161"/>
      <c r="BA963" s="93"/>
      <c r="BB963" s="93"/>
      <c r="BC963" s="93"/>
      <c r="BD963" s="93"/>
      <c r="BE963" s="93"/>
      <c r="BF963" s="93"/>
      <c r="BG963" s="93"/>
      <c r="BH963" s="93"/>
      <c r="BI963" s="106"/>
      <c r="BJ963" s="106"/>
      <c r="BK963" s="106"/>
      <c r="BL963" s="106"/>
      <c r="BM963" s="106"/>
      <c r="BN963" s="106"/>
      <c r="BO963" s="106"/>
      <c r="BP963" s="106"/>
      <c r="BQ963" s="106"/>
      <c r="BR963" s="106"/>
      <c r="BS963" s="93"/>
      <c r="BT963" s="93"/>
      <c r="BU963" s="93"/>
    </row>
    <row r="964" spans="1:73" ht="12.75" customHeight="1">
      <c r="A964" s="93"/>
      <c r="B964" s="93"/>
      <c r="C964" s="93"/>
      <c r="D964" s="93"/>
      <c r="E964" s="93"/>
      <c r="F964" s="93"/>
      <c r="G964" s="93"/>
      <c r="H964" s="93"/>
      <c r="I964" s="93"/>
      <c r="J964" s="93"/>
      <c r="K964" s="93"/>
      <c r="L964" s="93"/>
      <c r="M964" s="93"/>
      <c r="N964" s="93"/>
      <c r="O964" s="80" t="str">
        <f t="shared" si="1369"/>
        <v/>
      </c>
      <c r="P964" s="93"/>
      <c r="Q964" s="93"/>
      <c r="R964" s="93"/>
      <c r="S964" s="93"/>
      <c r="T964" s="93"/>
      <c r="U964" s="93"/>
      <c r="V964" s="93"/>
      <c r="W964" s="93"/>
      <c r="X964" s="93"/>
      <c r="Y964" s="93"/>
      <c r="Z964" s="93"/>
      <c r="AA964" s="93"/>
      <c r="AB964" s="93"/>
      <c r="AC964" s="93"/>
      <c r="AD964" s="93"/>
      <c r="AE964" s="93"/>
      <c r="AF964" s="93"/>
      <c r="AG964" s="93"/>
      <c r="AH964" s="93"/>
      <c r="AI964" s="93"/>
      <c r="AJ964" s="93"/>
      <c r="AK964" s="93"/>
      <c r="AL964" s="93"/>
      <c r="AM964" s="93"/>
      <c r="AN964" s="93"/>
      <c r="AO964" s="93"/>
      <c r="AP964" s="93"/>
      <c r="AQ964" s="93"/>
      <c r="AR964" s="93"/>
      <c r="AS964" s="93"/>
      <c r="AT964" s="93"/>
      <c r="AU964" s="161"/>
      <c r="AV964" s="161"/>
      <c r="AW964" s="161"/>
      <c r="AX964" s="161"/>
      <c r="AY964" s="161"/>
      <c r="AZ964" s="161"/>
      <c r="BA964" s="93"/>
      <c r="BB964" s="93"/>
      <c r="BC964" s="93"/>
      <c r="BD964" s="93"/>
      <c r="BE964" s="93"/>
      <c r="BF964" s="93"/>
      <c r="BG964" s="93"/>
      <c r="BH964" s="93"/>
      <c r="BI964" s="106"/>
      <c r="BJ964" s="106"/>
      <c r="BK964" s="106"/>
      <c r="BL964" s="106"/>
      <c r="BM964" s="106"/>
      <c r="BN964" s="106"/>
      <c r="BO964" s="106"/>
      <c r="BP964" s="106"/>
      <c r="BQ964" s="106"/>
      <c r="BR964" s="106"/>
      <c r="BS964" s="93"/>
      <c r="BT964" s="93"/>
      <c r="BU964" s="93"/>
    </row>
    <row r="965" spans="1:73" ht="12.75" customHeight="1">
      <c r="A965" s="93"/>
      <c r="B965" s="93"/>
      <c r="C965" s="93"/>
      <c r="D965" s="93"/>
      <c r="E965" s="93"/>
      <c r="F965" s="93"/>
      <c r="G965" s="93"/>
      <c r="H965" s="93"/>
      <c r="I965" s="93"/>
      <c r="J965" s="93"/>
      <c r="K965" s="93"/>
      <c r="L965" s="93"/>
      <c r="M965" s="93"/>
      <c r="N965" s="93"/>
      <c r="O965" s="80" t="str">
        <f t="shared" si="1369"/>
        <v/>
      </c>
      <c r="P965" s="93"/>
      <c r="Q965" s="93"/>
      <c r="R965" s="93"/>
      <c r="S965" s="93"/>
      <c r="T965" s="93"/>
      <c r="U965" s="93"/>
      <c r="V965" s="93"/>
      <c r="W965" s="93"/>
      <c r="X965" s="93"/>
      <c r="Y965" s="93"/>
      <c r="Z965" s="93"/>
      <c r="AA965" s="93"/>
      <c r="AB965" s="93"/>
      <c r="AC965" s="93"/>
      <c r="AD965" s="93"/>
      <c r="AE965" s="93"/>
      <c r="AF965" s="93"/>
      <c r="AG965" s="93"/>
      <c r="AH965" s="93"/>
      <c r="AI965" s="93"/>
      <c r="AJ965" s="93"/>
      <c r="AK965" s="93"/>
      <c r="AL965" s="93"/>
      <c r="AM965" s="93"/>
      <c r="AN965" s="93"/>
      <c r="AO965" s="93"/>
      <c r="AP965" s="93"/>
      <c r="AQ965" s="93"/>
      <c r="AR965" s="93"/>
      <c r="AS965" s="93"/>
      <c r="AT965" s="93"/>
      <c r="AU965" s="161"/>
      <c r="AV965" s="161"/>
      <c r="AW965" s="161"/>
      <c r="AX965" s="161"/>
      <c r="AY965" s="161"/>
      <c r="AZ965" s="161"/>
      <c r="BA965" s="93"/>
      <c r="BB965" s="93"/>
      <c r="BC965" s="93"/>
      <c r="BD965" s="93"/>
      <c r="BE965" s="93"/>
      <c r="BF965" s="93"/>
      <c r="BG965" s="93"/>
      <c r="BH965" s="93"/>
      <c r="BI965" s="106"/>
      <c r="BJ965" s="106"/>
      <c r="BK965" s="106"/>
      <c r="BL965" s="106"/>
      <c r="BM965" s="106"/>
      <c r="BN965" s="106"/>
      <c r="BO965" s="106"/>
      <c r="BP965" s="106"/>
      <c r="BQ965" s="106"/>
      <c r="BR965" s="106"/>
      <c r="BS965" s="93"/>
      <c r="BT965" s="93"/>
      <c r="BU965" s="93"/>
    </row>
    <row r="966" spans="1:73" ht="12.75" customHeight="1">
      <c r="A966" s="93"/>
      <c r="B966" s="93"/>
      <c r="C966" s="93"/>
      <c r="D966" s="93"/>
      <c r="E966" s="93"/>
      <c r="F966" s="93"/>
      <c r="G966" s="93"/>
      <c r="H966" s="93"/>
      <c r="I966" s="93"/>
      <c r="J966" s="93"/>
      <c r="K966" s="93"/>
      <c r="L966" s="93"/>
      <c r="M966" s="93"/>
      <c r="N966" s="93"/>
      <c r="O966" s="80" t="str">
        <f t="shared" si="1369"/>
        <v/>
      </c>
      <c r="P966" s="93"/>
      <c r="Q966" s="93"/>
      <c r="R966" s="93"/>
      <c r="S966" s="93"/>
      <c r="T966" s="93"/>
      <c r="U966" s="93"/>
      <c r="V966" s="93"/>
      <c r="W966" s="93"/>
      <c r="X966" s="93"/>
      <c r="Y966" s="93"/>
      <c r="Z966" s="93"/>
      <c r="AA966" s="93"/>
      <c r="AB966" s="93"/>
      <c r="AC966" s="93"/>
      <c r="AD966" s="93"/>
      <c r="AE966" s="93"/>
      <c r="AF966" s="93"/>
      <c r="AG966" s="93"/>
      <c r="AH966" s="93"/>
      <c r="AI966" s="93"/>
      <c r="AJ966" s="93"/>
      <c r="AK966" s="93"/>
      <c r="AL966" s="93"/>
      <c r="AM966" s="93"/>
      <c r="AN966" s="93"/>
      <c r="AO966" s="93"/>
      <c r="AP966" s="93"/>
      <c r="AQ966" s="93"/>
      <c r="AR966" s="93"/>
      <c r="AS966" s="93"/>
      <c r="AT966" s="93"/>
      <c r="AU966" s="161"/>
      <c r="AV966" s="161"/>
      <c r="AW966" s="161"/>
      <c r="AX966" s="161"/>
      <c r="AY966" s="161"/>
      <c r="AZ966" s="161"/>
      <c r="BA966" s="93"/>
      <c r="BB966" s="93"/>
      <c r="BC966" s="93"/>
      <c r="BD966" s="93"/>
      <c r="BE966" s="93"/>
      <c r="BF966" s="93"/>
      <c r="BG966" s="93"/>
      <c r="BH966" s="93"/>
      <c r="BI966" s="106"/>
      <c r="BJ966" s="106"/>
      <c r="BK966" s="106"/>
      <c r="BL966" s="106"/>
      <c r="BM966" s="106"/>
      <c r="BN966" s="106"/>
      <c r="BO966" s="106"/>
      <c r="BP966" s="106"/>
      <c r="BQ966" s="106"/>
      <c r="BR966" s="106"/>
      <c r="BS966" s="93"/>
      <c r="BT966" s="93"/>
      <c r="BU966" s="93"/>
    </row>
    <row r="967" spans="1:73" ht="12.75" customHeight="1">
      <c r="A967" s="93"/>
      <c r="B967" s="93"/>
      <c r="C967" s="93"/>
      <c r="D967" s="93"/>
      <c r="E967" s="93"/>
      <c r="F967" s="93"/>
      <c r="G967" s="93"/>
      <c r="H967" s="93"/>
      <c r="I967" s="93"/>
      <c r="J967" s="93"/>
      <c r="K967" s="93"/>
      <c r="L967" s="93"/>
      <c r="M967" s="93"/>
      <c r="N967" s="93"/>
      <c r="O967" s="80" t="str">
        <f t="shared" si="1369"/>
        <v/>
      </c>
      <c r="P967" s="93"/>
      <c r="Q967" s="93"/>
      <c r="R967" s="93"/>
      <c r="S967" s="93"/>
      <c r="T967" s="93"/>
      <c r="U967" s="93"/>
      <c r="V967" s="93"/>
      <c r="W967" s="93"/>
      <c r="X967" s="93"/>
      <c r="Y967" s="93"/>
      <c r="Z967" s="93"/>
      <c r="AA967" s="93"/>
      <c r="AB967" s="93"/>
      <c r="AC967" s="93"/>
      <c r="AD967" s="93"/>
      <c r="AE967" s="93"/>
      <c r="AF967" s="93"/>
      <c r="AG967" s="93"/>
      <c r="AH967" s="93"/>
      <c r="AI967" s="93"/>
      <c r="AJ967" s="93"/>
      <c r="AK967" s="93"/>
      <c r="AL967" s="93"/>
      <c r="AM967" s="93"/>
      <c r="AN967" s="93"/>
      <c r="AO967" s="93"/>
      <c r="AP967" s="93"/>
      <c r="AQ967" s="93"/>
      <c r="AR967" s="93"/>
      <c r="AS967" s="93"/>
      <c r="AT967" s="93"/>
      <c r="AU967" s="161"/>
      <c r="AV967" s="161"/>
      <c r="AW967" s="161"/>
      <c r="AX967" s="161"/>
      <c r="AY967" s="161"/>
      <c r="AZ967" s="161"/>
      <c r="BA967" s="93"/>
      <c r="BB967" s="93"/>
      <c r="BC967" s="93"/>
      <c r="BD967" s="93"/>
      <c r="BE967" s="93"/>
      <c r="BF967" s="93"/>
      <c r="BG967" s="93"/>
      <c r="BH967" s="93"/>
      <c r="BI967" s="106"/>
      <c r="BJ967" s="106"/>
      <c r="BK967" s="106"/>
      <c r="BL967" s="106"/>
      <c r="BM967" s="106"/>
      <c r="BN967" s="106"/>
      <c r="BO967" s="106"/>
      <c r="BP967" s="106"/>
      <c r="BQ967" s="106"/>
      <c r="BR967" s="106"/>
      <c r="BS967" s="93"/>
      <c r="BT967" s="93"/>
      <c r="BU967" s="93"/>
    </row>
    <row r="968" spans="1:73" ht="12.75" customHeight="1">
      <c r="A968" s="93"/>
      <c r="B968" s="93"/>
      <c r="C968" s="93"/>
      <c r="D968" s="93"/>
      <c r="E968" s="93"/>
      <c r="F968" s="93"/>
      <c r="G968" s="93"/>
      <c r="H968" s="93"/>
      <c r="I968" s="93"/>
      <c r="J968" s="93"/>
      <c r="K968" s="93"/>
      <c r="L968" s="93"/>
      <c r="M968" s="93"/>
      <c r="N968" s="93"/>
      <c r="O968" s="80" t="str">
        <f t="shared" ref="O968:O999" si="1370">_xlfn.TEXTJOIN(", ",TRUE,P968:AN968)</f>
        <v/>
      </c>
      <c r="P968" s="93"/>
      <c r="Q968" s="93"/>
      <c r="R968" s="93"/>
      <c r="S968" s="93"/>
      <c r="T968" s="93"/>
      <c r="U968" s="93"/>
      <c r="V968" s="93"/>
      <c r="W968" s="93"/>
      <c r="X968" s="93"/>
      <c r="Y968" s="93"/>
      <c r="Z968" s="93"/>
      <c r="AA968" s="93"/>
      <c r="AB968" s="93"/>
      <c r="AC968" s="93"/>
      <c r="AD968" s="93"/>
      <c r="AE968" s="93"/>
      <c r="AF968" s="93"/>
      <c r="AG968" s="93"/>
      <c r="AH968" s="93"/>
      <c r="AI968" s="93"/>
      <c r="AJ968" s="93"/>
      <c r="AK968" s="93"/>
      <c r="AL968" s="93"/>
      <c r="AM968" s="93"/>
      <c r="AN968" s="93"/>
      <c r="AO968" s="93"/>
      <c r="AP968" s="93"/>
      <c r="AQ968" s="93"/>
      <c r="AR968" s="93"/>
      <c r="AS968" s="93"/>
      <c r="AT968" s="93"/>
      <c r="AU968" s="161"/>
      <c r="AV968" s="161"/>
      <c r="AW968" s="161"/>
      <c r="AX968" s="161"/>
      <c r="AY968" s="161"/>
      <c r="AZ968" s="161"/>
      <c r="BA968" s="93"/>
      <c r="BB968" s="93"/>
      <c r="BC968" s="93"/>
      <c r="BD968" s="93"/>
      <c r="BE968" s="93"/>
      <c r="BF968" s="93"/>
      <c r="BG968" s="93"/>
      <c r="BH968" s="93"/>
      <c r="BI968" s="106"/>
      <c r="BJ968" s="106"/>
      <c r="BK968" s="106"/>
      <c r="BL968" s="106"/>
      <c r="BM968" s="106"/>
      <c r="BN968" s="106"/>
      <c r="BO968" s="106"/>
      <c r="BP968" s="106"/>
      <c r="BQ968" s="106"/>
      <c r="BR968" s="106"/>
      <c r="BS968" s="93"/>
      <c r="BT968" s="93"/>
      <c r="BU968" s="93"/>
    </row>
    <row r="969" spans="1:73" ht="12.75" customHeight="1">
      <c r="A969" s="93"/>
      <c r="B969" s="93"/>
      <c r="C969" s="93"/>
      <c r="D969" s="93"/>
      <c r="E969" s="93"/>
      <c r="F969" s="93"/>
      <c r="G969" s="93"/>
      <c r="H969" s="93"/>
      <c r="I969" s="93"/>
      <c r="J969" s="93"/>
      <c r="K969" s="93"/>
      <c r="L969" s="93"/>
      <c r="M969" s="93"/>
      <c r="N969" s="93"/>
      <c r="O969" s="80" t="str">
        <f t="shared" si="1370"/>
        <v/>
      </c>
      <c r="P969" s="93"/>
      <c r="Q969" s="93"/>
      <c r="R969" s="93"/>
      <c r="S969" s="93"/>
      <c r="T969" s="93"/>
      <c r="U969" s="93"/>
      <c r="V969" s="93"/>
      <c r="W969" s="93"/>
      <c r="X969" s="93"/>
      <c r="Y969" s="93"/>
      <c r="Z969" s="93"/>
      <c r="AA969" s="93"/>
      <c r="AB969" s="93"/>
      <c r="AC969" s="93"/>
      <c r="AD969" s="93"/>
      <c r="AE969" s="93"/>
      <c r="AF969" s="93"/>
      <c r="AG969" s="93"/>
      <c r="AH969" s="93"/>
      <c r="AI969" s="93"/>
      <c r="AJ969" s="93"/>
      <c r="AK969" s="93"/>
      <c r="AL969" s="93"/>
      <c r="AM969" s="93"/>
      <c r="AN969" s="93"/>
      <c r="AO969" s="93"/>
      <c r="AP969" s="93"/>
      <c r="AQ969" s="93"/>
      <c r="AR969" s="93"/>
      <c r="AS969" s="93"/>
      <c r="AT969" s="93"/>
      <c r="AU969" s="161"/>
      <c r="AV969" s="161"/>
      <c r="AW969" s="161"/>
      <c r="AX969" s="161"/>
      <c r="AY969" s="161"/>
      <c r="AZ969" s="161"/>
      <c r="BA969" s="93"/>
      <c r="BB969" s="93"/>
      <c r="BC969" s="93"/>
      <c r="BD969" s="93"/>
      <c r="BE969" s="93"/>
      <c r="BF969" s="93"/>
      <c r="BG969" s="93"/>
      <c r="BH969" s="93"/>
      <c r="BI969" s="106"/>
      <c r="BJ969" s="106"/>
      <c r="BK969" s="106"/>
      <c r="BL969" s="106"/>
      <c r="BM969" s="106"/>
      <c r="BN969" s="106"/>
      <c r="BO969" s="106"/>
      <c r="BP969" s="106"/>
      <c r="BQ969" s="106"/>
      <c r="BR969" s="106"/>
      <c r="BS969" s="93"/>
      <c r="BT969" s="93"/>
      <c r="BU969" s="93"/>
    </row>
    <row r="970" spans="1:73" ht="12.75" customHeight="1">
      <c r="A970" s="93"/>
      <c r="B970" s="93"/>
      <c r="C970" s="93"/>
      <c r="D970" s="93"/>
      <c r="E970" s="93"/>
      <c r="F970" s="93"/>
      <c r="G970" s="93"/>
      <c r="H970" s="93"/>
      <c r="I970" s="93"/>
      <c r="J970" s="93"/>
      <c r="K970" s="93"/>
      <c r="L970" s="93"/>
      <c r="M970" s="93"/>
      <c r="N970" s="93"/>
      <c r="O970" s="80" t="str">
        <f t="shared" si="1370"/>
        <v/>
      </c>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c r="AM970" s="93"/>
      <c r="AN970" s="93"/>
      <c r="AO970" s="93"/>
      <c r="AP970" s="93"/>
      <c r="AQ970" s="93"/>
      <c r="AR970" s="93"/>
      <c r="AS970" s="93"/>
      <c r="AT970" s="93"/>
      <c r="AU970" s="161"/>
      <c r="AV970" s="161"/>
      <c r="AW970" s="161"/>
      <c r="AX970" s="161"/>
      <c r="AY970" s="161"/>
      <c r="AZ970" s="161"/>
      <c r="BA970" s="93"/>
      <c r="BB970" s="93"/>
      <c r="BC970" s="93"/>
      <c r="BD970" s="93"/>
      <c r="BE970" s="93"/>
      <c r="BF970" s="93"/>
      <c r="BG970" s="93"/>
      <c r="BH970" s="93"/>
      <c r="BI970" s="106"/>
      <c r="BJ970" s="106"/>
      <c r="BK970" s="106"/>
      <c r="BL970" s="106"/>
      <c r="BM970" s="106"/>
      <c r="BN970" s="106"/>
      <c r="BO970" s="106"/>
      <c r="BP970" s="106"/>
      <c r="BQ970" s="106"/>
      <c r="BR970" s="106"/>
      <c r="BS970" s="93"/>
      <c r="BT970" s="93"/>
      <c r="BU970" s="93"/>
    </row>
    <row r="971" spans="1:73" ht="12.75" customHeight="1">
      <c r="A971" s="93"/>
      <c r="B971" s="93"/>
      <c r="C971" s="93"/>
      <c r="D971" s="93"/>
      <c r="E971" s="93"/>
      <c r="F971" s="93"/>
      <c r="G971" s="93"/>
      <c r="H971" s="93"/>
      <c r="I971" s="93"/>
      <c r="J971" s="93"/>
      <c r="K971" s="93"/>
      <c r="L971" s="93"/>
      <c r="M971" s="93"/>
      <c r="N971" s="93"/>
      <c r="O971" s="80" t="str">
        <f t="shared" si="1370"/>
        <v/>
      </c>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c r="AM971" s="93"/>
      <c r="AN971" s="93"/>
      <c r="AO971" s="93"/>
      <c r="AP971" s="93"/>
      <c r="AQ971" s="93"/>
      <c r="AR971" s="93"/>
      <c r="AS971" s="93"/>
      <c r="AT971" s="93"/>
      <c r="AU971" s="161"/>
      <c r="AV971" s="161"/>
      <c r="AW971" s="161"/>
      <c r="AX971" s="161"/>
      <c r="AY971" s="161"/>
      <c r="AZ971" s="161"/>
      <c r="BA971" s="93"/>
      <c r="BB971" s="93"/>
      <c r="BC971" s="93"/>
      <c r="BD971" s="93"/>
      <c r="BE971" s="93"/>
      <c r="BF971" s="93"/>
      <c r="BG971" s="93"/>
      <c r="BH971" s="93"/>
      <c r="BI971" s="106"/>
      <c r="BJ971" s="106"/>
      <c r="BK971" s="106"/>
      <c r="BL971" s="106"/>
      <c r="BM971" s="106"/>
      <c r="BN971" s="106"/>
      <c r="BO971" s="106"/>
      <c r="BP971" s="106"/>
      <c r="BQ971" s="106"/>
      <c r="BR971" s="106"/>
      <c r="BS971" s="93"/>
      <c r="BT971" s="93"/>
      <c r="BU971" s="93"/>
    </row>
    <row r="972" spans="1:73" ht="12.75" customHeight="1">
      <c r="A972" s="93"/>
      <c r="B972" s="93"/>
      <c r="C972" s="93"/>
      <c r="D972" s="93"/>
      <c r="E972" s="93"/>
      <c r="F972" s="93"/>
      <c r="G972" s="93"/>
      <c r="H972" s="93"/>
      <c r="I972" s="93"/>
      <c r="J972" s="93"/>
      <c r="K972" s="93"/>
      <c r="L972" s="93"/>
      <c r="M972" s="93"/>
      <c r="N972" s="93"/>
      <c r="O972" s="80" t="str">
        <f t="shared" si="1370"/>
        <v/>
      </c>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c r="AM972" s="93"/>
      <c r="AN972" s="93"/>
      <c r="AO972" s="93"/>
      <c r="AP972" s="93"/>
      <c r="AQ972" s="93"/>
      <c r="AR972" s="93"/>
      <c r="AS972" s="93"/>
      <c r="AT972" s="93"/>
      <c r="AU972" s="161"/>
      <c r="AV972" s="161"/>
      <c r="AW972" s="161"/>
      <c r="AX972" s="161"/>
      <c r="AY972" s="161"/>
      <c r="AZ972" s="161"/>
      <c r="BA972" s="93"/>
      <c r="BB972" s="93"/>
      <c r="BC972" s="93"/>
      <c r="BD972" s="93"/>
      <c r="BE972" s="93"/>
      <c r="BF972" s="93"/>
      <c r="BG972" s="93"/>
      <c r="BH972" s="93"/>
      <c r="BI972" s="106"/>
      <c r="BJ972" s="106"/>
      <c r="BK972" s="106"/>
      <c r="BL972" s="106"/>
      <c r="BM972" s="106"/>
      <c r="BN972" s="106"/>
      <c r="BO972" s="106"/>
      <c r="BP972" s="106"/>
      <c r="BQ972" s="106"/>
      <c r="BR972" s="106"/>
      <c r="BS972" s="93"/>
      <c r="BT972" s="93"/>
      <c r="BU972" s="93"/>
    </row>
    <row r="973" spans="1:73" ht="12.75" customHeight="1">
      <c r="A973" s="93"/>
      <c r="B973" s="93"/>
      <c r="C973" s="93"/>
      <c r="D973" s="93"/>
      <c r="E973" s="93"/>
      <c r="F973" s="93"/>
      <c r="G973" s="93"/>
      <c r="H973" s="93"/>
      <c r="I973" s="93"/>
      <c r="J973" s="93"/>
      <c r="K973" s="93"/>
      <c r="L973" s="93"/>
      <c r="M973" s="93"/>
      <c r="N973" s="93"/>
      <c r="O973" s="80" t="str">
        <f t="shared" si="1370"/>
        <v/>
      </c>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c r="AM973" s="93"/>
      <c r="AN973" s="93"/>
      <c r="AO973" s="93"/>
      <c r="AP973" s="93"/>
      <c r="AQ973" s="93"/>
      <c r="AR973" s="93"/>
      <c r="AS973" s="93"/>
      <c r="AT973" s="93"/>
      <c r="AU973" s="161"/>
      <c r="AV973" s="161"/>
      <c r="AW973" s="161"/>
      <c r="AX973" s="161"/>
      <c r="AY973" s="161"/>
      <c r="AZ973" s="161"/>
      <c r="BA973" s="93"/>
      <c r="BB973" s="93"/>
      <c r="BC973" s="93"/>
      <c r="BD973" s="93"/>
      <c r="BE973" s="93"/>
      <c r="BF973" s="93"/>
      <c r="BG973" s="93"/>
      <c r="BH973" s="93"/>
      <c r="BI973" s="106"/>
      <c r="BJ973" s="106"/>
      <c r="BK973" s="106"/>
      <c r="BL973" s="106"/>
      <c r="BM973" s="106"/>
      <c r="BN973" s="106"/>
      <c r="BO973" s="106"/>
      <c r="BP973" s="106"/>
      <c r="BQ973" s="106"/>
      <c r="BR973" s="106"/>
      <c r="BS973" s="93"/>
      <c r="BT973" s="93"/>
      <c r="BU973" s="93"/>
    </row>
    <row r="974" spans="1:73" ht="12.75" customHeight="1">
      <c r="A974" s="93"/>
      <c r="B974" s="93"/>
      <c r="C974" s="93"/>
      <c r="D974" s="93"/>
      <c r="E974" s="93"/>
      <c r="F974" s="93"/>
      <c r="G974" s="93"/>
      <c r="H974" s="93"/>
      <c r="I974" s="93"/>
      <c r="J974" s="93"/>
      <c r="K974" s="93"/>
      <c r="L974" s="93"/>
      <c r="M974" s="93"/>
      <c r="N974" s="93"/>
      <c r="O974" s="80" t="str">
        <f t="shared" si="1370"/>
        <v/>
      </c>
      <c r="P974" s="93"/>
      <c r="Q974" s="93"/>
      <c r="R974" s="93"/>
      <c r="S974" s="93"/>
      <c r="T974" s="93"/>
      <c r="U974" s="93"/>
      <c r="V974" s="93"/>
      <c r="W974" s="93"/>
      <c r="X974" s="93"/>
      <c r="Y974" s="93"/>
      <c r="Z974" s="93"/>
      <c r="AA974" s="93"/>
      <c r="AB974" s="93"/>
      <c r="AC974" s="93"/>
      <c r="AD974" s="93"/>
      <c r="AE974" s="93"/>
      <c r="AF974" s="93"/>
      <c r="AG974" s="93"/>
      <c r="AH974" s="93"/>
      <c r="AI974" s="93"/>
      <c r="AJ974" s="93"/>
      <c r="AK974" s="93"/>
      <c r="AL974" s="93"/>
      <c r="AM974" s="93"/>
      <c r="AN974" s="93"/>
      <c r="AO974" s="93"/>
      <c r="AP974" s="93"/>
      <c r="AQ974" s="93"/>
      <c r="AR974" s="93"/>
      <c r="AS974" s="93"/>
      <c r="AT974" s="93"/>
      <c r="AU974" s="161"/>
      <c r="AV974" s="161"/>
      <c r="AW974" s="161"/>
      <c r="AX974" s="161"/>
      <c r="AY974" s="161"/>
      <c r="AZ974" s="161"/>
      <c r="BA974" s="93"/>
      <c r="BB974" s="93"/>
      <c r="BC974" s="93"/>
      <c r="BD974" s="93"/>
      <c r="BE974" s="93"/>
      <c r="BF974" s="93"/>
      <c r="BG974" s="93"/>
      <c r="BH974" s="93"/>
      <c r="BI974" s="106"/>
      <c r="BJ974" s="106"/>
      <c r="BK974" s="106"/>
      <c r="BL974" s="106"/>
      <c r="BM974" s="106"/>
      <c r="BN974" s="106"/>
      <c r="BO974" s="106"/>
      <c r="BP974" s="106"/>
      <c r="BQ974" s="106"/>
      <c r="BR974" s="106"/>
      <c r="BS974" s="93"/>
      <c r="BT974" s="93"/>
      <c r="BU974" s="93"/>
    </row>
    <row r="975" spans="1:73" ht="12.75" customHeight="1">
      <c r="A975" s="93"/>
      <c r="B975" s="93"/>
      <c r="C975" s="93"/>
      <c r="D975" s="93"/>
      <c r="E975" s="93"/>
      <c r="F975" s="93"/>
      <c r="G975" s="93"/>
      <c r="H975" s="93"/>
      <c r="I975" s="93"/>
      <c r="J975" s="93"/>
      <c r="K975" s="93"/>
      <c r="L975" s="93"/>
      <c r="M975" s="93"/>
      <c r="N975" s="93"/>
      <c r="O975" s="80" t="str">
        <f t="shared" si="1370"/>
        <v/>
      </c>
      <c r="P975" s="93"/>
      <c r="Q975" s="93"/>
      <c r="R975" s="93"/>
      <c r="S975" s="93"/>
      <c r="T975" s="93"/>
      <c r="U975" s="93"/>
      <c r="V975" s="93"/>
      <c r="W975" s="93"/>
      <c r="X975" s="93"/>
      <c r="Y975" s="93"/>
      <c r="Z975" s="93"/>
      <c r="AA975" s="93"/>
      <c r="AB975" s="93"/>
      <c r="AC975" s="93"/>
      <c r="AD975" s="93"/>
      <c r="AE975" s="93"/>
      <c r="AF975" s="93"/>
      <c r="AG975" s="93"/>
      <c r="AH975" s="93"/>
      <c r="AI975" s="93"/>
      <c r="AJ975" s="93"/>
      <c r="AK975" s="93"/>
      <c r="AL975" s="93"/>
      <c r="AM975" s="93"/>
      <c r="AN975" s="93"/>
      <c r="AO975" s="93"/>
      <c r="AP975" s="93"/>
      <c r="AQ975" s="93"/>
      <c r="AR975" s="93"/>
      <c r="AS975" s="93"/>
      <c r="AT975" s="93"/>
      <c r="AU975" s="161"/>
      <c r="AV975" s="161"/>
      <c r="AW975" s="161"/>
      <c r="AX975" s="161"/>
      <c r="AY975" s="161"/>
      <c r="AZ975" s="161"/>
      <c r="BA975" s="93"/>
      <c r="BB975" s="93"/>
      <c r="BC975" s="93"/>
      <c r="BD975" s="93"/>
      <c r="BE975" s="93"/>
      <c r="BF975" s="93"/>
      <c r="BG975" s="93"/>
      <c r="BH975" s="93"/>
      <c r="BI975" s="106"/>
      <c r="BJ975" s="106"/>
      <c r="BK975" s="106"/>
      <c r="BL975" s="106"/>
      <c r="BM975" s="106"/>
      <c r="BN975" s="106"/>
      <c r="BO975" s="106"/>
      <c r="BP975" s="106"/>
      <c r="BQ975" s="106"/>
      <c r="BR975" s="106"/>
      <c r="BS975" s="93"/>
      <c r="BT975" s="93"/>
      <c r="BU975" s="93"/>
    </row>
    <row r="976" spans="1:73" ht="12.75" customHeight="1">
      <c r="A976" s="93"/>
      <c r="B976" s="93"/>
      <c r="C976" s="93"/>
      <c r="D976" s="93"/>
      <c r="E976" s="93"/>
      <c r="F976" s="93"/>
      <c r="G976" s="93"/>
      <c r="H976" s="93"/>
      <c r="I976" s="93"/>
      <c r="J976" s="93"/>
      <c r="K976" s="93"/>
      <c r="L976" s="93"/>
      <c r="M976" s="93"/>
      <c r="N976" s="93"/>
      <c r="O976" s="80" t="str">
        <f t="shared" si="1370"/>
        <v/>
      </c>
      <c r="P976" s="93"/>
      <c r="Q976" s="93"/>
      <c r="R976" s="93"/>
      <c r="S976" s="93"/>
      <c r="T976" s="93"/>
      <c r="U976" s="93"/>
      <c r="V976" s="93"/>
      <c r="W976" s="93"/>
      <c r="X976" s="93"/>
      <c r="Y976" s="93"/>
      <c r="Z976" s="93"/>
      <c r="AA976" s="93"/>
      <c r="AB976" s="93"/>
      <c r="AC976" s="93"/>
      <c r="AD976" s="93"/>
      <c r="AE976" s="93"/>
      <c r="AF976" s="93"/>
      <c r="AG976" s="93"/>
      <c r="AH976" s="93"/>
      <c r="AI976" s="93"/>
      <c r="AJ976" s="93"/>
      <c r="AK976" s="93"/>
      <c r="AL976" s="93"/>
      <c r="AM976" s="93"/>
      <c r="AN976" s="93"/>
      <c r="AO976" s="93"/>
      <c r="AP976" s="93"/>
      <c r="AQ976" s="93"/>
      <c r="AR976" s="93"/>
      <c r="AS976" s="93"/>
      <c r="AT976" s="93"/>
      <c r="AU976" s="161"/>
      <c r="AV976" s="161"/>
      <c r="AW976" s="161"/>
      <c r="AX976" s="161"/>
      <c r="AY976" s="161"/>
      <c r="AZ976" s="161"/>
      <c r="BA976" s="93"/>
      <c r="BB976" s="93"/>
      <c r="BC976" s="93"/>
      <c r="BD976" s="93"/>
      <c r="BE976" s="93"/>
      <c r="BF976" s="93"/>
      <c r="BG976" s="93"/>
      <c r="BH976" s="93"/>
      <c r="BI976" s="106"/>
      <c r="BJ976" s="106"/>
      <c r="BK976" s="106"/>
      <c r="BL976" s="106"/>
      <c r="BM976" s="106"/>
      <c r="BN976" s="106"/>
      <c r="BO976" s="106"/>
      <c r="BP976" s="106"/>
      <c r="BQ976" s="106"/>
      <c r="BR976" s="106"/>
      <c r="BS976" s="93"/>
      <c r="BT976" s="93"/>
      <c r="BU976" s="93"/>
    </row>
    <row r="977" spans="1:73" ht="12.75" customHeight="1">
      <c r="A977" s="93"/>
      <c r="B977" s="93"/>
      <c r="C977" s="93"/>
      <c r="D977" s="93"/>
      <c r="E977" s="93"/>
      <c r="F977" s="93"/>
      <c r="G977" s="93"/>
      <c r="H977" s="93"/>
      <c r="I977" s="93"/>
      <c r="J977" s="93"/>
      <c r="K977" s="93"/>
      <c r="L977" s="93"/>
      <c r="M977" s="93"/>
      <c r="N977" s="93"/>
      <c r="O977" s="80" t="str">
        <f t="shared" si="1370"/>
        <v/>
      </c>
      <c r="P977" s="93"/>
      <c r="Q977" s="93"/>
      <c r="R977" s="93"/>
      <c r="S977" s="93"/>
      <c r="T977" s="93"/>
      <c r="U977" s="93"/>
      <c r="V977" s="93"/>
      <c r="W977" s="93"/>
      <c r="X977" s="93"/>
      <c r="Y977" s="93"/>
      <c r="Z977" s="93"/>
      <c r="AA977" s="93"/>
      <c r="AB977" s="93"/>
      <c r="AC977" s="93"/>
      <c r="AD977" s="93"/>
      <c r="AE977" s="93"/>
      <c r="AF977" s="93"/>
      <c r="AG977" s="93"/>
      <c r="AH977" s="93"/>
      <c r="AI977" s="93"/>
      <c r="AJ977" s="93"/>
      <c r="AK977" s="93"/>
      <c r="AL977" s="93"/>
      <c r="AM977" s="93"/>
      <c r="AN977" s="93"/>
      <c r="AO977" s="93"/>
      <c r="AP977" s="93"/>
      <c r="AQ977" s="93"/>
      <c r="AR977" s="93"/>
      <c r="AS977" s="93"/>
      <c r="AT977" s="93"/>
      <c r="AU977" s="161"/>
      <c r="AV977" s="161"/>
      <c r="AW977" s="161"/>
      <c r="AX977" s="161"/>
      <c r="AY977" s="161"/>
      <c r="AZ977" s="161"/>
      <c r="BA977" s="93"/>
      <c r="BB977" s="93"/>
      <c r="BC977" s="93"/>
      <c r="BD977" s="93"/>
      <c r="BE977" s="93"/>
      <c r="BF977" s="93"/>
      <c r="BG977" s="93"/>
      <c r="BH977" s="93"/>
      <c r="BI977" s="106"/>
      <c r="BJ977" s="106"/>
      <c r="BK977" s="106"/>
      <c r="BL977" s="106"/>
      <c r="BM977" s="106"/>
      <c r="BN977" s="106"/>
      <c r="BO977" s="106"/>
      <c r="BP977" s="106"/>
      <c r="BQ977" s="106"/>
      <c r="BR977" s="106"/>
      <c r="BS977" s="93"/>
      <c r="BT977" s="93"/>
      <c r="BU977" s="93"/>
    </row>
    <row r="978" spans="1:73" ht="12.75" customHeight="1">
      <c r="A978" s="93"/>
      <c r="B978" s="93"/>
      <c r="C978" s="93"/>
      <c r="D978" s="93"/>
      <c r="E978" s="93"/>
      <c r="F978" s="93"/>
      <c r="G978" s="93"/>
      <c r="H978" s="93"/>
      <c r="I978" s="93"/>
      <c r="J978" s="93"/>
      <c r="K978" s="93"/>
      <c r="L978" s="93"/>
      <c r="M978" s="93"/>
      <c r="N978" s="93"/>
      <c r="O978" s="80" t="str">
        <f t="shared" si="1370"/>
        <v/>
      </c>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c r="AM978" s="93"/>
      <c r="AN978" s="93"/>
      <c r="AO978" s="93"/>
      <c r="AP978" s="93"/>
      <c r="AQ978" s="93"/>
      <c r="AR978" s="93"/>
      <c r="AS978" s="93"/>
      <c r="AT978" s="93"/>
      <c r="AU978" s="161"/>
      <c r="AV978" s="161"/>
      <c r="AW978" s="161"/>
      <c r="AX978" s="161"/>
      <c r="AY978" s="161"/>
      <c r="AZ978" s="161"/>
      <c r="BA978" s="93"/>
      <c r="BB978" s="93"/>
      <c r="BC978" s="93"/>
      <c r="BD978" s="93"/>
      <c r="BE978" s="93"/>
      <c r="BF978" s="93"/>
      <c r="BG978" s="93"/>
      <c r="BH978" s="93"/>
      <c r="BI978" s="106"/>
      <c r="BJ978" s="106"/>
      <c r="BK978" s="106"/>
      <c r="BL978" s="106"/>
      <c r="BM978" s="106"/>
      <c r="BN978" s="106"/>
      <c r="BO978" s="106"/>
      <c r="BP978" s="106"/>
      <c r="BQ978" s="106"/>
      <c r="BR978" s="106"/>
      <c r="BS978" s="93"/>
      <c r="BT978" s="93"/>
      <c r="BU978" s="93"/>
    </row>
    <row r="979" spans="1:73" ht="12.75" customHeight="1">
      <c r="A979" s="93"/>
      <c r="B979" s="93"/>
      <c r="C979" s="93"/>
      <c r="D979" s="93"/>
      <c r="E979" s="93"/>
      <c r="F979" s="93"/>
      <c r="G979" s="93"/>
      <c r="H979" s="93"/>
      <c r="I979" s="93"/>
      <c r="J979" s="93"/>
      <c r="K979" s="93"/>
      <c r="L979" s="93"/>
      <c r="M979" s="93"/>
      <c r="N979" s="93"/>
      <c r="O979" s="80" t="str">
        <f t="shared" si="1370"/>
        <v/>
      </c>
      <c r="P979" s="93"/>
      <c r="Q979" s="93"/>
      <c r="R979" s="93"/>
      <c r="S979" s="93"/>
      <c r="T979" s="93"/>
      <c r="U979" s="93"/>
      <c r="V979" s="93"/>
      <c r="W979" s="93"/>
      <c r="X979" s="93"/>
      <c r="Y979" s="93"/>
      <c r="Z979" s="93"/>
      <c r="AA979" s="93"/>
      <c r="AB979" s="93"/>
      <c r="AC979" s="93"/>
      <c r="AD979" s="93"/>
      <c r="AE979" s="93"/>
      <c r="AF979" s="93"/>
      <c r="AG979" s="93"/>
      <c r="AH979" s="93"/>
      <c r="AI979" s="93"/>
      <c r="AJ979" s="93"/>
      <c r="AK979" s="93"/>
      <c r="AL979" s="93"/>
      <c r="AM979" s="93"/>
      <c r="AN979" s="93"/>
      <c r="AO979" s="93"/>
      <c r="AP979" s="93"/>
      <c r="AQ979" s="93"/>
      <c r="AR979" s="93"/>
      <c r="AS979" s="93"/>
      <c r="AT979" s="93"/>
      <c r="AU979" s="161"/>
      <c r="AV979" s="161"/>
      <c r="AW979" s="161"/>
      <c r="AX979" s="161"/>
      <c r="AY979" s="161"/>
      <c r="AZ979" s="161"/>
      <c r="BA979" s="93"/>
      <c r="BB979" s="93"/>
      <c r="BC979" s="93"/>
      <c r="BD979" s="93"/>
      <c r="BE979" s="93"/>
      <c r="BF979" s="93"/>
      <c r="BG979" s="93"/>
      <c r="BH979" s="93"/>
      <c r="BI979" s="106"/>
      <c r="BJ979" s="106"/>
      <c r="BK979" s="106"/>
      <c r="BL979" s="106"/>
      <c r="BM979" s="106"/>
      <c r="BN979" s="106"/>
      <c r="BO979" s="106"/>
      <c r="BP979" s="106"/>
      <c r="BQ979" s="106"/>
      <c r="BR979" s="106"/>
      <c r="BS979" s="93"/>
      <c r="BT979" s="93"/>
      <c r="BU979" s="93"/>
    </row>
    <row r="980" spans="1:73" ht="12.75" customHeight="1">
      <c r="A980" s="93"/>
      <c r="B980" s="93"/>
      <c r="C980" s="93"/>
      <c r="D980" s="93"/>
      <c r="E980" s="93"/>
      <c r="F980" s="93"/>
      <c r="G980" s="93"/>
      <c r="H980" s="93"/>
      <c r="I980" s="93"/>
      <c r="J980" s="93"/>
      <c r="K980" s="93"/>
      <c r="L980" s="93"/>
      <c r="M980" s="93"/>
      <c r="N980" s="93"/>
      <c r="O980" s="80" t="str">
        <f t="shared" si="1370"/>
        <v/>
      </c>
      <c r="P980" s="93"/>
      <c r="Q980" s="93"/>
      <c r="R980" s="93"/>
      <c r="S980" s="93"/>
      <c r="T980" s="93"/>
      <c r="U980" s="93"/>
      <c r="V980" s="93"/>
      <c r="W980" s="93"/>
      <c r="X980" s="93"/>
      <c r="Y980" s="93"/>
      <c r="Z980" s="93"/>
      <c r="AA980" s="93"/>
      <c r="AB980" s="93"/>
      <c r="AC980" s="93"/>
      <c r="AD980" s="93"/>
      <c r="AE980" s="93"/>
      <c r="AF980" s="93"/>
      <c r="AG980" s="93"/>
      <c r="AH980" s="93"/>
      <c r="AI980" s="93"/>
      <c r="AJ980" s="93"/>
      <c r="AK980" s="93"/>
      <c r="AL980" s="93"/>
      <c r="AM980" s="93"/>
      <c r="AN980" s="93"/>
      <c r="AO980" s="93"/>
      <c r="AP980" s="93"/>
      <c r="AQ980" s="93"/>
      <c r="AR980" s="93"/>
      <c r="AS980" s="93"/>
      <c r="AT980" s="93"/>
      <c r="AU980" s="161"/>
      <c r="AV980" s="161"/>
      <c r="AW980" s="161"/>
      <c r="AX980" s="161"/>
      <c r="AY980" s="161"/>
      <c r="AZ980" s="161"/>
      <c r="BA980" s="93"/>
      <c r="BB980" s="93"/>
      <c r="BC980" s="93"/>
      <c r="BD980" s="93"/>
      <c r="BE980" s="93"/>
      <c r="BF980" s="93"/>
      <c r="BG980" s="93"/>
      <c r="BH980" s="93"/>
      <c r="BI980" s="106"/>
      <c r="BJ980" s="106"/>
      <c r="BK980" s="106"/>
      <c r="BL980" s="106"/>
      <c r="BM980" s="106"/>
      <c r="BN980" s="106"/>
      <c r="BO980" s="106"/>
      <c r="BP980" s="106"/>
      <c r="BQ980" s="106"/>
      <c r="BR980" s="106"/>
      <c r="BS980" s="93"/>
      <c r="BT980" s="93"/>
      <c r="BU980" s="93"/>
    </row>
    <row r="981" spans="1:73" ht="12.75" customHeight="1">
      <c r="A981" s="93"/>
      <c r="B981" s="93"/>
      <c r="C981" s="93"/>
      <c r="D981" s="93"/>
      <c r="E981" s="93"/>
      <c r="F981" s="93"/>
      <c r="G981" s="93"/>
      <c r="H981" s="93"/>
      <c r="I981" s="93"/>
      <c r="J981" s="93"/>
      <c r="K981" s="93"/>
      <c r="L981" s="93"/>
      <c r="M981" s="93"/>
      <c r="N981" s="93"/>
      <c r="O981" s="80" t="str">
        <f t="shared" si="1370"/>
        <v/>
      </c>
      <c r="P981" s="93"/>
      <c r="Q981" s="93"/>
      <c r="R981" s="93"/>
      <c r="S981" s="93"/>
      <c r="T981" s="93"/>
      <c r="U981" s="93"/>
      <c r="V981" s="93"/>
      <c r="W981" s="93"/>
      <c r="X981" s="93"/>
      <c r="Y981" s="93"/>
      <c r="Z981" s="93"/>
      <c r="AA981" s="93"/>
      <c r="AB981" s="93"/>
      <c r="AC981" s="93"/>
      <c r="AD981" s="93"/>
      <c r="AE981" s="93"/>
      <c r="AF981" s="93"/>
      <c r="AG981" s="93"/>
      <c r="AH981" s="93"/>
      <c r="AI981" s="93"/>
      <c r="AJ981" s="93"/>
      <c r="AK981" s="93"/>
      <c r="AL981" s="93"/>
      <c r="AM981" s="93"/>
      <c r="AN981" s="93"/>
      <c r="AO981" s="93"/>
      <c r="AP981" s="93"/>
      <c r="AQ981" s="93"/>
      <c r="AR981" s="93"/>
      <c r="AS981" s="93"/>
      <c r="AT981" s="93"/>
      <c r="AU981" s="161"/>
      <c r="AV981" s="161"/>
      <c r="AW981" s="161"/>
      <c r="AX981" s="161"/>
      <c r="AY981" s="161"/>
      <c r="AZ981" s="161"/>
      <c r="BA981" s="93"/>
      <c r="BB981" s="93"/>
      <c r="BC981" s="93"/>
      <c r="BD981" s="93"/>
      <c r="BE981" s="93"/>
      <c r="BF981" s="93"/>
      <c r="BG981" s="93"/>
      <c r="BH981" s="93"/>
      <c r="BI981" s="106"/>
      <c r="BJ981" s="106"/>
      <c r="BK981" s="106"/>
      <c r="BL981" s="106"/>
      <c r="BM981" s="106"/>
      <c r="BN981" s="106"/>
      <c r="BO981" s="106"/>
      <c r="BP981" s="106"/>
      <c r="BQ981" s="106"/>
      <c r="BR981" s="106"/>
      <c r="BS981" s="93"/>
      <c r="BT981" s="93"/>
      <c r="BU981" s="93"/>
    </row>
    <row r="982" spans="1:73" ht="12.75" customHeight="1">
      <c r="A982" s="93"/>
      <c r="B982" s="93"/>
      <c r="C982" s="93"/>
      <c r="D982" s="93"/>
      <c r="E982" s="93"/>
      <c r="F982" s="93"/>
      <c r="G982" s="93"/>
      <c r="H982" s="93"/>
      <c r="I982" s="93"/>
      <c r="J982" s="93"/>
      <c r="K982" s="93"/>
      <c r="L982" s="93"/>
      <c r="M982" s="93"/>
      <c r="N982" s="93"/>
      <c r="O982" s="80" t="str">
        <f t="shared" si="1370"/>
        <v/>
      </c>
      <c r="P982" s="93"/>
      <c r="Q982" s="93"/>
      <c r="R982" s="93"/>
      <c r="S982" s="93"/>
      <c r="T982" s="93"/>
      <c r="U982" s="93"/>
      <c r="V982" s="93"/>
      <c r="W982" s="93"/>
      <c r="X982" s="93"/>
      <c r="Y982" s="93"/>
      <c r="Z982" s="93"/>
      <c r="AA982" s="93"/>
      <c r="AB982" s="93"/>
      <c r="AC982" s="93"/>
      <c r="AD982" s="93"/>
      <c r="AE982" s="93"/>
      <c r="AF982" s="93"/>
      <c r="AG982" s="93"/>
      <c r="AH982" s="93"/>
      <c r="AI982" s="93"/>
      <c r="AJ982" s="93"/>
      <c r="AK982" s="93"/>
      <c r="AL982" s="93"/>
      <c r="AM982" s="93"/>
      <c r="AN982" s="93"/>
      <c r="AO982" s="93"/>
      <c r="AP982" s="93"/>
      <c r="AQ982" s="93"/>
      <c r="AR982" s="93"/>
      <c r="AS982" s="93"/>
      <c r="AT982" s="93"/>
      <c r="AU982" s="161"/>
      <c r="AV982" s="161"/>
      <c r="AW982" s="161"/>
      <c r="AX982" s="161"/>
      <c r="AY982" s="161"/>
      <c r="AZ982" s="161"/>
      <c r="BA982" s="93"/>
      <c r="BB982" s="93"/>
      <c r="BC982" s="93"/>
      <c r="BD982" s="93"/>
      <c r="BE982" s="93"/>
      <c r="BF982" s="93"/>
      <c r="BG982" s="93"/>
      <c r="BH982" s="93"/>
      <c r="BI982" s="106"/>
      <c r="BJ982" s="106"/>
      <c r="BK982" s="106"/>
      <c r="BL982" s="106"/>
      <c r="BM982" s="106"/>
      <c r="BN982" s="106"/>
      <c r="BO982" s="106"/>
      <c r="BP982" s="106"/>
      <c r="BQ982" s="106"/>
      <c r="BR982" s="106"/>
      <c r="BS982" s="93"/>
      <c r="BT982" s="93"/>
      <c r="BU982" s="93"/>
    </row>
    <row r="983" spans="1:73" ht="12.75" customHeight="1">
      <c r="A983" s="93"/>
      <c r="B983" s="93"/>
      <c r="C983" s="93"/>
      <c r="D983" s="93"/>
      <c r="E983" s="93"/>
      <c r="F983" s="93"/>
      <c r="G983" s="93"/>
      <c r="H983" s="93"/>
      <c r="I983" s="93"/>
      <c r="J983" s="93"/>
      <c r="K983" s="93"/>
      <c r="L983" s="93"/>
      <c r="M983" s="93"/>
      <c r="N983" s="93"/>
      <c r="O983" s="80" t="str">
        <f t="shared" si="1370"/>
        <v/>
      </c>
      <c r="P983" s="93"/>
      <c r="Q983" s="93"/>
      <c r="R983" s="93"/>
      <c r="S983" s="93"/>
      <c r="T983" s="93"/>
      <c r="U983" s="93"/>
      <c r="V983" s="93"/>
      <c r="W983" s="93"/>
      <c r="X983" s="93"/>
      <c r="Y983" s="93"/>
      <c r="Z983" s="93"/>
      <c r="AA983" s="93"/>
      <c r="AB983" s="93"/>
      <c r="AC983" s="93"/>
      <c r="AD983" s="93"/>
      <c r="AE983" s="93"/>
      <c r="AF983" s="93"/>
      <c r="AG983" s="93"/>
      <c r="AH983" s="93"/>
      <c r="AI983" s="93"/>
      <c r="AJ983" s="93"/>
      <c r="AK983" s="93"/>
      <c r="AL983" s="93"/>
      <c r="AM983" s="93"/>
      <c r="AN983" s="93"/>
      <c r="AO983" s="93"/>
      <c r="AP983" s="93"/>
      <c r="AQ983" s="93"/>
      <c r="AR983" s="93"/>
      <c r="AS983" s="93"/>
      <c r="AT983" s="93"/>
      <c r="AU983" s="161"/>
      <c r="AV983" s="161"/>
      <c r="AW983" s="161"/>
      <c r="AX983" s="161"/>
      <c r="AY983" s="161"/>
      <c r="AZ983" s="161"/>
      <c r="BA983" s="93"/>
      <c r="BB983" s="93"/>
      <c r="BC983" s="93"/>
      <c r="BD983" s="93"/>
      <c r="BE983" s="93"/>
      <c r="BF983" s="93"/>
      <c r="BG983" s="93"/>
      <c r="BH983" s="93"/>
      <c r="BI983" s="106"/>
      <c r="BJ983" s="106"/>
      <c r="BK983" s="106"/>
      <c r="BL983" s="106"/>
      <c r="BM983" s="106"/>
      <c r="BN983" s="106"/>
      <c r="BO983" s="106"/>
      <c r="BP983" s="106"/>
      <c r="BQ983" s="106"/>
      <c r="BR983" s="106"/>
      <c r="BS983" s="93"/>
      <c r="BT983" s="93"/>
      <c r="BU983" s="93"/>
    </row>
    <row r="984" spans="1:73" ht="33.75" customHeight="1">
      <c r="A984" s="93"/>
      <c r="B984" s="93"/>
      <c r="C984" s="93"/>
      <c r="D984" s="93"/>
      <c r="E984" s="93"/>
      <c r="F984" s="93"/>
      <c r="G984" s="93"/>
      <c r="H984" s="93"/>
      <c r="I984" s="93"/>
      <c r="J984" s="93"/>
      <c r="K984" s="93"/>
      <c r="L984" s="93"/>
      <c r="M984" s="93"/>
      <c r="N984" s="93"/>
      <c r="O984" s="80" t="str">
        <f t="shared" si="1370"/>
        <v/>
      </c>
      <c r="P984" s="93"/>
      <c r="Q984" s="93"/>
      <c r="R984" s="93"/>
      <c r="S984" s="93"/>
      <c r="T984" s="93"/>
      <c r="U984" s="93"/>
      <c r="V984" s="93"/>
      <c r="W984" s="93"/>
      <c r="X984" s="93"/>
      <c r="Y984" s="93"/>
      <c r="Z984" s="93"/>
      <c r="AA984" s="93"/>
      <c r="AB984" s="93"/>
      <c r="AC984" s="93"/>
      <c r="AD984" s="93"/>
      <c r="AE984" s="93"/>
      <c r="AF984" s="93"/>
      <c r="AG984" s="93"/>
      <c r="AH984" s="93"/>
      <c r="AI984" s="93"/>
      <c r="AJ984" s="93"/>
      <c r="AK984" s="93"/>
      <c r="AL984" s="93"/>
      <c r="AM984" s="93"/>
      <c r="AN984" s="93"/>
      <c r="AO984" s="93"/>
      <c r="AP984" s="93"/>
      <c r="AQ984" s="93"/>
      <c r="AR984" s="93"/>
      <c r="AS984" s="93"/>
      <c r="AT984" s="93"/>
      <c r="AU984" s="161"/>
      <c r="AV984" s="161"/>
      <c r="AW984" s="161"/>
      <c r="AX984" s="161"/>
      <c r="AY984" s="161"/>
      <c r="AZ984" s="161"/>
      <c r="BA984" s="93"/>
      <c r="BB984" s="93"/>
      <c r="BC984" s="93"/>
      <c r="BD984" s="93"/>
      <c r="BE984" s="93"/>
      <c r="BF984" s="93"/>
      <c r="BG984" s="93"/>
      <c r="BH984" s="93"/>
      <c r="BI984" s="106"/>
      <c r="BJ984" s="106"/>
      <c r="BK984" s="106"/>
      <c r="BL984" s="106"/>
      <c r="BM984" s="106"/>
      <c r="BN984" s="106"/>
      <c r="BO984" s="106"/>
      <c r="BP984" s="106"/>
      <c r="BQ984" s="106"/>
      <c r="BR984" s="106"/>
      <c r="BS984" s="93"/>
      <c r="BT984" s="93"/>
      <c r="BU984" s="93"/>
    </row>
    <row r="985" spans="1:73" ht="33.75" customHeight="1">
      <c r="A985" s="93"/>
      <c r="B985" s="93"/>
      <c r="C985" s="93"/>
      <c r="D985" s="93"/>
      <c r="E985" s="93"/>
      <c r="F985" s="93"/>
      <c r="G985" s="93"/>
      <c r="H985" s="93"/>
      <c r="I985" s="93"/>
      <c r="J985" s="93"/>
      <c r="K985" s="93"/>
      <c r="L985" s="93"/>
      <c r="M985" s="93"/>
      <c r="N985" s="93"/>
      <c r="O985" s="80" t="str">
        <f t="shared" si="1370"/>
        <v/>
      </c>
      <c r="P985" s="93"/>
      <c r="Q985" s="93"/>
      <c r="R985" s="93"/>
      <c r="S985" s="93"/>
      <c r="T985" s="93"/>
      <c r="U985" s="93"/>
      <c r="V985" s="93"/>
      <c r="W985" s="93"/>
      <c r="X985" s="93"/>
      <c r="Y985" s="93"/>
      <c r="Z985" s="93"/>
      <c r="AA985" s="93"/>
      <c r="AB985" s="93"/>
      <c r="AC985" s="93"/>
      <c r="AD985" s="93"/>
      <c r="AE985" s="93"/>
      <c r="AF985" s="93"/>
      <c r="AG985" s="93"/>
      <c r="AH985" s="93"/>
      <c r="AI985" s="93"/>
      <c r="AJ985" s="93"/>
      <c r="AK985" s="93"/>
      <c r="AL985" s="93"/>
      <c r="AM985" s="93"/>
      <c r="AN985" s="93"/>
      <c r="AO985" s="93"/>
      <c r="AP985" s="93"/>
      <c r="AQ985" s="93"/>
      <c r="AR985" s="93"/>
      <c r="AS985" s="93"/>
      <c r="AT985" s="93"/>
      <c r="AU985" s="161"/>
      <c r="AV985" s="161"/>
      <c r="AW985" s="161"/>
      <c r="AX985" s="161"/>
      <c r="AY985" s="161"/>
      <c r="AZ985" s="161"/>
      <c r="BA985" s="93"/>
      <c r="BB985" s="93"/>
      <c r="BC985" s="93"/>
      <c r="BD985" s="93"/>
      <c r="BE985" s="93"/>
      <c r="BF985" s="93"/>
      <c r="BG985" s="93"/>
      <c r="BH985" s="93"/>
      <c r="BI985" s="106"/>
      <c r="BJ985" s="106"/>
      <c r="BK985" s="106"/>
      <c r="BL985" s="106"/>
      <c r="BM985" s="106"/>
      <c r="BN985" s="106"/>
      <c r="BO985" s="106"/>
      <c r="BP985" s="106"/>
      <c r="BQ985" s="106"/>
      <c r="BR985" s="106"/>
      <c r="BS985" s="93"/>
      <c r="BT985" s="93"/>
      <c r="BU985" s="93"/>
    </row>
    <row r="986" spans="1:73" ht="33.75" customHeight="1">
      <c r="A986" s="93"/>
      <c r="B986" s="93"/>
      <c r="C986" s="93"/>
      <c r="D986" s="93"/>
      <c r="E986" s="93"/>
      <c r="F986" s="93"/>
      <c r="G986" s="93"/>
      <c r="H986" s="93"/>
      <c r="I986" s="93"/>
      <c r="J986" s="93"/>
      <c r="K986" s="93"/>
      <c r="L986" s="93"/>
      <c r="M986" s="93"/>
      <c r="N986" s="93"/>
      <c r="O986" s="80" t="str">
        <f t="shared" si="1370"/>
        <v/>
      </c>
      <c r="P986" s="93"/>
      <c r="Q986" s="93"/>
      <c r="R986" s="93"/>
      <c r="S986" s="93"/>
      <c r="T986" s="93"/>
      <c r="U986" s="93"/>
      <c r="V986" s="93"/>
      <c r="W986" s="93"/>
      <c r="X986" s="93"/>
      <c r="Y986" s="93"/>
      <c r="Z986" s="93"/>
      <c r="AA986" s="93"/>
      <c r="AB986" s="93"/>
      <c r="AC986" s="93"/>
      <c r="AD986" s="93"/>
      <c r="AE986" s="93"/>
      <c r="AF986" s="93"/>
      <c r="AG986" s="93"/>
      <c r="AH986" s="93"/>
      <c r="AI986" s="93"/>
      <c r="AJ986" s="93"/>
      <c r="AK986" s="93"/>
      <c r="AL986" s="93"/>
      <c r="AM986" s="93"/>
      <c r="AN986" s="93"/>
      <c r="AO986" s="93"/>
      <c r="AP986" s="93"/>
      <c r="AQ986" s="93"/>
      <c r="AR986" s="93"/>
      <c r="AS986" s="93"/>
      <c r="AT986" s="93"/>
      <c r="AU986" s="161"/>
      <c r="AV986" s="161"/>
      <c r="AW986" s="161"/>
      <c r="AX986" s="161"/>
      <c r="AY986" s="161"/>
      <c r="AZ986" s="161"/>
      <c r="BA986" s="93"/>
      <c r="BB986" s="93"/>
      <c r="BC986" s="93"/>
      <c r="BD986" s="93"/>
      <c r="BE986" s="93"/>
      <c r="BF986" s="93"/>
      <c r="BG986" s="93"/>
      <c r="BH986" s="93"/>
      <c r="BI986" s="106"/>
      <c r="BJ986" s="106"/>
      <c r="BK986" s="106"/>
      <c r="BL986" s="106"/>
      <c r="BM986" s="106"/>
      <c r="BN986" s="106"/>
      <c r="BO986" s="106"/>
      <c r="BP986" s="106"/>
      <c r="BQ986" s="106"/>
      <c r="BR986" s="106"/>
      <c r="BS986" s="93"/>
      <c r="BT986" s="93"/>
      <c r="BU986" s="93"/>
    </row>
    <row r="987" spans="1:73" ht="33.75" customHeight="1">
      <c r="A987" s="93"/>
      <c r="B987" s="93"/>
      <c r="C987" s="93"/>
      <c r="D987" s="93"/>
      <c r="E987" s="93"/>
      <c r="F987" s="93"/>
      <c r="G987" s="93"/>
      <c r="H987" s="93"/>
      <c r="I987" s="93"/>
      <c r="J987" s="93"/>
      <c r="K987" s="93"/>
      <c r="L987" s="93"/>
      <c r="M987" s="93"/>
      <c r="N987" s="93"/>
      <c r="O987" s="80" t="str">
        <f t="shared" si="1370"/>
        <v/>
      </c>
      <c r="P987" s="93"/>
      <c r="Q987" s="93"/>
      <c r="R987" s="93"/>
      <c r="S987" s="93"/>
      <c r="T987" s="93"/>
      <c r="U987" s="93"/>
      <c r="V987" s="93"/>
      <c r="W987" s="93"/>
      <c r="X987" s="93"/>
      <c r="Y987" s="93"/>
      <c r="Z987" s="93"/>
      <c r="AA987" s="93"/>
      <c r="AB987" s="93"/>
      <c r="AC987" s="93"/>
      <c r="AD987" s="93"/>
      <c r="AE987" s="93"/>
      <c r="AF987" s="93"/>
      <c r="AG987" s="93"/>
      <c r="AH987" s="93"/>
      <c r="AI987" s="93"/>
      <c r="AJ987" s="93"/>
      <c r="AK987" s="93"/>
      <c r="AL987" s="93"/>
      <c r="AM987" s="93"/>
      <c r="AN987" s="93"/>
      <c r="AO987" s="93"/>
      <c r="AP987" s="93"/>
      <c r="AQ987" s="93"/>
      <c r="AR987" s="93"/>
      <c r="AS987" s="93"/>
      <c r="AT987" s="93"/>
      <c r="AU987" s="161"/>
      <c r="AV987" s="161"/>
      <c r="AW987" s="161"/>
      <c r="AX987" s="161"/>
      <c r="AY987" s="161"/>
      <c r="AZ987" s="161"/>
      <c r="BA987" s="93"/>
      <c r="BB987" s="93"/>
      <c r="BC987" s="93"/>
      <c r="BD987" s="93"/>
      <c r="BE987" s="93"/>
      <c r="BF987" s="93"/>
      <c r="BG987" s="93"/>
      <c r="BH987" s="93"/>
      <c r="BI987" s="106"/>
      <c r="BJ987" s="106"/>
      <c r="BK987" s="106"/>
      <c r="BL987" s="106"/>
      <c r="BM987" s="106"/>
      <c r="BN987" s="106"/>
      <c r="BO987" s="106"/>
      <c r="BP987" s="106"/>
      <c r="BQ987" s="106"/>
      <c r="BR987" s="106"/>
      <c r="BS987" s="93"/>
      <c r="BT987" s="93"/>
      <c r="BU987" s="93"/>
    </row>
    <row r="988" spans="1:73" ht="33.75" customHeight="1">
      <c r="A988" s="93"/>
      <c r="B988" s="93"/>
      <c r="C988" s="93"/>
      <c r="D988" s="93"/>
      <c r="E988" s="93"/>
      <c r="F988" s="93"/>
      <c r="G988" s="93"/>
      <c r="H988" s="93"/>
      <c r="I988" s="93"/>
      <c r="J988" s="93"/>
      <c r="K988" s="93"/>
      <c r="L988" s="93"/>
      <c r="M988" s="93"/>
      <c r="N988" s="93"/>
      <c r="O988" s="80" t="str">
        <f t="shared" si="1370"/>
        <v/>
      </c>
      <c r="P988" s="93"/>
      <c r="Q988" s="93"/>
      <c r="R988" s="93"/>
      <c r="S988" s="93"/>
      <c r="T988" s="93"/>
      <c r="U988" s="93"/>
      <c r="V988" s="93"/>
      <c r="W988" s="93"/>
      <c r="X988" s="93"/>
      <c r="Y988" s="93"/>
      <c r="Z988" s="93"/>
      <c r="AA988" s="93"/>
      <c r="AB988" s="93"/>
      <c r="AC988" s="93"/>
      <c r="AD988" s="93"/>
      <c r="AE988" s="93"/>
      <c r="AF988" s="93"/>
      <c r="AG988" s="93"/>
      <c r="AH988" s="93"/>
      <c r="AI988" s="93"/>
      <c r="AJ988" s="93"/>
      <c r="AK988" s="93"/>
      <c r="AL988" s="93"/>
      <c r="AM988" s="93"/>
      <c r="AN988" s="93"/>
      <c r="AO988" s="93"/>
      <c r="AP988" s="93"/>
      <c r="AQ988" s="93"/>
      <c r="AR988" s="93"/>
      <c r="AS988" s="93"/>
      <c r="AT988" s="93"/>
      <c r="AU988" s="161"/>
      <c r="AV988" s="161"/>
      <c r="AW988" s="161"/>
      <c r="AX988" s="161"/>
      <c r="AY988" s="161"/>
      <c r="AZ988" s="161"/>
      <c r="BA988" s="93"/>
      <c r="BB988" s="93"/>
      <c r="BC988" s="93"/>
      <c r="BD988" s="93"/>
      <c r="BE988" s="93"/>
      <c r="BF988" s="93"/>
      <c r="BG988" s="93"/>
      <c r="BH988" s="93"/>
      <c r="BI988" s="106"/>
      <c r="BJ988" s="106"/>
      <c r="BK988" s="106"/>
      <c r="BL988" s="106"/>
      <c r="BM988" s="106"/>
      <c r="BN988" s="106"/>
      <c r="BO988" s="106"/>
      <c r="BP988" s="106"/>
      <c r="BQ988" s="106"/>
      <c r="BR988" s="106"/>
      <c r="BS988" s="93"/>
      <c r="BT988" s="93"/>
      <c r="BU988" s="93"/>
    </row>
    <row r="989" spans="1:73" ht="33.75" customHeight="1">
      <c r="A989" s="93"/>
      <c r="B989" s="93"/>
      <c r="C989" s="93"/>
      <c r="D989" s="93"/>
      <c r="E989" s="93"/>
      <c r="F989" s="93"/>
      <c r="G989" s="93"/>
      <c r="H989" s="93"/>
      <c r="I989" s="93"/>
      <c r="J989" s="93"/>
      <c r="K989" s="93"/>
      <c r="L989" s="93"/>
      <c r="M989" s="93"/>
      <c r="N989" s="93"/>
      <c r="O989" s="80" t="str">
        <f t="shared" si="1370"/>
        <v/>
      </c>
      <c r="P989" s="93"/>
      <c r="Q989" s="93"/>
      <c r="R989" s="93"/>
      <c r="S989" s="93"/>
      <c r="T989" s="93"/>
      <c r="U989" s="93"/>
      <c r="V989" s="93"/>
      <c r="W989" s="93"/>
      <c r="X989" s="93"/>
      <c r="Y989" s="93"/>
      <c r="Z989" s="93"/>
      <c r="AA989" s="93"/>
      <c r="AB989" s="93"/>
      <c r="AC989" s="93"/>
      <c r="AD989" s="93"/>
      <c r="AE989" s="93"/>
      <c r="AF989" s="93"/>
      <c r="AG989" s="93"/>
      <c r="AH989" s="93"/>
      <c r="AI989" s="93"/>
      <c r="AJ989" s="93"/>
      <c r="AK989" s="93"/>
      <c r="AL989" s="93"/>
      <c r="AM989" s="93"/>
      <c r="AN989" s="93"/>
      <c r="AO989" s="93"/>
      <c r="AP989" s="93"/>
      <c r="AQ989" s="93"/>
      <c r="AR989" s="93"/>
      <c r="AS989" s="93"/>
      <c r="AT989" s="93"/>
      <c r="AU989" s="161"/>
      <c r="AV989" s="161"/>
      <c r="AW989" s="161"/>
      <c r="AX989" s="161"/>
      <c r="AY989" s="161"/>
      <c r="AZ989" s="161"/>
      <c r="BA989" s="93"/>
      <c r="BB989" s="93"/>
      <c r="BC989" s="93"/>
      <c r="BD989" s="93"/>
      <c r="BE989" s="93"/>
      <c r="BF989" s="93"/>
      <c r="BG989" s="93"/>
      <c r="BH989" s="93"/>
      <c r="BI989" s="106"/>
      <c r="BJ989" s="106"/>
      <c r="BK989" s="106"/>
      <c r="BL989" s="106"/>
      <c r="BM989" s="106"/>
      <c r="BN989" s="106"/>
      <c r="BO989" s="106"/>
      <c r="BP989" s="106"/>
      <c r="BQ989" s="106"/>
      <c r="BR989" s="106"/>
      <c r="BS989" s="93"/>
      <c r="BT989" s="93"/>
      <c r="BU989" s="93"/>
    </row>
    <row r="990" spans="1:73" ht="33.75" customHeight="1">
      <c r="A990" s="93"/>
      <c r="B990" s="93"/>
      <c r="C990" s="93"/>
      <c r="D990" s="93"/>
      <c r="E990" s="93"/>
      <c r="F990" s="93"/>
      <c r="G990" s="93"/>
      <c r="H990" s="93"/>
      <c r="I990" s="93"/>
      <c r="J990" s="93"/>
      <c r="K990" s="93"/>
      <c r="L990" s="93"/>
      <c r="M990" s="93"/>
      <c r="N990" s="93"/>
      <c r="O990" s="80" t="str">
        <f t="shared" si="1370"/>
        <v/>
      </c>
      <c r="P990" s="93"/>
      <c r="Q990" s="93"/>
      <c r="R990" s="93"/>
      <c r="S990" s="93"/>
      <c r="T990" s="93"/>
      <c r="U990" s="93"/>
      <c r="V990" s="93"/>
      <c r="W990" s="93"/>
      <c r="X990" s="93"/>
      <c r="Y990" s="93"/>
      <c r="Z990" s="93"/>
      <c r="AA990" s="93"/>
      <c r="AB990" s="93"/>
      <c r="AC990" s="93"/>
      <c r="AD990" s="93"/>
      <c r="AE990" s="93"/>
      <c r="AF990" s="93"/>
      <c r="AG990" s="93"/>
      <c r="AH990" s="93"/>
      <c r="AI990" s="93"/>
      <c r="AJ990" s="93"/>
      <c r="AK990" s="93"/>
      <c r="AL990" s="93"/>
      <c r="AM990" s="93"/>
      <c r="AN990" s="93"/>
      <c r="AO990" s="93"/>
      <c r="AP990" s="93"/>
      <c r="AQ990" s="93"/>
      <c r="AR990" s="93"/>
      <c r="AS990" s="93"/>
      <c r="AT990" s="93"/>
      <c r="AU990" s="161"/>
      <c r="AV990" s="161"/>
      <c r="AW990" s="161"/>
      <c r="AX990" s="161"/>
      <c r="AY990" s="161"/>
      <c r="AZ990" s="161"/>
      <c r="BA990" s="93"/>
      <c r="BB990" s="93"/>
      <c r="BC990" s="93"/>
      <c r="BD990" s="93"/>
      <c r="BE990" s="93"/>
      <c r="BF990" s="93"/>
      <c r="BG990" s="93"/>
      <c r="BH990" s="93"/>
      <c r="BI990" s="106"/>
      <c r="BJ990" s="106"/>
      <c r="BK990" s="106"/>
      <c r="BL990" s="106"/>
      <c r="BM990" s="106"/>
      <c r="BN990" s="106"/>
      <c r="BO990" s="106"/>
      <c r="BP990" s="106"/>
      <c r="BQ990" s="106"/>
      <c r="BR990" s="106"/>
      <c r="BS990" s="93"/>
      <c r="BT990" s="93"/>
      <c r="BU990" s="93"/>
    </row>
    <row r="991" spans="1:73" ht="33.75" customHeight="1">
      <c r="A991" s="93"/>
      <c r="B991" s="93"/>
      <c r="C991" s="93"/>
      <c r="D991" s="93"/>
      <c r="E991" s="93"/>
      <c r="F991" s="93"/>
      <c r="G991" s="93"/>
      <c r="H991" s="93"/>
      <c r="I991" s="93"/>
      <c r="J991" s="93"/>
      <c r="K991" s="93"/>
      <c r="L991" s="93"/>
      <c r="M991" s="93"/>
      <c r="N991" s="93"/>
      <c r="O991" s="80" t="str">
        <f t="shared" si="1370"/>
        <v/>
      </c>
      <c r="P991" s="93"/>
      <c r="Q991" s="93"/>
      <c r="R991" s="93"/>
      <c r="S991" s="93"/>
      <c r="T991" s="93"/>
      <c r="U991" s="93"/>
      <c r="V991" s="93"/>
      <c r="W991" s="93"/>
      <c r="X991" s="93"/>
      <c r="Y991" s="93"/>
      <c r="Z991" s="93"/>
      <c r="AA991" s="93"/>
      <c r="AB991" s="93"/>
      <c r="AC991" s="93"/>
      <c r="AD991" s="93"/>
      <c r="AE991" s="93"/>
      <c r="AF991" s="93"/>
      <c r="AG991" s="93"/>
      <c r="AH991" s="93"/>
      <c r="AI991" s="93"/>
      <c r="AJ991" s="93"/>
      <c r="AK991" s="93"/>
      <c r="AL991" s="93"/>
      <c r="AM991" s="93"/>
      <c r="AN991" s="93"/>
      <c r="AO991" s="93"/>
      <c r="AP991" s="93"/>
      <c r="AQ991" s="93"/>
      <c r="AR991" s="93"/>
      <c r="AS991" s="93"/>
      <c r="AT991" s="93"/>
      <c r="AU991" s="161"/>
      <c r="AV991" s="161"/>
      <c r="AW991" s="161"/>
      <c r="AX991" s="161"/>
      <c r="AY991" s="161"/>
      <c r="AZ991" s="161"/>
      <c r="BA991" s="93"/>
      <c r="BB991" s="93"/>
      <c r="BC991" s="93"/>
      <c r="BD991" s="93"/>
      <c r="BE991" s="93"/>
      <c r="BF991" s="93"/>
      <c r="BG991" s="93"/>
      <c r="BH991" s="93"/>
      <c r="BI991" s="106"/>
      <c r="BJ991" s="106"/>
      <c r="BK991" s="106"/>
      <c r="BL991" s="106"/>
      <c r="BM991" s="106"/>
      <c r="BN991" s="106"/>
      <c r="BO991" s="106"/>
      <c r="BP991" s="106"/>
      <c r="BQ991" s="106"/>
      <c r="BR991" s="106"/>
      <c r="BS991" s="93"/>
      <c r="BT991" s="93"/>
      <c r="BU991" s="93"/>
    </row>
    <row r="992" spans="1:73" ht="33.75" customHeight="1">
      <c r="A992" s="93"/>
      <c r="B992" s="93"/>
      <c r="C992" s="93"/>
      <c r="D992" s="93"/>
      <c r="E992" s="93"/>
      <c r="F992" s="93"/>
      <c r="G992" s="93"/>
      <c r="H992" s="93"/>
      <c r="I992" s="93"/>
      <c r="J992" s="93"/>
      <c r="K992" s="93"/>
      <c r="L992" s="93"/>
      <c r="M992" s="93"/>
      <c r="N992" s="93"/>
      <c r="O992" s="80" t="str">
        <f t="shared" si="1370"/>
        <v/>
      </c>
      <c r="P992" s="93"/>
      <c r="Q992" s="93"/>
      <c r="R992" s="93"/>
      <c r="S992" s="93"/>
      <c r="T992" s="93"/>
      <c r="U992" s="93"/>
      <c r="V992" s="93"/>
      <c r="W992" s="93"/>
      <c r="X992" s="93"/>
      <c r="Y992" s="93"/>
      <c r="Z992" s="93"/>
      <c r="AA992" s="93"/>
      <c r="AB992" s="93"/>
      <c r="AC992" s="93"/>
      <c r="AD992" s="93"/>
      <c r="AE992" s="93"/>
      <c r="AF992" s="93"/>
      <c r="AG992" s="93"/>
      <c r="AH992" s="93"/>
      <c r="AI992" s="93"/>
      <c r="AJ992" s="93"/>
      <c r="AK992" s="93"/>
      <c r="AL992" s="93"/>
      <c r="AM992" s="93"/>
      <c r="AN992" s="93"/>
      <c r="AO992" s="93"/>
      <c r="AP992" s="93"/>
      <c r="AQ992" s="93"/>
      <c r="AR992" s="93"/>
      <c r="AS992" s="93"/>
      <c r="AT992" s="93"/>
      <c r="AU992" s="161"/>
      <c r="AV992" s="161"/>
      <c r="AW992" s="161"/>
      <c r="AX992" s="161"/>
      <c r="AY992" s="161"/>
      <c r="AZ992" s="161"/>
      <c r="BA992" s="93"/>
      <c r="BB992" s="93"/>
      <c r="BC992" s="93"/>
      <c r="BD992" s="93"/>
      <c r="BE992" s="93"/>
      <c r="BF992" s="93"/>
      <c r="BG992" s="93"/>
      <c r="BH992" s="93"/>
      <c r="BI992" s="106"/>
      <c r="BJ992" s="106"/>
      <c r="BK992" s="106"/>
      <c r="BL992" s="106"/>
      <c r="BM992" s="106"/>
      <c r="BN992" s="106"/>
      <c r="BO992" s="106"/>
      <c r="BP992" s="106"/>
      <c r="BQ992" s="106"/>
      <c r="BR992" s="106"/>
      <c r="BS992" s="93"/>
      <c r="BT992" s="93"/>
      <c r="BU992" s="93"/>
    </row>
    <row r="993" spans="1:73" ht="33.75" customHeight="1">
      <c r="A993" s="93"/>
      <c r="B993" s="93"/>
      <c r="C993" s="93"/>
      <c r="D993" s="93"/>
      <c r="E993" s="93"/>
      <c r="F993" s="93"/>
      <c r="G993" s="93"/>
      <c r="H993" s="93"/>
      <c r="I993" s="93"/>
      <c r="J993" s="93"/>
      <c r="K993" s="93"/>
      <c r="L993" s="93"/>
      <c r="M993" s="93"/>
      <c r="N993" s="93"/>
      <c r="O993" s="80" t="str">
        <f t="shared" si="1370"/>
        <v/>
      </c>
      <c r="P993" s="93"/>
      <c r="Q993" s="93"/>
      <c r="R993" s="93"/>
      <c r="S993" s="93"/>
      <c r="T993" s="93"/>
      <c r="U993" s="93"/>
      <c r="V993" s="93"/>
      <c r="W993" s="93"/>
      <c r="X993" s="93"/>
      <c r="Y993" s="93"/>
      <c r="Z993" s="93"/>
      <c r="AA993" s="93"/>
      <c r="AB993" s="93"/>
      <c r="AC993" s="93"/>
      <c r="AD993" s="93"/>
      <c r="AE993" s="93"/>
      <c r="AF993" s="93"/>
      <c r="AG993" s="93"/>
      <c r="AH993" s="93"/>
      <c r="AI993" s="93"/>
      <c r="AJ993" s="93"/>
      <c r="AK993" s="93"/>
      <c r="AL993" s="93"/>
      <c r="AM993" s="93"/>
      <c r="AN993" s="93"/>
      <c r="AO993" s="93"/>
      <c r="AP993" s="93"/>
      <c r="AQ993" s="93"/>
      <c r="AR993" s="93"/>
      <c r="AS993" s="93"/>
      <c r="AT993" s="93"/>
      <c r="AU993" s="161"/>
      <c r="AV993" s="161"/>
      <c r="AW993" s="161"/>
      <c r="AX993" s="161"/>
      <c r="AY993" s="161"/>
      <c r="AZ993" s="161"/>
      <c r="BA993" s="93"/>
      <c r="BB993" s="93"/>
      <c r="BC993" s="93"/>
      <c r="BD993" s="93"/>
      <c r="BE993" s="93"/>
      <c r="BF993" s="93"/>
      <c r="BG993" s="93"/>
      <c r="BH993" s="93"/>
      <c r="BI993" s="106"/>
      <c r="BJ993" s="106"/>
      <c r="BK993" s="106"/>
      <c r="BL993" s="106"/>
      <c r="BM993" s="106"/>
      <c r="BN993" s="106"/>
      <c r="BO993" s="106"/>
      <c r="BP993" s="106"/>
      <c r="BQ993" s="106"/>
      <c r="BR993" s="106"/>
      <c r="BS993" s="93"/>
      <c r="BT993" s="93"/>
      <c r="BU993" s="93"/>
    </row>
    <row r="994" spans="1:73" ht="33.75" customHeight="1">
      <c r="A994" s="93"/>
      <c r="B994" s="93"/>
      <c r="C994" s="93"/>
      <c r="D994" s="93"/>
      <c r="E994" s="93"/>
      <c r="F994" s="93"/>
      <c r="G994" s="93"/>
      <c r="H994" s="93"/>
      <c r="I994" s="93"/>
      <c r="J994" s="93"/>
      <c r="K994" s="93"/>
      <c r="L994" s="93"/>
      <c r="M994" s="93"/>
      <c r="N994" s="93"/>
      <c r="O994" s="80" t="str">
        <f t="shared" si="1370"/>
        <v/>
      </c>
      <c r="P994" s="93"/>
      <c r="Q994" s="93"/>
      <c r="R994" s="93"/>
      <c r="S994" s="93"/>
      <c r="T994" s="93"/>
      <c r="U994" s="93"/>
      <c r="V994" s="93"/>
      <c r="W994" s="93"/>
      <c r="X994" s="93"/>
      <c r="Y994" s="93"/>
      <c r="Z994" s="93"/>
      <c r="AA994" s="93"/>
      <c r="AB994" s="93"/>
      <c r="AC994" s="93"/>
      <c r="AD994" s="93"/>
      <c r="AE994" s="93"/>
      <c r="AF994" s="93"/>
      <c r="AG994" s="93"/>
      <c r="AH994" s="93"/>
      <c r="AI994" s="93"/>
      <c r="AJ994" s="93"/>
      <c r="AK994" s="93"/>
      <c r="AL994" s="93"/>
      <c r="AM994" s="93"/>
      <c r="AN994" s="93"/>
      <c r="AO994" s="93"/>
      <c r="AP994" s="93"/>
      <c r="AQ994" s="93"/>
      <c r="AR994" s="93"/>
      <c r="AS994" s="93"/>
      <c r="AT994" s="93"/>
      <c r="AU994" s="161"/>
      <c r="AV994" s="161"/>
      <c r="AW994" s="161"/>
      <c r="AX994" s="161"/>
      <c r="AY994" s="161"/>
      <c r="AZ994" s="161"/>
      <c r="BA994" s="93"/>
      <c r="BB994" s="93"/>
      <c r="BC994" s="93"/>
      <c r="BD994" s="93"/>
      <c r="BE994" s="93"/>
      <c r="BF994" s="93"/>
      <c r="BG994" s="93"/>
      <c r="BH994" s="93"/>
      <c r="BI994" s="106"/>
      <c r="BJ994" s="106"/>
      <c r="BK994" s="106"/>
      <c r="BL994" s="106"/>
      <c r="BM994" s="106"/>
      <c r="BN994" s="106"/>
      <c r="BO994" s="106"/>
      <c r="BP994" s="106"/>
      <c r="BQ994" s="106"/>
      <c r="BR994" s="106"/>
      <c r="BS994" s="93"/>
      <c r="BT994" s="93"/>
      <c r="BU994" s="93"/>
    </row>
    <row r="995" spans="1:73" ht="33.75" customHeight="1">
      <c r="A995" s="93"/>
      <c r="B995" s="93"/>
      <c r="C995" s="93"/>
      <c r="D995" s="93"/>
      <c r="E995" s="93"/>
      <c r="F995" s="93"/>
      <c r="G995" s="93"/>
      <c r="H995" s="93"/>
      <c r="I995" s="93"/>
      <c r="J995" s="93"/>
      <c r="K995" s="93"/>
      <c r="L995" s="93"/>
      <c r="M995" s="93"/>
      <c r="N995" s="93"/>
      <c r="O995" s="80" t="str">
        <f t="shared" si="1370"/>
        <v/>
      </c>
      <c r="P995" s="93"/>
      <c r="Q995" s="93"/>
      <c r="R995" s="93"/>
      <c r="S995" s="93"/>
      <c r="T995" s="93"/>
      <c r="U995" s="93"/>
      <c r="V995" s="93"/>
      <c r="W995" s="93"/>
      <c r="X995" s="93"/>
      <c r="Y995" s="93"/>
      <c r="Z995" s="93"/>
      <c r="AA995" s="93"/>
      <c r="AB995" s="93"/>
      <c r="AC995" s="93"/>
      <c r="AD995" s="93"/>
      <c r="AE995" s="93"/>
      <c r="AF995" s="93"/>
      <c r="AG995" s="93"/>
      <c r="AH995" s="93"/>
      <c r="AI995" s="93"/>
      <c r="AJ995" s="93"/>
      <c r="AK995" s="93"/>
      <c r="AL995" s="93"/>
      <c r="AM995" s="93"/>
      <c r="AN995" s="93"/>
      <c r="AO995" s="93"/>
      <c r="AP995" s="93"/>
      <c r="AQ995" s="93"/>
      <c r="AR995" s="93"/>
      <c r="AS995" s="93"/>
      <c r="AT995" s="93"/>
      <c r="AU995" s="161"/>
      <c r="AV995" s="161"/>
      <c r="AW995" s="161"/>
      <c r="AX995" s="161"/>
      <c r="AY995" s="161"/>
      <c r="AZ995" s="161"/>
      <c r="BA995" s="93"/>
      <c r="BB995" s="93"/>
      <c r="BC995" s="93"/>
      <c r="BD995" s="93"/>
      <c r="BE995" s="93"/>
      <c r="BF995" s="93"/>
      <c r="BG995" s="93"/>
      <c r="BH995" s="93"/>
      <c r="BI995" s="106"/>
      <c r="BJ995" s="106"/>
      <c r="BK995" s="106"/>
      <c r="BL995" s="106"/>
      <c r="BM995" s="106"/>
      <c r="BN995" s="106"/>
      <c r="BO995" s="106"/>
      <c r="BP995" s="106"/>
      <c r="BQ995" s="106"/>
      <c r="BR995" s="106"/>
      <c r="BS995" s="93"/>
      <c r="BT995" s="93"/>
      <c r="BU995" s="93"/>
    </row>
    <row r="996" spans="1:73" ht="33.75" customHeight="1">
      <c r="A996" s="93"/>
      <c r="B996" s="93"/>
      <c r="C996" s="93"/>
      <c r="D996" s="93"/>
      <c r="E996" s="93"/>
      <c r="F996" s="93"/>
      <c r="G996" s="93"/>
      <c r="H996" s="93"/>
      <c r="I996" s="93"/>
      <c r="J996" s="93"/>
      <c r="K996" s="93"/>
      <c r="L996" s="93"/>
      <c r="M996" s="93"/>
      <c r="N996" s="93"/>
      <c r="O996" s="80" t="str">
        <f t="shared" si="1370"/>
        <v/>
      </c>
      <c r="P996" s="93"/>
      <c r="Q996" s="93"/>
      <c r="R996" s="93"/>
      <c r="S996" s="93"/>
      <c r="T996" s="93"/>
      <c r="U996" s="93"/>
      <c r="V996" s="93"/>
      <c r="W996" s="93"/>
      <c r="X996" s="93"/>
      <c r="Y996" s="93"/>
      <c r="Z996" s="93"/>
      <c r="AA996" s="93"/>
      <c r="AB996" s="93"/>
      <c r="AC996" s="93"/>
      <c r="AD996" s="93"/>
      <c r="AE996" s="93"/>
      <c r="AF996" s="93"/>
      <c r="AG996" s="93"/>
      <c r="AH996" s="93"/>
      <c r="AI996" s="93"/>
      <c r="AJ996" s="93"/>
      <c r="AK996" s="93"/>
      <c r="AL996" s="93"/>
      <c r="AM996" s="93"/>
      <c r="AN996" s="93"/>
      <c r="AO996" s="93"/>
      <c r="AP996" s="93"/>
      <c r="AQ996" s="93"/>
      <c r="AR996" s="93"/>
      <c r="AS996" s="93"/>
      <c r="AT996" s="93"/>
      <c r="AU996" s="161"/>
      <c r="AV996" s="161"/>
      <c r="AW996" s="161"/>
      <c r="AX996" s="161"/>
      <c r="AY996" s="161"/>
      <c r="AZ996" s="161"/>
      <c r="BA996" s="93"/>
      <c r="BB996" s="93"/>
      <c r="BC996" s="93"/>
      <c r="BD996" s="93"/>
      <c r="BE996" s="93"/>
      <c r="BF996" s="93"/>
      <c r="BG996" s="93"/>
      <c r="BH996" s="93"/>
      <c r="BI996" s="106"/>
      <c r="BJ996" s="106"/>
      <c r="BK996" s="106"/>
      <c r="BL996" s="106"/>
      <c r="BM996" s="106"/>
      <c r="BN996" s="106"/>
      <c r="BO996" s="106"/>
      <c r="BP996" s="106"/>
      <c r="BQ996" s="106"/>
      <c r="BR996" s="106"/>
      <c r="BS996" s="93"/>
      <c r="BT996" s="93"/>
      <c r="BU996" s="93"/>
    </row>
    <row r="997" spans="1:73" ht="33.75" customHeight="1">
      <c r="A997" s="93"/>
      <c r="B997" s="93"/>
      <c r="C997" s="93"/>
      <c r="D997" s="93"/>
      <c r="E997" s="93"/>
      <c r="F997" s="93"/>
      <c r="G997" s="93"/>
      <c r="H997" s="93"/>
      <c r="I997" s="93"/>
      <c r="J997" s="93"/>
      <c r="K997" s="93"/>
      <c r="L997" s="93"/>
      <c r="M997" s="93"/>
      <c r="N997" s="93"/>
      <c r="O997" s="80" t="str">
        <f t="shared" si="1370"/>
        <v/>
      </c>
      <c r="P997" s="93"/>
      <c r="Q997" s="93"/>
      <c r="R997" s="93"/>
      <c r="S997" s="93"/>
      <c r="T997" s="93"/>
      <c r="U997" s="93"/>
      <c r="V997" s="93"/>
      <c r="W997" s="93"/>
      <c r="X997" s="93"/>
      <c r="Y997" s="93"/>
      <c r="Z997" s="93"/>
      <c r="AA997" s="93"/>
      <c r="AB997" s="93"/>
      <c r="AC997" s="93"/>
      <c r="AD997" s="93"/>
      <c r="AE997" s="93"/>
      <c r="AF997" s="93"/>
      <c r="AG997" s="93"/>
      <c r="AH997" s="93"/>
      <c r="AI997" s="93"/>
      <c r="AJ997" s="93"/>
      <c r="AK997" s="93"/>
      <c r="AL997" s="93"/>
      <c r="AM997" s="93"/>
      <c r="AN997" s="93"/>
      <c r="AO997" s="93"/>
      <c r="AP997" s="93"/>
      <c r="AQ997" s="93"/>
      <c r="AR997" s="93"/>
      <c r="AS997" s="93"/>
      <c r="AT997" s="93"/>
      <c r="AU997" s="161"/>
      <c r="AV997" s="161"/>
      <c r="AW997" s="161"/>
      <c r="AX997" s="161"/>
      <c r="AY997" s="161"/>
      <c r="AZ997" s="161"/>
      <c r="BA997" s="93"/>
      <c r="BB997" s="93"/>
      <c r="BC997" s="93"/>
      <c r="BD997" s="93"/>
      <c r="BE997" s="93"/>
      <c r="BF997" s="93"/>
      <c r="BG997" s="93"/>
      <c r="BH997" s="93"/>
      <c r="BI997" s="106"/>
      <c r="BJ997" s="106"/>
      <c r="BK997" s="106"/>
      <c r="BL997" s="106"/>
      <c r="BM997" s="106"/>
      <c r="BN997" s="106"/>
      <c r="BO997" s="106"/>
      <c r="BP997" s="106"/>
      <c r="BQ997" s="106"/>
      <c r="BR997" s="106"/>
      <c r="BS997" s="93"/>
      <c r="BT997" s="93"/>
      <c r="BU997" s="93"/>
    </row>
    <row r="998" spans="1:73" ht="33.75" customHeight="1">
      <c r="A998" s="93"/>
      <c r="B998" s="93"/>
      <c r="C998" s="93"/>
      <c r="D998" s="93"/>
      <c r="E998" s="93"/>
      <c r="F998" s="93"/>
      <c r="G998" s="93"/>
      <c r="H998" s="93"/>
      <c r="I998" s="93"/>
      <c r="J998" s="93"/>
      <c r="K998" s="93"/>
      <c r="L998" s="93"/>
      <c r="M998" s="93"/>
      <c r="N998" s="93"/>
      <c r="O998" s="80" t="str">
        <f t="shared" si="1370"/>
        <v/>
      </c>
      <c r="P998" s="93"/>
      <c r="Q998" s="93"/>
      <c r="R998" s="93"/>
      <c r="S998" s="93"/>
      <c r="T998" s="93"/>
      <c r="U998" s="93"/>
      <c r="V998" s="93"/>
      <c r="W998" s="93"/>
      <c r="X998" s="93"/>
      <c r="Y998" s="93"/>
      <c r="Z998" s="93"/>
      <c r="AA998" s="93"/>
      <c r="AB998" s="93"/>
      <c r="AC998" s="93"/>
      <c r="AD998" s="93"/>
      <c r="AE998" s="93"/>
      <c r="AF998" s="93"/>
      <c r="AG998" s="93"/>
      <c r="AH998" s="93"/>
      <c r="AI998" s="93"/>
      <c r="AJ998" s="93"/>
      <c r="AK998" s="93"/>
      <c r="AL998" s="93"/>
      <c r="AM998" s="93"/>
      <c r="AN998" s="93"/>
      <c r="AO998" s="93"/>
      <c r="AP998" s="93"/>
      <c r="AQ998" s="93"/>
      <c r="AR998" s="93"/>
      <c r="AS998" s="93"/>
      <c r="AT998" s="93"/>
      <c r="AU998" s="161"/>
      <c r="AV998" s="161"/>
      <c r="AW998" s="161"/>
      <c r="AX998" s="161"/>
      <c r="AY998" s="161"/>
      <c r="AZ998" s="161"/>
      <c r="BA998" s="93"/>
      <c r="BB998" s="93"/>
      <c r="BC998" s="93"/>
      <c r="BD998" s="93"/>
      <c r="BE998" s="93"/>
      <c r="BF998" s="93"/>
      <c r="BG998" s="93"/>
      <c r="BH998" s="93"/>
      <c r="BI998" s="106"/>
      <c r="BJ998" s="106"/>
      <c r="BK998" s="106"/>
      <c r="BL998" s="106"/>
      <c r="BM998" s="106"/>
      <c r="BN998" s="106"/>
      <c r="BO998" s="106"/>
      <c r="BP998" s="106"/>
      <c r="BQ998" s="106"/>
      <c r="BR998" s="106"/>
      <c r="BS998" s="93"/>
      <c r="BT998" s="93"/>
      <c r="BU998" s="93"/>
    </row>
    <row r="999" spans="1:73" ht="33.75" customHeight="1">
      <c r="A999" s="93"/>
      <c r="B999" s="93"/>
      <c r="C999" s="93"/>
      <c r="D999" s="93"/>
      <c r="E999" s="93"/>
      <c r="F999" s="93"/>
      <c r="G999" s="93"/>
      <c r="H999" s="93"/>
      <c r="I999" s="93"/>
      <c r="J999" s="93"/>
      <c r="K999" s="93"/>
      <c r="L999" s="93"/>
      <c r="M999" s="93"/>
      <c r="N999" s="93"/>
      <c r="O999" s="80" t="str">
        <f t="shared" si="1370"/>
        <v/>
      </c>
      <c r="P999" s="93"/>
      <c r="Q999" s="93"/>
      <c r="R999" s="93"/>
      <c r="S999" s="93"/>
      <c r="T999" s="93"/>
      <c r="U999" s="93"/>
      <c r="V999" s="93"/>
      <c r="W999" s="93"/>
      <c r="X999" s="93"/>
      <c r="Y999" s="93"/>
      <c r="Z999" s="93"/>
      <c r="AA999" s="93"/>
      <c r="AB999" s="93"/>
      <c r="AC999" s="93"/>
      <c r="AD999" s="93"/>
      <c r="AE999" s="93"/>
      <c r="AF999" s="93"/>
      <c r="AG999" s="93"/>
      <c r="AH999" s="93"/>
      <c r="AI999" s="93"/>
      <c r="AJ999" s="93"/>
      <c r="AK999" s="93"/>
      <c r="AL999" s="93"/>
      <c r="AM999" s="93"/>
      <c r="AN999" s="93"/>
      <c r="AO999" s="93"/>
      <c r="AP999" s="93"/>
      <c r="AQ999" s="93"/>
      <c r="AR999" s="93"/>
      <c r="AS999" s="93"/>
      <c r="AT999" s="93"/>
      <c r="AU999" s="161"/>
      <c r="AV999" s="161"/>
      <c r="AW999" s="161"/>
      <c r="AX999" s="161"/>
      <c r="AY999" s="161"/>
      <c r="AZ999" s="161"/>
      <c r="BA999" s="93"/>
      <c r="BB999" s="93"/>
      <c r="BC999" s="93"/>
      <c r="BD999" s="93"/>
      <c r="BE999" s="93"/>
      <c r="BF999" s="93"/>
      <c r="BG999" s="93"/>
      <c r="BH999" s="93"/>
      <c r="BI999" s="106"/>
      <c r="BJ999" s="106"/>
      <c r="BK999" s="106"/>
      <c r="BL999" s="106"/>
      <c r="BM999" s="106"/>
      <c r="BN999" s="106"/>
      <c r="BO999" s="106"/>
      <c r="BP999" s="106"/>
      <c r="BQ999" s="106"/>
      <c r="BR999" s="106"/>
      <c r="BS999" s="93"/>
      <c r="BT999" s="93"/>
      <c r="BU999" s="93"/>
    </row>
    <row r="1000" spans="1:73" ht="33.75" customHeight="1">
      <c r="A1000" s="93"/>
      <c r="B1000" s="93"/>
      <c r="C1000" s="93"/>
      <c r="D1000" s="93"/>
      <c r="E1000" s="93"/>
      <c r="F1000" s="93"/>
      <c r="G1000" s="93"/>
      <c r="H1000" s="93"/>
      <c r="I1000" s="93"/>
      <c r="J1000" s="93"/>
      <c r="K1000" s="93"/>
      <c r="L1000" s="93"/>
      <c r="M1000" s="93"/>
      <c r="N1000" s="93"/>
      <c r="O1000" s="80" t="str">
        <f t="shared" ref="O1000:O1018" si="1371">_xlfn.TEXTJOIN(", ",TRUE,P1000:AN1000)</f>
        <v/>
      </c>
      <c r="P1000" s="93"/>
      <c r="Q1000" s="93"/>
      <c r="R1000" s="93"/>
      <c r="S1000" s="93"/>
      <c r="T1000" s="93"/>
      <c r="U1000" s="93"/>
      <c r="V1000" s="93"/>
      <c r="W1000" s="93"/>
      <c r="X1000" s="93"/>
      <c r="Y1000" s="93"/>
      <c r="Z1000" s="93"/>
      <c r="AA1000" s="93"/>
      <c r="AB1000" s="93"/>
      <c r="AC1000" s="93"/>
      <c r="AD1000" s="93"/>
      <c r="AE1000" s="93"/>
      <c r="AF1000" s="93"/>
      <c r="AG1000" s="93"/>
      <c r="AH1000" s="93"/>
      <c r="AI1000" s="93"/>
      <c r="AJ1000" s="93"/>
      <c r="AK1000" s="93"/>
      <c r="AL1000" s="93"/>
      <c r="AM1000" s="93"/>
      <c r="AN1000" s="93"/>
      <c r="AO1000" s="93"/>
      <c r="AP1000" s="93"/>
      <c r="AQ1000" s="93"/>
      <c r="AR1000" s="93"/>
      <c r="AS1000" s="93"/>
      <c r="AT1000" s="93"/>
      <c r="AU1000" s="161"/>
      <c r="AV1000" s="161"/>
      <c r="AW1000" s="161"/>
      <c r="AX1000" s="161"/>
      <c r="AY1000" s="161"/>
      <c r="AZ1000" s="161"/>
      <c r="BA1000" s="93"/>
      <c r="BB1000" s="93"/>
      <c r="BC1000" s="93"/>
      <c r="BD1000" s="93"/>
      <c r="BE1000" s="93"/>
      <c r="BF1000" s="93"/>
      <c r="BG1000" s="93"/>
      <c r="BH1000" s="93"/>
      <c r="BI1000" s="106"/>
      <c r="BJ1000" s="106"/>
      <c r="BK1000" s="106"/>
      <c r="BL1000" s="106"/>
      <c r="BM1000" s="106"/>
      <c r="BN1000" s="106"/>
      <c r="BO1000" s="106"/>
      <c r="BP1000" s="106"/>
      <c r="BQ1000" s="106"/>
      <c r="BR1000" s="106"/>
      <c r="BS1000" s="93"/>
      <c r="BT1000" s="93"/>
      <c r="BU1000" s="93"/>
    </row>
    <row r="1001" spans="1:73" ht="33.75" customHeight="1">
      <c r="A1001" s="93"/>
      <c r="B1001" s="93"/>
      <c r="C1001" s="93"/>
      <c r="D1001" s="93"/>
      <c r="E1001" s="93"/>
      <c r="F1001" s="93"/>
      <c r="G1001" s="93"/>
      <c r="H1001" s="93"/>
      <c r="I1001" s="93"/>
      <c r="J1001" s="93"/>
      <c r="K1001" s="93"/>
      <c r="L1001" s="93"/>
      <c r="M1001" s="93"/>
      <c r="N1001" s="93"/>
      <c r="O1001" s="80" t="str">
        <f t="shared" si="1371"/>
        <v/>
      </c>
      <c r="P1001" s="93"/>
      <c r="Q1001" s="93"/>
      <c r="R1001" s="93"/>
      <c r="S1001" s="93"/>
      <c r="T1001" s="93"/>
      <c r="U1001" s="93"/>
      <c r="V1001" s="93"/>
      <c r="W1001" s="93"/>
      <c r="X1001" s="93"/>
      <c r="Y1001" s="93"/>
      <c r="Z1001" s="93"/>
      <c r="AA1001" s="93"/>
      <c r="AB1001" s="93"/>
      <c r="AC1001" s="93"/>
      <c r="AD1001" s="93"/>
      <c r="AE1001" s="93"/>
      <c r="AF1001" s="93"/>
      <c r="AG1001" s="93"/>
      <c r="AH1001" s="93"/>
      <c r="AI1001" s="93"/>
      <c r="AJ1001" s="93"/>
      <c r="AK1001" s="93"/>
      <c r="AL1001" s="93"/>
      <c r="AM1001" s="93"/>
      <c r="AN1001" s="93"/>
      <c r="AO1001" s="93"/>
      <c r="AP1001" s="93"/>
      <c r="AQ1001" s="93"/>
      <c r="AR1001" s="93"/>
      <c r="AS1001" s="93"/>
      <c r="AT1001" s="93"/>
      <c r="AU1001" s="161"/>
      <c r="AV1001" s="161"/>
      <c r="AW1001" s="161"/>
      <c r="AX1001" s="161"/>
      <c r="AY1001" s="161"/>
      <c r="AZ1001" s="161"/>
      <c r="BA1001" s="93"/>
      <c r="BB1001" s="93"/>
      <c r="BC1001" s="93"/>
      <c r="BD1001" s="93"/>
      <c r="BE1001" s="93"/>
      <c r="BF1001" s="93"/>
      <c r="BG1001" s="93"/>
      <c r="BH1001" s="93"/>
      <c r="BI1001" s="106"/>
      <c r="BJ1001" s="106"/>
      <c r="BK1001" s="106"/>
      <c r="BL1001" s="106"/>
      <c r="BM1001" s="106"/>
      <c r="BN1001" s="106"/>
      <c r="BO1001" s="106"/>
      <c r="BP1001" s="106"/>
      <c r="BQ1001" s="106"/>
      <c r="BR1001" s="106"/>
      <c r="BS1001" s="93"/>
      <c r="BT1001" s="93"/>
      <c r="BU1001" s="93"/>
    </row>
    <row r="1002" spans="1:73" ht="33.75" customHeight="1">
      <c r="A1002" s="93"/>
      <c r="B1002" s="93"/>
      <c r="C1002" s="93"/>
      <c r="D1002" s="93"/>
      <c r="E1002" s="93"/>
      <c r="F1002" s="93"/>
      <c r="G1002" s="93"/>
      <c r="H1002" s="93"/>
      <c r="I1002" s="93"/>
      <c r="J1002" s="93"/>
      <c r="K1002" s="93"/>
      <c r="L1002" s="93"/>
      <c r="M1002" s="93"/>
      <c r="N1002" s="93"/>
      <c r="O1002" s="80" t="str">
        <f t="shared" si="1371"/>
        <v/>
      </c>
      <c r="P1002" s="93"/>
      <c r="Q1002" s="93"/>
      <c r="R1002" s="93"/>
      <c r="S1002" s="93"/>
      <c r="T1002" s="93"/>
      <c r="U1002" s="93"/>
      <c r="V1002" s="93"/>
      <c r="W1002" s="93"/>
      <c r="X1002" s="93"/>
      <c r="Y1002" s="93"/>
      <c r="Z1002" s="93"/>
      <c r="AA1002" s="93"/>
      <c r="AB1002" s="93"/>
      <c r="AC1002" s="93"/>
      <c r="AD1002" s="93"/>
      <c r="AE1002" s="93"/>
      <c r="AF1002" s="93"/>
      <c r="AG1002" s="93"/>
      <c r="AH1002" s="93"/>
      <c r="AI1002" s="93"/>
      <c r="AJ1002" s="93"/>
      <c r="AK1002" s="93"/>
      <c r="AL1002" s="93"/>
      <c r="AM1002" s="93"/>
      <c r="AN1002" s="93"/>
      <c r="AO1002" s="93"/>
      <c r="AP1002" s="93"/>
      <c r="AQ1002" s="93"/>
      <c r="AR1002" s="93"/>
      <c r="AS1002" s="93"/>
      <c r="AT1002" s="93"/>
      <c r="AU1002" s="161"/>
      <c r="AV1002" s="161"/>
      <c r="AW1002" s="161"/>
      <c r="AX1002" s="161"/>
      <c r="AY1002" s="161"/>
      <c r="AZ1002" s="161"/>
      <c r="BA1002" s="93"/>
      <c r="BB1002" s="93"/>
      <c r="BC1002" s="93"/>
      <c r="BD1002" s="93"/>
      <c r="BE1002" s="93"/>
      <c r="BF1002" s="93"/>
      <c r="BG1002" s="93"/>
      <c r="BH1002" s="93"/>
      <c r="BI1002" s="106"/>
      <c r="BJ1002" s="106"/>
      <c r="BK1002" s="106"/>
      <c r="BL1002" s="106"/>
      <c r="BM1002" s="106"/>
      <c r="BN1002" s="106"/>
      <c r="BO1002" s="106"/>
      <c r="BP1002" s="106"/>
      <c r="BQ1002" s="106"/>
      <c r="BR1002" s="106"/>
      <c r="BS1002" s="93"/>
      <c r="BT1002" s="93"/>
      <c r="BU1002" s="93"/>
    </row>
    <row r="1003" spans="1:73" ht="33.75" customHeight="1">
      <c r="A1003" s="93"/>
      <c r="B1003" s="93"/>
      <c r="C1003" s="93"/>
      <c r="D1003" s="93"/>
      <c r="E1003" s="93"/>
      <c r="F1003" s="93"/>
      <c r="G1003" s="93"/>
      <c r="H1003" s="93"/>
      <c r="I1003" s="93"/>
      <c r="J1003" s="93"/>
      <c r="K1003" s="93"/>
      <c r="L1003" s="93"/>
      <c r="M1003" s="93"/>
      <c r="N1003" s="93"/>
      <c r="O1003" s="80" t="str">
        <f t="shared" si="1371"/>
        <v/>
      </c>
      <c r="P1003" s="93"/>
      <c r="Q1003" s="93"/>
      <c r="R1003" s="93"/>
      <c r="S1003" s="93"/>
      <c r="T1003" s="93"/>
      <c r="U1003" s="93"/>
      <c r="V1003" s="93"/>
      <c r="W1003" s="93"/>
      <c r="X1003" s="93"/>
      <c r="Y1003" s="93"/>
      <c r="Z1003" s="93"/>
      <c r="AA1003" s="93"/>
      <c r="AB1003" s="93"/>
      <c r="AC1003" s="93"/>
      <c r="AD1003" s="93"/>
      <c r="AE1003" s="93"/>
      <c r="AF1003" s="93"/>
      <c r="AG1003" s="93"/>
      <c r="AH1003" s="93"/>
      <c r="AI1003" s="93"/>
      <c r="AJ1003" s="93"/>
      <c r="AK1003" s="93"/>
      <c r="AL1003" s="93"/>
      <c r="AM1003" s="93"/>
      <c r="AN1003" s="93"/>
      <c r="AO1003" s="93"/>
      <c r="AP1003" s="93"/>
      <c r="AQ1003" s="93"/>
      <c r="AR1003" s="93"/>
      <c r="AS1003" s="93"/>
      <c r="AT1003" s="93"/>
      <c r="AU1003" s="161"/>
      <c r="AV1003" s="161"/>
      <c r="AW1003" s="161"/>
      <c r="AX1003" s="161"/>
      <c r="AY1003" s="161"/>
      <c r="AZ1003" s="161"/>
      <c r="BA1003" s="93"/>
      <c r="BB1003" s="93"/>
      <c r="BC1003" s="93"/>
      <c r="BD1003" s="93"/>
      <c r="BE1003" s="93"/>
      <c r="BF1003" s="93"/>
      <c r="BG1003" s="93"/>
      <c r="BH1003" s="93"/>
      <c r="BI1003" s="106"/>
      <c r="BJ1003" s="106"/>
      <c r="BK1003" s="106"/>
      <c r="BL1003" s="106"/>
      <c r="BM1003" s="106"/>
      <c r="BN1003" s="106"/>
      <c r="BO1003" s="106"/>
      <c r="BP1003" s="106"/>
      <c r="BQ1003" s="106"/>
      <c r="BR1003" s="106"/>
      <c r="BS1003" s="93"/>
      <c r="BT1003" s="93"/>
      <c r="BU1003" s="93"/>
    </row>
    <row r="1004" spans="1:73" ht="33.75" customHeight="1">
      <c r="A1004" s="93"/>
      <c r="B1004" s="93"/>
      <c r="C1004" s="93"/>
      <c r="D1004" s="93"/>
      <c r="E1004" s="93"/>
      <c r="F1004" s="93"/>
      <c r="G1004" s="93"/>
      <c r="H1004" s="93"/>
      <c r="I1004" s="93"/>
      <c r="J1004" s="93"/>
      <c r="K1004" s="93"/>
      <c r="L1004" s="93"/>
      <c r="M1004" s="93"/>
      <c r="N1004" s="93"/>
      <c r="O1004" s="80" t="str">
        <f t="shared" si="1371"/>
        <v/>
      </c>
      <c r="P1004" s="93"/>
      <c r="Q1004" s="93"/>
      <c r="R1004" s="93"/>
      <c r="S1004" s="93"/>
      <c r="T1004" s="93"/>
      <c r="U1004" s="93"/>
      <c r="V1004" s="93"/>
      <c r="W1004" s="93"/>
      <c r="X1004" s="93"/>
      <c r="Y1004" s="93"/>
      <c r="Z1004" s="93"/>
      <c r="AA1004" s="93"/>
      <c r="AB1004" s="93"/>
      <c r="AC1004" s="93"/>
      <c r="AD1004" s="93"/>
      <c r="AE1004" s="93"/>
      <c r="AF1004" s="93"/>
      <c r="AG1004" s="93"/>
      <c r="AH1004" s="93"/>
      <c r="AI1004" s="93"/>
      <c r="AJ1004" s="93"/>
      <c r="AK1004" s="93"/>
      <c r="AL1004" s="93"/>
      <c r="AM1004" s="93"/>
      <c r="AN1004" s="93"/>
      <c r="AO1004" s="93"/>
      <c r="AP1004" s="93"/>
      <c r="AQ1004" s="93"/>
      <c r="AR1004" s="93"/>
      <c r="AS1004" s="93"/>
      <c r="AT1004" s="93"/>
      <c r="AU1004" s="161"/>
      <c r="AV1004" s="161"/>
      <c r="AW1004" s="161"/>
      <c r="AX1004" s="161"/>
      <c r="AY1004" s="161"/>
      <c r="AZ1004" s="161"/>
      <c r="BA1004" s="93"/>
      <c r="BB1004" s="93"/>
      <c r="BC1004" s="93"/>
      <c r="BD1004" s="93"/>
      <c r="BE1004" s="93"/>
      <c r="BF1004" s="93"/>
      <c r="BG1004" s="93"/>
      <c r="BH1004" s="93"/>
      <c r="BI1004" s="106"/>
      <c r="BJ1004" s="106"/>
      <c r="BK1004" s="106"/>
      <c r="BL1004" s="106"/>
      <c r="BM1004" s="106"/>
      <c r="BN1004" s="106"/>
      <c r="BO1004" s="106"/>
      <c r="BP1004" s="106"/>
      <c r="BQ1004" s="106"/>
      <c r="BR1004" s="106"/>
      <c r="BS1004" s="93"/>
      <c r="BT1004" s="93"/>
      <c r="BU1004" s="93"/>
    </row>
    <row r="1005" spans="1:73" ht="33.75" customHeight="1">
      <c r="A1005" s="93"/>
      <c r="B1005" s="93"/>
      <c r="C1005" s="93"/>
      <c r="D1005" s="93"/>
      <c r="E1005" s="93"/>
      <c r="F1005" s="93"/>
      <c r="G1005" s="93"/>
      <c r="H1005" s="93"/>
      <c r="I1005" s="93"/>
      <c r="J1005" s="93"/>
      <c r="K1005" s="93"/>
      <c r="L1005" s="93"/>
      <c r="M1005" s="93"/>
      <c r="N1005" s="93"/>
      <c r="O1005" s="80" t="str">
        <f t="shared" si="1371"/>
        <v/>
      </c>
      <c r="P1005" s="93"/>
      <c r="Q1005" s="93"/>
      <c r="R1005" s="93"/>
      <c r="S1005" s="93"/>
      <c r="T1005" s="93"/>
      <c r="U1005" s="93"/>
      <c r="V1005" s="93"/>
      <c r="W1005" s="93"/>
      <c r="X1005" s="93"/>
      <c r="Y1005" s="93"/>
      <c r="Z1005" s="93"/>
      <c r="AA1005" s="93"/>
      <c r="AB1005" s="93"/>
      <c r="AC1005" s="93"/>
      <c r="AD1005" s="93"/>
      <c r="AE1005" s="93"/>
      <c r="AF1005" s="93"/>
      <c r="AG1005" s="93"/>
      <c r="AH1005" s="93"/>
      <c r="AI1005" s="93"/>
      <c r="AJ1005" s="93"/>
      <c r="AK1005" s="93"/>
      <c r="AL1005" s="93"/>
      <c r="AM1005" s="93"/>
      <c r="AN1005" s="93"/>
      <c r="AO1005" s="93"/>
      <c r="AP1005" s="93"/>
      <c r="AQ1005" s="93"/>
      <c r="AR1005" s="93"/>
      <c r="AS1005" s="93"/>
      <c r="AT1005" s="93"/>
      <c r="AU1005" s="161"/>
      <c r="AV1005" s="161"/>
      <c r="AW1005" s="161"/>
      <c r="AX1005" s="161"/>
      <c r="AY1005" s="161"/>
      <c r="AZ1005" s="161"/>
      <c r="BA1005" s="93"/>
      <c r="BB1005" s="93"/>
      <c r="BC1005" s="93"/>
      <c r="BD1005" s="93"/>
      <c r="BE1005" s="93"/>
      <c r="BF1005" s="93"/>
      <c r="BG1005" s="93"/>
      <c r="BH1005" s="93"/>
      <c r="BI1005" s="106"/>
      <c r="BJ1005" s="106"/>
      <c r="BK1005" s="106"/>
      <c r="BL1005" s="106"/>
      <c r="BM1005" s="106"/>
      <c r="BN1005" s="106"/>
      <c r="BO1005" s="106"/>
      <c r="BP1005" s="106"/>
      <c r="BQ1005" s="106"/>
      <c r="BR1005" s="106"/>
      <c r="BS1005" s="93"/>
      <c r="BT1005" s="93"/>
      <c r="BU1005" s="93"/>
    </row>
    <row r="1006" spans="1:73" ht="33.75" customHeight="1">
      <c r="A1006" s="93"/>
      <c r="B1006" s="93"/>
      <c r="C1006" s="93"/>
      <c r="D1006" s="93"/>
      <c r="E1006" s="93"/>
      <c r="F1006" s="93"/>
      <c r="G1006" s="93"/>
      <c r="H1006" s="93"/>
      <c r="I1006" s="93"/>
      <c r="J1006" s="93"/>
      <c r="K1006" s="93"/>
      <c r="L1006" s="93"/>
      <c r="M1006" s="93"/>
      <c r="N1006" s="93"/>
      <c r="O1006" s="80" t="str">
        <f t="shared" si="1371"/>
        <v/>
      </c>
      <c r="P1006" s="93"/>
      <c r="Q1006" s="93"/>
      <c r="R1006" s="93"/>
      <c r="S1006" s="93"/>
      <c r="T1006" s="93"/>
      <c r="U1006" s="93"/>
      <c r="V1006" s="93"/>
      <c r="W1006" s="93"/>
      <c r="X1006" s="93"/>
      <c r="Y1006" s="93"/>
      <c r="Z1006" s="93"/>
      <c r="AA1006" s="93"/>
      <c r="AB1006" s="93"/>
      <c r="AC1006" s="93"/>
      <c r="AD1006" s="93"/>
      <c r="AE1006" s="93"/>
      <c r="AF1006" s="93"/>
      <c r="AG1006" s="93"/>
      <c r="AH1006" s="93"/>
      <c r="AI1006" s="93"/>
      <c r="AJ1006" s="93"/>
      <c r="AK1006" s="93"/>
      <c r="AL1006" s="93"/>
      <c r="AM1006" s="93"/>
      <c r="AN1006" s="93"/>
      <c r="AO1006" s="93"/>
      <c r="AP1006" s="93"/>
      <c r="AQ1006" s="93"/>
      <c r="AR1006" s="93"/>
      <c r="AS1006" s="93"/>
      <c r="AT1006" s="93"/>
      <c r="AU1006" s="161"/>
      <c r="AV1006" s="161"/>
      <c r="AW1006" s="161"/>
      <c r="AX1006" s="161"/>
      <c r="AY1006" s="161"/>
      <c r="AZ1006" s="161"/>
      <c r="BA1006" s="93"/>
      <c r="BB1006" s="93"/>
      <c r="BC1006" s="93"/>
      <c r="BD1006" s="93"/>
      <c r="BE1006" s="93"/>
      <c r="BF1006" s="93"/>
      <c r="BG1006" s="93"/>
      <c r="BH1006" s="93"/>
      <c r="BI1006" s="106"/>
      <c r="BJ1006" s="106"/>
      <c r="BK1006" s="106"/>
      <c r="BL1006" s="106"/>
      <c r="BM1006" s="106"/>
      <c r="BN1006" s="106"/>
      <c r="BO1006" s="106"/>
      <c r="BP1006" s="106"/>
      <c r="BQ1006" s="106"/>
      <c r="BR1006" s="106"/>
      <c r="BS1006" s="93"/>
      <c r="BT1006" s="93"/>
      <c r="BU1006" s="93"/>
    </row>
    <row r="1007" spans="1:73" ht="33.75" customHeight="1">
      <c r="A1007" s="93"/>
      <c r="B1007" s="93"/>
      <c r="C1007" s="93"/>
      <c r="D1007" s="93"/>
      <c r="E1007" s="93"/>
      <c r="F1007" s="93"/>
      <c r="G1007" s="93"/>
      <c r="H1007" s="93"/>
      <c r="I1007" s="93"/>
      <c r="J1007" s="93"/>
      <c r="K1007" s="93"/>
      <c r="L1007" s="93"/>
      <c r="M1007" s="93"/>
      <c r="N1007" s="93"/>
      <c r="O1007" s="80" t="str">
        <f t="shared" si="1371"/>
        <v/>
      </c>
      <c r="P1007" s="93"/>
      <c r="Q1007" s="93"/>
      <c r="R1007" s="93"/>
      <c r="S1007" s="93"/>
      <c r="T1007" s="93"/>
      <c r="U1007" s="93"/>
      <c r="V1007" s="93"/>
      <c r="W1007" s="93"/>
      <c r="X1007" s="93"/>
      <c r="Y1007" s="93"/>
      <c r="Z1007" s="93"/>
      <c r="AA1007" s="93"/>
      <c r="AB1007" s="93"/>
      <c r="AC1007" s="93"/>
      <c r="AD1007" s="93"/>
      <c r="AE1007" s="93"/>
      <c r="AF1007" s="93"/>
      <c r="AG1007" s="93"/>
      <c r="AH1007" s="93"/>
      <c r="AI1007" s="93"/>
      <c r="AJ1007" s="93"/>
      <c r="AK1007" s="93"/>
      <c r="AL1007" s="93"/>
      <c r="AM1007" s="93"/>
      <c r="AN1007" s="93"/>
      <c r="AO1007" s="93"/>
      <c r="AP1007" s="93"/>
      <c r="AQ1007" s="93"/>
      <c r="AR1007" s="93"/>
      <c r="AS1007" s="93"/>
      <c r="AT1007" s="93"/>
      <c r="AU1007" s="161"/>
      <c r="AV1007" s="161"/>
      <c r="AW1007" s="161"/>
      <c r="AX1007" s="161"/>
      <c r="AY1007" s="161"/>
      <c r="AZ1007" s="161"/>
      <c r="BA1007" s="93"/>
      <c r="BB1007" s="93"/>
      <c r="BC1007" s="93"/>
      <c r="BD1007" s="93"/>
      <c r="BE1007" s="93"/>
      <c r="BF1007" s="93"/>
      <c r="BG1007" s="93"/>
      <c r="BH1007" s="93"/>
      <c r="BI1007" s="106"/>
      <c r="BJ1007" s="106"/>
      <c r="BK1007" s="106"/>
      <c r="BL1007" s="106"/>
      <c r="BM1007" s="106"/>
      <c r="BN1007" s="106"/>
      <c r="BO1007" s="106"/>
      <c r="BP1007" s="106"/>
      <c r="BQ1007" s="106"/>
      <c r="BR1007" s="106"/>
      <c r="BS1007" s="93"/>
      <c r="BT1007" s="93"/>
      <c r="BU1007" s="93"/>
    </row>
    <row r="1008" spans="1:73" ht="33.75" customHeight="1">
      <c r="A1008" s="93"/>
      <c r="B1008" s="93"/>
      <c r="C1008" s="93"/>
      <c r="D1008" s="93"/>
      <c r="E1008" s="93"/>
      <c r="F1008" s="93"/>
      <c r="G1008" s="93"/>
      <c r="H1008" s="93"/>
      <c r="I1008" s="93"/>
      <c r="J1008" s="93"/>
      <c r="K1008" s="93"/>
      <c r="L1008" s="93"/>
      <c r="M1008" s="93"/>
      <c r="N1008" s="93"/>
      <c r="O1008" s="80" t="str">
        <f t="shared" si="1371"/>
        <v/>
      </c>
      <c r="P1008" s="93"/>
      <c r="Q1008" s="93"/>
      <c r="R1008" s="93"/>
      <c r="S1008" s="93"/>
      <c r="T1008" s="93"/>
      <c r="U1008" s="93"/>
      <c r="V1008" s="93"/>
      <c r="W1008" s="93"/>
      <c r="X1008" s="93"/>
      <c r="Y1008" s="93"/>
      <c r="Z1008" s="93"/>
      <c r="AA1008" s="93"/>
      <c r="AB1008" s="93"/>
      <c r="AC1008" s="93"/>
      <c r="AD1008" s="93"/>
      <c r="AE1008" s="93"/>
      <c r="AF1008" s="93"/>
      <c r="AG1008" s="93"/>
      <c r="AH1008" s="93"/>
      <c r="AI1008" s="93"/>
      <c r="AJ1008" s="93"/>
      <c r="AK1008" s="93"/>
      <c r="AL1008" s="93"/>
      <c r="AM1008" s="93"/>
      <c r="AN1008" s="93"/>
      <c r="AO1008" s="93"/>
      <c r="AP1008" s="93"/>
      <c r="AQ1008" s="93"/>
      <c r="AR1008" s="93"/>
      <c r="AS1008" s="93"/>
      <c r="AT1008" s="93"/>
      <c r="AU1008" s="161"/>
      <c r="AV1008" s="161"/>
      <c r="AW1008" s="161"/>
      <c r="AX1008" s="161"/>
      <c r="AY1008" s="161"/>
      <c r="AZ1008" s="161"/>
      <c r="BA1008" s="93"/>
      <c r="BB1008" s="93"/>
      <c r="BC1008" s="93"/>
      <c r="BD1008" s="93"/>
      <c r="BE1008" s="93"/>
      <c r="BF1008" s="93"/>
      <c r="BG1008" s="93"/>
      <c r="BH1008" s="93"/>
      <c r="BI1008" s="106"/>
      <c r="BJ1008" s="106"/>
      <c r="BK1008" s="106"/>
      <c r="BL1008" s="106"/>
      <c r="BM1008" s="106"/>
      <c r="BN1008" s="106"/>
      <c r="BO1008" s="106"/>
      <c r="BP1008" s="106"/>
      <c r="BQ1008" s="106"/>
      <c r="BR1008" s="106"/>
      <c r="BS1008" s="93"/>
      <c r="BT1008" s="93"/>
      <c r="BU1008" s="93"/>
    </row>
    <row r="1009" spans="1:100" ht="33.75" customHeight="1">
      <c r="A1009" s="93"/>
      <c r="B1009" s="93"/>
      <c r="C1009" s="93"/>
      <c r="D1009" s="93"/>
      <c r="E1009" s="93"/>
      <c r="F1009" s="93"/>
      <c r="G1009" s="93"/>
      <c r="H1009" s="93"/>
      <c r="I1009" s="93"/>
      <c r="J1009" s="93"/>
      <c r="K1009" s="93"/>
      <c r="L1009" s="93"/>
      <c r="M1009" s="93"/>
      <c r="N1009" s="93"/>
      <c r="O1009" s="80" t="str">
        <f t="shared" si="1371"/>
        <v/>
      </c>
      <c r="P1009" s="93"/>
      <c r="Q1009" s="93"/>
      <c r="R1009" s="93"/>
      <c r="S1009" s="93"/>
      <c r="T1009" s="93"/>
      <c r="U1009" s="93"/>
      <c r="V1009" s="93"/>
      <c r="W1009" s="93"/>
      <c r="X1009" s="93"/>
      <c r="Y1009" s="93"/>
      <c r="Z1009" s="93"/>
      <c r="AA1009" s="93"/>
      <c r="AB1009" s="93"/>
      <c r="AC1009" s="93"/>
      <c r="AD1009" s="93"/>
      <c r="AE1009" s="93"/>
      <c r="AF1009" s="93"/>
      <c r="AG1009" s="93"/>
      <c r="AH1009" s="93"/>
      <c r="AI1009" s="93"/>
      <c r="AJ1009" s="93"/>
      <c r="AK1009" s="93"/>
      <c r="AL1009" s="93"/>
      <c r="AM1009" s="93"/>
      <c r="AN1009" s="93"/>
      <c r="AO1009" s="93"/>
      <c r="AP1009" s="93"/>
      <c r="AQ1009" s="93"/>
      <c r="AR1009" s="93"/>
      <c r="AS1009" s="93"/>
      <c r="AT1009" s="93"/>
      <c r="AU1009" s="161"/>
      <c r="AV1009" s="161"/>
      <c r="AW1009" s="161"/>
      <c r="AX1009" s="161"/>
      <c r="AY1009" s="161"/>
      <c r="AZ1009" s="161"/>
      <c r="BA1009" s="93"/>
      <c r="BB1009" s="93"/>
      <c r="BC1009" s="93"/>
      <c r="BD1009" s="93"/>
      <c r="BE1009" s="93"/>
      <c r="BF1009" s="93"/>
      <c r="BG1009" s="93"/>
      <c r="BH1009" s="93"/>
      <c r="BI1009" s="106"/>
      <c r="BJ1009" s="106"/>
      <c r="BK1009" s="106"/>
      <c r="BL1009" s="106"/>
      <c r="BM1009" s="106"/>
      <c r="BN1009" s="106"/>
      <c r="BO1009" s="106"/>
      <c r="BP1009" s="106"/>
      <c r="BQ1009" s="106"/>
      <c r="BR1009" s="106"/>
      <c r="BS1009" s="93"/>
      <c r="BT1009" s="93"/>
      <c r="BU1009" s="93"/>
    </row>
    <row r="1010" spans="1:100" ht="33.75" customHeight="1">
      <c r="A1010" s="93"/>
      <c r="B1010" s="93"/>
      <c r="C1010" s="93"/>
      <c r="D1010" s="93"/>
      <c r="E1010" s="93"/>
      <c r="F1010" s="93"/>
      <c r="G1010" s="93"/>
      <c r="H1010" s="93"/>
      <c r="I1010" s="93"/>
      <c r="J1010" s="93"/>
      <c r="K1010" s="93"/>
      <c r="L1010" s="93"/>
      <c r="M1010" s="93"/>
      <c r="N1010" s="93"/>
      <c r="O1010" s="80" t="str">
        <f t="shared" si="1371"/>
        <v/>
      </c>
      <c r="P1010" s="93"/>
      <c r="Q1010" s="93"/>
      <c r="R1010" s="93"/>
      <c r="S1010" s="93"/>
      <c r="T1010" s="93"/>
      <c r="U1010" s="93"/>
      <c r="V1010" s="93"/>
      <c r="W1010" s="93"/>
      <c r="X1010" s="93"/>
      <c r="Y1010" s="93"/>
      <c r="Z1010" s="93"/>
      <c r="AA1010" s="93"/>
      <c r="AB1010" s="93"/>
      <c r="AC1010" s="93"/>
      <c r="AD1010" s="93"/>
      <c r="AE1010" s="93"/>
      <c r="AF1010" s="93"/>
      <c r="AG1010" s="93"/>
      <c r="AH1010" s="93"/>
      <c r="AI1010" s="93"/>
      <c r="AJ1010" s="93"/>
      <c r="AK1010" s="93"/>
      <c r="AL1010" s="93"/>
      <c r="AM1010" s="93"/>
      <c r="AN1010" s="93"/>
      <c r="AO1010" s="93"/>
      <c r="AP1010" s="93"/>
      <c r="AQ1010" s="93"/>
      <c r="AR1010" s="93"/>
      <c r="AS1010" s="93"/>
      <c r="AT1010" s="93"/>
      <c r="AU1010" s="161"/>
      <c r="AV1010" s="161"/>
      <c r="AW1010" s="161"/>
      <c r="AX1010" s="161"/>
      <c r="AY1010" s="161"/>
      <c r="AZ1010" s="161"/>
      <c r="BA1010" s="93"/>
      <c r="BB1010" s="93"/>
      <c r="BC1010" s="93"/>
      <c r="BD1010" s="93"/>
      <c r="BE1010" s="93"/>
      <c r="BF1010" s="93"/>
      <c r="BG1010" s="93"/>
      <c r="BH1010" s="93"/>
      <c r="BI1010" s="106"/>
      <c r="BJ1010" s="106"/>
      <c r="BK1010" s="106"/>
      <c r="BL1010" s="106"/>
      <c r="BM1010" s="106"/>
      <c r="BN1010" s="106"/>
      <c r="BO1010" s="106"/>
      <c r="BP1010" s="106"/>
      <c r="BQ1010" s="106"/>
      <c r="BR1010" s="106"/>
      <c r="BS1010" s="93"/>
      <c r="BT1010" s="93"/>
      <c r="BU1010" s="93"/>
    </row>
    <row r="1011" spans="1:100" ht="33.75" customHeight="1">
      <c r="A1011" s="93"/>
      <c r="B1011" s="93"/>
      <c r="C1011" s="93"/>
      <c r="D1011" s="93"/>
      <c r="E1011" s="93"/>
      <c r="F1011" s="93"/>
      <c r="G1011" s="93"/>
      <c r="H1011" s="93"/>
      <c r="I1011" s="93"/>
      <c r="J1011" s="93"/>
      <c r="K1011" s="93"/>
      <c r="L1011" s="93"/>
      <c r="M1011" s="93"/>
      <c r="N1011" s="93"/>
      <c r="O1011" s="80" t="str">
        <f t="shared" si="1371"/>
        <v/>
      </c>
      <c r="P1011" s="93"/>
      <c r="Q1011" s="93"/>
      <c r="R1011" s="93"/>
      <c r="S1011" s="93"/>
      <c r="T1011" s="93"/>
      <c r="U1011" s="93"/>
      <c r="V1011" s="93"/>
      <c r="W1011" s="93"/>
      <c r="X1011" s="93"/>
      <c r="Y1011" s="93"/>
      <c r="Z1011" s="93"/>
      <c r="AA1011" s="93"/>
      <c r="AB1011" s="93"/>
      <c r="AC1011" s="93"/>
      <c r="AD1011" s="93"/>
      <c r="AE1011" s="93"/>
      <c r="AF1011" s="93"/>
      <c r="AG1011" s="93"/>
      <c r="AH1011" s="93"/>
      <c r="AI1011" s="93"/>
      <c r="AJ1011" s="93"/>
      <c r="AK1011" s="93"/>
      <c r="AL1011" s="93"/>
      <c r="AM1011" s="93"/>
      <c r="AN1011" s="93"/>
      <c r="AO1011" s="93"/>
      <c r="AP1011" s="93"/>
      <c r="AQ1011" s="93"/>
      <c r="AR1011" s="93"/>
      <c r="AS1011" s="93"/>
      <c r="AT1011" s="93"/>
      <c r="AU1011" s="161"/>
      <c r="AV1011" s="161"/>
      <c r="AW1011" s="161"/>
      <c r="AX1011" s="161"/>
      <c r="AY1011" s="161"/>
      <c r="AZ1011" s="161"/>
      <c r="BA1011" s="93"/>
      <c r="BB1011" s="93"/>
      <c r="BC1011" s="93"/>
      <c r="BD1011" s="93"/>
      <c r="BE1011" s="93"/>
      <c r="BF1011" s="93"/>
      <c r="BG1011" s="93"/>
      <c r="BH1011" s="93"/>
      <c r="BI1011" s="106"/>
      <c r="BJ1011" s="106"/>
      <c r="BK1011" s="106"/>
      <c r="BL1011" s="106"/>
      <c r="BM1011" s="106"/>
      <c r="BN1011" s="106"/>
      <c r="BO1011" s="106"/>
      <c r="BP1011" s="106"/>
      <c r="BQ1011" s="106"/>
      <c r="BR1011" s="106"/>
      <c r="BS1011" s="93"/>
      <c r="BT1011" s="93"/>
      <c r="BU1011" s="93"/>
    </row>
    <row r="1012" spans="1:100" ht="33.75" customHeight="1">
      <c r="A1012" s="93"/>
      <c r="B1012" s="93"/>
      <c r="C1012" s="93"/>
      <c r="D1012" s="93"/>
      <c r="E1012" s="93"/>
      <c r="F1012" s="93"/>
      <c r="G1012" s="93"/>
      <c r="H1012" s="93"/>
      <c r="I1012" s="93"/>
      <c r="J1012" s="93"/>
      <c r="K1012" s="93"/>
      <c r="L1012" s="93"/>
      <c r="M1012" s="93"/>
      <c r="N1012" s="93"/>
      <c r="O1012" s="80" t="str">
        <f t="shared" si="1371"/>
        <v/>
      </c>
      <c r="P1012" s="93"/>
      <c r="Q1012" s="93"/>
      <c r="R1012" s="93"/>
      <c r="S1012" s="93"/>
      <c r="T1012" s="93"/>
      <c r="U1012" s="93"/>
      <c r="V1012" s="93"/>
      <c r="W1012" s="93"/>
      <c r="X1012" s="93"/>
      <c r="Y1012" s="93"/>
      <c r="Z1012" s="93"/>
      <c r="AA1012" s="93"/>
      <c r="AB1012" s="93"/>
      <c r="AC1012" s="93"/>
      <c r="AD1012" s="93"/>
      <c r="AE1012" s="93"/>
      <c r="AF1012" s="93"/>
      <c r="AG1012" s="93"/>
      <c r="AH1012" s="93"/>
      <c r="AI1012" s="93"/>
      <c r="AJ1012" s="93"/>
      <c r="AK1012" s="93"/>
      <c r="AL1012" s="93"/>
      <c r="AM1012" s="93"/>
      <c r="AN1012" s="93"/>
      <c r="AO1012" s="93"/>
      <c r="AP1012" s="93"/>
      <c r="AQ1012" s="93"/>
      <c r="AR1012" s="93"/>
      <c r="AS1012" s="93"/>
      <c r="AT1012" s="93"/>
      <c r="AU1012" s="161"/>
      <c r="AV1012" s="161"/>
      <c r="AW1012" s="161"/>
      <c r="AX1012" s="161"/>
      <c r="AY1012" s="161"/>
      <c r="AZ1012" s="161"/>
      <c r="BA1012" s="93"/>
      <c r="BB1012" s="93"/>
      <c r="BC1012" s="93"/>
      <c r="BD1012" s="93"/>
      <c r="BE1012" s="93"/>
      <c r="BF1012" s="93"/>
      <c r="BG1012" s="93"/>
      <c r="BH1012" s="93"/>
      <c r="BI1012" s="106"/>
      <c r="BJ1012" s="106"/>
      <c r="BK1012" s="106"/>
      <c r="BL1012" s="106"/>
      <c r="BM1012" s="106"/>
      <c r="BN1012" s="106"/>
      <c r="BO1012" s="106"/>
      <c r="BP1012" s="106"/>
      <c r="BQ1012" s="106"/>
      <c r="BR1012" s="106"/>
      <c r="BS1012" s="93"/>
      <c r="BT1012" s="93"/>
      <c r="BU1012" s="93"/>
    </row>
    <row r="1013" spans="1:100" ht="33.75" customHeight="1">
      <c r="A1013" s="93"/>
      <c r="B1013" s="93"/>
      <c r="C1013" s="93"/>
      <c r="D1013" s="93"/>
      <c r="E1013" s="93"/>
      <c r="F1013" s="93"/>
      <c r="G1013" s="93"/>
      <c r="H1013" s="93"/>
      <c r="I1013" s="93"/>
      <c r="J1013" s="93"/>
      <c r="K1013" s="93"/>
      <c r="L1013" s="93"/>
      <c r="M1013" s="93"/>
      <c r="N1013" s="93"/>
      <c r="O1013" s="80" t="str">
        <f t="shared" si="1371"/>
        <v/>
      </c>
      <c r="P1013" s="93"/>
      <c r="Q1013" s="93"/>
      <c r="R1013" s="93"/>
      <c r="S1013" s="93"/>
      <c r="T1013" s="93"/>
      <c r="U1013" s="93"/>
      <c r="V1013" s="93"/>
      <c r="W1013" s="93"/>
      <c r="X1013" s="93"/>
      <c r="Y1013" s="93"/>
      <c r="Z1013" s="93"/>
      <c r="AA1013" s="93"/>
      <c r="AB1013" s="93"/>
      <c r="AC1013" s="93"/>
      <c r="AD1013" s="93"/>
      <c r="AE1013" s="93"/>
      <c r="AF1013" s="93"/>
      <c r="AG1013" s="93"/>
      <c r="AH1013" s="93"/>
      <c r="AI1013" s="93"/>
      <c r="AJ1013" s="93"/>
      <c r="AK1013" s="93"/>
      <c r="AL1013" s="93"/>
      <c r="AM1013" s="93"/>
      <c r="AN1013" s="93"/>
      <c r="AO1013" s="93"/>
      <c r="AP1013" s="93"/>
      <c r="AQ1013" s="93"/>
      <c r="AR1013" s="93"/>
      <c r="AS1013" s="93"/>
      <c r="AT1013" s="93"/>
      <c r="AU1013" s="161"/>
      <c r="AV1013" s="161"/>
      <c r="AW1013" s="161"/>
      <c r="AX1013" s="161"/>
      <c r="AY1013" s="161"/>
      <c r="AZ1013" s="161"/>
      <c r="BA1013" s="93"/>
      <c r="BB1013" s="93"/>
      <c r="BC1013" s="93"/>
      <c r="BD1013" s="93"/>
      <c r="BE1013" s="93"/>
      <c r="BF1013" s="93"/>
      <c r="BG1013" s="93"/>
      <c r="BH1013" s="93"/>
      <c r="BI1013" s="106"/>
      <c r="BJ1013" s="106"/>
      <c r="BK1013" s="106"/>
      <c r="BL1013" s="106"/>
      <c r="BM1013" s="106"/>
      <c r="BN1013" s="106"/>
      <c r="BO1013" s="106"/>
      <c r="BP1013" s="106"/>
      <c r="BQ1013" s="106"/>
      <c r="BR1013" s="106"/>
      <c r="BS1013" s="93"/>
      <c r="BT1013" s="93"/>
      <c r="BU1013" s="93"/>
    </row>
    <row r="1014" spans="1:100" ht="33.75" customHeight="1">
      <c r="A1014" s="93"/>
      <c r="B1014" s="93"/>
      <c r="C1014" s="93"/>
      <c r="D1014" s="93"/>
      <c r="E1014" s="93"/>
      <c r="F1014" s="93"/>
      <c r="G1014" s="93"/>
      <c r="H1014" s="93"/>
      <c r="I1014" s="93"/>
      <c r="J1014" s="93"/>
      <c r="K1014" s="93"/>
      <c r="L1014" s="93"/>
      <c r="M1014" s="93"/>
      <c r="N1014" s="93"/>
      <c r="O1014" s="80" t="str">
        <f t="shared" si="1371"/>
        <v/>
      </c>
      <c r="P1014" s="93"/>
      <c r="Q1014" s="93"/>
      <c r="R1014" s="93"/>
      <c r="S1014" s="93"/>
      <c r="T1014" s="93"/>
      <c r="U1014" s="93"/>
      <c r="V1014" s="93"/>
      <c r="W1014" s="93"/>
      <c r="X1014" s="93"/>
      <c r="Y1014" s="93"/>
      <c r="Z1014" s="93"/>
      <c r="AA1014" s="93"/>
      <c r="AB1014" s="93"/>
      <c r="AC1014" s="93"/>
      <c r="AD1014" s="93"/>
      <c r="AE1014" s="93"/>
      <c r="AF1014" s="93"/>
      <c r="AG1014" s="93"/>
      <c r="AH1014" s="93"/>
      <c r="AI1014" s="93"/>
      <c r="AJ1014" s="93"/>
      <c r="AK1014" s="93"/>
      <c r="AL1014" s="93"/>
      <c r="AM1014" s="93"/>
      <c r="AN1014" s="93"/>
      <c r="AO1014" s="93"/>
      <c r="AP1014" s="93"/>
      <c r="AQ1014" s="93"/>
      <c r="AR1014" s="93"/>
      <c r="AS1014" s="93"/>
      <c r="AT1014" s="93"/>
      <c r="AU1014" s="161"/>
      <c r="AV1014" s="161"/>
      <c r="AW1014" s="161"/>
      <c r="AX1014" s="161"/>
      <c r="AY1014" s="161"/>
      <c r="AZ1014" s="161"/>
      <c r="BA1014" s="93"/>
      <c r="BB1014" s="93"/>
      <c r="BC1014" s="93"/>
      <c r="BD1014" s="93"/>
      <c r="BE1014" s="93"/>
      <c r="BF1014" s="93"/>
      <c r="BG1014" s="93"/>
      <c r="BH1014" s="93"/>
      <c r="BI1014" s="106"/>
      <c r="BJ1014" s="106"/>
      <c r="BK1014" s="106"/>
      <c r="BL1014" s="106"/>
      <c r="BM1014" s="106"/>
      <c r="BN1014" s="106"/>
      <c r="BO1014" s="106"/>
      <c r="BP1014" s="106"/>
      <c r="BQ1014" s="106"/>
      <c r="BR1014" s="106"/>
      <c r="BS1014" s="93"/>
      <c r="BT1014" s="93"/>
      <c r="BU1014" s="93"/>
    </row>
    <row r="1015" spans="1:100" ht="33.75" customHeight="1">
      <c r="A1015" s="93"/>
      <c r="B1015" s="93"/>
      <c r="C1015" s="93"/>
      <c r="D1015" s="93"/>
      <c r="E1015" s="93"/>
      <c r="F1015" s="93"/>
      <c r="G1015" s="93"/>
      <c r="H1015" s="93"/>
      <c r="I1015" s="93"/>
      <c r="J1015" s="93"/>
      <c r="K1015" s="93"/>
      <c r="L1015" s="93"/>
      <c r="M1015" s="93"/>
      <c r="N1015" s="93"/>
      <c r="O1015" s="80" t="str">
        <f t="shared" si="1371"/>
        <v/>
      </c>
      <c r="P1015" s="93"/>
      <c r="Q1015" s="93"/>
      <c r="R1015" s="93"/>
      <c r="S1015" s="93"/>
      <c r="T1015" s="93"/>
      <c r="U1015" s="93"/>
      <c r="V1015" s="93"/>
      <c r="W1015" s="93"/>
      <c r="X1015" s="93"/>
      <c r="Y1015" s="93"/>
      <c r="Z1015" s="93"/>
      <c r="AA1015" s="93"/>
      <c r="AB1015" s="93"/>
      <c r="AC1015" s="93"/>
      <c r="AD1015" s="93"/>
      <c r="AE1015" s="93"/>
      <c r="AF1015" s="93"/>
      <c r="AG1015" s="93"/>
      <c r="AH1015" s="93"/>
      <c r="AI1015" s="93"/>
      <c r="AJ1015" s="93"/>
      <c r="AK1015" s="93"/>
      <c r="AL1015" s="93"/>
      <c r="AM1015" s="93"/>
      <c r="AN1015" s="93"/>
      <c r="AO1015" s="93"/>
      <c r="AP1015" s="93"/>
      <c r="AQ1015" s="93"/>
      <c r="AR1015" s="93"/>
      <c r="AS1015" s="93"/>
      <c r="AT1015" s="93"/>
      <c r="AU1015" s="161"/>
      <c r="AV1015" s="161"/>
      <c r="AW1015" s="161"/>
      <c r="AX1015" s="161"/>
      <c r="AY1015" s="161"/>
      <c r="AZ1015" s="161"/>
      <c r="BA1015" s="93"/>
      <c r="BB1015" s="93"/>
      <c r="BC1015" s="93"/>
      <c r="BD1015" s="93"/>
      <c r="BE1015" s="93"/>
      <c r="BF1015" s="93"/>
      <c r="BG1015" s="93"/>
      <c r="BH1015" s="93"/>
      <c r="BI1015" s="106"/>
      <c r="BJ1015" s="106"/>
      <c r="BK1015" s="106"/>
      <c r="BL1015" s="106"/>
      <c r="BM1015" s="106"/>
      <c r="BN1015" s="106"/>
      <c r="BO1015" s="106"/>
      <c r="BP1015" s="106"/>
      <c r="BQ1015" s="106"/>
      <c r="BR1015" s="106"/>
      <c r="BS1015" s="93"/>
      <c r="BT1015" s="93"/>
      <c r="BU1015" s="93"/>
    </row>
    <row r="1016" spans="1:100" ht="33.75" customHeight="1">
      <c r="A1016" s="93"/>
      <c r="B1016" s="93"/>
      <c r="C1016" s="93"/>
      <c r="D1016" s="93"/>
      <c r="E1016" s="93"/>
      <c r="F1016" s="93"/>
      <c r="G1016" s="93"/>
      <c r="H1016" s="93"/>
      <c r="I1016" s="93"/>
      <c r="J1016" s="93"/>
      <c r="K1016" s="93"/>
      <c r="L1016" s="93"/>
      <c r="M1016" s="93"/>
      <c r="N1016" s="93"/>
      <c r="O1016" s="80" t="str">
        <f t="shared" si="1371"/>
        <v/>
      </c>
      <c r="P1016" s="93"/>
      <c r="Q1016" s="93"/>
      <c r="R1016" s="93"/>
      <c r="S1016" s="93"/>
      <c r="T1016" s="93"/>
      <c r="U1016" s="93"/>
      <c r="V1016" s="93"/>
      <c r="W1016" s="93"/>
      <c r="X1016" s="93"/>
      <c r="Y1016" s="93"/>
      <c r="Z1016" s="93"/>
      <c r="AA1016" s="93"/>
      <c r="AB1016" s="93"/>
      <c r="AC1016" s="93"/>
      <c r="AD1016" s="93"/>
      <c r="AE1016" s="93"/>
      <c r="AF1016" s="93"/>
      <c r="AG1016" s="93"/>
      <c r="AH1016" s="93"/>
      <c r="AI1016" s="93"/>
      <c r="AJ1016" s="93"/>
      <c r="AK1016" s="93"/>
      <c r="AL1016" s="93"/>
      <c r="AM1016" s="93"/>
      <c r="AN1016" s="93"/>
      <c r="AO1016" s="93"/>
      <c r="AP1016" s="93"/>
      <c r="AQ1016" s="93"/>
      <c r="AR1016" s="93"/>
      <c r="AS1016" s="93"/>
      <c r="AT1016" s="93"/>
      <c r="AU1016" s="161"/>
      <c r="AV1016" s="161"/>
      <c r="AW1016" s="161"/>
      <c r="AX1016" s="161"/>
      <c r="AY1016" s="161"/>
      <c r="AZ1016" s="161"/>
      <c r="BA1016" s="93"/>
      <c r="BB1016" s="93"/>
      <c r="BC1016" s="93"/>
      <c r="BD1016" s="93"/>
      <c r="BE1016" s="93"/>
      <c r="BF1016" s="93"/>
      <c r="BG1016" s="93"/>
      <c r="BH1016" s="93"/>
      <c r="BI1016" s="106"/>
      <c r="BJ1016" s="106"/>
      <c r="BK1016" s="106"/>
      <c r="BL1016" s="106"/>
      <c r="BM1016" s="106"/>
      <c r="BN1016" s="106"/>
      <c r="BO1016" s="106"/>
      <c r="BP1016" s="106"/>
      <c r="BQ1016" s="106"/>
      <c r="BR1016" s="106"/>
      <c r="BS1016" s="93"/>
      <c r="BT1016" s="93"/>
      <c r="BU1016" s="93"/>
    </row>
    <row r="1017" spans="1:100" ht="33.75" customHeight="1">
      <c r="A1017" s="93"/>
      <c r="B1017" s="93"/>
      <c r="C1017" s="93"/>
      <c r="D1017" s="93"/>
      <c r="E1017" s="93"/>
      <c r="F1017" s="93"/>
      <c r="G1017" s="93"/>
      <c r="H1017" s="93"/>
      <c r="I1017" s="93"/>
      <c r="J1017" s="93"/>
      <c r="K1017" s="93"/>
      <c r="L1017" s="93"/>
      <c r="M1017" s="93"/>
      <c r="N1017" s="93"/>
      <c r="O1017" s="80" t="str">
        <f t="shared" si="1371"/>
        <v/>
      </c>
      <c r="P1017" s="93"/>
      <c r="Q1017" s="93"/>
      <c r="R1017" s="93"/>
      <c r="S1017" s="93"/>
      <c r="T1017" s="93"/>
      <c r="U1017" s="93"/>
      <c r="V1017" s="93"/>
      <c r="W1017" s="93"/>
      <c r="X1017" s="93"/>
      <c r="Y1017" s="93"/>
      <c r="Z1017" s="93"/>
      <c r="AA1017" s="93"/>
      <c r="AB1017" s="93"/>
      <c r="AC1017" s="93"/>
      <c r="AD1017" s="93"/>
      <c r="AE1017" s="93"/>
      <c r="AF1017" s="93"/>
      <c r="AG1017" s="93"/>
      <c r="AH1017" s="93"/>
      <c r="AI1017" s="93"/>
      <c r="AJ1017" s="93"/>
      <c r="AK1017" s="93"/>
      <c r="AL1017" s="93"/>
      <c r="AM1017" s="93"/>
      <c r="AN1017" s="93"/>
      <c r="AO1017" s="93"/>
      <c r="AP1017" s="93"/>
      <c r="AQ1017" s="93"/>
      <c r="AR1017" s="93"/>
      <c r="AS1017" s="93"/>
      <c r="AT1017" s="93"/>
      <c r="AU1017" s="161"/>
      <c r="AV1017" s="161"/>
      <c r="AW1017" s="161"/>
      <c r="AX1017" s="161"/>
      <c r="AY1017" s="161"/>
      <c r="AZ1017" s="161"/>
      <c r="BA1017" s="93"/>
      <c r="BB1017" s="93"/>
      <c r="BC1017" s="93"/>
      <c r="BD1017" s="93"/>
      <c r="BE1017" s="93"/>
      <c r="BF1017" s="93"/>
      <c r="BG1017" s="93"/>
      <c r="BH1017" s="93"/>
      <c r="BI1017" s="106"/>
      <c r="BJ1017" s="106"/>
      <c r="BK1017" s="106"/>
      <c r="BL1017" s="106"/>
      <c r="BM1017" s="106"/>
      <c r="BN1017" s="106"/>
      <c r="BO1017" s="106"/>
      <c r="BP1017" s="106"/>
      <c r="BQ1017" s="106"/>
      <c r="BR1017" s="106"/>
      <c r="BS1017" s="93"/>
      <c r="BT1017" s="93"/>
      <c r="BU1017" s="93"/>
    </row>
    <row r="1018" spans="1:100" ht="33.75" customHeight="1">
      <c r="A1018" s="93"/>
      <c r="C1018" s="93"/>
      <c r="D1018" s="93"/>
      <c r="E1018" s="93"/>
      <c r="F1018" s="93"/>
      <c r="G1018" s="93"/>
      <c r="H1018" s="93"/>
      <c r="I1018" s="93"/>
      <c r="J1018" s="93"/>
      <c r="K1018" s="93"/>
      <c r="L1018" s="93"/>
      <c r="M1018" s="93"/>
      <c r="N1018" s="93"/>
      <c r="O1018" s="80" t="str">
        <f t="shared" si="1371"/>
        <v/>
      </c>
      <c r="P1018" s="93"/>
      <c r="Q1018" s="93"/>
      <c r="R1018" s="93"/>
      <c r="S1018" s="93"/>
      <c r="T1018" s="93"/>
      <c r="U1018" s="93"/>
      <c r="V1018" s="93"/>
      <c r="W1018" s="93"/>
      <c r="X1018" s="93"/>
      <c r="Y1018" s="93"/>
      <c r="Z1018" s="93"/>
      <c r="AA1018" s="93"/>
      <c r="AB1018" s="93"/>
      <c r="AC1018" s="93"/>
      <c r="AD1018" s="93"/>
      <c r="AE1018" s="93"/>
      <c r="AF1018" s="93"/>
      <c r="AG1018" s="93"/>
      <c r="AH1018" s="93"/>
      <c r="AI1018" s="93"/>
      <c r="AJ1018" s="93"/>
      <c r="AK1018" s="93"/>
      <c r="AL1018" s="93"/>
      <c r="AM1018" s="93"/>
      <c r="AN1018" s="93"/>
      <c r="AO1018" s="93"/>
      <c r="AP1018" s="93"/>
      <c r="AQ1018" s="93"/>
      <c r="AR1018" s="93"/>
      <c r="AS1018" s="93"/>
      <c r="AT1018" s="93"/>
      <c r="AU1018" s="161"/>
      <c r="AV1018" s="161"/>
      <c r="AW1018" s="161"/>
      <c r="AX1018" s="161"/>
      <c r="AY1018" s="161"/>
      <c r="AZ1018" s="161"/>
      <c r="BA1018" s="93"/>
      <c r="BB1018" s="93"/>
      <c r="BC1018" s="93"/>
      <c r="BD1018" s="93"/>
      <c r="BE1018" s="93"/>
      <c r="BF1018" s="93"/>
      <c r="BG1018" s="93"/>
      <c r="BH1018" s="93"/>
      <c r="BI1018" s="106"/>
      <c r="BJ1018" s="106"/>
      <c r="BK1018" s="106"/>
      <c r="BL1018" s="106"/>
      <c r="BM1018" s="106"/>
      <c r="BN1018" s="106"/>
      <c r="BO1018" s="106"/>
      <c r="BP1018" s="106"/>
      <c r="BQ1018" s="106"/>
      <c r="BR1018" s="106"/>
      <c r="BS1018" s="93"/>
      <c r="BT1018" s="93"/>
      <c r="BU1018" s="93"/>
    </row>
    <row r="1019" spans="1:100" ht="33.75" customHeight="1">
      <c r="CV1019" s="83" t="s">
        <v>179</v>
      </c>
    </row>
  </sheetData>
  <autoFilter ref="A4:HG1018" xr:uid="{00000000-0001-0000-0000-000000000000}"/>
  <customSheetViews>
    <customSheetView guid="{264C30CD-2A1D-4EBD-9AE9-8EE0725F3114}" filter="1" showAutoFilter="1">
      <pageMargins left="0" right="0" top="0" bottom="0" header="0" footer="0"/>
      <autoFilter ref="DG4:EF566" xr:uid="{997C7468-804F-49B1-A1D7-77B5FC2577D0}"/>
    </customSheetView>
    <customSheetView guid="{78543D8B-3BB7-4AB1-97C5-49806AD6926A}" filter="1" showAutoFilter="1">
      <pageMargins left="0" right="0" top="0" bottom="0" header="0" footer="0"/>
      <autoFilter ref="A4:FA566" xr:uid="{C9B61D86-8E24-4848-AF6E-E4386245ADAF}"/>
    </customSheetView>
    <customSheetView guid="{8E70848B-C6C0-46E7-A6AA-32B94CD34856}" filter="1" showAutoFilter="1">
      <pageMargins left="0" right="0" top="0" bottom="0" header="0" footer="0"/>
      <autoFilter ref="A4:BU498" xr:uid="{C2907633-000E-4CB4-BC24-2C91CB437451}">
        <sortState xmlns:xlrd2="http://schemas.microsoft.com/office/spreadsheetml/2017/richdata2" ref="A4:BU498">
          <sortCondition descending="1" ref="N4:N498"/>
        </sortState>
      </autoFilter>
    </customSheetView>
    <customSheetView guid="{253283F9-E5CB-4C67-93C5-53EF811F1E90}" filter="1" showAutoFilter="1">
      <pageMargins left="0" right="0" top="0" bottom="0" header="0" footer="0"/>
      <autoFilter ref="A1" xr:uid="{CE20224D-C7A0-420F-9B89-0EFF23238DCF}"/>
    </customSheetView>
    <customSheetView guid="{1C6E979F-94BD-493C-9F19-8937AE64D7E1}" filter="1" showAutoFilter="1">
      <pageMargins left="0" right="0" top="0" bottom="0" header="0" footer="0"/>
      <autoFilter ref="A4:BU497" xr:uid="{0A240082-C5D2-48D2-8854-13E9A703A71A}"/>
    </customSheetView>
    <customSheetView guid="{12F61020-C29E-4891-86AF-EBD94397FC8C}" filter="1" showAutoFilter="1">
      <pageMargins left="0" right="0" top="0" bottom="0" header="0" footer="0"/>
      <autoFilter ref="A4:FA566" xr:uid="{4F63DF75-4FD3-4604-8F31-EB5532CC6D0E}"/>
    </customSheetView>
    <customSheetView guid="{F207C096-1E65-49CC-AE0F-C4623D794CD5}" filter="1" showAutoFilter="1">
      <pageMargins left="0" right="0" top="0" bottom="0" header="0" footer="0"/>
      <autoFilter ref="A4:BU497" xr:uid="{E85E77F5-E4D6-492D-A779-A8BCAA9415B8}"/>
    </customSheetView>
    <customSheetView guid="{9E4BD9BF-01F1-44D6-9113-4C8E2917A20A}" filter="1" showAutoFilter="1">
      <pageMargins left="0" right="0" top="0" bottom="0" header="0" footer="0"/>
      <autoFilter ref="A4:FA566" xr:uid="{B627F9EC-1A03-4045-876E-B87F2FA0DF54}"/>
    </customSheetView>
    <customSheetView guid="{EAE5B8B2-5B54-4026-97DB-8A1758914250}" filter="1" showAutoFilter="1">
      <pageMargins left="0" right="0" top="0" bottom="0" header="0" footer="0"/>
      <autoFilter ref="A4:FA566" xr:uid="{6ECD10A3-D6C8-4221-A288-6752ED9F330A}"/>
    </customSheetView>
    <customSheetView guid="{62837B04-76B7-445E-8034-C8F314ECEA35}" filter="1" showAutoFilter="1">
      <pageMargins left="0" right="0" top="0" bottom="0" header="0" footer="0"/>
      <autoFilter ref="BZ4:CG566" xr:uid="{2DCA2C33-21C0-4227-948A-5F029A9AA697}"/>
    </customSheetView>
    <customSheetView guid="{6A4AEF36-C92F-4F39-A925-7F67CE5CC19A}" filter="1" showAutoFilter="1">
      <pageMargins left="0" right="0" top="0" bottom="0" header="0" footer="0"/>
      <autoFilter ref="A4:BU497" xr:uid="{7BB2F355-EDD4-48EA-B1CD-56AC476EB3DE}"/>
    </customSheetView>
    <customSheetView guid="{5FD45068-0A1C-44A6-A614-A34DE3DECE97}" filter="1" showAutoFilter="1">
      <pageMargins left="0" right="0" top="0" bottom="0" header="0" footer="0"/>
      <autoFilter ref="A4:FA566" xr:uid="{78CE33AC-9912-4378-AC1F-48A093A4FC7A}">
        <filterColumn colId="77">
          <filters blank="1">
            <filter val="216"/>
            <filter val="250"/>
            <filter val="70"/>
            <filter val="71"/>
          </filters>
        </filterColumn>
      </autoFilter>
    </customSheetView>
    <customSheetView guid="{9B8DC269-B1B4-4EA3-99A1-B76D8B572F17}" filter="1" showAutoFilter="1">
      <pageMargins left="0" right="0" top="0" bottom="0" header="0" footer="0"/>
      <autoFilter ref="CI4:CI219" xr:uid="{B7E25515-7321-4A76-B5AE-58E4C4F58A00}"/>
    </customSheetView>
    <customSheetView guid="{E6A6FB97-928F-42AC-960F-BFEC30593C6F}" filter="1" showAutoFilter="1">
      <pageMargins left="0" right="0" top="0" bottom="0" header="0" footer="0"/>
      <autoFilter ref="A4:FA566" xr:uid="{41A103BD-958E-4C90-A1AC-EA5336C8955F}"/>
    </customSheetView>
    <customSheetView guid="{4A375B5A-2715-418E-AD29-BFA430B9FE6C}" filter="1" showAutoFilter="1">
      <pageMargins left="0" right="0" top="0" bottom="0" header="0" footer="0"/>
      <autoFilter ref="A4:FA566" xr:uid="{8DB89232-7067-47F9-BBB6-C5F99D5DA4C5}">
        <filterColumn colId="1">
          <filters>
            <filter val="Actividad de cumplimento para acción afirmativa con Comunidad Raizal"/>
            <filter val="Apuestas de la segunda versión de Smart City"/>
            <filter val="Articulación con DPL - Proyectos PIP y Participación"/>
            <filter val="Audiencia del Decreto 563 de 2023"/>
            <filter val="Audiencia Publica - El cambio debe verse en el Centro de Bogotá"/>
            <filter val="Audiencia Pública de Rendición de Cuentas IDPAC vigencia 2023"/>
            <filter val="Audiencia pública sobre la garantía y ejercicio de los derechos de las personas LGBTI"/>
            <filter val="Capacitación - UPL y PIP líderes sectores MOT"/>
            <filter val="Capacitación Actuaciones Estratégicas"/>
            <filter val="Capacitación Sistema de Participación Territorial"/>
            <filter val="CLIP Barrios Unidos"/>
            <filter val="CLIP Chapinero"/>
            <filter val="CLIP Mártires"/>
            <filter val="CLIP Santa Fe"/>
            <filter val="CLIP Santa Fé"/>
            <filter val="Comisión de Participación CTPD"/>
            <filter val="Comisión de Participación- CTPD"/>
            <filter val="Comisión POT del CTPD"/>
            <filter val="Comisón POT del CTPD"/>
            <filter val="Comite Intersectorial del PDD"/>
            <filter val="Comité técnico- CTPD"/>
            <filter val="Concejo - Formulación PDD-10-05-2024"/>
            <filter val="Concejo - Formulación PDD-14-05-2024"/>
            <filter val="Construcción de agenda - Sector Suroccidente"/>
            <filter val="Consultorio PDD - Concejo: Jornada 12- Sector Cultura"/>
            <filter val="Consultorio PDD - Concejo: Jornada 13- Sector Cultura"/>
            <filter val="Convocatoria de elección de organizaciones sociales al CTPD por parte de la SDS"/>
            <filter val="DPL -Lineamientos estrategia de participación - servicios públicos"/>
            <filter val="Encuentro ciudadano local - Sumapaz"/>
            <filter val="Encuentro Fundación Colombia 2050"/>
            <filter val="Evento - conmemoración 129 años de la Unidad de Bomberos de Bogotá"/>
            <filter val="Evento - Experiencias Inspiradoras"/>
            <filter val="Evento virtual  socialización resultados Encuesta Servidores- Veeduría Distrital-IIPC"/>
            <filter val="Formulación Actuación Estratégica Calle 72"/>
            <filter val="Gala Sergio Urrego"/>
            <filter val="Generalidades POT y UPL/PIP"/>
            <filter val="Gestión - Capacitación para categorización de propuestas abiertas PDD"/>
            <filter val="Gestion - Presentación propuesta Asamblea Deliberativa Agora"/>
            <filter val="Gestión - Sistema de Participación Territorial - Sector Ambiente"/>
            <filter val="Gestión :Diálogo Ciudadano Población Migrante - ACNUR / SDP"/>
            <filter val="Gestión :Socialización plan decenal de lenguas Étnicas -UNAD"/>
            <filter val="Gestión: Acompañamiento espacio de diálogo Sec. Gobierno con Cabildo Muisca de Suba"/>
            <filter val="Gestión: concertación acciones afirmativas Pueblo Rrom"/>
            <filter val="Gestión: Construcción de agenda Sector Rural - SPRS y OPDC"/>
            <filter val="Gestión: Documento Estrategia Participación Regalías y Plan de Acción"/>
            <filter val="Gestión: Encuentro nacional de jóvenes negros, afrocolombianos, palenqueros y Raizales."/>
            <filter val="Gestion: Estrategia de Participacion Plan Maestro del Sistema de Cuidado"/>
            <filter val="Gestión: Estrategia de Participación SGR - Segundo Semestre 2024"/>
            <filter val="Gestión: Mesa intersectorial  SPT -SSSM"/>
            <filter val="Gestión: Pedagogía del Plan Distrital de Desarrollo"/>
            <filter val="Gestión: Plan de trabajo para acciones afirmativas Comunidad Negra Afrocolombiana"/>
            <filter val="Gestión: Plan de trabajo para acciones afirmativas con Comunidad Palenquera"/>
            <filter val="Gestión: Preparación de metodologías para actividades de acciones afirmativas - Comunidad Palenquera"/>
            <filter val="Gestión: Preparatoria Acción Afirmativa Pueblo Rrom - Gitano"/>
            <filter val="Gestión: Reunión con IPDC sobre Sistema Sitios Sagrados Muisca y SPT"/>
            <filter val="Gestión: Reunión con Veeduría Distrital"/>
            <filter val="Gestión: Reunión Junta Directiva / incentivos y bolsa logística CTPD"/>
            <filter val="Gestión: Reunión preparatoria acción afirmativa con Comunidad Raizal"/>
            <filter val="Gestión: Revisión cronograma participación ZIBO - Renobo"/>
            <filter val="Gestión: Revisión de compromisos con Cabildo Muisca de Suba"/>
            <filter val="Gestión: Revisión propuesta Agora Metropolitana"/>
            <filter val="Gestión:coordinación para propuesta Agora"/>
            <filter val="Gestión:Socialización SPT a Subdirecciones Territoriales"/>
            <filter val="II Reunión: construcción de agenda - Sector Sur occidente"/>
            <filter val="La Noche y Las Luciérnagas"/>
            <filter val="Mesa de Gestión Territorial Barrio Nuevo Chile -JAC"/>
            <filter val="Mesa de trabajo - Feria de servicios Patio Bonito II"/>
            <filter val="Mesa de trabajo AEDA"/>
            <filter val="Mesa de trabajo Estrategia Microterritorial -  JAC"/>
            <filter val="Mesa de trabajo Foro - Veeduría Distrital"/>
            <filter val="Mesa de trabajo sector republica de Canadá y Santa Marta"/>
            <filter val="Orion Miorgullo Stonewall Inn"/>
            <filter val="Plan de Acción PPR - Sector Planeación"/>
            <filter val="Plan de trabajo Sistema de Participación Territorial con Pueblo Muisca de Suba y Bosa"/>
            <filter val="Plenaria ordinaria CTPD"/>
            <filter val="Plenaria permanente CTPD"/>
            <filter val="Presentación de resultados de Participación UPL Sumapaz- JAL"/>
            <filter val="Primer comité de participación ciudadana - Proyecto Manzana del cuidado del Porvenir Gibraltar"/>
            <filter val="Primera sesión de la Subcomisión Permanente del Sistema de Participación Territorial"/>
            <filter val="Recorrido AE Campín 7 de agosto - sector 7 de agosto"/>
            <filter val="Recorrido AE Chapinero verde e inteligente"/>
            <filter val="Recorrido AE estratégica Campin 7 de agosto sector Campin"/>
            <filter val="Recorrido AE ZIBO - JAC Puente Aranda"/>
            <filter val="Recorrido AE ZIBO JAC Teusaquillo"/>
            <filter val="Red institucional de Apoyo a las Veedurías Ciudadanas: Presentación planeación participativa del PDD"/>
            <filter val="Retroalimentación proyecto Asambleas Deliberativas"/>
            <filter val="Reunión con presidentes de JAC con incidencia en la APP Campin y AE Campin 7 de agosto"/>
            <filter val="Reunión con USAID y FHI360"/>
            <filter val="Reunión -Concejal Julian Triana"/>
            <filter val="Reunión concejal Ponente Clara Lucia Sandoval"/>
            <filter val="Reunión de articulación- DPL"/>
            <filter val="Reunión de Gestión Ágora Metropolitana"/>
            <filter val="Reunión Junta Directiva CTPD"/>
            <filter val="Reunión preparatoria para talleres de AE Campín. 7 de agosto con presidentes de JAC"/>
            <filter val="Reunión vicepresidente del CTPD"/>
            <filter val="Reunión: Propuesta de Asamblea deliberativa Metropolitana - Agora"/>
            <filter val="Seguimiento - PIPC 2024 - EcoUrbanismo y Construcción Sostenible"/>
            <filter val="Seguimiento Secretaría de Planeación de Cundinamarca"/>
            <filter val="Sesión  Extraordinaria Comisión Desarrollo Regional CTPD"/>
            <filter val="Sesión Consejo de Propiedad Horizontal"/>
            <filter val="Sesión Consejo Distrital de Propiedad Horizontal"/>
            <filter val="Sesión de Concejo -  Sesión Plenaria Ordinaria PDD-28-05-2024 Tarde"/>
            <filter val="Sesión de Concejo -  Sesión Plenaria Ordinaria PDD-29-05-2024"/>
            <filter val="Sesión de Concejo -  Sesión Plenaria Ordinaria PDD-29-05-2024 Tarde"/>
            <filter val="Sesión de Concejo - Formulación PDD- 03-05-2024"/>
            <filter val="Sesión de Concejo - Formulación PDD- 06-05-2024"/>
            <filter val="Sesión de Concejo - Formulación PDD- 07-05-2024"/>
            <filter val="Sesión de Concejo - Formulación PDD- 08-05-2024"/>
            <filter val="Sesión de Concejo - Formulación PDD- 09-05-2024"/>
            <filter val="Sesión de Concejo - Formulación PDD- 22-05-2024"/>
            <filter val="Sesión de Concejo - Formulación PDD- 22-05-2024 -Tarde"/>
            <filter val="Sesión de Concejo - Formulación PDD-10-05-2024"/>
            <filter val="Sesión de Concejo - Formulación PDD-14-05-2024"/>
            <filter val="Sesión de Concejo - Formulación PDD-15-05-2024"/>
            <filter val="Sesión de Concejo - Formulación PDD-20-05-2024"/>
            <filter val="Sesión de Concejo - Formulación PDD-21-05-2024"/>
            <filter val="Sesión de Concejo - Formulación PDD-23-05-2024"/>
            <filter val="Sesión de Concejo - Formulación PDD-23-05-2024 - Tarde"/>
            <filter val="Sesión de Concejo - Formulación PDD-24-05-2024"/>
            <filter val="Sesión de Concejo - Formulación PDD-24-05-2024 Tarde"/>
            <filter val="Sesión de Concejo - Formulación PDD-25-05-2024"/>
            <filter val="Sesión de Concejo - Formulación PDD-25-05-2024 Tarde"/>
            <filter val="Sesión de Concejo - Formulación PDD-30-05-2024"/>
            <filter val="Sesión de Concejo - Sesión Plenaria Ordinaria PDD-28-05-2024"/>
            <filter val="Sesión de la Comisión Intersectorial de Participación"/>
            <filter val="Sesión extraordinaria - Mesa Distrital de Víctimas"/>
            <filter val="Sesión Extraordinaria Comisión Desarrollo Regional - CTPD"/>
            <filter val="Sesión JAL - PEMP Teusaquillo"/>
            <filter val="Sesión Ordinaria de la Comisión de Desarrollo Regional - CTPD"/>
            <filter val="Sesión Ordinaria de la Comisión Plan de Desarrollo Distrital CTPD"/>
            <filter val="Socialización Plan Parcial de Desarrollo Los Búhos"/>
            <filter val="Socialización Sistema de Participación Territorial - Renobo"/>
            <filter val="Taller  Modelo de Relacionamiento con la Ciudadanía"/>
            <filter val="Taller de diálogo  Actuación Estratégica Campín 7 de Agosto"/>
            <filter val="Taller de Diálogo  Actuación Estratégica Montevideo"/>
            <filter val="Taller de Diálogo CiudadanoFormulación de Directrices para la AE Campín 7 de agosto"/>
            <filter val="Transmicable San Cristóbal -JAL San Cristóbal"/>
          </filters>
        </filterColumn>
      </autoFilter>
    </customSheetView>
    <customSheetView guid="{A7C48391-0F75-4E97-8287-A91DE15525A1}" filter="1" showAutoFilter="1">
      <pageMargins left="0" right="0" top="0" bottom="0" header="0" footer="0"/>
      <autoFilter ref="A4:FA566" xr:uid="{60ACC683-0277-4FDB-B761-6094F3307AFA}"/>
    </customSheetView>
    <customSheetView guid="{9687CA5C-EF2D-4064-A3A2-C09F9C373055}" filter="1" showAutoFilter="1">
      <pageMargins left="0" right="0" top="0" bottom="0" header="0" footer="0"/>
      <autoFilter ref="A4:FA566" xr:uid="{4091AD33-0EB5-4A7A-BE04-BB58971DBCD5}"/>
    </customSheetView>
    <customSheetView guid="{EEB1B4B4-D11B-426F-9EAD-4C73EDCF2511}" filter="1" showAutoFilter="1">
      <pageMargins left="0" right="0" top="0" bottom="0" header="0" footer="0"/>
      <autoFilter ref="A4:FA566" xr:uid="{F1C05204-71EE-4AA3-838E-66F18A0D63D9}"/>
    </customSheetView>
    <customSheetView guid="{726EDFFB-547F-488A-B5AE-FD7F070447E1}" filter="1" showAutoFilter="1">
      <pageMargins left="0" right="0" top="0" bottom="0" header="0" footer="0"/>
      <autoFilter ref="A4:FA566" xr:uid="{FBF01398-2527-455C-A22A-35C05DD1A73A}"/>
    </customSheetView>
    <customSheetView guid="{8BCE3E66-1F1F-4548-AA61-8B2E0394C9F6}" filter="1" showAutoFilter="1">
      <pageMargins left="0" right="0" top="0" bottom="0" header="0" footer="0"/>
      <autoFilter ref="B328:C553" xr:uid="{9BE19575-5564-4FF4-ACA0-C8B63403CB1F}"/>
    </customSheetView>
    <customSheetView guid="{3D5A39F8-0DD4-4B25-A53F-A5DB6C4E662B}" filter="1" showAutoFilter="1">
      <pageMargins left="0" right="0" top="0" bottom="0" header="0" footer="0"/>
      <autoFilter ref="A4:FA566" xr:uid="{AE296530-2810-4993-9560-1945E98BC323}">
        <filterColumn colId="77">
          <filters blank="1">
            <filter val="70"/>
          </filters>
        </filterColumn>
      </autoFilter>
    </customSheetView>
    <customSheetView guid="{745E0385-25C6-4B57-AEA1-95F6DAC2421E}" filter="1" showAutoFilter="1">
      <pageMargins left="0" right="0" top="0" bottom="0" header="0" footer="0"/>
      <autoFilter ref="A4:FA566" xr:uid="{C160A2BE-7E79-4BD2-9765-036B14D63231}"/>
    </customSheetView>
    <customSheetView guid="{0F980F3B-FC52-411A-9C4E-30DAD32635C3}" filter="1" showAutoFilter="1">
      <pageMargins left="0" right="0" top="0" bottom="0" header="0" footer="0"/>
      <autoFilter ref="A4:FA566" xr:uid="{929B8373-448C-40D4-A559-C43259A12B7D}"/>
    </customSheetView>
    <customSheetView guid="{10335018-B213-4583-B860-A2ED9FA89826}" filter="1" showAutoFilter="1">
      <pageMargins left="0" right="0" top="0" bottom="0" header="0" footer="0"/>
      <autoFilter ref="A4:FA566" xr:uid="{4DDA92B8-2DD1-4739-929C-0111FCC37B0A}"/>
    </customSheetView>
    <customSheetView guid="{1D80E054-8872-4587-8092-5126ED9B2C4B}" filter="1" showAutoFilter="1">
      <pageMargins left="0" right="0" top="0" bottom="0" header="0" footer="0"/>
      <autoFilter ref="A4:BU448" xr:uid="{6A815E1F-FA81-43CA-9771-3D206DCA642A}"/>
    </customSheetView>
    <customSheetView guid="{B63B5A75-C675-41A3-A66E-A2E8A1326B7A}" filter="1" showAutoFilter="1">
      <pageMargins left="0" right="0" top="0" bottom="0" header="0" footer="0"/>
      <autoFilter ref="A4:BU548" xr:uid="{476F2F96-CA46-4809-8026-CB18EB27BAB2}"/>
    </customSheetView>
    <customSheetView guid="{C3C76A01-D58E-4C4A-94DD-A5FAB0448A3E}" filter="1" showAutoFilter="1">
      <pageMargins left="0" right="0" top="0" bottom="0" header="0" footer="0"/>
      <autoFilter ref="A4:BU497" xr:uid="{7C43F382-7835-4FAB-9947-99D7D22F1230}"/>
    </customSheetView>
    <customSheetView guid="{E57E0A82-D9BB-485F-91DF-63724D5593A2}" filter="1" showAutoFilter="1">
      <pageMargins left="0" right="0" top="0" bottom="0" header="0" footer="0"/>
      <autoFilter ref="A4:FA566" xr:uid="{C2700010-7602-4EE0-8085-9541C1767F68}"/>
    </customSheetView>
    <customSheetView guid="{B838C755-11C7-416C-89B7-1D0E6FE1B654}" filter="1" showAutoFilter="1">
      <pageMargins left="0" right="0" top="0" bottom="0" header="0" footer="0"/>
      <autoFilter ref="DG4:EF493" xr:uid="{CE925698-1A62-4717-9F1F-DBBCD4F06F46}">
        <filterColumn colId="3">
          <filters>
            <filter val="En trámite"/>
          </filters>
        </filterColumn>
      </autoFilter>
    </customSheetView>
    <customSheetView guid="{CBC98601-95B6-43EB-8DB2-B24D9B914D67}" filter="1" showAutoFilter="1">
      <pageMargins left="0" right="0" top="0" bottom="0" header="0" footer="0"/>
      <autoFilter ref="BW4:BX552" xr:uid="{62415962-AD05-423F-9210-6EA856D8391F}"/>
    </customSheetView>
    <customSheetView guid="{D13C2B98-9F48-44AE-86E6-B20A4A8B9EA4}" filter="1" showAutoFilter="1">
      <pageMargins left="0" right="0" top="0" bottom="0" header="0" footer="0"/>
      <autoFilter ref="A4:FA566" xr:uid="{864BF4CB-CFEF-42F0-AACB-2A1A26D820D6}"/>
    </customSheetView>
    <customSheetView guid="{0998E86F-EB22-41C7-A1D3-C8C85B32BEC2}" filter="1" showAutoFilter="1">
      <pageMargins left="0" right="0" top="0" bottom="0" header="0" footer="0"/>
      <autoFilter ref="A1" xr:uid="{ADE0D9E6-5DB6-4181-B1B3-3A38DB829FD8}"/>
    </customSheetView>
    <customSheetView guid="{94A8EDBB-3FF4-4079-ACF9-CEFACFEF5D8F}" filter="1" showAutoFilter="1">
      <pageMargins left="0" right="0" top="0" bottom="0" header="0" footer="0"/>
      <autoFilter ref="A4:BU497" xr:uid="{8F7790E7-2DFE-4C37-AB74-AA80B9A05B65}"/>
    </customSheetView>
    <customSheetView guid="{3E49DF13-D92F-42AC-803F-C870D81917C4}" filter="1" showAutoFilter="1">
      <pageMargins left="0" right="0" top="0" bottom="0" header="0" footer="0"/>
      <autoFilter ref="A4:BU498" xr:uid="{0501AFC9-68F9-4012-8305-F2594DA26D18}">
        <filterColumn colId="13">
          <filters>
            <filter val="Nestor Jecfrid Sánchez"/>
            <filter val="William Arturo González"/>
            <filter val="Yeiker Guerra Sarmiento"/>
          </filters>
        </filterColumn>
      </autoFilter>
    </customSheetView>
    <customSheetView guid="{9B97F165-352D-4CA7-BE1D-F0786A1DC505}" filter="1" showAutoFilter="1">
      <pageMargins left="0" right="0" top="0" bottom="0" header="0" footer="0"/>
      <autoFilter ref="A4:BU497" xr:uid="{503BB296-B7D2-43FB-9E54-164AD255E1BA}"/>
    </customSheetView>
  </customSheetViews>
  <mergeCells count="4">
    <mergeCell ref="BZ2:CA2"/>
    <mergeCell ref="CK2:CL2"/>
    <mergeCell ref="DF2:DH2"/>
    <mergeCell ref="EK2:EL2"/>
  </mergeCells>
  <conditionalFormatting sqref="B844">
    <cfRule type="expression" dxfId="245" priority="48">
      <formula>$H846="NO"</formula>
    </cfRule>
    <cfRule type="expression" dxfId="244" priority="47">
      <formula>$G846="NO"</formula>
    </cfRule>
    <cfRule type="expression" dxfId="243" priority="46">
      <formula>$F846="NO"</formula>
    </cfRule>
  </conditionalFormatting>
  <conditionalFormatting sqref="B878">
    <cfRule type="expression" dxfId="242" priority="51">
      <formula>$H880="NO"</formula>
    </cfRule>
    <cfRule type="expression" dxfId="241" priority="50">
      <formula>$G880="NO"</formula>
    </cfRule>
    <cfRule type="expression" dxfId="240" priority="49">
      <formula>$F880="NO"</formula>
    </cfRule>
  </conditionalFormatting>
  <conditionalFormatting sqref="B881">
    <cfRule type="expression" dxfId="239" priority="2701">
      <formula>$H906="NO"</formula>
    </cfRule>
    <cfRule type="expression" dxfId="238" priority="2700">
      <formula>$G906="NO"</formula>
    </cfRule>
    <cfRule type="expression" dxfId="237" priority="2699">
      <formula>$F906="NO"</formula>
    </cfRule>
  </conditionalFormatting>
  <conditionalFormatting sqref="B882">
    <cfRule type="expression" dxfId="236" priority="40">
      <formula>$F883="NO"</formula>
    </cfRule>
    <cfRule type="expression" dxfId="235" priority="42">
      <formula>$H883="NO"</formula>
    </cfRule>
    <cfRule type="expression" dxfId="234" priority="41">
      <formula>$G883="NO"</formula>
    </cfRule>
  </conditionalFormatting>
  <conditionalFormatting sqref="B884">
    <cfRule type="expression" dxfId="233" priority="37">
      <formula>$F885="NO"</formula>
    </cfRule>
    <cfRule type="expression" dxfId="232" priority="38">
      <formula>$G885="NO"</formula>
    </cfRule>
    <cfRule type="expression" dxfId="231" priority="39">
      <formula>$H885="NO"</formula>
    </cfRule>
  </conditionalFormatting>
  <conditionalFormatting sqref="B886:B887">
    <cfRule type="expression" dxfId="230" priority="28">
      <formula>$F888="NO"</formula>
    </cfRule>
    <cfRule type="expression" dxfId="229" priority="29">
      <formula>$G888="NO"</formula>
    </cfRule>
    <cfRule type="expression" dxfId="228" priority="30">
      <formula>$H888="NO"</formula>
    </cfRule>
  </conditionalFormatting>
  <conditionalFormatting sqref="B888">
    <cfRule type="expression" dxfId="227" priority="2689">
      <formula>$H913="NO"</formula>
    </cfRule>
    <cfRule type="expression" dxfId="226" priority="2688">
      <formula>$G913="NO"</formula>
    </cfRule>
    <cfRule type="expression" dxfId="225" priority="2687">
      <formula>$F913="NO"</formula>
    </cfRule>
    <cfRule type="expression" dxfId="224" priority="2695">
      <formula>$H912="NO"</formula>
    </cfRule>
    <cfRule type="expression" dxfId="223" priority="2694">
      <formula>$G912="NO"</formula>
    </cfRule>
    <cfRule type="expression" dxfId="222" priority="2693">
      <formula>$F912="NO"</formula>
    </cfRule>
  </conditionalFormatting>
  <conditionalFormatting sqref="B889:B890">
    <cfRule type="expression" dxfId="221" priority="2692">
      <formula>$H912="NO"</formula>
    </cfRule>
    <cfRule type="expression" dxfId="220" priority="2691">
      <formula>$G912="NO"</formula>
    </cfRule>
    <cfRule type="expression" dxfId="219" priority="2690">
      <formula>$F912="NO"</formula>
    </cfRule>
  </conditionalFormatting>
  <conditionalFormatting sqref="B890">
    <cfRule type="expression" dxfId="218" priority="2698">
      <formula>$H912="NO"</formula>
    </cfRule>
    <cfRule type="expression" dxfId="217" priority="2697">
      <formula>$G912="NO"</formula>
    </cfRule>
    <cfRule type="expression" dxfId="216" priority="2696">
      <formula>$F912="NO"</formula>
    </cfRule>
  </conditionalFormatting>
  <conditionalFormatting sqref="B891">
    <cfRule type="expression" dxfId="215" priority="1622">
      <formula>$H916="NO"</formula>
    </cfRule>
    <cfRule type="expression" dxfId="214" priority="1621">
      <formula>$G916="NO"</formula>
    </cfRule>
    <cfRule type="expression" dxfId="213" priority="1620">
      <formula>$F916="NO"</formula>
    </cfRule>
  </conditionalFormatting>
  <conditionalFormatting sqref="B892">
    <cfRule type="expression" dxfId="212" priority="2686">
      <formula>$H913="NO"</formula>
    </cfRule>
    <cfRule type="expression" dxfId="211" priority="2685">
      <formula>$G913="NO"</formula>
    </cfRule>
    <cfRule type="expression" dxfId="210" priority="2684">
      <formula>$F913="NO"</formula>
    </cfRule>
  </conditionalFormatting>
  <conditionalFormatting sqref="B893">
    <cfRule type="expression" dxfId="209" priority="1908">
      <formula>$H894="NO"</formula>
    </cfRule>
    <cfRule type="expression" dxfId="208" priority="1906">
      <formula>$F894="NO"</formula>
    </cfRule>
    <cfRule type="expression" dxfId="207" priority="1907">
      <formula>$G894="NO"</formula>
    </cfRule>
  </conditionalFormatting>
  <conditionalFormatting sqref="B894">
    <cfRule type="expression" dxfId="206" priority="2702">
      <formula>$F915="NO"</formula>
    </cfRule>
    <cfRule type="expression" dxfId="205" priority="2703">
      <formula>$G915="NO"</formula>
    </cfRule>
    <cfRule type="expression" dxfId="204" priority="2704">
      <formula>$H915="NO"</formula>
    </cfRule>
  </conditionalFormatting>
  <conditionalFormatting sqref="B899:B900">
    <cfRule type="expression" dxfId="203" priority="18">
      <formula>$H902="NO"</formula>
    </cfRule>
    <cfRule type="expression" dxfId="202" priority="17">
      <formula>$G902="NO"</formula>
    </cfRule>
    <cfRule type="expression" dxfId="201" priority="16">
      <formula>$F902="NO"</formula>
    </cfRule>
  </conditionalFormatting>
  <conditionalFormatting sqref="B904">
    <cfRule type="expression" dxfId="200" priority="1">
      <formula>$F906="NO"</formula>
    </cfRule>
    <cfRule type="expression" dxfId="199" priority="3">
      <formula>$H906="NO"</formula>
    </cfRule>
    <cfRule type="expression" dxfId="198" priority="2">
      <formula>$G906="NO"</formula>
    </cfRule>
  </conditionalFormatting>
  <conditionalFormatting sqref="B906">
    <cfRule type="expression" dxfId="197" priority="1913">
      <formula>$G915="NO"</formula>
    </cfRule>
    <cfRule type="expression" dxfId="196" priority="1912">
      <formula>$F915="NO"</formula>
    </cfRule>
    <cfRule type="expression" dxfId="195" priority="1911">
      <formula>$H891="NO"</formula>
    </cfRule>
    <cfRule type="expression" dxfId="194" priority="1910">
      <formula>$G891="NO"</formula>
    </cfRule>
    <cfRule type="expression" dxfId="193" priority="1909">
      <formula>$F891="NO"</formula>
    </cfRule>
    <cfRule type="expression" dxfId="192" priority="1914">
      <formula>$H915="NO"</formula>
    </cfRule>
    <cfRule type="expression" dxfId="191" priority="1199">
      <formula>$H894="NO"</formula>
    </cfRule>
    <cfRule type="expression" dxfId="190" priority="1198">
      <formula>$G894="NO"</formula>
    </cfRule>
    <cfRule type="expression" dxfId="189" priority="1197">
      <formula>$F894="NO"</formula>
    </cfRule>
    <cfRule type="expression" dxfId="188" priority="1191">
      <formula>$H886="NO"</formula>
    </cfRule>
    <cfRule type="expression" dxfId="187" priority="1190">
      <formula>$G886="NO"</formula>
    </cfRule>
    <cfRule type="expression" dxfId="186" priority="1189">
      <formula>$F886="NO"</formula>
    </cfRule>
  </conditionalFormatting>
  <conditionalFormatting sqref="B907:B908 B910:B911">
    <cfRule type="expression" dxfId="185" priority="797">
      <formula>$H909="NO"</formula>
    </cfRule>
    <cfRule type="expression" dxfId="184" priority="796">
      <formula>$G909="NO"</formula>
    </cfRule>
    <cfRule type="expression" dxfId="183" priority="795">
      <formula>$F909="NO"</formula>
    </cfRule>
  </conditionalFormatting>
  <conditionalFormatting sqref="B908">
    <cfRule type="expression" dxfId="182" priority="2043">
      <formula>$F915="NO"</formula>
    </cfRule>
    <cfRule type="expression" dxfId="181" priority="2044">
      <formula>$G915="NO"</formula>
    </cfRule>
    <cfRule type="expression" dxfId="180" priority="2045">
      <formula>$H915="NO"</formula>
    </cfRule>
  </conditionalFormatting>
  <conditionalFormatting sqref="B908:B909">
    <cfRule type="expression" dxfId="179" priority="2722">
      <formula>$H892="NO"</formula>
    </cfRule>
    <cfRule type="expression" dxfId="178" priority="2721">
      <formula>$G892="NO"</formula>
    </cfRule>
    <cfRule type="expression" dxfId="177" priority="2720">
      <formula>$F892="NO"</formula>
    </cfRule>
  </conditionalFormatting>
  <conditionalFormatting sqref="B908:B911">
    <cfRule type="expression" dxfId="176" priority="2716">
      <formula>$H895="NO"</formula>
    </cfRule>
    <cfRule type="expression" dxfId="175" priority="2715">
      <formula>$G895="NO"</formula>
    </cfRule>
    <cfRule type="expression" dxfId="174" priority="2714">
      <formula>$F895="NO"</formula>
    </cfRule>
  </conditionalFormatting>
  <conditionalFormatting sqref="B909">
    <cfRule type="expression" dxfId="173" priority="1367">
      <formula>$F888="NO"</formula>
    </cfRule>
    <cfRule type="expression" dxfId="172" priority="1368">
      <formula>$G888="NO"</formula>
    </cfRule>
    <cfRule type="expression" dxfId="171" priority="1369">
      <formula>$H888="NO"</formula>
    </cfRule>
  </conditionalFormatting>
  <conditionalFormatting sqref="B909:B912">
    <cfRule type="expression" dxfId="170" priority="2066">
      <formula>$H895="NO"</formula>
    </cfRule>
    <cfRule type="expression" dxfId="169" priority="2064">
      <formula>$F895="NO"</formula>
    </cfRule>
    <cfRule type="expression" dxfId="168" priority="2065">
      <formula>$G895="NO"</formula>
    </cfRule>
  </conditionalFormatting>
  <conditionalFormatting sqref="B910 B918">
    <cfRule type="expression" dxfId="167" priority="1340">
      <formula>$F913="NO"</formula>
    </cfRule>
    <cfRule type="expression" dxfId="166" priority="1342">
      <formula>$H913="NO"</formula>
    </cfRule>
    <cfRule type="expression" dxfId="165" priority="1341">
      <formula>$G913="NO"</formula>
    </cfRule>
  </conditionalFormatting>
  <conditionalFormatting sqref="B911">
    <cfRule type="expression" dxfId="164" priority="11">
      <formula>$G916="NO"</formula>
    </cfRule>
    <cfRule type="expression" dxfId="163" priority="10">
      <formula>$F916="NO"</formula>
    </cfRule>
    <cfRule type="expression" dxfId="162" priority="2708">
      <formula>$F915="NO"</formula>
    </cfRule>
    <cfRule type="expression" dxfId="161" priority="12">
      <formula>$H916="NO"</formula>
    </cfRule>
    <cfRule type="expression" dxfId="160" priority="2709">
      <formula>$G915="NO"</formula>
    </cfRule>
    <cfRule type="expression" dxfId="159" priority="2710">
      <formula>$H915="NO"</formula>
    </cfRule>
  </conditionalFormatting>
  <conditionalFormatting sqref="B926:B928">
    <cfRule type="expression" dxfId="158" priority="13">
      <formula>$F928="NO"</formula>
    </cfRule>
    <cfRule type="expression" dxfId="157" priority="14">
      <formula>$G928="NO"</formula>
    </cfRule>
    <cfRule type="expression" dxfId="156" priority="15">
      <formula>$H928="NO"</formula>
    </cfRule>
  </conditionalFormatting>
  <conditionalFormatting sqref="B929:B1366">
    <cfRule type="expression" dxfId="155" priority="786">
      <formula>$F930="NO"</formula>
    </cfRule>
    <cfRule type="expression" dxfId="154" priority="787">
      <formula>$G930="NO"</formula>
    </cfRule>
    <cfRule type="expression" dxfId="153" priority="788">
      <formula>$H930="NO"</formula>
    </cfRule>
  </conditionalFormatting>
  <conditionalFormatting sqref="B5:E791 EI5:EI1367 CK661:DB776 DF686:EE1367 CK777:CR777 CT777:DB777 CK778:DB1367 B793:E843 C844:E844 B845:E877 C878:E878 B879:E880 C881:E882 B883:E883 C884:E884 B885:E885 C886:E887 B888:E888 C889:E889 B890:E890 C891:E894 B895:E898 C899:E899 B900:E903 C904:E904 B905:E906 C907:E907 B908:E910 C911:E911 B912:E917 C918:E918 B919:E925 C926:E1367">
    <cfRule type="expression" dxfId="152" priority="230">
      <formula>$F5="NO"</formula>
    </cfRule>
    <cfRule type="expression" dxfId="151" priority="231">
      <formula>$G5="NO"</formula>
    </cfRule>
    <cfRule type="expression" dxfId="150" priority="232">
      <formula>$H5="NO"</formula>
    </cfRule>
  </conditionalFormatting>
  <conditionalFormatting sqref="F1:I1048576">
    <cfRule type="containsText" dxfId="149" priority="95" operator="containsText" text="SÍ">
      <formula>NOT(ISERROR(SEARCH("SÍ",F1)))</formula>
    </cfRule>
    <cfRule type="containsText" dxfId="148" priority="94" operator="containsText" text="NO">
      <formula>NOT(ISERROR(SEARCH("NO",F1)))</formula>
    </cfRule>
  </conditionalFormatting>
  <conditionalFormatting sqref="CK5:DB462 CK463:CP463 CR463:DB463 CK464:DB527 DF526:DF567 CK529:DB564 CK565:CK567 CL566:DB566 CL567 CN567:DB567 CK568:DB588 DF569:DF609 CK589 CM589:DB589">
    <cfRule type="expression" dxfId="147" priority="715">
      <formula>$H5="NO"</formula>
    </cfRule>
    <cfRule type="expression" dxfId="146" priority="714">
      <formula>$G5="NO"</formula>
    </cfRule>
    <cfRule type="expression" dxfId="145" priority="713">
      <formula>$F5="NO"</formula>
    </cfRule>
  </conditionalFormatting>
  <conditionalFormatting sqref="CK590:DB659 DF685:EC685 EE685">
    <cfRule type="expression" dxfId="144" priority="239">
      <formula>$F590="NO"</formula>
    </cfRule>
    <cfRule type="expression" dxfId="143" priority="241">
      <formula>$H590="NO"</formula>
    </cfRule>
    <cfRule type="expression" dxfId="142" priority="240">
      <formula>$G590="NO"</formula>
    </cfRule>
  </conditionalFormatting>
  <conditionalFormatting sqref="CR1:CW776 CR777 CT777:CW777 CR778:CW1048576">
    <cfRule type="cellIs" dxfId="141" priority="722" operator="equal">
      <formula>"Realizado y Trasladado por competencia"</formula>
    </cfRule>
    <cfRule type="cellIs" dxfId="140" priority="719" operator="equal">
      <formula>"En trámite"</formula>
    </cfRule>
    <cfRule type="cellIs" dxfId="139" priority="720" operator="equal">
      <formula>"Por realizar"</formula>
    </cfRule>
    <cfRule type="cellIs" dxfId="138" priority="721" operator="equal">
      <formula>"Realizado y Gestionado"</formula>
    </cfRule>
    <cfRule type="cellIs" dxfId="137" priority="723" operator="equal">
      <formula>"Realizado y Devuelto a la Ciudadanía"</formula>
    </cfRule>
    <cfRule type="cellIs" dxfId="136" priority="724" operator="equal">
      <formula>"No aplica"</formula>
    </cfRule>
  </conditionalFormatting>
  <conditionalFormatting sqref="DF154 DF168 DF216 DF373">
    <cfRule type="expression" dxfId="135" priority="62">
      <formula>$G154="NO"</formula>
    </cfRule>
    <cfRule type="expression" dxfId="134" priority="61">
      <formula>$F154="NO"</formula>
    </cfRule>
    <cfRule type="expression" dxfId="133" priority="63">
      <formula>$H154="NO"</formula>
    </cfRule>
  </conditionalFormatting>
  <conditionalFormatting sqref="DF236:DF319">
    <cfRule type="expression" dxfId="132" priority="58">
      <formula>$F236="NO"</formula>
    </cfRule>
    <cfRule type="expression" dxfId="131" priority="59">
      <formula>$G236="NO"</formula>
    </cfRule>
    <cfRule type="expression" dxfId="130" priority="60">
      <formula>$H236="NO"</formula>
    </cfRule>
  </conditionalFormatting>
  <conditionalFormatting sqref="DF5:EE33 DG34:EE133 DF134:EE153 DG154:EE154 DF155:EE167 DG168:DJ168 DF169:EE215 DG216:EE216 DF217:EE235 DG236:EE353 DF354:EE372 DG373:EE373 DF374:EE525 DH526:EE540 DH541:ED541 DH542:EE556 DH557:EC557 DH558:EE558 DH559:EC559 DH568:EE579 DI580 DL168:EE168 CM528:DB528 CM565:DB565 DF33:DF133 CK528 EE559 C792:E792">
    <cfRule type="expression" dxfId="129" priority="774">
      <formula>$H5="NO"</formula>
    </cfRule>
    <cfRule type="expression" dxfId="128" priority="772">
      <formula>$G5="NO"</formula>
    </cfRule>
    <cfRule type="expression" dxfId="127" priority="771">
      <formula>$F5="NO"</formula>
    </cfRule>
  </conditionalFormatting>
  <conditionalFormatting sqref="DF658:EE684">
    <cfRule type="expression" dxfId="126" priority="75">
      <formula>$H658="NO"</formula>
    </cfRule>
    <cfRule type="expression" dxfId="125" priority="74">
      <formula>$G658="NO"</formula>
    </cfRule>
    <cfRule type="expression" dxfId="124" priority="73">
      <formula>$F658="NO"</formula>
    </cfRule>
  </conditionalFormatting>
  <conditionalFormatting sqref="DG526:DG657 DF611:DF657 CK660:CL660 CN660:DB660">
    <cfRule type="expression" dxfId="123" priority="533">
      <formula>$F526="NO"</formula>
    </cfRule>
    <cfRule type="expression" dxfId="122" priority="534">
      <formula>$G526="NO"</formula>
    </cfRule>
    <cfRule type="expression" dxfId="121" priority="535">
      <formula>$H526="NO"</formula>
    </cfRule>
  </conditionalFormatting>
  <conditionalFormatting sqref="DH560:EE567">
    <cfRule type="expression" dxfId="120" priority="57">
      <formula>$H560="NO"</formula>
    </cfRule>
    <cfRule type="expression" dxfId="119" priority="56">
      <formula>$G560="NO"</formula>
    </cfRule>
    <cfRule type="expression" dxfId="118" priority="55">
      <formula>$F560="NO"</formula>
    </cfRule>
  </conditionalFormatting>
  <conditionalFormatting sqref="DH580:EE657">
    <cfRule type="expression" dxfId="117" priority="467">
      <formula>$F580="NO"</formula>
    </cfRule>
    <cfRule type="expression" dxfId="116" priority="468">
      <formula>$G580="NO"</formula>
    </cfRule>
    <cfRule type="expression" dxfId="115" priority="469">
      <formula>$H580="NO"</formula>
    </cfRule>
  </conditionalFormatting>
  <conditionalFormatting sqref="DI1:DI1048576">
    <cfRule type="cellIs" dxfId="114" priority="760" operator="equal">
      <formula>"Subsanado"</formula>
    </cfRule>
    <cfRule type="cellIs" dxfId="113" priority="759" operator="equal">
      <formula>"Pendiente"</formula>
    </cfRule>
    <cfRule type="cellIs" dxfId="112" priority="758" operator="equal">
      <formula>"Vencido"</formula>
    </cfRule>
    <cfRule type="cellIs" dxfId="111" priority="757" operator="equal">
      <formula>"En trámite"</formula>
    </cfRule>
  </conditionalFormatting>
  <conditionalFormatting sqref="DJ1:DJ1048576 DN1:DN1048576 DP1:DP1048576 DS1:DS1048576 DV1:DW1048576 EB1:EB1048576">
    <cfRule type="cellIs" dxfId="110" priority="755" operator="equal">
      <formula>"Incompleto"</formula>
    </cfRule>
    <cfRule type="cellIs" dxfId="109" priority="754" operator="equal">
      <formula>"No aplica"</formula>
    </cfRule>
    <cfRule type="cellIs" dxfId="108" priority="753" operator="equal">
      <formula>"No existente"</formula>
    </cfRule>
    <cfRule type="cellIs" dxfId="107" priority="752" operator="equal">
      <formula>"No subido"</formula>
    </cfRule>
    <cfRule type="cellIs" dxfId="106" priority="751" operator="equal">
      <formula>"Pendiente"</formula>
    </cfRule>
    <cfRule type="cellIs" dxfId="105" priority="756" operator="equal">
      <formula>"Completo"</formula>
    </cfRule>
  </conditionalFormatting>
  <conditionalFormatting sqref="ED559">
    <cfRule type="expression" dxfId="104" priority="782">
      <formula>$H557="NO"</formula>
    </cfRule>
    <cfRule type="expression" dxfId="103" priority="779">
      <formula>$G557="NO"</formula>
    </cfRule>
    <cfRule type="expression" dxfId="102" priority="776">
      <formula>$F557="NO"</formula>
    </cfRule>
  </conditionalFormatting>
  <conditionalFormatting sqref="ED557:EE557">
    <cfRule type="expression" dxfId="101" priority="716">
      <formula>$F557="NO"</formula>
    </cfRule>
    <cfRule type="expression" dxfId="100" priority="717">
      <formula>$G557="NO"</formula>
    </cfRule>
    <cfRule type="expression" dxfId="99" priority="718">
      <formula>$H557="NO"</formula>
    </cfRule>
  </conditionalFormatting>
  <conditionalFormatting sqref="EE541">
    <cfRule type="expression" dxfId="98" priority="91">
      <formula>$F541="NO"</formula>
    </cfRule>
    <cfRule type="expression" dxfId="97" priority="92">
      <formula>$G541="NO"</formula>
    </cfRule>
    <cfRule type="expression" dxfId="96" priority="93">
      <formula>$H541="NO"</formula>
    </cfRule>
  </conditionalFormatting>
  <conditionalFormatting sqref="EK5:EW1369">
    <cfRule type="containsText" dxfId="95" priority="725" operator="containsText" text="No requiere">
      <formula>NOT(ISERROR(SEARCH("No requiere",EK5)))</formula>
    </cfRule>
  </conditionalFormatting>
  <dataValidations count="4">
    <dataValidation type="list" allowBlank="1" showErrorMessage="1" sqref="CV1019 CR777 CT777:CW777 CR5:CW776 CR778:CW935" xr:uid="{FB8F7008-D7C3-4FC2-A6AF-7A5C9C1879CF}">
      <formula1>"Realizado y Devuelto a la Ciudadanía,Realizado y Trasladado por competencia,Realizado y Gestionado,Por realizar,En trámite,No aplica"</formula1>
    </dataValidation>
    <dataValidation type="list" allowBlank="1" showErrorMessage="1" sqref="EK899:EK900 EK5:EK896 EK906:EK935 ES5:ES935 EK904" xr:uid="{BE2AACFE-140F-44BF-9ED9-D27160AD89F9}">
      <formula1>"0 - Ninguna,1 - Deficiente,2 - Regular,3 - Aceptable,4 - Buena,5 - Excelente,No aplica,No existente"</formula1>
    </dataValidation>
    <dataValidation type="list" allowBlank="1" showErrorMessage="1" sqref="K5:K935" xr:uid="{270572A8-DAF7-4B84-A28D-411C27D24605}">
      <formula1>"Virtual,Presencial"</formula1>
    </dataValidation>
    <dataValidation type="list" allowBlank="1" showErrorMessage="1" sqref="E5:E935" xr:uid="{A7E411EA-FDB7-40A6-A693-C1E7B52123A4}">
      <formula1>"DESPACHO,OPDC,GENERAL SDP,INSTANCIAS"</formula1>
    </dataValidation>
  </dataValidations>
  <hyperlinks>
    <hyperlink ref="BU14" r:id="rId1" xr:uid="{00000000-0004-0000-0000-000009000000}"/>
    <hyperlink ref="BU19" r:id="rId2" xr:uid="{00000000-0004-0000-0000-00000F000000}"/>
    <hyperlink ref="BU27" r:id="rId3" xr:uid="{00000000-0004-0000-0000-000018000000}"/>
    <hyperlink ref="BU28" r:id="rId4" xr:uid="{00000000-0004-0000-0000-00001A000000}"/>
    <hyperlink ref="EI29" r:id="rId5" xr:uid="{00000000-0004-0000-0000-00001D000000}"/>
    <hyperlink ref="EI31" r:id="rId6" xr:uid="{00000000-0004-0000-0000-000020000000}"/>
    <hyperlink ref="EI32" r:id="rId7" xr:uid="{00000000-0004-0000-0000-000022000000}"/>
    <hyperlink ref="BU35" r:id="rId8" xr:uid="{00000000-0004-0000-0000-000025000000}"/>
    <hyperlink ref="BU36" r:id="rId9" xr:uid="{00000000-0004-0000-0000-000027000000}"/>
    <hyperlink ref="BU37" r:id="rId10" xr:uid="{00000000-0004-0000-0000-000029000000}"/>
    <hyperlink ref="BU38" r:id="rId11" xr:uid="{00000000-0004-0000-0000-00002B000000}"/>
    <hyperlink ref="BU39" r:id="rId12" xr:uid="{00000000-0004-0000-0000-00002D000000}"/>
    <hyperlink ref="BU41" r:id="rId13" xr:uid="{00000000-0004-0000-0000-000030000000}"/>
    <hyperlink ref="BU43" r:id="rId14" xr:uid="{00000000-0004-0000-0000-000033000000}"/>
    <hyperlink ref="BU44" r:id="rId15" xr:uid="{00000000-0004-0000-0000-000035000000}"/>
    <hyperlink ref="BU46" r:id="rId16" xr:uid="{00000000-0004-0000-0000-000038000000}"/>
    <hyperlink ref="BU47" r:id="rId17" xr:uid="{00000000-0004-0000-0000-00003A000000}"/>
    <hyperlink ref="BU48" r:id="rId18" xr:uid="{00000000-0004-0000-0000-00003C000000}"/>
    <hyperlink ref="EI52" r:id="rId19" xr:uid="{00000000-0004-0000-0000-000042000000}"/>
    <hyperlink ref="BU54" r:id="rId20" xr:uid="{00000000-0004-0000-0000-000044000000}"/>
    <hyperlink ref="BU55" r:id="rId21" xr:uid="{00000000-0004-0000-0000-000046000000}"/>
    <hyperlink ref="BU56" r:id="rId22" xr:uid="{00000000-0004-0000-0000-000048000000}"/>
    <hyperlink ref="EI58" r:id="rId23" xr:uid="{00000000-0004-0000-0000-00004C000000}"/>
    <hyperlink ref="BU60" r:id="rId24" xr:uid="{00000000-0004-0000-0000-00004E000000}"/>
    <hyperlink ref="EI61" r:id="rId25" xr:uid="{00000000-0004-0000-0000-000051000000}"/>
    <hyperlink ref="EI62" r:id="rId26" xr:uid="{00000000-0004-0000-0000-000053000000}"/>
    <hyperlink ref="BU63" r:id="rId27" xr:uid="{00000000-0004-0000-0000-000054000000}"/>
    <hyperlink ref="EI64" r:id="rId28" xr:uid="{00000000-0004-0000-0000-000057000000}"/>
    <hyperlink ref="BU65" r:id="rId29" xr:uid="{00000000-0004-0000-0000-000058000000}"/>
    <hyperlink ref="EI66" r:id="rId30" xr:uid="{00000000-0004-0000-0000-00005B000000}"/>
    <hyperlink ref="BU67" r:id="rId31" xr:uid="{00000000-0004-0000-0000-00005C000000}"/>
    <hyperlink ref="BU70" r:id="rId32" xr:uid="{00000000-0004-0000-0000-000060000000}"/>
    <hyperlink ref="BU71" r:id="rId33" xr:uid="{00000000-0004-0000-0000-000062000000}"/>
    <hyperlink ref="BU72" r:id="rId34" xr:uid="{00000000-0004-0000-0000-000064000000}"/>
    <hyperlink ref="BU73" r:id="rId35" xr:uid="{00000000-0004-0000-0000-000066000000}"/>
    <hyperlink ref="EI74" r:id="rId36" xr:uid="{00000000-0004-0000-0000-000069000000}"/>
    <hyperlink ref="BU76" r:id="rId37" xr:uid="{00000000-0004-0000-0000-00006B000000}"/>
    <hyperlink ref="BU78" r:id="rId38" xr:uid="{00000000-0004-0000-0000-00006E000000}"/>
    <hyperlink ref="BU80" r:id="rId39" xr:uid="{00000000-0004-0000-0000-000071000000}"/>
    <hyperlink ref="BU81" r:id="rId40" xr:uid="{00000000-0004-0000-0000-000073000000}"/>
    <hyperlink ref="BU84" r:id="rId41" xr:uid="{00000000-0004-0000-0000-000077000000}"/>
    <hyperlink ref="EI86" r:id="rId42" xr:uid="{00000000-0004-0000-0000-00007B000000}"/>
    <hyperlink ref="BU88" r:id="rId43" xr:uid="{00000000-0004-0000-0000-00007D000000}"/>
    <hyperlink ref="BU89" r:id="rId44" xr:uid="{00000000-0004-0000-0000-00007F000000}"/>
    <hyperlink ref="EI91" r:id="rId45" xr:uid="{00000000-0004-0000-0000-000083000000}"/>
    <hyperlink ref="EI92" r:id="rId46" xr:uid="{00000000-0004-0000-0000-000085000000}"/>
    <hyperlink ref="EI101" r:id="rId47" xr:uid="{00000000-0004-0000-0000-00008F000000}"/>
    <hyperlink ref="BU102" r:id="rId48" xr:uid="{00000000-0004-0000-0000-000090000000}"/>
    <hyperlink ref="BU103" r:id="rId49" xr:uid="{00000000-0004-0000-0000-000092000000}"/>
    <hyperlink ref="EI105" r:id="rId50" xr:uid="{00000000-0004-0000-0000-000096000000}"/>
    <hyperlink ref="BU107" r:id="rId51" xr:uid="{00000000-0004-0000-0000-000098000000}"/>
    <hyperlink ref="BU108" r:id="rId52" xr:uid="{00000000-0004-0000-0000-00009A000000}"/>
    <hyperlink ref="BU112" r:id="rId53" xr:uid="{00000000-0004-0000-0000-00009F000000}"/>
    <hyperlink ref="EI115" r:id="rId54" xr:uid="{00000000-0004-0000-0000-0000A4000000}"/>
    <hyperlink ref="BU116" r:id="rId55" xr:uid="{00000000-0004-0000-0000-0000A5000000}"/>
    <hyperlink ref="BU119" r:id="rId56" xr:uid="{00000000-0004-0000-0000-0000A9000000}"/>
    <hyperlink ref="EI125" r:id="rId57" xr:uid="{00000000-0004-0000-0000-0000B1000000}"/>
    <hyperlink ref="BU126" r:id="rId58" xr:uid="{00000000-0004-0000-0000-0000B2000000}"/>
    <hyperlink ref="BU127" r:id="rId59" xr:uid="{00000000-0004-0000-0000-0000B4000000}"/>
    <hyperlink ref="BU132" r:id="rId60" xr:uid="{00000000-0004-0000-0000-0000BA000000}"/>
    <hyperlink ref="EI134" r:id="rId61" xr:uid="{00000000-0004-0000-0000-0000BD000000}"/>
    <hyperlink ref="EI135" r:id="rId62" xr:uid="{00000000-0004-0000-0000-0000BF000000}"/>
    <hyperlink ref="EI136" r:id="rId63" display="https://sdpgovco.sharepoint.com/:b:/r/sites/DirecciondeParticipacionyComunicacionparalaPlaneacion/Documentos%20compartidos/PROCESOS_OPDC_VIGENCIA%202024-2027/PROCESOS_OPDC_2024/DRIVE%20OPERATIVO/ACTAS%20PARA%20PUBLICACI%C3%93N%202024/ACTA%20%20Dialogo%20Ciudadano%20para%20la%20Construcci%C3%B3n%20del%20PDD%20-%20UPL%20Cerros%20Orientales%20-%20%20Sector%20San%20Luis%20y%20La%20Sure%C3%B1a.pdf?csf=1&amp;web=1&amp;e=0ZJ8Tj" xr:uid="{00000000-0004-0000-0000-0000C1000000}"/>
    <hyperlink ref="BU143" r:id="rId64" xr:uid="{00000000-0004-0000-0000-0000C8000000}"/>
    <hyperlink ref="EI145" r:id="rId65" xr:uid="{00000000-0004-0000-0000-0000CC000000}"/>
    <hyperlink ref="BU146" r:id="rId66" xr:uid="{00000000-0004-0000-0000-0000CD000000}"/>
    <hyperlink ref="BU150" r:id="rId67" xr:uid="{00000000-0004-0000-0000-0000D2000000}"/>
    <hyperlink ref="AS151" r:id="rId68" xr:uid="{00000000-0004-0000-0000-0000D4000000}"/>
    <hyperlink ref="BU151" r:id="rId69" xr:uid="{00000000-0004-0000-0000-0000D5000000}"/>
    <hyperlink ref="EI153" r:id="rId70" xr:uid="{00000000-0004-0000-0000-0000DA000000}"/>
    <hyperlink ref="BU155" r:id="rId71" xr:uid="{00000000-0004-0000-0000-0000DB000000}"/>
    <hyperlink ref="BU156" r:id="rId72" xr:uid="{00000000-0004-0000-0000-0000DD000000}"/>
    <hyperlink ref="BU158" r:id="rId73" xr:uid="{00000000-0004-0000-0000-0000E0000000}"/>
    <hyperlink ref="EI159" r:id="rId74" xr:uid="{00000000-0004-0000-0000-0000E3000000}"/>
    <hyperlink ref="BU160" r:id="rId75" xr:uid="{00000000-0004-0000-0000-0000E4000000}"/>
    <hyperlink ref="BU161" r:id="rId76" xr:uid="{00000000-0004-0000-0000-0000E6000000}"/>
    <hyperlink ref="BU162" r:id="rId77" xr:uid="{00000000-0004-0000-0000-0000E8000000}"/>
    <hyperlink ref="BU163" r:id="rId78" xr:uid="{00000000-0004-0000-0000-0000EA000000}"/>
    <hyperlink ref="BU165" r:id="rId79" xr:uid="{00000000-0004-0000-0000-0000ED000000}"/>
    <hyperlink ref="EI169" r:id="rId80" xr:uid="{00000000-0004-0000-0000-0000F2000000}"/>
    <hyperlink ref="BU170" r:id="rId81" xr:uid="{00000000-0004-0000-0000-0000F3000000}"/>
    <hyperlink ref="BU172" r:id="rId82" xr:uid="{00000000-0004-0000-0000-0000F6000000}"/>
    <hyperlink ref="EI175" r:id="rId83" xr:uid="{00000000-0004-0000-0000-0000FB000000}"/>
    <hyperlink ref="BU177" r:id="rId84" xr:uid="{00000000-0004-0000-0000-0000FD000000}"/>
    <hyperlink ref="EI178" r:id="rId85" xr:uid="{00000000-0004-0000-0000-000000010000}"/>
    <hyperlink ref="EI180" r:id="rId86" xr:uid="{00000000-0004-0000-0000-000003010000}"/>
    <hyperlink ref="BU181" r:id="rId87" xr:uid="{00000000-0004-0000-0000-000004010000}"/>
    <hyperlink ref="BU184" r:id="rId88" xr:uid="{00000000-0004-0000-0000-000009010000}"/>
    <hyperlink ref="BU187" r:id="rId89" xr:uid="{00000000-0004-0000-0000-00000D010000}"/>
    <hyperlink ref="BU188" r:id="rId90" xr:uid="{00000000-0004-0000-0000-00000F010000}"/>
    <hyperlink ref="BU190" r:id="rId91" xr:uid="{00000000-0004-0000-0000-000012010000}"/>
    <hyperlink ref="BU191" r:id="rId92" xr:uid="{00000000-0004-0000-0000-000014010000}"/>
    <hyperlink ref="EI192" r:id="rId93" xr:uid="{00000000-0004-0000-0000-000017010000}"/>
    <hyperlink ref="BU193" r:id="rId94" xr:uid="{00000000-0004-0000-0000-000018010000}"/>
    <hyperlink ref="BU194" r:id="rId95" xr:uid="{00000000-0004-0000-0000-00001A010000}"/>
    <hyperlink ref="BU195" r:id="rId96" xr:uid="{00000000-0004-0000-0000-00001C010000}"/>
    <hyperlink ref="BU196" r:id="rId97" xr:uid="{00000000-0004-0000-0000-00001E010000}"/>
    <hyperlink ref="BU197" r:id="rId98" xr:uid="{00000000-0004-0000-0000-000020010000}"/>
    <hyperlink ref="BU198" r:id="rId99" xr:uid="{00000000-0004-0000-0000-000022010000}"/>
    <hyperlink ref="BU199" r:id="rId100" xr:uid="{00000000-0004-0000-0000-000024010000}"/>
    <hyperlink ref="BU200" r:id="rId101" xr:uid="{00000000-0004-0000-0000-000026010000}"/>
    <hyperlink ref="BU201" r:id="rId102" xr:uid="{00000000-0004-0000-0000-000028010000}"/>
    <hyperlink ref="EI203" r:id="rId103" xr:uid="{00000000-0004-0000-0000-00002C010000}"/>
    <hyperlink ref="BU204" r:id="rId104" xr:uid="{00000000-0004-0000-0000-00002D010000}"/>
    <hyperlink ref="BU209" r:id="rId105" xr:uid="{00000000-0004-0000-0000-000033010000}"/>
    <hyperlink ref="BU211" r:id="rId106" xr:uid="{00000000-0004-0000-0000-000036010000}"/>
    <hyperlink ref="BU215" r:id="rId107" xr:uid="{00000000-0004-0000-0000-00003B010000}"/>
    <hyperlink ref="EI217" r:id="rId108" xr:uid="{00000000-0004-0000-0000-00003E010000}"/>
    <hyperlink ref="BU220" r:id="rId109" xr:uid="{00000000-0004-0000-0000-000041010000}"/>
    <hyperlink ref="BU224" r:id="rId110" xr:uid="{00000000-0004-0000-0000-000046010000}"/>
    <hyperlink ref="EI228" r:id="rId111" xr:uid="{00000000-0004-0000-0000-00004C010000}"/>
    <hyperlink ref="EI229" r:id="rId112" xr:uid="{00000000-0004-0000-0000-00004E010000}"/>
    <hyperlink ref="BU230" r:id="rId113" xr:uid="{00000000-0004-0000-0000-00004F010000}"/>
    <hyperlink ref="EI231" r:id="rId114" xr:uid="{00000000-0004-0000-0000-000052010000}"/>
    <hyperlink ref="EI234" r:id="rId115" xr:uid="{00000000-0004-0000-0000-000056010000}"/>
    <hyperlink ref="EI235" r:id="rId116" xr:uid="{00000000-0004-0000-0000-000058010000}"/>
    <hyperlink ref="EI237" r:id="rId117" xr:uid="{00000000-0004-0000-0000-00005A010000}"/>
    <hyperlink ref="EI239" r:id="rId118" xr:uid="{00000000-0004-0000-0000-00005D010000}"/>
    <hyperlink ref="BU241" r:id="rId119" xr:uid="{00000000-0004-0000-0000-00005F010000}"/>
    <hyperlink ref="EI242" r:id="rId120" xr:uid="{00000000-0004-0000-0000-000062010000}"/>
    <hyperlink ref="EI243" r:id="rId121" xr:uid="{00000000-0004-0000-0000-000064010000}"/>
    <hyperlink ref="EI245" r:id="rId122" xr:uid="{00000000-0004-0000-0000-000067010000}"/>
    <hyperlink ref="BU246" r:id="rId123" xr:uid="{00000000-0004-0000-0000-000068010000}"/>
    <hyperlink ref="BU250" r:id="rId124" xr:uid="{00000000-0004-0000-0000-00006D010000}"/>
    <hyperlink ref="EI251" r:id="rId125" xr:uid="{00000000-0004-0000-0000-000070010000}"/>
    <hyperlink ref="EI252" r:id="rId126" xr:uid="{00000000-0004-0000-0000-000072010000}"/>
    <hyperlink ref="BU253" r:id="rId127" xr:uid="{00000000-0004-0000-0000-000073010000}"/>
    <hyperlink ref="BU254" r:id="rId128" xr:uid="{00000000-0004-0000-0000-000075010000}"/>
    <hyperlink ref="EI260" r:id="rId129" xr:uid="{00000000-0004-0000-0000-00007D010000}"/>
    <hyperlink ref="EI261" r:id="rId130" xr:uid="{00000000-0004-0000-0000-00007F010000}"/>
    <hyperlink ref="BU262" r:id="rId131" xr:uid="{00000000-0004-0000-0000-000080010000}"/>
    <hyperlink ref="EI267" r:id="rId132" xr:uid="{00000000-0004-0000-0000-000087010000}"/>
    <hyperlink ref="BU272" r:id="rId133" xr:uid="{00000000-0004-0000-0000-00008C010000}"/>
    <hyperlink ref="EI274" r:id="rId134" xr:uid="{00000000-0004-0000-0000-000090010000}"/>
    <hyperlink ref="BU276" r:id="rId135" xr:uid="{00000000-0004-0000-0000-000092010000}"/>
    <hyperlink ref="BU284" r:id="rId136" xr:uid="{00000000-0004-0000-0000-00009B010000}"/>
    <hyperlink ref="BU292" r:id="rId137" xr:uid="{00000000-0004-0000-0000-0000A4010000}"/>
    <hyperlink ref="BU294" r:id="rId138" xr:uid="{00000000-0004-0000-0000-0000A7010000}"/>
    <hyperlink ref="BU295" r:id="rId139" xr:uid="{00000000-0004-0000-0000-0000A9010000}"/>
    <hyperlink ref="BU296" r:id="rId140" xr:uid="{00000000-0004-0000-0000-0000AB010000}"/>
    <hyperlink ref="BU297" r:id="rId141" xr:uid="{00000000-0004-0000-0000-0000AD010000}"/>
    <hyperlink ref="BU298" r:id="rId142" xr:uid="{00000000-0004-0000-0000-0000AF010000}"/>
    <hyperlink ref="BU299" r:id="rId143" xr:uid="{00000000-0004-0000-0000-0000B1010000}"/>
    <hyperlink ref="BU300" r:id="rId144" xr:uid="{00000000-0004-0000-0000-0000B3010000}"/>
    <hyperlink ref="BU301" r:id="rId145" xr:uid="{00000000-0004-0000-0000-0000B5010000}"/>
    <hyperlink ref="BU302" r:id="rId146" xr:uid="{00000000-0004-0000-0000-0000B7010000}"/>
    <hyperlink ref="BU303" r:id="rId147" xr:uid="{00000000-0004-0000-0000-0000B9010000}"/>
    <hyperlink ref="BU304" r:id="rId148" xr:uid="{00000000-0004-0000-0000-0000BB010000}"/>
    <hyperlink ref="BU305" r:id="rId149" xr:uid="{00000000-0004-0000-0000-0000BD010000}"/>
    <hyperlink ref="BU306" r:id="rId150" xr:uid="{00000000-0004-0000-0000-0000BF010000}"/>
    <hyperlink ref="BU307" r:id="rId151" xr:uid="{00000000-0004-0000-0000-0000C1010000}"/>
    <hyperlink ref="BU310" r:id="rId152" xr:uid="{00000000-0004-0000-0000-0000C5010000}"/>
    <hyperlink ref="BU311" r:id="rId153" xr:uid="{00000000-0004-0000-0000-0000C7010000}"/>
    <hyperlink ref="BU312" r:id="rId154" xr:uid="{00000000-0004-0000-0000-0000C9010000}"/>
    <hyperlink ref="BU313" r:id="rId155" xr:uid="{00000000-0004-0000-0000-0000CB010000}"/>
    <hyperlink ref="BU314" r:id="rId156" xr:uid="{00000000-0004-0000-0000-0000CD010000}"/>
    <hyperlink ref="BU315" r:id="rId157" xr:uid="{00000000-0004-0000-0000-0000CF010000}"/>
    <hyperlink ref="BU316" r:id="rId158" xr:uid="{00000000-0004-0000-0000-0000D1010000}"/>
    <hyperlink ref="BU317" r:id="rId159" xr:uid="{00000000-0004-0000-0000-0000D3010000}"/>
    <hyperlink ref="BU318" r:id="rId160" xr:uid="{00000000-0004-0000-0000-0000D5010000}"/>
    <hyperlink ref="EI320" r:id="rId161" xr:uid="{00000000-0004-0000-0000-0000D9010000}"/>
    <hyperlink ref="EI321" r:id="rId162" xr:uid="{00000000-0004-0000-0000-0000DB010000}"/>
    <hyperlink ref="EI322" r:id="rId163" xr:uid="{00000000-0004-0000-0000-0000DD010000}"/>
    <hyperlink ref="EI323" r:id="rId164" xr:uid="{00000000-0004-0000-0000-0000DF010000}"/>
    <hyperlink ref="EI324" r:id="rId165" xr:uid="{00000000-0004-0000-0000-0000E1010000}"/>
    <hyperlink ref="EI325" r:id="rId166" xr:uid="{00000000-0004-0000-0000-0000E3010000}"/>
    <hyperlink ref="EI326" r:id="rId167" xr:uid="{00000000-0004-0000-0000-0000E5010000}"/>
    <hyperlink ref="EI327" r:id="rId168" xr:uid="{00000000-0004-0000-0000-0000E7010000}"/>
    <hyperlink ref="EI328" r:id="rId169" xr:uid="{00000000-0004-0000-0000-0000E9010000}"/>
    <hyperlink ref="EI329" r:id="rId170" xr:uid="{00000000-0004-0000-0000-0000EB010000}"/>
    <hyperlink ref="EI330" r:id="rId171" xr:uid="{00000000-0004-0000-0000-0000ED010000}"/>
    <hyperlink ref="EI331" r:id="rId172" xr:uid="{00000000-0004-0000-0000-0000EF010000}"/>
    <hyperlink ref="EI332" r:id="rId173" xr:uid="{00000000-0004-0000-0000-0000F1010000}"/>
    <hyperlink ref="EI333" r:id="rId174" xr:uid="{00000000-0004-0000-0000-0000F3010000}"/>
    <hyperlink ref="EI334" r:id="rId175" xr:uid="{00000000-0004-0000-0000-0000F5010000}"/>
    <hyperlink ref="EI335" r:id="rId176" xr:uid="{00000000-0004-0000-0000-0000F7010000}"/>
    <hyperlink ref="EI336" r:id="rId177" xr:uid="{00000000-0004-0000-0000-0000F9010000}"/>
    <hyperlink ref="EI337" r:id="rId178" xr:uid="{00000000-0004-0000-0000-0000FB010000}"/>
    <hyperlink ref="EI338" r:id="rId179" xr:uid="{00000000-0004-0000-0000-0000FD010000}"/>
    <hyperlink ref="EI340" r:id="rId180" xr:uid="{00000000-0004-0000-0000-000000020000}"/>
    <hyperlink ref="EI341" r:id="rId181" xr:uid="{00000000-0004-0000-0000-000002020000}"/>
    <hyperlink ref="BU342" r:id="rId182" xr:uid="{00000000-0004-0000-0000-000003020000}"/>
    <hyperlink ref="BU343" r:id="rId183" xr:uid="{00000000-0004-0000-0000-000005020000}"/>
    <hyperlink ref="BU344" r:id="rId184" xr:uid="{00000000-0004-0000-0000-000007020000}"/>
    <hyperlink ref="BU346" r:id="rId185" xr:uid="{00000000-0004-0000-0000-00000A020000}"/>
    <hyperlink ref="EI354" r:id="rId186" xr:uid="{00000000-0004-0000-0000-000015020000}"/>
    <hyperlink ref="BU355" r:id="rId187" xr:uid="{00000000-0004-0000-0000-000016020000}"/>
    <hyperlink ref="BU356" r:id="rId188" xr:uid="{00000000-0004-0000-0000-000018020000}"/>
    <hyperlink ref="EI358" r:id="rId189" xr:uid="{00000000-0004-0000-0000-00001C020000}"/>
    <hyperlink ref="BU359" r:id="rId190" xr:uid="{00000000-0004-0000-0000-00001D020000}"/>
    <hyperlink ref="BU360" r:id="rId191" xr:uid="{00000000-0004-0000-0000-00001F020000}"/>
    <hyperlink ref="BU361" r:id="rId192" xr:uid="{00000000-0004-0000-0000-000021020000}"/>
    <hyperlink ref="BU363" r:id="rId193" xr:uid="{00000000-0004-0000-0000-000024020000}"/>
    <hyperlink ref="BU364" r:id="rId194" xr:uid="{00000000-0004-0000-0000-000026020000}"/>
    <hyperlink ref="EI365" r:id="rId195" xr:uid="{00000000-0004-0000-0000-000029020000}"/>
    <hyperlink ref="BU367" r:id="rId196" xr:uid="{00000000-0004-0000-0000-00002B020000}"/>
    <hyperlink ref="BU368" r:id="rId197" xr:uid="{00000000-0004-0000-0000-00002D020000}"/>
    <hyperlink ref="EI370" r:id="rId198" xr:uid="{00000000-0004-0000-0000-000031020000}"/>
    <hyperlink ref="BU373" r:id="rId199" xr:uid="{00000000-0004-0000-0000-000034020000}"/>
    <hyperlink ref="BU374" r:id="rId200" xr:uid="{00000000-0004-0000-0000-000036020000}"/>
    <hyperlink ref="BU375" r:id="rId201" xr:uid="{00000000-0004-0000-0000-000038020000}"/>
    <hyperlink ref="BU378" r:id="rId202" xr:uid="{00000000-0004-0000-0000-00003D020000}"/>
    <hyperlink ref="EI378" r:id="rId203" xr:uid="{00000000-0004-0000-0000-00003F020000}"/>
    <hyperlink ref="BU379" r:id="rId204" xr:uid="{00000000-0004-0000-0000-000040020000}"/>
    <hyperlink ref="BU382" r:id="rId205" xr:uid="{00000000-0004-0000-0000-000045020000}"/>
    <hyperlink ref="EI384" r:id="rId206" xr:uid="{00000000-0004-0000-0000-000049020000}"/>
    <hyperlink ref="BU386" r:id="rId207" xr:uid="{00000000-0004-0000-0000-00004B020000}"/>
    <hyperlink ref="BU389" r:id="rId208" xr:uid="{00000000-0004-0000-0000-00004F020000}"/>
    <hyperlink ref="EI392" r:id="rId209" xr:uid="{00000000-0004-0000-0000-000054020000}"/>
    <hyperlink ref="BU396" r:id="rId210" xr:uid="{00000000-0004-0000-0000-000058020000}"/>
    <hyperlink ref="EI397" r:id="rId211" xr:uid="{00000000-0004-0000-0000-00005B020000}"/>
    <hyperlink ref="EI403" r:id="rId212" xr:uid="{00000000-0004-0000-0000-000062020000}"/>
    <hyperlink ref="BU406" r:id="rId213" xr:uid="{00000000-0004-0000-0000-000065020000}"/>
    <hyperlink ref="BU408" r:id="rId214" xr:uid="{00000000-0004-0000-0000-000068020000}"/>
    <hyperlink ref="EI410" r:id="rId215" xr:uid="{00000000-0004-0000-0000-00006C020000}"/>
    <hyperlink ref="BU416" r:id="rId216" xr:uid="{00000000-0004-0000-0000-000072020000}"/>
    <hyperlink ref="BU420" r:id="rId217" xr:uid="{00000000-0004-0000-0000-000078020000}"/>
    <hyperlink ref="BU426" r:id="rId218" xr:uid="{00000000-0004-0000-0000-00007F020000}"/>
    <hyperlink ref="EI429" r:id="rId219" xr:uid="{00000000-0004-0000-0000-000083020000}"/>
    <hyperlink ref="BU433" r:id="rId220" xr:uid="{00000000-0004-0000-0000-000087020000}"/>
    <hyperlink ref="EI436" r:id="rId221" xr:uid="{00000000-0004-0000-0000-00008C020000}"/>
    <hyperlink ref="BU440" r:id="rId222" xr:uid="{00000000-0004-0000-0000-000090020000}"/>
    <hyperlink ref="BU442" r:id="rId223" xr:uid="{00000000-0004-0000-0000-000093020000}"/>
    <hyperlink ref="EI443" r:id="rId224" xr:uid="{00000000-0004-0000-0000-000096020000}"/>
    <hyperlink ref="BU444" r:id="rId225" xr:uid="{00000000-0004-0000-0000-000097020000}"/>
    <hyperlink ref="EI445" r:id="rId226" xr:uid="{00000000-0004-0000-0000-00009A020000}"/>
    <hyperlink ref="BU447" r:id="rId227" xr:uid="{00000000-0004-0000-0000-00009C020000}"/>
    <hyperlink ref="BU449" r:id="rId228" xr:uid="{00000000-0004-0000-0000-00009F020000}"/>
    <hyperlink ref="BU450" r:id="rId229" xr:uid="{00000000-0004-0000-0000-0000A1020000}"/>
    <hyperlink ref="BU451" r:id="rId230" xr:uid="{00000000-0004-0000-0000-0000A3020000}"/>
    <hyperlink ref="BU455" r:id="rId231" xr:uid="{00000000-0004-0000-0000-0000A8020000}"/>
    <hyperlink ref="BU456" r:id="rId232" xr:uid="{00000000-0004-0000-0000-0000AA020000}"/>
    <hyperlink ref="BU459" r:id="rId233" xr:uid="{00000000-0004-0000-0000-0000AE020000}"/>
    <hyperlink ref="BU461" r:id="rId234" xr:uid="{00000000-0004-0000-0000-0000B1020000}"/>
    <hyperlink ref="BU462" r:id="rId235" xr:uid="{00000000-0004-0000-0000-0000B3020000}"/>
    <hyperlink ref="BU463" r:id="rId236" xr:uid="{00000000-0004-0000-0000-0000B5020000}"/>
    <hyperlink ref="BU466" r:id="rId237" xr:uid="{00000000-0004-0000-0000-0000B9020000}"/>
    <hyperlink ref="EI468" r:id="rId238" xr:uid="{00000000-0004-0000-0000-0000BD020000}"/>
    <hyperlink ref="BU471" r:id="rId239" xr:uid="{00000000-0004-0000-0000-0000C0020000}"/>
    <hyperlink ref="BU477" r:id="rId240" xr:uid="{00000000-0004-0000-0000-0000C7020000}"/>
    <hyperlink ref="BU483" r:id="rId241" xr:uid="{00000000-0004-0000-0000-0000CE020000}"/>
    <hyperlink ref="BU484" r:id="rId242" xr:uid="{00000000-0004-0000-0000-0000D0020000}"/>
    <hyperlink ref="BU491" r:id="rId243" xr:uid="{00000000-0004-0000-0000-0000D9020000}"/>
    <hyperlink ref="BU509" r:id="rId244" xr:uid="{00000000-0004-0000-0000-0000E4020000}"/>
    <hyperlink ref="BU507" r:id="rId245" xr:uid="{00000000-0004-0000-0000-0000E9020000}"/>
    <hyperlink ref="BU508" r:id="rId246" xr:uid="{00000000-0004-0000-0000-0000EC020000}"/>
    <hyperlink ref="BU505" r:id="rId247" xr:uid="{00000000-0004-0000-0000-0000EE020000}"/>
    <hyperlink ref="BU510" r:id="rId248" xr:uid="{00000000-0004-0000-0000-0000F0020000}"/>
    <hyperlink ref="BU517" r:id="rId249" xr:uid="{00000000-0004-0000-0000-0000F7020000}"/>
    <hyperlink ref="BU514" r:id="rId250" xr:uid="{00000000-0004-0000-0000-0000F9020000}"/>
    <hyperlink ref="BU518" r:id="rId251" xr:uid="{00000000-0004-0000-0000-0000FB020000}"/>
    <hyperlink ref="BU520" r:id="rId252" xr:uid="{00000000-0004-0000-0000-0000FF020000}"/>
    <hyperlink ref="BU522" r:id="rId253" xr:uid="{00000000-0004-0000-0000-000001030000}"/>
    <hyperlink ref="BU526" r:id="rId254" xr:uid="{00000000-0004-0000-0000-000006030000}"/>
    <hyperlink ref="BU528" r:id="rId255" xr:uid="{00000000-0004-0000-0000-000009030000}"/>
    <hyperlink ref="BU529" r:id="rId256" xr:uid="{00000000-0004-0000-0000-00000B030000}"/>
    <hyperlink ref="BU530" r:id="rId257" xr:uid="{00000000-0004-0000-0000-00000D030000}"/>
    <hyperlink ref="BU538" r:id="rId258" xr:uid="{00000000-0004-0000-0000-000016030000}"/>
    <hyperlink ref="BU540" r:id="rId259" xr:uid="{00000000-0004-0000-0000-000019030000}"/>
    <hyperlink ref="BU577" r:id="rId260" xr:uid="{00000000-0004-0000-0000-00002C030000}"/>
    <hyperlink ref="DF656" r:id="rId261" xr:uid="{C9884385-B1B5-4FB7-A49E-38328C41B86C}"/>
    <hyperlink ref="DF651" r:id="rId262" xr:uid="{C5FBBC74-F344-43B7-B770-3AC0D9E32259}"/>
    <hyperlink ref="DF631" r:id="rId263" xr:uid="{71C7C573-7033-47B5-A871-38393C97071D}"/>
    <hyperlink ref="DF577" r:id="rId264" xr:uid="{17788726-A66E-4AE4-A387-DC921AA7491A}"/>
    <hyperlink ref="DF569" r:id="rId265" xr:uid="{489B0B24-C4C8-457D-BC2B-00D24AC1DCEC}"/>
    <hyperlink ref="DF567" r:id="rId266" xr:uid="{11787626-AF34-40B9-8317-620DE7761B40}"/>
    <hyperlink ref="DF566" r:id="rId267" xr:uid="{EA35DC06-26F6-4D37-BD8A-A7460CD9EB65}"/>
    <hyperlink ref="DF565" r:id="rId268" xr:uid="{F46F69A5-A0ED-450A-89C5-66B7D1306FF8}"/>
    <hyperlink ref="DF560" r:id="rId269" xr:uid="{AEA2800F-E01A-43F1-B6D4-E9C138BE6D0F}"/>
    <hyperlink ref="DF552" r:id="rId270" xr:uid="{FE8ABE6F-9333-4219-81B5-7214488294E9}"/>
    <hyperlink ref="DF561" r:id="rId271" xr:uid="{8E3BBA09-C5F4-47AC-BF1E-8AFB077BF97D}"/>
    <hyperlink ref="DF549" r:id="rId272" xr:uid="{B0169FAD-C63C-4D75-AE90-39AD1F75AB9B}"/>
    <hyperlink ref="DF544" r:id="rId273" xr:uid="{6D1FD71C-5DBF-4776-ABF2-049629824B91}"/>
    <hyperlink ref="DF543" r:id="rId274" xr:uid="{1C706F3D-243A-456C-BC4A-C59FC3616303}"/>
    <hyperlink ref="DF540" r:id="rId275" xr:uid="{395D36EC-119F-4A61-8BFD-A0E5CF3D1A81}"/>
    <hyperlink ref="DF539" r:id="rId276" xr:uid="{FFA9987B-D9AE-4E0F-870E-64CB49DEB2E2}"/>
    <hyperlink ref="DF538" r:id="rId277" xr:uid="{9E905A49-6314-47C3-A0FB-C5E9179A6086}"/>
    <hyperlink ref="DF537" r:id="rId278" xr:uid="{4BAE9E55-E2CF-4D4E-8640-A2FDC21DF83D}"/>
    <hyperlink ref="DF536" r:id="rId279" xr:uid="{92598F4B-8A95-4FB4-AB98-CC1BCFD1B2D0}"/>
    <hyperlink ref="DF535" r:id="rId280" xr:uid="{BF3EED3C-38CB-4615-A741-54BA212C569F}"/>
    <hyperlink ref="DF533" r:id="rId281" xr:uid="{1CCB14C0-2AA6-43DC-96FE-1D8CCC50A67E}"/>
    <hyperlink ref="DF532" r:id="rId282" xr:uid="{0B4041DD-EA04-44F0-9458-F79483D4DAED}"/>
    <hyperlink ref="DF531" r:id="rId283" xr:uid="{5CD8EEED-A2CE-4B93-BC52-5F62E96D5F1A}"/>
    <hyperlink ref="DF530" r:id="rId284" xr:uid="{A0ED7FCD-7E43-490E-AFE1-A6D314491D8F}"/>
    <hyperlink ref="DF534" r:id="rId285" xr:uid="{CD3B5193-7F62-4ED9-9B52-A34A12525CB7}"/>
    <hyperlink ref="DF529" r:id="rId286" xr:uid="{CFC28311-0860-4D08-934E-5373248A7963}"/>
    <hyperlink ref="DF528" r:id="rId287" xr:uid="{3E5FC9C8-82E4-4F98-98C9-6F4853AC700C}"/>
    <hyperlink ref="DF527" r:id="rId288" xr:uid="{E50195A3-E655-47F0-8154-1C2724CFCEC9}"/>
    <hyperlink ref="DF526" r:id="rId289" xr:uid="{A09DA21E-F202-4772-BC49-4C473897FD62}"/>
    <hyperlink ref="DF525" r:id="rId290" xr:uid="{264192D3-7A9B-4EF1-AF75-77825D13BB91}"/>
    <hyperlink ref="DF524" r:id="rId291" xr:uid="{6C942A80-335D-41AF-A194-9ECAB64F2FBA}"/>
    <hyperlink ref="DF523" r:id="rId292" xr:uid="{500988C9-A9BF-471D-AA72-E0B73329FBCF}"/>
    <hyperlink ref="DF522" r:id="rId293" xr:uid="{FFC714AB-2635-41D5-BFFF-5470BF92199D}"/>
    <hyperlink ref="DF521" r:id="rId294" xr:uid="{508855B6-8E4A-4B95-9E38-BA4DF8DE80ED}"/>
    <hyperlink ref="DF520" r:id="rId295" xr:uid="{BD262EEB-2498-47B0-9E9B-A2CB84948801}"/>
    <hyperlink ref="DF518" r:id="rId296" xr:uid="{8FFBD454-C3EB-48BD-9D99-0DE112012905}"/>
    <hyperlink ref="DF517" r:id="rId297" xr:uid="{BAAC9786-5D40-417C-AF67-69E2054DD5F0}"/>
    <hyperlink ref="DF516" r:id="rId298" xr:uid="{41E27235-3238-4D4C-BD6E-771E45BC14F8}"/>
    <hyperlink ref="DF515" r:id="rId299" xr:uid="{D607F570-C9CF-4372-A458-8E66B8B9E2DD}"/>
    <hyperlink ref="DF514" r:id="rId300" xr:uid="{ED475C29-B656-4FFB-A470-1BCBDDA1AB27}"/>
    <hyperlink ref="DF513" r:id="rId301" xr:uid="{612D0AC8-7093-451D-A2B3-62F013AF228F}"/>
    <hyperlink ref="DF512" r:id="rId302" xr:uid="{562F6FF4-C849-4BF3-BCFC-F11063B9A9E6}"/>
    <hyperlink ref="DF511" r:id="rId303" xr:uid="{6293182C-5B69-4A71-ACA1-FA8BD890DF91}"/>
    <hyperlink ref="DF510" r:id="rId304" xr:uid="{30D3B7CA-B12A-4FBB-99C7-4AB57AEB24FA}"/>
    <hyperlink ref="DF509" r:id="rId305" xr:uid="{EF67DEA3-4131-4E36-8366-4DF4701EFF5F}"/>
    <hyperlink ref="DF508" r:id="rId306" xr:uid="{072CD178-A237-496D-9991-F7A4B3C621D2}"/>
    <hyperlink ref="DF507" r:id="rId307" xr:uid="{72BF286C-5028-4D39-AAC0-503A3A1408DB}"/>
    <hyperlink ref="DF506" r:id="rId308" xr:uid="{0F966C67-2C29-4A9F-B94A-B8566DBDEF7E}"/>
    <hyperlink ref="DF505" r:id="rId309" xr:uid="{410CF598-FD89-40BA-B59B-B3486E24DA10}"/>
    <hyperlink ref="DF504" r:id="rId310" xr:uid="{71B3E6BC-B4FE-400C-9B5C-9D5839751524}"/>
    <hyperlink ref="DF503" r:id="rId311" xr:uid="{C37E186E-9783-40D4-B4BD-5B9ECF118718}"/>
    <hyperlink ref="DF502" r:id="rId312" xr:uid="{0AA87B1A-E4AE-4CFC-95FE-20FDDC24D888}"/>
    <hyperlink ref="DF501" r:id="rId313" xr:uid="{E54C30CD-F532-42A7-9E6C-C01C3E0744BD}"/>
    <hyperlink ref="DF500" r:id="rId314" xr:uid="{73DFFC18-076C-4A67-A5D9-28CA2C57C097}"/>
    <hyperlink ref="DF499" r:id="rId315" xr:uid="{12147766-DBF9-44FE-B70C-D004B7C52E17}"/>
    <hyperlink ref="DF498" r:id="rId316" xr:uid="{D95B002E-E9FC-4C20-B80F-1DDE0EDBB241}"/>
    <hyperlink ref="DF497" r:id="rId317" xr:uid="{64AADC9C-4899-4B07-91FC-2BC030236455}"/>
    <hyperlink ref="DF496" r:id="rId318" xr:uid="{70A63AEA-D665-46C5-8A87-91EB1A5F46E2}"/>
    <hyperlink ref="DF495" r:id="rId319" xr:uid="{2F5D268C-3222-481E-8EA1-3DCB982D83B1}"/>
    <hyperlink ref="DF494" r:id="rId320" xr:uid="{CE002E84-8F30-477B-BD17-07EB142C583B}"/>
    <hyperlink ref="DF553" r:id="rId321" xr:uid="{8C6C1BFC-E2D3-4B8C-B04E-B5B79EC10D9A}"/>
    <hyperlink ref="DF493" r:id="rId322" xr:uid="{085BB9EC-4328-4350-A07B-3101BFE05F11}"/>
    <hyperlink ref="DF559" r:id="rId323" xr:uid="{7F0F4657-CA14-4E9E-898C-80451EEE2795}"/>
    <hyperlink ref="DF555" r:id="rId324" xr:uid="{4FC1175A-2BEC-46E0-A326-DE1C000FEAFA}"/>
    <hyperlink ref="DF5" r:id="rId325" xr:uid="{F9E17D83-9EF3-4004-B27E-546CFCB8394D}"/>
    <hyperlink ref="DF545" r:id="rId326" xr:uid="{5B865DA8-E805-4690-94DC-EAB57062E5D2}"/>
    <hyperlink ref="DF6" r:id="rId327" xr:uid="{8EFC33AE-5255-44F2-BDD7-E24F82F528B8}"/>
    <hyperlink ref="DF7" r:id="rId328" xr:uid="{59F2F9C6-C04E-425C-A3B4-82E23CD4303E}"/>
    <hyperlink ref="DF8" r:id="rId329" xr:uid="{5B3DAF29-CE13-4C06-A3E4-E0A140167B21}"/>
    <hyperlink ref="DF9" r:id="rId330" xr:uid="{CABB299A-2829-4243-8FF5-39E3F396B61F}"/>
    <hyperlink ref="DF10" r:id="rId331" xr:uid="{27F168D2-E618-4E96-B495-EFBC531334E3}"/>
    <hyperlink ref="DF11" r:id="rId332" xr:uid="{139B20BB-1D97-4FE9-A881-68142FEAA632}"/>
    <hyperlink ref="DF12" r:id="rId333" xr:uid="{A531BC49-03BF-4BDC-9EED-85BA3F1B6F72}"/>
    <hyperlink ref="DF13" r:id="rId334" xr:uid="{1AC45F72-9219-4193-ADD5-144FD40170AC}"/>
    <hyperlink ref="DF14" r:id="rId335" xr:uid="{C3F9C3BC-0C2A-4342-8F1F-8B81BFCC813E}"/>
    <hyperlink ref="DF15" r:id="rId336" xr:uid="{D98475AE-6AEF-463A-BE9A-DC530411E631}"/>
    <hyperlink ref="DF16" r:id="rId337" xr:uid="{B3FD6BF5-FE64-4477-A54A-C9BA0F0EEE2E}"/>
    <hyperlink ref="DF17" r:id="rId338" xr:uid="{FA88DAFB-20BB-4B4D-83FC-C3292A3F3FEC}"/>
    <hyperlink ref="DF18" r:id="rId339" xr:uid="{16104C17-0054-46A7-86DB-0E5A9A677CDB}"/>
    <hyperlink ref="DF19" r:id="rId340" xr:uid="{AD316286-8AA5-480A-B3CB-06B7FA2FA250}"/>
    <hyperlink ref="DF20" r:id="rId341" xr:uid="{6E25B044-75DC-4B4D-85E3-32E3043BEAFC}"/>
    <hyperlink ref="DF21" r:id="rId342" xr:uid="{02FC5D8E-EA07-4900-9684-302AD5C535F4}"/>
    <hyperlink ref="DF22" r:id="rId343" xr:uid="{CAF94F31-EA9E-41BD-B9AF-99D2717DFDEE}"/>
    <hyperlink ref="DF23" r:id="rId344" xr:uid="{9A3CF4EF-6AEE-4F79-976C-02C17195B9CA}"/>
    <hyperlink ref="DF24" r:id="rId345" xr:uid="{6F278C48-BF4F-47B3-9D54-B3D82CFDB7F2}"/>
    <hyperlink ref="DF25" r:id="rId346" xr:uid="{F3355F01-8B93-49C7-A25F-6A85F8B7B131}"/>
    <hyperlink ref="DF26" r:id="rId347" xr:uid="{18DA6034-2464-4DD7-990C-18FEA9B26AD1}"/>
    <hyperlink ref="DF27" r:id="rId348" xr:uid="{1ADF2B91-89E2-41F1-BACD-0278507546BB}"/>
    <hyperlink ref="DF28" r:id="rId349" xr:uid="{C344EF59-8B9E-4396-AAB4-07CBEF94DCDD}"/>
    <hyperlink ref="DF29" r:id="rId350" xr:uid="{2A12652C-1E2A-4169-AD67-26810E8D8ACD}"/>
    <hyperlink ref="DF30" r:id="rId351" xr:uid="{081A57FB-63B6-4D11-9A73-8CED3F1DE163}"/>
    <hyperlink ref="DF31" r:id="rId352" xr:uid="{268174C8-E562-4335-9044-1E3765AECC13}"/>
    <hyperlink ref="DF32" r:id="rId353" xr:uid="{A8652C49-3BCD-41E2-B1E2-8EABD06E62B9}"/>
    <hyperlink ref="DF33" r:id="rId354" xr:uid="{A4BFAA8B-0440-4D9A-A491-3AD1D40C1976}"/>
    <hyperlink ref="DF34" r:id="rId355" xr:uid="{C28548C7-D8A0-49B5-BA4F-0AFE22FEA36E}"/>
    <hyperlink ref="DF35" r:id="rId356" xr:uid="{84DE3D8B-1233-4E40-9BD0-CC12BF4C201E}"/>
    <hyperlink ref="DF36" r:id="rId357" xr:uid="{9F1B5C58-5188-4A82-8480-44F026AF4567}"/>
    <hyperlink ref="DF37" r:id="rId358" xr:uid="{3A8EF21C-9D95-483C-BD38-C15FC13797A5}"/>
    <hyperlink ref="DF38" r:id="rId359" xr:uid="{A2C37315-809E-4120-81FF-8EE944F6CDB6}"/>
    <hyperlink ref="DF39" r:id="rId360" xr:uid="{1C286329-A25E-418C-B0DB-A8234184426C}"/>
    <hyperlink ref="DF40" r:id="rId361" xr:uid="{4ED1C600-A191-4612-80D3-ACCD0377ADC5}"/>
    <hyperlink ref="DF41" r:id="rId362" xr:uid="{9D438959-C365-4338-9376-06FA4D2C3B73}"/>
    <hyperlink ref="DF42" r:id="rId363" xr:uid="{22C0D4AC-A26C-42C8-888A-8F86716C1F6F}"/>
    <hyperlink ref="DF43" r:id="rId364" xr:uid="{24F6C692-E336-4E2A-BF86-9C4A2879314E}"/>
    <hyperlink ref="DF44" r:id="rId365" xr:uid="{882A0D88-8CC3-4516-841C-1C5646C2A4E1}"/>
    <hyperlink ref="DF45" r:id="rId366" xr:uid="{37CB591D-0F9B-4AAA-BE0B-512D34B7138E}"/>
    <hyperlink ref="DF46" r:id="rId367" xr:uid="{96C7CA84-FF1A-45BC-BDB0-25AA0773D6DC}"/>
    <hyperlink ref="DF548" r:id="rId368" xr:uid="{6C4C985F-28A3-4354-9B73-EDB48FB1F4C3}"/>
    <hyperlink ref="DF47" r:id="rId369" xr:uid="{D970DC7A-5960-4ECF-A3A3-DE62CCE8F13B}"/>
    <hyperlink ref="DF48" r:id="rId370" xr:uid="{8AD8AA8D-7977-44FA-AA07-C8161134A939}"/>
    <hyperlink ref="BU551" r:id="rId371" xr:uid="{D01D593B-D74E-4EE8-B716-65CA68D0D391}"/>
    <hyperlink ref="DF551" r:id="rId372" xr:uid="{6B796DE1-5ECB-4CA1-B076-5CD3ECD99714}"/>
    <hyperlink ref="BU556" r:id="rId373" xr:uid="{99851761-EF20-47F7-8E51-A39E3083501E}"/>
    <hyperlink ref="DF556" r:id="rId374" xr:uid="{74433798-A8D4-4BFD-BA83-A8D9363FBB4C}"/>
    <hyperlink ref="DF492" r:id="rId375" xr:uid="{5502BEE9-95CC-4BF1-81F3-7395F6F3A011}"/>
    <hyperlink ref="DF491" r:id="rId376" xr:uid="{3689924E-B94E-49FE-A995-D165300667A2}"/>
    <hyperlink ref="DF519" r:id="rId377" xr:uid="{184E7BB0-8CD0-4501-B6B3-AF904E405D28}"/>
    <hyperlink ref="DF490" r:id="rId378" xr:uid="{68BCA8DF-8E14-43E4-B180-BCCC280471CC}"/>
    <hyperlink ref="DF489" r:id="rId379" xr:uid="{2645793E-20DC-4F06-A32B-6C497891CEFF}"/>
    <hyperlink ref="DF49" r:id="rId380" xr:uid="{DDA410B7-3674-41AD-83F3-DA1C82E071E0}"/>
    <hyperlink ref="DF50" r:id="rId381" xr:uid="{FDD507C6-1D75-40DC-9F53-D18AA1B13DD9}"/>
    <hyperlink ref="DF51" r:id="rId382" xr:uid="{86C9E53E-88C5-45F8-87DE-323594E70ADA}"/>
    <hyperlink ref="DF52" r:id="rId383" xr:uid="{5DEE36B7-EA61-47BE-A899-58C4E980E4B9}"/>
    <hyperlink ref="DF53" r:id="rId384" xr:uid="{45D704E0-2262-4E12-8A5D-3C002639E4D0}"/>
    <hyperlink ref="DF54" r:id="rId385" xr:uid="{2F2A3B00-6007-498F-BAC0-1E8DD1274447}"/>
    <hyperlink ref="DF55" r:id="rId386" xr:uid="{EC050599-0CB2-4F1F-BCE0-53BFEB5B953A}"/>
    <hyperlink ref="DF547" r:id="rId387" xr:uid="{0FFDE7AA-F8B8-44AE-8F93-46C1102168AF}"/>
    <hyperlink ref="DF56" r:id="rId388" xr:uid="{CFFF3717-A41D-40B6-90B3-707860914192}"/>
    <hyperlink ref="DF57" r:id="rId389" xr:uid="{C1D27E90-35F6-4667-A89D-98FCB5BD6FDD}"/>
    <hyperlink ref="DF58" r:id="rId390" xr:uid="{E50F6E47-3D25-40D8-97BE-5B91767C59FF}"/>
    <hyperlink ref="DF59" r:id="rId391" xr:uid="{09E17665-472E-44AD-B2A0-6B855A8A5224}"/>
    <hyperlink ref="DF60" r:id="rId392" xr:uid="{6BE0B423-BC0D-44B2-8616-D805DD3033EF}"/>
    <hyperlink ref="DF61" r:id="rId393" xr:uid="{3483AA80-8EEB-4848-8156-E4BE589FC545}"/>
    <hyperlink ref="DF62" r:id="rId394" xr:uid="{F62DCF49-2EEB-4841-AC06-02069BA7AFF2}"/>
    <hyperlink ref="DF63" r:id="rId395" xr:uid="{C47C942C-394D-451D-BCB7-79422E0F1F0F}"/>
    <hyperlink ref="DF488" r:id="rId396" xr:uid="{0CE0CAA2-6881-40E5-98A0-33C87EB01A42}"/>
    <hyperlink ref="DF64" r:id="rId397" xr:uid="{DE42401B-320E-4A03-B668-C859C334F25F}"/>
    <hyperlink ref="DF487" r:id="rId398" xr:uid="{8199CD52-2296-4D7C-A3FB-0B1EB1ED5DF6}"/>
    <hyperlink ref="DF65" r:id="rId399" xr:uid="{82E6B133-1A94-435C-B105-DD225852F50D}"/>
    <hyperlink ref="DF486" r:id="rId400" xr:uid="{1FA2BDDA-1FD8-40A8-8CF9-DA7891E0EB26}"/>
    <hyperlink ref="DF66" r:id="rId401" xr:uid="{72BC45CB-F0B0-4E75-986B-FA17F49A0377}"/>
    <hyperlink ref="DF485" r:id="rId402" xr:uid="{ED788DF8-ADCD-4B50-ABE2-93B6497AAB4F}"/>
    <hyperlink ref="DF484" r:id="rId403" xr:uid="{7B164562-0210-4AA5-B6F8-4AD00AC40362}"/>
    <hyperlink ref="DF483" r:id="rId404" xr:uid="{8B1C4D89-BDDF-49BA-963C-1E0CBD4E0A6F}"/>
    <hyperlink ref="DF67" r:id="rId405" xr:uid="{7C92299C-B3CD-44A1-B522-A01F18F20794}"/>
    <hyperlink ref="DF482" r:id="rId406" xr:uid="{E6761F6E-852F-4F7F-999F-3830F1C750EF}"/>
    <hyperlink ref="DF68" r:id="rId407" xr:uid="{635881B5-6EF5-40E4-ADA3-2098A3738675}"/>
    <hyperlink ref="DF69" r:id="rId408" xr:uid="{B63224B1-A64C-4241-BE13-9AE51D9DEA2A}"/>
    <hyperlink ref="DF70" r:id="rId409" xr:uid="{2128B815-4D89-4BBD-92EA-F1E4E2173FC0}"/>
    <hyperlink ref="DF71" r:id="rId410" xr:uid="{FA29FDFB-2B7E-44F6-81F6-DC241EDBAE53}"/>
    <hyperlink ref="DF72" r:id="rId411" xr:uid="{0311355C-2355-4143-BDD0-2C4419BA4AC6}"/>
    <hyperlink ref="DF73" r:id="rId412" xr:uid="{E025F608-BC80-407C-9EC1-B0E449F98BEE}"/>
    <hyperlink ref="DF481" r:id="rId413" xr:uid="{95ABB06B-41D6-48BB-B059-BDD6DA098C21}"/>
    <hyperlink ref="DF74" r:id="rId414" xr:uid="{025D8CD9-1DF9-42BF-94EE-7A95BE1C3612}"/>
    <hyperlink ref="DF75" r:id="rId415" xr:uid="{C0C6B646-B286-42C5-9AF4-DD63C5FFAD3F}"/>
    <hyperlink ref="DF480" r:id="rId416" xr:uid="{541A9213-689B-4321-983A-18214AF965AA}"/>
    <hyperlink ref="DF76" r:id="rId417" xr:uid="{3AFF0F8F-75C8-47A6-86EF-D6670496E5A7}"/>
    <hyperlink ref="DF479" r:id="rId418" xr:uid="{12FDCCD9-3D18-4579-A811-436C98CDE475}"/>
    <hyperlink ref="DF478" r:id="rId419" xr:uid="{B1CCA3B9-7B5E-4823-BA36-579E4B18A6D2}"/>
    <hyperlink ref="DF77" r:id="rId420" xr:uid="{0501EDF7-C9E9-4DBB-B3BC-40DE9D2F9B82}"/>
    <hyperlink ref="DF78" r:id="rId421" xr:uid="{5F091D8A-615C-4A12-B873-C7E2D52D9BB9}"/>
    <hyperlink ref="DF79" r:id="rId422" xr:uid="{1BFB8EC3-4B07-4C94-8CDB-F6DB2D78066C}"/>
    <hyperlink ref="DF80" r:id="rId423" xr:uid="{D364C050-EBAC-4BA4-8703-2B63B47DC928}"/>
    <hyperlink ref="DF81" r:id="rId424" xr:uid="{3F6DF918-6C0C-4A2F-8650-48B927DD248D}"/>
    <hyperlink ref="DF82" r:id="rId425" xr:uid="{2BB6C012-3BF4-4D0B-B0EC-2C5D5DAAE930}"/>
    <hyperlink ref="DF477" r:id="rId426" xr:uid="{85657860-083D-4728-81C4-2A19DCF76605}"/>
    <hyperlink ref="DF83" r:id="rId427" xr:uid="{975477F1-83D6-41CC-BF95-3216800A4D7A}"/>
    <hyperlink ref="DF84" r:id="rId428" xr:uid="{BDEB067D-52D5-45C1-8DB2-62843D08CB6E}"/>
    <hyperlink ref="DF85" r:id="rId429" xr:uid="{AD0533D8-5FB4-4B3E-A525-E14DDC016616}"/>
    <hyperlink ref="DF86" r:id="rId430" xr:uid="{D08AB6F7-31C4-4EA9-BCA2-E25AA5E69CF0}"/>
    <hyperlink ref="DF476" r:id="rId431" xr:uid="{8386F70D-4B3C-486F-B32A-A1B14C947BA1}"/>
    <hyperlink ref="DF475" r:id="rId432" xr:uid="{8F784B98-B4D4-4CA4-B8CD-1D05AB15E25A}"/>
    <hyperlink ref="DF474" r:id="rId433" xr:uid="{E93B9E33-13AB-4DE1-8354-250F2178852F}"/>
    <hyperlink ref="DF87" r:id="rId434" xr:uid="{E5FBF6B6-21A4-4E54-B55D-BA3084FCFF3E}"/>
    <hyperlink ref="DF473" r:id="rId435" xr:uid="{43662806-6BA8-4E4A-AE00-4DDD50272E18}"/>
    <hyperlink ref="DF88" r:id="rId436" xr:uid="{BEC896ED-D8D2-4BBA-A846-30E23E1F2462}"/>
    <hyperlink ref="DF89" r:id="rId437" xr:uid="{FB5A1FB8-7998-48A7-B448-E3B5D347A500}"/>
    <hyperlink ref="DF472" r:id="rId438" xr:uid="{ECF9E9CA-63B9-4C6E-BBEF-7478DA27D82F}"/>
    <hyperlink ref="DF91" r:id="rId439" xr:uid="{E5689578-0142-4A2C-80D5-8776865D0616}"/>
    <hyperlink ref="DF92" r:id="rId440" xr:uid="{C0CF5AF6-6688-4838-97D0-52967F7B01B2}"/>
    <hyperlink ref="DF93" r:id="rId441" xr:uid="{27E97DAF-EDD2-4CA3-942C-5C750AAF6C87}"/>
    <hyperlink ref="DF94" r:id="rId442" xr:uid="{0A668557-86A2-4189-8EA5-9E94F5DD0BB2}"/>
    <hyperlink ref="DF95" r:id="rId443" xr:uid="{0128A877-2C70-4976-8C38-224BFDCE3B76}"/>
    <hyperlink ref="DF96" r:id="rId444" xr:uid="{528EB551-BB8A-4C24-8FC7-9DAEF2893B51}"/>
    <hyperlink ref="DF97" r:id="rId445" xr:uid="{0CF7A2A8-4994-4E4C-B9AA-80242EB079D5}"/>
    <hyperlink ref="DF98" r:id="rId446" xr:uid="{5EC85DC1-D55C-475B-BED4-0E3BD4355CA5}"/>
    <hyperlink ref="DF99" r:id="rId447" xr:uid="{CC8E54E0-4B55-4018-9869-D7E17469A7D5}"/>
    <hyperlink ref="DF100" r:id="rId448" xr:uid="{60B5EDD3-44C8-4357-B162-6BE446FDF004}"/>
    <hyperlink ref="DF101" r:id="rId449" xr:uid="{CE2BF9DE-77F9-47BD-AD24-5378AF270CEC}"/>
    <hyperlink ref="DF102" r:id="rId450" xr:uid="{492F678F-6A70-4667-9B55-DD0A9C3DBC4B}"/>
    <hyperlink ref="DF590" r:id="rId451" xr:uid="{9201FEE9-4DDA-46FE-8138-D1401BEDC477}"/>
    <hyperlink ref="DF103" r:id="rId452" xr:uid="{23806FD9-5690-4E32-A9FC-E587787E0B49}"/>
    <hyperlink ref="DF104" r:id="rId453" xr:uid="{AF3A5A1E-AEBC-4D1A-8FB0-A242ED13C7B2}"/>
    <hyperlink ref="DF105" r:id="rId454" xr:uid="{89A0F047-9A1F-4E8B-B39A-EE396EDE1D69}"/>
    <hyperlink ref="DF106" r:id="rId455" xr:uid="{616558AE-7791-4D65-8CDA-56EF36E7ACC1}"/>
    <hyperlink ref="DF107" r:id="rId456" xr:uid="{A23BBD14-8C6B-44B9-8E09-01C985C66270}"/>
    <hyperlink ref="DF108" r:id="rId457" xr:uid="{23E36D14-6502-4CD4-90C8-AE17D93EA3D9}"/>
    <hyperlink ref="DF109" r:id="rId458" xr:uid="{657FFEBB-1CE5-44CF-921F-2032AEFDB4EC}"/>
    <hyperlink ref="DF110" r:id="rId459" xr:uid="{972987D3-9D1F-4D42-B774-F00061F65DF2}"/>
    <hyperlink ref="DF111" r:id="rId460" xr:uid="{D52F580A-6D2C-4B3E-974E-EFC116575D09}"/>
    <hyperlink ref="DF112" r:id="rId461" xr:uid="{F46D061D-3273-4AD0-9A0A-27210F53C5F4}"/>
    <hyperlink ref="DF113" r:id="rId462" xr:uid="{2D3A2501-ABA9-4742-930E-0A0EC012FDE5}"/>
    <hyperlink ref="DF471" r:id="rId463" xr:uid="{C1CE2820-81AC-485B-8812-2EBFC858F9F3}"/>
    <hyperlink ref="DF470" r:id="rId464" xr:uid="{92D8101A-68BE-4263-96A5-38892290EA7B}"/>
    <hyperlink ref="DF114" r:id="rId465" xr:uid="{4273CABD-5F13-48FD-BA85-276DB8CC4A58}"/>
    <hyperlink ref="DF115" r:id="rId466" xr:uid="{A024CA11-E868-47CA-B3C0-EC2998B9F256}"/>
    <hyperlink ref="DF116" r:id="rId467" xr:uid="{73D27C58-683D-4520-AFE2-7BC5D7AF3403}"/>
    <hyperlink ref="DF117" r:id="rId468" xr:uid="{FA086782-EFC8-46A8-9859-4ADCA7C08CF5}"/>
    <hyperlink ref="DF118" r:id="rId469" xr:uid="{B1A677A6-7DA9-479D-85AA-40A82AA70461}"/>
    <hyperlink ref="DF550" r:id="rId470" xr:uid="{B58A2CC6-F437-48C9-B31F-4C9404D40AAD}"/>
    <hyperlink ref="DF469" r:id="rId471" xr:uid="{5236883B-416F-4BD1-A279-94A08C603F1E}"/>
    <hyperlink ref="DF468" r:id="rId472" xr:uid="{BB76C4D5-08D7-4BE7-A198-6FE712F4473F}"/>
    <hyperlink ref="DF554" r:id="rId473" xr:uid="{1669ED2D-B5BB-4329-B140-9580B4D719EC}"/>
    <hyperlink ref="DF467" r:id="rId474" xr:uid="{73BEBE0D-54AE-44C9-8198-19C6309AA5A2}"/>
    <hyperlink ref="DF466" r:id="rId475" xr:uid="{92543237-726F-45EA-AA44-DAF686F3CB9F}"/>
    <hyperlink ref="DF119" r:id="rId476" xr:uid="{14C628AD-C13C-4157-9553-DC8065F7D107}"/>
    <hyperlink ref="DF465" r:id="rId477" xr:uid="{6F648A85-82F7-4FF9-94C8-20C5D01074BC}"/>
    <hyperlink ref="DF464" r:id="rId478" xr:uid="{2B613BFC-A4F1-4FFF-86B1-163DA00DF100}"/>
    <hyperlink ref="DF463" r:id="rId479" xr:uid="{2FCB30E5-57CB-4EC0-A360-0A573F777C02}"/>
    <hyperlink ref="DF682" r:id="rId480" xr:uid="{0832F922-CD03-4F02-8563-DBC2B615A585}"/>
    <hyperlink ref="DF462" r:id="rId481" xr:uid="{14F7ADC2-79D6-4F76-B6AC-4CAE77902B42}"/>
    <hyperlink ref="DF461" r:id="rId482" xr:uid="{7C94E200-5AD8-4E9E-9AE4-C4F66FD48119}"/>
    <hyperlink ref="DF460" r:id="rId483" xr:uid="{768F1C55-5455-46FB-A3F8-EDAF832567F6}"/>
    <hyperlink ref="DF459" r:id="rId484" xr:uid="{CE4D7B1F-F638-46E5-8651-A86310BEA902}"/>
    <hyperlink ref="DF458" r:id="rId485" xr:uid="{94173470-9D55-4D32-9723-EC8FA4491FEC}"/>
    <hyperlink ref="DF683" r:id="rId486" xr:uid="{39E99A17-A87C-4C88-A519-29038E1A4238}"/>
    <hyperlink ref="DF457" r:id="rId487" xr:uid="{572CCD91-45FC-443D-8A5D-2BE42776E593}"/>
    <hyperlink ref="DF456" r:id="rId488" xr:uid="{D07EC974-9B0F-4D20-B15B-9750B8095825}"/>
    <hyperlink ref="DF571" r:id="rId489" xr:uid="{27970F99-C43F-4224-B5DB-8CEFD991124D}"/>
    <hyperlink ref="DF455" r:id="rId490" xr:uid="{89CA4F53-9BCF-49D3-BE2D-A1EE5BE8523C}"/>
    <hyperlink ref="BU570" r:id="rId491" xr:uid="{F64FADC8-0D9C-413D-809C-CEA72049CEC8}"/>
    <hyperlink ref="DF570" r:id="rId492" xr:uid="{F23415B8-E372-41FD-BE34-58220F50FE6B}"/>
    <hyperlink ref="EI487" r:id="rId493" xr:uid="{2F6293A5-E102-424A-8F43-7D7B3E8A502F}"/>
    <hyperlink ref="DF120" r:id="rId494" xr:uid="{E2026988-D49D-4C93-8DE3-57655AE49B37}"/>
    <hyperlink ref="DF121" r:id="rId495" xr:uid="{667914DF-C3A3-476E-AEB1-CE91B58C7968}"/>
    <hyperlink ref="DF122" r:id="rId496" xr:uid="{C65ED8FE-3B8D-4EC1-B7DC-EECA38FC2AA7}"/>
    <hyperlink ref="DF123" r:id="rId497" xr:uid="{CCC0F636-A214-44AC-A123-7691E0BCF9DC}"/>
    <hyperlink ref="DF568" r:id="rId498" xr:uid="{1FACA1F8-49C5-4BDB-8C91-C5BC9272B4D5}"/>
    <hyperlink ref="DF124" r:id="rId499" xr:uid="{D415C1A7-6B28-4DAF-8AD8-5960BB74B415}"/>
    <hyperlink ref="DF125" r:id="rId500" xr:uid="{F77BB5B9-0EE9-477A-A9E5-D584519FFCCB}"/>
    <hyperlink ref="DF563" r:id="rId501" xr:uid="{1CA39F19-6B4C-4C67-AFF2-4210F03C69B7}"/>
    <hyperlink ref="DF562" r:id="rId502" xr:uid="{98C457FA-61F2-4973-92EA-A48CEF0C5089}"/>
    <hyperlink ref="DF546" r:id="rId503" xr:uid="{C08DD229-94E8-4CBB-9021-CC4548451F8C}"/>
    <hyperlink ref="BU564" r:id="rId504" xr:uid="{60A7CF70-D7F0-47B3-B960-825EE2126ABE}"/>
    <hyperlink ref="DF564" r:id="rId505" xr:uid="{7565EE5D-5EC1-488B-94DE-5AAAD70FA6BC}"/>
    <hyperlink ref="DF606" r:id="rId506" xr:uid="{D8384C42-D357-4C76-8A02-1D88D1DAA646}"/>
    <hyperlink ref="DF605" r:id="rId507" xr:uid="{CB6E83AC-5736-4BBC-91FB-6DFAC21E540E}"/>
    <hyperlink ref="DF610" r:id="rId508" xr:uid="{B6ED5D7B-3E87-4EA9-9ADE-4F782C8B6E12}"/>
    <hyperlink ref="DF572" r:id="rId509" xr:uid="{FB590CA9-5F80-4052-81FD-D07B2A44F368}"/>
    <hyperlink ref="BU574" r:id="rId510" xr:uid="{93E991F1-C14D-4B6D-BE48-D0F9596215B7}"/>
    <hyperlink ref="DF574" r:id="rId511" xr:uid="{A2530E22-E862-4539-AEC1-22D1E0481539}"/>
    <hyperlink ref="DF454" r:id="rId512" xr:uid="{102458AA-A72A-4F79-B87E-3FAB6EA3EE1A}"/>
    <hyperlink ref="DF541" r:id="rId513" xr:uid="{77FCA26B-B011-4FB9-8A31-F034DB3F498D}"/>
    <hyperlink ref="DF453" r:id="rId514" xr:uid="{5CDF4D14-E447-47EF-B3F5-772128629C78}"/>
    <hyperlink ref="DF452" r:id="rId515" xr:uid="{2DC37133-C991-4E9E-98BD-A060C834793A}"/>
    <hyperlink ref="DF451" r:id="rId516" xr:uid="{63B2328E-7759-4B2C-BA41-2944CE114A10}"/>
    <hyperlink ref="DF450" r:id="rId517" xr:uid="{60800ABE-4926-474A-9ADF-8A7E167644A6}"/>
    <hyperlink ref="DF449" r:id="rId518" xr:uid="{455170A9-FEB8-4069-885D-FDAF8665A6B5}"/>
    <hyperlink ref="DF448" r:id="rId519" xr:uid="{6FC1ACC6-034C-45BE-A931-69E5886511E7}"/>
    <hyperlink ref="DF447" r:id="rId520" xr:uid="{AC8C4ED1-80D2-4993-AE7D-0D9A1FAEC163}"/>
    <hyperlink ref="DF446" r:id="rId521" xr:uid="{B4F0ADD6-5B7A-4FAB-82D7-9F2E81EBA815}"/>
    <hyperlink ref="DF445" r:id="rId522" xr:uid="{C6CA9E5A-44C3-43EC-994F-F2F8EF974274}"/>
    <hyperlink ref="DF444" r:id="rId523" xr:uid="{BC1FAC6D-6013-4AAF-8D68-471132F6AD43}"/>
    <hyperlink ref="DF443" r:id="rId524" xr:uid="{99C60A7C-C89F-40F9-B703-9540B43C93FC}"/>
    <hyperlink ref="DF442" r:id="rId525" xr:uid="{316E65A6-1625-4824-8D71-7CDA6A591D5C}"/>
    <hyperlink ref="DF441" r:id="rId526" xr:uid="{9913F1BE-3DE5-4885-8F6E-7C5F71CB8461}"/>
    <hyperlink ref="DF126" r:id="rId527" xr:uid="{B328B192-276E-4E8F-BD18-164DE7C28089}"/>
    <hyperlink ref="DF127" r:id="rId528" xr:uid="{C9DCBFA9-3F77-4181-AF7C-D21D9155C97C}"/>
    <hyperlink ref="DF440" r:id="rId529" xr:uid="{660A8BCC-623F-4FAE-BBA9-7F6A7DB3487E}"/>
    <hyperlink ref="DF439" r:id="rId530" xr:uid="{106E4EEA-2D0A-4F6A-9F18-BD8BD7879220}"/>
    <hyperlink ref="DF438" r:id="rId531" xr:uid="{A191A4CC-701A-4B6E-A60E-5CE7045C893C}"/>
    <hyperlink ref="DF437" r:id="rId532" xr:uid="{9972DD4A-D46B-44E5-BC0E-70A04B8F3159}"/>
    <hyperlink ref="DF436" r:id="rId533" xr:uid="{8C64E879-90E5-4ABC-AD1C-252995F59989}"/>
    <hyperlink ref="DF435" r:id="rId534" xr:uid="{F415ECC1-20FE-4CC4-B18D-6677C439DDAB}"/>
    <hyperlink ref="DF434" r:id="rId535" xr:uid="{078CAEE0-6787-4DD2-ADB9-2D7934CBD54C}"/>
    <hyperlink ref="DF557" r:id="rId536" xr:uid="{F3D11471-5AF2-4690-B90D-CBD1E8A53122}"/>
    <hyperlink ref="DF433" r:id="rId537" xr:uid="{C55BA9A7-096E-4F15-A268-1AEC54DCA0D2}"/>
    <hyperlink ref="DF432" r:id="rId538" xr:uid="{04EC168F-C85C-45D6-858A-66CD22997A17}"/>
    <hyperlink ref="DF431" r:id="rId539" xr:uid="{A2C64089-1367-4906-B7B0-9CE0603807E7}"/>
    <hyperlink ref="DF430" r:id="rId540" xr:uid="{7E1FF5B9-0FF7-420A-9E02-3C7E19A046E6}"/>
    <hyperlink ref="DF429" r:id="rId541" xr:uid="{66924A02-029F-426D-B0EB-F430D50BEBA8}"/>
    <hyperlink ref="DF428" r:id="rId542" xr:uid="{839738C6-4A24-4557-A1C2-7403D510FE49}"/>
    <hyperlink ref="DF426" r:id="rId543" xr:uid="{D3B4598F-130B-4A15-A5D3-9897AD1573E7}"/>
    <hyperlink ref="DF425" r:id="rId544" xr:uid="{C7702A49-E0CB-4A32-BA8C-1E718CFA7EE9}"/>
    <hyperlink ref="DF586" r:id="rId545" xr:uid="{4D7F38EF-B20E-46D4-A736-374F0424DDDD}"/>
    <hyperlink ref="DF424" r:id="rId546" xr:uid="{F62E9A31-A575-40FE-A923-78859F595379}"/>
    <hyperlink ref="DF423" r:id="rId547" xr:uid="{90C375DC-B807-4E2E-BE08-E0F099C91640}"/>
    <hyperlink ref="DF422" r:id="rId548" xr:uid="{7300C114-F9F6-4DBC-B40D-E0A4CD479CCD}"/>
    <hyperlink ref="DF421" r:id="rId549" xr:uid="{2F56434D-BD69-4BE1-8220-86C4859294E3}"/>
    <hyperlink ref="DF420" r:id="rId550" xr:uid="{8565F298-DFE1-443C-A550-F48FD5027F2D}"/>
    <hyperlink ref="DF419" r:id="rId551" xr:uid="{423B1D92-03B1-429C-A02F-9BB364CACEC1}"/>
    <hyperlink ref="DF418" r:id="rId552" xr:uid="{583C4F79-14D7-4D96-84CA-28FD613EC800}"/>
    <hyperlink ref="DF417" r:id="rId553" xr:uid="{CE54501C-7018-42AE-A6B3-B70CC080CCC8}"/>
    <hyperlink ref="DF416" r:id="rId554" xr:uid="{D3CA2D48-7363-42B2-A5CC-0EB15918DC75}"/>
    <hyperlink ref="DF415" r:id="rId555" xr:uid="{E05D64B2-77B2-4156-B5D4-8D038F92D89C}"/>
    <hyperlink ref="DF414" r:id="rId556" xr:uid="{EBBCA9B3-46BB-40DE-832B-889FC6D967BC}"/>
    <hyperlink ref="DF413" r:id="rId557" xr:uid="{4FE48430-AE47-4808-8C3D-490D02FAB78A}"/>
    <hyperlink ref="DF412" r:id="rId558" xr:uid="{3AEA5497-4846-42C0-B04F-55428C91B0C7}"/>
    <hyperlink ref="DF411" r:id="rId559" xr:uid="{0C035F44-1EAC-493F-AEC9-4B91B3DB1AD7}"/>
    <hyperlink ref="DF410" r:id="rId560" xr:uid="{52B9140E-60D5-4420-8FE5-92D35B3F87B1}"/>
    <hyperlink ref="DF409" r:id="rId561" xr:uid="{ABCCE7E5-CDE8-4220-BE75-368E72B80CC6}"/>
    <hyperlink ref="DF408" r:id="rId562" xr:uid="{C2B089F9-3FBB-434E-A2B0-4E35EC539C83}"/>
    <hyperlink ref="DF407" r:id="rId563" xr:uid="{40EF90D3-BFF5-4B78-BD6B-6D24BA434C5A}"/>
    <hyperlink ref="DF406" r:id="rId564" xr:uid="{6885C02C-AC11-4498-9816-7205149A8EF8}"/>
    <hyperlink ref="DF405" r:id="rId565" xr:uid="{0C5D3C50-8760-4727-879A-F3BA4A1D6320}"/>
    <hyperlink ref="DF404" r:id="rId566" xr:uid="{116B1460-BA47-4AF7-941E-09BCCDC05234}"/>
    <hyperlink ref="DF403" r:id="rId567" xr:uid="{F4110E35-BF80-43B9-88D4-6791CB394685}"/>
    <hyperlink ref="DF402" r:id="rId568" xr:uid="{A252C8DA-E2CD-4F40-BB33-CCDA7F4B85E7}"/>
    <hyperlink ref="DF401" r:id="rId569" xr:uid="{A06A0F88-9040-43A4-B70F-E67E1A8D59AC}"/>
    <hyperlink ref="DF400" r:id="rId570" xr:uid="{35B886AD-6D41-4D16-A5BA-1F5DDFD7F3D1}"/>
    <hyperlink ref="DF399" r:id="rId571" xr:uid="{6945AEB9-9481-49B2-99BF-AD9E297B2FA2}"/>
    <hyperlink ref="DF398" r:id="rId572" xr:uid="{FB86C913-6292-4B1B-9094-8395599E8C72}"/>
    <hyperlink ref="DF397" r:id="rId573" xr:uid="{10B91055-73F4-4FBC-939C-195CCECB0660}"/>
    <hyperlink ref="DF396" r:id="rId574" xr:uid="{45545758-ACD6-4735-A22F-E901849B6526}"/>
    <hyperlink ref="DF395" r:id="rId575" xr:uid="{E0C69D44-B0D4-4C08-B6B0-EA22DDD18A7F}"/>
    <hyperlink ref="DF394" r:id="rId576" xr:uid="{C4671A58-1288-4014-A68B-43AAB5F2DC59}"/>
    <hyperlink ref="DF393" r:id="rId577" xr:uid="{066B1EBF-FA58-4CFC-9F40-2CF1823F1627}"/>
    <hyperlink ref="DF392" r:id="rId578" xr:uid="{1F4F2428-B321-40DA-8DF8-C2A2E503ADA6}"/>
    <hyperlink ref="DF391" r:id="rId579" xr:uid="{E63BEB0C-88A2-457B-9EA6-6EA5DC851842}"/>
    <hyperlink ref="DF390" r:id="rId580" xr:uid="{D17F6B42-AEEA-4EB9-9BF7-99F08728BA4D}"/>
    <hyperlink ref="DF389" r:id="rId581" xr:uid="{A1B4A350-A60C-47B1-820F-53F1627DE3DF}"/>
    <hyperlink ref="DF388" r:id="rId582" xr:uid="{CED7C8F0-46B3-46BB-95FD-C5DA6D786367}"/>
    <hyperlink ref="DF387" r:id="rId583" xr:uid="{357E956B-A81E-463E-ADE8-C1049E09ACE6}"/>
    <hyperlink ref="DF386" r:id="rId584" xr:uid="{BD63091E-9207-450C-A89D-4C5B233C3055}"/>
    <hyperlink ref="DF385" r:id="rId585" xr:uid="{A13592C6-69CF-4065-B6FE-FEB6C4043E26}"/>
    <hyperlink ref="DF384" r:id="rId586" xr:uid="{49219BB0-1113-4A20-9F47-DDEA3021C1BC}"/>
    <hyperlink ref="DF383" r:id="rId587" xr:uid="{97283F0D-99D8-42CE-ACF6-BF56091AAFE7}"/>
    <hyperlink ref="DF382" r:id="rId588" xr:uid="{590B8FA1-0494-43ED-BBC5-59243C4C0C87}"/>
    <hyperlink ref="DF381" r:id="rId589" xr:uid="{E480E97E-305C-44E2-B06B-BF7388EC8938}"/>
    <hyperlink ref="DF380" r:id="rId590" xr:uid="{820597FE-ECA4-44EE-9A83-E7E59BF5B21F}"/>
    <hyperlink ref="DF379" r:id="rId591" xr:uid="{046B9F11-784E-412A-9358-B45F63B60C1F}"/>
    <hyperlink ref="DF378" r:id="rId592" xr:uid="{B3504887-4FEF-4F7A-8E2D-A8CE864E998F}"/>
    <hyperlink ref="DF377" r:id="rId593" xr:uid="{97C46532-CB05-4CA2-905A-C42A936354DB}"/>
    <hyperlink ref="DF376" r:id="rId594" xr:uid="{AD11EC33-4437-45F5-92BB-757CD5DCF47A}"/>
    <hyperlink ref="DF660" r:id="rId595" xr:uid="{0AF6BF82-CD7E-4B27-9122-DFF13E25534E}"/>
    <hyperlink ref="DF375" r:id="rId596" xr:uid="{F9936C42-9233-4533-85C6-83A39EC60C4F}"/>
    <hyperlink ref="DF374" r:id="rId597" xr:uid="{4C5DDFCB-9D4B-425E-8830-39C94EA27534}"/>
    <hyperlink ref="DF373" r:id="rId598" xr:uid="{9DBA5903-EF9C-4AAE-B76B-5A1CD5CD9736}"/>
    <hyperlink ref="DF372" r:id="rId599" xr:uid="{984EB89D-D8F9-4F0C-994B-C0D739F98C94}"/>
    <hyperlink ref="DF573" r:id="rId600" xr:uid="{4EBE0763-5744-4A1B-822F-CF5F47D78869}"/>
    <hyperlink ref="DF371" r:id="rId601" xr:uid="{85ABB6F5-8290-4768-BD22-B55B81FDB163}"/>
    <hyperlink ref="DF370" r:id="rId602" xr:uid="{DBCEA06A-A706-4202-9123-3C9C4665A250}"/>
    <hyperlink ref="DF369" r:id="rId603" xr:uid="{1F809F0C-64FB-4189-B220-9C3CC9C83ABA}"/>
    <hyperlink ref="DF368" r:id="rId604" xr:uid="{3810CBAA-874F-4126-87F3-6A46A694CF51}"/>
    <hyperlink ref="DF895" r:id="rId605" xr:uid="{DCF7A7C3-A43C-44AA-AC01-F57829D479FB}"/>
    <hyperlink ref="DF367" r:id="rId606" xr:uid="{0AB65FEE-3D9D-41A2-8160-7DE7524AB261}"/>
    <hyperlink ref="DF366" r:id="rId607" xr:uid="{1314A786-165D-4A36-9E73-35C234EC5429}"/>
    <hyperlink ref="DF365" r:id="rId608" xr:uid="{8DB39CE3-C7F0-4197-9E5A-0524DB820181}"/>
    <hyperlink ref="DF364" r:id="rId609" xr:uid="{5F6651D7-ECF1-4D1F-A45C-08137F901839}"/>
    <hyperlink ref="DF598" r:id="rId610" xr:uid="{B99E8CDF-3999-47BD-8D81-C14603C76243}"/>
    <hyperlink ref="DF363" r:id="rId611" xr:uid="{0E9C3054-7460-48F6-82AE-1C1584022BF4}"/>
    <hyperlink ref="DF362" r:id="rId612" xr:uid="{96C88414-B0DB-4E5D-AC6B-2CF22C6CA29C}"/>
    <hyperlink ref="DF584" r:id="rId613" xr:uid="{D8238BE7-8DB9-4D8C-A19F-830B80B2F9B4}"/>
    <hyperlink ref="DF361" r:id="rId614" xr:uid="{DC2C9693-B966-41DA-ABBB-085226DA1F38}"/>
    <hyperlink ref="BU579" r:id="rId615" xr:uid="{9C6F2398-A887-4BCD-974B-36F73261E182}"/>
    <hyperlink ref="DF579" r:id="rId616" xr:uid="{2900A51E-78F5-46D9-BEAC-2354E69353B2}"/>
    <hyperlink ref="DF360" r:id="rId617" xr:uid="{718C026B-785D-42A2-845C-3A9D2830D20F}"/>
    <hyperlink ref="DF359" r:id="rId618" xr:uid="{3ABE31CA-C59D-4301-9412-01C882510AC3}"/>
    <hyperlink ref="DF358" r:id="rId619" xr:uid="{440A7381-7448-460A-A688-9E64E3C171E6}"/>
    <hyperlink ref="DF593" r:id="rId620" xr:uid="{BFB17277-DABF-4104-A855-62BC87CF098A}"/>
    <hyperlink ref="DF357" r:id="rId621" xr:uid="{5328E265-04AE-43F0-8C5F-9EC692A34424}"/>
    <hyperlink ref="DF356" r:id="rId622" xr:uid="{821DFC18-72DF-4621-826F-C91E15380306}"/>
    <hyperlink ref="DF355" r:id="rId623" xr:uid="{E60A35AE-C10D-4546-AC1E-B5F858EBF009}"/>
    <hyperlink ref="DF354" r:id="rId624" xr:uid="{16176085-317C-440C-9DA7-DB9310D03561}"/>
    <hyperlink ref="DF587" r:id="rId625" xr:uid="{B517004C-D4BD-40C4-A7CD-D80AE8F82ADE}"/>
    <hyperlink ref="DF353" r:id="rId626" xr:uid="{89F4C23D-A540-47E7-9326-DD6EB574CA96}"/>
    <hyperlink ref="BU585" r:id="rId627" xr:uid="{E12FBEB6-7BC9-4772-B6B9-B6D7386CAF7D}"/>
    <hyperlink ref="DF585" r:id="rId628" xr:uid="{5FD0A59D-3BD8-404C-8DC9-1E1B5D4F9501}"/>
    <hyperlink ref="DF352" r:id="rId629" xr:uid="{6C8FB965-8C28-41EE-8A73-471F3B87E9C1}"/>
    <hyperlink ref="DF128" r:id="rId630" xr:uid="{517244D8-7975-4577-B7B8-D8CCE66EF271}"/>
    <hyperlink ref="DF129" r:id="rId631" xr:uid="{E87584A1-FF02-4B2D-B8BF-8A8631118AA4}"/>
    <hyperlink ref="DF130" r:id="rId632" xr:uid="{BAD7C82C-A213-4E82-8D6E-3AD6BB59A944}"/>
    <hyperlink ref="DF131" r:id="rId633" xr:uid="{1AEC481D-B99A-4BB4-AB97-CDD6695BF6EC}"/>
    <hyperlink ref="DF132" r:id="rId634" xr:uid="{CBF3E1A5-8579-4A3A-8977-4DBCA3492F2C}"/>
    <hyperlink ref="DF134" r:id="rId635" xr:uid="{4C40BBEE-B19B-4F39-94A1-82B2749E18A4}"/>
    <hyperlink ref="DF135" r:id="rId636" xr:uid="{10554A94-DDFF-4AEC-B7B8-032CF9A96C16}"/>
    <hyperlink ref="DF578" r:id="rId637" xr:uid="{964DEA6C-9282-4FA1-B921-C7C93A416450}"/>
    <hyperlink ref="DF136" r:id="rId638" xr:uid="{6BA20C45-3BAA-41D9-81C8-758D642808A9}"/>
    <hyperlink ref="DF137" r:id="rId639" xr:uid="{723F385E-18B1-48DE-B955-C07D565D2C48}"/>
    <hyperlink ref="DF138" r:id="rId640" xr:uid="{FBCA8806-9AAC-4043-A9E2-C3A5584C29E3}"/>
    <hyperlink ref="DF139" r:id="rId641" xr:uid="{E17DFBDA-560F-4CF5-8C9E-B3899AF5AD9D}"/>
    <hyperlink ref="DF140" r:id="rId642" xr:uid="{050A4CD2-0647-4E55-B38B-55CD5DFFFB2C}"/>
    <hyperlink ref="DF141" r:id="rId643" xr:uid="{7D7A4141-996C-4CC0-8BCF-6110B9FB9ECF}"/>
    <hyperlink ref="DF142" r:id="rId644" xr:uid="{D5685688-453C-4E2A-9160-39CC02D15FD8}"/>
    <hyperlink ref="DF588" r:id="rId645" xr:uid="{9B75C17A-2C52-42B4-BEDC-53C0859BB9F2}"/>
    <hyperlink ref="DF351" r:id="rId646" xr:uid="{A2886733-9FA9-4A67-A22A-29838FF3C483}"/>
    <hyperlink ref="DF350" r:id="rId647" xr:uid="{E7D99D29-5731-4C37-9D70-AA1BACC8BA6A}"/>
    <hyperlink ref="DF349" r:id="rId648" xr:uid="{8D04F7AC-DFD5-4D9D-AC03-9A100A1E15E2}"/>
    <hyperlink ref="DF348" r:id="rId649" xr:uid="{F726B1A9-4EC8-4DB1-9960-0DC03B478250}"/>
    <hyperlink ref="DF347" r:id="rId650" xr:uid="{AB73EC8F-040D-4CE9-8710-382C7C3F046A}"/>
    <hyperlink ref="DF581" r:id="rId651" xr:uid="{4E0F0FA3-CB74-4AB2-8268-61B7165B923E}"/>
    <hyperlink ref="DF346" r:id="rId652" xr:uid="{8C2CC49F-FC8A-4D2E-AF35-1E83CB04CC33}"/>
    <hyperlink ref="DF789" r:id="rId653" xr:uid="{1AFF67A4-AC54-4E62-8C61-827687FD75FE}"/>
    <hyperlink ref="DF792" r:id="rId654" xr:uid="{ACD906AE-BF65-4237-BAE7-D09189BA461D}"/>
    <hyperlink ref="DF924" r:id="rId655" xr:uid="{1004F746-F18B-4252-98DA-B23CE86D55DB}"/>
    <hyperlink ref="DF925" r:id="rId656" xr:uid="{A2A5983C-2CC2-4C4D-B7F6-EBE618DCFCB7}"/>
    <hyperlink ref="DF731" r:id="rId657" xr:uid="{26DBDE53-676A-4045-9DE0-33FA711444C0}"/>
    <hyperlink ref="BU575" r:id="rId658" xr:uid="{501E64A6-CB27-4429-9E7C-1050A38BD815}"/>
    <hyperlink ref="DF345" r:id="rId659" xr:uid="{AE3482EF-9F5D-42C1-82B0-374C351C2D4F}"/>
    <hyperlink ref="DF344" r:id="rId660" xr:uid="{B77E3105-7A33-4736-B562-B56359DF6A39}"/>
    <hyperlink ref="DF343" r:id="rId661" xr:uid="{D6AD4814-9530-41F3-B621-9E616F37DAB9}"/>
    <hyperlink ref="DF342" r:id="rId662" xr:uid="{3E1CAA56-D716-4981-9AD6-CA6DD07F780D}"/>
    <hyperlink ref="DF341" r:id="rId663" xr:uid="{E62312B0-4AE1-432F-B005-2BE85B3486C1}"/>
    <hyperlink ref="DF340" r:id="rId664" xr:uid="{F0610A8F-AC5A-418C-8F5E-13550655BA4D}"/>
    <hyperlink ref="DF339" r:id="rId665" xr:uid="{0DBF4DDD-D4FE-4D6F-AAF2-F73E78501BC3}"/>
    <hyperlink ref="DF338" r:id="rId666" xr:uid="{CBDFAE7F-1A11-4C17-B1A9-2A3448D59F78}"/>
    <hyperlink ref="DF337" r:id="rId667" xr:uid="{8F646B5E-0DA3-4EC0-A6F1-84098AA234C6}"/>
    <hyperlink ref="DF336" r:id="rId668" xr:uid="{44FF26E9-3445-4731-AFD3-6577BD628500}"/>
    <hyperlink ref="DF335" r:id="rId669" xr:uid="{AB77CD27-22C5-4B9A-9D93-A69B03E08532}"/>
    <hyperlink ref="DF334" r:id="rId670" xr:uid="{0301351E-7876-4A80-B503-74209662F234}"/>
    <hyperlink ref="DF333" r:id="rId671" xr:uid="{50A12DF0-3803-4454-879B-580C503BAB7C}"/>
    <hyperlink ref="DF332" r:id="rId672" xr:uid="{1856AAEF-C263-47EC-85C3-D5D8679CED04}"/>
    <hyperlink ref="DF331" r:id="rId673" xr:uid="{6883095B-20F6-434C-9689-2CE2E4986044}"/>
    <hyperlink ref="DF330" r:id="rId674" xr:uid="{0ED2D045-61F6-4C02-8BBA-2D1C10AC5758}"/>
    <hyperlink ref="DF329" r:id="rId675" xr:uid="{E10605CA-3391-4675-913E-F8A3EDF54AF0}"/>
    <hyperlink ref="DF328" r:id="rId676" xr:uid="{CF0F9AFA-853F-4447-8DB1-5C54B271F0F1}"/>
    <hyperlink ref="DF327" r:id="rId677" xr:uid="{4B39D472-2857-496D-A175-34766FD7FE57}"/>
    <hyperlink ref="DF326" r:id="rId678" xr:uid="{E375268D-2FA2-4236-AC24-7D7665426693}"/>
    <hyperlink ref="DF325" r:id="rId679" xr:uid="{82296F55-41E7-44AF-A078-3DB25FEC33C0}"/>
    <hyperlink ref="DF324" r:id="rId680" xr:uid="{EC0C4059-A097-4BC3-B3C2-33278E4C16CC}"/>
    <hyperlink ref="DF323" r:id="rId681" xr:uid="{93A77D39-F83D-4DD4-84FC-A06B8A891DCB}"/>
    <hyperlink ref="DF322" r:id="rId682" xr:uid="{E80FF8F9-BD29-4079-9A8F-05DC06FEB25C}"/>
    <hyperlink ref="DF321" r:id="rId683" xr:uid="{DB18ACCD-616D-42CD-B2E5-73FE4DA8BFD8}"/>
    <hyperlink ref="DF320" r:id="rId684" xr:uid="{94989181-7860-446D-9A5D-A5910F9FAFC1}"/>
    <hyperlink ref="DF575" r:id="rId685" xr:uid="{1E86A24B-5E41-4C60-8992-9F419DFF4E2B}"/>
    <hyperlink ref="DF319" r:id="rId686" xr:uid="{F5C838D4-2502-4F63-B7A9-C7F063DE68C7}"/>
    <hyperlink ref="DF318" r:id="rId687" xr:uid="{C8EEEB55-F36E-4FCC-A452-6F04780A00FB}"/>
    <hyperlink ref="DF316" r:id="rId688" xr:uid="{F161BB84-7949-4349-A37D-BD0C14CFAC8B}"/>
    <hyperlink ref="DF317" r:id="rId689" xr:uid="{F02C9690-0C5D-4A1C-A5A3-4BB3C6E701D5}"/>
    <hyperlink ref="DF315" r:id="rId690" xr:uid="{C13D0EF9-BC43-4CA1-81FF-507DD53CF559}"/>
    <hyperlink ref="DF314" r:id="rId691" xr:uid="{6858B70F-3A95-4E22-A5F7-A3D4710C1545}"/>
    <hyperlink ref="DF313" r:id="rId692" xr:uid="{2143CC0D-A7C8-4EC8-BBCA-170681718B2E}"/>
    <hyperlink ref="DF312" r:id="rId693" xr:uid="{09A55691-2298-4F51-9FB0-48334F04DC14}"/>
    <hyperlink ref="DF311" r:id="rId694" xr:uid="{78132938-A3B4-4842-B069-830C689230ED}"/>
    <hyperlink ref="DF310" r:id="rId695" xr:uid="{1A34436E-EE98-4FFC-B02B-0FB83BE99807}"/>
    <hyperlink ref="DF309" r:id="rId696" xr:uid="{8BA8C63E-E2A8-4545-92C7-42BE87F1CF9B}"/>
    <hyperlink ref="DF308" r:id="rId697" xr:uid="{ED919430-7D49-465F-AA55-89618B579163}"/>
    <hyperlink ref="DF307" r:id="rId698" xr:uid="{C2304B5B-8959-4E05-B4D7-90ACE4B5BD5D}"/>
    <hyperlink ref="DF306" r:id="rId699" xr:uid="{876ED867-10EE-4750-9518-542AC6DC9568}"/>
    <hyperlink ref="DF305" r:id="rId700" xr:uid="{561CB0AD-6D34-4E43-BD62-AD6466BA79DE}"/>
    <hyperlink ref="DF304" r:id="rId701" xr:uid="{E44B99E9-736B-4124-9B52-32AB900CCAD6}"/>
    <hyperlink ref="DF303" r:id="rId702" xr:uid="{D7773B4E-5DBE-4CA5-89E5-F689D2A350F7}"/>
    <hyperlink ref="DF302" r:id="rId703" xr:uid="{50EAE69F-E7F2-4B78-A54A-5F389EE03C18}"/>
    <hyperlink ref="DF301" r:id="rId704" xr:uid="{454E5EFC-9A8E-4097-A7E0-BF7796456F46}"/>
    <hyperlink ref="DF583" r:id="rId705" xr:uid="{59D202F2-1CF7-445D-95F8-1A514D8AFE2E}"/>
    <hyperlink ref="DF300" r:id="rId706" xr:uid="{1580D74B-9306-4F6E-A6DE-B443FB5958B9}"/>
    <hyperlink ref="DF299" r:id="rId707" xr:uid="{8A22A86C-20E6-4275-96F6-6E321C4E49BD}"/>
    <hyperlink ref="DF298" r:id="rId708" xr:uid="{3F47438F-691C-47AF-B43D-9DBDC632266C}"/>
    <hyperlink ref="DF297" r:id="rId709" xr:uid="{6087D121-5FEC-471A-9CC2-4B5945968B96}"/>
    <hyperlink ref="DF296" r:id="rId710" xr:uid="{120D280A-3663-4DD7-A767-AAAFA956F08F}"/>
    <hyperlink ref="DF295" r:id="rId711" xr:uid="{6032F953-5462-423E-BDAC-831E0F3C1788}"/>
    <hyperlink ref="DF294" r:id="rId712" xr:uid="{62310904-8310-42E0-9036-83D815DA0410}"/>
    <hyperlink ref="DF293" r:id="rId713" xr:uid="{55B93AB1-5F37-4F4C-BA1E-89F9C5E6F6D4}"/>
    <hyperlink ref="DF292" r:id="rId714" xr:uid="{ADAC2E4F-22DD-46FF-B456-AAA02D359905}"/>
    <hyperlink ref="DF291" r:id="rId715" xr:uid="{E5049B6D-CAE1-4891-903A-5680C2E43BE5}"/>
    <hyperlink ref="DF290" r:id="rId716" xr:uid="{399662A6-60D9-4A33-ABCD-F162D43915B5}"/>
    <hyperlink ref="DF289" r:id="rId717" xr:uid="{6195FE32-21CB-41D8-9F33-884A81C52D6D}"/>
    <hyperlink ref="DF288" r:id="rId718" xr:uid="{376B9967-3F40-4D23-850C-DA49BA3AC906}"/>
    <hyperlink ref="DF287" r:id="rId719" xr:uid="{57050759-1E8E-4178-B90C-1139BDAE9059}"/>
    <hyperlink ref="DF286" r:id="rId720" xr:uid="{A48D26E5-9FC8-4730-A04B-76D3D8BF799C}"/>
    <hyperlink ref="DF285" r:id="rId721" xr:uid="{B885887F-BA13-4BFB-8D11-1A39F3657CEE}"/>
    <hyperlink ref="DF284" r:id="rId722" xr:uid="{353DF9E4-E3DA-46E0-81AD-0F372FC79962}"/>
    <hyperlink ref="DF283" r:id="rId723" xr:uid="{5A8746AF-A7C1-4E54-BD17-C1A2FF2C1407}"/>
    <hyperlink ref="DF282" r:id="rId724" xr:uid="{C4650E6B-AA2D-442D-9DA5-042E2EDD2A16}"/>
    <hyperlink ref="DF281" r:id="rId725" xr:uid="{F860AF04-23F6-45AE-907E-DCA401826EB2}"/>
    <hyperlink ref="BU576" r:id="rId726" xr:uid="{499571CD-5452-4F78-9F3F-290F8AA8B1E9}"/>
    <hyperlink ref="DF280" r:id="rId727" xr:uid="{13C69779-BC09-46ED-A2A6-24B3C515EAED}"/>
    <hyperlink ref="DF279" r:id="rId728" xr:uid="{0AFE5289-3BDD-480E-A906-9D7D5ACB7070}"/>
    <hyperlink ref="DF576" r:id="rId729" xr:uid="{FF5B61F8-95D1-47AE-9B22-1351625624F6}"/>
    <hyperlink ref="DF278" r:id="rId730" xr:uid="{DB11DBCD-607E-4562-B657-8CC77F17B575}"/>
    <hyperlink ref="DF277" r:id="rId731" xr:uid="{F6FCD6D3-F119-4D6D-9786-B95C8E98591E}"/>
    <hyperlink ref="DF592" r:id="rId732" xr:uid="{7A681272-F3A6-470F-92C2-F6EABFB2CD43}"/>
    <hyperlink ref="DF589" r:id="rId733" xr:uid="{6B65321E-C7D5-4E13-A19B-891F232CA4FC}"/>
    <hyperlink ref="DF619" r:id="rId734" xr:uid="{77620A3C-3A99-4AA7-BC07-82AB5689F83D}"/>
    <hyperlink ref="DF603" r:id="rId735" xr:uid="{20B147D0-9D4E-40DF-83AC-14290E338C84}"/>
    <hyperlink ref="DF558" r:id="rId736" xr:uid="{3C3FB12C-7D5A-416A-B304-488B9E6BA9DD}"/>
    <hyperlink ref="DF276" r:id="rId737" xr:uid="{48315B1B-BD80-40B1-ACDD-5F9DF5B4A1C7}"/>
    <hyperlink ref="BU592" r:id="rId738" xr:uid="{7BDB0BCF-1D80-48E9-8CC0-49AAE13097EE}"/>
    <hyperlink ref="DF275" r:id="rId739" xr:uid="{479E6848-E9DD-4FE4-91C1-BCE7599C5200}"/>
    <hyperlink ref="DF274" r:id="rId740" xr:uid="{77FFFD47-9F2F-4DC2-9C77-EF3D0891A89B}"/>
    <hyperlink ref="DF602" r:id="rId741" xr:uid="{D19D9393-35D8-4E78-B6E2-2AC2AF12A0DA}"/>
    <hyperlink ref="DF273" r:id="rId742" xr:uid="{ACD1A5C2-B764-49C8-802A-BF78005C3C04}"/>
    <hyperlink ref="BU596" r:id="rId743" xr:uid="{DE376F26-2AE6-4C5E-80F3-0D5D4F1C0D1D}"/>
    <hyperlink ref="BU597" r:id="rId744" xr:uid="{ADD4A0AD-BEF5-42C7-A31D-36B92E16EF07}"/>
    <hyperlink ref="DF597" r:id="rId745" xr:uid="{3C67C49D-6544-406E-9495-421072CA2644}"/>
    <hyperlink ref="DF596" r:id="rId746" xr:uid="{A872C50B-ED95-445A-90D2-92B2BBF5BF30}"/>
    <hyperlink ref="DF272" r:id="rId747" xr:uid="{32C8FB81-08E4-45A4-98B5-957ED0CC0945}"/>
    <hyperlink ref="DF271" r:id="rId748" xr:uid="{23F054F5-BCAC-4781-8BEE-EB5000E26FA5}"/>
    <hyperlink ref="DF270" r:id="rId749" xr:uid="{986BC0E8-8F4A-40D7-B674-2F1FB9D48004}"/>
    <hyperlink ref="DF269" r:id="rId750" xr:uid="{85972DD2-14C8-42BA-A835-CBBBB7FA24C8}"/>
    <hyperlink ref="DF268" r:id="rId751" xr:uid="{8B6BA79A-0070-47A6-8BB1-164CD8C99A81}"/>
    <hyperlink ref="EI348" r:id="rId752" xr:uid="{F417727E-D652-49F3-8153-205F49A7A0A5}"/>
    <hyperlink ref="DF267" r:id="rId753" xr:uid="{179BC4D8-2325-45E5-947C-BC551290B269}"/>
    <hyperlink ref="DF266" r:id="rId754" xr:uid="{0231E15B-271E-47D3-962C-3C5E16B111F1}"/>
    <hyperlink ref="DF923" r:id="rId755" xr:uid="{4DD23E49-24CF-4F41-8B21-48392798A349}"/>
    <hyperlink ref="DF265" r:id="rId756" xr:uid="{1C0F54B8-94B7-4C9F-AAE6-96CCB6E5EDED}"/>
    <hyperlink ref="DF264" r:id="rId757" xr:uid="{85179AC2-E51B-4772-8F68-A968BDEAD1C7}"/>
    <hyperlink ref="DF263" r:id="rId758" xr:uid="{01C65FD9-184C-4FE5-9F3F-65D29D65E503}"/>
    <hyperlink ref="DF262" r:id="rId759" xr:uid="{8D7ED35A-C4DB-4F22-B1BD-D61D86406F42}"/>
    <hyperlink ref="DF261" r:id="rId760" xr:uid="{EBE7743D-CA3E-49FB-A0E6-F6E21DC92CD2}"/>
    <hyperlink ref="DF732" r:id="rId761" xr:uid="{651797C6-C547-4EB4-B5CC-4DC083F8828F}"/>
    <hyperlink ref="DF733" r:id="rId762" xr:uid="{93347581-4E0F-4A08-8C2B-15A2D0C5998F}"/>
    <hyperlink ref="DF260" r:id="rId763" xr:uid="{321ED578-9529-48E8-AE1C-24985629AD1F}"/>
    <hyperlink ref="DF259" r:id="rId764" xr:uid="{E9687C5C-5C06-4F36-9B7B-E425B9917DCE}"/>
    <hyperlink ref="DF258" r:id="rId765" xr:uid="{2D274AF3-191A-4899-B4D9-7A83FC5E8A21}"/>
    <hyperlink ref="DF257" r:id="rId766" xr:uid="{F3C8B6F9-AC09-495F-A4D9-FEAD982CAF6F}"/>
    <hyperlink ref="DF914" r:id="rId767" xr:uid="{A2016CE1-D428-44B5-9533-8F02433530D0}"/>
    <hyperlink ref="DF256" r:id="rId768" xr:uid="{D6B15F15-3B9D-47D5-AF63-53DBB48E19CD}"/>
    <hyperlink ref="DF255" r:id="rId769" xr:uid="{61DAC377-4123-4D5F-A988-6AB32D8353EA}"/>
    <hyperlink ref="BU624" r:id="rId770" xr:uid="{8D683F3B-BC86-4DFC-BCA1-292FA2CF4139}"/>
    <hyperlink ref="DF624" r:id="rId771" xr:uid="{7183C8BF-FBE6-4993-9514-B09A3C0C200A}"/>
    <hyperlink ref="DF254" r:id="rId772" xr:uid="{A3058787-B9C8-4671-8D82-09FDFB90B4BB}"/>
    <hyperlink ref="DF253" r:id="rId773" xr:uid="{74EDA00A-2D24-4238-BBCC-00F291E2EF59}"/>
    <hyperlink ref="DF591" r:id="rId774" xr:uid="{D3DA94E2-CB64-4FCB-8630-1856DE4B0912}"/>
    <hyperlink ref="DF252" r:id="rId775" xr:uid="{EE5BECFD-75FD-4291-A38B-B93278BDF403}"/>
    <hyperlink ref="DF143" r:id="rId776" xr:uid="{18268C04-73D0-472C-83CD-EE68C318EE0A}"/>
    <hyperlink ref="DF251" r:id="rId777" xr:uid="{88F0B9BD-C0F9-422B-B5EF-BD13287939B8}"/>
    <hyperlink ref="DF250" r:id="rId778" xr:uid="{E928D9AA-999E-4BB8-9922-A93BD8B5FEB6}"/>
    <hyperlink ref="DF249" r:id="rId779" xr:uid="{F9EF6DC9-732A-4B05-80E3-72A6FD4994E5}"/>
    <hyperlink ref="DF248" r:id="rId780" xr:uid="{7C71BD22-03C0-444A-ABFF-A0D1D8249A6D}"/>
    <hyperlink ref="DF247" r:id="rId781" xr:uid="{ED3D18E5-CEAC-4771-A637-37EB9D6137C3}"/>
    <hyperlink ref="DF246" r:id="rId782" xr:uid="{16285FE8-3882-4253-BA44-7676567FF021}"/>
    <hyperlink ref="DF245" r:id="rId783" xr:uid="{4E2D16CA-7E84-4107-AFE8-BDD396988341}"/>
    <hyperlink ref="DF244" r:id="rId784" xr:uid="{C30D1CDF-68E3-4150-BC47-B5DDA9C6A385}"/>
    <hyperlink ref="DF243" r:id="rId785" xr:uid="{125FE42F-DCF9-41DD-A5DF-8362A063F31B}"/>
    <hyperlink ref="DF242" r:id="rId786" xr:uid="{4C471EC4-78D8-45DD-AA91-94E1BBBF69ED}"/>
    <hyperlink ref="EI152" r:id="rId787" xr:uid="{33C741CD-FDE1-41F9-9613-A9B1DFA44FE9}"/>
    <hyperlink ref="DF241" r:id="rId788" xr:uid="{D958A346-F5AC-4BF1-BEC6-8B1B245B476D}"/>
    <hyperlink ref="DF240" r:id="rId789" xr:uid="{14420FBF-552D-4EEB-AC14-09995543B80D}"/>
    <hyperlink ref="EI376" r:id="rId790" xr:uid="{E6123B62-BD1A-42EA-A6B6-C180E398DB10}"/>
    <hyperlink ref="DF239" r:id="rId791" xr:uid="{A374B09F-3A32-4212-BFA4-6C93C2D17D27}"/>
    <hyperlink ref="DF238" r:id="rId792" xr:uid="{540C021A-EAA4-4360-863C-F109BFDB6730}"/>
    <hyperlink ref="DF237" r:id="rId793" xr:uid="{BE57681E-FA1F-4244-A81B-87F01D752517}"/>
    <hyperlink ref="DF235" r:id="rId794" xr:uid="{7D36FC29-05B7-4B5B-86D9-89E8A396AF51}"/>
    <hyperlink ref="EI418" r:id="rId795" xr:uid="{710842BC-3A35-4E78-9062-495A28C0B1A1}"/>
    <hyperlink ref="DF144" r:id="rId796" xr:uid="{7EC66469-8E52-4A1B-ADA7-339BD094050E}"/>
    <hyperlink ref="DF145" r:id="rId797" xr:uid="{BAF9306B-EA52-42AD-B463-0232266C2FFA}"/>
    <hyperlink ref="DF146" r:id="rId798" xr:uid="{340A2631-29F7-4001-9A30-12DD27EC6722}"/>
    <hyperlink ref="DF147" r:id="rId799" xr:uid="{7B72E029-D2F7-4C45-8183-95201C244587}"/>
    <hyperlink ref="DF148" r:id="rId800" xr:uid="{B0C02F01-0A77-4837-B248-6E0271156288}"/>
    <hyperlink ref="DF149" r:id="rId801" xr:uid="{E18ED540-AB8B-461B-9DC2-8CCE8ECF66E6}"/>
    <hyperlink ref="DF150" r:id="rId802" xr:uid="{B1D135FA-FC45-4DD8-9787-994B3303ACB9}"/>
    <hyperlink ref="DF151" r:id="rId803" xr:uid="{51BB2A44-936D-4AB1-B438-340B67D94205}"/>
    <hyperlink ref="DF152" r:id="rId804" xr:uid="{BB616872-2F0F-4389-888F-E36CA7930CFD}"/>
    <hyperlink ref="DF153" r:id="rId805" xr:uid="{F0E6EAD0-A20D-47BE-B31E-26F3F1DFA86E}"/>
    <hyperlink ref="EI380" r:id="rId806" xr:uid="{EFD42F73-D765-48C5-9B3C-D12AD6330E76}"/>
    <hyperlink ref="DF234" r:id="rId807" xr:uid="{5BA3A9AB-D040-45BF-A59D-01B75DB12103}"/>
    <hyperlink ref="DF233" r:id="rId808" xr:uid="{B2C69B33-1897-4541-866F-FEEB3BEC2181}"/>
    <hyperlink ref="DF232" r:id="rId809" xr:uid="{10B0D426-7386-408F-B9C5-88C4A379DD9D}"/>
    <hyperlink ref="DF231" r:id="rId810" xr:uid="{07465BD5-E13F-4D8F-BB6F-1CB0D53AC0A9}"/>
    <hyperlink ref="DF230" r:id="rId811" xr:uid="{38F4D8A5-FF8A-4B42-94BD-EF01B2BE2665}"/>
    <hyperlink ref="DF229" r:id="rId812" xr:uid="{FF3D5B23-3740-4678-BB1C-3CC6B4544D8F}"/>
    <hyperlink ref="DF228" r:id="rId813" xr:uid="{A0F715FB-B851-4969-B86B-E41CD4B66124}"/>
    <hyperlink ref="DF227" r:id="rId814" xr:uid="{C10AE628-3F5B-43AF-AA88-A044157C9675}"/>
    <hyperlink ref="DF226" r:id="rId815" xr:uid="{AF99CB3E-1630-4240-8105-48CDE1C4A325}"/>
    <hyperlink ref="DF225" r:id="rId816" xr:uid="{BED1AD8F-923B-453A-928D-AAF4EC392A1F}"/>
    <hyperlink ref="DF224" r:id="rId817" xr:uid="{C6A5FF87-88FA-4B35-958B-E3F15A0939A8}"/>
    <hyperlink ref="DF223" r:id="rId818" xr:uid="{54EA9DB5-D1B1-44D0-B854-995E9A0E61D6}"/>
    <hyperlink ref="DF222" r:id="rId819" xr:uid="{DC25F987-0A77-4C9E-A64C-3A3EEC97699F}"/>
    <hyperlink ref="DF221" r:id="rId820" xr:uid="{7BC27395-3E80-4F33-B1BA-E38E7674F38C}"/>
    <hyperlink ref="DF220" r:id="rId821" xr:uid="{16744AB4-36E3-4492-B62E-02FE0117430C}"/>
    <hyperlink ref="DF219" r:id="rId822" xr:uid="{2D29F950-B4BA-45E8-8803-09ECC9679AC2}"/>
    <hyperlink ref="DF218" r:id="rId823" xr:uid="{F589E361-EA7F-493E-B7FE-BF4A7C4122D4}"/>
    <hyperlink ref="DF217" r:id="rId824" xr:uid="{E87E1BE9-802C-4B0D-B937-7959EE550A1B}"/>
    <hyperlink ref="DF215" r:id="rId825" xr:uid="{A9870C54-5361-4A02-905D-B0E873B392E3}"/>
    <hyperlink ref="DF214" r:id="rId826" xr:uid="{DAEFE7A1-AA85-429C-831E-6DBA489C871D}"/>
    <hyperlink ref="DF213" r:id="rId827" xr:uid="{D248A14B-1EF2-445F-AAC0-45D6894288DB}"/>
    <hyperlink ref="DF212" r:id="rId828" xr:uid="{7764C0F5-13DE-437C-BE0D-C85B96300D7F}"/>
    <hyperlink ref="DF155" r:id="rId829" xr:uid="{E18E6861-2CC3-4C60-8DB0-F0DBA5489174}"/>
    <hyperlink ref="DF211" r:id="rId830" xr:uid="{1EA6D039-283B-4471-BD85-E92CC46915DF}"/>
    <hyperlink ref="DF210" r:id="rId831" xr:uid="{6379EC13-CA05-439E-9A6F-DDA94FD27DC2}"/>
    <hyperlink ref="DF209" r:id="rId832" xr:uid="{7892E283-CD56-419E-A05C-DBF44C9B6178}"/>
    <hyperlink ref="DF208" r:id="rId833" xr:uid="{C691CEE5-5789-4667-AAA0-81430D73DCF7}"/>
    <hyperlink ref="DF207" r:id="rId834" xr:uid="{1DC2EA25-3059-4193-8F71-BF1592A39043}"/>
    <hyperlink ref="DF206" r:id="rId835" xr:uid="{CBF6DB99-ECEF-4B67-B9C4-86BA54E703BF}"/>
    <hyperlink ref="DF205" r:id="rId836" xr:uid="{D2286EF5-F68C-49B3-83CE-2359386465E3}"/>
    <hyperlink ref="DF156" r:id="rId837" xr:uid="{B23E8A30-A49C-4384-B1F2-C8F732E67803}"/>
    <hyperlink ref="DF204" r:id="rId838" xr:uid="{C3FAF164-DED4-4B27-932D-E374C47923D9}"/>
    <hyperlink ref="DF203" r:id="rId839" xr:uid="{C38D07CC-A32F-4829-B19B-9896316B7ED7}"/>
    <hyperlink ref="DF157" r:id="rId840" xr:uid="{CD8EAC6E-88BB-4AA7-889C-DD27C56300C5}"/>
    <hyperlink ref="DF158" r:id="rId841" xr:uid="{28EACBF9-0F00-4132-8290-A98FF2F4E49C}"/>
    <hyperlink ref="DF202" r:id="rId842" xr:uid="{DF80D8F2-A8F4-4657-B893-4CA89AA890E6}"/>
    <hyperlink ref="DF159" r:id="rId843" xr:uid="{08FADE80-2EE8-45A1-A845-16FA035CBFFB}"/>
    <hyperlink ref="DF160" r:id="rId844" xr:uid="{F620A22D-EE83-4F4F-ABC1-F9C4926FEBA2}"/>
    <hyperlink ref="DF161" r:id="rId845" xr:uid="{A9E13C9C-8E09-45E9-BC43-8F2D193069D8}"/>
    <hyperlink ref="DF162" r:id="rId846" xr:uid="{890151B0-1917-48EF-BF1A-7779CCC241FA}"/>
    <hyperlink ref="DF163" r:id="rId847" xr:uid="{C5D3F6C8-BACD-42F9-86B9-8B6A29EDB22B}"/>
    <hyperlink ref="DF164" r:id="rId848" xr:uid="{2F384155-293A-49C8-8EC9-B45D6743BEAD}"/>
    <hyperlink ref="DF165" r:id="rId849" xr:uid="{7039DCA8-4168-45A3-BD7D-7C88C7402728}"/>
    <hyperlink ref="DF166" r:id="rId850" xr:uid="{182E9AB1-3327-47EE-B057-85FC96AD47EB}"/>
    <hyperlink ref="DF167" r:id="rId851" xr:uid="{C47BF889-E9C4-42CC-9BD1-A7BD50D12FCA}"/>
    <hyperlink ref="DF169" r:id="rId852" xr:uid="{A131637F-C02B-46F8-B765-BC845C7E9C6F}"/>
    <hyperlink ref="DF170" r:id="rId853" xr:uid="{44D685CC-7849-46E8-ADF4-CBB814D9366E}"/>
    <hyperlink ref="DF171" r:id="rId854" xr:uid="{D0E63882-D8A8-4C59-8344-257BFBE9A496}"/>
    <hyperlink ref="DF172" r:id="rId855" xr:uid="{35934186-B06D-469D-802F-EE5C9DD0BD28}"/>
    <hyperlink ref="DF173" r:id="rId856" xr:uid="{3378C6AA-9567-4277-86ED-63741AC34118}"/>
    <hyperlink ref="DF174" r:id="rId857" xr:uid="{4CE2530C-80D3-4F49-BC69-DD797A92AEBC}"/>
    <hyperlink ref="DF175" r:id="rId858" xr:uid="{52B5B151-DF2F-41A2-9386-0520C67CAC53}"/>
    <hyperlink ref="DF176" r:id="rId859" xr:uid="{C67C8EB6-174B-4BBE-B5F2-DCFEECC5D582}"/>
    <hyperlink ref="DF177" r:id="rId860" xr:uid="{9EC258DD-8D75-4FCB-878D-9627F30839E6}"/>
    <hyperlink ref="DF178" r:id="rId861" xr:uid="{143380C4-59AA-45A5-B4AC-BF54C2B4DA84}"/>
    <hyperlink ref="DF179" r:id="rId862" xr:uid="{59E41F4B-5E5E-45CD-84B8-9C64EB1FAF3C}"/>
    <hyperlink ref="DF180" r:id="rId863" xr:uid="{99C7B707-850F-46F7-B681-50CB1B57143C}"/>
    <hyperlink ref="DF181" r:id="rId864" xr:uid="{F2C71ED1-0808-4F87-B369-32F0FC15431D}"/>
    <hyperlink ref="DF182" r:id="rId865" xr:uid="{0A6094DC-D376-45BB-AECD-2D0342B1BC78}"/>
    <hyperlink ref="DF183" r:id="rId866" xr:uid="{2BE42771-4BAA-4F7F-AB72-6365879C7178}"/>
    <hyperlink ref="DF184" r:id="rId867" xr:uid="{A2D3AC1E-DB60-454E-88B7-B3D1B108EC77}"/>
    <hyperlink ref="DF185" r:id="rId868" xr:uid="{1F55B58B-172C-4B49-A67D-2D5C9EC78857}"/>
    <hyperlink ref="DF186" r:id="rId869" xr:uid="{C266F260-D7FF-4152-9183-9027A80C8031}"/>
    <hyperlink ref="DF187" r:id="rId870" xr:uid="{AD8136F3-F2B8-4B10-AE3F-5B4253536000}"/>
    <hyperlink ref="DF188" r:id="rId871" xr:uid="{F88C42FE-EA10-46DD-850E-D9E22B92DE90}"/>
    <hyperlink ref="DF189" r:id="rId872" xr:uid="{4298FC98-84AE-4E55-9F76-DEF9D5662B56}"/>
    <hyperlink ref="DF190" r:id="rId873" xr:uid="{034060A6-7353-4483-983B-431959E93DFD}"/>
    <hyperlink ref="DF191" r:id="rId874" xr:uid="{A8D16DC0-EAA1-42F4-AC18-DF35AC027231}"/>
    <hyperlink ref="DF192" r:id="rId875" xr:uid="{95F9E40C-C6B8-42F9-99B9-9E8C7F0AB6FD}"/>
    <hyperlink ref="DF193" r:id="rId876" xr:uid="{54062897-A954-4F88-865A-B5BC20C3BF6C}"/>
    <hyperlink ref="DF194" r:id="rId877" xr:uid="{E33B2B86-996D-4EE0-A3A8-7C7F55F1C6F6}"/>
    <hyperlink ref="DF195" r:id="rId878" xr:uid="{6797A833-F5B0-4C10-BC47-6A1132CB3763}"/>
    <hyperlink ref="DF196" r:id="rId879" xr:uid="{0EC0BA76-EB89-4629-B62B-B7120F6DA193}"/>
    <hyperlink ref="DF197" r:id="rId880" xr:uid="{8FE4BB98-672F-4A81-A02F-9A05AAFB9EA2}"/>
    <hyperlink ref="DF198" r:id="rId881" xr:uid="{B80FFA11-EE5A-446D-881F-CCD3CF716593}"/>
    <hyperlink ref="DF199" r:id="rId882" xr:uid="{3EB58E29-22D5-4902-ADF1-8F7279259812}"/>
    <hyperlink ref="DF200" r:id="rId883" xr:uid="{240C094C-7D0A-4120-B2CD-F858C3FF9EEE}"/>
    <hyperlink ref="DF201" r:id="rId884" xr:uid="{B12A0193-25C0-483C-83C5-4D1D10538ACA}"/>
    <hyperlink ref="DF595" r:id="rId885" xr:uid="{0D23C690-ED03-4819-BAD5-3F7D20C5E04C}"/>
    <hyperlink ref="BU594" r:id="rId886" xr:uid="{6AEDC12B-FC15-48ED-8DFB-2B647D7E6C9A}"/>
    <hyperlink ref="DF594" r:id="rId887" xr:uid="{BACB8EC8-3B56-4B41-A4D9-5056E6B5090C}"/>
    <hyperlink ref="DF607" r:id="rId888" xr:uid="{C8A2DCA9-7994-4093-9665-BFFE4A3B9387}"/>
    <hyperlink ref="BU607" r:id="rId889" xr:uid="{EDA9F0E7-053B-4958-A8CD-EB4ED06778D7}"/>
    <hyperlink ref="DF542" r:id="rId890" xr:uid="{6694D9EA-BC92-46CF-8923-2838DDE47B8F}"/>
    <hyperlink ref="DF620" r:id="rId891" xr:uid="{D449FFF5-71CC-4831-860E-8E780180F1ED}"/>
    <hyperlink ref="DF600" r:id="rId892" xr:uid="{85DF4C66-C0C7-48DF-B1A0-1BD948B4464A}"/>
    <hyperlink ref="DF601" r:id="rId893" xr:uid="{BF8FC935-6A21-4990-A4A0-3264C27F9C59}"/>
    <hyperlink ref="AS487" r:id="rId894" xr:uid="{E1F533B1-15AA-4C31-A62A-E6E591F35191}"/>
    <hyperlink ref="EI182" r:id="rId895" xr:uid="{DA707148-8D26-4ACE-95F9-724D0BEC6054}"/>
    <hyperlink ref="DF609" r:id="rId896" xr:uid="{203190D9-E942-43E9-92E9-D6B01CF5FBE0}"/>
    <hyperlink ref="DF730" r:id="rId897" xr:uid="{5B446F12-A1C3-4504-AA50-A3A7F76C30DA}"/>
    <hyperlink ref="DF582" r:id="rId898" xr:uid="{0B546FEA-F33F-426A-90BD-AE57209CEDEC}"/>
    <hyperlink ref="DF684" r:id="rId899" xr:uid="{A688663A-7EF9-4779-B493-A4D8027ADE3D}"/>
    <hyperlink ref="DF604" r:id="rId900" xr:uid="{D7B85670-8BBF-4ADF-8D84-2396805AA613}"/>
    <hyperlink ref="DF612" r:id="rId901" xr:uid="{F8569E1F-317D-44EE-BC29-6FF72EE2464B}"/>
    <hyperlink ref="AS529" r:id="rId902" xr:uid="{156C91E7-9606-42EA-A3E8-311E0B8A480A}"/>
    <hyperlink ref="BU599" r:id="rId903" xr:uid="{DB506D86-C442-4B5D-B223-6BB82D483409}"/>
    <hyperlink ref="DF599" r:id="rId904" xr:uid="{4987C310-6E83-4FD2-87F5-FCEFFDCD54A6}"/>
    <hyperlink ref="BU608" r:id="rId905" xr:uid="{99AA86F6-ADC2-497B-93C8-70256E51A17E}"/>
    <hyperlink ref="DF608" r:id="rId906" xr:uid="{5D243D05-EE5E-42B4-A73F-BAA9EEDC679E}"/>
    <hyperlink ref="DF615" r:id="rId907" xr:uid="{DABFED28-3DB3-4089-8C61-5E70755D5EFE}"/>
    <hyperlink ref="BU427" r:id="rId908" xr:uid="{56560651-DEDE-4C8E-BAA7-D44BECCB0326}"/>
    <hyperlink ref="DF427" r:id="rId909" xr:uid="{F320B50F-C967-4750-8BF9-3F8940045659}"/>
    <hyperlink ref="DF611" r:id="rId910" xr:uid="{17FDB3AB-5825-4DA6-9836-AE1C9A12E801}"/>
    <hyperlink ref="DF613" r:id="rId911" xr:uid="{0F1FBE47-B9F2-4E75-856B-8A2D879A1355}"/>
    <hyperlink ref="DF630" r:id="rId912" xr:uid="{34852544-EBAB-4359-ACA1-131060F87B63}"/>
    <hyperlink ref="DF677" r:id="rId913" xr:uid="{A9DD20AD-24B9-4702-BA6C-E638E26423F5}"/>
    <hyperlink ref="DF622" r:id="rId914" xr:uid="{B9F74065-9FD8-436D-A1D9-461AF0875345}"/>
    <hyperlink ref="DF580" r:id="rId915" xr:uid="{7DF6137B-1BA7-4746-8DB0-4FB2F0756A0C}"/>
    <hyperlink ref="DF626" r:id="rId916" xr:uid="{25B23AAD-DB62-43D8-AD6F-259A44C055F1}"/>
    <hyperlink ref="DF659" r:id="rId917" xr:uid="{1483AB35-0254-4A42-91FC-22D31CF223C8}"/>
    <hyperlink ref="BU617" r:id="rId918" xr:uid="{A41A8CC7-20FC-469D-9DC7-928DFD5A045B}"/>
    <hyperlink ref="DF617" r:id="rId919" xr:uid="{15FB8B80-E009-4967-9050-12176B00F409}"/>
    <hyperlink ref="DF614" r:id="rId920" xr:uid="{77E81C9C-3E8C-41D3-BDDC-3E27EE38F239}"/>
    <hyperlink ref="DF618" r:id="rId921" xr:uid="{0C32754A-C814-4959-92EB-8D91FAB8449B}"/>
    <hyperlink ref="DF649" r:id="rId922" xr:uid="{1781668B-5191-4083-B0B4-4897A1F0827F}"/>
    <hyperlink ref="DF621" r:id="rId923" xr:uid="{6A60D3EA-C3EE-4DF0-9782-DCD80F413B15}"/>
    <hyperlink ref="DF646" r:id="rId924" xr:uid="{3CC400B4-D933-478F-8598-96A9FFD5A6E2}"/>
    <hyperlink ref="DF688" r:id="rId925" xr:uid="{1AA3D216-E9B7-4E54-8902-A10560328B90}"/>
    <hyperlink ref="DF661" r:id="rId926" xr:uid="{D99E42FF-A7AF-4779-902E-BBD3F3B0D179}"/>
    <hyperlink ref="DF777" r:id="rId927" xr:uid="{F7797418-7D0B-4EB5-A7B6-22788873FC08}"/>
    <hyperlink ref="DF637" r:id="rId928" xr:uid="{DF90D5D4-6B99-4D9C-B0A4-2A3E996ABF69}"/>
    <hyperlink ref="DF623" r:id="rId929" xr:uid="{EDB2CF44-699D-4E9D-A3FF-C5819F66898D}"/>
    <hyperlink ref="DF633" r:id="rId930" xr:uid="{1DF721BE-335F-4B65-8927-E5F5CB256B61}"/>
    <hyperlink ref="DF635" r:id="rId931" xr:uid="{56948BCE-F8CA-46B6-8328-844842E9235A}"/>
    <hyperlink ref="DF634" r:id="rId932" xr:uid="{C3B9F58C-CD0A-4AED-852D-5769BDBBFF0F}"/>
    <hyperlink ref="DF679" r:id="rId933" xr:uid="{5864C310-9289-4E0F-BD5E-3E6D046ABA12}"/>
    <hyperlink ref="DF628" r:id="rId934" xr:uid="{1317D8DE-C572-4565-B5A7-061E4F8FD2AA}"/>
    <hyperlink ref="DF645" r:id="rId935" xr:uid="{C8CCAFAE-01DF-4E69-BAB7-F4285527C6AB}"/>
    <hyperlink ref="DF647" r:id="rId936" xr:uid="{5B872480-31A1-4E54-8901-DB9E08F409EA}"/>
    <hyperlink ref="DF625" r:id="rId937" xr:uid="{0B789E95-84C9-4383-A556-DA78072A7F3C}"/>
    <hyperlink ref="DF629" r:id="rId938" xr:uid="{F3A8F9D9-79FA-4F05-AC54-6320E7C4857F}"/>
    <hyperlink ref="DF627" r:id="rId939" xr:uid="{1A4D88A8-EED1-43FD-B73C-091A40FC90DC}"/>
    <hyperlink ref="DF632" r:id="rId940" xr:uid="{05099EF2-D551-48C0-8DC7-E38A256D6868}"/>
    <hyperlink ref="DF648" r:id="rId941" xr:uid="{D5CED30D-D902-4718-9B4C-22B6A0DF369A}"/>
    <hyperlink ref="DF640" r:id="rId942" xr:uid="{B10D18D0-1D4B-43DC-AE36-9C29A2CBD693}"/>
    <hyperlink ref="BU638" r:id="rId943" xr:uid="{7A999754-DCA1-48B4-83D5-8FD8F5097EEE}"/>
    <hyperlink ref="DF638" r:id="rId944" xr:uid="{163762F6-397B-4B59-A35F-7932CBC180FC}"/>
    <hyperlink ref="DF639" r:id="rId945" xr:uid="{21E93928-718E-407F-BB35-0F38B1B949B5}"/>
    <hyperlink ref="BU636" r:id="rId946" xr:uid="{D5993B7B-F28C-4CE1-BD10-07254DE9EE45}"/>
    <hyperlink ref="DF636" r:id="rId947" xr:uid="{82308342-D2C0-4758-81A9-B310CD772B18}"/>
    <hyperlink ref="DF673" r:id="rId948" xr:uid="{4A419061-083A-464C-AEA9-A5FAB8A0E09D}"/>
    <hyperlink ref="DF662" r:id="rId949" xr:uid="{8F01B653-389A-48F3-A3C9-E67DCEA26155}"/>
    <hyperlink ref="DF643" r:id="rId950" xr:uid="{18DC5D1D-9A49-4EC4-AA05-809E2C1A16BC}"/>
    <hyperlink ref="DF691" r:id="rId951" xr:uid="{99EB2F9D-B0E9-4B80-B04C-6ECBCE3343E5}"/>
    <hyperlink ref="DF642" r:id="rId952" xr:uid="{CC738894-DEA5-48D7-85C0-C2148FF88534}"/>
    <hyperlink ref="EI503" r:id="rId953" xr:uid="{1B864024-A54F-4FDE-A8E4-92D142F42242}"/>
    <hyperlink ref="EI565" r:id="rId954" xr:uid="{8F1C3984-D95D-4A38-A48C-B1EB5C96F7F7}"/>
    <hyperlink ref="EI567" r:id="rId955" xr:uid="{8DFCC159-D894-41AA-B258-6897E87A6A23}"/>
    <hyperlink ref="DF650" r:id="rId956" xr:uid="{E20C199F-1FF5-47FB-9372-85551A3D676A}"/>
    <hyperlink ref="DF644" r:id="rId957" xr:uid="{04AA39CC-6427-43DB-B6BD-46E5F839F603}"/>
    <hyperlink ref="DF616" r:id="rId958" xr:uid="{E1702AC5-6B62-44CB-B664-9DF0F3A42D3B}"/>
    <hyperlink ref="DF657" r:id="rId959" xr:uid="{96F10B5A-D727-4E85-91EC-75B3AF91EA66}"/>
    <hyperlink ref="DF641" r:id="rId960" xr:uid="{B11B1847-642C-4933-9834-11A6E5DEA8C2}"/>
    <hyperlink ref="EI610" r:id="rId961" xr:uid="{A4E2F1F5-DA65-4B58-92E8-21408E90C433}"/>
    <hyperlink ref="DF720" r:id="rId962" xr:uid="{415CE01B-5574-4081-8BE0-17B8A951F0F0}"/>
    <hyperlink ref="DF692" r:id="rId963" xr:uid="{4D4A6787-7549-41A4-A705-08F7A1097DB0}"/>
    <hyperlink ref="DF702" r:id="rId964" xr:uid="{952685D3-59E9-4D3A-A390-217C545FC854}"/>
    <hyperlink ref="DF652" r:id="rId965" xr:uid="{AA30A413-8217-406F-AF19-204CDCC0D6A6}"/>
    <hyperlink ref="DF653" r:id="rId966" xr:uid="{FDB571CC-3349-47C5-8A50-5A58008E3303}"/>
    <hyperlink ref="DF654" r:id="rId967" xr:uid="{CA67B285-107C-4C98-95DD-9D2E5546E3A2}"/>
    <hyperlink ref="DF655" r:id="rId968" xr:uid="{4CDDA5E4-382F-4B4A-9641-0DF707DAC2BA}"/>
    <hyperlink ref="EI539" r:id="rId969" xr:uid="{8CAAAAF2-E0DC-4179-BA8E-507AF47F3221}"/>
    <hyperlink ref="DF658" r:id="rId970" xr:uid="{6CED62AC-F7CE-4E59-9FE4-D2E8F4BBA409}"/>
    <hyperlink ref="DF663" r:id="rId971" xr:uid="{48B01DA2-FF74-4031-A66F-E00478CE81F0}"/>
    <hyperlink ref="DF669" r:id="rId972" xr:uid="{22888A57-ADB7-4D35-B607-A617C0B53CFE}"/>
    <hyperlink ref="BU666" r:id="rId973" xr:uid="{08619309-B2BC-47CD-920C-8B37A7D025CA}"/>
    <hyperlink ref="DF666" r:id="rId974" xr:uid="{233C96D2-2503-4CAC-81B4-9D4E6022702E}"/>
    <hyperlink ref="DF672" r:id="rId975" xr:uid="{54BF19CA-CBA2-4DD3-B08E-BA31BD944EFB}"/>
    <hyperlink ref="DF676" r:id="rId976" xr:uid="{685EC320-478D-42CC-8192-1B9EADC88B62}"/>
    <hyperlink ref="BU662" r:id="rId977" xr:uid="{63DEEADD-7716-4BE0-863A-24185EF579BF}"/>
    <hyperlink ref="DF680" r:id="rId978" xr:uid="{FA460800-B509-48B0-8046-1E510A774494}"/>
    <hyperlink ref="DF668" r:id="rId979" xr:uid="{F3EC7CD3-3A79-40B5-BE02-C9D5B73A70C3}"/>
    <hyperlink ref="DF667" r:id="rId980" xr:uid="{ECD25563-BB45-4088-87A0-5689668DFCC4}"/>
    <hyperlink ref="EI543" r:id="rId981" xr:uid="{DD776F38-E992-4C8F-8103-3EE940158BB7}"/>
    <hyperlink ref="BU664" r:id="rId982" xr:uid="{B6293E43-64AA-469A-ABD7-DCF2FE5A5EFA}"/>
    <hyperlink ref="DF664" r:id="rId983" xr:uid="{0E22F1D0-74A7-44DE-8EF8-B412FF2EC366}"/>
    <hyperlink ref="DF674" r:id="rId984" xr:uid="{13C08C1A-B584-4BF3-9C8E-1368BD7FFC86}"/>
    <hyperlink ref="DF675" r:id="rId985" xr:uid="{08E1F015-C347-4432-937D-95802FA663CC}"/>
    <hyperlink ref="BU675" r:id="rId986" xr:uid="{CC42A5AF-F396-44B0-83DF-B62A0DA39042}"/>
    <hyperlink ref="DF701" r:id="rId987" xr:uid="{8BEAC5DA-DD07-483E-B1DB-C936C9EB833B}"/>
    <hyperlink ref="DF671" r:id="rId988" xr:uid="{D46C7609-F755-49F3-906B-8E5D3D574F50}"/>
    <hyperlink ref="DF687" r:id="rId989" xr:uid="{2E34FA1E-0524-4B2E-A0D7-CCE749F6166E}"/>
    <hyperlink ref="DF678" r:id="rId990" xr:uid="{78455D75-2DF5-4A75-A3E6-D6126F28D627}"/>
    <hyperlink ref="BU678" r:id="rId991" xr:uid="{86F2AE1D-BB5D-4AA9-89C5-F0147960C829}"/>
    <hyperlink ref="DF681" r:id="rId992" xr:uid="{ABF70622-6EAD-4292-8E88-0251A2EDC490}"/>
    <hyperlink ref="DF746" r:id="rId993" xr:uid="{C6C176FB-F7B9-4C1D-B96D-1FB871AC1ED1}"/>
    <hyperlink ref="DF717" r:id="rId994" xr:uid="{8EF0488D-3186-47BF-97AD-8D13E956C158}"/>
    <hyperlink ref="DF700" r:id="rId995" xr:uid="{4FFDB6C2-93C2-4447-ACD1-4DEC4668ED36}"/>
    <hyperlink ref="EI542" r:id="rId996" xr:uid="{21F2A541-D1D5-4EF7-AC4D-279B09A2BAE4}"/>
    <hyperlink ref="DF685" r:id="rId997" xr:uid="{B8A7EC57-A451-423B-9155-8209F70F5CC0}"/>
    <hyperlink ref="DF689" r:id="rId998" xr:uid="{EB77F45C-6884-48AF-9CF3-15305FBBB1B4}"/>
    <hyperlink ref="DF725" r:id="rId999" xr:uid="{F2B488EB-25A9-4681-AD9C-CAA2B040DA93}"/>
    <hyperlink ref="DF693" r:id="rId1000" xr:uid="{0A6D9FBE-4542-4B5A-954E-04568558C9BA}"/>
    <hyperlink ref="DF694" r:id="rId1001" xr:uid="{98BDA5FF-5985-43FF-A481-AE6D40843999}"/>
    <hyperlink ref="BU695" r:id="rId1002" xr:uid="{4DB8E2A0-1B41-49E6-BE60-6F7A9D5533E8}"/>
    <hyperlink ref="DF695" r:id="rId1003" xr:uid="{C12F2604-77F4-4CC1-87BF-04B68600D8AB}"/>
    <hyperlink ref="DF696" r:id="rId1004" xr:uid="{DAD64458-A6F5-4E3E-8000-CC438914D416}"/>
    <hyperlink ref="BU704" r:id="rId1005" xr:uid="{41254E2E-57F5-4F2A-85AD-63995E1C14B7}"/>
    <hyperlink ref="DF704" r:id="rId1006" xr:uid="{2A717A06-7D16-41C1-8387-2AF5D5B92DDE}"/>
    <hyperlink ref="DF697" r:id="rId1007" xr:uid="{D147E77C-6CE6-4E00-9D1D-799C91FAE659}"/>
    <hyperlink ref="DF698" r:id="rId1008" xr:uid="{EA4E069D-DE5A-460B-B1FF-C90634ECE070}"/>
    <hyperlink ref="DF712" r:id="rId1009" xr:uid="{AEA23413-96CE-42FA-AAA1-B76829F73247}"/>
    <hyperlink ref="DF710" r:id="rId1010" xr:uid="{09A83759-11AB-4938-904C-1B826E69B861}"/>
    <hyperlink ref="DF714" r:id="rId1011" xr:uid="{B7BC62B3-F6CC-4B97-974F-A0789393D9C4}"/>
    <hyperlink ref="DF705" r:id="rId1012" xr:uid="{DA105024-AF0C-403A-8029-A42F931A4AB4}"/>
    <hyperlink ref="BU706" r:id="rId1013" xr:uid="{2C19CD6F-D77C-447B-94A6-2BDE361D5EA8}"/>
    <hyperlink ref="DF706" r:id="rId1014" xr:uid="{4170A602-5EF8-424A-8FF4-1F17F4E6E3B0}"/>
    <hyperlink ref="DF703" r:id="rId1015" xr:uid="{B2643397-1115-471E-A8AD-C1900B53AFD9}"/>
    <hyperlink ref="DF686" r:id="rId1016" xr:uid="{A6C4C04A-B1BB-4F3C-96CD-6B37EEFEBFE7}"/>
    <hyperlink ref="DF690" r:id="rId1017" xr:uid="{BBAC1494-E5DE-40D1-9A18-E51143C0FC85}"/>
    <hyperlink ref="DF665" r:id="rId1018" xr:uid="{C131B9E0-9780-47E1-80FD-A77EDE702069}"/>
    <hyperlink ref="BU708" r:id="rId1019" xr:uid="{DDEFBBE4-64D9-4AFB-8D0E-5BF5EBA250B9}"/>
    <hyperlink ref="DF708" r:id="rId1020" xr:uid="{FAF9DAC6-E989-49BF-BA14-EFD8B12C7926}"/>
    <hyperlink ref="DF711" r:id="rId1021" xr:uid="{B5CB37A7-BE1D-4189-953E-77B0F5B3D0FB}"/>
    <hyperlink ref="DF670" r:id="rId1022" xr:uid="{71FA660F-21BC-462E-BB43-BED415F15206}"/>
    <hyperlink ref="DF736" r:id="rId1023" xr:uid="{19DF0F18-2F7C-469F-A209-6E01381B3BAB}"/>
    <hyperlink ref="DF735" r:id="rId1024" xr:uid="{D5857C6D-8BA2-4714-ACEE-F61B47B7263F}"/>
    <hyperlink ref="BU722" r:id="rId1025" xr:uid="{E9877FC1-08C2-4E70-B7A8-9A99ECD83030}"/>
    <hyperlink ref="DF722" r:id="rId1026" xr:uid="{D12D5DB2-F3BA-44AA-B3F6-97F3D7683A6F}"/>
    <hyperlink ref="DF737" r:id="rId1027" xr:uid="{EBB48AEF-7A6E-481A-855D-00F1E6F96994}"/>
    <hyperlink ref="DF726" r:id="rId1028" xr:uid="{87CC4F2D-D923-48FE-A553-E18CBF73CAB6}"/>
    <hyperlink ref="DF723" r:id="rId1029" xr:uid="{DE1F850E-B5F7-4425-9A30-498F1D69705C}"/>
    <hyperlink ref="BU715" r:id="rId1030" xr:uid="{5DF25E14-346F-4999-881C-F79AD8B7799C}"/>
    <hyperlink ref="DF715" r:id="rId1031" xr:uid="{85A77BCC-79C9-4B45-B1CA-4ACB11061F9E}"/>
    <hyperlink ref="DF767" r:id="rId1032" xr:uid="{DE773D4D-EB88-4260-8FC3-2055CE26D139}"/>
    <hyperlink ref="DF707" r:id="rId1033" xr:uid="{85D67BF6-A638-4483-A3E1-577DBAC3B540}"/>
    <hyperlink ref="DF713" r:id="rId1034" xr:uid="{2CA9FFCB-0CC7-4A7C-824D-EB82E24A0CCC}"/>
    <hyperlink ref="DF718" r:id="rId1035" xr:uid="{10F2E59E-5363-4F22-9C9F-E176E33DBF57}"/>
    <hyperlink ref="BU699" r:id="rId1036" xr:uid="{7D236A4B-D4D4-4F0F-8A36-BA7216AD9894}"/>
    <hyperlink ref="DF699" r:id="rId1037" xr:uid="{4F2A3695-BD57-47A1-9539-A49346E1857B}"/>
    <hyperlink ref="BU716" r:id="rId1038" xr:uid="{3FE91695-01F2-44ED-9C3D-3C0EA6695775}"/>
    <hyperlink ref="DF716" r:id="rId1039" xr:uid="{1E1DB1BC-73CF-4915-9F8B-6ABBBFD559C9}"/>
    <hyperlink ref="DF719" r:id="rId1040" xr:uid="{039429E4-0CFB-4847-AD3C-D213D45EDAEF}"/>
    <hyperlink ref="DF721" r:id="rId1041" xr:uid="{3886FB71-C8BA-4DEB-9255-0AC58C257D45}"/>
    <hyperlink ref="DF790" r:id="rId1042" xr:uid="{A6DD4B12-782D-4197-9958-B50B6599CAAD}"/>
    <hyperlink ref="DF781" r:id="rId1043" xr:uid="{1E7DCEC6-B6F7-47A9-B701-E9D4E58E8E96}"/>
    <hyperlink ref="DF741" r:id="rId1044" xr:uid="{6AFA9A41-7DE6-49FB-A987-4337FE6C36A8}"/>
    <hyperlink ref="DF734" r:id="rId1045" xr:uid="{B089A30C-E29C-46B6-9A26-EACF08EAF9B7}"/>
    <hyperlink ref="DF743" r:id="rId1046" xr:uid="{943492A1-EE16-4FB1-9BC0-0A4ADCEB19BD}"/>
    <hyperlink ref="DF728" r:id="rId1047" xr:uid="{53115249-C4AB-4DB1-9AA1-DD9F7DC4110A}"/>
    <hyperlink ref="DF709" r:id="rId1048" xr:uid="{6303BB60-82ED-4BFA-A5DB-5FF41F5B8A1E}"/>
    <hyperlink ref="DF778" r:id="rId1049" xr:uid="{0E43608B-0A3F-45B1-A189-C1310988277C}"/>
    <hyperlink ref="DF729" r:id="rId1050" xr:uid="{0944CBE1-20C6-4AB4-8BB3-D509EE8DE464}"/>
    <hyperlink ref="DF724" r:id="rId1051" xr:uid="{C7AF92D9-8EE5-4AF7-A105-5CE6E3F1B20F}"/>
    <hyperlink ref="AS727" r:id="rId1052" xr:uid="{94BE169F-B77D-4673-B53B-A3F51F811EDF}"/>
    <hyperlink ref="DF727" r:id="rId1053" xr:uid="{9CDC0F06-70AF-473B-84B0-929AD0EEC830}"/>
    <hyperlink ref="DF738" r:id="rId1054" xr:uid="{85443340-B2C8-45B6-81FF-BBB8B31DED74}"/>
    <hyperlink ref="DF740" r:id="rId1055" xr:uid="{9A28ED11-F977-47C3-9B37-A36E591B51DE}"/>
    <hyperlink ref="DF745" r:id="rId1056" xr:uid="{91E22365-56FD-4164-B796-EDAF805BC602}"/>
    <hyperlink ref="DF739" r:id="rId1057" xr:uid="{1ACBCF3C-3291-43E0-9E55-457765856CCC}"/>
    <hyperlink ref="DF742" r:id="rId1058" xr:uid="{FBDEE41C-B849-4211-BB47-61B8629EABE4}"/>
    <hyperlink ref="BU742" r:id="rId1059" xr:uid="{F82EA833-0F66-4424-AD79-01CC376FFD88}"/>
    <hyperlink ref="DF750" r:id="rId1060" xr:uid="{CF481847-B0D0-4277-B78A-E3EC0918741F}"/>
    <hyperlink ref="DF757" r:id="rId1061" xr:uid="{AB149EBD-F630-4317-BE9F-8C7163B28599}"/>
    <hyperlink ref="DF747" r:id="rId1062" xr:uid="{EC0A0062-4F80-441F-B2BA-8FCDE4960505}"/>
    <hyperlink ref="BU744" r:id="rId1063" xr:uid="{E44F944B-9718-4B4E-9E6D-34D90EC0A8C4}"/>
    <hyperlink ref="DF744" r:id="rId1064" xr:uid="{49718078-DCCE-4F64-B5E0-97E6C0F64911}"/>
    <hyperlink ref="DF772" r:id="rId1065" xr:uid="{5C2646A8-F18C-488C-A80D-626819D8BCA6}"/>
    <hyperlink ref="DF774" r:id="rId1066" xr:uid="{FF2B4E36-EDC4-4D31-BBC2-0085EEEBFE68}"/>
    <hyperlink ref="DF749" r:id="rId1067" xr:uid="{5381F8D2-38A5-44AD-858C-0561BAAB90D4}"/>
    <hyperlink ref="BU755" r:id="rId1068" xr:uid="{F5BAA440-6B3E-4765-9222-4F355D8AF9DF}"/>
    <hyperlink ref="DF755" r:id="rId1069" xr:uid="{A4411D91-6E14-4B28-846B-77D241A17B99}"/>
    <hyperlink ref="DF756" r:id="rId1070" xr:uid="{E3D93883-2BFA-4CE1-98C8-230C42CAE15F}"/>
    <hyperlink ref="DF751" r:id="rId1071" xr:uid="{D0349DE6-25DC-428C-8559-DA35FD27F5E0}"/>
    <hyperlink ref="DF748" r:id="rId1072" xr:uid="{0311585C-10A7-4CF7-9B07-3D9E25A9B609}"/>
    <hyperlink ref="BU754" r:id="rId1073" xr:uid="{21C848E1-F764-4AB0-8513-67B41B5689EE}"/>
    <hyperlink ref="DF754" r:id="rId1074" xr:uid="{6DC62978-2E17-4569-BC97-ADAD7EBE9E46}"/>
    <hyperlink ref="DF768" r:id="rId1075" xr:uid="{BFDC98CE-CAE8-4EB3-AE9B-F72392D0F4BB}"/>
    <hyperlink ref="DF753" r:id="rId1076" xr:uid="{4FFD4A45-3747-4401-947D-47D3D4D94344}"/>
    <hyperlink ref="DF785" r:id="rId1077" xr:uid="{4584B8EC-3ED2-4616-B7DF-3A9FE0AADEE6}"/>
    <hyperlink ref="DF784" r:id="rId1078" xr:uid="{9F46AC37-162D-49EE-8840-2A1C6F515DD1}"/>
    <hyperlink ref="DF782" r:id="rId1079" xr:uid="{593F846F-378E-49B8-A434-0E6A3D4076D7}"/>
    <hyperlink ref="DF780" r:id="rId1080" xr:uid="{7857C142-4842-4371-9981-78742EBC3282}"/>
    <hyperlink ref="DF759" r:id="rId1081" xr:uid="{A6DDDC1D-B539-4959-A89D-CA4256B21E68}"/>
    <hyperlink ref="DF752" r:id="rId1082" xr:uid="{2CE45AD7-73E5-42B3-970A-F71BEEC89E26}"/>
    <hyperlink ref="DF760" r:id="rId1083" xr:uid="{B229A117-2544-4D1B-831A-AA98BDDC148C}"/>
    <hyperlink ref="DF762" r:id="rId1084" xr:uid="{EDA224D7-4A72-477D-92DA-72DBE77E0006}"/>
    <hyperlink ref="DF758" r:id="rId1085" xr:uid="{033AEFC5-6702-456A-84CB-6E2744897558}"/>
    <hyperlink ref="DF764" r:id="rId1086" xr:uid="{26148605-AC3A-4DE2-A25B-0BBD005FC3E8}"/>
    <hyperlink ref="DF761" r:id="rId1087" xr:uid="{4B854DCD-BA19-47D3-87B3-AA9C70CE7ABA}"/>
    <hyperlink ref="EI566" r:id="rId1088" xr:uid="{F040283F-331F-4078-B945-8A5143DAE516}"/>
    <hyperlink ref="EI648" r:id="rId1089" xr:uid="{8A690DBA-5FE5-4216-A990-B99958390A75}"/>
    <hyperlink ref="EI682" r:id="rId1090" xr:uid="{6644E15F-FF4D-49FA-A2DB-96928BDA497A}"/>
    <hyperlink ref="DF779" r:id="rId1091" xr:uid="{83DB65C4-EE67-464E-92E1-2605ED3E2500}"/>
    <hyperlink ref="BU766" r:id="rId1092" xr:uid="{F4A7DADD-B9B2-49C1-92AD-125247AE8A09}"/>
    <hyperlink ref="DF766" r:id="rId1093" xr:uid="{BC4FCE33-BDFA-47E6-B7DE-7ABED8FB3DFC}"/>
    <hyperlink ref="DF770" r:id="rId1094" xr:uid="{2EECDBAF-37A1-49C4-9FF3-AD584D0D28FC}"/>
    <hyperlink ref="DF763" r:id="rId1095" xr:uid="{B9BF64E0-9839-408F-B50C-4303082A52E1}"/>
    <hyperlink ref="BU763" r:id="rId1096" xr:uid="{815B6708-602C-46FC-8D71-2648DDD81DB6}"/>
    <hyperlink ref="BU765" r:id="rId1097" xr:uid="{813FEC2B-F888-4966-BF07-8BDFD53474F8}"/>
    <hyperlink ref="DF765" r:id="rId1098" xr:uid="{42F1F024-B8BF-4F93-BDCE-C91C78254EB1}"/>
    <hyperlink ref="BU769" r:id="rId1099" xr:uid="{C06D2E4A-1C76-48DB-9902-5D6B72F5EC1B}"/>
    <hyperlink ref="DF769" r:id="rId1100" xr:uid="{553E56F2-CE57-44D7-9D45-5A8319002680}"/>
    <hyperlink ref="AS801" r:id="rId1101" xr:uid="{B324EE70-FFA5-4D5C-9438-49B13A4ABBBE}"/>
    <hyperlink ref="DF801" r:id="rId1102" xr:uid="{A0163E2B-A8B4-48A4-A766-D8F7DC8E74A1}"/>
    <hyperlink ref="AS802" r:id="rId1103" xr:uid="{8DBA6571-D3D5-41AF-92AB-AC40EBF89597}"/>
    <hyperlink ref="DF802" r:id="rId1104" xr:uid="{1E9B31F7-6D02-49E1-B51B-DDCCD08584F8}"/>
    <hyperlink ref="AS803" r:id="rId1105" xr:uid="{0C0B25F3-EEAD-48F0-8DF5-66B8BB864756}"/>
    <hyperlink ref="DF803" r:id="rId1106" xr:uid="{2FFE9E60-7E89-49DF-980A-3BB35CC15115}"/>
    <hyperlink ref="AS804" r:id="rId1107" xr:uid="{C73F0B7D-EC4E-4DD5-90ED-88E0C7270E87}"/>
    <hyperlink ref="DF804" r:id="rId1108" xr:uid="{A39E7229-A0BB-4553-9780-6D3BD94F70C9}"/>
    <hyperlink ref="AS805" r:id="rId1109" xr:uid="{B418C887-B1B5-4049-AD4A-E84E278A666B}"/>
    <hyperlink ref="DF805" r:id="rId1110" xr:uid="{3FFCD409-5B89-451D-83E3-68FC7EF6F467}"/>
    <hyperlink ref="BU771" r:id="rId1111" xr:uid="{1A9EB31D-AB9D-4388-A4E6-495E047C84C7}"/>
    <hyperlink ref="DF771" r:id="rId1112" xr:uid="{C34BC449-7C81-4321-912F-99B4E3193FAD}"/>
    <hyperlink ref="DF806" r:id="rId1113" xr:uid="{8C2D8D10-1434-4FE3-85A9-0735D3E5A401}"/>
    <hyperlink ref="AS806" r:id="rId1114" xr:uid="{1AAB27A8-8149-4411-A2B2-0293357B995B}"/>
    <hyperlink ref="AS807" r:id="rId1115" xr:uid="{D0F643D6-03C2-44FE-9209-E0CE95CC98D3}"/>
    <hyperlink ref="DF807" r:id="rId1116" xr:uid="{1A939C04-03B1-477B-A770-31DDE8EA4066}"/>
    <hyperlink ref="AS808" r:id="rId1117" xr:uid="{C2E58D85-DC34-4E71-83E5-2897D7BEC8E3}"/>
    <hyperlink ref="DF808" r:id="rId1118" xr:uid="{2CC8B73C-1DB6-42A9-8CF0-6B0B5A0CA320}"/>
    <hyperlink ref="AS809" r:id="rId1119" xr:uid="{B1569B2D-4F8B-4290-94BC-47C6FDAD2D4F}"/>
    <hyperlink ref="DF809" r:id="rId1120" xr:uid="{57692BA0-1C41-4847-B148-4D4D501049F6}"/>
    <hyperlink ref="AS810" r:id="rId1121" xr:uid="{7713B1A0-9621-47E8-8878-499EB88E0627}"/>
    <hyperlink ref="DF810" r:id="rId1122" xr:uid="{C170916E-96B8-4AFB-AFB5-6AFE74D8DA09}"/>
    <hyperlink ref="AS811" r:id="rId1123" xr:uid="{7CE301FE-4D08-48C3-9ADA-7C09E9500212}"/>
    <hyperlink ref="DF811" r:id="rId1124" xr:uid="{10036FD2-1098-4952-AD8F-9BB1A704FB69}"/>
    <hyperlink ref="AS812" r:id="rId1125" xr:uid="{EDA6706B-536E-41BB-8659-6CAA56C355DD}"/>
    <hyperlink ref="DF812" r:id="rId1126" xr:uid="{BBE011E4-AACC-4E8F-BA8C-5DB0FE8CE63E}"/>
    <hyperlink ref="AS813" r:id="rId1127" xr:uid="{D950455D-F143-4253-B5E0-B8B81D26BC53}"/>
    <hyperlink ref="DF813" r:id="rId1128" xr:uid="{A1F668CD-9CE3-4E69-B3C5-4C34614351BE}"/>
    <hyperlink ref="AS814" r:id="rId1129" xr:uid="{113EC495-6C3F-4A99-9306-D26583C54DF4}"/>
    <hyperlink ref="DF814" r:id="rId1130" xr:uid="{AC17FA39-0739-4611-92B6-6A4210DC0ABE}"/>
    <hyperlink ref="AS815" r:id="rId1131" xr:uid="{28F73BD0-DB74-4029-9313-E216666CC0DE}"/>
    <hyperlink ref="DF815" r:id="rId1132" xr:uid="{7D20D294-1F29-4F3A-B13F-91D3BD4ADB4B}"/>
    <hyperlink ref="AS816" r:id="rId1133" xr:uid="{3A8E6DD7-20D1-4675-AF03-A6DCA1465D32}"/>
    <hyperlink ref="AS817" r:id="rId1134" xr:uid="{77F952A2-51B5-4539-80B3-0B35EB2C3C2D}"/>
    <hyperlink ref="DF817" r:id="rId1135" xr:uid="{E64EECCF-5F59-4C57-9F1C-C996350C4662}"/>
    <hyperlink ref="AS818" r:id="rId1136" xr:uid="{F51F0BD7-AC5F-4607-B372-C03ED4035B4A}"/>
    <hyperlink ref="DF818" r:id="rId1137" xr:uid="{A48143A4-A935-419F-B15D-1E6C4CFD8D67}"/>
    <hyperlink ref="AS819" r:id="rId1138" xr:uid="{9E0E7C29-C657-4C45-8235-35A99B2F2EBF}"/>
    <hyperlink ref="DF819" r:id="rId1139" xr:uid="{BF2D75E0-5686-4643-82C9-36D35D367BC8}"/>
    <hyperlink ref="AS820" r:id="rId1140" xr:uid="{BDD26839-EB4C-4371-9749-48A4D42C0A8E}"/>
    <hyperlink ref="DF820" r:id="rId1141" xr:uid="{C8584BCD-250F-4F88-BEE4-01E9FECF27A2}"/>
    <hyperlink ref="AS821" r:id="rId1142" xr:uid="{FFE1B202-0B00-407C-954B-9D4A29495B9E}"/>
    <hyperlink ref="AS822" r:id="rId1143" xr:uid="{251E7A5C-4978-4932-9FA7-E65B1836A6FB}"/>
    <hyperlink ref="DF822" r:id="rId1144" xr:uid="{B8E13517-BA18-4798-BD3F-86C261E9ED66}"/>
    <hyperlink ref="AS823" r:id="rId1145" xr:uid="{5EDC1E72-6927-473A-BFD0-4B7FED77FCD4}"/>
    <hyperlink ref="DF823" r:id="rId1146" xr:uid="{E20A32F2-6042-4368-9DB4-B2D8B07369B0}"/>
    <hyperlink ref="AS824" r:id="rId1147" xr:uid="{9FDB6057-669A-4A7B-9BB0-2D21A7ED3098}"/>
    <hyperlink ref="DF824" r:id="rId1148" xr:uid="{2D613F50-23BB-4E4C-B589-3708B11F3FE0}"/>
    <hyperlink ref="AS825" r:id="rId1149" xr:uid="{F9FA087B-A132-49EC-BFC2-FAEFA69A0866}"/>
    <hyperlink ref="DF825" r:id="rId1150" xr:uid="{4511E45B-88A3-4001-AE61-0BDAE2E00317}"/>
    <hyperlink ref="AS826" r:id="rId1151" xr:uid="{89F4EE08-1F64-4BAB-807A-A9974199A46B}"/>
    <hyperlink ref="DF826" r:id="rId1152" xr:uid="{4E0A4FF9-7143-4827-9133-9B4388E7B20D}"/>
    <hyperlink ref="AS827" r:id="rId1153" xr:uid="{A7778095-6208-4224-A792-D9012CC8803D}"/>
    <hyperlink ref="DF827" r:id="rId1154" xr:uid="{2CDC0BEE-12C0-4F09-92A5-201D9911D362}"/>
    <hyperlink ref="AS828" r:id="rId1155" xr:uid="{AD321271-2985-4567-98B6-4BFC1188D42D}"/>
    <hyperlink ref="DF828" r:id="rId1156" xr:uid="{A30C2109-AD9C-4417-AC84-1939B3209AFA}"/>
    <hyperlink ref="AS829" r:id="rId1157" xr:uid="{18D3C65A-0263-41EF-ADC0-C597DAF243EF}"/>
    <hyperlink ref="DF829" r:id="rId1158" xr:uid="{2B028AC4-6C0E-4731-86FB-5494E0EF2460}"/>
    <hyperlink ref="AS830" r:id="rId1159" xr:uid="{6A627DE1-DEDE-4045-A71B-B718CFC313EC}"/>
    <hyperlink ref="DF830" r:id="rId1160" xr:uid="{24392683-914A-4EF1-82FB-99364067157F}"/>
    <hyperlink ref="DF773" r:id="rId1161" xr:uid="{30186735-B00C-43D1-A90D-D39DD2602D37}"/>
    <hyperlink ref="DF775" r:id="rId1162" xr:uid="{B1649BFD-3173-4147-BCF5-6275E275CDB0}"/>
    <hyperlink ref="BU793" r:id="rId1163" xr:uid="{E108C378-6EE8-40EA-BDAF-F8FAADEFA507}"/>
    <hyperlink ref="DF793" r:id="rId1164" xr:uid="{617DE3C0-5D2E-4290-A8FD-CBA690C544F0}"/>
    <hyperlink ref="DF783" r:id="rId1165" xr:uid="{12FBC256-BEBD-4A6B-B139-706D29A4B978}"/>
    <hyperlink ref="DF921" r:id="rId1166" xr:uid="{484DFB1B-349C-46CC-BFAE-235588524BDD}"/>
    <hyperlink ref="BU776" r:id="rId1167" xr:uid="{A46D6183-19F3-4F7E-90A6-8410E2667541}"/>
    <hyperlink ref="DF776" r:id="rId1168" xr:uid="{A851D0BA-FC1F-4A38-909E-7836795082DC}"/>
    <hyperlink ref="DF787" r:id="rId1169" xr:uid="{B1B5045D-E0CC-4107-89CA-790BCBD2CE3B}"/>
    <hyperlink ref="DF791" r:id="rId1170" xr:uid="{B9930962-99F3-42BF-8E14-3F895AE88BC4}"/>
    <hyperlink ref="BU788" r:id="rId1171" xr:uid="{6CEAFDC0-4963-443B-8211-550E2B3E2C8B}"/>
    <hyperlink ref="DF788" r:id="rId1172" xr:uid="{D11F855D-4E7E-4143-8ED8-8B5BEF9B2BE9}"/>
    <hyperlink ref="DF786" r:id="rId1173" xr:uid="{518B33C9-7651-4AE8-ADC9-01C636BBE860}"/>
    <hyperlink ref="DF795" r:id="rId1174" xr:uid="{8ADFE519-B936-4996-8427-C19FBE57B786}"/>
    <hyperlink ref="DF794" r:id="rId1175" xr:uid="{925DE983-6761-4FD4-B309-F990A27E22BB}"/>
    <hyperlink ref="DF833" r:id="rId1176" xr:uid="{F973FC05-51C7-4FC2-89D0-518878FCD61A}"/>
    <hyperlink ref="DF835" r:id="rId1177" xr:uid="{2A807C56-164D-4942-9C60-42F74B5E5DC9}"/>
    <hyperlink ref="DF840" r:id="rId1178" xr:uid="{6C559364-C60F-42B9-9320-A427042D7AD6}"/>
    <hyperlink ref="DF796" r:id="rId1179" xr:uid="{07827722-C316-4ED2-BE1B-8DAD0816418A}"/>
    <hyperlink ref="BU796" r:id="rId1180" xr:uid="{A92639AD-F781-4E34-9FAC-1D0399BBF06C}"/>
    <hyperlink ref="DF797" r:id="rId1181" xr:uid="{CBC4C679-E4A1-4DB6-BEE7-2280ED658A82}"/>
    <hyperlink ref="EI677" r:id="rId1182" xr:uid="{852E6E21-23B4-4B38-8130-6C26D323311D}"/>
    <hyperlink ref="EI778" r:id="rId1183" xr:uid="{E8BEF38B-07FE-4967-8DD8-1F8F912C7789}"/>
    <hyperlink ref="EI772" r:id="rId1184" xr:uid="{65D7498A-222B-4343-B87C-D7EC9891AFDE}"/>
    <hyperlink ref="EI733" r:id="rId1185" xr:uid="{86518976-526B-45CC-B7A0-E8FF5D39DB4F}"/>
    <hyperlink ref="EI683" r:id="rId1186" xr:uid="{7605541E-A239-4156-9C3A-BFA5440DEE91}"/>
    <hyperlink ref="EI774" r:id="rId1187" xr:uid="{3321A7A5-6E19-42C4-9041-C0FF23DFBCBB}"/>
    <hyperlink ref="DF800" r:id="rId1188" xr:uid="{0FFC2339-AA92-4254-A5B6-F946EDDA1839}"/>
    <hyperlink ref="DF798" r:id="rId1189" xr:uid="{A190E6E1-1866-4A37-81FF-3DC864ADC8F8}"/>
    <hyperlink ref="EI777" r:id="rId1190" xr:uid="{D47E91E9-E7E1-4E05-9B04-B963387152D6}"/>
    <hyperlink ref="EI730" r:id="rId1191" xr:uid="{B39131FF-A460-418F-B124-48CFECC2EFB6}"/>
    <hyperlink ref="EI790" r:id="rId1192" xr:uid="{4C02A7B0-1936-4CC1-938F-CE15AEE2F6AF}"/>
    <hyperlink ref="DF832" r:id="rId1193" xr:uid="{5B2D8078-3782-4A32-9BE2-3BC800492A9A}"/>
    <hyperlink ref="EI732" r:id="rId1194" xr:uid="{ACA6ABC8-5B6A-4437-B2A4-6E40202B2CA2}"/>
    <hyperlink ref="DF154" r:id="rId1195" xr:uid="{2E307A50-261C-458D-A0D7-89A439B70423}"/>
    <hyperlink ref="DF168" r:id="rId1196" xr:uid="{7FC3F9A1-E280-434F-B1F3-3A760EE75E4D}"/>
    <hyperlink ref="DF216" r:id="rId1197" xr:uid="{2D798075-A904-4F74-BEB3-80396A5CF136}"/>
    <hyperlink ref="DF799" r:id="rId1198" xr:uid="{E772FFC9-F4B6-46D3-A9D1-BD7B9A9518C5}"/>
    <hyperlink ref="DF90" r:id="rId1199" xr:uid="{3A8A2A0C-62A4-4D16-970A-C80D79F876AE}"/>
    <hyperlink ref="DF133" r:id="rId1200" xr:uid="{F7B78E29-71F3-4DAF-A6C6-71A650F1D65E}"/>
    <hyperlink ref="DF236" r:id="rId1201" xr:uid="{EBBB73FC-D3C7-4DCC-ADB7-092694C3B374}"/>
    <hyperlink ref="EI731" r:id="rId1202" xr:uid="{A1933882-CFFA-4F89-A357-5345C37A7A93}"/>
    <hyperlink ref="DF836" r:id="rId1203" xr:uid="{B7D5A100-8671-4D88-B8B9-99C8752704DC}"/>
    <hyperlink ref="EI789" r:id="rId1204" xr:uid="{79ED571A-8437-4BF8-9C00-CF180E3A281A}"/>
    <hyperlink ref="DF831" r:id="rId1205" xr:uid="{BDA81406-9892-4471-92A2-4035283B5EB0}"/>
    <hyperlink ref="DF834" r:id="rId1206" xr:uid="{D8162F7A-B7BF-4663-869D-47A6DB259877}"/>
    <hyperlink ref="DF838" r:id="rId1207" xr:uid="{CC2B81A1-0673-4814-9E5B-081765EA1428}"/>
    <hyperlink ref="DF922" r:id="rId1208" xr:uid="{BECF9C65-2D63-4698-A164-31FF8CF05443}"/>
    <hyperlink ref="DF816" r:id="rId1209" xr:uid="{73CA7215-A500-4B49-B975-5AF4BC5FEAA4}"/>
    <hyperlink ref="DF821" r:id="rId1210" xr:uid="{FC6E9152-2B6E-4F60-99F8-0B8BC0813D2B}"/>
    <hyperlink ref="BU839" r:id="rId1211" xr:uid="{AB8ACE79-B50D-4645-86B6-167161E84C60}"/>
    <hyperlink ref="BU834" r:id="rId1212" xr:uid="{7CFE3FD4-CAD3-4D0D-BCD7-AD066B64D707}"/>
    <hyperlink ref="DF839" r:id="rId1213" xr:uid="{4D55C295-C9DB-4EE3-8BD5-3E2E73264075}"/>
    <hyperlink ref="DF846" r:id="rId1214" xr:uid="{4C1A54CC-9335-4AEA-94D3-89E18B2CA590}"/>
    <hyperlink ref="DF849" r:id="rId1215" xr:uid="{ADA2B788-BE5E-41F2-8D9F-7E0B48306823}"/>
    <hyperlink ref="DF851" r:id="rId1216" xr:uid="{033983FD-E14F-48DD-BB6C-064CA6C7AA00}"/>
    <hyperlink ref="DF850" r:id="rId1217" xr:uid="{B714D7AE-8238-40BE-A953-38E45F40763D}"/>
    <hyperlink ref="DF853" r:id="rId1218" xr:uid="{802C7E25-C197-49E4-A180-535C2D9208DE}"/>
    <hyperlink ref="BU852" r:id="rId1219" xr:uid="{CA7FDF65-20ED-4F61-8532-DD6320758083}"/>
    <hyperlink ref="DF852" r:id="rId1220" xr:uid="{4FFAEA94-4AA2-4223-8AA4-0D924FA4F310}"/>
    <hyperlink ref="DF855" r:id="rId1221" xr:uid="{1990EF86-B0CB-4EC5-960F-83835C5EFAA9}"/>
    <hyperlink ref="BU854" r:id="rId1222" xr:uid="{A385C3F2-BBBE-462A-A454-D7F0CD1C6D17}"/>
    <hyperlink ref="DF854" r:id="rId1223" xr:uid="{CAE38C40-FEC7-4310-AF88-0D7EA01ECBE7}"/>
    <hyperlink ref="BU856" r:id="rId1224" xr:uid="{80B7B549-B9F6-405B-82B2-581C3852DF1F}"/>
    <hyperlink ref="DF856" r:id="rId1225" xr:uid="{B18851EB-0B5F-4A33-8787-F13FC147DA08}"/>
    <hyperlink ref="DF888" r:id="rId1226" xr:uid="{0702C10B-F1DF-4973-B1AC-DA74ADC2A7A2}"/>
    <hyperlink ref="BU841" r:id="rId1227" xr:uid="{1CB21E31-7D94-4458-97CE-46A3A348E720}"/>
    <hyperlink ref="DF841" r:id="rId1228" xr:uid="{A82D918C-9D75-43D8-9739-C3C4D1DB51A8}"/>
    <hyperlink ref="BU842" r:id="rId1229" xr:uid="{67693713-CD2B-4F9A-A358-E9308718B460}"/>
    <hyperlink ref="DF842" r:id="rId1230" xr:uid="{9E6A0CDA-5109-4A73-893B-7B417F98193A}"/>
    <hyperlink ref="BU843" r:id="rId1231" xr:uid="{EF27EDFD-6323-426E-B81A-381A2BE37840}"/>
    <hyperlink ref="DF843" r:id="rId1232" xr:uid="{841C9BE4-DCF3-4724-A0FE-0555F87425D9}"/>
    <hyperlink ref="BU848" r:id="rId1233" xr:uid="{A7CFE28F-EDC8-47B7-AAAD-CC363C0D2312}"/>
    <hyperlink ref="DF847" r:id="rId1234" xr:uid="{E8FBAA09-4411-4774-B134-8A4CDC518C91}"/>
    <hyperlink ref="BU857" r:id="rId1235" xr:uid="{4901E088-2855-44BF-BAE0-A4D0DE48BB62}"/>
    <hyperlink ref="DF857" r:id="rId1236" xr:uid="{DF01EE26-91CB-4C61-9B69-9A8FBCCE7860}"/>
    <hyperlink ref="DF860" r:id="rId1237" xr:uid="{894698A1-C36C-4477-8046-9C8178BBC5B0}"/>
    <hyperlink ref="BU858" r:id="rId1238" xr:uid="{125854A8-2B03-43C4-AD2E-16A44CB9F085}"/>
    <hyperlink ref="DF858" r:id="rId1239" xr:uid="{CA95947D-188B-43EF-9BBC-F0C400791C3F}"/>
    <hyperlink ref="DF869" r:id="rId1240" xr:uid="{0DFE973A-5EF4-489A-A29A-65CD933D2868}"/>
    <hyperlink ref="DF865" r:id="rId1241" xr:uid="{C84CCBDB-8995-4494-B430-911F6AF7E6B6}"/>
    <hyperlink ref="DF866" r:id="rId1242" xr:uid="{CC478A65-C437-465C-913F-BA7DEFDD8412}"/>
    <hyperlink ref="DF868" r:id="rId1243" xr:uid="{97E4FE6D-52E9-4B45-AD15-0F1FB5FA409D}"/>
    <hyperlink ref="DF859" r:id="rId1244" xr:uid="{23EB2E01-8564-4BFA-94E0-498C144CE242}"/>
    <hyperlink ref="DF871" r:id="rId1245" xr:uid="{78566551-238F-4FA9-BCC8-11C0AF842C8C}"/>
    <hyperlink ref="DF861" r:id="rId1246" xr:uid="{694702AE-2CBF-47F9-B30D-E6CA914F4BBC}"/>
    <hyperlink ref="DF870" r:id="rId1247" xr:uid="{C2FFBC5F-2E7B-4F6D-9B25-F93B14820711}"/>
    <hyperlink ref="DF872" r:id="rId1248" xr:uid="{C3744D4E-DA9C-4419-B604-7BC9C1AD337B}"/>
    <hyperlink ref="DF873" r:id="rId1249" xr:uid="{3B397125-67E5-4D31-897C-79FB8F7350B1}"/>
    <hyperlink ref="DF877" r:id="rId1250" xr:uid="{034852D3-9C16-401F-92A6-241C28060831}"/>
    <hyperlink ref="DF879" r:id="rId1251" xr:uid="{847B3597-A2CE-4335-8C18-D9D783695693}"/>
    <hyperlink ref="DF906" r:id="rId1252" xr:uid="{4C0375A7-AA02-4AE8-800B-2533D77D83A9}"/>
    <hyperlink ref="DF908" r:id="rId1253" xr:uid="{A30295DC-0755-484B-B5D3-B3941FD141AF}"/>
    <hyperlink ref="DF909" r:id="rId1254" xr:uid="{E86119BC-1E41-4AC6-8B4C-238990721843}"/>
    <hyperlink ref="BU863" r:id="rId1255" xr:uid="{0E4F268E-1F17-4184-BF03-92C2464E81E7}"/>
    <hyperlink ref="DF875" r:id="rId1256" xr:uid="{CD363659-6009-4D31-B886-C5C8042E366B}"/>
    <hyperlink ref="DF910" r:id="rId1257" xr:uid="{5F191896-6578-45F8-A052-4BAAE00B19FD}"/>
    <hyperlink ref="DF913" r:id="rId1258" xr:uid="{B337723C-1541-4F72-BF16-FCE971C4571F}"/>
    <hyperlink ref="DF912" r:id="rId1259" xr:uid="{9F458B87-96D4-4AF3-8C16-4A3AF971577B}"/>
    <hyperlink ref="DF915" r:id="rId1260" xr:uid="{AA6EB742-6986-4943-A22A-7E5CDD12082F}"/>
    <hyperlink ref="DF897" r:id="rId1261" xr:uid="{B40DAF12-D689-41BC-8C10-484B7595D373}"/>
    <hyperlink ref="DF898" r:id="rId1262" xr:uid="{9A3B5FED-9EB3-40EB-A4F6-46DA68140F34}"/>
    <hyperlink ref="DF900" r:id="rId1263" xr:uid="{00D052A2-22CA-4B44-A608-557210F1C607}"/>
    <hyperlink ref="DF902" r:id="rId1264" xr:uid="{95A7D64C-6CFE-427C-B4E5-2E6B5CBEBB3A}"/>
    <hyperlink ref="DF837" r:id="rId1265" xr:uid="{27AB2ADF-0904-41E5-BA31-7172D04AB2DB}"/>
    <hyperlink ref="DF863" r:id="rId1266" xr:uid="{D7537F0A-94EE-440A-8503-0ABE4AD97D93}"/>
    <hyperlink ref="DF883" r:id="rId1267" xr:uid="{58AFE3B0-E652-44D3-ACBC-7002CF1277A2}"/>
    <hyperlink ref="DF845" r:id="rId1268" xr:uid="{D01B39F5-511F-4801-A916-84CBF46E0F89}"/>
    <hyperlink ref="DF862" r:id="rId1269" xr:uid="{DD4CE83C-05D9-419F-84F6-A7CF79199780}"/>
    <hyperlink ref="BU867" r:id="rId1270" xr:uid="{F8554C28-8721-4D79-9E8F-37D803397CCC}"/>
    <hyperlink ref="DF867" r:id="rId1271" xr:uid="{4FF9AC0A-8744-4238-B163-D075FD352337}"/>
    <hyperlink ref="BU864" r:id="rId1272" xr:uid="{07D4123E-1691-48B7-9C1E-DFC96AA5277F}"/>
    <hyperlink ref="DF864" r:id="rId1273" xr:uid="{A0ACC546-3298-49DE-AC0D-E63FF4FE9EBD}"/>
    <hyperlink ref="DF880" r:id="rId1274" xr:uid="{0D22FF5E-48B5-44A8-ADA6-7678E2E92875}"/>
    <hyperlink ref="DF916" r:id="rId1275" xr:uid="{44324A56-4511-435E-A5C0-0E119B590958}"/>
    <hyperlink ref="DF919" r:id="rId1276" xr:uid="{AB398FBC-F30A-41C6-AE90-AE964BF2E4A5}"/>
    <hyperlink ref="DF848" r:id="rId1277" xr:uid="{6ACEA21A-6648-46E6-B2D6-37B788C39027}"/>
    <hyperlink ref="DF896" r:id="rId1278" xr:uid="{ED56179E-ECFE-4632-8BFD-BA331C94CD0A}"/>
    <hyperlink ref="DF885" r:id="rId1279" xr:uid="{F7AE9198-4B9E-4621-8902-48160D5F25A6}"/>
    <hyperlink ref="DF874" r:id="rId1280" xr:uid="{69C2F75E-CD55-42C4-8030-BDC534D19B16}"/>
    <hyperlink ref="BU876" r:id="rId1281" xr:uid="{0FAAFA09-B9BE-4304-97A4-FB4C6EB314F8}"/>
    <hyperlink ref="DF876" r:id="rId1282" xr:uid="{B83B6ABE-EB41-466E-804F-3A1540CA73E0}"/>
    <hyperlink ref="DF903" r:id="rId1283" xr:uid="{9BAC852B-23A8-4F8C-B9CA-DDA9B7E22671}"/>
    <hyperlink ref="BU878" r:id="rId1284" xr:uid="{65BE5275-4C37-4C69-B888-DBD80F229D16}"/>
    <hyperlink ref="DF878" r:id="rId1285" xr:uid="{FC8D3E25-1B76-46F3-8BD2-2448D56B9F79}"/>
    <hyperlink ref="DF844" r:id="rId1286" xr:uid="{304161C9-2B51-461D-8BBF-419CA7C38B0C}"/>
    <hyperlink ref="BU881" r:id="rId1287" xr:uid="{829E6629-19E6-4235-AB96-4EB2F4A307B4}"/>
    <hyperlink ref="DF881" r:id="rId1288" xr:uid="{A7F15BE8-991A-4914-A2EE-0F7F8AAB8874}"/>
    <hyperlink ref="DF884" r:id="rId1289" xr:uid="{EB7939C2-5E74-46F5-8BAC-DFB5664D38C0}"/>
    <hyperlink ref="BU884" r:id="rId1290" location="/l/meetup-join/19:meeting_ZmU4NmJkZmItZDZkMS00MTcwLThmODgtYWRiMDRhOWU4YTRk@thread.v2/0?context=%7b%22Tid%22%3a%22fc531237-43c6-44de-a1e8-d3bf6dc436e1%22%2c%22Oid%22%3a%22cad5d646-046d-49df-a496-74085da18f67%22%7d&amp;anon=true&amp;deeplinkId=ce093819-c20a-4516-8574-872dec6bb7b4" xr:uid="{EAF7FD7A-9601-4AAC-963C-9AD16A48D6E3}"/>
    <hyperlink ref="BU886" r:id="rId1291" xr:uid="{D86FAA54-DFD1-43EA-99B2-3D65AB080ED3}"/>
    <hyperlink ref="DF886" r:id="rId1292" xr:uid="{1540B74F-4018-4832-A9C6-AD76FB35DA87}"/>
    <hyperlink ref="BU890" r:id="rId1293" xr:uid="{E1A5315A-7096-4D6E-96B8-D084D901DD91}"/>
    <hyperlink ref="DF890" r:id="rId1294" xr:uid="{C2D2344E-48F2-4C41-A7CF-573E1947A17D}"/>
    <hyperlink ref="BU889" r:id="rId1295" xr:uid="{9DE8F5EB-9352-4570-9610-625FAD010370}"/>
    <hyperlink ref="DF889" r:id="rId1296" xr:uid="{C1D5ECEA-B65D-42D4-9FB2-6A64443C68B7}"/>
    <hyperlink ref="BU887" r:id="rId1297" xr:uid="{BEB33616-3D25-4ACD-A88E-29D5085B6E80}"/>
    <hyperlink ref="DF887" r:id="rId1298" xr:uid="{42433B0F-31F2-4E40-8CBD-07F78B9C1695}"/>
    <hyperlink ref="DF891" r:id="rId1299" xr:uid="{646E934A-A828-4A1F-BBBC-DD574E78BE5E}"/>
    <hyperlink ref="DF894" r:id="rId1300" xr:uid="{ECBB0611-644F-40CE-A5EE-53929B67068F}"/>
    <hyperlink ref="DF905" r:id="rId1301" xr:uid="{D0ECA66A-A124-4655-8918-332A15B2EA03}"/>
    <hyperlink ref="DF899" r:id="rId1302" xr:uid="{FE6B297A-F323-457B-93C2-927A0A86CBA9}"/>
    <hyperlink ref="DF911" r:id="rId1303" xr:uid="{4E51F58B-A5AF-4A35-99CE-7DFB3B57597C}"/>
    <hyperlink ref="DF918" r:id="rId1304" xr:uid="{F3B7F194-F526-4E58-8789-D248467AC499}"/>
    <hyperlink ref="DF926" r:id="rId1305" xr:uid="{13E5D725-35BA-474B-A93B-2724B380B0E0}"/>
    <hyperlink ref="BU892" r:id="rId1306" xr:uid="{330859F3-6D77-4B96-9083-519B0458B5B2}"/>
    <hyperlink ref="BU893" r:id="rId1307" xr:uid="{03D9E7B2-C91B-4F60-BB98-DFF6961ED3A5}"/>
    <hyperlink ref="DF893" r:id="rId1308" xr:uid="{761BE14B-2907-433C-A5CC-9DB4D48FF074}"/>
    <hyperlink ref="DF892" r:id="rId1309" xr:uid="{1D4125F7-E27F-4824-A484-C61B4A468BB1}"/>
    <hyperlink ref="DF901" r:id="rId1310" xr:uid="{4388E6DE-3767-4CE1-8085-5CE3FC8D7634}"/>
    <hyperlink ref="DF917" r:id="rId1311" xr:uid="{B4E069A5-4378-46A6-8C67-29A330115986}"/>
    <hyperlink ref="DF920" r:id="rId1312" xr:uid="{EAB1B40E-C51A-4703-9407-2957CA025F65}"/>
    <hyperlink ref="DF907" r:id="rId1313" xr:uid="{3BF890EA-53EA-4DD8-8331-E58CB5CC4581}"/>
    <hyperlink ref="DF904" r:id="rId1314" xr:uid="{D2F690B7-3D07-413F-B244-D4139AEF48A3}"/>
  </hyperlinks>
  <pageMargins left="0" right="0" top="0" bottom="0" header="0" footer="0"/>
  <extLst>
    <ext xmlns:x14="http://schemas.microsoft.com/office/spreadsheetml/2009/9/main" uri="{CCE6A557-97BC-4b89-ADB6-D9C93CAAB3DF}">
      <x14:dataValidations xmlns:xm="http://schemas.microsoft.com/office/excel/2006/main" count="256">
        <x14:dataValidation type="list" allowBlank="1" showErrorMessage="1" xr:uid="{99C1E668-462D-402F-8F68-A62109CFB323}">
          <x14:formula1>
            <xm:f>BASE!$D$2:$D$98</xm:f>
          </x14:formula1>
          <xm:sqref>AE145:AN145 P5:AN144 P145:AC145 N5:N935 P146:AN935</xm:sqref>
        </x14:dataValidation>
        <x14:dataValidation type="list" allowBlank="1" showErrorMessage="1" xr:uid="{BBB859CC-5272-45E9-8D77-A15904E1D6D9}">
          <x14:formula1>
            <xm:f>BASE!$A$2:$A$3</xm:f>
          </x14:formula1>
          <xm:sqref>DK5:DK167 EF589 EG5:EG588 DE741 DD5:DD740 F5:I935 CI5:CI935 DD742:DD935 CX5:CX935 DK169:DK935 EG590:EG935 BW5:BW935</xm:sqref>
        </x14:dataValidation>
        <x14:dataValidation type="list" allowBlank="1" showErrorMessage="1" xr:uid="{B4B3EE9E-1ABC-45F8-8C43-83E420C0D1CA}">
          <x14:formula1>
            <xm:f>BASE!$H$2:$H$10</xm:f>
          </x14:formula1>
          <xm:sqref>BI793 BB5:BG935</xm:sqref>
        </x14:dataValidation>
        <x14:dataValidation type="list" allowBlank="1" showErrorMessage="1" xr:uid="{40844742-7520-40A8-B613-4C6C67DA5892}">
          <x14:formula1>
            <xm:f>BASE!$P$2:$P$58</xm:f>
          </x14:formula1>
          <xm:sqref>BI789:BI792 BK787:BR799 BJ789:BJ799 BI794:BI799 BI787:BJ788 BI5:BR786 BI800:BR935</xm:sqref>
        </x14:dataValidation>
        <x14:dataValidation type="list" allowBlank="1" showErrorMessage="1" xr:uid="{6C5BB52F-5CC1-438D-8424-CE33AFCACF26}">
          <x14:formula1>
            <xm:f>BASE!$R$2:$R1116</xm:f>
          </x14:formula1>
          <xm:sqref>EA925</xm:sqref>
        </x14:dataValidation>
        <x14:dataValidation type="list" allowBlank="1" showErrorMessage="1" xr:uid="{78387EB3-0E1D-4414-B7F8-131E826CD60B}">
          <x14:formula1>
            <xm:f>BASE!$R$2:$R1094</xm:f>
          </x14:formula1>
          <xm:sqref>EA924 EA900 EA908</xm:sqref>
        </x14:dataValidation>
        <x14:dataValidation type="list" allowBlank="1" showErrorMessage="1" xr:uid="{00F070BD-73DE-4846-B7B0-127886225F60}">
          <x14:formula1>
            <xm:f>BASE!$R$2:$R1101</xm:f>
          </x14:formula1>
          <xm:sqref>EA929:EA935 EA906</xm:sqref>
        </x14:dataValidation>
        <x14:dataValidation type="list" allowBlank="1" showErrorMessage="1" xr:uid="{C87D41C4-D822-4AE7-9B73-1C8393912E14}">
          <x14:formula1>
            <xm:f>BASE!$R$2:$R1093</xm:f>
          </x14:formula1>
          <xm:sqref>EA926:EA928 EA907 EA897:EA898 EA904</xm:sqref>
        </x14:dataValidation>
        <x14:dataValidation type="list" allowBlank="1" showErrorMessage="1" xr:uid="{D3214A90-D862-400E-A03B-51771AD179F2}">
          <x14:formula1>
            <xm:f>BASE!$R$2:$R1095</xm:f>
          </x14:formula1>
          <xm:sqref>EA923 EA909:EA910 EA902:EA903</xm:sqref>
        </x14:dataValidation>
        <x14:dataValidation type="list" allowBlank="1" showErrorMessage="1" xr:uid="{BD6F26B1-7049-40D0-9DA8-0BFB25AC8D6B}">
          <x14:formula1>
            <xm:f>BASE!$R$2:$R1091</xm:f>
          </x14:formula1>
          <xm:sqref>EA922</xm:sqref>
        </x14:dataValidation>
        <x14:dataValidation type="list" allowBlank="1" showErrorMessage="1" xr:uid="{F2697EB2-47A0-46F8-990C-4E63DF4121ED}">
          <x14:formula1>
            <xm:f>BASE!$R$2:$R1094</xm:f>
          </x14:formula1>
          <xm:sqref>EA921 EA896 EA918</xm:sqref>
        </x14:dataValidation>
        <x14:dataValidation type="list" allowBlank="1" showErrorMessage="1" xr:uid="{351C4FAB-1A17-4D51-A32E-3C0C984475DA}">
          <x14:formula1>
            <xm:f>BASE!$K$2:$K$7</xm:f>
          </x14:formula1>
          <xm:sqref>DN5:DN935 DS5:DS935 DP5:DP935 EB5:EB935 DJ5:DJ935 DV5:DW935</xm:sqref>
        </x14:dataValidation>
        <x14:dataValidation type="list" allowBlank="1" showErrorMessage="1" xr:uid="{A231C4E9-322E-410C-907C-CF92E837FE30}">
          <x14:formula1>
            <xm:f>BASE!$G$2:$G$26</xm:f>
          </x14:formula1>
          <xm:sqref>AU5:AZ935</xm:sqref>
        </x14:dataValidation>
        <x14:dataValidation type="list" allowBlank="1" showErrorMessage="1" xr:uid="{A9ED3F70-29AB-42B8-843A-EE212DB2A862}">
          <x14:formula1>
            <xm:f>BASE!$F$2:$F$48</xm:f>
          </x14:formula1>
          <xm:sqref>AP5:AP935</xm:sqref>
        </x14:dataValidation>
        <x14:dataValidation type="list" allowBlank="1" showErrorMessage="1" xr:uid="{32FD00B6-6F1F-4CB4-B3A0-1A4DB8FE9B63}">
          <x14:formula1>
            <xm:f>BASE!$B$2:$B$57</xm:f>
          </x14:formula1>
          <xm:sqref>J5:J935</xm:sqref>
        </x14:dataValidation>
        <x14:dataValidation type="list" allowBlank="1" showErrorMessage="1" xr:uid="{EBE57FCB-3EEF-44D8-A578-5C77D0BDCA0D}">
          <x14:formula1>
            <xm:f>BASE!$L$2:$L$64</xm:f>
          </x14:formula1>
          <xm:sqref>BX5:BX935</xm:sqref>
        </x14:dataValidation>
        <x14:dataValidation type="list" allowBlank="1" showErrorMessage="1" xr:uid="{97A2354E-F3E6-4B65-B4B8-7A1ABD41F027}">
          <x14:formula1>
            <xm:f>BASE!$J$2:$J$5</xm:f>
          </x14:formula1>
          <xm:sqref>DI5:DI935</xm:sqref>
        </x14:dataValidation>
        <x14:dataValidation type="list" allowBlank="1" showErrorMessage="1" xr:uid="{1D3D0252-5012-4C6D-9F22-7EA4C48DCA68}">
          <x14:formula1>
            <xm:f>BASE!$S$2:$S$15</xm:f>
          </x14:formula1>
          <xm:sqref>DX5:DY935</xm:sqref>
        </x14:dataValidation>
        <x14:dataValidation type="list" allowBlank="1" showErrorMessage="1" xr:uid="{481D86E7-71F9-499A-82C1-7D157E663EC9}">
          <x14:formula1>
            <xm:f>BASE!$I$2:$I$7</xm:f>
          </x14:formula1>
          <xm:sqref>M5:M935</xm:sqref>
        </x14:dataValidation>
        <x14:dataValidation type="list" allowBlank="1" showErrorMessage="1" xr:uid="{EECA8CF7-97D3-47BF-A497-56260758FFAF}">
          <x14:formula1>
            <xm:f>BASE!$E$2:$E$7</xm:f>
          </x14:formula1>
          <xm:sqref>AO5:AO935</xm:sqref>
        </x14:dataValidation>
        <x14:dataValidation type="list" allowBlank="1" showErrorMessage="1" xr:uid="{4B926EDD-49B7-4C70-848C-03D8396F8A34}">
          <x14:formula1>
            <xm:f>BASE!$M$2:$M$12</xm:f>
          </x14:formula1>
          <xm:sqref>CD5:CF935</xm:sqref>
        </x14:dataValidation>
        <x14:dataValidation type="list" allowBlank="1" showErrorMessage="1" xr:uid="{B60A3334-8211-47B0-AAFA-A8CC046838CF}">
          <x14:formula1>
            <xm:f>BASE!$R$2:$R1095</xm:f>
          </x14:formula1>
          <xm:sqref>EA919:EA920</xm:sqref>
        </x14:dataValidation>
        <x14:dataValidation type="list" allowBlank="1" showErrorMessage="1" xr:uid="{CB4CE248-8A3F-48D5-A74C-8218488E8D35}">
          <x14:formula1>
            <xm:f>BASE!$R$2:$R1092</xm:f>
          </x14:formula1>
          <xm:sqref>EA915</xm:sqref>
        </x14:dataValidation>
        <x14:dataValidation type="list" allowBlank="1" showErrorMessage="1" xr:uid="{B40BE7C0-5979-4877-AD2F-FD85C3F7F202}">
          <x14:formula1>
            <xm:f>BASE!$R$2:$R1102</xm:f>
          </x14:formula1>
          <xm:sqref>EA916:EA917</xm:sqref>
        </x14:dataValidation>
        <x14:dataValidation type="list" allowBlank="1" showErrorMessage="1" xr:uid="{8AFB671A-82B7-4D18-8D59-4C1793A26245}">
          <x14:formula1>
            <xm:f>BASE!$R$2:$R1115</xm:f>
          </x14:formula1>
          <xm:sqref>EA914</xm:sqref>
        </x14:dataValidation>
        <x14:dataValidation type="list" allowBlank="1" showErrorMessage="1" xr:uid="{41001884-7988-48E0-B403-AE15BC4B8BBF}">
          <x14:formula1>
            <xm:f>BASE!$R$2:$R1113</xm:f>
          </x14:formula1>
          <xm:sqref>EA911</xm:sqref>
        </x14:dataValidation>
        <x14:dataValidation type="list" allowBlank="1" showErrorMessage="1" xr:uid="{A8047C5A-6B68-4FF8-A83E-143422DCE048}">
          <x14:formula1>
            <xm:f>BASE!$R$2:$R1092</xm:f>
          </x14:formula1>
          <xm:sqref>EA913</xm:sqref>
        </x14:dataValidation>
        <x14:dataValidation type="list" allowBlank="1" showErrorMessage="1" xr:uid="{1BD63102-638F-4068-8F65-D7F03C6FC04E}">
          <x14:formula1>
            <xm:f>BASE!$R$2:$R1119</xm:f>
          </x14:formula1>
          <xm:sqref>EA912</xm:sqref>
        </x14:dataValidation>
        <x14:dataValidation type="list" allowBlank="1" showErrorMessage="1" xr:uid="{D53B2487-0998-4D5D-91C2-F23180442841}">
          <x14:formula1>
            <xm:f>BASE!$R$2:$R1095</xm:f>
          </x14:formula1>
          <xm:sqref>EA905</xm:sqref>
        </x14:dataValidation>
        <x14:dataValidation type="list" allowBlank="1" showErrorMessage="1" xr:uid="{C9F8FB19-FBFD-4303-BD81-4B7C9EC82D4F}">
          <x14:formula1>
            <xm:f>BASE!$R$2:$R1093</xm:f>
          </x14:formula1>
          <xm:sqref>EA901</xm:sqref>
        </x14:dataValidation>
        <x14:dataValidation type="list" allowBlank="1" showErrorMessage="1" xr:uid="{A1A7E954-6B98-4B18-9F74-92FC8F018D83}">
          <x14:formula1>
            <xm:f>BASE!$R$2:$R1091</xm:f>
          </x14:formula1>
          <xm:sqref>EA888</xm:sqref>
        </x14:dataValidation>
        <x14:dataValidation type="list" allowBlank="1" showErrorMessage="1" xr:uid="{3A8B4AEF-124D-42AE-A9A4-D98CFB6317E5}">
          <x14:formula1>
            <xm:f>BASE!$R$2:$R1105</xm:f>
          </x14:formula1>
          <xm:sqref>EA894 EA899</xm:sqref>
        </x14:dataValidation>
        <x14:dataValidation type="list" allowBlank="1" showErrorMessage="1" xr:uid="{3EB9E001-585A-4909-9478-857FCAA42B93}">
          <x14:formula1>
            <xm:f>BASE!$R$2:$R1119</xm:f>
          </x14:formula1>
          <xm:sqref>EA895</xm:sqref>
        </x14:dataValidation>
        <x14:dataValidation type="list" allowBlank="1" showErrorMessage="1" xr:uid="{2E0AB333-7B3F-4936-B014-C5DFF427A614}">
          <x14:formula1>
            <xm:f>BASE!$R$2:$R1098</xm:f>
          </x14:formula1>
          <xm:sqref>EA892:EA893</xm:sqref>
        </x14:dataValidation>
        <x14:dataValidation type="list" allowBlank="1" showErrorMessage="1" xr:uid="{AC3CBAB2-B642-4C6E-8AB5-0EC2240AD0AA}">
          <x14:formula1>
            <xm:f>BASE!$R$2:$R1095</xm:f>
          </x14:formula1>
          <xm:sqref>EA889 EA891 EA882 EA887</xm:sqref>
        </x14:dataValidation>
        <x14:dataValidation type="list" allowBlank="1" showErrorMessage="1" xr:uid="{3F5ECB62-08E7-461D-A1D1-91C412628E00}">
          <x14:formula1>
            <xm:f>BASE!$R$2:$R1102</xm:f>
          </x14:formula1>
          <xm:sqref>EA890</xm:sqref>
        </x14:dataValidation>
        <x14:dataValidation type="list" allowBlank="1" showErrorMessage="1" xr:uid="{AEB1C327-E36E-4468-9D2D-C421B18B29CA}">
          <x14:formula1>
            <xm:f>BASE!$R$2:$R1059</xm:f>
          </x14:formula1>
          <xm:sqref>EA844 EA886 EA884 EA881 EA878</xm:sqref>
        </x14:dataValidation>
        <x14:dataValidation type="list" allowBlank="1" showErrorMessage="1" xr:uid="{41F3498D-EC58-4146-9F98-0081ACEA5666}">
          <x14:formula1>
            <xm:f>BASE!$R$2:$R1092</xm:f>
          </x14:formula1>
          <xm:sqref>EA877 EA869:EA870</xm:sqref>
        </x14:dataValidation>
        <x14:dataValidation type="list" allowBlank="1" showErrorMessage="1" xr:uid="{ACE53EA8-09B3-4CA7-9A28-4EA7FD250EBB}">
          <x14:formula1>
            <xm:f>BASE!$R$2:$R1092</xm:f>
          </x14:formula1>
          <xm:sqref>EA875</xm:sqref>
        </x14:dataValidation>
        <x14:dataValidation type="list" allowBlank="1" showErrorMessage="1" xr:uid="{88CD3C56-7853-43D3-8063-B3F8DF35DC66}">
          <x14:formula1>
            <xm:f>BASE!$R$2:$R1101</xm:f>
          </x14:formula1>
          <xm:sqref>EA885 EA883</xm:sqref>
        </x14:dataValidation>
        <x14:dataValidation type="list" allowBlank="1" showErrorMessage="1" xr:uid="{5661FEB3-D27B-4241-A086-19EF3C33A584}">
          <x14:formula1>
            <xm:f>BASE!$R$2:$R1091</xm:f>
          </x14:formula1>
          <xm:sqref>EA866:EA867 EA876</xm:sqref>
        </x14:dataValidation>
        <x14:dataValidation type="list" allowBlank="1" showErrorMessage="1" xr:uid="{B29A04D4-6686-45EB-A7F1-7C7B44907D16}">
          <x14:formula1>
            <xm:f>BASE!$R$2:$R1100</xm:f>
          </x14:formula1>
          <xm:sqref>EA879:EA880</xm:sqref>
        </x14:dataValidation>
        <x14:dataValidation type="list" allowBlank="1" showErrorMessage="1" xr:uid="{950C1357-73B4-43E9-8B09-97349260845C}">
          <x14:formula1>
            <xm:f>BASE!$R$2:$R1099</xm:f>
          </x14:formula1>
          <xm:sqref>EA873:EA874</xm:sqref>
        </x14:dataValidation>
        <x14:dataValidation type="list" allowBlank="1" showErrorMessage="1" xr:uid="{002F3AB6-F5F9-4591-95DD-70052502685D}">
          <x14:formula1>
            <xm:f>BASE!$R$2:$R1090</xm:f>
          </x14:formula1>
          <xm:sqref>EA863 EA871:EA872</xm:sqref>
        </x14:dataValidation>
        <x14:dataValidation type="list" allowBlank="1" showErrorMessage="1" xr:uid="{F4DE1C09-EA5D-47EF-B5DD-5F8315F857E8}">
          <x14:formula1>
            <xm:f>BASE!$R$2:$R1096</xm:f>
          </x14:formula1>
          <xm:sqref>EA865</xm:sqref>
        </x14:dataValidation>
        <x14:dataValidation type="list" allowBlank="1" showErrorMessage="1" xr:uid="{B3230C40-AA9F-452A-9F4C-51316910A2CA}">
          <x14:formula1>
            <xm:f>BASE!$R$2:$R1097</xm:f>
          </x14:formula1>
          <xm:sqref>EA868</xm:sqref>
        </x14:dataValidation>
        <x14:dataValidation type="list" allowBlank="1" showErrorMessage="1" xr:uid="{A6484D40-7F9C-4204-A3C3-C15CB8F2AB78}">
          <x14:formula1>
            <xm:f>BASE!$R$2:$R1098</xm:f>
          </x14:formula1>
          <xm:sqref>EA864</xm:sqref>
        </x14:dataValidation>
        <x14:dataValidation type="list" allowBlank="1" showErrorMessage="1" xr:uid="{77B93390-E85A-4CC7-B83E-A1A599631095}">
          <x14:formula1>
            <xm:f>BASE!$R$2:$R1090</xm:f>
          </x14:formula1>
          <xm:sqref>EA861 EA842</xm:sqref>
        </x14:dataValidation>
        <x14:dataValidation type="list" allowBlank="1" showErrorMessage="1" xr:uid="{E81FBB20-72D2-4A68-9342-384A28D83497}">
          <x14:formula1>
            <xm:f>BASE!$R$2:$R1097</xm:f>
          </x14:formula1>
          <xm:sqref>EA862</xm:sqref>
        </x14:dataValidation>
        <x14:dataValidation type="list" allowBlank="1" showErrorMessage="1" xr:uid="{01990DAF-86E8-4854-83C5-30267D95D2D6}">
          <x14:formula1>
            <xm:f>BASE!$R$2:$R1096</xm:f>
          </x14:formula1>
          <xm:sqref>EA860</xm:sqref>
        </x14:dataValidation>
        <x14:dataValidation type="list" allowBlank="1" showErrorMessage="1" xr:uid="{37BA9658-28F2-4E26-BBF6-A694357F48E4}">
          <x14:formula1>
            <xm:f>BASE!$R$2:$R1095</xm:f>
          </x14:formula1>
          <xm:sqref>EA857:EA859</xm:sqref>
        </x14:dataValidation>
        <x14:dataValidation type="list" allowBlank="1" showErrorMessage="1" xr:uid="{D7AA31ED-A007-4C10-8FDC-60FDE1F69DC0}">
          <x14:formula1>
            <xm:f>BASE!$R$2:$R1092</xm:f>
          </x14:formula1>
          <xm:sqref>EA855:EA856 EA853</xm:sqref>
        </x14:dataValidation>
        <x14:dataValidation type="list" allowBlank="1" showErrorMessage="1" xr:uid="{EA12D479-13D9-49BC-A3EC-DFBA7043F968}">
          <x14:formula1>
            <xm:f>BASE!$R$2:$R1091</xm:f>
          </x14:formula1>
          <xm:sqref>EA854 EA851</xm:sqref>
        </x14:dataValidation>
        <x14:dataValidation type="list" allowBlank="1" showErrorMessage="1" xr:uid="{DED73125-A397-4710-8833-1034E1CB11FA}">
          <x14:formula1>
            <xm:f>BASE!$R$2:$R1093</xm:f>
          </x14:formula1>
          <xm:sqref>EA852</xm:sqref>
        </x14:dataValidation>
        <x14:dataValidation type="list" allowBlank="1" showErrorMessage="1" xr:uid="{D6B2DEFE-8B53-4236-8D92-1236C8FA6F28}">
          <x14:formula1>
            <xm:f>BASE!$R$2:$R1091</xm:f>
          </x14:formula1>
          <xm:sqref>EA849:EA850</xm:sqref>
        </x14:dataValidation>
        <x14:dataValidation type="list" allowBlank="1" showErrorMessage="1" xr:uid="{065D1C9F-E0B6-4772-8C7C-0B34BB405A12}">
          <x14:formula1>
            <xm:f>BASE!$R$2:$R1091</xm:f>
          </x14:formula1>
          <xm:sqref>EA848</xm:sqref>
        </x14:dataValidation>
        <x14:dataValidation type="list" allowBlank="1" showErrorMessage="1" xr:uid="{A05CFEE3-83F1-401B-9E5F-0FAFCBB65BB8}">
          <x14:formula1>
            <xm:f>BASE!$R$2:$R1090</xm:f>
          </x14:formula1>
          <xm:sqref>EA846:EA847</xm:sqref>
        </x14:dataValidation>
        <x14:dataValidation type="list" allowBlank="1" showErrorMessage="1" xr:uid="{77A6CE25-0D02-4183-9312-880F8228AA6A}">
          <x14:formula1>
            <xm:f>BASE!$R$2:$R1090</xm:f>
          </x14:formula1>
          <xm:sqref>EA845</xm:sqref>
        </x14:dataValidation>
        <x14:dataValidation type="list" allowBlank="1" showErrorMessage="1" xr:uid="{D092B6C1-5C96-4C71-BC0E-20DD5DB8F322}">
          <x14:formula1>
            <xm:f>BASE!$R$2:$R1089</xm:f>
          </x14:formula1>
          <xm:sqref>EA840 EA843</xm:sqref>
        </x14:dataValidation>
        <x14:dataValidation type="list" allowBlank="1" showErrorMessage="1" xr:uid="{BF9E3C2D-949B-40B8-9021-E7D3EDE606F5}">
          <x14:formula1>
            <xm:f>BASE!$R$2:$R1091</xm:f>
          </x14:formula1>
          <xm:sqref>EA841</xm:sqref>
        </x14:dataValidation>
        <x14:dataValidation type="list" allowBlank="1" showErrorMessage="1" xr:uid="{5E998331-4B1B-42B3-99E2-C6DCEE85AAC4}">
          <x14:formula1>
            <xm:f>BASE!$R$2:$R1089</xm:f>
          </x14:formula1>
          <xm:sqref>EA838:EA839</xm:sqref>
        </x14:dataValidation>
        <x14:dataValidation type="list" allowBlank="1" showErrorMessage="1" xr:uid="{DF0060AD-2326-4710-8C4C-39737AFE02FD}">
          <x14:formula1>
            <xm:f>BASE!$R$2:$R1084</xm:f>
          </x14:formula1>
          <xm:sqref>EA832 EA837</xm:sqref>
        </x14:dataValidation>
        <x14:dataValidation type="list" allowBlank="1" showErrorMessage="1" xr:uid="{980A5FC9-F520-48F3-889E-78A3640915C7}">
          <x14:formula1>
            <xm:f>BASE!$R$2:$R1088</xm:f>
          </x14:formula1>
          <xm:sqref>EA835:EA836</xm:sqref>
        </x14:dataValidation>
        <x14:dataValidation type="list" allowBlank="1" showErrorMessage="1" xr:uid="{17B44F1B-F13D-4374-A26D-5F190E027C26}">
          <x14:formula1>
            <xm:f>BASE!$R$2:$R1085</xm:f>
          </x14:formula1>
          <xm:sqref>EA831 EA833</xm:sqref>
        </x14:dataValidation>
        <x14:dataValidation type="list" allowBlank="1" showErrorMessage="1" xr:uid="{4654AEF8-C4B7-41D4-A054-334B2DCF1A0A}">
          <x14:formula1>
            <xm:f>BASE!$R$2:$R1090</xm:f>
          </x14:formula1>
          <xm:sqref>EA834</xm:sqref>
        </x14:dataValidation>
        <x14:dataValidation type="list" allowBlank="1" showErrorMessage="1" xr:uid="{11D018D4-6078-4654-97E6-6C35B92A180B}">
          <x14:formula1>
            <xm:f>BASE!$R$2:$R1117</xm:f>
          </x14:formula1>
          <xm:sqref>EA830</xm:sqref>
        </x14:dataValidation>
        <x14:dataValidation type="list" allowBlank="1" showErrorMessage="1" xr:uid="{48CBA517-9541-4BA4-B2FA-F91BF43548F9}">
          <x14:formula1>
            <xm:f>BASE!$R$2:$R1117</xm:f>
          </x14:formula1>
          <xm:sqref>EA829</xm:sqref>
        </x14:dataValidation>
        <x14:dataValidation type="list" allowBlank="1" showErrorMessage="1" xr:uid="{F786BEFD-C22A-4CDE-891D-DABEADEC8D5F}">
          <x14:formula1>
            <xm:f>BASE!$R$2:$R1117</xm:f>
          </x14:formula1>
          <xm:sqref>EA828</xm:sqref>
        </x14:dataValidation>
        <x14:dataValidation type="list" allowBlank="1" showErrorMessage="1" xr:uid="{202BDA3F-A4F6-448A-A3DA-66DB9E567709}">
          <x14:formula1>
            <xm:f>BASE!$R$2:$R1117</xm:f>
          </x14:formula1>
          <xm:sqref>EA827</xm:sqref>
        </x14:dataValidation>
        <x14:dataValidation type="list" allowBlank="1" showErrorMessage="1" xr:uid="{4DB25BB2-4226-4F50-A058-C94FE4C6A96D}">
          <x14:formula1>
            <xm:f>BASE!$R$2:$R1077</xm:f>
          </x14:formula1>
          <xm:sqref>EA826 EA794:EA795 EA786</xm:sqref>
        </x14:dataValidation>
        <x14:dataValidation type="list" allowBlank="1" showErrorMessage="1" xr:uid="{35D48C5D-7D5D-4701-BAF7-5D70ACDC7703}">
          <x14:formula1>
            <xm:f>BASE!$R$2:$R1080</xm:f>
          </x14:formula1>
          <xm:sqref>EA825 EA791 EA788</xm:sqref>
        </x14:dataValidation>
        <x14:dataValidation type="list" allowBlank="1" showErrorMessage="1" xr:uid="{B5EFE462-851C-4981-A059-774C81A1CF09}">
          <x14:formula1>
            <xm:f>BASE!$R$2:$R1117</xm:f>
          </x14:formula1>
          <xm:sqref>EA824</xm:sqref>
        </x14:dataValidation>
        <x14:dataValidation type="list" allowBlank="1" showErrorMessage="1" xr:uid="{01DFE590-11AE-4F4A-8D3C-9A3154954AFE}">
          <x14:formula1>
            <xm:f>BASE!$R$2:$R1081</xm:f>
          </x14:formula1>
          <xm:sqref>EA823 EA787 EA793</xm:sqref>
        </x14:dataValidation>
        <x14:dataValidation type="list" allowBlank="1" showErrorMessage="1" xr:uid="{43CA33B0-02C1-4F02-B7EC-0A643991B6A7}">
          <x14:formula1>
            <xm:f>BASE!$R$2:$R1071</xm:f>
          </x14:formula1>
          <xm:sqref>EA822 EA776 EA783</xm:sqref>
        </x14:dataValidation>
        <x14:dataValidation type="list" allowBlank="1" showErrorMessage="1" xr:uid="{CEEC1C11-5CEA-4FA4-9037-550CF37DF9E0}">
          <x14:formula1>
            <xm:f>BASE!$R$2:$R1117</xm:f>
          </x14:formula1>
          <xm:sqref>EA821</xm:sqref>
        </x14:dataValidation>
        <x14:dataValidation type="list" allowBlank="1" showErrorMessage="1" xr:uid="{39CACD3C-6BEF-4001-9180-01B8EBC9C0AF}">
          <x14:formula1>
            <xm:f>BASE!$R$2:$R1117</xm:f>
          </x14:formula1>
          <xm:sqref>EA820</xm:sqref>
        </x14:dataValidation>
        <x14:dataValidation type="list" allowBlank="1" showErrorMessage="1" xr:uid="{016707DB-38EB-4AB7-A575-B1FBD6FE959F}">
          <x14:formula1>
            <xm:f>BASE!$R$2:$R1073</xm:f>
          </x14:formula1>
          <xm:sqref>EA819 EA775</xm:sqref>
        </x14:dataValidation>
        <x14:dataValidation type="list" allowBlank="1" showErrorMessage="1" xr:uid="{34F5CE19-14D7-4773-8847-81CD962F3690}">
          <x14:formula1>
            <xm:f>BASE!$R$2:$R1072</xm:f>
          </x14:formula1>
          <xm:sqref>EA818 EA773</xm:sqref>
        </x14:dataValidation>
        <x14:dataValidation type="list" allowBlank="1" showErrorMessage="1" xr:uid="{E2716568-7FE9-4043-ADEA-FAFD543A87AE}">
          <x14:formula1>
            <xm:f>BASE!$R$2:$R1117</xm:f>
          </x14:formula1>
          <xm:sqref>EA817</xm:sqref>
        </x14:dataValidation>
        <x14:dataValidation type="list" allowBlank="1" showErrorMessage="1" xr:uid="{9C7831D2-E311-47C4-9EF7-88873E5066F4}">
          <x14:formula1>
            <xm:f>BASE!$R$2:$R1117</xm:f>
          </x14:formula1>
          <xm:sqref>EA816</xm:sqref>
        </x14:dataValidation>
        <x14:dataValidation type="list" allowBlank="1" showErrorMessage="1" xr:uid="{AFC3B6E4-EA38-4798-B335-B81D1874825A}">
          <x14:formula1>
            <xm:f>BASE!$R$2:$R1117</xm:f>
          </x14:formula1>
          <xm:sqref>EA815</xm:sqref>
        </x14:dataValidation>
        <x14:dataValidation type="list" allowBlank="1" showErrorMessage="1" xr:uid="{AA8B0A7F-B6DF-4A13-BC0A-D15F0AFBB643}">
          <x14:formula1>
            <xm:f>BASE!$R$2:$R1117</xm:f>
          </x14:formula1>
          <xm:sqref>EA814</xm:sqref>
        </x14:dataValidation>
        <x14:dataValidation type="list" allowBlank="1" showErrorMessage="1" xr:uid="{010781EB-10F3-4500-BEA9-C08E90EE7256}">
          <x14:formula1>
            <xm:f>BASE!$R$2:$R1117</xm:f>
          </x14:formula1>
          <xm:sqref>EA813</xm:sqref>
        </x14:dataValidation>
        <x14:dataValidation type="list" allowBlank="1" showErrorMessage="1" xr:uid="{D8A1837C-1E0B-4A58-AD2F-51A0442C582D}">
          <x14:formula1>
            <xm:f>BASE!$R$2:$R1117</xm:f>
          </x14:formula1>
          <xm:sqref>EA812</xm:sqref>
        </x14:dataValidation>
        <x14:dataValidation type="list" allowBlank="1" showErrorMessage="1" xr:uid="{723EF782-2F23-487C-92D0-E6035C96656E}">
          <x14:formula1>
            <xm:f>BASE!$R$2:$R1117</xm:f>
          </x14:formula1>
          <xm:sqref>EA811</xm:sqref>
        </x14:dataValidation>
        <x14:dataValidation type="list" allowBlank="1" showErrorMessage="1" xr:uid="{0EE1B3DD-7277-4233-B3D3-6C13DF5C8ECF}">
          <x14:formula1>
            <xm:f>BASE!$R$2:$R1117</xm:f>
          </x14:formula1>
          <xm:sqref>EA810</xm:sqref>
        </x14:dataValidation>
        <x14:dataValidation type="list" allowBlank="1" showErrorMessage="1" xr:uid="{647F442C-4824-41C5-A7D3-213929520807}">
          <x14:formula1>
            <xm:f>BASE!$R$2:$R1117</xm:f>
          </x14:formula1>
          <xm:sqref>EA809</xm:sqref>
        </x14:dataValidation>
        <x14:dataValidation type="list" allowBlank="1" showErrorMessage="1" xr:uid="{F2AF1086-021D-4AD9-9815-02E440392999}">
          <x14:formula1>
            <xm:f>BASE!$R$2:$R1117</xm:f>
          </x14:formula1>
          <xm:sqref>EA808</xm:sqref>
        </x14:dataValidation>
        <x14:dataValidation type="list" allowBlank="1" showErrorMessage="1" xr:uid="{7A14EA69-2838-4A6A-8BE0-9035767A0465}">
          <x14:formula1>
            <xm:f>BASE!$R$2:$R1117</xm:f>
          </x14:formula1>
          <xm:sqref>EA807</xm:sqref>
        </x14:dataValidation>
        <x14:dataValidation type="list" allowBlank="1" showErrorMessage="1" xr:uid="{56DFAB78-6D8B-42A2-9E32-6C4D191204FB}">
          <x14:formula1>
            <xm:f>BASE!$R$2:$R1117</xm:f>
          </x14:formula1>
          <xm:sqref>EA806</xm:sqref>
        </x14:dataValidation>
        <x14:dataValidation type="list" allowBlank="1" showErrorMessage="1" xr:uid="{E0289E75-DE34-4A92-8F97-F34CCA8137D3}">
          <x14:formula1>
            <xm:f>BASE!$R$2:$R1117</xm:f>
          </x14:formula1>
          <xm:sqref>EA805</xm:sqref>
        </x14:dataValidation>
        <x14:dataValidation type="list" allowBlank="1" showErrorMessage="1" xr:uid="{D41F6883-68D6-487E-8401-EE812285F276}">
          <x14:formula1>
            <xm:f>BASE!$R$2:$R1117</xm:f>
          </x14:formula1>
          <xm:sqref>EA804</xm:sqref>
        </x14:dataValidation>
        <x14:dataValidation type="list" allowBlank="1" showErrorMessage="1" xr:uid="{97C3EBF9-86F1-47DD-9DBF-5239A3B659D4}">
          <x14:formula1>
            <xm:f>BASE!$R$2:$R1117</xm:f>
          </x14:formula1>
          <xm:sqref>EA803</xm:sqref>
        </x14:dataValidation>
        <x14:dataValidation type="list" allowBlank="1" showErrorMessage="1" xr:uid="{F2157CE2-E57D-4951-ABDF-402116B63EB1}">
          <x14:formula1>
            <xm:f>BASE!$R$2:$R1117</xm:f>
          </x14:formula1>
          <xm:sqref>EA802</xm:sqref>
        </x14:dataValidation>
        <x14:dataValidation type="list" allowBlank="1" showErrorMessage="1" xr:uid="{24FF6F03-26DD-4255-85CE-A3F98EFBC220}">
          <x14:formula1>
            <xm:f>BASE!$R$2:$R1117</xm:f>
          </x14:formula1>
          <xm:sqref>EA801</xm:sqref>
        </x14:dataValidation>
        <x14:dataValidation type="list" allowBlank="1" showErrorMessage="1" xr:uid="{D923A12F-FF32-4EFB-9D19-125339B1158A}">
          <x14:formula1>
            <xm:f>BASE!$R$2:$R1082</xm:f>
          </x14:formula1>
          <xm:sqref>EA796</xm:sqref>
        </x14:dataValidation>
        <x14:dataValidation type="list" allowBlank="1" showErrorMessage="1" xr:uid="{79B66E99-B86A-4A84-A0B3-0353ED10E23B}">
          <x14:formula1>
            <xm:f>BASE!$R$2:$R1083</xm:f>
          </x14:formula1>
          <xm:sqref>EA800</xm:sqref>
        </x14:dataValidation>
        <x14:dataValidation type="list" allowBlank="1" showErrorMessage="1" xr:uid="{CC0F4B7E-7E3B-497D-9304-C9F56C979A64}">
          <x14:formula1>
            <xm:f>BASE!$R$2:$R1082</xm:f>
          </x14:formula1>
          <xm:sqref>EA797:EA799</xm:sqref>
        </x14:dataValidation>
        <x14:dataValidation type="list" allowBlank="1" showErrorMessage="1" xr:uid="{156290ED-1C57-4188-8B86-49107D0921D6}">
          <x14:formula1>
            <xm:f>BASE!$R$2:$R1119</xm:f>
          </x14:formula1>
          <xm:sqref>EA792</xm:sqref>
        </x14:dataValidation>
        <x14:dataValidation type="list" allowBlank="1" showErrorMessage="1" xr:uid="{4B49E7B6-11E0-4652-93AF-75D136C621D0}">
          <x14:formula1>
            <xm:f>BASE!$R$2:$R1098</xm:f>
          </x14:formula1>
          <xm:sqref>EA789 EA769:EA770 EA779:EA780</xm:sqref>
        </x14:dataValidation>
        <x14:dataValidation type="list" allowBlank="1" showErrorMessage="1" xr:uid="{374435BB-A782-4FB8-9BA9-885DE355C707}">
          <x14:formula1>
            <xm:f>BASE!$R$2:$R1095</xm:f>
          </x14:formula1>
          <xm:sqref>EA790 EA771</xm:sqref>
        </x14:dataValidation>
        <x14:dataValidation type="list" allowBlank="1" showErrorMessage="1" xr:uid="{7DB65022-C218-4773-A540-064F26CD2CFD}">
          <x14:formula1>
            <xm:f>BASE!$R$2:$R1095</xm:f>
          </x14:formula1>
          <xm:sqref>EA765</xm:sqref>
        </x14:dataValidation>
        <x14:dataValidation type="list" allowBlank="1" showErrorMessage="1" xr:uid="{17D7D3F7-06E9-43F8-B58D-15EC7CFCF9DC}">
          <x14:formula1>
            <xm:f>BASE!$R$2:$R1097</xm:f>
          </x14:formula1>
          <xm:sqref>EA778 EA764</xm:sqref>
        </x14:dataValidation>
        <x14:dataValidation type="list" allowBlank="1" showErrorMessage="1" xr:uid="{8959E942-A93E-4FC5-B11E-B38BEA094515}">
          <x14:formula1>
            <xm:f>BASE!$R$2:$R1097</xm:f>
          </x14:formula1>
          <xm:sqref>EA777 EA760</xm:sqref>
        </x14:dataValidation>
        <x14:dataValidation type="list" allowBlank="1" showErrorMessage="1" xr:uid="{EBA56069-4FAC-4CF5-B8A3-33183A7DA61E}">
          <x14:formula1>
            <xm:f>BASE!$R$2:$R1094</xm:f>
          </x14:formula1>
          <xm:sqref>EA774 EA758 EA772</xm:sqref>
        </x14:dataValidation>
        <x14:dataValidation type="list" allowBlank="1" showErrorMessage="1" xr:uid="{F4AF2D37-D265-49FA-9B47-50286492262B}">
          <x14:formula1>
            <xm:f>BASE!$R$2:$R1094</xm:f>
          </x14:formula1>
          <xm:sqref>EA763 EA766</xm:sqref>
        </x14:dataValidation>
        <x14:dataValidation type="list" allowBlank="1" showErrorMessage="1" xr:uid="{8AC94054-431F-4709-8A38-9C081EF4C26F}">
          <x14:formula1>
            <xm:f>BASE!$R$2:$R1097</xm:f>
          </x14:formula1>
          <xm:sqref>EA762</xm:sqref>
        </x14:dataValidation>
        <x14:dataValidation type="list" allowBlank="1" showErrorMessage="1" xr:uid="{A259D156-E1D1-4527-8E17-D56178234DC8}">
          <x14:formula1>
            <xm:f>BASE!$R$2:$R1095</xm:f>
          </x14:formula1>
          <xm:sqref>EA761</xm:sqref>
        </x14:dataValidation>
        <x14:dataValidation type="list" allowBlank="1" showErrorMessage="1" xr:uid="{A0297017-F5A3-4C00-9594-85C783DB541A}">
          <x14:formula1>
            <xm:f>BASE!$R$2:$R1106</xm:f>
          </x14:formula1>
          <xm:sqref>EA768</xm:sqref>
        </x14:dataValidation>
        <x14:dataValidation type="list" allowBlank="1" showErrorMessage="1" xr:uid="{0EB0D6FA-4C10-49DA-B349-69FA4E9371E5}">
          <x14:formula1>
            <xm:f>BASE!$R$2:$R1091</xm:f>
          </x14:formula1>
          <xm:sqref>EA752</xm:sqref>
        </x14:dataValidation>
        <x14:dataValidation type="list" allowBlank="1" showErrorMessage="1" xr:uid="{F55A74D4-208D-46C8-93B2-0F24201486A0}">
          <x14:formula1>
            <xm:f>BASE!$R$2:$R1111</xm:f>
          </x14:formula1>
          <xm:sqref>EA767</xm:sqref>
        </x14:dataValidation>
        <x14:dataValidation type="list" allowBlank="1" showErrorMessage="1" xr:uid="{8FDB0C84-FBA3-4597-AC6E-3E61E0B496A3}">
          <x14:formula1>
            <xm:f>BASE!$R$2:$R1099</xm:f>
          </x14:formula1>
          <xm:sqref>EA759</xm:sqref>
        </x14:dataValidation>
        <x14:dataValidation type="list" allowBlank="1" showErrorMessage="1" xr:uid="{0245A28F-BB53-433F-8AB8-9382FC5D75EE}">
          <x14:formula1>
            <xm:f>BASE!$R$2:$R1099</xm:f>
          </x14:formula1>
          <xm:sqref>EA754</xm:sqref>
        </x14:dataValidation>
        <x14:dataValidation type="list" allowBlank="1" showErrorMessage="1" xr:uid="{490E5B4C-7CE5-4EA5-B266-8CB8C4746EBC}">
          <x14:formula1>
            <xm:f>BASE!$R$2:$R1104</xm:f>
          </x14:formula1>
          <xm:sqref>EA756</xm:sqref>
        </x14:dataValidation>
        <x14:dataValidation type="list" allowBlank="1" showErrorMessage="1" xr:uid="{B9FD83C1-B9F8-4495-98EA-0E124809F986}">
          <x14:formula1>
            <xm:f>BASE!$R$2:$R1097</xm:f>
          </x14:formula1>
          <xm:sqref>EA751 EA755 EA748</xm:sqref>
        </x14:dataValidation>
        <x14:dataValidation type="list" allowBlank="1" showErrorMessage="1" xr:uid="{38A02054-E680-499D-A1B6-0EE756668D39}">
          <x14:formula1>
            <xm:f>BASE!$R$2:$R1107</xm:f>
          </x14:formula1>
          <xm:sqref>EA757</xm:sqref>
        </x14:dataValidation>
        <x14:dataValidation type="list" allowBlank="1" showErrorMessage="1" xr:uid="{9691E427-F1DC-443A-AE15-53983B1F5358}">
          <x14:formula1>
            <xm:f>BASE!$R$2:$R1104</xm:f>
          </x14:formula1>
          <xm:sqref>EA753</xm:sqref>
        </x14:dataValidation>
        <x14:dataValidation type="list" allowBlank="1" showErrorMessage="1" xr:uid="{4350C38E-F3AC-4473-8829-2BB2EA74575A}">
          <x14:formula1>
            <xm:f>BASE!$R$2:$R1101</xm:f>
          </x14:formula1>
          <xm:sqref>EA749</xm:sqref>
        </x14:dataValidation>
        <x14:dataValidation type="list" allowBlank="1" showErrorMessage="1" xr:uid="{1CFC86A1-999D-4FEE-9177-C40417991D82}">
          <x14:formula1>
            <xm:f>BASE!$R$2:$R1106</xm:f>
          </x14:formula1>
          <xm:sqref>EA750</xm:sqref>
        </x14:dataValidation>
        <x14:dataValidation type="list" allowBlank="1" showErrorMessage="1" xr:uid="{F2AB743F-3DFA-4C5B-90C8-74F726BBA7AB}">
          <x14:formula1>
            <xm:f>BASE!$R$2:$R1104</xm:f>
          </x14:formula1>
          <xm:sqref>EA747</xm:sqref>
        </x14:dataValidation>
        <x14:dataValidation type="list" allowBlank="1" showErrorMessage="1" xr:uid="{5927232D-8452-40C7-999D-0B7F3620A401}">
          <x14:formula1>
            <xm:f>BASE!$R$2:$R1102</xm:f>
          </x14:formula1>
          <xm:sqref>EA744</xm:sqref>
        </x14:dataValidation>
        <x14:dataValidation type="list" allowBlank="1" showErrorMessage="1" xr:uid="{7C5836BF-BDA4-4E65-928C-F7064D299BCB}">
          <x14:formula1>
            <xm:f>BASE!$R$2:$R1100</xm:f>
          </x14:formula1>
          <xm:sqref>EA746 EA734</xm:sqref>
        </x14:dataValidation>
        <x14:dataValidation type="list" allowBlank="1" showErrorMessage="1" xr:uid="{DB65BCD8-A126-42A6-92C8-C4E9066F0EBD}">
          <x14:formula1>
            <xm:f>BASE!$R$2:$R1084</xm:f>
          </x14:formula1>
          <xm:sqref>EA745 EA724 EA742</xm:sqref>
        </x14:dataValidation>
        <x14:dataValidation type="list" allowBlank="1" showErrorMessage="1" xr:uid="{A36CF967-02D5-4182-B6CB-3145526C20BC}">
          <x14:formula1>
            <xm:f>BASE!$R$2:$R1090</xm:f>
          </x14:formula1>
          <xm:sqref>EA743 EA728 EA740:EA741</xm:sqref>
        </x14:dataValidation>
        <x14:dataValidation type="list" allowBlank="1" showErrorMessage="1" xr:uid="{F4FC9042-19D6-466C-8207-611C8E22509C}">
          <x14:formula1>
            <xm:f>BASE!$R$2:$R1100</xm:f>
          </x14:formula1>
          <xm:sqref>EA739</xm:sqref>
        </x14:dataValidation>
        <x14:dataValidation type="list" allowBlank="1" showErrorMessage="1" xr:uid="{E75F26D1-E71B-4F28-9389-CC8695766541}">
          <x14:formula1>
            <xm:f>BASE!$R$2:$R1072</xm:f>
          </x14:formula1>
          <xm:sqref>EA738 EA709</xm:sqref>
        </x14:dataValidation>
        <x14:dataValidation type="list" allowBlank="1" showErrorMessage="1" xr:uid="{1C5DCC1D-A717-45FB-8B41-68D391DF60D6}">
          <x14:formula1>
            <xm:f>BASE!$R$2:$R1109</xm:f>
          </x14:formula1>
          <xm:sqref>EA737</xm:sqref>
        </x14:dataValidation>
        <x14:dataValidation type="list" allowBlank="1" showErrorMessage="1" xr:uid="{D7827CD6-A55E-4787-A3B2-C19AABCA894E}">
          <x14:formula1>
            <xm:f>BASE!$R$2:$R1109</xm:f>
          </x14:formula1>
          <xm:sqref>EA736</xm:sqref>
        </x14:dataValidation>
        <x14:dataValidation type="list" allowBlank="1" showErrorMessage="1" xr:uid="{DEC8BDED-3977-47DF-8A3B-BEDA7D75960C}">
          <x14:formula1>
            <xm:f>BASE!$R$2:$R1091</xm:f>
          </x14:formula1>
          <xm:sqref>EA735 EA716 EA719</xm:sqref>
        </x14:dataValidation>
        <x14:dataValidation type="list" allowBlank="1" showErrorMessage="1" xr:uid="{F10D0531-575C-4628-BD61-0C0955AC293D}">
          <x14:formula1>
            <xm:f>BASE!$R$2:$R1086</xm:f>
          </x14:formula1>
          <xm:sqref>EA729 EA727</xm:sqref>
        </x14:dataValidation>
        <x14:dataValidation type="list" allowBlank="1" showErrorMessage="1" xr:uid="{2792C22D-3207-4171-81A3-70EDC9E5B082}">
          <x14:formula1>
            <xm:f>BASE!$R$2:$R1100</xm:f>
          </x14:formula1>
          <xm:sqref>EA726</xm:sqref>
        </x14:dataValidation>
        <x14:dataValidation type="list" allowBlank="1" showErrorMessage="1" xr:uid="{7D63788F-7524-4F32-9E98-626653715BCF}">
          <x14:formula1>
            <xm:f>BASE!$R$2:$R1086</xm:f>
          </x14:formula1>
          <xm:sqref>EA718</xm:sqref>
        </x14:dataValidation>
        <x14:dataValidation type="list" allowBlank="1" showErrorMessage="1" xr:uid="{3B3F1D7B-5833-4DAD-B236-895ADC0634DE}">
          <x14:formula1>
            <xm:f>BASE!$R$2:$R1102</xm:f>
          </x14:formula1>
          <xm:sqref>EA723 EA732:EA733</xm:sqref>
        </x14:dataValidation>
        <x14:dataValidation type="list" allowBlank="1" showErrorMessage="1" xr:uid="{27E8E112-B04C-466A-B472-03BC61B5BA4A}">
          <x14:formula1>
            <xm:f>BASE!$R$2:$R1103</xm:f>
          </x14:formula1>
          <xm:sqref>EA730 EA722</xm:sqref>
        </x14:dataValidation>
        <x14:dataValidation type="list" allowBlank="1" showErrorMessage="1" xr:uid="{53839776-7F4D-4E50-9237-1D41AD29ABFC}">
          <x14:formula1>
            <xm:f>BASE!$R$2:$R1117</xm:f>
          </x14:formula1>
          <xm:sqref>EA731</xm:sqref>
        </x14:dataValidation>
        <x14:dataValidation type="list" allowBlank="1" showErrorMessage="1" xr:uid="{1D28EAFC-5609-4975-B396-F9120E499225}">
          <x14:formula1>
            <xm:f>BASE!$R$2:$R1107</xm:f>
          </x14:formula1>
          <xm:sqref>EA725</xm:sqref>
        </x14:dataValidation>
        <x14:dataValidation type="list" allowBlank="1" showErrorMessage="1" xr:uid="{5569EFE0-0E99-4F14-8A18-8092C870CD16}">
          <x14:formula1>
            <xm:f>BASE!$R$2:$R1075</xm:f>
          </x14:formula1>
          <xm:sqref>EA721 EA699</xm:sqref>
        </x14:dataValidation>
        <x14:dataValidation type="list" allowBlank="1" showErrorMessage="1" xr:uid="{CC92E030-4DE2-43D8-B791-9127158DEC3E}">
          <x14:formula1>
            <xm:f>BASE!$R$2:$R1105</xm:f>
          </x14:formula1>
          <xm:sqref>EA717</xm:sqref>
        </x14:dataValidation>
        <x14:dataValidation type="list" allowBlank="1" showErrorMessage="1" xr:uid="{084A2B03-4B5B-47AD-987B-E2962B3FB413}">
          <x14:formula1>
            <xm:f>BASE!$R$2:$R1090</xm:f>
          </x14:formula1>
          <xm:sqref>EA713</xm:sqref>
        </x14:dataValidation>
        <x14:dataValidation type="list" allowBlank="1" showErrorMessage="1" xr:uid="{D7E0699E-6BB4-4577-BF81-55BB1556D9B1}">
          <x14:formula1>
            <xm:f>BASE!$R$2:$R1100</xm:f>
          </x14:formula1>
          <xm:sqref>EA714 EA711</xm:sqref>
        </x14:dataValidation>
        <x14:dataValidation type="list" allowBlank="1" showErrorMessage="1" xr:uid="{809432FD-525E-4D51-B030-0D61F4044C67}">
          <x14:formula1>
            <xm:f>BASE!$R$2:$R1061</xm:f>
          </x14:formula1>
          <xm:sqref>EA712 EA708 EA670</xm:sqref>
        </x14:dataValidation>
        <x14:dataValidation type="list" allowBlank="1" showErrorMessage="1" xr:uid="{7933A459-4B18-47B4-A2D8-48AAC8075AAF}">
          <x14:formula1>
            <xm:f>BASE!$R$2:$R1110</xm:f>
          </x14:formula1>
          <xm:sqref>EA715</xm:sqref>
        </x14:dataValidation>
        <x14:dataValidation type="list" allowBlank="1" showErrorMessage="1" xr:uid="{6214F9AD-201D-43DB-B79F-84196F207252}">
          <x14:formula1>
            <xm:f>BASE!$R$2:$R1100</xm:f>
          </x14:formula1>
          <xm:sqref>EA710</xm:sqref>
        </x14:dataValidation>
        <x14:dataValidation type="list" allowBlank="1" showErrorMessage="1" xr:uid="{C2EBFFD1-0D4D-44A7-B015-78DA64C83C23}">
          <x14:formula1>
            <xm:f>BASE!$R$2:$R730</xm:f>
          </x14:formula1>
          <xm:sqref>EA720 EA514 EA169:EA215 EA504</xm:sqref>
        </x14:dataValidation>
        <x14:dataValidation type="list" allowBlank="1" showErrorMessage="1" xr:uid="{42558755-6DE0-4112-B83E-9074BCB850BE}">
          <x14:formula1>
            <xm:f>BASE!$R$2:$R1085</xm:f>
          </x14:formula1>
          <xm:sqref>EA707</xm:sqref>
        </x14:dataValidation>
        <x14:dataValidation type="list" allowBlank="1" showErrorMessage="1" xr:uid="{27E55833-0852-48A4-AC01-FB3488D068B6}">
          <x14:formula1>
            <xm:f>BASE!$R$2:$R1059</xm:f>
          </x14:formula1>
          <xm:sqref>EA665</xm:sqref>
        </x14:dataValidation>
        <x14:dataValidation type="list" allowBlank="1" showErrorMessage="1" xr:uid="{752D71A8-3383-4C04-AD80-1BC319E30748}">
          <x14:formula1>
            <xm:f>BASE!$R$2:$R1079</xm:f>
          </x14:formula1>
          <xm:sqref>EA705 EA686 EA690</xm:sqref>
        </x14:dataValidation>
        <x14:dataValidation type="list" allowBlank="1" showErrorMessage="1" xr:uid="{12708568-CC83-4497-813B-621F8AFD3BDD}">
          <x14:formula1>
            <xm:f>BASE!$R$2:$R1095</xm:f>
          </x14:formula1>
          <xm:sqref>EA703</xm:sqref>
        </x14:dataValidation>
        <x14:dataValidation type="list" allowBlank="1" showErrorMessage="1" xr:uid="{29DED6AA-EC46-48E8-BD07-E73E3337ABFF}">
          <x14:formula1>
            <xm:f>BASE!$R$2:$R1101</xm:f>
          </x14:formula1>
          <xm:sqref>EA704 EA706</xm:sqref>
        </x14:dataValidation>
        <x14:dataValidation type="list" allowBlank="1" showErrorMessage="1" xr:uid="{46DE55BC-15CC-46EE-AB55-8810905045CE}">
          <x14:formula1>
            <xm:f>BASE!$R$2:$R1101</xm:f>
          </x14:formula1>
          <xm:sqref>EA700</xm:sqref>
        </x14:dataValidation>
        <x14:dataValidation type="list" allowBlank="1" showErrorMessage="1" xr:uid="{F21A519E-9248-4565-A6FA-ABC2F5FE4E0F}">
          <x14:formula1>
            <xm:f>BASE!$R$2:$R1098</xm:f>
          </x14:formula1>
          <xm:sqref>EA701 EA694</xm:sqref>
        </x14:dataValidation>
        <x14:dataValidation type="list" allowBlank="1" showErrorMessage="1" xr:uid="{83F4DD3B-E876-4C74-A8AF-BC91256E8167}">
          <x14:formula1>
            <xm:f>BASE!$R$2:$R1098</xm:f>
          </x14:formula1>
          <xm:sqref>EA702 EA693</xm:sqref>
        </x14:dataValidation>
        <x14:dataValidation type="list" allowBlank="1" showErrorMessage="1" xr:uid="{A376A27C-10A9-4D45-9A1E-981B171C443A}">
          <x14:formula1>
            <xm:f>BASE!$R$2:$R1095</xm:f>
          </x14:formula1>
          <xm:sqref>EA696 EA698</xm:sqref>
        </x14:dataValidation>
        <x14:dataValidation type="list" allowBlank="1" showErrorMessage="1" xr:uid="{B5247804-5F54-48EE-AA83-94A85CC6F72A}">
          <x14:formula1>
            <xm:f>BASE!$R$2:$R1097</xm:f>
          </x14:formula1>
          <xm:sqref>EA697</xm:sqref>
        </x14:dataValidation>
        <x14:dataValidation type="list" allowBlank="1" showErrorMessage="1" xr:uid="{034F13C0-914E-4468-8499-118A6ED1F310}">
          <x14:formula1>
            <xm:f>BASE!$R$2:$R1098</xm:f>
          </x14:formula1>
          <xm:sqref>EA695</xm:sqref>
        </x14:dataValidation>
        <x14:dataValidation type="list" allowBlank="1" showErrorMessage="1" xr:uid="{6B1C4E5B-69ED-41B7-8CBF-71987F74982A}">
          <x14:formula1>
            <xm:f>BASE!$R$2:$R1098</xm:f>
          </x14:formula1>
          <xm:sqref>EA692</xm:sqref>
        </x14:dataValidation>
        <x14:dataValidation type="list" allowBlank="1" showErrorMessage="1" xr:uid="{E5FE4615-CAD6-483F-AD96-1F445D89CF48}">
          <x14:formula1>
            <xm:f>BASE!$R$2:$R1100</xm:f>
          </x14:formula1>
          <xm:sqref>EA691</xm:sqref>
        </x14:dataValidation>
        <x14:dataValidation type="list" allowBlank="1" showErrorMessage="1" xr:uid="{4BA6C4D6-D02D-4713-9DF9-A97A733AB631}">
          <x14:formula1>
            <xm:f>BASE!$R$2:$R1096</xm:f>
          </x14:formula1>
          <xm:sqref>EA689</xm:sqref>
        </x14:dataValidation>
        <x14:dataValidation type="list" allowBlank="1" showErrorMessage="1" xr:uid="{AD7ACDA5-96D2-4D9F-9F3A-93A012101C18}">
          <x14:formula1>
            <xm:f>BASE!$R$2:$R1095</xm:f>
          </x14:formula1>
          <xm:sqref>EA685</xm:sqref>
        </x14:dataValidation>
        <x14:dataValidation type="list" allowBlank="1" showErrorMessage="1" xr:uid="{78A957DA-A02A-4057-B5B3-699A9EFDA26E}">
          <x14:formula1>
            <xm:f>BASE!$R$2:$R1101</xm:f>
          </x14:formula1>
          <xm:sqref>EA687</xm:sqref>
        </x14:dataValidation>
        <x14:dataValidation type="list" allowBlank="1" showErrorMessage="1" xr:uid="{A94CEA23-51B7-4BB2-AB98-A86FFF573728}">
          <x14:formula1>
            <xm:f>BASE!$R$2:$R1098</xm:f>
          </x14:formula1>
          <xm:sqref>EA688 EA676</xm:sqref>
        </x14:dataValidation>
        <x14:dataValidation type="list" allowBlank="1" showErrorMessage="1" xr:uid="{4848E880-34E3-4D72-B188-40AEA8A15CD9}">
          <x14:formula1>
            <xm:f>BASE!$R$2:$R1096</xm:f>
          </x14:formula1>
          <xm:sqref>EA681</xm:sqref>
        </x14:dataValidation>
        <x14:dataValidation type="list" allowBlank="1" showErrorMessage="1" xr:uid="{0C7A32BD-D0C3-405D-8017-E197B61C71BE}">
          <x14:formula1>
            <xm:f>BASE!$R$2:$R1095</xm:f>
          </x14:formula1>
          <xm:sqref>EA674</xm:sqref>
        </x14:dataValidation>
        <x14:dataValidation type="list" allowBlank="1" showErrorMessage="1" xr:uid="{BE80B8C8-4A0E-48D0-A9E5-A780985C61BF}">
          <x14:formula1>
            <xm:f>BASE!$R$2:$R1091</xm:f>
          </x14:formula1>
          <xm:sqref>EA673</xm:sqref>
        </x14:dataValidation>
        <x14:dataValidation type="list" allowBlank="1" showErrorMessage="1" xr:uid="{882AE0FE-05CE-4471-A155-86C1A99FAD6A}">
          <x14:formula1>
            <xm:f>BASE!$R$2:$R1094</xm:f>
          </x14:formula1>
          <xm:sqref>EA680 EA675</xm:sqref>
        </x14:dataValidation>
        <x14:dataValidation type="list" allowBlank="1" showErrorMessage="1" xr:uid="{A099D0E3-86CF-411E-A7E1-ABF47791554B}">
          <x14:formula1>
            <xm:f>BASE!$R$2:$R1091</xm:f>
          </x14:formula1>
          <xm:sqref>EA671</xm:sqref>
        </x14:dataValidation>
        <x14:dataValidation type="list" allowBlank="1" showErrorMessage="1" xr:uid="{EAB8CD6E-3EC6-4ED5-B7A6-0AB6C103DC4C}">
          <x14:formula1>
            <xm:f>BASE!$R$2:$R1097</xm:f>
          </x14:formula1>
          <xm:sqref>EA672</xm:sqref>
        </x14:dataValidation>
        <x14:dataValidation type="list" allowBlank="1" showErrorMessage="1" xr:uid="{FD169EA3-2948-40FA-8007-8EB9DF5FC52E}">
          <x14:formula1>
            <xm:f>BASE!$R$2:$R1110</xm:f>
          </x14:formula1>
          <xm:sqref>EA684</xm:sqref>
        </x14:dataValidation>
        <x14:dataValidation type="list" allowBlank="1" showErrorMessage="1" xr:uid="{A50E74D2-A5D8-47E4-AFA5-D838937506BC}">
          <x14:formula1>
            <xm:f>BASE!$R$2:$R1088</xm:f>
          </x14:formula1>
          <xm:sqref>EA679 EA664</xm:sqref>
        </x14:dataValidation>
        <x14:dataValidation type="list" allowBlank="1" showErrorMessage="1" xr:uid="{6B46945F-8355-4FFC-A2EA-4B5D546ED54A}">
          <x14:formula1>
            <xm:f>BASE!$R$2:$R1095</xm:f>
          </x14:formula1>
          <xm:sqref>EA666 EA677:EA678</xm:sqref>
        </x14:dataValidation>
        <x14:dataValidation type="list" allowBlank="1" showErrorMessage="1" xr:uid="{529AB822-460C-4120-AE40-C0B08497EF99}">
          <x14:formula1>
            <xm:f>BASE!$R$2:$R1096</xm:f>
          </x14:formula1>
          <xm:sqref>EA669</xm:sqref>
        </x14:dataValidation>
        <x14:dataValidation type="list" allowBlank="1" showErrorMessage="1" xr:uid="{6439B54A-BCC6-45A7-A18C-40FBE81096CF}">
          <x14:formula1>
            <xm:f>BASE!$R$2:$R1092</xm:f>
          </x14:formula1>
          <xm:sqref>EA662</xm:sqref>
        </x14:dataValidation>
        <x14:dataValidation type="list" allowBlank="1" showErrorMessage="1" xr:uid="{3BBA2363-C133-4666-9494-49E4E695146B}">
          <x14:formula1>
            <xm:f>BASE!$R$2:$R1090</xm:f>
          </x14:formula1>
          <xm:sqref>EA657 EA652:EA655</xm:sqref>
        </x14:dataValidation>
        <x14:dataValidation type="list" allowBlank="1" showErrorMessage="1" xr:uid="{3FB577AB-B5B8-4634-968F-10E44571744F}">
          <x14:formula1>
            <xm:f>BASE!$R$2:$R1083</xm:f>
          </x14:formula1>
          <xm:sqref>EA641</xm:sqref>
        </x14:dataValidation>
        <x14:dataValidation type="list" allowBlank="1" showErrorMessage="1" xr:uid="{F7E20BAD-736C-4857-BE24-DC1373CF15BC}">
          <x14:formula1>
            <xm:f>BASE!$R$2:$R1059</xm:f>
          </x14:formula1>
          <xm:sqref>EA650 EA661 EA644 EA616</xm:sqref>
        </x14:dataValidation>
        <x14:dataValidation type="list" allowBlank="1" showErrorMessage="1" xr:uid="{87B5CFA8-9389-4867-8140-660E2FAF310F}">
          <x14:formula1>
            <xm:f>BASE!$R$2:$R1092</xm:f>
          </x14:formula1>
          <xm:sqref>EA658 EA663</xm:sqref>
        </x14:dataValidation>
        <x14:dataValidation type="list" allowBlank="1" showErrorMessage="1" xr:uid="{BAD802C2-296A-4422-B772-8C53EAB6AC65}">
          <x14:formula1>
            <xm:f>BASE!$R$2:$R1087</xm:f>
          </x14:formula1>
          <xm:sqref>EA642 EA659</xm:sqref>
        </x14:dataValidation>
        <x14:dataValidation type="list" allowBlank="1" showErrorMessage="1" xr:uid="{C2AF23E6-03C6-4934-B107-10EBF8975E49}">
          <x14:formula1>
            <xm:f>BASE!$R$2:$R1089</xm:f>
          </x14:formula1>
          <xm:sqref>EA643</xm:sqref>
        </x14:dataValidation>
        <x14:dataValidation type="list" allowBlank="1" showErrorMessage="1" xr:uid="{D2194E96-404F-49F7-A955-189883B000C0}">
          <x14:formula1>
            <xm:f>BASE!$R$2:$R1095</xm:f>
          </x14:formula1>
          <xm:sqref>EA648</xm:sqref>
        </x14:dataValidation>
        <x14:dataValidation type="list" allowBlank="1" showErrorMessage="1" xr:uid="{AA148CCE-AEAA-45F1-8C3A-EE08B32B73F3}">
          <x14:formula1>
            <xm:f>BASE!$R$2:$R1095</xm:f>
          </x14:formula1>
          <xm:sqref>EA647</xm:sqref>
        </x14:dataValidation>
        <x14:dataValidation type="list" allowBlank="1" showErrorMessage="1" xr:uid="{EBC404CF-3659-4508-BAF5-BA40C1173BEB}">
          <x14:formula1>
            <xm:f>BASE!$R$2:$R1086</xm:f>
          </x14:formula1>
          <xm:sqref>EA636 EA645</xm:sqref>
        </x14:dataValidation>
        <x14:dataValidation type="list" allowBlank="1" showErrorMessage="1" xr:uid="{1EF6B3E1-A876-4D51-B89E-8B979F10226B}">
          <x14:formula1>
            <xm:f>BASE!$R$2:$R1100</xm:f>
          </x14:formula1>
          <xm:sqref>EA660 EA646</xm:sqref>
        </x14:dataValidation>
        <x14:dataValidation type="list" allowBlank="1" showErrorMessage="1" xr:uid="{27CB4559-20DE-4597-AA8B-7CA9C5B2FA78}">
          <x14:formula1>
            <xm:f>BASE!$R$2:$R1090</xm:f>
          </x14:formula1>
          <xm:sqref>EA639</xm:sqref>
        </x14:dataValidation>
        <x14:dataValidation type="list" allowBlank="1" showErrorMessage="1" xr:uid="{4C36CF74-0655-4FA1-B9AA-5A907ECA9351}">
          <x14:formula1>
            <xm:f>BASE!$R$2:$R1096</xm:f>
          </x14:formula1>
          <xm:sqref>EA656 EA635</xm:sqref>
        </x14:dataValidation>
        <x14:dataValidation type="list" allowBlank="1" showErrorMessage="1" xr:uid="{A13B4FF0-349C-4A8A-9A8C-57CB4D6CD1F8}">
          <x14:formula1>
            <xm:f>BASE!$R$2:$R1090</xm:f>
          </x14:formula1>
          <xm:sqref>EA638 EA640 EA649</xm:sqref>
        </x14:dataValidation>
        <x14:dataValidation type="list" allowBlank="1" showErrorMessage="1" xr:uid="{9F6F87CB-41BF-4DD2-BF8C-CEA850527D2F}">
          <x14:formula1>
            <xm:f>BASE!$R$2:$R1083</xm:f>
          </x14:formula1>
          <xm:sqref>EA627</xm:sqref>
        </x14:dataValidation>
        <x14:dataValidation type="list" allowBlank="1" showErrorMessage="1" xr:uid="{96FD28CB-D80C-4F5D-A271-3EF9F9A540C1}">
          <x14:formula1>
            <xm:f>BASE!$R$2:$R1086</xm:f>
          </x14:formula1>
          <xm:sqref>EA629 EA632</xm:sqref>
        </x14:dataValidation>
        <x14:dataValidation type="list" allowBlank="1" showErrorMessage="1" xr:uid="{79F213D7-C6B3-409C-9992-251C1AA4ED25}">
          <x14:formula1>
            <xm:f>BASE!$R$2:$R1084</xm:f>
          </x14:formula1>
          <xm:sqref>EA637 EA625</xm:sqref>
        </x14:dataValidation>
        <x14:dataValidation type="list" allowBlank="1" showErrorMessage="1" xr:uid="{7854A7DC-E4EB-42D4-BDBC-7662D5DCFC40}">
          <x14:formula1>
            <xm:f>BASE!$R$2:$R1116</xm:f>
          </x14:formula1>
          <xm:sqref>EA651</xm:sqref>
        </x14:dataValidation>
        <x14:dataValidation type="list" allowBlank="1" showErrorMessage="1" xr:uid="{A0B72396-FCB7-44E2-9F6A-235F584877E6}">
          <x14:formula1>
            <xm:f>BASE!$R$2:$R1088</xm:f>
          </x14:formula1>
          <xm:sqref>EA628</xm:sqref>
        </x14:dataValidation>
        <x14:dataValidation type="list" allowBlank="1" showErrorMessage="1" xr:uid="{ED28DF6A-D17A-4D53-B021-B5AEF865B8CD}">
          <x14:formula1>
            <xm:f>BASE!$R$2:$R1094</xm:f>
          </x14:formula1>
          <xm:sqref>EA630 EA621</xm:sqref>
        </x14:dataValidation>
        <x14:dataValidation type="list" allowBlank="1" showErrorMessage="1" xr:uid="{5C954C06-AAC2-4C5E-B02C-733312BD9B58}">
          <x14:formula1>
            <xm:f>BASE!$R$2:$R1100</xm:f>
          </x14:formula1>
          <xm:sqref>EA626</xm:sqref>
        </x14:dataValidation>
        <x14:dataValidation type="list" allowBlank="1" showErrorMessage="1" xr:uid="{AF49CC5F-8363-4AB9-AF9F-C5D916361522}">
          <x14:formula1>
            <xm:f>BASE!$R$2:$R1104</xm:f>
          </x14:formula1>
          <xm:sqref>EA631 EA620</xm:sqref>
        </x14:dataValidation>
        <x14:dataValidation type="list" allowBlank="1" showErrorMessage="1" xr:uid="{7D0D545D-65D7-4A2C-84F9-245FB878E475}">
          <x14:formula1>
            <xm:f>BASE!$R$2:$R1106</xm:f>
          </x14:formula1>
          <xm:sqref>EA624</xm:sqref>
        </x14:dataValidation>
        <x14:dataValidation type="list" allowBlank="1" showErrorMessage="1" xr:uid="{38E14E57-386A-4385-8631-F71BFD2BF03F}">
          <x14:formula1>
            <xm:f>BASE!$R$2:$R1089</xm:f>
          </x14:formula1>
          <xm:sqref>EA623</xm:sqref>
        </x14:dataValidation>
        <x14:dataValidation type="list" allowBlank="1" showErrorMessage="1" xr:uid="{1FBDABB3-0A8A-41C4-A3F4-53371E34D0FF}">
          <x14:formula1>
            <xm:f>BASE!$R$2:$R1093</xm:f>
          </x14:formula1>
          <xm:sqref>EA618</xm:sqref>
        </x14:dataValidation>
        <x14:dataValidation type="list" allowBlank="1" showErrorMessage="1" xr:uid="{5C2B02DD-17F5-4A64-B263-4685461D6234}">
          <x14:formula1>
            <xm:f>BASE!$R$2:$R1093</xm:f>
          </x14:formula1>
          <xm:sqref>EA622 EA617</xm:sqref>
        </x14:dataValidation>
        <x14:dataValidation type="list" allowBlank="1" showErrorMessage="1" xr:uid="{C79E38E0-899A-4EA1-A277-114EB943534E}">
          <x14:formula1>
            <xm:f>BASE!$R$2:$R1100</xm:f>
          </x14:formula1>
          <xm:sqref>EA619 EA612</xm:sqref>
        </x14:dataValidation>
        <x14:dataValidation type="list" allowBlank="1" showErrorMessage="1" xr:uid="{60B75AE2-E082-482B-868F-BBC4C6A4105E}">
          <x14:formula1>
            <xm:f>BASE!$R$2:$R1100</xm:f>
          </x14:formula1>
          <xm:sqref>EA610 EA596:EA597</xm:sqref>
        </x14:dataValidation>
        <x14:dataValidation type="list" allowBlank="1" showErrorMessage="1" xr:uid="{F02B8692-E207-47B6-95A7-571643D606E4}">
          <x14:formula1>
            <xm:f>BASE!$R$2:$R1091</xm:f>
          </x14:formula1>
          <xm:sqref>EA614</xm:sqref>
        </x14:dataValidation>
        <x14:dataValidation type="list" allowBlank="1" showErrorMessage="1" xr:uid="{4C5E2472-B8EF-453A-ADDE-07E46773912C}">
          <x14:formula1>
            <xm:f>BASE!$R$2:$R1100</xm:f>
          </x14:formula1>
          <xm:sqref>EA615</xm:sqref>
        </x14:dataValidation>
        <x14:dataValidation type="list" allowBlank="1" showErrorMessage="1" xr:uid="{691D8806-8EF4-49AD-AF0E-0E3643D48443}">
          <x14:formula1>
            <xm:f>BASE!$R$2:$R1099</xm:f>
          </x14:formula1>
          <xm:sqref>EA613</xm:sqref>
        </x14:dataValidation>
        <x14:dataValidation type="list" allowBlank="1" showErrorMessage="1" xr:uid="{F5677342-9D3D-4915-8B16-AB9557131C3D}">
          <x14:formula1>
            <xm:f>BASE!$R$2:$R1098</xm:f>
          </x14:formula1>
          <xm:sqref>EA611</xm:sqref>
        </x14:dataValidation>
        <x14:dataValidation type="list" allowBlank="1" showErrorMessage="1" xr:uid="{DE8CFE99-A6ED-4F45-BD60-36741FD1B5C0}">
          <x14:formula1>
            <xm:f>BASE!$R$2:$R1088</xm:f>
          </x14:formula1>
          <xm:sqref>EA599</xm:sqref>
        </x14:dataValidation>
        <x14:dataValidation type="list" allowBlank="1" showErrorMessage="1" xr:uid="{3B86CEEA-AC96-4D13-A657-0AFC63DE5A2C}">
          <x14:formula1>
            <xm:f>BASE!$R$2:$R1094</xm:f>
          </x14:formula1>
          <xm:sqref>EA608 EA604</xm:sqref>
        </x14:dataValidation>
        <x14:dataValidation type="list" allowBlank="1" showErrorMessage="1" xr:uid="{DA0F4EFA-43EE-4BEC-B051-E2A67CAEE6CE}">
          <x14:formula1>
            <xm:f>BASE!$R$2:$R1075</xm:f>
          </x14:formula1>
          <xm:sqref>EA609 EA582</xm:sqref>
        </x14:dataValidation>
        <x14:dataValidation type="list" allowBlank="1" showErrorMessage="1" xr:uid="{587941DE-306A-4683-8462-7796BB01859E}">
          <x14:formula1>
            <xm:f>BASE!$R$2:$R1095</xm:f>
          </x14:formula1>
          <xm:sqref>EA592</xm:sqref>
        </x14:dataValidation>
        <x14:dataValidation type="list" allowBlank="1" showErrorMessage="1" xr:uid="{26F285CA-8BA9-475C-B29E-15110A3168E0}">
          <x14:formula1>
            <xm:f>BASE!$R$2:$R1060</xm:f>
          </x14:formula1>
          <xm:sqref>EA580</xm:sqref>
        </x14:dataValidation>
        <x14:dataValidation type="list" allowBlank="1" showErrorMessage="1" xr:uid="{5D043170-D927-4A16-BFDC-32036893B5B0}">
          <x14:formula1>
            <xm:f>BASE!$R$2:$R1094</xm:f>
          </x14:formula1>
          <xm:sqref>EA607 EA600:EA601</xm:sqref>
        </x14:dataValidation>
        <x14:dataValidation type="list" allowBlank="1" showErrorMessage="1" xr:uid="{47FBFEA5-5A4D-4EFA-B6EE-92C6F877D257}">
          <x14:formula1>
            <xm:f>BASE!$R$2:$R1093</xm:f>
          </x14:formula1>
          <xm:sqref>EA595</xm:sqref>
        </x14:dataValidation>
        <x14:dataValidation type="list" allowBlank="1" showErrorMessage="1" xr:uid="{74A3D51A-5CDB-40A6-928B-EEA2E1466C61}">
          <x14:formula1>
            <xm:f>BASE!$R$2:$R1094</xm:f>
          </x14:formula1>
          <xm:sqref>EA594</xm:sqref>
        </x14:dataValidation>
        <x14:dataValidation type="list" allowBlank="1" showErrorMessage="1" xr:uid="{268E5392-01B4-4FC2-B5C7-E7171DDA8530}">
          <x14:formula1>
            <xm:f>BASE!$R$2:$R1093</xm:f>
          </x14:formula1>
          <xm:sqref>EA591</xm:sqref>
        </x14:dataValidation>
        <x14:dataValidation type="list" allowBlank="1" showErrorMessage="1" xr:uid="{37F2C113-1385-4C05-AF77-F6199A180129}">
          <x14:formula1>
            <xm:f>BASE!$R$2:$R1100</xm:f>
          </x14:formula1>
          <xm:sqref>EA589 EA598</xm:sqref>
        </x14:dataValidation>
        <x14:dataValidation type="list" allowBlank="1" showErrorMessage="1" xr:uid="{D5484134-5BD6-4157-AF6E-6B438F046858}">
          <x14:formula1>
            <xm:f>BASE!$R$2:$R1108</xm:f>
          </x14:formula1>
          <xm:sqref>EA593</xm:sqref>
        </x14:dataValidation>
        <x14:dataValidation type="list" allowBlank="1" showErrorMessage="1" xr:uid="{41058AC1-6151-4A4C-9141-8401298D041D}">
          <x14:formula1>
            <xm:f>BASE!$R$2:$R1105</xm:f>
          </x14:formula1>
          <xm:sqref>EA588</xm:sqref>
        </x14:dataValidation>
        <x14:dataValidation type="list" allowBlank="1" showErrorMessage="1" xr:uid="{B348D0FD-51DE-45EE-B7A4-00659D478642}">
          <x14:formula1>
            <xm:f>BASE!$R$2:$R1115</xm:f>
          </x14:formula1>
          <xm:sqref>EA590</xm:sqref>
        </x14:dataValidation>
        <x14:dataValidation type="list" allowBlank="1" showErrorMessage="1" xr:uid="{78C2E5FE-478F-466B-ABC2-329CA0A4159D}">
          <x14:formula1>
            <xm:f>BASE!$R$2:$R1103</xm:f>
          </x14:formula1>
          <xm:sqref>EA587 EA585</xm:sqref>
        </x14:dataValidation>
        <x14:dataValidation type="list" allowBlank="1" showErrorMessage="1" xr:uid="{F5CDA38C-116A-408E-8311-C7577C5CD5D0}">
          <x14:formula1>
            <xm:f>BASE!$R$2:$R1100</xm:f>
          </x14:formula1>
          <xm:sqref>EA586 EA578</xm:sqref>
        </x14:dataValidation>
        <x14:dataValidation type="list" allowBlank="1" showErrorMessage="1" xr:uid="{F7D9391A-223B-417D-9703-3FE73BFC7A40}">
          <x14:formula1>
            <xm:f>BASE!$R$2:$R1104</xm:f>
          </x14:formula1>
          <xm:sqref>EA584</xm:sqref>
        </x14:dataValidation>
        <x14:dataValidation type="list" allowBlank="1" showErrorMessage="1" xr:uid="{3BE7AE59-6753-430D-B729-D54EC1D2F7BC}">
          <x14:formula1>
            <xm:f>BASE!$R$2:$R1070</xm:f>
          </x14:formula1>
          <xm:sqref>EA583 EA558</xm:sqref>
        </x14:dataValidation>
        <x14:dataValidation type="list" allowBlank="1" showErrorMessage="1" xr:uid="{94078F12-B77D-4E68-A9D9-9487C2AC4918}">
          <x14:formula1>
            <xm:f>BASE!$R$2:$R1100</xm:f>
          </x14:formula1>
          <xm:sqref>EA581</xm:sqref>
        </x14:dataValidation>
        <x14:dataValidation type="list" allowBlank="1" showErrorMessage="1" xr:uid="{DD357F08-5401-4BF5-B67A-67E40610011B}">
          <x14:formula1>
            <xm:f>BASE!$R$2:$R1091</xm:f>
          </x14:formula1>
          <xm:sqref>EA575</xm:sqref>
        </x14:dataValidation>
        <x14:dataValidation type="list" allowBlank="1" showErrorMessage="1" xr:uid="{60DF6215-D68E-4095-A737-5ADDFD425DBF}">
          <x14:formula1>
            <xm:f>BASE!$R$2:$R1103</xm:f>
          </x14:formula1>
          <xm:sqref>EA579</xm:sqref>
        </x14:dataValidation>
        <x14:dataValidation type="list" allowBlank="1" showErrorMessage="1" xr:uid="{4B7B9E98-B839-4FF1-B052-DF485131D6E6}">
          <x14:formula1>
            <xm:f>BASE!$R$2:$R1090</xm:f>
          </x14:formula1>
          <xm:sqref>EA576</xm:sqref>
        </x14:dataValidation>
        <x14:dataValidation type="list" allowBlank="1" showErrorMessage="1" xr:uid="{56036974-E95A-4DA5-A9CA-00B67D76CE2C}">
          <x14:formula1>
            <xm:f>BASE!$R$2:$R773</xm:f>
          </x14:formula1>
          <xm:sqref>EA577 EA236</xm:sqref>
        </x14:dataValidation>
        <x14:dataValidation type="list" allowBlank="1" showErrorMessage="1" xr:uid="{C2FD4C84-A02D-4574-8F84-FFE6B98896E3}">
          <x14:formula1>
            <xm:f>BASE!$R$2:$R1104</xm:f>
          </x14:formula1>
          <xm:sqref>EA573</xm:sqref>
        </x14:dataValidation>
        <x14:dataValidation type="list" allowBlank="1" showErrorMessage="1" xr:uid="{0A7D0508-8A19-406E-98F5-9B5E293B3DA8}">
          <x14:formula1>
            <xm:f>BASE!$R$2:$R1108</xm:f>
          </x14:formula1>
          <xm:sqref>EA574</xm:sqref>
        </x14:dataValidation>
        <x14:dataValidation type="list" allowBlank="1" showErrorMessage="1" xr:uid="{D268237A-D8A0-4DB3-86D2-4E32E989D849}">
          <x14:formula1>
            <xm:f>BASE!$R$2:$R1108</xm:f>
          </x14:formula1>
          <xm:sqref>EA572</xm:sqref>
        </x14:dataValidation>
        <x14:dataValidation type="list" allowBlank="1" showErrorMessage="1" xr:uid="{4FCF9D8C-50E0-4377-BFDF-3F8202DD03DD}">
          <x14:formula1>
            <xm:f>BASE!$R$2:$R1107</xm:f>
          </x14:formula1>
          <xm:sqref>EA568</xm:sqref>
        </x14:dataValidation>
        <x14:dataValidation type="list" allowBlank="1" showErrorMessage="1" xr:uid="{C2CADD72-3D59-48ED-BAC5-6623C60E214A}">
          <x14:formula1>
            <xm:f>BASE!$R$2:$R676</xm:f>
          </x14:formula1>
          <xm:sqref>EA569 EA133</xm:sqref>
        </x14:dataValidation>
        <x14:dataValidation type="list" allowBlank="1" showErrorMessage="1" xr:uid="{68B1808B-0142-472E-9B71-8003DF308A26}">
          <x14:formula1>
            <xm:f>BASE!$R$2:$R760</xm:f>
          </x14:formula1>
          <xm:sqref>EA216</xm:sqref>
        </x14:dataValidation>
        <x14:dataValidation type="list" allowBlank="1" showErrorMessage="1" xr:uid="{24F8F6BA-ACB6-4C36-97AB-EA3829DEEF63}">
          <x14:formula1>
            <xm:f>BASE!$R$2:$R1107</xm:f>
          </x14:formula1>
          <xm:sqref>EA561</xm:sqref>
        </x14:dataValidation>
        <x14:dataValidation type="list" allowBlank="1" showErrorMessage="1" xr:uid="{99D3D0E9-9A62-4BAC-B7B3-3E59FA83890A}">
          <x14:formula1>
            <xm:f>BASE!$R$2:$R1103</xm:f>
          </x14:formula1>
          <xm:sqref>EA559 EA556</xm:sqref>
        </x14:dataValidation>
        <x14:dataValidation type="list" allowBlank="1" showErrorMessage="1" xr:uid="{31438C46-4DC7-4220-9844-DB74F39AF025}">
          <x14:formula1>
            <xm:f>BASE!$R$2:$R1108</xm:f>
          </x14:formula1>
          <xm:sqref>EA560</xm:sqref>
        </x14:dataValidation>
        <x14:dataValidation type="list" allowBlank="1" showErrorMessage="1" xr:uid="{32295EEE-029B-4376-AEDE-C60AF7894F55}">
          <x14:formula1>
            <xm:f>BASE!$R$2:$R699</xm:f>
          </x14:formula1>
          <xm:sqref>EA554 EA154 EA168</xm:sqref>
        </x14:dataValidation>
        <x14:dataValidation type="list" allowBlank="1" showErrorMessage="1" xr:uid="{15EADD78-A795-4167-A101-02B7D26E38C0}">
          <x14:formula1>
            <xm:f>BASE!$R$2:$R1096</xm:f>
          </x14:formula1>
          <xm:sqref>EA555 EA557 EA551 EA547</xm:sqref>
        </x14:dataValidation>
        <x14:dataValidation type="list" allowBlank="1" showErrorMessage="1" xr:uid="{69B65666-350C-4791-97B2-39C7AEF581EB}">
          <x14:formula1>
            <xm:f>BASE!$R$2:$R1060</xm:f>
          </x14:formula1>
          <xm:sqref>EA548 EA509</xm:sqref>
        </x14:dataValidation>
        <x14:dataValidation type="list" allowBlank="1" showErrorMessage="1" xr:uid="{487AC32F-C57B-4995-B81E-B21CFCDC26CF}">
          <x14:formula1>
            <xm:f>BASE!$R$2:$R1101</xm:f>
          </x14:formula1>
          <xm:sqref>EA553 EA549:EA550</xm:sqref>
        </x14:dataValidation>
        <x14:dataValidation type="list" allowBlank="1" showErrorMessage="1" xr:uid="{7935B405-5D56-4EA9-AC9F-81138309DB46}">
          <x14:formula1>
            <xm:f>BASE!$R$2:$R1105</xm:f>
          </x14:formula1>
          <xm:sqref>EA552</xm:sqref>
        </x14:dataValidation>
        <x14:dataValidation type="list" allowBlank="1" showErrorMessage="1" xr:uid="{C218EF1F-1A6D-4189-9BF5-EA1BA6997FEC}">
          <x14:formula1>
            <xm:f>BASE!$R$2:$R1054</xm:f>
          </x14:formula1>
          <xm:sqref>EA500</xm:sqref>
        </x14:dataValidation>
        <x14:dataValidation type="list" allowBlank="1" showErrorMessage="1" xr:uid="{0D888195-CB51-4925-974A-26F65ED4FE63}">
          <x14:formula1>
            <xm:f>BASE!$R$2:$R1097</xm:f>
          </x14:formula1>
          <xm:sqref>EA542</xm:sqref>
        </x14:dataValidation>
        <x14:dataValidation type="list" allowBlank="1" showErrorMessage="1" xr:uid="{8528BB71-5AD0-4D23-9FEE-CF4670D445B3}">
          <x14:formula1>
            <xm:f>BASE!$R$2:$R1048</xm:f>
          </x14:formula1>
          <xm:sqref>EA499 EA515 EA492 EA546</xm:sqref>
        </x14:dataValidation>
        <x14:dataValidation type="list" allowBlank="1" showErrorMessage="1" xr:uid="{51ABD4A7-F383-41F2-A5CB-06A31359C6A8}">
          <x14:formula1>
            <xm:f>BASE!$R$2:$R1045</xm:f>
          </x14:formula1>
          <xm:sqref>EA521 EA488:EA489 EA516:EA517 EA513 EA506:EA507 EA496</xm:sqref>
        </x14:dataValidation>
        <x14:dataValidation type="list" allowBlank="1" showErrorMessage="1" xr:uid="{8352BD14-58E1-477D-B08F-F0EA43E6169C}">
          <x14:formula1>
            <xm:f>BASE!$R$2:$R777</xm:f>
          </x14:formula1>
          <xm:sqref>EA539 EA512 EA498 EA543:EA545 EA217:EA235 EA565:EA567</xm:sqref>
        </x14:dataValidation>
        <x14:dataValidation type="list" allowBlank="1" showErrorMessage="1" xr:uid="{B8228B3D-7CD9-49C5-9959-C9C3005BF2CC}">
          <x14:formula1>
            <xm:f>BASE!$R$2:$R985</xm:f>
          </x14:formula1>
          <xm:sqref>EA501 EA518:EA519 EA522:EA538 EA540:EA541 EA510:EA511 EA508 EA493:EA494 EA427:EA487</xm:sqref>
        </x14:dataValidation>
        <x14:dataValidation type="list" allowBlank="1" showErrorMessage="1" xr:uid="{A0CF44CC-C314-444F-AFDB-2A0424821E0A}">
          <x14:formula1>
            <xm:f>BASE!$R$2:$R796</xm:f>
          </x14:formula1>
          <xm:sqref>EA497 EA237:EA426 EA520 EA490:EA491 EA502:EA503</xm:sqref>
        </x14:dataValidation>
        <x14:dataValidation type="list" allowBlank="1" showErrorMessage="1" xr:uid="{9107E4E7-F748-48B0-A530-DE40DA86A9FA}">
          <x14:formula1>
            <xm:f>BASE!$R$2:$R717</xm:f>
          </x14:formula1>
          <xm:sqref>EA505 EA155:EA167 EA495</xm:sqref>
        </x14:dataValidation>
        <x14:dataValidation type="list" allowBlank="1" showErrorMessage="1" xr:uid="{D19649A8-53EF-4EE6-B00F-DAC98BEB78B6}">
          <x14:formula1>
            <xm:f>BASE!$R$2:$R1109</xm:f>
          </x14:formula1>
          <xm:sqref>EA781:EA782 EA784:EA785</xm:sqref>
        </x14:dataValidation>
        <x14:dataValidation type="list" allowBlank="1" showErrorMessage="1" xr:uid="{F9BED3EF-ED49-4EFF-8886-17575C88D0C3}">
          <x14:formula1>
            <xm:f>BASE!$R$2:$R1118</xm:f>
          </x14:formula1>
          <xm:sqref>EA682:EA683</xm:sqref>
        </x14:dataValidation>
        <x14:dataValidation type="list" allowBlank="1" showErrorMessage="1" xr:uid="{484307D4-25CF-4650-9503-6964B598DE39}">
          <x14:formula1>
            <xm:f>BASE!$R$2:$R1090</xm:f>
          </x14:formula1>
          <xm:sqref>EA667:EA668</xm:sqref>
        </x14:dataValidation>
        <x14:dataValidation type="list" allowBlank="1" showErrorMessage="1" xr:uid="{654F2B2B-054F-4B12-AF3B-345AC58E7FD2}">
          <x14:formula1>
            <xm:f>BASE!$R$2:$R1095</xm:f>
          </x14:formula1>
          <xm:sqref>EA633:EA634</xm:sqref>
        </x14:dataValidation>
        <x14:dataValidation type="list" allowBlank="1" showErrorMessage="1" xr:uid="{201BD890-6C26-4B8A-97FF-9A672D92DA0D}">
          <x14:formula1>
            <xm:f>BASE!$R$2:$R1113</xm:f>
          </x14:formula1>
          <xm:sqref>EA605:EA606</xm:sqref>
        </x14:dataValidation>
        <x14:dataValidation type="list" allowBlank="1" showErrorMessage="1" xr:uid="{65CDCBBD-E4D8-4A45-A847-05BC2666C125}">
          <x14:formula1>
            <xm:f>BASE!$R$2:$R1103</xm:f>
          </x14:formula1>
          <xm:sqref>EA602:EA603</xm:sqref>
        </x14:dataValidation>
        <x14:dataValidation type="list" allowBlank="1" showErrorMessage="1" xr:uid="{90BA57B8-7317-45EC-822F-771DCAEC0EB7}">
          <x14:formula1>
            <xm:f>BASE!$R$2:$R1102</xm:f>
          </x14:formula1>
          <xm:sqref>EA570:EA571 EA562:EA564</xm:sqref>
        </x14:dataValidation>
        <x14:dataValidation type="list" allowBlank="1" showErrorMessage="1" xr:uid="{22052CCD-AB43-4509-BC9D-8E6980C524BB}">
          <x14:formula1>
            <xm:f>BASE!$R$2:$R697</xm:f>
          </x14:formula1>
          <xm:sqref>EA134:EA153</xm:sqref>
        </x14:dataValidation>
        <x14:dataValidation type="list" allowBlank="1" showErrorMessage="1" xr:uid="{78345772-6F6A-45DB-922B-C68C581C08C2}">
          <x14:formula1>
            <xm:f>BASE!$R$2:$R569</xm:f>
          </x14:formula1>
          <xm:sqref>EA5:EA132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Z13"/>
  <sheetViews>
    <sheetView topLeftCell="B1" workbookViewId="0">
      <selection activeCell="M8" sqref="M8"/>
    </sheetView>
  </sheetViews>
  <sheetFormatPr defaultColWidth="12.5703125" defaultRowHeight="15.75" customHeight="1"/>
  <cols>
    <col min="1" max="1" width="19.42578125" customWidth="1"/>
    <col min="2" max="2" width="18.85546875" customWidth="1"/>
    <col min="32" max="32" width="12.85546875" bestFit="1" customWidth="1"/>
    <col min="44" max="44" width="14.28515625" customWidth="1"/>
    <col min="46" max="46" width="14.28515625" customWidth="1"/>
    <col min="48" max="48" width="14.28515625" customWidth="1"/>
  </cols>
  <sheetData>
    <row r="1" spans="1:52" ht="33" customHeight="1">
      <c r="A1" s="6" t="s">
        <v>6179</v>
      </c>
      <c r="B1" s="12" t="s">
        <v>6180</v>
      </c>
      <c r="D1" s="383" t="s">
        <v>6181</v>
      </c>
      <c r="E1" s="384"/>
      <c r="F1" s="384"/>
      <c r="G1" s="384"/>
      <c r="H1" s="384"/>
      <c r="I1" s="384"/>
      <c r="J1" s="384"/>
      <c r="K1" s="384"/>
      <c r="M1" s="382" t="s">
        <v>6182</v>
      </c>
      <c r="N1" s="385"/>
      <c r="O1" s="385"/>
      <c r="P1" s="386"/>
      <c r="R1" s="382" t="s">
        <v>6183</v>
      </c>
      <c r="S1" s="385"/>
      <c r="T1" s="385"/>
      <c r="U1" s="386"/>
      <c r="W1" s="382" t="s">
        <v>6184</v>
      </c>
      <c r="X1" s="385"/>
      <c r="Y1" s="386"/>
      <c r="AA1" s="382" t="s">
        <v>6185</v>
      </c>
      <c r="AB1" s="385"/>
      <c r="AC1" s="386"/>
      <c r="AE1" s="382" t="s">
        <v>6186</v>
      </c>
      <c r="AF1" s="385"/>
      <c r="AG1" s="386"/>
      <c r="AI1" s="382" t="s">
        <v>6187</v>
      </c>
      <c r="AJ1" s="385"/>
      <c r="AK1" s="385"/>
      <c r="AL1" s="385"/>
      <c r="AM1" s="385"/>
      <c r="AN1" s="385"/>
      <c r="AO1" s="385"/>
      <c r="AP1" s="386"/>
      <c r="AR1" s="24" t="s">
        <v>6188</v>
      </c>
      <c r="AT1" s="24" t="s">
        <v>6189</v>
      </c>
      <c r="AV1" s="24" t="s">
        <v>6190</v>
      </c>
      <c r="AX1" s="382" t="s">
        <v>6191</v>
      </c>
      <c r="AY1" s="385"/>
      <c r="AZ1" s="386"/>
    </row>
    <row r="2" spans="1:52" ht="12.75">
      <c r="A2" s="25"/>
      <c r="B2" s="25"/>
      <c r="D2" s="26">
        <v>1</v>
      </c>
      <c r="E2" s="26">
        <v>2</v>
      </c>
      <c r="F2" s="26">
        <v>3</v>
      </c>
      <c r="G2" s="26">
        <v>4</v>
      </c>
      <c r="H2" s="26">
        <v>5</v>
      </c>
      <c r="I2" s="26" t="s">
        <v>191</v>
      </c>
      <c r="J2" s="26" t="s">
        <v>6192</v>
      </c>
      <c r="K2" s="26" t="s">
        <v>6193</v>
      </c>
      <c r="M2" s="26" t="s">
        <v>153</v>
      </c>
      <c r="N2" s="26" t="s">
        <v>152</v>
      </c>
      <c r="O2" s="26" t="s">
        <v>179</v>
      </c>
      <c r="P2" s="26" t="s">
        <v>6193</v>
      </c>
      <c r="R2" s="26" t="s">
        <v>153</v>
      </c>
      <c r="S2" s="26" t="s">
        <v>152</v>
      </c>
      <c r="T2" s="26" t="s">
        <v>179</v>
      </c>
      <c r="U2" s="26" t="s">
        <v>6193</v>
      </c>
      <c r="W2" s="26" t="s">
        <v>153</v>
      </c>
      <c r="X2" s="26" t="s">
        <v>152</v>
      </c>
      <c r="Y2" s="26" t="s">
        <v>6193</v>
      </c>
      <c r="AA2" s="26" t="s">
        <v>6194</v>
      </c>
      <c r="AB2" s="26" t="s">
        <v>179</v>
      </c>
      <c r="AC2" s="26" t="s">
        <v>6193</v>
      </c>
      <c r="AE2" s="26" t="s">
        <v>6194</v>
      </c>
      <c r="AF2" s="26" t="s">
        <v>6195</v>
      </c>
      <c r="AG2" s="26" t="s">
        <v>6193</v>
      </c>
      <c r="AI2" s="26">
        <v>1</v>
      </c>
      <c r="AJ2" s="26">
        <v>2</v>
      </c>
      <c r="AK2" s="26">
        <v>3</v>
      </c>
      <c r="AL2" s="26">
        <v>4</v>
      </c>
      <c r="AM2" s="26">
        <v>5</v>
      </c>
      <c r="AN2" s="26" t="s">
        <v>191</v>
      </c>
      <c r="AO2" s="26" t="s">
        <v>6192</v>
      </c>
      <c r="AP2" s="26" t="s">
        <v>6193</v>
      </c>
      <c r="AR2" s="26" t="s">
        <v>6193</v>
      </c>
      <c r="AT2" s="26" t="s">
        <v>6193</v>
      </c>
      <c r="AV2" s="26" t="s">
        <v>6193</v>
      </c>
      <c r="AX2" s="26" t="s">
        <v>6194</v>
      </c>
      <c r="AY2" s="26" t="s">
        <v>6195</v>
      </c>
      <c r="AZ2" s="26" t="s">
        <v>6193</v>
      </c>
    </row>
    <row r="3" spans="1:52" ht="12.75">
      <c r="A3" s="16" t="s">
        <v>6196</v>
      </c>
      <c r="B3" s="16">
        <f>COUNTIFS(MATRIZ_MACRO!$EL$5:$EL$1865,"&lt;&gt;No requiere", MATRIZ_MACRO!$EL$5:$EL$1865,"*",MATRIZ_MACRO!$C$5:$C$1865,"&gt;=01/02/2024",MATRIZ_MACRO!$C$5:$C$1865,"&lt;=29/02/2024")</f>
        <v>4</v>
      </c>
      <c r="D3" s="16">
        <f>COUNTIFS(MATRIZ_MACRO!$EK$5:$EK$1865,"=1 - Deficiente",MATRIZ_MACRO!$C$5:$C$1865,"&gt;=01/02/2024",MATRIZ_MACRO!$C$5:$C$1865,"&lt;=29/02/2024")</f>
        <v>0</v>
      </c>
      <c r="E3" s="16">
        <f>COUNTIFS(MATRIZ_MACRO!$EK$5:$EK$1865,"=2 - Regular",MATRIZ_MACRO!$C$5:$C$1865,"&gt;=01/02/2024",MATRIZ_MACRO!$C$5:$C$1865,"&lt;=29/02/2024")</f>
        <v>0</v>
      </c>
      <c r="F3" s="16">
        <f>COUNTIFS(MATRIZ_MACRO!$EK$5:$EK$1865,"=3 - Aceptable",MATRIZ_MACRO!$C$5:$C$1865,"&gt;=01/02/2024",MATRIZ_MACRO!$C$5:$C$1865,"&lt;=29/02/2024")</f>
        <v>0</v>
      </c>
      <c r="G3" s="16">
        <f>COUNTIFS(MATRIZ_MACRO!$EK$5:$EK$1865,"=4 - Buena",MATRIZ_MACRO!$C$5:$C$1865,"&gt;=01/02/2024",MATRIZ_MACRO!$C$5:$C$1865,"&lt;=29/02/2024")</f>
        <v>3</v>
      </c>
      <c r="H3" s="16">
        <f>COUNTIFS(MATRIZ_MACRO!$EK$5:$EK$1865,"=5 - Excelente",MATRIZ_MACRO!$C$5:$C$1865,"&gt;=01/02/2024",MATRIZ_MACRO!$C$5:$C$1865,"&lt;=29/02/2024")</f>
        <v>1</v>
      </c>
      <c r="I3" s="16">
        <f>COUNTIFS(MATRIZ_MACRO!$EK$5:$EK$1865,"=No existente",MATRIZ_MACRO!$C$5:$C$1865,"&gt;=01/02/2024",MATRIZ_MACRO!$C$5:$C$1865,"&lt;=29/02/2024")</f>
        <v>0</v>
      </c>
      <c r="J3" s="27">
        <f>(SUM((D3*D$2),(E3*E$2),(F3*F$2),(G3*G$2),(H3*H$2)))/(B3-I3)</f>
        <v>4.25</v>
      </c>
      <c r="K3" s="28">
        <f t="shared" ref="K3:K13" si="0">J3/5</f>
        <v>0.85</v>
      </c>
      <c r="M3" s="16">
        <f>COUNTIFS(MATRIZ_MACRO!$EL$5:$EL$1864,"=SÍ",MATRIZ_MACRO!$C$5:$C$1864,"&gt;=01/02/2024",MATRIZ_MACRO!$C$5:$C$1864,"&lt;=29/02/2024")</f>
        <v>4</v>
      </c>
      <c r="N3" s="16">
        <f>COUNTIFS(MATRIZ_MACRO!$EL$5:$EL$1864,"=NO",MATRIZ_MACRO!$C$5:$C$1864,"&gt;=01/02/2024",MATRIZ_MACRO!$C$5:$C$1864,"&lt;=29/02/2024")</f>
        <v>0</v>
      </c>
      <c r="O3" s="16">
        <f>COUNTIFS(MATRIZ_MACRO!$EL$5:$EL$1864,"=No aplica",MATRIZ_MACRO!$C$5:$C$1864,"&gt;=01/02/2024",MATRIZ_MACRO!$C$5:$C$1864,"&lt;=29/02/2024")</f>
        <v>0</v>
      </c>
      <c r="P3" s="28">
        <f t="shared" ref="P3:P13" si="1">M3/(B3-O3)</f>
        <v>1</v>
      </c>
      <c r="R3" s="16">
        <f>COUNTIFS(MATRIZ_MACRO!$EM$5:$EM$1864,"=SÍ",MATRIZ_MACRO!$C$5:$C$1864,"&gt;=01/02/2024",MATRIZ_MACRO!$C$5:$C$1864,"&lt;=29/02/2024")</f>
        <v>1</v>
      </c>
      <c r="S3" s="16">
        <f>COUNTIFS(MATRIZ_MACRO!$EM$5:$EM$1864,"=NO",MATRIZ_MACRO!$C$5:$C$1864,"&gt;=01/02/2024",MATRIZ_MACRO!$C$5:$C$1864,"&lt;=29/02/2024")</f>
        <v>3</v>
      </c>
      <c r="T3" s="16">
        <f>COUNTIFS(MATRIZ_MACRO!$EM$5:$EM$1864,"=No aplica",MATRIZ_MACRO!$C$5:$C$1864,"&gt;=01/02/2024",MATRIZ_MACRO!$C$5:$C$1864,"&lt;=29/02/2024")</f>
        <v>0</v>
      </c>
      <c r="U3" s="28">
        <f t="shared" ref="U3:U13" si="2">R3/(B3-T3)</f>
        <v>0.25</v>
      </c>
      <c r="W3" s="16">
        <f>COUNTIFS(MATRIZ_MACRO!$EN$5:$EN$1864,"=SÍ",MATRIZ_MACRO!$C$5:$C$1864,"&gt;=01/02/2024",MATRIZ_MACRO!$C$5:$C$1864,"&lt;=29/02/2024")</f>
        <v>0</v>
      </c>
      <c r="X3" s="16">
        <f>COUNTIFS(MATRIZ_MACRO!$EN$5:$EN$1864,"=NO",MATRIZ_MACRO!$C$5:$C$1864,"&gt;=01/02/2024",MATRIZ_MACRO!$C$5:$C$1864,"&lt;=29/02/2024")</f>
        <v>4</v>
      </c>
      <c r="Y3" s="28">
        <f t="shared" ref="Y3:Y13" si="3">W3/B3</f>
        <v>0</v>
      </c>
      <c r="AA3" s="16">
        <f>COUNTIFS(MATRIZ_MACRO!$EP$5:$EP$1864,"&gt;=1%",MATRIZ_MACRO!$C$5:$C$1864,"&gt;=01/02/2024",MATRIZ_MACRO!$C$5:$C$1864,"&lt;=29/02/2024")</f>
        <v>2</v>
      </c>
      <c r="AB3" s="16">
        <f>COUNTIFS(MATRIZ_MACRO!$EP$5:$EP$1864,"No aplica",MATRIZ_MACRO!$C$5:$C$1864,"&gt;=01/02/2024",MATRIZ_MACRO!$C$5:$C$1864,"&lt;=29/02/2024")</f>
        <v>2</v>
      </c>
      <c r="AC3" s="28">
        <f>IFERROR(AVERAGEIFS(MATRIZ_MACRO!$EP$5:$EP$1863,MATRIZ_MACRO!$C$5:$C$1863,"&gt;=01/02/2024",MATRIZ_MACRO!$C$5:$C$1863,"&lt;=29/02/2024"),"N/A")</f>
        <v>1</v>
      </c>
      <c r="AE3" s="16">
        <f>SUMIFS(MATRIZ_MACRO!$DT$5:$DT$1863, MATRIZ_MACRO!$C$5:$C$1863,"&gt;=01/02/2024",MATRIZ_MACRO!$C$5:$C$1863,"&lt;=29/02/2024")</f>
        <v>302</v>
      </c>
      <c r="AF3" s="16">
        <f>SUMIFS(MATRIZ_MACRO!$BZ$5:$BZ$1863,MATRIZ_MACRO!$EL$5:$EL$1863,"&lt;&gt;No requiere", MATRIZ_MACRO!$C$5:$C$1863,"&gt;=01/02/2024",MATRIZ_MACRO!$C$5:$C$1863,"&lt;=29/02/2024")</f>
        <v>236</v>
      </c>
      <c r="AG3" s="28">
        <f t="shared" ref="AG3:AG13" si="4">AE3/AF3</f>
        <v>1.2796610169491525</v>
      </c>
      <c r="AI3" s="16">
        <f>COUNTIFS(MATRIZ_MACRO!$ES$5:$ES$1865,"=1 - Deficiente",MATRIZ_MACRO!$C$5:$C$1865,"&gt;=01/02/2024",MATRIZ_MACRO!$C$5:$C$1865,"&lt;=29/02/2024")</f>
        <v>0</v>
      </c>
      <c r="AJ3" s="16">
        <f>COUNTIFS(MATRIZ_MACRO!$ES$5:$ES$1865,"=2 - Regular",MATRIZ_MACRO!$C$5:$C$1865,"&gt;=01/02/2024",MATRIZ_MACRO!$C$5:$C$1865,"&lt;=29/02/2024")</f>
        <v>0</v>
      </c>
      <c r="AK3" s="16">
        <f>COUNTIFS(MATRIZ_MACRO!$ES$5:$ES$1865,"=3 - Aceptable",MATRIZ_MACRO!$C$5:$C$1865,"&gt;=01/02/2024",MATRIZ_MACRO!$C$5:$C$1865,"&lt;=29/02/2024")</f>
        <v>0</v>
      </c>
      <c r="AL3" s="16">
        <f>COUNTIFS(MATRIZ_MACRO!$ES$5:$ES$1865,"=4 - Buena",MATRIZ_MACRO!$C$5:$C$1865,"&gt;=01/02/2024",MATRIZ_MACRO!$C$5:$C$1865,"&lt;=29/02/2024")</f>
        <v>3</v>
      </c>
      <c r="AM3" s="16">
        <f>COUNTIFS(MATRIZ_MACRO!$ES$5:$ES$1865,"=5 - Excelente",MATRIZ_MACRO!$C$5:$C$1865,"&gt;=01/02/2024",MATRIZ_MACRO!$C$5:$C$1865,"&lt;=29/02/2024")</f>
        <v>1</v>
      </c>
      <c r="AN3" s="16">
        <f>COUNTIFS(MATRIZ_MACRO!$ES$5:$ES$1865,"=No existente",MATRIZ_MACRO!$C$5:$C$1865,"&gt;=01/02/2024",MATRIZ_MACRO!$C$5:$C$1865,"&lt;=29/02/2024")</f>
        <v>0</v>
      </c>
      <c r="AO3" s="27">
        <f t="shared" ref="AO3:AO13" si="5">(SUM((AI3*AI$2),(AJ3*AJ$2),(AK3*AK$2),(AL3*AL$2),(AM3*AM$2)))/(B3-AN3)</f>
        <v>4.25</v>
      </c>
      <c r="AP3" s="28">
        <f t="shared" ref="AP3:AP13" si="6">AO3/5</f>
        <v>0.85</v>
      </c>
      <c r="AR3" s="28">
        <f>AVERAGEIFS(MATRIZ_MACRO!$ET$5:$ET$1863,MATRIZ_MACRO!$EK$5:$EK$1863,"&lt;&gt;No requiere", MATRIZ_MACRO!$C$5:$C$1863,"&gt;=01/02/2024",MATRIZ_MACRO!$C$5:$C$1863,"&lt;=29/02/2024")</f>
        <v>1</v>
      </c>
      <c r="AT3" s="28">
        <f>AVERAGEIFS(MATRIZ_MACRO!$EU$5:$EU$1863,MATRIZ_MACRO!$EK$5:$EK$1863,"&lt;&gt;No requiere", MATRIZ_MACRO!$C$5:$C$1863,"&gt;=01/02/2024",MATRIZ_MACRO!$C$5:$C$1863,"&lt;=29/02/2024")</f>
        <v>1</v>
      </c>
      <c r="AV3" s="28">
        <f>AVERAGEIFS(MATRIZ_MACRO!$EV$5:$EV$1863,MATRIZ_MACRO!$EK$5:$EK$1863,"&lt;&gt;No requiere", MATRIZ_MACRO!$C$5:$C$1863,"&gt;=01/02/2024",MATRIZ_MACRO!$C$5:$C$1863,"&lt;=29/02/2024")</f>
        <v>1</v>
      </c>
      <c r="AX3" s="16">
        <f>SUMIFS(MATRIZ_MACRO!$DO$5:$DO$1863, MATRIZ_MACRO!$C$5:$C$1863,"&gt;=01/02/2024",MATRIZ_MACRO!$C$5:$C$1863,"&lt;=29/02/2024")</f>
        <v>0</v>
      </c>
      <c r="AY3" s="16">
        <f>SUMIFS(MATRIZ_MACRO!$EA$5:$EA$1863,MATRIZ_MACRO!$EW$5:$EW$1863,"&gt;=0", MATRIZ_MACRO!$C$5:$C$1863,"&gt;=01/02/2024",MATRIZ_MACRO!$C$5:$C$1863,"&lt;=29/02/2024")</f>
        <v>0</v>
      </c>
      <c r="AZ3" s="28" t="str">
        <f>IFERROR(AX3/AY3,"N/A")</f>
        <v>N/A</v>
      </c>
    </row>
    <row r="4" spans="1:52" ht="12.75">
      <c r="A4" s="16" t="s">
        <v>6197</v>
      </c>
      <c r="B4" s="16">
        <f>COUNTIFS(MATRIZ_MACRO!$EL$5:$EL$1865,"&lt;&gt;No requiere", MATRIZ_MACRO!$EL$5:$EL$1865,"*",MATRIZ_MACRO!$C$5:$C$1865,"&gt;=01/03/2024",MATRIZ_MACRO!$C$5:$C$1865,"&lt;=31/03/2024")</f>
        <v>26</v>
      </c>
      <c r="D4" s="16">
        <f>COUNTIFS(MATRIZ_MACRO!$EK$5:$EK$1865,"=1 - Deficiente",MATRIZ_MACRO!$C$5:$C$1865,"&gt;=01/03/2024",MATRIZ_MACRO!$C$5:$C$1865,"&lt;=31/03/2024")</f>
        <v>0</v>
      </c>
      <c r="E4" s="16">
        <f>COUNTIFS(MATRIZ_MACRO!$EK$5:$EK$1865,"=2 - Regular",MATRIZ_MACRO!$C$5:$C$1865,"&gt;=01/03/2024",MATRIZ_MACRO!$C$5:$C$1865,"&lt;=31/03/2024")</f>
        <v>0</v>
      </c>
      <c r="F4" s="16">
        <f>COUNTIFS(MATRIZ_MACRO!$EK$5:$EK$1865,"=3 - Aceptable",MATRIZ_MACRO!$C$5:$C$1865,"&gt;=01/03/2024",MATRIZ_MACRO!$C$5:$C$1865,"&lt;=31/03/2024")</f>
        <v>0</v>
      </c>
      <c r="G4" s="16">
        <f>COUNTIFS(MATRIZ_MACRO!$EK$5:$EK$1865,"=4 - Buena",MATRIZ_MACRO!$C$5:$C$1865,"&gt;=01/03/2024",MATRIZ_MACRO!$C$5:$C$1865,"&lt;=31/03/2024")</f>
        <v>15</v>
      </c>
      <c r="H4" s="16">
        <f>COUNTIFS(MATRIZ_MACRO!$EK$5:$EK$1865,"=5 - Excelente",MATRIZ_MACRO!$C$5:$C$1865,"&gt;=01/03/2024",MATRIZ_MACRO!$C$5:$C$1865,"&lt;=31/03/2024")</f>
        <v>11</v>
      </c>
      <c r="I4" s="16">
        <f>COUNTIFS(MATRIZ_MACRO!$EK$5:$EK$1865,"=No existente",MATRIZ_MACRO!$C$5:$C$1865,"&gt;=01/03/2024",MATRIZ_MACRO!$C$5:$C$1865,"&lt;=31/03/2024")</f>
        <v>0</v>
      </c>
      <c r="J4" s="27">
        <f t="shared" ref="J4:J13" si="7">(SUM((D4*D$2),(E4*E$2),(F4*F$2),(G4*G$2),(H4*H$2)))/(B4-I4)</f>
        <v>4.4230769230769234</v>
      </c>
      <c r="K4" s="28">
        <f t="shared" si="0"/>
        <v>0.88461538461538469</v>
      </c>
      <c r="M4" s="16">
        <f>COUNTIFS(MATRIZ_MACRO!$EL$5:$EL$1864,"=SÍ",MATRIZ_MACRO!$C$5:$C$1864,"&gt;=01/03/2024",MATRIZ_MACRO!$C$5:$C$1864,"&lt;=31/03/2024")</f>
        <v>25</v>
      </c>
      <c r="N4" s="16">
        <f>COUNTIFS(MATRIZ_MACRO!$EL$5:$EL$1864,"=NO",MATRIZ_MACRO!$C$5:$C$1864,"&gt;=01/03/2024",MATRIZ_MACRO!$C$5:$C$1864,"&lt;=31/03/2024")</f>
        <v>1</v>
      </c>
      <c r="O4" s="16">
        <f>COUNTIFS(MATRIZ_MACRO!$EL$5:$EL$1864,"=No aplica",MATRIZ_MACRO!$C$5:$C$1864,"&gt;=01/03/2024",MATRIZ_MACRO!$C$5:$C$1864,"&lt;=31/03/2024")</f>
        <v>0</v>
      </c>
      <c r="P4" s="28">
        <f t="shared" si="1"/>
        <v>0.96153846153846156</v>
      </c>
      <c r="R4" s="16">
        <f>COUNTIFS(MATRIZ_MACRO!$EM$5:$EM$1864,"=SÍ",MATRIZ_MACRO!$C$5:$C$1864,"&gt;=01/03/2024",MATRIZ_MACRO!$C$5:$C$1864,"&lt;=31/03/2024")</f>
        <v>24</v>
      </c>
      <c r="S4" s="16">
        <f>COUNTIFS(MATRIZ_MACRO!$EM$5:$EM$1864,"=NO",MATRIZ_MACRO!$C$5:$C$1864,"&gt;=01/03/2024",MATRIZ_MACRO!$C$5:$C$1864,"&lt;=31/03/2024")</f>
        <v>2</v>
      </c>
      <c r="T4" s="16">
        <f>COUNTIFS(MATRIZ_MACRO!$EM$5:$EM$1864,"=No aplica",MATRIZ_MACRO!$C$5:$C$1864,"&gt;=01/03/2024",MATRIZ_MACRO!$C$5:$C$1864,"&lt;=31/03/2024")</f>
        <v>0</v>
      </c>
      <c r="U4" s="28">
        <f t="shared" si="2"/>
        <v>0.92307692307692313</v>
      </c>
      <c r="W4" s="16">
        <f>COUNTIFS(MATRIZ_MACRO!$EN$5:$EN$1864,"=SÍ",MATRIZ_MACRO!$C$5:$C$1864,"&gt;=01/03/2024",MATRIZ_MACRO!$C$5:$C$1864,"&lt;=31/03/2024")</f>
        <v>20</v>
      </c>
      <c r="X4" s="16">
        <f>COUNTIFS(MATRIZ_MACRO!$EN$5:$EN$1864,"=NO",MATRIZ_MACRO!$C$5:$C$1864,"&gt;=01/03/2024",MATRIZ_MACRO!$C$5:$C$1864,"&lt;=31/03/2024")</f>
        <v>6</v>
      </c>
      <c r="Y4" s="28">
        <f t="shared" si="3"/>
        <v>0.76923076923076927</v>
      </c>
      <c r="AA4" s="16">
        <f>COUNTIFS(MATRIZ_MACRO!$EP$5:$EP$1864,"&gt;=1%",MATRIZ_MACRO!$C$5:$C$1864,"&gt;=01/03/2024",MATRIZ_MACRO!$C$5:$C$1864,"&lt;=31/03/2024")</f>
        <v>1</v>
      </c>
      <c r="AB4" s="16">
        <f>COUNTIFS(MATRIZ_MACRO!$EP$5:$EP$1864,"No aplica",MATRIZ_MACRO!$C$5:$C$1864,"&gt;=01/03/2024",MATRIZ_MACRO!$C$5:$C$1864,"&lt;=31/03/2024")</f>
        <v>25</v>
      </c>
      <c r="AC4" s="28">
        <f>IFERROR(AVERAGEIFS(MATRIZ_MACRO!$EP$5:$EP$1863,MATRIZ_MACRO!$C$5:$C$1863,"&gt;=01/03/2024",MATRIZ_MACRO!$C$5:$C$1863,"&lt;=31/03/2024"),"N/A")</f>
        <v>1</v>
      </c>
      <c r="AE4" s="16">
        <f>SUMIFS(MATRIZ_MACRO!$DT$5:$DT$1863, MATRIZ_MACRO!$C$5:$C$1863,"&gt;=01/03/2024",MATRIZ_MACRO!$C$5:$C$1863,"&lt;=31/03/2024")</f>
        <v>1197</v>
      </c>
      <c r="AF4" s="16">
        <f>SUMIFS(MATRIZ_MACRO!$BZ$5:$BZ$1863,MATRIZ_MACRO!$EL$5:$EL$1863,"&lt;&gt;No requiere", MATRIZ_MACRO!$C$5:$C$1863,"&gt;=01/03/2024",MATRIZ_MACRO!$C$5:$C$1863,"&lt;=31/03/2024")</f>
        <v>1455</v>
      </c>
      <c r="AG4" s="28">
        <f t="shared" si="4"/>
        <v>0.82268041237113398</v>
      </c>
      <c r="AI4" s="16">
        <f>COUNTIFS(MATRIZ_MACRO!$ES$5:$ES$1865,"=1 - Deficiente",MATRIZ_MACRO!$C$5:$C$1865,"&gt;=01/03/2024",MATRIZ_MACRO!$C$5:$C$1865,"&lt;=31/03/2024")</f>
        <v>0</v>
      </c>
      <c r="AJ4" s="16">
        <f>COUNTIFS(MATRIZ_MACRO!$ES$5:$ES$1865,"=2 - Regular",MATRIZ_MACRO!$C$5:$C$1865,"&gt;=01/03/2024",MATRIZ_MACRO!$C$5:$C$1865,"&lt;=31/03/2024")</f>
        <v>0</v>
      </c>
      <c r="AK4" s="16">
        <f>COUNTIFS(MATRIZ_MACRO!$ES$5:$ES$1865,"=3 - Aceptable",MATRIZ_MACRO!$C$5:$C$1865,"&gt;=01/03/2024",MATRIZ_MACRO!$C$5:$C$1865,"&lt;=31/03/2024")</f>
        <v>0</v>
      </c>
      <c r="AL4" s="16">
        <f>COUNTIFS(MATRIZ_MACRO!$ES$5:$ES$1865,"=4 - Buena",MATRIZ_MACRO!$C$5:$C$1865,"&gt;=01/03/2024",MATRIZ_MACRO!$C$5:$C$1865,"&lt;=31/03/2024")</f>
        <v>18</v>
      </c>
      <c r="AM4" s="16">
        <f>COUNTIFS(MATRIZ_MACRO!$ES$5:$ES$1865,"=5 - Excelente",MATRIZ_MACRO!$C$5:$C$1865,"&gt;=01/03/2024",MATRIZ_MACRO!$C$5:$C$1865,"&lt;=31/03/2024")</f>
        <v>8</v>
      </c>
      <c r="AN4" s="16">
        <f>COUNTIFS(MATRIZ_MACRO!$ES$5:$ES$1865,"=No existente",MATRIZ_MACRO!$C$5:$C$1865,"&gt;=01/03/2024",MATRIZ_MACRO!$C$5:$C$1865,"&lt;=31/03/2024")</f>
        <v>0</v>
      </c>
      <c r="AO4" s="27">
        <f t="shared" si="5"/>
        <v>4.3076923076923075</v>
      </c>
      <c r="AP4" s="28">
        <f t="shared" si="6"/>
        <v>0.86153846153846148</v>
      </c>
      <c r="AR4" s="28">
        <f>AVERAGEIFS(MATRIZ_MACRO!$ET$5:$ET$1863,MATRIZ_MACRO!$EK$5:$EK$1863,"&lt;&gt;No requiere", MATRIZ_MACRO!$C$5:$C$1863,"&gt;=01/03/2024",MATRIZ_MACRO!$C$5:$C$1863,"&lt;=31/03/2024")</f>
        <v>0.9935897435897435</v>
      </c>
      <c r="AT4" s="28">
        <f>AVERAGEIFS(MATRIZ_MACRO!$EU$5:$EU$1863,MATRIZ_MACRO!$EK$5:$EK$1863,"&lt;&gt;No requiere", MATRIZ_MACRO!$C$5:$C$1863,"&gt;=01/03/2024",MATRIZ_MACRO!$C$5:$C$1863,"&lt;=31/03/2024")</f>
        <v>1</v>
      </c>
      <c r="AV4" s="28">
        <f>AVERAGEIFS(MATRIZ_MACRO!$EV$5:$EV$1863,MATRIZ_MACRO!$EK$5:$EK$1863,"&lt;&gt;No requiere", MATRIZ_MACRO!$C$5:$C$1863,"&gt;=01/03/2024",MATRIZ_MACRO!$C$5:$C$1863,"&lt;=31/03/2024")</f>
        <v>0.88461538461538458</v>
      </c>
      <c r="AX4" s="16">
        <f>SUMIFS(MATRIZ_MACRO!$DO$5:$DO$1863, MATRIZ_MACRO!$C$5:$C$1863,"&gt;=01/03/2024",MATRIZ_MACRO!$C$5:$C$1863,"&lt;=31/03/2024")</f>
        <v>58792</v>
      </c>
      <c r="AY4" s="16">
        <f>SUMIFS(MATRIZ_MACRO!$EA$5:$EA$1863,MATRIZ_MACRO!$EW$5:$EW$1863,"&gt;=0", MATRIZ_MACRO!$C$5:$C$1863,"&gt;=01/03/2024",MATRIZ_MACRO!$C$5:$C$1863,"&lt;=31/03/2024")</f>
        <v>118926</v>
      </c>
      <c r="AZ4" s="28">
        <f t="shared" ref="AZ4:AZ11" si="8">IFERROR(AX4/AY4,"N/A")</f>
        <v>0.49435783596522209</v>
      </c>
    </row>
    <row r="5" spans="1:52" ht="12.75">
      <c r="A5" s="16" t="s">
        <v>6198</v>
      </c>
      <c r="B5" s="16">
        <f>COUNTIFS(MATRIZ_MACRO!$EL$5:$EL$1865,"&lt;&gt;No requiere", MATRIZ_MACRO!$EL$5:$EL$1865,"*",MATRIZ_MACRO!$C$5:$C$1865,"&gt;=01/04/2024",MATRIZ_MACRO!$C$5:$C$1865,"&lt;=30/04/2024")</f>
        <v>46</v>
      </c>
      <c r="C5" s="17"/>
      <c r="D5" s="16">
        <f>COUNTIFS(MATRIZ_MACRO!$EK$5:$EK$1865,"=1 - Deficiente",MATRIZ_MACRO!$C$5:$C$1865,"&gt;=01/04/2024",MATRIZ_MACRO!$C$5:$C$1865,"&lt;=30/04/2024")</f>
        <v>0</v>
      </c>
      <c r="E5" s="16">
        <f>COUNTIFS(MATRIZ_MACRO!$EK$5:$EK$1865,"=2 - Regular",MATRIZ_MACRO!$C$5:$C$1865,"&gt;=01/04/2024",MATRIZ_MACRO!$C$5:$C$1865,"&lt;=30/04/2024")</f>
        <v>0</v>
      </c>
      <c r="F5" s="16">
        <f>COUNTIFS(MATRIZ_MACRO!$EK$5:$EK$1865,"=3 - Aceptable",MATRIZ_MACRO!$C$5:$C$1865,"&gt;=01/04/2024",MATRIZ_MACRO!$C$5:$C$1865,"&lt;=30/04/2024")</f>
        <v>5</v>
      </c>
      <c r="G5" s="16">
        <f>COUNTIFS(MATRIZ_MACRO!$EK$5:$EK$1865,"=4 - Buena",MATRIZ_MACRO!$C$5:$C$1865,"&gt;=01/04/2024",MATRIZ_MACRO!$C$5:$C$1865,"&lt;=30/04/2024")</f>
        <v>18</v>
      </c>
      <c r="H5" s="16">
        <f>COUNTIFS(MATRIZ_MACRO!$EK$5:$EK$1865,"=5 - Excelente",MATRIZ_MACRO!$C$5:$C$1865,"&gt;=01/04/2024",MATRIZ_MACRO!$C$5:$C$1865,"&lt;=30/04/2024")</f>
        <v>23</v>
      </c>
      <c r="I5" s="16">
        <f>COUNTIFS(MATRIZ_MACRO!$EK$5:$EK$1865,"=No existente",MATRIZ_MACRO!$C$5:$C$1865,"&gt;=01/04/2024",MATRIZ_MACRO!$C$5:$C$1865,"&lt;=30/04/2024")</f>
        <v>0</v>
      </c>
      <c r="J5" s="27">
        <f t="shared" si="7"/>
        <v>4.3913043478260869</v>
      </c>
      <c r="K5" s="28">
        <f t="shared" si="0"/>
        <v>0.87826086956521743</v>
      </c>
      <c r="L5" s="17"/>
      <c r="M5" s="16">
        <f>COUNTIFS(MATRIZ_MACRO!$EL$5:$EL$1864,"=SÍ",MATRIZ_MACRO!$C$5:$C$1864,"&gt;=01/04/2024",MATRIZ_MACRO!$C$5:$C$1864,"&lt;=30/04/2024")</f>
        <v>37</v>
      </c>
      <c r="N5" s="16">
        <f>COUNTIFS(MATRIZ_MACRO!$EL$5:$EL$1864,"=NO",MATRIZ_MACRO!$C$5:$C$1864,"&gt;=01/04/2024",MATRIZ_MACRO!$C$5:$C$1864,"&lt;=30/04/2024")</f>
        <v>7</v>
      </c>
      <c r="O5" s="16">
        <f>COUNTIFS(MATRIZ_MACRO!$EL$5:$EL$1864,"=No aplica",MATRIZ_MACRO!$C$5:$C$1864,"&gt;=01/04/2024",MATRIZ_MACRO!$C$5:$C$1864,"&lt;=30/04/2024")</f>
        <v>2</v>
      </c>
      <c r="P5" s="28">
        <f t="shared" si="1"/>
        <v>0.84090909090909094</v>
      </c>
      <c r="Q5" s="17"/>
      <c r="R5" s="16">
        <f>COUNTIFS(MATRIZ_MACRO!$EM$5:$EM$1864,"=SÍ",MATRIZ_MACRO!$C$5:$C$1864,"&gt;=01/04/2024",MATRIZ_MACRO!$C$5:$C$1864,"&lt;=30/04/2024")</f>
        <v>17</v>
      </c>
      <c r="S5" s="16">
        <f>COUNTIFS(MATRIZ_MACRO!$EM$5:$EM$1864,"=NO",MATRIZ_MACRO!$C$5:$C$1864,"&gt;=01/04/2024",MATRIZ_MACRO!$C$5:$C$1864,"&lt;=30/04/2024")</f>
        <v>28</v>
      </c>
      <c r="T5" s="16">
        <f>COUNTIFS(MATRIZ_MACRO!$EM$5:$EM$1864,"=No aplica",MATRIZ_MACRO!$C$5:$C$1864,"&gt;=01/04/2024",MATRIZ_MACRO!$C$5:$C$1864,"&lt;=30/04/2024")</f>
        <v>1</v>
      </c>
      <c r="U5" s="28">
        <f t="shared" si="2"/>
        <v>0.37777777777777777</v>
      </c>
      <c r="V5" s="17"/>
      <c r="W5" s="16">
        <f>COUNTIFS(MATRIZ_MACRO!$EN$5:$EN$1864,"=SÍ",MATRIZ_MACRO!$C$5:$C$1864,"&gt;=01/04/2024",MATRIZ_MACRO!$C$5:$C$1864,"&lt;=30/04/2024")</f>
        <v>22</v>
      </c>
      <c r="X5" s="16">
        <f>COUNTIFS(MATRIZ_MACRO!$EN$5:$EN$1864,"=NO",MATRIZ_MACRO!$C$5:$C$1864,"&gt;=01/04/2024",MATRIZ_MACRO!$C$5:$C$1864,"&lt;=30/04/2024")</f>
        <v>24</v>
      </c>
      <c r="Y5" s="28">
        <f t="shared" si="3"/>
        <v>0.47826086956521741</v>
      </c>
      <c r="Z5" s="17"/>
      <c r="AA5" s="16">
        <f>COUNTIFS(MATRIZ_MACRO!$EP$5:$EP$1864,"&gt;=1%",MATRIZ_MACRO!$C$5:$C$1864,"&gt;=01/04/2024",MATRIZ_MACRO!$C$5:$C$1864,"&lt;=30/04/2024")</f>
        <v>8</v>
      </c>
      <c r="AB5" s="16">
        <f>COUNTIFS(MATRIZ_MACRO!$EP$5:$EP$1864,"No aplica",MATRIZ_MACRO!$C$5:$C$1864,"&gt;=01/04/2024",MATRIZ_MACRO!$C$5:$C$1864,"&lt;=30/04/2024")</f>
        <v>38</v>
      </c>
      <c r="AC5" s="28">
        <f>IFERROR(AVERAGEIFS(MATRIZ_MACRO!$EP$5:$EP$1863,MATRIZ_MACRO!$C$5:$C$1863,"&gt;=01/04/2024",MATRIZ_MACRO!$C$5:$C$1863,"&lt;=30/04/2024"),"N/A")</f>
        <v>1</v>
      </c>
      <c r="AD5" s="17"/>
      <c r="AE5" s="16">
        <f>SUMIFS(MATRIZ_MACRO!$DT$5:$DT$1863, MATRIZ_MACRO!$C$5:$C$1863,"&gt;=01/04/2024",MATRIZ_MACRO!$C$5:$C$1863,"&lt;=30/04/2024")</f>
        <v>1343</v>
      </c>
      <c r="AF5" s="16">
        <f>SUMIFS(MATRIZ_MACRO!$BZ$5:$BZ$1863,MATRIZ_MACRO!$EL$5:$EL$1863,"&lt;&gt;No requiere", MATRIZ_MACRO!$C$5:$C$1863,"&gt;=01/04/2024",MATRIZ_MACRO!$C$5:$C$1863,"&lt;=30/04/2024")</f>
        <v>1548</v>
      </c>
      <c r="AG5" s="28">
        <f t="shared" si="4"/>
        <v>0.86757105943152457</v>
      </c>
      <c r="AH5" s="17"/>
      <c r="AI5" s="16">
        <f>COUNTIFS(MATRIZ_MACRO!$ES$5:$ES$1865,"=1 - Deficiente",MATRIZ_MACRO!$C$5:$C$1865,"&gt;=01/04/2024",MATRIZ_MACRO!$C$5:$C$1865,"&lt;=30/04/2024")</f>
        <v>0</v>
      </c>
      <c r="AJ5" s="16">
        <f>COUNTIFS(MATRIZ_MACRO!$ES$5:$ES$1865,"=2 - Regular",MATRIZ_MACRO!$C$5:$C$1865,"&gt;=01/04/2024",MATRIZ_MACRO!$C$5:$C$1865,"&lt;=30/04/2024")</f>
        <v>0</v>
      </c>
      <c r="AK5" s="16">
        <f>COUNTIFS(MATRIZ_MACRO!$ES$5:$ES$1865,"=3 - Aceptable",MATRIZ_MACRO!$C$5:$C$1865,"&gt;=01/04/2024",MATRIZ_MACRO!$C$5:$C$1865,"&lt;=30/04/2024")</f>
        <v>5</v>
      </c>
      <c r="AL5" s="16">
        <f>COUNTIFS(MATRIZ_MACRO!$ES$5:$ES$1865,"=4 - Buena",MATRIZ_MACRO!$C$5:$C$1865,"&gt;=01/04/2024",MATRIZ_MACRO!$C$5:$C$1865,"&lt;=30/04/2024")</f>
        <v>21</v>
      </c>
      <c r="AM5" s="16">
        <f>COUNTIFS(MATRIZ_MACRO!$ES$5:$ES$1865,"=5 - Excelente",MATRIZ_MACRO!$C$5:$C$1865,"&gt;=01/04/2024",MATRIZ_MACRO!$C$5:$C$1865,"&lt;=30/04/2024")</f>
        <v>20</v>
      </c>
      <c r="AN5" s="16">
        <f>COUNTIFS(MATRIZ_MACRO!$ES$5:$ES$1865,"=No existente",MATRIZ_MACRO!$C$5:$C$1865,"&gt;=01/04/2024",MATRIZ_MACRO!$C$5:$C$1865,"&lt;=30/04/2024")</f>
        <v>0</v>
      </c>
      <c r="AO5" s="27">
        <f t="shared" si="5"/>
        <v>4.3260869565217392</v>
      </c>
      <c r="AP5" s="28">
        <f t="shared" si="6"/>
        <v>0.86521739130434783</v>
      </c>
      <c r="AQ5" s="17"/>
      <c r="AR5" s="28">
        <f>AVERAGEIFS(MATRIZ_MACRO!$ET$5:$ET$1863,MATRIZ_MACRO!$EK$5:$EK$1863,"&lt;&gt;No requiere", MATRIZ_MACRO!$C$5:$C$1863,"&gt;=01/04/2024",MATRIZ_MACRO!$C$5:$C$1863,"&lt;=30/04/2024")</f>
        <v>0.98550724637681164</v>
      </c>
      <c r="AS5" s="17"/>
      <c r="AT5" s="28">
        <f>AVERAGEIFS(MATRIZ_MACRO!$EU$5:$EU$1863,MATRIZ_MACRO!$EK$5:$EK$1863,"&lt;&gt;No requiere", MATRIZ_MACRO!$C$5:$C$1863,"&gt;=01/04/2024",MATRIZ_MACRO!$C$5:$C$1863,"&lt;=30/04/2024")</f>
        <v>0.95348837209302328</v>
      </c>
      <c r="AU5" s="17"/>
      <c r="AV5" s="28">
        <f>AVERAGEIFS(MATRIZ_MACRO!$EV$5:$EV$1863,MATRIZ_MACRO!$EK$5:$EK$1863,"&lt;&gt;No requiere", MATRIZ_MACRO!$C$5:$C$1863,"&gt;=01/04/2024",MATRIZ_MACRO!$C$5:$C$1863,"&lt;=30/04/2024")</f>
        <v>0.95348837209302328</v>
      </c>
      <c r="AW5" s="17"/>
      <c r="AX5" s="16">
        <f>SUMIFS(MATRIZ_MACRO!$DO$5:$DO$1863, MATRIZ_MACRO!$C$5:$C$1863,"&gt;=01/04/2024",MATRIZ_MACRO!$C$5:$C$1863,"&lt;=30/04/2024")</f>
        <v>40927</v>
      </c>
      <c r="AY5" s="16">
        <f>SUMIFS(MATRIZ_MACRO!$EA$5:$EA$1863,MATRIZ_MACRO!$EW$5:$EW$1863,"&gt;=0", MATRIZ_MACRO!$C$5:$C$1863,"&gt;=01/04/2024",MATRIZ_MACRO!$C$5:$C$1863,"&lt;=30/04/2024")</f>
        <v>80117</v>
      </c>
      <c r="AZ5" s="28">
        <f t="shared" si="8"/>
        <v>0.51084039592096564</v>
      </c>
    </row>
    <row r="6" spans="1:52" ht="12.75">
      <c r="A6" s="16" t="s">
        <v>6199</v>
      </c>
      <c r="B6" s="16">
        <f>COUNTIFS(MATRIZ_MACRO!$EL$5:$EL$1865,"&lt;&gt;No requiere", MATRIZ_MACRO!$EL$5:$EL$1865,"*",MATRIZ_MACRO!$C$5:$C$1865,"&gt;=01/05/2024",MATRIZ_MACRO!$C$5:$C$1865,"&lt;=31/05/2024")</f>
        <v>14</v>
      </c>
      <c r="D6" s="16">
        <f>COUNTIFS(MATRIZ_MACRO!$EK$5:$EK$1865,"=1 - Deficiente",MATRIZ_MACRO!$C$5:$C$1865,"&gt;=01/05/2024",MATRIZ_MACRO!$C$5:$C$1865,"&lt;=31/05/2024")</f>
        <v>0</v>
      </c>
      <c r="E6" s="16">
        <f>COUNTIFS(MATRIZ_MACRO!$EK$5:$EK$1865,"=2 - Regular",MATRIZ_MACRO!$C$5:$C$1865,"&gt;=01/05/2024",MATRIZ_MACRO!$C$5:$C$1865,"&lt;=31/05/2024")</f>
        <v>0</v>
      </c>
      <c r="F6" s="16">
        <f>COUNTIFS(MATRIZ_MACRO!$EK$5:$EK$1865,"=3 - Aceptable",MATRIZ_MACRO!$C$5:$C$1865,"&gt;=01/05/2024",MATRIZ_MACRO!$C$5:$C$1865,"&lt;=31/05/2024")</f>
        <v>1</v>
      </c>
      <c r="G6" s="16">
        <f>COUNTIFS(MATRIZ_MACRO!$EK$5:$EK$1865,"=4 - Buena",MATRIZ_MACRO!$C$5:$C$1865,"&gt;=01/05/2024",MATRIZ_MACRO!$C$5:$C$1865,"&lt;=31/05/2024")</f>
        <v>3</v>
      </c>
      <c r="H6" s="16">
        <f>COUNTIFS(MATRIZ_MACRO!$EK$5:$EK$1865,"=5 - Excelente",MATRIZ_MACRO!$C$5:$C$1865,"&gt;=01/05/2024",MATRIZ_MACRO!$C$5:$C$1865,"&lt;=31/05/2024")</f>
        <v>5</v>
      </c>
      <c r="I6" s="16">
        <f>COUNTIFS(MATRIZ_MACRO!$EK$5:$EK$1865,"=No existente",MATRIZ_MACRO!$C$5:$C$1865,"&gt;=01/05/2024",MATRIZ_MACRO!$C$5:$C$1865,"&lt;=31/05/2024")</f>
        <v>5</v>
      </c>
      <c r="J6" s="27">
        <f t="shared" si="7"/>
        <v>4.4444444444444446</v>
      </c>
      <c r="K6" s="28">
        <f t="shared" si="0"/>
        <v>0.88888888888888895</v>
      </c>
      <c r="M6" s="16">
        <f>COUNTIFS(MATRIZ_MACRO!$EL$5:$EL$1864,"=SÍ",MATRIZ_MACRO!$C$5:$C$1864,"&gt;=01/05/2024",MATRIZ_MACRO!$C$5:$C$1864,"&lt;=31/05/2024")</f>
        <v>2</v>
      </c>
      <c r="N6" s="16">
        <f>COUNTIFS(MATRIZ_MACRO!$EL$5:$EL$1864,"=NO",MATRIZ_MACRO!$C$5:$C$1864,"&gt;=01/05/2024",MATRIZ_MACRO!$C$5:$C$1864,"&lt;=31/05/2024")</f>
        <v>12</v>
      </c>
      <c r="O6" s="16">
        <f>COUNTIFS(MATRIZ_MACRO!$EL$5:$EL$1864,"=No aplica",MATRIZ_MACRO!$C$5:$C$1864,"&gt;=01/05/2024",MATRIZ_MACRO!$C$5:$C$1864,"&lt;=31/05/2024")</f>
        <v>0</v>
      </c>
      <c r="P6" s="28">
        <f t="shared" si="1"/>
        <v>0.14285714285714285</v>
      </c>
      <c r="R6" s="16">
        <f>COUNTIFS(MATRIZ_MACRO!$EM$5:$EM$1864,"=SÍ",MATRIZ_MACRO!$C$5:$C$1864,"&gt;=01/05/2024",MATRIZ_MACRO!$C$5:$C$1864,"&lt;=31/05/2024")</f>
        <v>1</v>
      </c>
      <c r="S6" s="16">
        <f>COUNTIFS(MATRIZ_MACRO!$EM$5:$EM$1864,"=NO",MATRIZ_MACRO!$C$5:$C$1864,"&gt;=01/05/2024",MATRIZ_MACRO!$C$5:$C$1864,"&lt;=31/05/2024")</f>
        <v>6</v>
      </c>
      <c r="T6" s="16">
        <f>COUNTIFS(MATRIZ_MACRO!$EM$5:$EM$1864,"=No aplica",MATRIZ_MACRO!$C$5:$C$1864,"&gt;=01/05/2024",MATRIZ_MACRO!$C$5:$C$1864,"&lt;=31/05/2024")</f>
        <v>7</v>
      </c>
      <c r="U6" s="28">
        <f t="shared" si="2"/>
        <v>0.14285714285714285</v>
      </c>
      <c r="W6" s="16">
        <f>COUNTIFS(MATRIZ_MACRO!$EN$5:$EN$1864,"=SÍ",MATRIZ_MACRO!$C$5:$C$1864,"&gt;=01/05/2024",MATRIZ_MACRO!$C$5:$C$1864,"&lt;=31/05/2024")</f>
        <v>8</v>
      </c>
      <c r="X6" s="16">
        <f>COUNTIFS(MATRIZ_MACRO!$EN$5:$EN$1864,"=NO",MATRIZ_MACRO!$C$5:$C$1864,"&gt;=01/05/2024",MATRIZ_MACRO!$C$5:$C$1864,"&lt;=31/05/2024")</f>
        <v>6</v>
      </c>
      <c r="Y6" s="28">
        <f t="shared" si="3"/>
        <v>0.5714285714285714</v>
      </c>
      <c r="AA6" s="16">
        <f>COUNTIFS(MATRIZ_MACRO!$EP$5:$EP$1864,"&gt;=1%",MATRIZ_MACRO!$C$5:$C$1864,"&gt;=01/05/2024",MATRIZ_MACRO!$C$5:$C$1864,"&lt;=31/05/2024")</f>
        <v>9</v>
      </c>
      <c r="AB6" s="16">
        <f>COUNTIFS(MATRIZ_MACRO!$EP$5:$EP$1864,"No aplica",MATRIZ_MACRO!$C$5:$C$1864,"&gt;=01/05/2024",MATRIZ_MACRO!$C$5:$C$1864,"&lt;=31/05/2024")</f>
        <v>5</v>
      </c>
      <c r="AC6" s="28">
        <f>IFERROR(AVERAGEIFS(MATRIZ_MACRO!$EP$5:$EP$1863,MATRIZ_MACRO!$C$5:$C$1863,"&gt;=01/05/2024",MATRIZ_MACRO!$C$5:$C$1863,"&lt;=31/05/2024"),"N/A")</f>
        <v>0.99206349206349209</v>
      </c>
      <c r="AE6" s="16">
        <f>SUMIFS(MATRIZ_MACRO!$DT$5:$DT$1863, MATRIZ_MACRO!$C$5:$C$1863,"&gt;=01/05/2024",MATRIZ_MACRO!$C$5:$C$1863,"&lt;=31/05/2024")</f>
        <v>73</v>
      </c>
      <c r="AF6" s="16">
        <f>SUMIFS(MATRIZ_MACRO!$BZ$5:$BZ$1863,MATRIZ_MACRO!$EL$5:$EL$1863,"&lt;&gt;No requiere", MATRIZ_MACRO!$C$5:$C$1863,"&gt;=01/05/2024",MATRIZ_MACRO!$C$5:$C$1863,"&lt;=31/05/2024")</f>
        <v>261</v>
      </c>
      <c r="AG6" s="28">
        <f t="shared" si="4"/>
        <v>0.27969348659003829</v>
      </c>
      <c r="AI6" s="16">
        <f>COUNTIFS(MATRIZ_MACRO!$ES$5:$ES$1865,"=1 - Deficiente",MATRIZ_MACRO!$C$5:$C$1865,"&gt;=01/05/2024",MATRIZ_MACRO!$C$5:$C$1865,"&lt;=31/05/2024")</f>
        <v>0</v>
      </c>
      <c r="AJ6" s="16">
        <f>COUNTIFS(MATRIZ_MACRO!$ES$5:$ES$1865,"=2 - Regular",MATRIZ_MACRO!$C$5:$C$1865,"&gt;=01/05/2024",MATRIZ_MACRO!$C$5:$C$1865,"&lt;=31/05/2024")</f>
        <v>0</v>
      </c>
      <c r="AK6" s="16">
        <f>COUNTIFS(MATRIZ_MACRO!$ES$5:$ES$1865,"=3 - Aceptable",MATRIZ_MACRO!$C$5:$C$1865,"&gt;=01/05/2024",MATRIZ_MACRO!$C$5:$C$1865,"&lt;=31/05/2024")</f>
        <v>0</v>
      </c>
      <c r="AL6" s="16">
        <f>COUNTIFS(MATRIZ_MACRO!$ES$5:$ES$1865,"=4 - Buena",MATRIZ_MACRO!$C$5:$C$1865,"&gt;=01/05/2024",MATRIZ_MACRO!$C$5:$C$1865,"&lt;=31/05/2024")</f>
        <v>4</v>
      </c>
      <c r="AM6" s="16">
        <f>COUNTIFS(MATRIZ_MACRO!$ES$5:$ES$1865,"=5 - Excelente",MATRIZ_MACRO!$C$5:$C$1865,"&gt;=01/05/2024",MATRIZ_MACRO!$C$5:$C$1865,"&lt;=31/05/2024")</f>
        <v>5</v>
      </c>
      <c r="AN6" s="16">
        <f>COUNTIFS(MATRIZ_MACRO!$ES$5:$ES$1865,"=No existente",MATRIZ_MACRO!$C$5:$C$1865,"&gt;=01/05/2024",MATRIZ_MACRO!$C$5:$C$1865,"&lt;=31/05/2024")</f>
        <v>5</v>
      </c>
      <c r="AO6" s="27">
        <f t="shared" si="5"/>
        <v>4.5555555555555554</v>
      </c>
      <c r="AP6" s="28">
        <f t="shared" si="6"/>
        <v>0.91111111111111109</v>
      </c>
      <c r="AR6" s="28">
        <f>AVERAGEIFS(MATRIZ_MACRO!$ET$5:$ET$1863,MATRIZ_MACRO!$EK$5:$EK$1863,"&lt;&gt;No requiere", MATRIZ_MACRO!$C$5:$C$1863,"&gt;=01/05/2024",MATRIZ_MACRO!$C$5:$C$1863,"&lt;=31/05/2024")</f>
        <v>0.8214285714285714</v>
      </c>
      <c r="AT6" s="28">
        <f>AVERAGEIFS(MATRIZ_MACRO!$EU$5:$EU$1863,MATRIZ_MACRO!$EK$5:$EK$1863,"&lt;&gt;No requiere", MATRIZ_MACRO!$C$5:$C$1863,"&gt;=01/05/2024",MATRIZ_MACRO!$C$5:$C$1863,"&lt;=31/05/2024")</f>
        <v>0.71794871794871784</v>
      </c>
      <c r="AV6" s="28">
        <f>AVERAGEIFS(MATRIZ_MACRO!$EV$5:$EV$1863,MATRIZ_MACRO!$EK$5:$EK$1863,"&lt;&gt;No requiere", MATRIZ_MACRO!$C$5:$C$1863,"&gt;=01/05/2024",MATRIZ_MACRO!$C$5:$C$1863,"&lt;=31/05/2024")</f>
        <v>0.75757575757575746</v>
      </c>
      <c r="AX6" s="16">
        <f>SUMIFS(MATRIZ_MACRO!$DO$5:$DO$1863, MATRIZ_MACRO!$C$5:$C$1863,"&gt;=01/05/2024",MATRIZ_MACRO!$C$5:$C$1863,"&lt;=31/05/2024")</f>
        <v>395</v>
      </c>
      <c r="AY6" s="16">
        <f>SUMIFS(MATRIZ_MACRO!$EA$5:$EA$1863,MATRIZ_MACRO!$EW$5:$EW$1863,"&gt;=0", MATRIZ_MACRO!$C$5:$C$1863,"&gt;=01/05/2024",MATRIZ_MACRO!$C$5:$C$1863,"&lt;=31/05/2024")</f>
        <v>395</v>
      </c>
      <c r="AZ6" s="28">
        <f t="shared" si="8"/>
        <v>1</v>
      </c>
    </row>
    <row r="7" spans="1:52" s="300" customFormat="1" ht="12.75">
      <c r="A7" s="299" t="s">
        <v>6200</v>
      </c>
      <c r="B7" s="299">
        <f>COUNTIFS(MATRIZ_MACRO!$EL$5:$EL$1865,"&lt;&gt;No requiere", MATRIZ_MACRO!$EL$5:$EL$1865,"*",MATRIZ_MACRO!$C$5:$C$1865,"&gt;=01/06/2024",MATRIZ_MACRO!$C$5:$C$1865,"&lt;=30/06/2024")</f>
        <v>8</v>
      </c>
      <c r="D7" s="299">
        <f>COUNTIFS(MATRIZ_MACRO!$EK$5:$EK$1865,"=1 - Deficiente",MATRIZ_MACRO!$C$5:$C$1865,"&gt;=01/06/2024",MATRIZ_MACRO!$C$5:$C$1865,"&lt;=30/06/2024")</f>
        <v>0</v>
      </c>
      <c r="E7" s="299">
        <f>COUNTIFS(MATRIZ_MACRO!$EK$5:$EK$1865,"=2 - Regular",MATRIZ_MACRO!$C$5:$C$1865,"&gt;=01/06/2024",MATRIZ_MACRO!$C$5:$C$1865,"&lt;=30/06/2024")</f>
        <v>0</v>
      </c>
      <c r="F7" s="299">
        <f>COUNTIFS(MATRIZ_MACRO!$EK$5:$EK$1865,"=3 - Aceptable",MATRIZ_MACRO!$C$5:$C$1865,"&gt;=01/06/2024",MATRIZ_MACRO!$C$5:$C$1865,"&lt;=30/06/2024")</f>
        <v>1</v>
      </c>
      <c r="G7" s="299">
        <f>COUNTIFS(MATRIZ_MACRO!$EK$5:$EK$1865,"=4 - Buena",MATRIZ_MACRO!$C$5:$C$1865,"&gt;=01/06/2024",MATRIZ_MACRO!$C$5:$C$1865,"&lt;=30/06/2024")</f>
        <v>3</v>
      </c>
      <c r="H7" s="299">
        <f>COUNTIFS(MATRIZ_MACRO!$EK$5:$EK$1865,"=5 - Excelente",MATRIZ_MACRO!$C$5:$C$1865,"&gt;=01/06/2024",MATRIZ_MACRO!$C$5:$C$1865,"&lt;=30/06/2024")</f>
        <v>2</v>
      </c>
      <c r="I7" s="299">
        <f>COUNTIFS(MATRIZ_MACRO!$EK$5:$EK$1865,"=No existente",MATRIZ_MACRO!$C$5:$C$1865,"&gt;=01/06/2024",MATRIZ_MACRO!$C$5:$C$1865,"&lt;=30/06/2024")</f>
        <v>2</v>
      </c>
      <c r="J7" s="301">
        <f t="shared" si="7"/>
        <v>4.166666666666667</v>
      </c>
      <c r="K7" s="302">
        <f t="shared" si="0"/>
        <v>0.83333333333333337</v>
      </c>
      <c r="M7" s="299">
        <f>COUNTIFS(MATRIZ_MACRO!$EL$5:$EL$1864,"=SÍ",MATRIZ_MACRO!$C$5:$C$1864,"&gt;=01/06/2024",MATRIZ_MACRO!$C$5:$C$1864,"&lt;=30/06/2024")</f>
        <v>3</v>
      </c>
      <c r="N7" s="299">
        <f>COUNTIFS(MATRIZ_MACRO!$EL$5:$EL$1864,"=NO",MATRIZ_MACRO!$C$5:$C$1864,"&gt;=01/06/2024",MATRIZ_MACRO!$C$5:$C$1864,"&lt;=30/06/2024")</f>
        <v>5</v>
      </c>
      <c r="O7" s="299">
        <f>COUNTIFS(MATRIZ_MACRO!$EL$5:$EL$1864,"=No aplica",MATRIZ_MACRO!$C$5:$C$1864,"&gt;=01/06/2024",MATRIZ_MACRO!$C$5:$C$1864,"&lt;=30/06/2024")</f>
        <v>0</v>
      </c>
      <c r="P7" s="302">
        <f t="shared" si="1"/>
        <v>0.375</v>
      </c>
      <c r="R7" s="299">
        <f>COUNTIFS(MATRIZ_MACRO!$EM$5:$EM$1864,"=SÍ",MATRIZ_MACRO!$C$5:$C$1864,"&gt;=01/06/2024",MATRIZ_MACRO!$C$5:$C$1864,"&lt;=30/06/2024")</f>
        <v>0</v>
      </c>
      <c r="S7" s="299">
        <f>COUNTIFS(MATRIZ_MACRO!$EM$5:$EM$1864,"=NO",MATRIZ_MACRO!$C$5:$C$1864,"&gt;=01/06/2024",MATRIZ_MACRO!$C$5:$C$1864,"&lt;=30/06/2024")</f>
        <v>6</v>
      </c>
      <c r="T7" s="299">
        <f>COUNTIFS(MATRIZ_MACRO!$EM$5:$EM$1864,"=No aplica",MATRIZ_MACRO!$C$5:$C$1864,"&gt;=01/06/2024",MATRIZ_MACRO!$C$5:$C$1864,"&lt;=30/06/2024")</f>
        <v>2</v>
      </c>
      <c r="U7" s="302">
        <f t="shared" si="2"/>
        <v>0</v>
      </c>
      <c r="W7" s="299">
        <f>COUNTIFS(MATRIZ_MACRO!$EN$5:$EN$1864,"=SÍ",MATRIZ_MACRO!$C$5:$C$1864,"&gt;=01/06/2024",MATRIZ_MACRO!$C$5:$C$1864,"&lt;=30/06/2024")</f>
        <v>3</v>
      </c>
      <c r="X7" s="299">
        <f>COUNTIFS(MATRIZ_MACRO!$EN$5:$EN$1864,"=NO",MATRIZ_MACRO!$C$5:$C$1864,"&gt;=01/06/2024",MATRIZ_MACRO!$C$5:$C$1864,"&lt;=30/06/2024")</f>
        <v>4</v>
      </c>
      <c r="Y7" s="302">
        <f t="shared" si="3"/>
        <v>0.375</v>
      </c>
      <c r="AA7" s="299">
        <f>COUNTIFS(MATRIZ_MACRO!$EP$5:$EP$1864,"&gt;=1%",MATRIZ_MACRO!$C$5:$C$1864,"&gt;=01/06/2024",MATRIZ_MACRO!$C$5:$C$1864,"&lt;=30/06/2024")</f>
        <v>4</v>
      </c>
      <c r="AB7" s="299">
        <f>COUNTIFS(MATRIZ_MACRO!$EP$5:$EP$1864,"No aplica",MATRIZ_MACRO!$C$5:$C$1864,"&gt;=01/06/2024",MATRIZ_MACRO!$C$5:$C$1864,"&lt;=30/06/2024")</f>
        <v>4</v>
      </c>
      <c r="AC7" s="302">
        <f>IFERROR(AVERAGEIFS(MATRIZ_MACRO!$EP$5:$EP$1863,MATRIZ_MACRO!$C$5:$C$1863,"&gt;=01/06/2024",MATRIZ_MACRO!$C$5:$C$1863,"&lt;=30/06/2024"),"N/A")</f>
        <v>1</v>
      </c>
      <c r="AE7" s="299">
        <f>SUMIFS(MATRIZ_MACRO!$DT$5:$DT$1863, MATRIZ_MACRO!$C$5:$C$1863,"&gt;=01/06/2024",MATRIZ_MACRO!$C$5:$C$1863,"&lt;=30/06/2024")</f>
        <v>65</v>
      </c>
      <c r="AF7" s="299">
        <f>SUMIFS(MATRIZ_MACRO!$BZ$5:$BZ$1863,MATRIZ_MACRO!$EL$5:$EL$1863,"&lt;&gt;No requiere", MATRIZ_MACRO!$C$5:$C$1863,"&gt;=01/06/2024",MATRIZ_MACRO!$C$5:$C$1863,"&lt;=30/06/2024")</f>
        <v>139</v>
      </c>
      <c r="AG7" s="302">
        <f t="shared" si="4"/>
        <v>0.46762589928057552</v>
      </c>
      <c r="AI7" s="299">
        <f>COUNTIFS(MATRIZ_MACRO!$ES$5:$ES$1865,"=1 - Deficiente",MATRIZ_MACRO!$C$5:$C$1865,"&gt;=01/06/2024",MATRIZ_MACRO!$C$5:$C$1865,"&lt;=30/06/2024")</f>
        <v>0</v>
      </c>
      <c r="AJ7" s="299">
        <f>COUNTIFS(MATRIZ_MACRO!$ES$5:$ES$1865,"=2 - Regular",MATRIZ_MACRO!$C$5:$C$1865,"&gt;=01/06/2024",MATRIZ_MACRO!$C$5:$C$1865,"&lt;=30/06/2024")</f>
        <v>0</v>
      </c>
      <c r="AK7" s="299">
        <f>COUNTIFS(MATRIZ_MACRO!$ES$5:$ES$1865,"=3 - Aceptable",MATRIZ_MACRO!$C$5:$C$1865,"&gt;=01/06/2024",MATRIZ_MACRO!$C$5:$C$1865,"&lt;=30/06/2024")</f>
        <v>1</v>
      </c>
      <c r="AL7" s="299">
        <f>COUNTIFS(MATRIZ_MACRO!$ES$5:$ES$1865,"=4 - Buena",MATRIZ_MACRO!$C$5:$C$1865,"&gt;=01/06/2024",MATRIZ_MACRO!$C$5:$C$1865,"&lt;=30/06/2024")</f>
        <v>3</v>
      </c>
      <c r="AM7" s="299">
        <f>COUNTIFS(MATRIZ_MACRO!$ES$5:$ES$1865,"=5 - Excelente",MATRIZ_MACRO!$C$5:$C$1865,"&gt;=01/06/2024",MATRIZ_MACRO!$C$5:$C$1865,"&lt;=30/06/2024")</f>
        <v>2</v>
      </c>
      <c r="AN7" s="299">
        <f>COUNTIFS(MATRIZ_MACRO!$ES$5:$ES$1865,"=No existente",MATRIZ_MACRO!$C$5:$C$1865,"&gt;=01/06/2024",MATRIZ_MACRO!$C$5:$C$1865,"&lt;=30/06/2024")</f>
        <v>2</v>
      </c>
      <c r="AO7" s="301">
        <f t="shared" si="5"/>
        <v>4.166666666666667</v>
      </c>
      <c r="AP7" s="302">
        <f t="shared" si="6"/>
        <v>0.83333333333333337</v>
      </c>
      <c r="AR7" s="302">
        <f>AVERAGEIFS(MATRIZ_MACRO!$ET$5:$ET$1863,MATRIZ_MACRO!$EK$5:$EK$1863,"&lt;&gt;No requiere", MATRIZ_MACRO!$C$5:$C$1863,"&gt;=01/06/2024",MATRIZ_MACRO!$C$5:$C$1863,"&lt;=30/06/2024")</f>
        <v>0.85416666666666674</v>
      </c>
      <c r="AT7" s="302">
        <f>AVERAGEIFS(MATRIZ_MACRO!$EU$5:$EU$1863,MATRIZ_MACRO!$EK$5:$EK$1863,"&lt;&gt;No requiere", MATRIZ_MACRO!$C$5:$C$1863,"&gt;=01/06/2024",MATRIZ_MACRO!$C$5:$C$1863,"&lt;=30/06/2024")</f>
        <v>1</v>
      </c>
      <c r="AV7" s="302">
        <f>AVERAGEIFS(MATRIZ_MACRO!$EV$5:$EV$1863,MATRIZ_MACRO!$EK$5:$EK$1863,"&lt;&gt;No requiere", MATRIZ_MACRO!$C$5:$C$1863,"&gt;=01/06/2024",MATRIZ_MACRO!$C$5:$C$1863,"&lt;=30/06/2024")</f>
        <v>1</v>
      </c>
      <c r="AX7" s="299">
        <f>SUMIFS(MATRIZ_MACRO!$DO$5:$DO$1863, MATRIZ_MACRO!$C$5:$C$1863,"&gt;=01/06/2024",MATRIZ_MACRO!$C$5:$C$1863,"&lt;=30/06/2024")</f>
        <v>1095</v>
      </c>
      <c r="AY7" s="299">
        <f>SUMIFS(MATRIZ_MACRO!$EA$5:$EA$1863,MATRIZ_MACRO!$EW$5:$EW$1863,"&gt;=0", MATRIZ_MACRO!$C$5:$C$1863,"&gt;=01/06/2024",MATRIZ_MACRO!$C$5:$C$1863,"&lt;=30/06/2024")</f>
        <v>1150</v>
      </c>
      <c r="AZ7" s="302">
        <f t="shared" si="8"/>
        <v>0.95217391304347831</v>
      </c>
    </row>
    <row r="8" spans="1:52" ht="12.75">
      <c r="A8" s="16" t="s">
        <v>6201</v>
      </c>
      <c r="B8" s="16">
        <f>COUNTIFS(MATRIZ_MACRO!$EL$5:$EL$1865,"&lt;&gt;No requiere", MATRIZ_MACRO!$EL$5:$EL$1865,"*",MATRIZ_MACRO!$C$5:$C$1865,"&gt;=01/07/2024",MATRIZ_MACRO!$C$5:$C$1865,"&lt;=31/07/2024")</f>
        <v>18</v>
      </c>
      <c r="D8" s="16">
        <f>COUNTIFS(MATRIZ_MACRO!$EK$5:$EK$1865,"=1 - Deficiente",MATRIZ_MACRO!$C$5:$C$1865,"&gt;=01/07/2024",MATRIZ_MACRO!$C$5:$C$1865,"&lt;=31/07/2024")</f>
        <v>0</v>
      </c>
      <c r="E8" s="16">
        <f>COUNTIFS(MATRIZ_MACRO!$EK$5:$EK$1865,"=2 - Regular",MATRIZ_MACRO!$C$5:$C$1865,"&gt;=01/07/2024",MATRIZ_MACRO!$C$5:$C$1865,"&lt;=31/07/2024")</f>
        <v>0</v>
      </c>
      <c r="F8" s="16">
        <f>COUNTIFS(MATRIZ_MACRO!$EK$5:$EK$1865,"=3 - Aceptable",MATRIZ_MACRO!$C$5:$C$1865,"&gt;=01/07/2024",MATRIZ_MACRO!$C$5:$C$1865,"&lt;=31/07/2024")</f>
        <v>0</v>
      </c>
      <c r="G8" s="16">
        <f>COUNTIFS(MATRIZ_MACRO!$EK$5:$EK$1865,"=4 - Buena",MATRIZ_MACRO!$C$5:$C$1865,"&gt;=01/07/2024",MATRIZ_MACRO!$C$5:$C$1865,"&lt;=31/07/2024")</f>
        <v>6</v>
      </c>
      <c r="H8" s="16">
        <f>COUNTIFS(MATRIZ_MACRO!$EK$5:$EK$1865,"=5 - Excelente",MATRIZ_MACRO!$C$5:$C$1865,"&gt;=01/07/2024",MATRIZ_MACRO!$C$5:$C$1865,"&lt;=31/07/2024")</f>
        <v>7</v>
      </c>
      <c r="I8" s="16">
        <f>COUNTIFS(MATRIZ_MACRO!$EK$5:$EK$1865,"=No existente",MATRIZ_MACRO!$C$5:$C$1865,"&gt;=01/07/2024",MATRIZ_MACRO!$C$5:$C$1865,"&lt;=31/07/2024")</f>
        <v>0</v>
      </c>
      <c r="J8" s="27">
        <f t="shared" si="7"/>
        <v>3.2777777777777777</v>
      </c>
      <c r="K8" s="28">
        <f t="shared" si="0"/>
        <v>0.65555555555555556</v>
      </c>
      <c r="M8" s="16">
        <f>COUNTIFS(MATRIZ_MACRO!$EL$5:$EL$1864,"=SÍ",MATRIZ_MACRO!$C$5:$C$1864,"&gt;=01/07/2024",MATRIZ_MACRO!$C$5:$C$1864,"&lt;=31/07/2024")</f>
        <v>12</v>
      </c>
      <c r="N8" s="16">
        <f>COUNTIFS(MATRIZ_MACRO!$EL$5:$EL$1864,"=NO",MATRIZ_MACRO!$C$5:$C$1864,"&gt;=01/07/2024",MATRIZ_MACRO!$C$5:$C$1864,"&lt;=31/07/2024")</f>
        <v>4</v>
      </c>
      <c r="O8" s="16">
        <f>COUNTIFS(MATRIZ_MACRO!$EL$5:$EL$1864,"=No aplica",MATRIZ_MACRO!$C$5:$C$1864,"&gt;=01/07/2024",MATRIZ_MACRO!$C$5:$C$1864,"&lt;=31/07/2024")</f>
        <v>0</v>
      </c>
      <c r="P8" s="28">
        <f t="shared" si="1"/>
        <v>0.66666666666666663</v>
      </c>
      <c r="R8" s="16">
        <f>COUNTIFS(MATRIZ_MACRO!$EM$5:$EM$1864,"=SÍ",MATRIZ_MACRO!$C$5:$C$1864,"&gt;=01/07/2024",MATRIZ_MACRO!$C$5:$C$1864,"&lt;=31/07/2024")</f>
        <v>0</v>
      </c>
      <c r="S8" s="16">
        <f>COUNTIFS(MATRIZ_MACRO!$EM$5:$EM$1864,"=NO",MATRIZ_MACRO!$C$5:$C$1864,"&gt;=01/07/2024",MATRIZ_MACRO!$C$5:$C$1864,"&lt;=31/07/2024")</f>
        <v>16</v>
      </c>
      <c r="T8" s="16">
        <f>COUNTIFS(MATRIZ_MACRO!$EM$5:$EM$1864,"=No aplica",MATRIZ_MACRO!$C$5:$C$1864,"&gt;=01/07/2024",MATRIZ_MACRO!$C$5:$C$1864,"&lt;=31/07/2024")</f>
        <v>0</v>
      </c>
      <c r="U8" s="28">
        <f t="shared" si="2"/>
        <v>0</v>
      </c>
      <c r="W8" s="16">
        <f>COUNTIFS(MATRIZ_MACRO!$EN$5:$EN$1864,"=SÍ",MATRIZ_MACRO!$C$5:$C$1864,"&gt;=01/07/2024",MATRIZ_MACRO!$C$5:$C$1864,"&lt;=31/07/2024")</f>
        <v>10</v>
      </c>
      <c r="X8" s="16">
        <f>COUNTIFS(MATRIZ_MACRO!$EN$5:$EN$1864,"=NO",MATRIZ_MACRO!$C$5:$C$1864,"&gt;=01/07/2024",MATRIZ_MACRO!$C$5:$C$1864,"&lt;=31/07/2024")</f>
        <v>7</v>
      </c>
      <c r="Y8" s="28">
        <f t="shared" si="3"/>
        <v>0.55555555555555558</v>
      </c>
      <c r="AA8" s="16">
        <f>COUNTIFS(MATRIZ_MACRO!$EP$5:$EP$1864,"&gt;=1%",MATRIZ_MACRO!$C$5:$C$1864,"&gt;=01/07/2024",MATRIZ_MACRO!$C$5:$C$1864,"&lt;=31/07/2024")</f>
        <v>5</v>
      </c>
      <c r="AB8" s="16">
        <f>COUNTIFS(MATRIZ_MACRO!$EP$5:$EP$1864,"No aplica",MATRIZ_MACRO!$C$5:$C$1864,"&gt;=01/07/2024",MATRIZ_MACRO!$C$5:$C$1864,"&lt;=31/07/2024")</f>
        <v>13</v>
      </c>
      <c r="AC8" s="28">
        <f>IFERROR(AVERAGEIFS(MATRIZ_MACRO!$EP$5:$EP$1863,MATRIZ_MACRO!$C$5:$C$1863,"&gt;=01/07/2024",MATRIZ_MACRO!$C$5:$C$1863,"&lt;=31/07/2024"),"N/A")</f>
        <v>1</v>
      </c>
      <c r="AE8" s="16">
        <f>SUMIFS(MATRIZ_MACRO!$DT$5:$DT$1863, MATRIZ_MACRO!$C$5:$C$1863,"&gt;=01/07/2024",MATRIZ_MACRO!$C$5:$C$1863,"&lt;=31/07/2024")</f>
        <v>211</v>
      </c>
      <c r="AF8" s="16">
        <f>SUMIFS(MATRIZ_MACRO!$BZ$5:$BZ$1863,MATRIZ_MACRO!$EL$5:$EL$1863,"&lt;&gt;No requiere", MATRIZ_MACRO!$C$5:$C$1863,"&gt;=01/07/2024",MATRIZ_MACRO!$C$5:$C$1863,"&lt;=31/07/2024")</f>
        <v>640</v>
      </c>
      <c r="AG8" s="28">
        <f t="shared" si="4"/>
        <v>0.32968750000000002</v>
      </c>
      <c r="AI8" s="16">
        <f>COUNTIFS(MATRIZ_MACRO!$ES$5:$ES$1865,"=1 - Deficiente",MATRIZ_MACRO!$C$5:$C$1865,"&gt;=01/07/2024",MATRIZ_MACRO!$C$5:$C$1865,"&lt;=31/07/2024")</f>
        <v>0</v>
      </c>
      <c r="AJ8" s="16">
        <f>COUNTIFS(MATRIZ_MACRO!$ES$5:$ES$1865,"=2 - Regular",MATRIZ_MACRO!$C$5:$C$1865,"&gt;=01/07/2024",MATRIZ_MACRO!$C$5:$C$1865,"&lt;=31/07/2024")</f>
        <v>0</v>
      </c>
      <c r="AK8" s="16">
        <f>COUNTIFS(MATRIZ_MACRO!$ES$5:$ES$1865,"=3 - Aceptable",MATRIZ_MACRO!$C$5:$C$1865,"&gt;=01/07/2024",MATRIZ_MACRO!$C$5:$C$1865,"&lt;=31/07/2024")</f>
        <v>0</v>
      </c>
      <c r="AL8" s="16">
        <f>COUNTIFS(MATRIZ_MACRO!$ES$5:$ES$1865,"=4 - Buena",MATRIZ_MACRO!$C$5:$C$1865,"&gt;=01/07/2024",MATRIZ_MACRO!$C$5:$C$1865,"&lt;=31/07/2024")</f>
        <v>6</v>
      </c>
      <c r="AM8" s="16">
        <f>COUNTIFS(MATRIZ_MACRO!$ES$5:$ES$1865,"=5 - Excelente",MATRIZ_MACRO!$C$5:$C$1865,"&gt;=01/07/2024",MATRIZ_MACRO!$C$5:$C$1865,"&lt;=31/07/2024")</f>
        <v>7</v>
      </c>
      <c r="AN8" s="16">
        <f>COUNTIFS(MATRIZ_MACRO!$ES$5:$ES$1865,"=No existente",MATRIZ_MACRO!$C$5:$C$1865,"&gt;=01/07/2024",MATRIZ_MACRO!$C$5:$C$1865,"&lt;=31/07/2024")</f>
        <v>0</v>
      </c>
      <c r="AO8" s="27">
        <f t="shared" si="5"/>
        <v>3.2777777777777777</v>
      </c>
      <c r="AP8" s="28">
        <f t="shared" si="6"/>
        <v>0.65555555555555556</v>
      </c>
      <c r="AR8" s="28">
        <f>AVERAGEIFS(MATRIZ_MACRO!$ET$5:$ET$1863,MATRIZ_MACRO!$EK$5:$EK$1863,"&lt;&gt;No requiere", MATRIZ_MACRO!$C$5:$C$1863,"&gt;=01/07/2024",MATRIZ_MACRO!$C$5:$C$1863,"&lt;=31/07/2024")</f>
        <v>0.85098039215686283</v>
      </c>
      <c r="AT8" s="28">
        <f>AVERAGEIFS(MATRIZ_MACRO!$EU$5:$EU$1863,MATRIZ_MACRO!$EK$5:$EK$1863,"&lt;&gt;No requiere", MATRIZ_MACRO!$C$5:$C$1863,"&gt;=01/07/2024",MATRIZ_MACRO!$C$5:$C$1863,"&lt;=31/07/2024")</f>
        <v>1</v>
      </c>
      <c r="AV8" s="28">
        <f>AVERAGEIFS(MATRIZ_MACRO!$EV$5:$EV$1863,MATRIZ_MACRO!$EK$5:$EK$1863,"&lt;&gt;No requiere", MATRIZ_MACRO!$C$5:$C$1863,"&gt;=01/07/2024",MATRIZ_MACRO!$C$5:$C$1863,"&lt;=31/07/2024")</f>
        <v>1</v>
      </c>
      <c r="AX8" s="16">
        <f>SUMIFS(MATRIZ_MACRO!$DO$5:$DO$1863, MATRIZ_MACRO!$C$5:$C$1863,"&gt;=01/07/2024",MATRIZ_MACRO!$C$5:$C$1863,"&lt;=31/07/2024")</f>
        <v>4634</v>
      </c>
      <c r="AY8" s="16">
        <f>SUMIFS(MATRIZ_MACRO!$EA$5:$EA$1863,MATRIZ_MACRO!$EW$5:$EW$1863,"&gt;=0", MATRIZ_MACRO!$C$5:$C$1863,"&gt;=01/07/2024",MATRIZ_MACRO!$C$5:$C$1863,"&lt;=31/07/2024")</f>
        <v>2021</v>
      </c>
      <c r="AZ8" s="28">
        <f t="shared" si="8"/>
        <v>2.2929242949035129</v>
      </c>
    </row>
    <row r="9" spans="1:52" ht="12.75">
      <c r="A9" s="16" t="s">
        <v>6202</v>
      </c>
      <c r="B9" s="16">
        <f>COUNTIFS(MATRIZ_MACRO!$EL$5:$EL$1865,"&lt;&gt;No requiere", MATRIZ_MACRO!$EL$5:$EL$1865,"*",MATRIZ_MACRO!$C$5:$C$1865,"&gt;=01/08/2024",MATRIZ_MACRO!$C$5:$C$1865,"&lt;=31/08/2024")</f>
        <v>5</v>
      </c>
      <c r="D9" s="16">
        <f>COUNTIFS(MATRIZ_MACRO!$EK$5:$EK$1865,"=1 - Deficiente",MATRIZ_MACRO!$C$5:$C$1865,"&gt;=01/08/2024",MATRIZ_MACRO!$C$5:$C$1865,"&lt;=31/08/2024")</f>
        <v>0</v>
      </c>
      <c r="E9" s="16">
        <f>COUNTIFS(MATRIZ_MACRO!$EK$5:$EK$1865,"=2 - Regular",MATRIZ_MACRO!$C$5:$C$1865,"&gt;=01/08/2024",MATRIZ_MACRO!$C$5:$C$1865,"&lt;=31/08/2024")</f>
        <v>0</v>
      </c>
      <c r="F9" s="16">
        <f>COUNTIFS(MATRIZ_MACRO!$EK$5:$EK$1865,"=3 - Aceptable",MATRIZ_MACRO!$C$5:$C$1865,"&gt;=01/08/2024",MATRIZ_MACRO!$C$5:$C$1865,"&lt;=31/08/2024")</f>
        <v>0</v>
      </c>
      <c r="G9" s="16">
        <f>COUNTIFS(MATRIZ_MACRO!$EK$5:$EK$1865,"=4 - Buena",MATRIZ_MACRO!$C$5:$C$1865,"&gt;=01/08/2024",MATRIZ_MACRO!$C$5:$C$1865,"&lt;=31/08/2024")</f>
        <v>0</v>
      </c>
      <c r="H9" s="16">
        <f>COUNTIFS(MATRIZ_MACRO!$EK$5:$EK$1865,"=5 - Excelente",MATRIZ_MACRO!$C$5:$C$1865,"&gt;=01/08/2024",MATRIZ_MACRO!$C$5:$C$1865,"&lt;=31/08/2024")</f>
        <v>0</v>
      </c>
      <c r="I9" s="16">
        <f>COUNTIFS(MATRIZ_MACRO!$EK$5:$EK$1865,"=No existente",MATRIZ_MACRO!$C$5:$C$1865,"&gt;=01/08/2024",MATRIZ_MACRO!$C$5:$C$1865,"&lt;=31/08/2024")</f>
        <v>0</v>
      </c>
      <c r="J9" s="27">
        <f t="shared" si="7"/>
        <v>0</v>
      </c>
      <c r="K9" s="28">
        <f t="shared" si="0"/>
        <v>0</v>
      </c>
      <c r="M9" s="16">
        <f>COUNTIFS(MATRIZ_MACRO!$EL$5:$EL$1864,"=SÍ",MATRIZ_MACRO!$C$5:$C$1864,"&gt;=01/08/2024",MATRIZ_MACRO!$C$5:$C$1864,"&lt;=31/08/2024")</f>
        <v>1</v>
      </c>
      <c r="N9" s="16">
        <f>COUNTIFS(MATRIZ_MACRO!$EL$5:$EL$1864,"=NO",MATRIZ_MACRO!$C$5:$C$1864,"&gt;=01/08/2024",MATRIZ_MACRO!$C$5:$C$1864,"&lt;=31/08/2024")</f>
        <v>3</v>
      </c>
      <c r="O9" s="16">
        <f>COUNTIFS(MATRIZ_MACRO!$EL$5:$EL$1864,"=No aplica",MATRIZ_MACRO!$C$5:$C$1864,"&gt;=01/08/2024",MATRIZ_MACRO!$C$5:$C$1864,"&lt;=31/08/2024")</f>
        <v>0</v>
      </c>
      <c r="P9" s="28">
        <f t="shared" si="1"/>
        <v>0.2</v>
      </c>
      <c r="R9" s="16">
        <f>COUNTIFS(MATRIZ_MACRO!$EM$5:$EM$1864,"=SÍ",MATRIZ_MACRO!$C$5:$C$1864,"&gt;=01/08/2024",MATRIZ_MACRO!$C$5:$C$1864,"&lt;=31/08/2024")</f>
        <v>0</v>
      </c>
      <c r="S9" s="16">
        <f>COUNTIFS(MATRIZ_MACRO!$EM$5:$EM$1864,"=NO",MATRIZ_MACRO!$C$5:$C$1864,"&gt;=01/08/2024",MATRIZ_MACRO!$C$5:$C$1864,"&lt;=31/08/2024")</f>
        <v>3</v>
      </c>
      <c r="T9" s="16">
        <f>COUNTIFS(MATRIZ_MACRO!$EM$5:$EM$1864,"=No aplica",MATRIZ_MACRO!$C$5:$C$1864,"&gt;=01/08/2024",MATRIZ_MACRO!$C$5:$C$1864,"&lt;=31/08/2024")</f>
        <v>1</v>
      </c>
      <c r="U9" s="28">
        <f t="shared" si="2"/>
        <v>0</v>
      </c>
      <c r="W9" s="16">
        <f>COUNTIFS(MATRIZ_MACRO!$EN$5:$EN$1864,"=SÍ",MATRIZ_MACRO!$C$5:$C$1864,"&gt;=01/08/2024",MATRIZ_MACRO!$C$5:$C$1864,"&lt;=31/08/2024")</f>
        <v>4</v>
      </c>
      <c r="X9" s="16">
        <f>COUNTIFS(MATRIZ_MACRO!$EN$5:$EN$1864,"=NO",MATRIZ_MACRO!$C$5:$C$1864,"&gt;=01/08/2024",MATRIZ_MACRO!$C$5:$C$1864,"&lt;=31/08/2024")</f>
        <v>0</v>
      </c>
      <c r="Y9" s="28">
        <f t="shared" si="3"/>
        <v>0.8</v>
      </c>
      <c r="AA9" s="16">
        <f>COUNTIFS(MATRIZ_MACRO!$EP$5:$EP$1864,"&gt;=1%",MATRIZ_MACRO!$C$5:$C$1864,"&gt;=01/08/2024",MATRIZ_MACRO!$C$5:$C$1864,"&lt;=31/08/2024")</f>
        <v>1</v>
      </c>
      <c r="AB9" s="16">
        <f>COUNTIFS(MATRIZ_MACRO!$EP$5:$EP$1864,"No aplica",MATRIZ_MACRO!$C$5:$C$1864,"&gt;=01/08/2024",MATRIZ_MACRO!$C$5:$C$1864,"&lt;=31/08/2024")</f>
        <v>3</v>
      </c>
      <c r="AC9" s="28">
        <f>IFERROR(AVERAGEIFS(MATRIZ_MACRO!$EP$5:$EP$1863,MATRIZ_MACRO!$C$5:$C$1863,"&gt;=01/08/2024",MATRIZ_MACRO!$C$5:$C$1863,"&lt;=31/08/2024"),"N/A")</f>
        <v>1</v>
      </c>
      <c r="AE9" s="16">
        <f>SUMIFS(MATRIZ_MACRO!$DT$5:$DT$1863, MATRIZ_MACRO!$C$5:$C$1863,"&gt;=01/08/2024",MATRIZ_MACRO!$C$5:$C$1863,"&lt;=31/08/2024")</f>
        <v>13</v>
      </c>
      <c r="AF9" s="16">
        <f>SUMIFS(MATRIZ_MACRO!$BZ$5:$BZ$1863,MATRIZ_MACRO!$EL$5:$EL$1863,"&lt;&gt;No requiere", MATRIZ_MACRO!$C$5:$C$1863,"&gt;=01/08/2024",MATRIZ_MACRO!$C$5:$C$1863,"&lt;=31/08/2024")</f>
        <v>89</v>
      </c>
      <c r="AG9" s="28">
        <f t="shared" si="4"/>
        <v>0.14606741573033707</v>
      </c>
      <c r="AI9" s="16">
        <f>COUNTIFS(MATRIZ_MACRO!$ES$5:$ES$1865,"=1 - Deficiente",MATRIZ_MACRO!$C$5:$C$1865,"&gt;=01/08/2024",MATRIZ_MACRO!$C$5:$C$1865,"&lt;=31/08/2024")</f>
        <v>0</v>
      </c>
      <c r="AJ9" s="16">
        <f>COUNTIFS(MATRIZ_MACRO!$ES$5:$ES$1865,"=2 - Regular",MATRIZ_MACRO!$C$5:$C$1865,"&gt;=01/08/2024",MATRIZ_MACRO!$C$5:$C$1865,"&lt;=31/08/2024")</f>
        <v>0</v>
      </c>
      <c r="AK9" s="16">
        <f>COUNTIFS(MATRIZ_MACRO!$ES$5:$ES$1865,"=3 - Aceptable",MATRIZ_MACRO!$C$5:$C$1865,"&gt;=01/08/2024",MATRIZ_MACRO!$C$5:$C$1865,"&lt;=31/08/2024")</f>
        <v>0</v>
      </c>
      <c r="AL9" s="16">
        <f>COUNTIFS(MATRIZ_MACRO!$ES$5:$ES$1865,"=4 - Buena",MATRIZ_MACRO!$C$5:$C$1865,"&gt;=01/08/2024",MATRIZ_MACRO!$C$5:$C$1865,"&lt;=31/08/2024")</f>
        <v>0</v>
      </c>
      <c r="AM9" s="16">
        <f>COUNTIFS(MATRIZ_MACRO!$ES$5:$ES$1865,"=5 - Excelente",MATRIZ_MACRO!$C$5:$C$1865,"&gt;=01/08/2024",MATRIZ_MACRO!$C$5:$C$1865,"&lt;=31/08/2024")</f>
        <v>0</v>
      </c>
      <c r="AN9" s="16">
        <f>COUNTIFS(MATRIZ_MACRO!$ES$5:$ES$1865,"=No existente",MATRIZ_MACRO!$C$5:$C$1865,"&gt;=01/08/2024",MATRIZ_MACRO!$C$5:$C$1865,"&lt;=31/08/2024")</f>
        <v>0</v>
      </c>
      <c r="AO9" s="27">
        <f t="shared" si="5"/>
        <v>0</v>
      </c>
      <c r="AP9" s="28">
        <f t="shared" si="6"/>
        <v>0</v>
      </c>
      <c r="AR9" s="28">
        <f>AVERAGEIFS(MATRIZ_MACRO!$ET$5:$ET$1863,MATRIZ_MACRO!$EK$5:$EK$1863,"&lt;&gt;No requiere", MATRIZ_MACRO!$C$5:$C$1863,"&gt;=01/08/2024",MATRIZ_MACRO!$C$5:$C$1863,"&lt;=31/08/2024")</f>
        <v>0.9375</v>
      </c>
      <c r="AT9" s="28">
        <f>AVERAGEIFS(MATRIZ_MACRO!$EU$5:$EU$1863,MATRIZ_MACRO!$EK$5:$EK$1863,"&lt;&gt;No requiere", MATRIZ_MACRO!$C$5:$C$1863,"&gt;=01/08/2024",MATRIZ_MACRO!$C$5:$C$1863,"&lt;=31/08/2024")</f>
        <v>0</v>
      </c>
      <c r="AV9" s="28" t="e">
        <f>AVERAGEIFS(MATRIZ_MACRO!$EV$5:$EV$1863,MATRIZ_MACRO!$EK$5:$EK$1863,"&lt;&gt;No requiere", MATRIZ_MACRO!$C$5:$C$1863,"&gt;=01/08/2024",MATRIZ_MACRO!$C$5:$C$1863,"&lt;=31/08/2024")</f>
        <v>#DIV/0!</v>
      </c>
      <c r="AX9" s="16">
        <f>SUMIFS(MATRIZ_MACRO!$DO$5:$DO$1863, MATRIZ_MACRO!$C$5:$C$1863,"&gt;=01/08/2024",MATRIZ_MACRO!$C$5:$C$1863,"&lt;=31/08/2024")</f>
        <v>314</v>
      </c>
      <c r="AY9" s="16">
        <f>SUMIFS(MATRIZ_MACRO!$EA$5:$EA$1863,MATRIZ_MACRO!$EW$5:$EW$1863,"&gt;=0", MATRIZ_MACRO!$C$5:$C$1863,"&gt;=01/08/2024",MATRIZ_MACRO!$C$5:$C$1863,"&lt;=31/08/2024")</f>
        <v>0</v>
      </c>
      <c r="AZ9" s="28" t="str">
        <f t="shared" si="8"/>
        <v>N/A</v>
      </c>
    </row>
    <row r="10" spans="1:52" ht="12.75">
      <c r="A10" s="16" t="s">
        <v>6203</v>
      </c>
      <c r="B10" s="16">
        <f>COUNTIFS(MATRIZ_MACRO!$EL$5:$EL$1865,"&lt;&gt;No requiere", MATRIZ_MACRO!$EL$5:$EL$1865,"*",MATRIZ_MACRO!$C$5:$C$1865,"&gt;=01/09/2024",MATRIZ_MACRO!$C$5:$C$1865,"&lt;=30/09/2024")</f>
        <v>9</v>
      </c>
      <c r="D10" s="16">
        <f>COUNTIFS(MATRIZ_MACRO!$EK$5:$EK$1865,"=1 - Deficiente",MATRIZ_MACRO!$C$5:$C$1865,"&gt;=01/09/2024",MATRIZ_MACRO!$C$5:$C$1865,"&lt;=30/09/2024")</f>
        <v>0</v>
      </c>
      <c r="E10" s="16">
        <f>COUNTIFS(MATRIZ_MACRO!$EK$5:$EK$1865,"=2 - Regular",MATRIZ_MACRO!$C$5:$C$1865,"&gt;=01/09/2024",MATRIZ_MACRO!$C$5:$C$1865,"&lt;=30/09/2024")</f>
        <v>0</v>
      </c>
      <c r="F10" s="16">
        <f>COUNTIFS(MATRIZ_MACRO!$EK$5:$EK$1865,"=3 - Aceptable",MATRIZ_MACRO!$C$5:$C$1865,"&gt;=01/09/2024",MATRIZ_MACRO!$C$5:$C$1865,"&lt;=30/09/2024")</f>
        <v>0</v>
      </c>
      <c r="G10" s="16">
        <f>COUNTIFS(MATRIZ_MACRO!$EK$5:$EK$1865,"=4 - Buena",MATRIZ_MACRO!$C$5:$C$1865,"&gt;=01/09/2024",MATRIZ_MACRO!$C$5:$C$1865,"&lt;=30/09/2024")</f>
        <v>0</v>
      </c>
      <c r="H10" s="16">
        <f>COUNTIFS(MATRIZ_MACRO!$EK$5:$EK$1865,"=5 - Excelente",MATRIZ_MACRO!$C$5:$C$1865,"&gt;=01/09/2024",MATRIZ_MACRO!$C$5:$C$1865,"&lt;=30/09/2024")</f>
        <v>0</v>
      </c>
      <c r="I10" s="16">
        <f>COUNTIFS(MATRIZ_MACRO!$EK$5:$EK$1865,"=No existente",MATRIZ_MACRO!$C$5:$C$1865,"&gt;=01/09/2024",MATRIZ_MACRO!$C$5:$C$1865,"&lt;=30/09/2024")</f>
        <v>0</v>
      </c>
      <c r="J10" s="27">
        <f t="shared" si="7"/>
        <v>0</v>
      </c>
      <c r="K10" s="28">
        <f t="shared" si="0"/>
        <v>0</v>
      </c>
      <c r="M10" s="16">
        <f>COUNTIFS(MATRIZ_MACRO!$EL$5:$EL$1864,"=SÍ",MATRIZ_MACRO!$C$5:$C$1864,"&gt;=01/09/2024",MATRIZ_MACRO!$C$5:$C$1864,"&lt;=30/09/2024")</f>
        <v>0</v>
      </c>
      <c r="N10" s="16">
        <f>COUNTIFS(MATRIZ_MACRO!$EL$5:$EL$1864,"=NO",MATRIZ_MACRO!$C$5:$C$1864,"&gt;=01/09/2024",MATRIZ_MACRO!$C$5:$C$1864,"&lt;=30/09/2024")</f>
        <v>0</v>
      </c>
      <c r="O10" s="16">
        <f>COUNTIFS(MATRIZ_MACRO!$EL$5:$EL$1864,"=No aplica",MATRIZ_MACRO!$C$5:$C$1864,"&gt;=01/09/2024",MATRIZ_MACRO!$C$5:$C$1864,"&lt;=30/09/2024")</f>
        <v>0</v>
      </c>
      <c r="P10" s="28">
        <f t="shared" si="1"/>
        <v>0</v>
      </c>
      <c r="R10" s="16">
        <f>COUNTIFS(MATRIZ_MACRO!$EM$5:$EM$1864,"=SÍ",MATRIZ_MACRO!$C$5:$C$1864,"&gt;=01/09/2024",MATRIZ_MACRO!$C$5:$C$1864,"&lt;=30/09/2024")</f>
        <v>0</v>
      </c>
      <c r="S10" s="16">
        <f>COUNTIFS(MATRIZ_MACRO!$EM$5:$EM$1864,"=NO",MATRIZ_MACRO!$C$5:$C$1864,"&gt;=01/09/2024",MATRIZ_MACRO!$C$5:$C$1864,"&lt;=30/09/2024")</f>
        <v>0</v>
      </c>
      <c r="T10" s="16">
        <f>COUNTIFS(MATRIZ_MACRO!$EM$5:$EM$1864,"=No aplica",MATRIZ_MACRO!$C$5:$C$1864,"&gt;=01/09/2024",MATRIZ_MACRO!$C$5:$C$1864,"&lt;=30/09/2024")</f>
        <v>0</v>
      </c>
      <c r="U10" s="28">
        <f t="shared" si="2"/>
        <v>0</v>
      </c>
      <c r="W10" s="16">
        <f>COUNTIFS(MATRIZ_MACRO!$EN$5:$EN$1864,"=SÍ",MATRIZ_MACRO!$C$5:$C$1864,"&gt;=01/09/2024",MATRIZ_MACRO!$C$5:$C$1864,"&lt;=30/09/2024")</f>
        <v>0</v>
      </c>
      <c r="X10" s="16">
        <f>COUNTIFS(MATRIZ_MACRO!$EN$5:$EN$1864,"=NO",MATRIZ_MACRO!$C$5:$C$1864,"&gt;=01/09/2024",MATRIZ_MACRO!$C$5:$C$1864,"&lt;=30/09/2024")</f>
        <v>0</v>
      </c>
      <c r="Y10" s="28">
        <f t="shared" si="3"/>
        <v>0</v>
      </c>
      <c r="AA10" s="16">
        <f>COUNTIFS(MATRIZ_MACRO!$EP$5:$EP$1864,"&gt;=1%",MATRIZ_MACRO!$C$5:$C$1864,"&gt;=01/09/2024",MATRIZ_MACRO!$C$5:$C$1864,"&lt;=30/09/2024")</f>
        <v>0</v>
      </c>
      <c r="AB10" s="16">
        <f>COUNTIFS(MATRIZ_MACRO!$EP$5:$EP$1864,"No aplica",MATRIZ_MACRO!$C$5:$C$1864,"&gt;=01/09/2024",MATRIZ_MACRO!$C$5:$C$1864,"&lt;=30/09/2024")</f>
        <v>13</v>
      </c>
      <c r="AC10" s="28" t="str">
        <f>IFERROR(AVERAGEIFS(MATRIZ_MACRO!$EP$5:$EP$1863,MATRIZ_MACRO!$C$5:$C$1863,"&gt;=01/09/2024",MATRIZ_MACRO!$C$5:$C$1863,"&lt;=30/09/2024"),"N/A")</f>
        <v>N/A</v>
      </c>
      <c r="AE10" s="16">
        <f>SUMIFS(MATRIZ_MACRO!$DT$5:$DT$1863, MATRIZ_MACRO!$C$5:$C$1863,"&gt;=01/09/2024",MATRIZ_MACRO!$C$5:$C$1863,"&lt;=30/09/2024")</f>
        <v>0</v>
      </c>
      <c r="AF10" s="16">
        <f>SUMIFS(MATRIZ_MACRO!$BZ$5:$BZ$1863,MATRIZ_MACRO!$EL$5:$EL$1863,"&lt;&gt;No requiere", MATRIZ_MACRO!$C$5:$C$1863,"&gt;=01/09/2024",MATRIZ_MACRO!$C$5:$C$1863,"&lt;=30/09/2024")</f>
        <v>0</v>
      </c>
      <c r="AG10" s="28" t="e">
        <f t="shared" si="4"/>
        <v>#DIV/0!</v>
      </c>
      <c r="AI10" s="16">
        <f>COUNTIFS(MATRIZ_MACRO!$ES$5:$ES$1865,"=1 - Deficiente",MATRIZ_MACRO!$C$5:$C$1865,"&gt;=01/09/2024",MATRIZ_MACRO!$C$5:$C$1865,"&lt;=30/09/2024")</f>
        <v>0</v>
      </c>
      <c r="AJ10" s="16">
        <f>COUNTIFS(MATRIZ_MACRO!$ES$5:$ES$1865,"=2 - Regular",MATRIZ_MACRO!$C$5:$C$1865,"&gt;=01/09/2024",MATRIZ_MACRO!$C$5:$C$1865,"&lt;=30/09/2024")</f>
        <v>0</v>
      </c>
      <c r="AK10" s="16">
        <f>COUNTIFS(MATRIZ_MACRO!$ES$5:$ES$1865,"=3 - Aceptable",MATRIZ_MACRO!$C$5:$C$1865,"&gt;=01/09/2024",MATRIZ_MACRO!$C$5:$C$1865,"&lt;=30/09/2024")</f>
        <v>0</v>
      </c>
      <c r="AL10" s="16">
        <f>COUNTIFS(MATRIZ_MACRO!$ES$5:$ES$1865,"=4 - Buena",MATRIZ_MACRO!$C$5:$C$1865,"&gt;=01/09/2024",MATRIZ_MACRO!$C$5:$C$1865,"&lt;=30/09/2024")</f>
        <v>0</v>
      </c>
      <c r="AM10" s="16">
        <f>COUNTIFS(MATRIZ_MACRO!$ES$5:$ES$1865,"=5 - Excelente",MATRIZ_MACRO!$C$5:$C$1865,"&gt;=01/09/2024",MATRIZ_MACRO!$C$5:$C$1865,"&lt;=30/09/2024")</f>
        <v>0</v>
      </c>
      <c r="AN10" s="16">
        <f>COUNTIFS(MATRIZ_MACRO!$ES$5:$ES$1865,"=No existente",MATRIZ_MACRO!$C$5:$C$1865,"&gt;=01/09/2024",MATRIZ_MACRO!$C$5:$C$1865,"&lt;=30/09/2024")</f>
        <v>0</v>
      </c>
      <c r="AO10" s="27">
        <f t="shared" si="5"/>
        <v>0</v>
      </c>
      <c r="AP10" s="28">
        <f t="shared" si="6"/>
        <v>0</v>
      </c>
      <c r="AR10" s="28" t="e">
        <f>AVERAGEIFS(MATRIZ_MACRO!$ET$5:$ET$1863,MATRIZ_MACRO!$EK$5:$EK$1863,"&lt;&gt;No requiere", MATRIZ_MACRO!$C$5:$C$1863,"&gt;=01/09/2024",MATRIZ_MACRO!$C$5:$C$1863,"&lt;=30/09/2024")</f>
        <v>#DIV/0!</v>
      </c>
      <c r="AT10" s="28" t="e">
        <f>AVERAGEIFS(MATRIZ_MACRO!$EU$5:$EU$1863,MATRIZ_MACRO!$EK$5:$EK$1863,"&lt;&gt;No requiere", MATRIZ_MACRO!$C$5:$C$1863,"&gt;=01/09/2024",MATRIZ_MACRO!$C$5:$C$1863,"&lt;=30/09/2024")</f>
        <v>#REF!</v>
      </c>
      <c r="AV10" s="28" t="e">
        <f>AVERAGEIFS(MATRIZ_MACRO!$EV$5:$EV$1863,MATRIZ_MACRO!$EK$5:$EK$1863,"&lt;&gt;No requiere", MATRIZ_MACRO!$C$5:$C$1863,"&gt;=01/09/2024",MATRIZ_MACRO!$C$5:$C$1863,"&lt;=30/09/2024")</f>
        <v>#REF!</v>
      </c>
      <c r="AX10" s="16">
        <f>SUMIFS(MATRIZ_MACRO!$DO$5:$DO$1863, MATRIZ_MACRO!$C$5:$C$1863,"&gt;=01/09/2024",MATRIZ_MACRO!$C$5:$C$1863,"&lt;=30/09/2024")</f>
        <v>0</v>
      </c>
      <c r="AY10" s="16">
        <f>SUMIFS(MATRIZ_MACRO!$EA$5:$EA$1863,MATRIZ_MACRO!$EW$5:$EW$1863,"&gt;=0", MATRIZ_MACRO!$C$5:$C$1863,"&gt;=01/09/2024",MATRIZ_MACRO!$C$5:$C$1863,"&lt;=30/09/2024")</f>
        <v>0</v>
      </c>
      <c r="AZ10" s="28" t="str">
        <f t="shared" si="8"/>
        <v>N/A</v>
      </c>
    </row>
    <row r="11" spans="1:52" ht="12.75">
      <c r="A11" s="16" t="s">
        <v>6204</v>
      </c>
      <c r="B11" s="16">
        <f>COUNTIFS(MATRIZ_MACRO!$EL$5:$EL$1865,"&lt;&gt;No requiere", MATRIZ_MACRO!$EL$5:$EL$1865,"*",MATRIZ_MACRO!$C$5:$C$1865,"&gt;=01/10/2024",MATRIZ_MACRO!$C$5:$C$1865,"&lt;=31/10/2024")</f>
        <v>0</v>
      </c>
      <c r="D11" s="16">
        <f>COUNTIFS(MATRIZ_MACRO!$EK$5:$EK$1865,"=1 - Deficiente",MATRIZ_MACRO!$C$5:$C$1865,"&gt;=01/10/2024",MATRIZ_MACRO!$C$5:$C$1865,"&lt;=31/10/2024")</f>
        <v>0</v>
      </c>
      <c r="E11" s="16">
        <f>COUNTIFS(MATRIZ_MACRO!$EK$5:$EK$1865,"=2 - Regular",MATRIZ_MACRO!$C$5:$C$1865,"&gt;=01/10/2024",MATRIZ_MACRO!$C$5:$C$1865,"&lt;=31/10/2024")</f>
        <v>0</v>
      </c>
      <c r="F11" s="16">
        <f>COUNTIFS(MATRIZ_MACRO!$EK$5:$EK$1865,"=3 - Aceptable",MATRIZ_MACRO!$C$5:$C$1865,"&gt;=01/10/2024",MATRIZ_MACRO!$C$5:$C$1865,"&lt;=31/10/2024")</f>
        <v>0</v>
      </c>
      <c r="G11" s="16">
        <f>COUNTIFS(MATRIZ_MACRO!$EK$5:$EK$1865,"=4 - Buena",MATRIZ_MACRO!$C$5:$C$1865,"&gt;=01/10/2024",MATRIZ_MACRO!$C$5:$C$1865,"&lt;=31/10/2024")</f>
        <v>0</v>
      </c>
      <c r="H11" s="16">
        <f>COUNTIFS(MATRIZ_MACRO!$EK$5:$EK$1865,"=5 - Excelente",MATRIZ_MACRO!$C$5:$C$1865,"&gt;=01/10/2024",MATRIZ_MACRO!$C$5:$C$1865,"&lt;=31/10/2024")</f>
        <v>0</v>
      </c>
      <c r="I11" s="16">
        <f>COUNTIFS(MATRIZ_MACRO!$EK$5:$EK$1865,"=No existente",MATRIZ_MACRO!$C$5:$C$1865,"&gt;=01/10/2024",MATRIZ_MACRO!$C$5:$C$1865,"&lt;=31/10/2024")</f>
        <v>0</v>
      </c>
      <c r="J11" s="27" t="e">
        <f t="shared" si="7"/>
        <v>#DIV/0!</v>
      </c>
      <c r="K11" s="28" t="e">
        <f t="shared" si="0"/>
        <v>#DIV/0!</v>
      </c>
      <c r="M11" s="16">
        <f>COUNTIFS(MATRIZ_MACRO!$EL$5:$EL$1864,"=SÍ",MATRIZ_MACRO!$C$5:$C$1864,"&gt;=01/10/2024",MATRIZ_MACRO!$C$5:$C$1864,"&lt;=31/10/2024")</f>
        <v>0</v>
      </c>
      <c r="N11" s="16">
        <f>COUNTIFS(MATRIZ_MACRO!$EL$5:$EL$1864,"=NO",MATRIZ_MACRO!$C$5:$C$1864,"&gt;=01/10/2024",MATRIZ_MACRO!$C$5:$C$1864,"&lt;=31/10/2024")</f>
        <v>0</v>
      </c>
      <c r="O11" s="16">
        <f>COUNTIFS(MATRIZ_MACRO!$EL$5:$EL$1864,"=No aplica",MATRIZ_MACRO!$C$5:$C$1864,"&gt;=01/10/2024",MATRIZ_MACRO!$C$5:$C$1864,"&lt;=31/10/2024")</f>
        <v>0</v>
      </c>
      <c r="P11" s="28" t="e">
        <f t="shared" si="1"/>
        <v>#DIV/0!</v>
      </c>
      <c r="R11" s="16">
        <f>COUNTIFS(MATRIZ_MACRO!$EM$5:$EM$1864,"=SÍ",MATRIZ_MACRO!$C$5:$C$1864,"&gt;=01/10/2024",MATRIZ_MACRO!$C$5:$C$1864,"&lt;=31/10/2024")</f>
        <v>0</v>
      </c>
      <c r="S11" s="16">
        <f>COUNTIFS(MATRIZ_MACRO!$EM$5:$EM$1864,"=NO",MATRIZ_MACRO!$C$5:$C$1864,"&gt;=01/10/2024",MATRIZ_MACRO!$C$5:$C$1864,"&lt;=31/10/2024")</f>
        <v>0</v>
      </c>
      <c r="T11" s="16">
        <f>COUNTIFS(MATRIZ_MACRO!$EM$5:$EM$1864,"=No aplica",MATRIZ_MACRO!$C$5:$C$1864,"&gt;=01/10/2024",MATRIZ_MACRO!$C$5:$C$1864,"&lt;=31/10/2024")</f>
        <v>0</v>
      </c>
      <c r="U11" s="28" t="e">
        <f t="shared" si="2"/>
        <v>#DIV/0!</v>
      </c>
      <c r="W11" s="16">
        <f>COUNTIFS(MATRIZ_MACRO!$EN$5:$EN$1864,"=SÍ",MATRIZ_MACRO!$C$5:$C$1864,"&gt;=01/10/2024",MATRIZ_MACRO!$C$5:$C$1864,"&lt;=31/10/2024")</f>
        <v>0</v>
      </c>
      <c r="X11" s="16">
        <f>COUNTIFS(MATRIZ_MACRO!$EN$5:$EN$1864,"=NO",MATRIZ_MACRO!$C$5:$C$1864,"&gt;=01/10/2024",MATRIZ_MACRO!$C$5:$C$1864,"&lt;=31/10/2024")</f>
        <v>0</v>
      </c>
      <c r="Y11" s="28" t="e">
        <f t="shared" si="3"/>
        <v>#DIV/0!</v>
      </c>
      <c r="AA11" s="16">
        <f>COUNTIFS(MATRIZ_MACRO!$EP$5:$EP$1864,"&gt;=1%",MATRIZ_MACRO!$C$5:$C$1864,"&gt;=01/10/2024",MATRIZ_MACRO!$C$5:$C$1864,"&lt;=31/10/2024")</f>
        <v>0</v>
      </c>
      <c r="AB11" s="16">
        <f>COUNTIFS(MATRIZ_MACRO!$EP$5:$EP$1864,"No aplica",MATRIZ_MACRO!$C$5:$C$1864,"&gt;=01/10/2024",MATRIZ_MACRO!$C$5:$C$1864,"&lt;=31/10/2024")</f>
        <v>0</v>
      </c>
      <c r="AC11" s="28" t="str">
        <f>IFERROR(AVERAGEIFS(MATRIZ_MACRO!$EP$5:$EP$1863,MATRIZ_MACRO!$C$5:$C$1863,"&gt;=01/10/2024",MATRIZ_MACRO!$C$5:$C$1863,"&lt;=31/10/2024"),"N/A")</f>
        <v>N/A</v>
      </c>
      <c r="AE11" s="16">
        <f>SUMIFS(MATRIZ_MACRO!$DT$5:$DT$1863, MATRIZ_MACRO!$C$5:$C$1863,"&gt;=01/10/2024",MATRIZ_MACRO!$C$5:$C$1863,"&lt;=31/10/2024")</f>
        <v>0</v>
      </c>
      <c r="AF11" s="16">
        <f>SUMIFS(MATRIZ_MACRO!$BZ$5:$BZ$1863,MATRIZ_MACRO!$EL$5:$EL$1863,"&lt;&gt;No requiere", MATRIZ_MACRO!$C$5:$C$1863,"&gt;=01/10/2024",MATRIZ_MACRO!$C$5:$C$1863,"&lt;=31/10/2024")</f>
        <v>0</v>
      </c>
      <c r="AG11" s="28" t="e">
        <f t="shared" si="4"/>
        <v>#DIV/0!</v>
      </c>
      <c r="AI11" s="16">
        <f>COUNTIFS(MATRIZ_MACRO!$ES$5:$ES$1865,"=1 - Deficiente",MATRIZ_MACRO!$C$5:$C$1865,"&gt;=01/10/2024",MATRIZ_MACRO!$C$5:$C$1865,"&lt;=31/10/2024")</f>
        <v>0</v>
      </c>
      <c r="AJ11" s="16">
        <f>COUNTIFS(MATRIZ_MACRO!$ES$5:$ES$1865,"=2 - Regular",MATRIZ_MACRO!$C$5:$C$1865,"&gt;=01/10/2024",MATRIZ_MACRO!$C$5:$C$1865,"&lt;=31/10/2024")</f>
        <v>0</v>
      </c>
      <c r="AK11" s="16">
        <f>COUNTIFS(MATRIZ_MACRO!$ES$5:$ES$1865,"=3 - Aceptable",MATRIZ_MACRO!$C$5:$C$1865,"&gt;=01/10/2024",MATRIZ_MACRO!$C$5:$C$1865,"&lt;=31/10/2024")</f>
        <v>0</v>
      </c>
      <c r="AL11" s="16">
        <f>COUNTIFS(MATRIZ_MACRO!$ES$5:$ES$1865,"=4 - Buena",MATRIZ_MACRO!$C$5:$C$1865,"&gt;=01/10/2024",MATRIZ_MACRO!$C$5:$C$1865,"&lt;=31/10/2024")</f>
        <v>0</v>
      </c>
      <c r="AM11" s="16">
        <f>COUNTIFS(MATRIZ_MACRO!$ES$5:$ES$1865,"=5 - Excelente",MATRIZ_MACRO!$C$5:$C$1865,"&gt;=01/10/2024",MATRIZ_MACRO!$C$5:$C$1865,"&lt;=31/10/2024")</f>
        <v>0</v>
      </c>
      <c r="AN11" s="16">
        <f>COUNTIFS(MATRIZ_MACRO!$ES$5:$ES$1865,"=No existente",MATRIZ_MACRO!$C$5:$C$1865,"&gt;=01/10/2024",MATRIZ_MACRO!$C$5:$C$1865,"&lt;=31/10/2024")</f>
        <v>0</v>
      </c>
      <c r="AO11" s="27" t="e">
        <f t="shared" si="5"/>
        <v>#DIV/0!</v>
      </c>
      <c r="AP11" s="28" t="e">
        <f t="shared" si="6"/>
        <v>#DIV/0!</v>
      </c>
      <c r="AR11" s="28" t="e">
        <f>AVERAGEIFS(MATRIZ_MACRO!$ET$5:$ET$1863,MATRIZ_MACRO!$EK$5:$EK$1863,"&lt;&gt;No requiere", MATRIZ_MACRO!$C$5:$C$1863,"&gt;=01/10/2024",MATRIZ_MACRO!$C$5:$C$1863,"&lt;=31/10/2024")</f>
        <v>#DIV/0!</v>
      </c>
      <c r="AT11" s="28" t="e">
        <f>AVERAGEIFS(MATRIZ_MACRO!$EU$5:$EU$1863,MATRIZ_MACRO!$EK$5:$EK$1863,"&lt;&gt;No requiere", MATRIZ_MACRO!$C$5:$C$1863,"&gt;=01/10/2024",MATRIZ_MACRO!$C$5:$C$1863,"&lt;=31/10/2024")</f>
        <v>#DIV/0!</v>
      </c>
      <c r="AV11" s="28" t="e">
        <f>AVERAGEIFS(MATRIZ_MACRO!$EV$5:$EV$1863,MATRIZ_MACRO!$EK$5:$EK$1863,"&lt;&gt;No requiere", MATRIZ_MACRO!$C$5:$C$1863,"&gt;=01/10/2024",MATRIZ_MACRO!$C$5:$C$1863,"&lt;=31/10/2024")</f>
        <v>#DIV/0!</v>
      </c>
      <c r="AX11" s="16">
        <f>SUMIFS(MATRIZ_MACRO!$DO$5:$DO$1863, MATRIZ_MACRO!$C$5:$C$1863,"&gt;=01/10/2024",MATRIZ_MACRO!$C$5:$C$1863,"&lt;=31/10/2024")</f>
        <v>0</v>
      </c>
      <c r="AY11" s="16">
        <f>SUMIFS(MATRIZ_MACRO!$EA$5:$EA$1863,MATRIZ_MACRO!$EW$5:$EW$1863,"&gt;=0", MATRIZ_MACRO!$C$5:$C$1863,"&gt;=01/10/2024",MATRIZ_MACRO!$C$5:$C$1863,"&lt;=31/10/2024")</f>
        <v>0</v>
      </c>
      <c r="AZ11" s="28" t="str">
        <f t="shared" si="8"/>
        <v>N/A</v>
      </c>
    </row>
    <row r="12" spans="1:52" ht="12.75">
      <c r="A12" s="16" t="s">
        <v>6205</v>
      </c>
      <c r="B12" s="16">
        <f>COUNTIFS(MATRIZ_MACRO!$EL$5:$EL$1865,"&lt;&gt;No requiere", MATRIZ_MACRO!$EL$5:$EL$1865,"*",MATRIZ_MACRO!$C$5:$C$1865,"&gt;=01/11/2024",MATRIZ_MACRO!$C$5:$C$1865,"&lt;=30/11/2024")</f>
        <v>0</v>
      </c>
      <c r="D12" s="16">
        <f>COUNTIFS(MATRIZ_MACRO!$EK$5:$EK$1865,"=1 - Deficiente",MATRIZ_MACRO!$C$5:$C$1865,"&gt;=01/11/2024",MATRIZ_MACRO!$C$5:$C$1865,"&lt;=30/11/2024")</f>
        <v>0</v>
      </c>
      <c r="E12" s="16">
        <f>COUNTIFS(MATRIZ_MACRO!$EK$5:$EK$1865,"=2 - Regular",MATRIZ_MACRO!$C$5:$C$1865,"&gt;=01/11/2024",MATRIZ_MACRO!$C$5:$C$1865,"&lt;=30/11/2024")</f>
        <v>0</v>
      </c>
      <c r="F12" s="16">
        <f>COUNTIFS(MATRIZ_MACRO!$EK$5:$EK$1865,"=3 - Aceptable",MATRIZ_MACRO!$C$5:$C$1865,"&gt;=01/11/2024",MATRIZ_MACRO!$C$5:$C$1865,"&lt;=30/11/2024")</f>
        <v>0</v>
      </c>
      <c r="G12" s="16">
        <f>COUNTIFS(MATRIZ_MACRO!$EK$5:$EK$1865,"=4 - Buena",MATRIZ_MACRO!$C$5:$C$1865,"&gt;=01/11/2024",MATRIZ_MACRO!$C$5:$C$1865,"&lt;=30/11/2024")</f>
        <v>0</v>
      </c>
      <c r="H12" s="16">
        <f>COUNTIFS(MATRIZ_MACRO!$EK$5:$EK$1865,"=5 - Excelente",MATRIZ_MACRO!$C$5:$C$1865,"&gt;=01/11/2024",MATRIZ_MACRO!$C$5:$C$1865,"&lt;=30/11/2024")</f>
        <v>0</v>
      </c>
      <c r="I12" s="16">
        <f>COUNTIFS(MATRIZ_MACRO!$EK$5:$EK$1865,"=No existente",MATRIZ_MACRO!$C$5:$C$1865,"&gt;=01/11/2024",MATRIZ_MACRO!$C$5:$C$1865,"&lt;=30/11/2024")</f>
        <v>0</v>
      </c>
      <c r="J12" s="27" t="e">
        <f t="shared" si="7"/>
        <v>#DIV/0!</v>
      </c>
      <c r="K12" s="28" t="e">
        <f t="shared" si="0"/>
        <v>#DIV/0!</v>
      </c>
      <c r="M12" s="16">
        <f>COUNTIFS(MATRIZ_MACRO!$EL$5:$EL$1864,"=SÍ",MATRIZ_MACRO!$C$5:$C$1864,"&gt;=01/11/2024",MATRIZ_MACRO!$C$5:$C$1864,"&lt;=30/11/2024")</f>
        <v>0</v>
      </c>
      <c r="N12" s="16">
        <f>COUNTIFS(MATRIZ_MACRO!$EL$5:$EL$1864,"=NO",MATRIZ_MACRO!$C$5:$C$1864,"&gt;=01/11/2024",MATRIZ_MACRO!$C$5:$C$1864,"&lt;=30/11/2024")</f>
        <v>0</v>
      </c>
      <c r="O12" s="16">
        <f>COUNTIFS(MATRIZ_MACRO!$EL$5:$EL$1864,"=No aplica",MATRIZ_MACRO!$C$5:$C$1864,"&gt;=01/11/2024",MATRIZ_MACRO!$C$5:$C$1864,"&lt;=30/11/2024")</f>
        <v>0</v>
      </c>
      <c r="P12" s="28" t="e">
        <f t="shared" si="1"/>
        <v>#DIV/0!</v>
      </c>
      <c r="R12" s="16">
        <f>COUNTIFS(MATRIZ_MACRO!$EM$5:$EM$1864,"=SÍ",MATRIZ_MACRO!$C$5:$C$1864,"&gt;=01/11/2024",MATRIZ_MACRO!$C$5:$C$1864,"&lt;=30/11/2024")</f>
        <v>0</v>
      </c>
      <c r="S12" s="16">
        <f>COUNTIFS(MATRIZ_MACRO!$EM$5:$EM$1864,"=NO",MATRIZ_MACRO!$C$5:$C$1864,"&gt;=01/11/2024",MATRIZ_MACRO!$C$5:$C$1864,"&lt;=30/11/2024")</f>
        <v>0</v>
      </c>
      <c r="T12" s="16">
        <f>COUNTIFS(MATRIZ_MACRO!$EM$5:$EM$1864,"=No aplica",MATRIZ_MACRO!$C$5:$C$1864,"&gt;=01/11/2024",MATRIZ_MACRO!$C$5:$C$1864,"&lt;=30/11/2024")</f>
        <v>0</v>
      </c>
      <c r="U12" s="28" t="e">
        <f t="shared" si="2"/>
        <v>#DIV/0!</v>
      </c>
      <c r="W12" s="16">
        <f>COUNTIFS(MATRIZ_MACRO!$EN$5:$EN$1864,"=SÍ",MATRIZ_MACRO!$C$5:$C$1864,"&gt;=01/11/2024",MATRIZ_MACRO!$C$5:$C$1864,"&lt;=30/11/2024")</f>
        <v>0</v>
      </c>
      <c r="X12" s="16">
        <f>COUNTIFS(MATRIZ_MACRO!$EN$5:$EN$1864,"=NO",MATRIZ_MACRO!$C$5:$C$1864,"&gt;=01/11/2024",MATRIZ_MACRO!$C$5:$C$1864,"&lt;=30/11/2024")</f>
        <v>0</v>
      </c>
      <c r="Y12" s="28" t="e">
        <f t="shared" si="3"/>
        <v>#DIV/0!</v>
      </c>
      <c r="AA12" s="16">
        <f>COUNTIFS(MATRIZ_MACRO!$EP$5:$EP$1864,"&gt;=1%",MATRIZ_MACRO!$C$5:$C$1864,"&gt;=01/11/2024",MATRIZ_MACRO!$C$5:$C$1864,"&lt;=30/11/2024")</f>
        <v>0</v>
      </c>
      <c r="AB12" s="16">
        <f>COUNTIFS(MATRIZ_MACRO!$EP$5:$EP$1864,"No aplica",MATRIZ_MACRO!$C$5:$C$1864,"&gt;=01/11/2024",MATRIZ_MACRO!$C$5:$C$1864,"&lt;=30/11/2024")</f>
        <v>0</v>
      </c>
      <c r="AC12" s="28" t="str">
        <f>IFERROR(AVERAGEIFS(MATRIZ_MACRO!$EP$5:$EP$1863,MATRIZ_MACRO!$C$5:$C$1863,"&gt;=01/11/2024",MATRIZ_MACRO!$C$5:$C$1863,"&lt;=30/11/2024"),"N/A")</f>
        <v>N/A</v>
      </c>
      <c r="AE12" s="16">
        <f>SUMIFS(MATRIZ_MACRO!$DT$5:$DT$1863, MATRIZ_MACRO!$C$5:$C$1863,"&gt;=01/11/2024",MATRIZ_MACRO!$C$5:$C$1863,"&lt;=30/11/2024")</f>
        <v>0</v>
      </c>
      <c r="AF12" s="16">
        <f>SUMIFS(MATRIZ_MACRO!$BZ$5:$BZ$1863,MATRIZ_MACRO!$EL$5:$EL$1863,"&lt;&gt;No requiere", MATRIZ_MACRO!$C$5:$C$1863,"&gt;=01/11/2024",MATRIZ_MACRO!$C$5:$C$1863,"&lt;=30/11/2024")</f>
        <v>0</v>
      </c>
      <c r="AG12" s="28" t="e">
        <f t="shared" si="4"/>
        <v>#DIV/0!</v>
      </c>
      <c r="AI12" s="16">
        <f>COUNTIFS(MATRIZ_MACRO!$ES$5:$ES$1865,"=1 - Deficiente",MATRIZ_MACRO!$C$5:$C$1865,"&gt;=01/11/2024",MATRIZ_MACRO!$C$5:$C$1865,"&lt;=30/11/2024")</f>
        <v>0</v>
      </c>
      <c r="AJ12" s="16">
        <f>COUNTIFS(MATRIZ_MACRO!$ES$5:$ES$1865,"=2 - Regular",MATRIZ_MACRO!$C$5:$C$1865,"&gt;=01/11/2024",MATRIZ_MACRO!$C$5:$C$1865,"&lt;=30/11/2024")</f>
        <v>0</v>
      </c>
      <c r="AK12" s="16">
        <f>COUNTIFS(MATRIZ_MACRO!$ES$5:$ES$1865,"=3 - Aceptable",MATRIZ_MACRO!$C$5:$C$1865,"&gt;=01/11/2024",MATRIZ_MACRO!$C$5:$C$1865,"&lt;=30/11/2024")</f>
        <v>0</v>
      </c>
      <c r="AL12" s="16">
        <f>COUNTIFS(MATRIZ_MACRO!$ES$5:$ES$1865,"=4 - Buena",MATRIZ_MACRO!$C$5:$C$1865,"&gt;=01/11/2024",MATRIZ_MACRO!$C$5:$C$1865,"&lt;=30/11/2024")</f>
        <v>0</v>
      </c>
      <c r="AM12" s="16">
        <f>COUNTIFS(MATRIZ_MACRO!$ES$5:$ES$1865,"=5 - Excelente",MATRIZ_MACRO!$C$5:$C$1865,"&gt;=01/11/2024",MATRIZ_MACRO!$C$5:$C$1865,"&lt;=30/11/2024")</f>
        <v>0</v>
      </c>
      <c r="AN12" s="16">
        <f>COUNTIFS(MATRIZ_MACRO!$ES$5:$ES$1865,"=No existente",MATRIZ_MACRO!$C$5:$C$1865,"&gt;=01/11/2024",MATRIZ_MACRO!$C$5:$C$1865,"&lt;=30/11/2024")</f>
        <v>0</v>
      </c>
      <c r="AO12" s="27" t="e">
        <f t="shared" si="5"/>
        <v>#DIV/0!</v>
      </c>
      <c r="AP12" s="28" t="e">
        <f t="shared" si="6"/>
        <v>#DIV/0!</v>
      </c>
      <c r="AR12" s="28" t="e">
        <f>AVERAGEIFS(MATRIZ_MACRO!$ET$5:$ET$1863,MATRIZ_MACRO!$EK$5:$EK$1863,"&lt;&gt;No requiere", MATRIZ_MACRO!$C$5:$C$1863,"&gt;=01/11/2024",MATRIZ_MACRO!$C$5:$C$1863,"&lt;=30/11/2024")</f>
        <v>#DIV/0!</v>
      </c>
      <c r="AT12" s="28" t="e">
        <f>AVERAGEIFS(MATRIZ_MACRO!$EU$5:$EU$1863,MATRIZ_MACRO!$EK$5:$EK$1863,"&lt;&gt;No requiere", MATRIZ_MACRO!$C$5:$C$1863,"&gt;=01/11/2024",MATRIZ_MACRO!$C$5:$C$1863,"&lt;=30/11/2024")</f>
        <v>#DIV/0!</v>
      </c>
      <c r="AV12" s="28" t="e">
        <f>AVERAGEIFS(MATRIZ_MACRO!$EV$5:$EV$1863,MATRIZ_MACRO!$EK$5:$EK$1863,"&lt;&gt;No requiere", MATRIZ_MACRO!$C$5:$C$1863,"&gt;=01/11/2024",MATRIZ_MACRO!$C$5:$C$1863,"&lt;=30/11/2024")</f>
        <v>#DIV/0!</v>
      </c>
      <c r="AX12" s="16">
        <f>SUMIFS(MATRIZ_MACRO!$DO$5:$DO$1863, MATRIZ_MACRO!$C$5:$C$1863,"&gt;=01/11/2024",MATRIZ_MACRO!$C$5:$C$1863,"&lt;=30/11/2024")</f>
        <v>0</v>
      </c>
      <c r="AY12" s="16">
        <f>SUMIFS(MATRIZ_MACRO!$EA$5:$EA$1863,MATRIZ_MACRO!$EW$5:$EW$1863,"&gt;=0", MATRIZ_MACRO!$C$5:$C$1863,"&gt;=01/11/2024",MATRIZ_MACRO!$C$5:$C$1863,"&lt;=30/11/2024")</f>
        <v>0</v>
      </c>
      <c r="AZ12" s="28" t="str">
        <f>IFERROR(AX12/AY12,"N/A")</f>
        <v>N/A</v>
      </c>
    </row>
    <row r="13" spans="1:52" ht="12.75">
      <c r="A13" s="16" t="s">
        <v>6206</v>
      </c>
      <c r="B13" s="16">
        <f>COUNTIFS(MATRIZ_MACRO!$EL$5:$EL$1865,"&lt;&gt;No requiere", MATRIZ_MACRO!$EL$5:$EL$1865,"*",MATRIZ_MACRO!$C$5:$C$1865,"&gt;=01/12/2024",MATRIZ_MACRO!$C$5:$C$1865,"&lt;=31/12/2024")</f>
        <v>0</v>
      </c>
      <c r="D13" s="16">
        <f>COUNTIFS(MATRIZ_MACRO!$EK$5:$EK$1865,"=1 - Deficiente",MATRIZ_MACRO!$C$5:$C$1865,"&gt;=01/12/2024",MATRIZ_MACRO!$C$5:$C$1865,"&lt;=31/12/2024")</f>
        <v>0</v>
      </c>
      <c r="E13" s="16">
        <f>COUNTIFS(MATRIZ_MACRO!$EK$5:$EK$1865,"=2 - Regular",MATRIZ_MACRO!$C$5:$C$1865,"&gt;=01/12/2024",MATRIZ_MACRO!$C$5:$C$1865,"&lt;=31/12/2024")</f>
        <v>0</v>
      </c>
      <c r="F13" s="16">
        <f>COUNTIFS(MATRIZ_MACRO!$EK$5:$EK$1865,"=3 - Aceptable",MATRIZ_MACRO!$C$5:$C$1865,"&gt;=01/12/2024",MATRIZ_MACRO!$C$5:$C$1865,"&lt;=31/12/2024")</f>
        <v>0</v>
      </c>
      <c r="G13" s="16">
        <f>COUNTIFS(MATRIZ_MACRO!$EK$5:$EK$1865,"=4 - Buena",MATRIZ_MACRO!$C$5:$C$1865,"&gt;=01/12/2024",MATRIZ_MACRO!$C$5:$C$1865,"&lt;=31/12/2024")</f>
        <v>0</v>
      </c>
      <c r="H13" s="16">
        <f>COUNTIFS(MATRIZ_MACRO!$EK$5:$EK$1865,"=5 - Excelente",MATRIZ_MACRO!$C$5:$C$1865,"&gt;=01/12/2024",MATRIZ_MACRO!$C$5:$C$1865,"&lt;=31/12/2024")</f>
        <v>0</v>
      </c>
      <c r="I13" s="16">
        <f>COUNTIFS(MATRIZ_MACRO!$EK$5:$EK$1865,"=No existente",MATRIZ_MACRO!$C$5:$C$1865,"&gt;=01/12/2024",MATRIZ_MACRO!$C$5:$C$1865,"&lt;=31/12/2024")</f>
        <v>0</v>
      </c>
      <c r="J13" s="27" t="e">
        <f t="shared" si="7"/>
        <v>#DIV/0!</v>
      </c>
      <c r="K13" s="28" t="e">
        <f t="shared" si="0"/>
        <v>#DIV/0!</v>
      </c>
      <c r="M13" s="16">
        <f>COUNTIFS(MATRIZ_MACRO!$EL$5:$EL$1864,"=SÍ",MATRIZ_MACRO!$C$5:$C$1864,"&gt;=01/12/2024",MATRIZ_MACRO!$C$5:$C$1864,"&lt;=31/12/2024")</f>
        <v>0</v>
      </c>
      <c r="N13" s="16">
        <f>COUNTIFS(MATRIZ_MACRO!$EL$5:$EL$1864,"=NO",MATRIZ_MACRO!$C$5:$C$1864,"&gt;=01/12/2024",MATRIZ_MACRO!$C$5:$C$1864,"&lt;=31/12/2024")</f>
        <v>0</v>
      </c>
      <c r="O13" s="16">
        <f>COUNTIFS(MATRIZ_MACRO!$EL$5:$EL$1864,"=No aplica",MATRIZ_MACRO!$C$5:$C$1864,"&gt;=01/12/2024",MATRIZ_MACRO!$C$5:$C$1864,"&lt;=31/12/2024")</f>
        <v>0</v>
      </c>
      <c r="P13" s="28" t="e">
        <f t="shared" si="1"/>
        <v>#DIV/0!</v>
      </c>
      <c r="R13" s="16">
        <f>COUNTIFS(MATRIZ_MACRO!$EM$5:$EM$1864,"=SÍ",MATRIZ_MACRO!$C$5:$C$1864,"&gt;=01/12/2024",MATRIZ_MACRO!$C$5:$C$1864,"&lt;=31/12/2024")</f>
        <v>0</v>
      </c>
      <c r="S13" s="16">
        <f>COUNTIFS(MATRIZ_MACRO!$EM$5:$EM$1864,"=NO",MATRIZ_MACRO!$C$5:$C$1864,"&gt;=01/12/2024",MATRIZ_MACRO!$C$5:$C$1864,"&lt;=31/12/2024")</f>
        <v>0</v>
      </c>
      <c r="T13" s="16">
        <f>COUNTIFS(MATRIZ_MACRO!$EM$5:$EM$1864,"=No aplica",MATRIZ_MACRO!$C$5:$C$1864,"&gt;=01/12/2024",MATRIZ_MACRO!$C$5:$C$1864,"&lt;=31/12/2024")</f>
        <v>0</v>
      </c>
      <c r="U13" s="28" t="e">
        <f t="shared" si="2"/>
        <v>#DIV/0!</v>
      </c>
      <c r="W13" s="16">
        <f>COUNTIFS(MATRIZ_MACRO!$EN$5:$EN$1864,"=SÍ",MATRIZ_MACRO!$C$5:$C$1864,"&gt;=01/12/2024",MATRIZ_MACRO!$C$5:$C$1864,"&lt;=31/12/2024")</f>
        <v>0</v>
      </c>
      <c r="X13" s="16">
        <f>COUNTIFS(MATRIZ_MACRO!$EN$5:$EN$1864,"=NO",MATRIZ_MACRO!$C$5:$C$1864,"&gt;=01/12/2024",MATRIZ_MACRO!$C$5:$C$1864,"&lt;=31/12/2024")</f>
        <v>0</v>
      </c>
      <c r="Y13" s="28" t="e">
        <f t="shared" si="3"/>
        <v>#DIV/0!</v>
      </c>
      <c r="AA13" s="16">
        <f>COUNTIFS(MATRIZ_MACRO!$EP$5:$EP$1864,"&gt;=1%",MATRIZ_MACRO!$C$5:$C$1864,"&gt;=01/12/2024",MATRIZ_MACRO!$C$5:$C$1864,"&lt;=31/12/2024")</f>
        <v>0</v>
      </c>
      <c r="AB13" s="16">
        <f>COUNTIFS(MATRIZ_MACRO!$EP$5:$EP$1864,"No aplica",MATRIZ_MACRO!$C$5:$C$1864,"&gt;=01/12/2024",MATRIZ_MACRO!$C$5:$C$1864,"&lt;=31/12/2024")</f>
        <v>0</v>
      </c>
      <c r="AC13" s="28" t="str">
        <f>IFERROR(AVERAGEIFS(MATRIZ_MACRO!$EP$5:$EP$1863,MATRIZ_MACRO!$C$5:$C$1863,"&gt;=01/12/2024",MATRIZ_MACRO!$C$5:$C$1863,"&lt;=31/12/2024"),"N/A")</f>
        <v>N/A</v>
      </c>
      <c r="AE13" s="16">
        <f>SUMIFS(MATRIZ_MACRO!$DT$5:$DT$1863, MATRIZ_MACRO!$C$5:$C$1863,"&gt;=01/12/2024",MATRIZ_MACRO!$C$5:$C$1863,"&lt;=31/12/2024")</f>
        <v>0</v>
      </c>
      <c r="AF13" s="16">
        <f>SUMIFS(MATRIZ_MACRO!$BZ$5:$BZ$1863,MATRIZ_MACRO!$EL$5:$EL$1863,"&lt;&gt;No requiere", MATRIZ_MACRO!$C$5:$C$1863,"&gt;=01/12/2024",MATRIZ_MACRO!$C$5:$C$1863,"&lt;=31/12/2024")</f>
        <v>0</v>
      </c>
      <c r="AG13" s="28" t="e">
        <f t="shared" si="4"/>
        <v>#DIV/0!</v>
      </c>
      <c r="AI13" s="16">
        <f>COUNTIFS(MATRIZ_MACRO!$ES$5:$ES$1865,"=1 - Deficiente",MATRIZ_MACRO!$C$5:$C$1865,"&gt;=01/12/2024",MATRIZ_MACRO!$C$5:$C$1865,"&lt;=31/12/2024")</f>
        <v>0</v>
      </c>
      <c r="AJ13" s="16">
        <f>COUNTIFS(MATRIZ_MACRO!$ES$5:$ES$1865,"=2 - Regular",MATRIZ_MACRO!$C$5:$C$1865,"&gt;=01/12/2024",MATRIZ_MACRO!$C$5:$C$1865,"&lt;=31/12/2024")</f>
        <v>0</v>
      </c>
      <c r="AK13" s="16">
        <f>COUNTIFS(MATRIZ_MACRO!$ES$5:$ES$1865,"=3 - Aceptable",MATRIZ_MACRO!$C$5:$C$1865,"&gt;=01/12/2024",MATRIZ_MACRO!$C$5:$C$1865,"&lt;=31/12/2024")</f>
        <v>0</v>
      </c>
      <c r="AL13" s="16">
        <f>COUNTIFS(MATRIZ_MACRO!$ES$5:$ES$1865,"=4 - Buena",MATRIZ_MACRO!$C$5:$C$1865,"&gt;=01/12/2024",MATRIZ_MACRO!$C$5:$C$1865,"&lt;=31/12/2024")</f>
        <v>0</v>
      </c>
      <c r="AM13" s="16">
        <f>COUNTIFS(MATRIZ_MACRO!$ES$5:$ES$1865,"=5 - Excelente",MATRIZ_MACRO!$C$5:$C$1865,"&gt;=01/12/2024",MATRIZ_MACRO!$C$5:$C$1865,"&lt;=31/12/2024")</f>
        <v>0</v>
      </c>
      <c r="AN13" s="16">
        <f>COUNTIFS(MATRIZ_MACRO!$ES$5:$ES$1865,"=No existente",MATRIZ_MACRO!$C$5:$C$1865,"&gt;=01/12/2024",MATRIZ_MACRO!$C$5:$C$1865,"&lt;=31/12/2024")</f>
        <v>0</v>
      </c>
      <c r="AO13" s="27" t="e">
        <f t="shared" si="5"/>
        <v>#DIV/0!</v>
      </c>
      <c r="AP13" s="28" t="e">
        <f t="shared" si="6"/>
        <v>#DIV/0!</v>
      </c>
      <c r="AR13" s="28" t="e">
        <f>AVERAGEIFS(MATRIZ_MACRO!$ET$5:$ET$1863,MATRIZ_MACRO!$EK$5:$EK$1863,"&lt;&gt;No requiere", MATRIZ_MACRO!$C$5:$C$1863,"&gt;=01/12/2024",MATRIZ_MACRO!$C$5:$C$1863,"&lt;=31/12/2024")</f>
        <v>#DIV/0!</v>
      </c>
      <c r="AT13" s="28" t="e">
        <f>AVERAGEIFS(MATRIZ_MACRO!$EU$5:$EU$1863,MATRIZ_MACRO!$EK$5:$EK$1863,"&lt;&gt;No requiere", MATRIZ_MACRO!$C$5:$C$1863,"&gt;=01/12/2024",MATRIZ_MACRO!$C$5:$C$1863,"&lt;=31/12/2024")</f>
        <v>#DIV/0!</v>
      </c>
      <c r="AV13" s="28" t="e">
        <f>AVERAGEIFS(MATRIZ_MACRO!$EV$5:$EV$1863,MATRIZ_MACRO!$EK$5:$EK$1863,"&lt;&gt;No requiere", MATRIZ_MACRO!$C$5:$C$1863,"&gt;=01/12/2024",MATRIZ_MACRO!$C$5:$C$1863,"&lt;=31/12/2024")</f>
        <v>#DIV/0!</v>
      </c>
      <c r="AX13" s="16">
        <f>SUMIFS(MATRIZ_MACRO!$DO$5:$DO$1863, MATRIZ_MACRO!$C$5:$C$1863,"&gt;=01/12/2024",MATRIZ_MACRO!$C$5:$C$1863,"&lt;=31/12/2024")</f>
        <v>0</v>
      </c>
      <c r="AY13" s="16">
        <f>SUMIFS(MATRIZ_MACRO!$EA$5:$EA$1863,MATRIZ_MACRO!$EW$5:$EW$1863,"&gt;=0", MATRIZ_MACRO!$C$5:$C$1863,"&gt;=01/12/2024",MATRIZ_MACRO!$C$5:$C$1863,"&lt;=31/12/2024")</f>
        <v>0</v>
      </c>
      <c r="AZ13" s="28" t="str">
        <f>IFERROR(AX13/AY13,"N/A")</f>
        <v>N/A</v>
      </c>
    </row>
  </sheetData>
  <mergeCells count="8">
    <mergeCell ref="AE1:AG1"/>
    <mergeCell ref="AI1:AP1"/>
    <mergeCell ref="AX1:AZ1"/>
    <mergeCell ref="D1:K1"/>
    <mergeCell ref="M1:P1"/>
    <mergeCell ref="R1:U1"/>
    <mergeCell ref="W1:Y1"/>
    <mergeCell ref="AA1:AC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S11031"/>
  <sheetViews>
    <sheetView topLeftCell="D65" workbookViewId="0">
      <selection activeCell="D2" sqref="D2:D78"/>
    </sheetView>
  </sheetViews>
  <sheetFormatPr defaultColWidth="12.5703125" defaultRowHeight="15.75" customHeight="1"/>
  <cols>
    <col min="2" max="2" width="23.5703125" customWidth="1"/>
    <col min="4" max="4" width="17.28515625" customWidth="1"/>
    <col min="6" max="6" width="18.42578125" customWidth="1"/>
    <col min="9" max="9" width="17.85546875" customWidth="1"/>
    <col min="12" max="12" width="18.85546875" customWidth="1"/>
  </cols>
  <sheetData>
    <row r="1" spans="1:19" ht="30" customHeight="1">
      <c r="A1" s="29" t="s">
        <v>6207</v>
      </c>
      <c r="B1" s="29" t="s">
        <v>6208</v>
      </c>
      <c r="C1" s="29" t="s">
        <v>6209</v>
      </c>
      <c r="D1" s="29" t="s">
        <v>6210</v>
      </c>
      <c r="E1" s="29" t="s">
        <v>6211</v>
      </c>
      <c r="F1" s="29" t="s">
        <v>6212</v>
      </c>
      <c r="G1" s="29" t="s">
        <v>6213</v>
      </c>
      <c r="H1" s="29" t="s">
        <v>6214</v>
      </c>
      <c r="I1" s="29" t="s">
        <v>6215</v>
      </c>
      <c r="J1" s="29" t="s">
        <v>6216</v>
      </c>
      <c r="K1" s="29" t="s">
        <v>6217</v>
      </c>
      <c r="L1" s="29" t="s">
        <v>6218</v>
      </c>
      <c r="M1" s="29" t="s">
        <v>6219</v>
      </c>
      <c r="N1" s="29" t="s">
        <v>6220</v>
      </c>
      <c r="O1" s="29" t="s">
        <v>6213</v>
      </c>
      <c r="P1" s="29" t="s">
        <v>6221</v>
      </c>
      <c r="Q1" s="29"/>
      <c r="R1" s="29" t="s">
        <v>6222</v>
      </c>
      <c r="S1" s="29" t="s">
        <v>6222</v>
      </c>
    </row>
    <row r="2" spans="1:19" ht="25.5">
      <c r="A2" s="20" t="s">
        <v>153</v>
      </c>
      <c r="B2" s="20" t="s">
        <v>5753</v>
      </c>
      <c r="C2" s="20" t="s">
        <v>202</v>
      </c>
      <c r="D2" s="20" t="s">
        <v>522</v>
      </c>
      <c r="E2" s="20" t="s">
        <v>169</v>
      </c>
      <c r="F2" s="20" t="s">
        <v>6223</v>
      </c>
      <c r="G2" s="20" t="s">
        <v>634</v>
      </c>
      <c r="H2" s="20" t="s">
        <v>636</v>
      </c>
      <c r="I2" s="20" t="s">
        <v>303</v>
      </c>
      <c r="J2" s="20" t="s">
        <v>2907</v>
      </c>
      <c r="K2" s="20" t="s">
        <v>182</v>
      </c>
      <c r="L2" s="20" t="s">
        <v>334</v>
      </c>
      <c r="M2" s="20" t="s">
        <v>349</v>
      </c>
      <c r="N2" s="20" t="s">
        <v>6224</v>
      </c>
      <c r="O2" s="20" t="s">
        <v>634</v>
      </c>
      <c r="P2" s="20" t="s">
        <v>220</v>
      </c>
      <c r="Q2" s="20"/>
      <c r="R2" s="20" t="s">
        <v>179</v>
      </c>
      <c r="S2" s="20" t="s">
        <v>179</v>
      </c>
    </row>
    <row r="3" spans="1:19" ht="25.5">
      <c r="A3" s="20" t="s">
        <v>152</v>
      </c>
      <c r="B3" s="20" t="s">
        <v>2715</v>
      </c>
      <c r="C3" s="20" t="s">
        <v>155</v>
      </c>
      <c r="D3" s="20" t="s">
        <v>749</v>
      </c>
      <c r="E3" s="20" t="s">
        <v>578</v>
      </c>
      <c r="F3" s="20" t="s">
        <v>6225</v>
      </c>
      <c r="G3" s="20" t="s">
        <v>1031</v>
      </c>
      <c r="H3" s="20" t="s">
        <v>603</v>
      </c>
      <c r="I3" s="20" t="s">
        <v>327</v>
      </c>
      <c r="J3" s="20" t="s">
        <v>3560</v>
      </c>
      <c r="K3" s="20" t="s">
        <v>3407</v>
      </c>
      <c r="L3" s="20" t="s">
        <v>607</v>
      </c>
      <c r="M3" s="20" t="s">
        <v>397</v>
      </c>
      <c r="N3" s="20" t="s">
        <v>6226</v>
      </c>
      <c r="O3" s="20" t="s">
        <v>1031</v>
      </c>
      <c r="P3" s="20" t="s">
        <v>1031</v>
      </c>
      <c r="Q3" s="20"/>
      <c r="R3" s="20">
        <v>0</v>
      </c>
      <c r="S3" s="20">
        <v>0</v>
      </c>
    </row>
    <row r="4" spans="1:19" ht="25.5">
      <c r="A4" s="20"/>
      <c r="B4" s="20" t="s">
        <v>320</v>
      </c>
      <c r="C4" s="20"/>
      <c r="D4" s="20" t="s">
        <v>5923</v>
      </c>
      <c r="E4" s="20" t="s">
        <v>230</v>
      </c>
      <c r="F4" s="20" t="s">
        <v>3481</v>
      </c>
      <c r="G4" s="20" t="s">
        <v>730</v>
      </c>
      <c r="H4" s="20" t="s">
        <v>662</v>
      </c>
      <c r="I4" s="20" t="s">
        <v>157</v>
      </c>
      <c r="J4" s="20" t="s">
        <v>1246</v>
      </c>
      <c r="K4" s="20" t="s">
        <v>179</v>
      </c>
      <c r="L4" s="20" t="s">
        <v>2600</v>
      </c>
      <c r="M4" s="20"/>
      <c r="N4" s="20"/>
      <c r="O4" s="20"/>
      <c r="P4" s="20"/>
      <c r="Q4" s="20"/>
      <c r="R4" s="20">
        <v>1</v>
      </c>
      <c r="S4" s="20">
        <v>1</v>
      </c>
    </row>
    <row r="5" spans="1:19" ht="49.5">
      <c r="A5" s="20"/>
      <c r="B5" s="20" t="s">
        <v>504</v>
      </c>
      <c r="C5" s="20"/>
      <c r="D5" s="20" t="s">
        <v>1387</v>
      </c>
      <c r="E5" s="20" t="s">
        <v>5534</v>
      </c>
      <c r="F5" s="20" t="s">
        <v>810</v>
      </c>
      <c r="G5" s="20" t="s">
        <v>360</v>
      </c>
      <c r="H5" s="20" t="s">
        <v>235</v>
      </c>
      <c r="I5" s="20" t="s">
        <v>229</v>
      </c>
      <c r="J5" s="20" t="s">
        <v>181</v>
      </c>
      <c r="K5" s="20" t="s">
        <v>191</v>
      </c>
      <c r="L5" s="20" t="s">
        <v>4242</v>
      </c>
      <c r="M5" s="20" t="s">
        <v>6227</v>
      </c>
      <c r="N5" s="20" t="s">
        <v>6228</v>
      </c>
      <c r="O5" s="20" t="s">
        <v>730</v>
      </c>
      <c r="P5" s="20" t="s">
        <v>730</v>
      </c>
      <c r="Q5" s="20"/>
      <c r="R5" s="20">
        <v>2</v>
      </c>
      <c r="S5" s="20">
        <v>2</v>
      </c>
    </row>
    <row r="6" spans="1:19" ht="37.5">
      <c r="A6" s="20"/>
      <c r="B6" s="20" t="s">
        <v>3324</v>
      </c>
      <c r="C6" s="20"/>
      <c r="D6" s="20" t="s">
        <v>373</v>
      </c>
      <c r="E6" s="20" t="s">
        <v>1226</v>
      </c>
      <c r="F6" s="20" t="s">
        <v>231</v>
      </c>
      <c r="G6" s="20" t="s">
        <v>217</v>
      </c>
      <c r="H6" s="20" t="s">
        <v>732</v>
      </c>
      <c r="I6" s="20" t="s">
        <v>624</v>
      </c>
      <c r="J6" s="20"/>
      <c r="K6" s="20" t="s">
        <v>2659</v>
      </c>
      <c r="L6" s="20" t="s">
        <v>176</v>
      </c>
      <c r="M6" s="20" t="s">
        <v>351</v>
      </c>
      <c r="N6" s="20"/>
      <c r="O6" s="20" t="s">
        <v>753</v>
      </c>
      <c r="P6" s="20" t="s">
        <v>1313</v>
      </c>
      <c r="Q6" s="20"/>
      <c r="R6" s="20">
        <v>3</v>
      </c>
      <c r="S6" s="20">
        <v>3</v>
      </c>
    </row>
    <row r="7" spans="1:19" ht="61.5">
      <c r="A7" s="20"/>
      <c r="B7" s="20" t="s">
        <v>211</v>
      </c>
      <c r="C7" s="20"/>
      <c r="D7" s="20" t="s">
        <v>819</v>
      </c>
      <c r="E7" s="20" t="s">
        <v>304</v>
      </c>
      <c r="F7" s="20" t="s">
        <v>6229</v>
      </c>
      <c r="G7" s="20" t="s">
        <v>172</v>
      </c>
      <c r="H7" s="20" t="s">
        <v>218</v>
      </c>
      <c r="I7" s="20" t="s">
        <v>241</v>
      </c>
      <c r="J7" s="20"/>
      <c r="K7" s="20" t="s">
        <v>2907</v>
      </c>
      <c r="L7" s="20" t="s">
        <v>179</v>
      </c>
      <c r="M7" s="20" t="s">
        <v>350</v>
      </c>
      <c r="N7" s="20"/>
      <c r="O7" s="20" t="s">
        <v>360</v>
      </c>
      <c r="P7" s="20" t="s">
        <v>754</v>
      </c>
      <c r="Q7" s="20"/>
      <c r="R7" s="20">
        <v>4</v>
      </c>
      <c r="S7" s="20">
        <v>4</v>
      </c>
    </row>
    <row r="8" spans="1:19" ht="25.5">
      <c r="A8" s="20"/>
      <c r="B8" s="20" t="s">
        <v>6230</v>
      </c>
      <c r="C8" s="20"/>
      <c r="D8" s="20" t="s">
        <v>6231</v>
      </c>
      <c r="F8" s="20" t="s">
        <v>6232</v>
      </c>
      <c r="G8" s="20" t="s">
        <v>234</v>
      </c>
      <c r="H8" s="20" t="s">
        <v>219</v>
      </c>
      <c r="J8" s="20"/>
      <c r="L8" s="20"/>
      <c r="M8" s="20" t="s">
        <v>177</v>
      </c>
      <c r="N8" s="20"/>
      <c r="O8" s="20" t="s">
        <v>217</v>
      </c>
      <c r="P8" s="20" t="s">
        <v>361</v>
      </c>
      <c r="Q8" s="20"/>
      <c r="R8" s="20">
        <v>5</v>
      </c>
      <c r="S8" s="20">
        <v>5</v>
      </c>
    </row>
    <row r="9" spans="1:19" ht="25.5">
      <c r="A9" s="20"/>
      <c r="B9" s="20" t="s">
        <v>3297</v>
      </c>
      <c r="C9" s="20"/>
      <c r="D9" s="20" t="s">
        <v>729</v>
      </c>
      <c r="E9" s="20"/>
      <c r="F9" s="20" t="s">
        <v>2702</v>
      </c>
      <c r="G9" s="20" t="s">
        <v>646</v>
      </c>
      <c r="H9" s="20" t="s">
        <v>6233</v>
      </c>
      <c r="I9" s="20"/>
      <c r="J9" s="20"/>
      <c r="K9" s="20"/>
      <c r="L9" s="20"/>
      <c r="M9" s="20"/>
      <c r="N9" s="20"/>
      <c r="O9" s="20"/>
      <c r="P9" s="20"/>
      <c r="Q9" s="20"/>
      <c r="R9" s="20">
        <v>6</v>
      </c>
      <c r="S9" s="20">
        <v>6</v>
      </c>
    </row>
    <row r="10" spans="1:19" ht="25.5">
      <c r="A10" s="20"/>
      <c r="B10" s="20" t="s">
        <v>227</v>
      </c>
      <c r="C10" s="20"/>
      <c r="D10" s="20" t="s">
        <v>546</v>
      </c>
      <c r="E10" s="20"/>
      <c r="F10" s="20" t="s">
        <v>6234</v>
      </c>
      <c r="G10" s="20" t="s">
        <v>731</v>
      </c>
      <c r="H10" s="20" t="s">
        <v>172</v>
      </c>
      <c r="I10" s="20"/>
      <c r="J10" s="20"/>
      <c r="K10" s="20"/>
      <c r="L10" s="20"/>
      <c r="M10" s="20"/>
      <c r="N10" s="20"/>
      <c r="O10" s="20"/>
      <c r="P10" s="20"/>
      <c r="Q10" s="20"/>
      <c r="R10" s="20"/>
      <c r="S10" s="20"/>
    </row>
    <row r="11" spans="1:19" ht="25.5">
      <c r="A11" s="20"/>
      <c r="B11" s="20" t="s">
        <v>251</v>
      </c>
      <c r="C11" s="20"/>
      <c r="D11" s="20" t="s">
        <v>660</v>
      </c>
      <c r="E11" s="20"/>
      <c r="F11" s="20" t="s">
        <v>204</v>
      </c>
      <c r="G11" s="20" t="s">
        <v>753</v>
      </c>
      <c r="I11" s="20"/>
      <c r="J11" s="20"/>
      <c r="K11" s="20"/>
      <c r="L11" s="20"/>
      <c r="M11" s="20"/>
      <c r="N11" s="20"/>
      <c r="O11" s="20"/>
      <c r="P11" s="20"/>
      <c r="Q11" s="20"/>
      <c r="R11" s="20"/>
      <c r="S11" s="20"/>
    </row>
    <row r="12" spans="1:19" ht="25.5">
      <c r="A12" s="20"/>
      <c r="B12" s="20" t="s">
        <v>2752</v>
      </c>
      <c r="C12" s="20"/>
      <c r="D12" s="20" t="s">
        <v>1444</v>
      </c>
      <c r="E12" s="20"/>
      <c r="F12" s="20" t="s">
        <v>475</v>
      </c>
      <c r="G12" s="20" t="s">
        <v>823</v>
      </c>
      <c r="I12" s="20"/>
      <c r="J12" s="20"/>
      <c r="K12" s="20"/>
      <c r="L12" s="20"/>
      <c r="M12" s="20" t="s">
        <v>174</v>
      </c>
      <c r="N12" s="20"/>
      <c r="O12" s="20" t="s">
        <v>234</v>
      </c>
      <c r="P12" s="20" t="s">
        <v>360</v>
      </c>
      <c r="Q12" s="20"/>
      <c r="R12" s="20">
        <v>7</v>
      </c>
      <c r="S12" s="20">
        <v>7</v>
      </c>
    </row>
    <row r="13" spans="1:19" ht="25.5">
      <c r="A13" s="20"/>
      <c r="B13" s="20" t="s">
        <v>6235</v>
      </c>
      <c r="C13" s="20"/>
      <c r="D13" s="20" t="s">
        <v>5925</v>
      </c>
      <c r="E13" s="20"/>
      <c r="F13" s="20" t="s">
        <v>6236</v>
      </c>
      <c r="G13" s="20" t="s">
        <v>5085</v>
      </c>
      <c r="I13" s="20"/>
      <c r="J13" s="20"/>
      <c r="K13" s="20"/>
      <c r="L13" s="20"/>
      <c r="M13" s="20"/>
      <c r="N13" s="20"/>
      <c r="O13" s="20" t="s">
        <v>646</v>
      </c>
      <c r="P13" s="20" t="s">
        <v>222</v>
      </c>
      <c r="Q13" s="20"/>
      <c r="R13" s="20">
        <v>8</v>
      </c>
      <c r="S13" s="20">
        <v>8</v>
      </c>
    </row>
    <row r="14" spans="1:19" ht="25.5">
      <c r="A14" s="20"/>
      <c r="B14" s="20" t="s">
        <v>6237</v>
      </c>
      <c r="C14" s="20"/>
      <c r="D14" s="20" t="s">
        <v>548</v>
      </c>
      <c r="E14" s="20"/>
      <c r="F14" s="20" t="s">
        <v>347</v>
      </c>
      <c r="G14" s="20" t="s">
        <v>1235</v>
      </c>
      <c r="I14" s="20"/>
      <c r="J14" s="20"/>
      <c r="K14" s="20"/>
      <c r="L14" s="20"/>
      <c r="M14" s="20"/>
      <c r="N14" s="20"/>
      <c r="O14" s="20" t="s">
        <v>731</v>
      </c>
      <c r="P14" s="20" t="s">
        <v>1057</v>
      </c>
      <c r="Q14" s="20"/>
      <c r="R14" s="20">
        <v>9</v>
      </c>
      <c r="S14" s="20">
        <v>9</v>
      </c>
    </row>
    <row r="15" spans="1:19" ht="25.5">
      <c r="A15" s="20"/>
      <c r="B15" s="20" t="s">
        <v>154</v>
      </c>
      <c r="C15" s="20"/>
      <c r="D15" s="20" t="s">
        <v>4765</v>
      </c>
      <c r="E15" s="20"/>
      <c r="F15" s="20" t="s">
        <v>2065</v>
      </c>
      <c r="G15" s="20" t="s">
        <v>635</v>
      </c>
      <c r="H15" s="20"/>
      <c r="I15" s="20"/>
      <c r="J15" s="20"/>
      <c r="K15" s="20"/>
      <c r="L15" s="20"/>
      <c r="M15" s="20"/>
      <c r="N15" s="20"/>
      <c r="O15" s="20" t="s">
        <v>823</v>
      </c>
      <c r="P15" s="20" t="s">
        <v>234</v>
      </c>
      <c r="Q15" s="20"/>
      <c r="R15" s="20">
        <v>10</v>
      </c>
      <c r="S15" s="20">
        <v>10</v>
      </c>
    </row>
    <row r="16" spans="1:19" ht="25.5">
      <c r="A16" s="20"/>
      <c r="B16" s="20" t="s">
        <v>3522</v>
      </c>
      <c r="C16" s="20"/>
      <c r="D16" s="20" t="s">
        <v>165</v>
      </c>
      <c r="E16" s="20"/>
      <c r="F16" s="20" t="s">
        <v>356</v>
      </c>
      <c r="G16" s="20" t="s">
        <v>570</v>
      </c>
      <c r="H16" s="20"/>
      <c r="I16" s="20"/>
      <c r="J16" s="20"/>
      <c r="K16" s="20"/>
      <c r="L16" s="30"/>
      <c r="M16" s="20"/>
      <c r="N16" s="20"/>
      <c r="O16" s="20"/>
      <c r="P16" s="20"/>
      <c r="Q16" s="20"/>
      <c r="R16" s="20">
        <v>11</v>
      </c>
      <c r="S16" s="20"/>
    </row>
    <row r="17" spans="1:19" ht="25.5">
      <c r="A17" s="20"/>
      <c r="B17" s="20" t="s">
        <v>2799</v>
      </c>
      <c r="C17" s="20"/>
      <c r="D17" s="20" t="s">
        <v>422</v>
      </c>
      <c r="E17" s="20"/>
      <c r="F17" s="20" t="s">
        <v>242</v>
      </c>
      <c r="G17" s="20" t="s">
        <v>822</v>
      </c>
      <c r="H17" s="20"/>
      <c r="I17" s="20"/>
      <c r="J17" s="20"/>
      <c r="K17" s="20"/>
      <c r="L17" s="20"/>
      <c r="M17" s="20"/>
      <c r="N17" s="20"/>
      <c r="O17" s="20" t="s">
        <v>1235</v>
      </c>
      <c r="P17" s="20" t="s">
        <v>646</v>
      </c>
      <c r="Q17" s="20"/>
      <c r="R17" s="20">
        <v>12</v>
      </c>
      <c r="S17" s="20"/>
    </row>
    <row r="18" spans="1:19" ht="25.5">
      <c r="A18" s="20"/>
      <c r="B18" s="20" t="s">
        <v>6238</v>
      </c>
      <c r="C18" s="20"/>
      <c r="D18" s="20" t="s">
        <v>888</v>
      </c>
      <c r="E18" s="20"/>
      <c r="F18" s="20" t="s">
        <v>3265</v>
      </c>
      <c r="G18" s="20" t="s">
        <v>602</v>
      </c>
      <c r="H18" s="20"/>
      <c r="I18" s="20"/>
      <c r="J18" s="20"/>
      <c r="K18" s="20"/>
      <c r="L18" s="20"/>
      <c r="M18" s="20"/>
      <c r="N18" s="20"/>
      <c r="O18" s="20"/>
      <c r="P18" s="20"/>
      <c r="Q18" s="20"/>
      <c r="R18" s="20"/>
      <c r="S18" s="20"/>
    </row>
    <row r="19" spans="1:19" ht="25.5">
      <c r="A19" s="20"/>
      <c r="B19" s="20" t="s">
        <v>2201</v>
      </c>
      <c r="C19" s="20"/>
      <c r="D19" s="20" t="s">
        <v>6122</v>
      </c>
      <c r="E19" s="20"/>
      <c r="F19" s="20" t="s">
        <v>846</v>
      </c>
      <c r="G19" s="20" t="s">
        <v>510</v>
      </c>
      <c r="H19" s="20"/>
      <c r="I19" s="20"/>
      <c r="J19" s="20"/>
      <c r="K19" s="20"/>
      <c r="L19" s="20"/>
      <c r="M19" s="20"/>
      <c r="N19" s="20"/>
      <c r="O19" s="20" t="s">
        <v>635</v>
      </c>
      <c r="P19" s="20" t="s">
        <v>731</v>
      </c>
      <c r="Q19" s="20"/>
      <c r="R19" s="20">
        <v>13</v>
      </c>
      <c r="S19" s="20"/>
    </row>
    <row r="20" spans="1:19" ht="25.5">
      <c r="A20" s="20"/>
      <c r="B20" s="20" t="s">
        <v>1806</v>
      </c>
      <c r="C20" s="20"/>
      <c r="D20" s="20" t="s">
        <v>556</v>
      </c>
      <c r="E20" s="20"/>
      <c r="F20" s="20"/>
      <c r="G20" s="20"/>
      <c r="H20" s="20"/>
      <c r="I20" s="20"/>
      <c r="J20" s="20"/>
      <c r="K20" s="20"/>
      <c r="L20" s="20"/>
      <c r="M20" s="20"/>
      <c r="N20" s="20"/>
      <c r="O20" s="20"/>
      <c r="P20" s="20"/>
      <c r="Q20" s="20"/>
      <c r="R20" s="20"/>
      <c r="S20" s="20"/>
    </row>
    <row r="21" spans="1:19" ht="14.25">
      <c r="A21" s="20"/>
      <c r="B21" s="20" t="s">
        <v>1711</v>
      </c>
      <c r="C21" s="20"/>
      <c r="D21" s="20" t="s">
        <v>6239</v>
      </c>
      <c r="E21" s="20"/>
      <c r="F21" s="20" t="s">
        <v>925</v>
      </c>
      <c r="G21" s="20" t="s">
        <v>1004</v>
      </c>
      <c r="H21" s="20"/>
      <c r="I21" s="20"/>
      <c r="J21" s="20"/>
      <c r="K21" s="20"/>
      <c r="L21" s="20"/>
      <c r="M21" s="20"/>
      <c r="N21" s="20"/>
      <c r="O21" s="20"/>
      <c r="P21" s="20"/>
      <c r="Q21" s="20"/>
      <c r="R21" s="20"/>
      <c r="S21" s="20"/>
    </row>
    <row r="22" spans="1:19" ht="37.5">
      <c r="A22" s="20"/>
      <c r="B22" s="20" t="s">
        <v>1249</v>
      </c>
      <c r="C22" s="20"/>
      <c r="D22" s="20" t="s">
        <v>5852</v>
      </c>
      <c r="E22" s="20"/>
      <c r="F22" s="20" t="s">
        <v>214</v>
      </c>
      <c r="G22" s="20" t="s">
        <v>937</v>
      </c>
      <c r="H22" s="20"/>
      <c r="I22" s="20"/>
      <c r="J22" s="20"/>
      <c r="K22" s="20"/>
      <c r="L22" s="20"/>
      <c r="M22" s="20"/>
      <c r="N22" s="20"/>
      <c r="O22" s="20"/>
      <c r="P22" s="20"/>
      <c r="Q22" s="20"/>
      <c r="R22" s="20"/>
      <c r="S22" s="20"/>
    </row>
    <row r="23" spans="1:19" ht="37.5">
      <c r="A23" s="20"/>
      <c r="B23" s="20" t="s">
        <v>2030</v>
      </c>
      <c r="C23" s="20"/>
      <c r="D23" s="20" t="s">
        <v>525</v>
      </c>
      <c r="E23" s="20"/>
      <c r="F23" s="20" t="s">
        <v>6240</v>
      </c>
      <c r="G23" s="20" t="s">
        <v>661</v>
      </c>
      <c r="H23" s="20"/>
      <c r="I23" s="20"/>
      <c r="J23" s="20"/>
      <c r="K23" s="20"/>
      <c r="L23" s="20"/>
      <c r="M23" s="20"/>
      <c r="N23" s="20"/>
      <c r="O23" s="20"/>
      <c r="P23" s="20"/>
      <c r="Q23" s="20"/>
      <c r="R23" s="20"/>
      <c r="S23" s="20"/>
    </row>
    <row r="24" spans="1:19" ht="25.5">
      <c r="A24" s="20"/>
      <c r="B24" s="20" t="s">
        <v>201</v>
      </c>
      <c r="C24" s="20"/>
      <c r="D24" s="20" t="s">
        <v>6241</v>
      </c>
      <c r="E24" s="20"/>
      <c r="F24" s="20"/>
      <c r="G24" s="20" t="s">
        <v>1009</v>
      </c>
      <c r="H24" s="20"/>
      <c r="I24" s="20"/>
      <c r="J24" s="20"/>
      <c r="K24" s="20"/>
      <c r="L24" s="20"/>
      <c r="M24" s="20"/>
      <c r="N24" s="20"/>
      <c r="O24" s="20"/>
      <c r="P24" s="20"/>
      <c r="Q24" s="20"/>
      <c r="R24" s="20"/>
      <c r="S24" s="20"/>
    </row>
    <row r="25" spans="1:19" ht="25.5">
      <c r="A25" s="20"/>
      <c r="B25" s="20" t="s">
        <v>6242</v>
      </c>
      <c r="C25" s="20"/>
      <c r="D25" s="20" t="s">
        <v>253</v>
      </c>
      <c r="E25" s="20"/>
      <c r="F25" s="20" t="s">
        <v>6243</v>
      </c>
      <c r="G25" s="20"/>
      <c r="H25" s="20"/>
      <c r="I25" s="20"/>
      <c r="J25" s="20"/>
      <c r="K25" s="20"/>
      <c r="L25" s="20"/>
      <c r="M25" s="20"/>
      <c r="N25" s="20"/>
      <c r="O25" s="20" t="s">
        <v>570</v>
      </c>
      <c r="P25" s="20" t="s">
        <v>221</v>
      </c>
      <c r="Q25" s="20"/>
      <c r="R25" s="20">
        <v>14</v>
      </c>
      <c r="S25" s="20"/>
    </row>
    <row r="26" spans="1:19" ht="25.5">
      <c r="A26" s="20"/>
      <c r="B26" s="20" t="s">
        <v>455</v>
      </c>
      <c r="C26" s="20"/>
      <c r="D26" s="20" t="s">
        <v>632</v>
      </c>
      <c r="E26" s="20"/>
      <c r="F26" s="20" t="s">
        <v>1996</v>
      </c>
      <c r="G26" s="20"/>
      <c r="H26" s="20"/>
      <c r="I26" s="20"/>
      <c r="J26" s="20"/>
      <c r="K26" s="20"/>
      <c r="M26" s="20"/>
      <c r="N26" s="20"/>
      <c r="O26" s="20" t="s">
        <v>822</v>
      </c>
      <c r="P26" s="20" t="s">
        <v>865</v>
      </c>
      <c r="Q26" s="20"/>
      <c r="R26" s="20">
        <v>15</v>
      </c>
      <c r="S26" s="20"/>
    </row>
    <row r="27" spans="1:19" ht="25.5">
      <c r="A27" s="20"/>
      <c r="B27" s="20" t="s">
        <v>301</v>
      </c>
      <c r="C27" s="20"/>
      <c r="D27" s="20" t="s">
        <v>549</v>
      </c>
      <c r="E27" s="20"/>
      <c r="F27" s="20"/>
      <c r="G27" s="20"/>
      <c r="H27" s="20"/>
      <c r="I27" s="20"/>
      <c r="J27" s="20"/>
      <c r="K27" s="20"/>
      <c r="M27" s="20"/>
      <c r="N27" s="20"/>
      <c r="O27" s="20"/>
      <c r="P27" s="20"/>
      <c r="Q27" s="20"/>
      <c r="R27" s="20"/>
      <c r="S27" s="20"/>
    </row>
    <row r="28" spans="1:19" ht="25.5">
      <c r="A28" s="20"/>
      <c r="B28" s="20" t="s">
        <v>1768</v>
      </c>
      <c r="C28" s="20"/>
      <c r="D28" s="20" t="s">
        <v>728</v>
      </c>
      <c r="E28" s="20"/>
      <c r="F28" s="20" t="s">
        <v>6244</v>
      </c>
      <c r="G28" s="20"/>
      <c r="H28" s="20"/>
      <c r="I28" s="20"/>
      <c r="J28" s="20"/>
      <c r="K28" s="20"/>
      <c r="M28" s="20"/>
      <c r="N28" s="20"/>
      <c r="O28" s="20" t="s">
        <v>602</v>
      </c>
      <c r="P28" s="20" t="s">
        <v>967</v>
      </c>
      <c r="Q28" s="20"/>
      <c r="R28" s="20">
        <v>16</v>
      </c>
      <c r="S28" s="20"/>
    </row>
    <row r="29" spans="1:19" ht="25.5">
      <c r="A29" s="20"/>
      <c r="B29" s="20" t="s">
        <v>3999</v>
      </c>
      <c r="C29" s="20"/>
      <c r="D29" s="20" t="s">
        <v>213</v>
      </c>
      <c r="E29" s="20"/>
      <c r="F29" s="20"/>
      <c r="G29" s="20"/>
      <c r="H29" s="20"/>
      <c r="I29" s="20"/>
      <c r="J29" s="20"/>
      <c r="K29" s="20"/>
      <c r="M29" s="20"/>
      <c r="N29" s="20"/>
      <c r="O29" s="20"/>
      <c r="P29" s="20"/>
      <c r="Q29" s="20"/>
      <c r="R29" s="20"/>
      <c r="S29" s="20"/>
    </row>
    <row r="30" spans="1:19" ht="14.25">
      <c r="A30" s="20"/>
      <c r="B30" s="20" t="s">
        <v>2645</v>
      </c>
      <c r="C30" s="20"/>
      <c r="D30" s="20" t="s">
        <v>6245</v>
      </c>
      <c r="E30" s="20"/>
      <c r="F30" s="20"/>
      <c r="G30" s="20"/>
      <c r="H30" s="20"/>
      <c r="I30" s="20"/>
      <c r="J30" s="20"/>
      <c r="K30" s="20"/>
      <c r="L30" s="20"/>
      <c r="M30" s="20"/>
      <c r="N30" s="20"/>
      <c r="O30" s="20"/>
      <c r="P30" s="20" t="s">
        <v>1058</v>
      </c>
      <c r="Q30" s="20"/>
      <c r="R30" s="20"/>
      <c r="S30" s="20"/>
    </row>
    <row r="31" spans="1:19" ht="25.5">
      <c r="B31" s="20" t="s">
        <v>6246</v>
      </c>
      <c r="D31" s="20" t="s">
        <v>5899</v>
      </c>
    </row>
    <row r="32" spans="1:19" ht="14.25">
      <c r="A32" s="20"/>
      <c r="B32" s="20" t="s">
        <v>1113</v>
      </c>
      <c r="C32" s="20"/>
      <c r="D32" s="20" t="s">
        <v>5921</v>
      </c>
      <c r="E32" s="20"/>
      <c r="F32" s="20"/>
      <c r="G32" s="20"/>
      <c r="H32" s="20"/>
      <c r="I32" s="20"/>
      <c r="J32" s="20"/>
      <c r="K32" s="20"/>
      <c r="L32" s="20"/>
      <c r="M32" s="20"/>
      <c r="N32" s="20"/>
      <c r="O32" s="20"/>
      <c r="P32" s="20"/>
      <c r="Q32" s="20"/>
      <c r="R32" s="20"/>
      <c r="S32" s="20"/>
    </row>
    <row r="33" spans="1:18" ht="25.5">
      <c r="A33" s="20"/>
      <c r="B33" s="20" t="s">
        <v>3175</v>
      </c>
      <c r="C33" s="20"/>
      <c r="D33" s="20" t="s">
        <v>524</v>
      </c>
      <c r="E33" s="20"/>
      <c r="F33" s="20"/>
      <c r="G33" s="20"/>
      <c r="H33" s="20"/>
      <c r="I33" s="20"/>
      <c r="J33" s="20"/>
      <c r="K33" s="20"/>
      <c r="L33" s="20"/>
      <c r="M33" s="20"/>
      <c r="N33" s="20"/>
      <c r="O33" s="20"/>
      <c r="P33" s="20"/>
      <c r="Q33" s="20"/>
      <c r="R33" s="20"/>
    </row>
    <row r="34" spans="1:18" ht="25.5">
      <c r="A34" s="20"/>
      <c r="B34" s="20" t="s">
        <v>2615</v>
      </c>
      <c r="C34" s="20"/>
      <c r="D34" s="20" t="s">
        <v>5949</v>
      </c>
      <c r="E34" s="20"/>
      <c r="F34" s="20"/>
      <c r="G34" s="20"/>
      <c r="H34" s="20"/>
      <c r="I34" s="20"/>
      <c r="J34" s="20"/>
      <c r="K34" s="20"/>
      <c r="L34" s="20"/>
      <c r="M34" s="20"/>
      <c r="N34" s="20"/>
      <c r="O34" s="20"/>
      <c r="P34" s="20"/>
      <c r="Q34" s="20"/>
      <c r="R34" s="20"/>
    </row>
    <row r="35" spans="1:18" ht="25.5">
      <c r="A35" s="20"/>
      <c r="B35" s="20" t="s">
        <v>272</v>
      </c>
      <c r="C35" s="20"/>
      <c r="D35" s="20" t="s">
        <v>818</v>
      </c>
      <c r="E35" s="20"/>
      <c r="F35" s="20" t="s">
        <v>170</v>
      </c>
      <c r="G35" s="20"/>
      <c r="H35" s="20"/>
      <c r="I35" s="20"/>
      <c r="J35" s="20"/>
      <c r="K35" s="20"/>
      <c r="L35" s="20"/>
      <c r="M35" s="20"/>
      <c r="N35" s="20"/>
      <c r="O35" s="20" t="s">
        <v>1004</v>
      </c>
      <c r="P35" s="20" t="s">
        <v>1235</v>
      </c>
      <c r="Q35" s="20"/>
      <c r="R35" s="20">
        <v>18</v>
      </c>
    </row>
    <row r="36" spans="1:18" ht="25.5">
      <c r="A36" s="20"/>
      <c r="B36" s="20" t="s">
        <v>3649</v>
      </c>
      <c r="C36" s="20"/>
      <c r="D36" s="20" t="s">
        <v>6047</v>
      </c>
      <c r="E36" s="20"/>
      <c r="F36" s="20" t="s">
        <v>507</v>
      </c>
      <c r="G36" s="20"/>
      <c r="H36" s="20"/>
      <c r="I36" s="20"/>
      <c r="J36" s="20"/>
      <c r="K36" s="20"/>
      <c r="L36" s="20"/>
      <c r="M36" s="20"/>
      <c r="N36" s="20"/>
      <c r="O36" s="20" t="s">
        <v>937</v>
      </c>
      <c r="P36" s="20" t="s">
        <v>723</v>
      </c>
      <c r="Q36" s="20"/>
      <c r="R36" s="20">
        <v>19</v>
      </c>
    </row>
    <row r="37" spans="1:18" ht="25.5">
      <c r="A37" s="20"/>
      <c r="B37" s="20" t="s">
        <v>5581</v>
      </c>
      <c r="C37" s="20"/>
      <c r="D37" s="20" t="s">
        <v>5846</v>
      </c>
      <c r="E37" s="20"/>
      <c r="F37" s="20" t="s">
        <v>6247</v>
      </c>
      <c r="G37" s="20"/>
      <c r="H37" s="20"/>
      <c r="I37" s="20"/>
      <c r="J37" s="20"/>
      <c r="K37" s="20"/>
      <c r="L37" s="20"/>
      <c r="M37" s="20"/>
      <c r="N37" s="20"/>
      <c r="O37" s="20" t="s">
        <v>661</v>
      </c>
      <c r="P37" s="20" t="s">
        <v>637</v>
      </c>
      <c r="Q37" s="20"/>
      <c r="R37" s="20">
        <v>20</v>
      </c>
    </row>
    <row r="38" spans="1:18" ht="25.5">
      <c r="A38" s="20"/>
      <c r="B38" s="20" t="s">
        <v>5208</v>
      </c>
      <c r="C38" s="20"/>
      <c r="D38" s="20" t="s">
        <v>601</v>
      </c>
      <c r="E38" s="20"/>
      <c r="F38" s="20" t="s">
        <v>6248</v>
      </c>
      <c r="G38" s="20"/>
      <c r="H38" s="20"/>
      <c r="I38" s="20"/>
      <c r="J38" s="20"/>
      <c r="K38" s="20"/>
      <c r="L38" s="20"/>
      <c r="M38" s="20"/>
      <c r="N38" s="20"/>
      <c r="O38" s="20" t="s">
        <v>1009</v>
      </c>
      <c r="P38" s="20" t="s">
        <v>415</v>
      </c>
      <c r="Q38" s="20"/>
      <c r="R38" s="20">
        <v>21</v>
      </c>
    </row>
    <row r="39" spans="1:18" ht="25.5">
      <c r="A39" s="20"/>
      <c r="B39" s="20" t="s">
        <v>2153</v>
      </c>
      <c r="C39" s="20"/>
      <c r="D39" s="20" t="s">
        <v>887</v>
      </c>
      <c r="E39" s="20"/>
      <c r="F39" s="20"/>
      <c r="G39" s="20"/>
      <c r="H39" s="20"/>
      <c r="I39" s="20"/>
      <c r="J39" s="20"/>
      <c r="K39" s="20"/>
      <c r="L39" s="20"/>
      <c r="M39" s="20"/>
      <c r="N39" s="20"/>
      <c r="O39" s="20"/>
      <c r="P39" s="20"/>
      <c r="Q39" s="20"/>
      <c r="R39" s="20"/>
    </row>
    <row r="40" spans="1:18" ht="14.25">
      <c r="A40" s="20"/>
      <c r="B40" s="20"/>
      <c r="C40" s="20"/>
      <c r="D40" s="20" t="s">
        <v>506</v>
      </c>
      <c r="E40" s="20"/>
      <c r="F40" s="20"/>
      <c r="G40" s="20"/>
      <c r="H40" s="20"/>
      <c r="I40" s="20"/>
      <c r="J40" s="20"/>
      <c r="K40" s="20"/>
      <c r="L40" s="20"/>
      <c r="M40" s="20"/>
      <c r="N40" s="20"/>
      <c r="O40" s="20" t="s">
        <v>6249</v>
      </c>
      <c r="P40" s="20" t="s">
        <v>571</v>
      </c>
      <c r="Q40" s="20"/>
      <c r="R40" s="20">
        <v>22</v>
      </c>
    </row>
    <row r="41" spans="1:18" ht="14.25">
      <c r="A41" s="20"/>
      <c r="B41" s="20"/>
      <c r="C41" s="20"/>
      <c r="D41" s="20" t="s">
        <v>6250</v>
      </c>
      <c r="E41" s="20"/>
      <c r="F41" s="20"/>
      <c r="G41" s="20"/>
      <c r="H41" s="20"/>
      <c r="I41" s="20"/>
      <c r="J41" s="20"/>
      <c r="K41" s="20"/>
      <c r="L41" s="20"/>
      <c r="M41" s="20"/>
      <c r="N41" s="20"/>
      <c r="O41" s="20" t="s">
        <v>172</v>
      </c>
      <c r="P41" s="20" t="s">
        <v>602</v>
      </c>
      <c r="Q41" s="20"/>
      <c r="R41" s="20">
        <v>23</v>
      </c>
    </row>
    <row r="42" spans="1:18" ht="14.25">
      <c r="A42" s="20"/>
      <c r="B42" s="20"/>
      <c r="C42" s="20"/>
      <c r="D42" s="20" t="s">
        <v>5583</v>
      </c>
      <c r="E42" s="20"/>
      <c r="F42" s="20"/>
      <c r="H42" s="20"/>
      <c r="I42" s="20"/>
      <c r="J42" s="20"/>
      <c r="K42" s="20"/>
      <c r="L42" s="20"/>
      <c r="M42" s="20"/>
      <c r="N42" s="20"/>
      <c r="P42" s="20" t="s">
        <v>604</v>
      </c>
      <c r="Q42" s="20"/>
      <c r="R42" s="20">
        <v>24</v>
      </c>
    </row>
    <row r="43" spans="1:18" ht="14.25">
      <c r="A43" s="20"/>
      <c r="B43" s="20"/>
      <c r="C43" s="20"/>
      <c r="D43" s="20" t="s">
        <v>5709</v>
      </c>
      <c r="E43" s="20"/>
      <c r="F43" s="20"/>
      <c r="H43" s="20"/>
      <c r="I43" s="20"/>
      <c r="J43" s="20"/>
      <c r="K43" s="20"/>
      <c r="L43" s="20"/>
      <c r="M43" s="20"/>
      <c r="N43" s="20"/>
      <c r="P43" s="20" t="s">
        <v>510</v>
      </c>
      <c r="Q43" s="20"/>
      <c r="R43" s="20">
        <v>25</v>
      </c>
    </row>
    <row r="44" spans="1:18" ht="25.5">
      <c r="A44" s="20"/>
      <c r="B44" s="20"/>
      <c r="C44" s="20"/>
      <c r="D44" s="20" t="s">
        <v>4960</v>
      </c>
      <c r="E44" s="20"/>
      <c r="F44" s="20"/>
      <c r="G44" s="20"/>
      <c r="H44" s="20"/>
      <c r="I44" s="20"/>
      <c r="J44" s="20"/>
      <c r="K44" s="20"/>
      <c r="L44" s="20"/>
      <c r="M44" s="20"/>
      <c r="N44" s="20"/>
      <c r="O44" s="20"/>
      <c r="P44" s="20"/>
      <c r="Q44" s="20"/>
      <c r="R44" s="20">
        <v>26</v>
      </c>
    </row>
    <row r="45" spans="1:18" ht="14.25">
      <c r="A45" s="20"/>
      <c r="B45" s="20"/>
      <c r="C45" s="20"/>
      <c r="D45" s="20" t="s">
        <v>167</v>
      </c>
      <c r="E45" s="20"/>
      <c r="F45" s="20"/>
      <c r="G45" s="20"/>
      <c r="H45" s="20"/>
      <c r="I45" s="20"/>
      <c r="J45" s="20"/>
      <c r="K45" s="20"/>
      <c r="L45" s="20"/>
      <c r="M45" s="20"/>
      <c r="N45" s="20"/>
      <c r="O45" s="20"/>
      <c r="P45" s="20" t="s">
        <v>414</v>
      </c>
      <c r="Q45" s="20"/>
      <c r="R45" s="20">
        <v>27</v>
      </c>
    </row>
    <row r="46" spans="1:18" ht="25.5">
      <c r="A46" s="20"/>
      <c r="B46" s="20"/>
      <c r="C46" s="20"/>
      <c r="D46" s="20" t="s">
        <v>5924</v>
      </c>
      <c r="E46" s="20"/>
      <c r="F46" s="20"/>
      <c r="G46" s="20"/>
      <c r="H46" s="20"/>
      <c r="I46" s="20"/>
      <c r="J46" s="20"/>
      <c r="K46" s="20"/>
      <c r="L46" s="20"/>
      <c r="M46" s="20"/>
      <c r="N46" s="20"/>
      <c r="O46" s="20"/>
      <c r="P46" s="20" t="s">
        <v>1004</v>
      </c>
      <c r="Q46" s="20"/>
      <c r="R46" s="20">
        <v>28</v>
      </c>
    </row>
    <row r="47" spans="1:18" ht="25.5">
      <c r="A47" s="20"/>
      <c r="B47" s="20"/>
      <c r="C47" s="20"/>
      <c r="D47" s="20" t="s">
        <v>328</v>
      </c>
      <c r="E47" s="20"/>
      <c r="F47" s="20"/>
      <c r="G47" s="20"/>
      <c r="H47" s="20"/>
      <c r="I47" s="20"/>
      <c r="J47" s="20"/>
      <c r="K47" s="20"/>
      <c r="L47" s="20"/>
      <c r="M47" s="20"/>
      <c r="N47" s="20"/>
      <c r="O47" s="20"/>
      <c r="P47" s="20" t="s">
        <v>1378</v>
      </c>
      <c r="Q47" s="20"/>
      <c r="R47" s="20">
        <v>29</v>
      </c>
    </row>
    <row r="48" spans="1:18" ht="25.5">
      <c r="A48" s="20"/>
      <c r="C48" s="20"/>
      <c r="D48" s="20" t="s">
        <v>5867</v>
      </c>
      <c r="E48" s="20"/>
      <c r="F48" s="20"/>
      <c r="G48" s="20"/>
      <c r="H48" s="20"/>
      <c r="I48" s="20"/>
      <c r="J48" s="20"/>
      <c r="K48" s="20"/>
      <c r="L48" s="20"/>
      <c r="M48" s="20"/>
      <c r="N48" s="20"/>
      <c r="O48" s="20"/>
      <c r="P48" s="20" t="s">
        <v>1697</v>
      </c>
      <c r="Q48" s="20"/>
      <c r="R48" s="20">
        <v>30</v>
      </c>
    </row>
    <row r="49" spans="1:18" ht="14.25">
      <c r="A49" s="20"/>
      <c r="C49" s="20"/>
      <c r="D49" s="20" t="s">
        <v>6251</v>
      </c>
      <c r="E49" s="20"/>
      <c r="F49" s="20"/>
      <c r="G49" s="20"/>
      <c r="H49" s="20"/>
      <c r="I49" s="20"/>
      <c r="J49" s="20"/>
      <c r="K49" s="20"/>
      <c r="L49" s="20"/>
      <c r="M49" s="20"/>
      <c r="N49" s="20"/>
      <c r="O49" s="20"/>
      <c r="P49" s="20"/>
      <c r="Q49" s="20"/>
      <c r="R49" s="20"/>
    </row>
    <row r="50" spans="1:18" ht="14.25">
      <c r="A50" s="20"/>
      <c r="C50" s="20"/>
      <c r="D50" s="20" t="s">
        <v>5764</v>
      </c>
      <c r="E50" s="20"/>
      <c r="F50" s="20"/>
      <c r="G50" s="20"/>
      <c r="H50" s="20"/>
      <c r="I50" s="20"/>
      <c r="J50" s="20"/>
      <c r="K50" s="20"/>
      <c r="L50" s="20"/>
      <c r="M50" s="20"/>
      <c r="N50" s="20"/>
      <c r="O50" s="20"/>
      <c r="P50" s="20" t="s">
        <v>804</v>
      </c>
      <c r="Q50" s="20"/>
      <c r="R50" s="20">
        <v>31</v>
      </c>
    </row>
    <row r="51" spans="1:18" ht="25.5">
      <c r="A51" s="20"/>
      <c r="C51" s="20"/>
      <c r="D51" s="20" t="s">
        <v>6252</v>
      </c>
      <c r="E51" s="20"/>
      <c r="F51" s="20"/>
      <c r="G51" s="20"/>
      <c r="H51" s="20"/>
      <c r="I51" s="20"/>
      <c r="J51" s="20"/>
      <c r="K51" s="20"/>
      <c r="L51" s="20"/>
      <c r="M51" s="20"/>
      <c r="N51" s="20"/>
      <c r="O51" s="20"/>
      <c r="P51" s="20"/>
      <c r="Q51" s="20"/>
      <c r="R51" s="20">
        <v>32</v>
      </c>
    </row>
    <row r="52" spans="1:18" ht="14.25">
      <c r="A52" s="20"/>
      <c r="B52" s="20"/>
      <c r="C52" s="20"/>
      <c r="D52" s="20" t="s">
        <v>6253</v>
      </c>
      <c r="E52" s="20"/>
      <c r="F52" s="20"/>
      <c r="G52" s="20"/>
      <c r="H52" s="20"/>
      <c r="I52" s="20"/>
      <c r="J52" s="20"/>
      <c r="K52" s="20"/>
      <c r="L52" s="20"/>
      <c r="M52" s="20"/>
      <c r="N52" s="20"/>
      <c r="O52" s="20"/>
      <c r="P52" s="20" t="s">
        <v>805</v>
      </c>
      <c r="Q52" s="20"/>
      <c r="R52" s="20">
        <v>33</v>
      </c>
    </row>
    <row r="53" spans="1:18" ht="14.25">
      <c r="A53" s="20"/>
      <c r="B53" s="20"/>
      <c r="C53" s="20"/>
      <c r="D53" s="20" t="s">
        <v>5922</v>
      </c>
      <c r="E53" s="20"/>
      <c r="F53" s="20"/>
      <c r="G53" s="20"/>
      <c r="H53" s="20"/>
      <c r="I53" s="20"/>
      <c r="J53" s="20"/>
      <c r="K53" s="20"/>
      <c r="L53" s="20"/>
      <c r="M53" s="20"/>
      <c r="N53" s="20"/>
      <c r="O53" s="20"/>
      <c r="P53" s="20" t="s">
        <v>937</v>
      </c>
      <c r="Q53" s="20"/>
      <c r="R53" s="20">
        <v>34</v>
      </c>
    </row>
    <row r="54" spans="1:18" ht="14.25">
      <c r="A54" s="20"/>
      <c r="B54" s="20"/>
      <c r="C54" s="20"/>
      <c r="D54" s="20" t="s">
        <v>5930</v>
      </c>
      <c r="E54" s="20"/>
      <c r="F54" s="20"/>
      <c r="G54" s="20"/>
      <c r="H54" s="20"/>
      <c r="I54" s="20"/>
      <c r="J54" s="20"/>
      <c r="K54" s="20"/>
      <c r="L54" s="20"/>
      <c r="M54" s="20"/>
      <c r="N54" s="20"/>
      <c r="O54" s="20"/>
      <c r="P54" s="20" t="s">
        <v>661</v>
      </c>
      <c r="Q54" s="20"/>
      <c r="R54" s="20">
        <v>35</v>
      </c>
    </row>
    <row r="55" spans="1:18" ht="14.25">
      <c r="A55" s="20"/>
      <c r="B55" s="20"/>
      <c r="C55" s="20"/>
      <c r="D55" s="20" t="s">
        <v>265</v>
      </c>
      <c r="E55" s="20"/>
      <c r="F55" s="20"/>
      <c r="G55" s="20"/>
      <c r="H55" s="20"/>
      <c r="I55" s="20"/>
      <c r="J55" s="20"/>
      <c r="K55" s="20"/>
      <c r="L55" s="20"/>
      <c r="M55" s="20"/>
      <c r="N55" s="20"/>
      <c r="O55" s="20"/>
      <c r="P55" s="20"/>
      <c r="Q55" s="20"/>
      <c r="R55" s="20"/>
    </row>
    <row r="56" spans="1:18" ht="14.25">
      <c r="A56" s="20"/>
      <c r="B56" s="20"/>
      <c r="C56" s="20"/>
      <c r="D56" s="20" t="s">
        <v>6048</v>
      </c>
      <c r="E56" s="20"/>
      <c r="F56" s="20"/>
      <c r="G56" s="20"/>
      <c r="H56" s="20"/>
      <c r="I56" s="20"/>
      <c r="J56" s="20"/>
      <c r="K56" s="20"/>
      <c r="L56" s="20"/>
      <c r="M56" s="20"/>
      <c r="N56" s="20"/>
      <c r="O56" s="20"/>
      <c r="P56" s="20"/>
      <c r="Q56" s="20"/>
      <c r="R56" s="20"/>
    </row>
    <row r="57" spans="1:18" ht="25.5">
      <c r="A57" s="20"/>
      <c r="B57" s="20"/>
      <c r="C57" s="20"/>
      <c r="D57" s="20" t="s">
        <v>346</v>
      </c>
      <c r="E57" s="20"/>
      <c r="F57" s="20"/>
      <c r="G57" s="20"/>
      <c r="H57" s="20"/>
      <c r="I57" s="20"/>
      <c r="J57" s="20"/>
      <c r="K57" s="20"/>
      <c r="L57" s="20"/>
      <c r="M57" s="20"/>
      <c r="N57" s="20"/>
      <c r="O57" s="20"/>
      <c r="P57" s="20" t="s">
        <v>1010</v>
      </c>
      <c r="Q57" s="20"/>
      <c r="R57" s="20">
        <v>36</v>
      </c>
    </row>
    <row r="58" spans="1:18" ht="14.25">
      <c r="A58" s="20"/>
      <c r="B58" s="20"/>
      <c r="C58" s="20"/>
      <c r="D58" s="20" t="s">
        <v>5913</v>
      </c>
      <c r="E58" s="20"/>
      <c r="F58" s="20"/>
      <c r="G58" s="20"/>
      <c r="H58" s="20"/>
      <c r="I58" s="20"/>
      <c r="J58" s="20"/>
      <c r="K58" s="20"/>
      <c r="L58" s="20"/>
      <c r="M58" s="20"/>
      <c r="N58" s="20"/>
      <c r="O58" s="20"/>
      <c r="P58" s="20" t="s">
        <v>172</v>
      </c>
      <c r="Q58" s="20"/>
      <c r="R58" s="20">
        <v>37</v>
      </c>
    </row>
    <row r="59" spans="1:18" ht="14.25">
      <c r="A59" s="20"/>
      <c r="B59" s="20"/>
      <c r="C59" s="20"/>
      <c r="D59" s="20" t="s">
        <v>5900</v>
      </c>
      <c r="E59" s="20"/>
      <c r="F59" s="20"/>
      <c r="G59" s="20"/>
      <c r="H59" s="20"/>
      <c r="I59" s="20"/>
      <c r="J59" s="20"/>
      <c r="K59" s="20"/>
      <c r="L59" s="20"/>
      <c r="M59" s="20"/>
      <c r="N59" s="20"/>
      <c r="O59" s="20"/>
      <c r="P59" s="20"/>
      <c r="Q59" s="20"/>
      <c r="R59" s="20">
        <v>38</v>
      </c>
    </row>
    <row r="60" spans="1:18" ht="25.5">
      <c r="A60" s="20"/>
      <c r="B60" s="20"/>
      <c r="C60" s="20"/>
      <c r="D60" s="20" t="s">
        <v>5834</v>
      </c>
      <c r="E60" s="20"/>
      <c r="F60" s="20"/>
      <c r="G60" s="20"/>
      <c r="H60" s="20"/>
      <c r="I60" s="20"/>
      <c r="J60" s="20"/>
      <c r="K60" s="20"/>
      <c r="L60" s="20"/>
      <c r="M60" s="20"/>
      <c r="N60" s="20"/>
      <c r="O60" s="20"/>
      <c r="P60" s="20"/>
      <c r="Q60" s="20"/>
      <c r="R60" s="20">
        <v>39</v>
      </c>
    </row>
    <row r="61" spans="1:18" ht="25.5">
      <c r="A61" s="20"/>
      <c r="B61" s="20"/>
      <c r="C61" s="20"/>
      <c r="D61" s="20" t="s">
        <v>6254</v>
      </c>
      <c r="E61" s="20"/>
      <c r="F61" s="20"/>
      <c r="G61" s="20"/>
      <c r="H61" s="20"/>
      <c r="I61" s="20"/>
      <c r="J61" s="20"/>
      <c r="K61" s="20"/>
      <c r="L61" s="20"/>
      <c r="M61" s="20"/>
      <c r="N61" s="20"/>
      <c r="O61" s="20"/>
      <c r="P61" s="20"/>
      <c r="Q61" s="20"/>
      <c r="R61" s="20"/>
    </row>
    <row r="62" spans="1:18" ht="25.5">
      <c r="A62" s="20"/>
      <c r="B62" s="20"/>
      <c r="C62" s="20"/>
      <c r="D62" s="20" t="s">
        <v>966</v>
      </c>
      <c r="E62" s="20"/>
      <c r="F62" s="20"/>
      <c r="G62" s="20"/>
      <c r="H62" s="20"/>
      <c r="I62" s="20"/>
      <c r="J62" s="20"/>
      <c r="K62" s="20"/>
      <c r="L62" s="20"/>
      <c r="M62" s="20"/>
      <c r="N62" s="20"/>
      <c r="O62" s="20"/>
      <c r="P62" s="20"/>
      <c r="Q62" s="20"/>
      <c r="R62" s="20"/>
    </row>
    <row r="63" spans="1:18" ht="25.5">
      <c r="A63" s="20"/>
      <c r="B63" s="20"/>
      <c r="C63" s="20"/>
      <c r="D63" s="20" t="s">
        <v>472</v>
      </c>
      <c r="E63" s="20"/>
      <c r="F63" s="20"/>
      <c r="G63" s="20"/>
      <c r="H63" s="20"/>
      <c r="I63" s="20"/>
      <c r="J63" s="20"/>
      <c r="K63" s="20"/>
      <c r="L63" s="20"/>
      <c r="M63" s="20"/>
      <c r="N63" s="20"/>
      <c r="O63" s="20"/>
      <c r="P63" s="20"/>
      <c r="Q63" s="20"/>
      <c r="R63" s="20"/>
    </row>
    <row r="64" spans="1:18" ht="25.5">
      <c r="A64" s="20"/>
      <c r="B64" s="20"/>
      <c r="C64" s="20"/>
      <c r="D64" s="20" t="s">
        <v>644</v>
      </c>
      <c r="E64" s="20"/>
      <c r="F64" s="20"/>
      <c r="G64" s="20"/>
      <c r="H64" s="20"/>
      <c r="I64" s="20"/>
      <c r="J64" s="20"/>
      <c r="K64" s="20"/>
      <c r="L64" s="20"/>
      <c r="M64" s="20"/>
      <c r="N64" s="20"/>
      <c r="O64" s="20"/>
      <c r="P64" s="20"/>
      <c r="Q64" s="20"/>
      <c r="R64" s="20">
        <v>40</v>
      </c>
    </row>
    <row r="65" spans="1:18" ht="14.25">
      <c r="A65" s="20"/>
      <c r="B65" s="20"/>
      <c r="C65" s="20"/>
      <c r="D65" s="20" t="s">
        <v>6255</v>
      </c>
      <c r="E65" s="20"/>
      <c r="F65" s="20"/>
      <c r="G65" s="20"/>
      <c r="H65" s="20"/>
      <c r="I65" s="20"/>
      <c r="J65" s="20"/>
      <c r="K65" s="20"/>
      <c r="L65" s="20"/>
      <c r="M65" s="20"/>
      <c r="N65" s="20"/>
      <c r="O65" s="20"/>
      <c r="P65" s="20"/>
      <c r="Q65" s="20"/>
      <c r="R65" s="20">
        <v>41</v>
      </c>
    </row>
    <row r="66" spans="1:18" ht="25.5">
      <c r="A66" s="20"/>
      <c r="B66" s="20"/>
      <c r="C66" s="20"/>
      <c r="D66" s="20" t="s">
        <v>924</v>
      </c>
      <c r="E66" s="20"/>
      <c r="F66" s="20"/>
      <c r="G66" s="20"/>
      <c r="H66" s="20"/>
      <c r="I66" s="20"/>
      <c r="J66" s="20"/>
      <c r="K66" s="20"/>
      <c r="L66" s="20"/>
      <c r="M66" s="20"/>
      <c r="N66" s="20"/>
      <c r="O66" s="20"/>
      <c r="P66" s="20"/>
      <c r="Q66" s="20"/>
      <c r="R66" s="20">
        <v>42</v>
      </c>
    </row>
    <row r="67" spans="1:18" ht="25.5">
      <c r="A67" s="20"/>
      <c r="B67" s="20"/>
      <c r="C67" s="20"/>
      <c r="D67" s="20" t="s">
        <v>6256</v>
      </c>
      <c r="E67" s="20"/>
      <c r="F67" s="20"/>
      <c r="G67" s="20"/>
      <c r="H67" s="20"/>
      <c r="I67" s="20"/>
      <c r="J67" s="20"/>
      <c r="K67" s="20"/>
      <c r="L67" s="20"/>
      <c r="M67" s="20"/>
      <c r="N67" s="20"/>
      <c r="O67" s="20"/>
      <c r="P67" s="20"/>
      <c r="Q67" s="20"/>
      <c r="R67" s="20">
        <v>43</v>
      </c>
    </row>
    <row r="68" spans="1:18" ht="25.5">
      <c r="A68" s="20"/>
      <c r="B68" s="20"/>
      <c r="C68" s="20"/>
      <c r="D68" s="20" t="s">
        <v>5755</v>
      </c>
      <c r="E68" s="20"/>
      <c r="F68" s="20"/>
      <c r="G68" s="20"/>
      <c r="H68" s="20"/>
      <c r="I68" s="20"/>
      <c r="J68" s="20"/>
      <c r="K68" s="20"/>
      <c r="L68" s="20"/>
      <c r="M68" s="20"/>
      <c r="N68" s="20"/>
      <c r="O68" s="20"/>
      <c r="P68" s="20"/>
      <c r="Q68" s="20"/>
      <c r="R68" s="20">
        <v>44</v>
      </c>
    </row>
    <row r="69" spans="1:18" ht="14.25">
      <c r="A69" s="20"/>
      <c r="B69" s="20"/>
      <c r="C69" s="20"/>
      <c r="D69" s="20" t="s">
        <v>499</v>
      </c>
      <c r="E69" s="20"/>
      <c r="F69" s="20"/>
      <c r="G69" s="20"/>
      <c r="H69" s="20"/>
      <c r="I69" s="20"/>
      <c r="J69" s="20"/>
      <c r="K69" s="20"/>
      <c r="L69" s="20"/>
      <c r="M69" s="20"/>
      <c r="N69" s="20"/>
      <c r="O69" s="20"/>
      <c r="P69" s="20"/>
      <c r="Q69" s="20"/>
      <c r="R69" s="20">
        <v>45</v>
      </c>
    </row>
    <row r="70" spans="1:18" ht="25.5">
      <c r="A70" s="20"/>
      <c r="B70" s="20"/>
      <c r="C70" s="20"/>
      <c r="D70" s="20" t="s">
        <v>5901</v>
      </c>
      <c r="E70" s="20"/>
      <c r="F70" s="20"/>
      <c r="G70" s="20"/>
      <c r="H70" s="20"/>
      <c r="I70" s="20"/>
      <c r="J70" s="20"/>
      <c r="K70" s="20"/>
      <c r="L70" s="20"/>
      <c r="M70" s="20"/>
      <c r="N70" s="20"/>
      <c r="O70" s="20"/>
      <c r="P70" s="20"/>
      <c r="Q70" s="20"/>
      <c r="R70" s="20">
        <v>46</v>
      </c>
    </row>
    <row r="71" spans="1:18" ht="25.5">
      <c r="A71" s="20"/>
      <c r="B71" s="20"/>
      <c r="C71" s="20"/>
      <c r="D71" s="20" t="s">
        <v>5920</v>
      </c>
      <c r="E71" s="20"/>
      <c r="F71" s="20"/>
      <c r="G71" s="20"/>
      <c r="H71" s="20"/>
      <c r="I71" s="20"/>
      <c r="J71" s="20"/>
      <c r="K71" s="20"/>
      <c r="L71" s="20"/>
      <c r="M71" s="20"/>
      <c r="N71" s="20"/>
      <c r="O71" s="20"/>
      <c r="P71" s="20"/>
      <c r="Q71" s="20"/>
      <c r="R71" s="20">
        <v>47</v>
      </c>
    </row>
    <row r="72" spans="1:18" ht="25.5">
      <c r="A72" s="20"/>
      <c r="B72" s="20"/>
      <c r="C72" s="20"/>
      <c r="D72" s="20" t="s">
        <v>329</v>
      </c>
      <c r="E72" s="20"/>
      <c r="F72" s="20"/>
      <c r="G72" s="20"/>
      <c r="H72" s="20"/>
      <c r="I72" s="20"/>
      <c r="J72" s="20"/>
      <c r="K72" s="20"/>
      <c r="L72" s="20"/>
      <c r="M72" s="20"/>
      <c r="N72" s="20"/>
      <c r="O72" s="20"/>
      <c r="P72" s="20"/>
      <c r="Q72" s="20"/>
      <c r="R72" s="20">
        <v>48</v>
      </c>
    </row>
    <row r="73" spans="1:18" ht="25.5">
      <c r="A73" s="20"/>
      <c r="B73" s="20"/>
      <c r="C73" s="20"/>
      <c r="D73" s="20" t="s">
        <v>5825</v>
      </c>
      <c r="E73" s="20"/>
      <c r="F73" s="20"/>
      <c r="G73" s="20"/>
      <c r="H73" s="20"/>
      <c r="I73" s="20"/>
      <c r="J73" s="20"/>
      <c r="K73" s="20"/>
      <c r="L73" s="20"/>
      <c r="M73" s="20"/>
      <c r="N73" s="20"/>
      <c r="O73" s="20"/>
      <c r="P73" s="20"/>
      <c r="Q73" s="20"/>
      <c r="R73" s="20">
        <v>49</v>
      </c>
    </row>
    <row r="74" spans="1:18" ht="25.5">
      <c r="A74" s="20"/>
      <c r="B74" s="38"/>
      <c r="C74" s="20"/>
      <c r="D74" s="20" t="s">
        <v>5892</v>
      </c>
      <c r="E74" s="20"/>
      <c r="F74" s="20"/>
      <c r="G74" s="20"/>
      <c r="H74" s="20"/>
      <c r="I74" s="20"/>
      <c r="J74" s="20"/>
      <c r="K74" s="20"/>
      <c r="L74" s="20"/>
      <c r="M74" s="20"/>
      <c r="N74" s="20"/>
      <c r="O74" s="20"/>
      <c r="P74" s="20"/>
      <c r="Q74" s="20"/>
      <c r="R74" s="20"/>
    </row>
    <row r="75" spans="1:18" ht="25.5">
      <c r="A75" s="20"/>
      <c r="B75" s="38"/>
      <c r="C75" s="20"/>
      <c r="D75" s="20" t="s">
        <v>6073</v>
      </c>
      <c r="E75" s="20"/>
      <c r="F75" s="20"/>
      <c r="G75" s="20"/>
      <c r="H75" s="20"/>
      <c r="I75" s="20"/>
      <c r="J75" s="20"/>
      <c r="K75" s="20"/>
      <c r="L75" s="20"/>
      <c r="M75" s="20"/>
      <c r="N75" s="20"/>
      <c r="O75" s="20"/>
      <c r="P75" s="20"/>
      <c r="Q75" s="20"/>
      <c r="R75" s="20">
        <v>50</v>
      </c>
    </row>
    <row r="76" spans="1:18" ht="14.25">
      <c r="A76" s="20"/>
      <c r="B76" s="38"/>
      <c r="C76" s="20"/>
      <c r="D76" s="20" t="s">
        <v>6257</v>
      </c>
      <c r="E76" s="20"/>
      <c r="F76" s="20"/>
      <c r="G76" s="20"/>
      <c r="H76" s="20"/>
      <c r="I76" s="20"/>
      <c r="J76" s="20"/>
      <c r="K76" s="20"/>
      <c r="L76" s="20"/>
      <c r="M76" s="20"/>
      <c r="N76" s="20"/>
      <c r="O76" s="20"/>
      <c r="P76" s="20"/>
      <c r="Q76" s="20"/>
      <c r="R76" s="20">
        <v>51</v>
      </c>
    </row>
    <row r="77" spans="1:18" ht="25.5">
      <c r="A77" s="20"/>
      <c r="B77" s="38"/>
      <c r="C77" s="20"/>
      <c r="D77" s="20" t="s">
        <v>163</v>
      </c>
      <c r="E77" s="20"/>
      <c r="F77" s="20"/>
      <c r="G77" s="20"/>
      <c r="H77" s="20"/>
      <c r="I77" s="20"/>
      <c r="J77" s="20"/>
      <c r="K77" s="20"/>
      <c r="L77" s="20"/>
      <c r="M77" s="20"/>
      <c r="N77" s="20"/>
      <c r="O77" s="20"/>
      <c r="P77" s="20"/>
      <c r="Q77" s="20"/>
      <c r="R77" s="20">
        <v>52</v>
      </c>
    </row>
    <row r="78" spans="1:18" ht="14.25">
      <c r="A78" s="20"/>
      <c r="B78" s="38"/>
      <c r="C78" s="20"/>
      <c r="D78" s="20" t="s">
        <v>164</v>
      </c>
      <c r="E78" s="20"/>
      <c r="F78" s="20"/>
      <c r="G78" s="20"/>
      <c r="H78" s="20"/>
      <c r="I78" s="20"/>
      <c r="J78" s="20"/>
      <c r="K78" s="20"/>
      <c r="L78" s="20"/>
      <c r="M78" s="20"/>
      <c r="N78" s="20"/>
      <c r="O78" s="20"/>
      <c r="P78" s="20"/>
      <c r="Q78" s="20"/>
      <c r="R78" s="20"/>
    </row>
    <row r="79" spans="1:18" ht="14.25">
      <c r="A79" s="20"/>
      <c r="B79" s="38"/>
      <c r="C79" s="20"/>
      <c r="D79" s="20"/>
      <c r="E79" s="20"/>
      <c r="F79" s="20"/>
      <c r="G79" s="20"/>
      <c r="H79" s="20"/>
      <c r="I79" s="20"/>
      <c r="J79" s="20"/>
      <c r="K79" s="20"/>
      <c r="L79" s="20"/>
      <c r="M79" s="20"/>
      <c r="N79" s="20"/>
      <c r="O79" s="20"/>
      <c r="P79" s="20"/>
      <c r="Q79" s="20"/>
      <c r="R79" s="20">
        <v>53</v>
      </c>
    </row>
    <row r="80" spans="1:18" ht="14.25">
      <c r="A80" s="20"/>
      <c r="B80" s="38"/>
      <c r="C80" s="20"/>
      <c r="D80" s="20"/>
      <c r="E80" s="20"/>
      <c r="F80" s="20"/>
      <c r="G80" s="20"/>
      <c r="H80" s="20"/>
      <c r="I80" s="20"/>
      <c r="J80" s="20"/>
      <c r="K80" s="20"/>
      <c r="L80" s="20"/>
      <c r="M80" s="20"/>
      <c r="N80" s="20"/>
      <c r="O80" s="20"/>
      <c r="P80" s="20"/>
      <c r="Q80" s="20"/>
      <c r="R80" s="20">
        <v>54</v>
      </c>
    </row>
    <row r="81" spans="1:18" ht="14.25">
      <c r="A81" s="20"/>
      <c r="B81" s="38"/>
      <c r="C81" s="20"/>
      <c r="D81" s="20"/>
      <c r="E81" s="20"/>
      <c r="F81" s="20"/>
      <c r="G81" s="20"/>
      <c r="H81" s="20"/>
      <c r="I81" s="20"/>
      <c r="J81" s="20"/>
      <c r="K81" s="20"/>
      <c r="L81" s="20"/>
      <c r="M81" s="20"/>
      <c r="N81" s="20"/>
      <c r="O81" s="20"/>
      <c r="P81" s="20"/>
      <c r="Q81" s="20"/>
      <c r="R81" s="20">
        <v>55</v>
      </c>
    </row>
    <row r="82" spans="1:18" ht="14.25">
      <c r="D82" s="20" t="s">
        <v>196</v>
      </c>
      <c r="E82" s="20"/>
      <c r="G82" s="20"/>
      <c r="H82" s="20"/>
      <c r="I82" s="20"/>
      <c r="J82" s="20"/>
      <c r="K82" s="20"/>
      <c r="L82" s="20"/>
      <c r="M82" s="20"/>
      <c r="N82" s="20"/>
      <c r="O82" s="20"/>
      <c r="P82" s="20"/>
      <c r="Q82" s="20"/>
      <c r="R82" s="20">
        <v>56</v>
      </c>
    </row>
    <row r="83" spans="1:18" ht="14.25">
      <c r="D83" s="20"/>
      <c r="E83" s="20"/>
      <c r="G83" s="20"/>
      <c r="H83" s="20"/>
      <c r="I83" s="20"/>
      <c r="J83" s="20"/>
      <c r="K83" s="20"/>
      <c r="L83" s="20"/>
      <c r="M83" s="20"/>
      <c r="N83" s="20"/>
      <c r="O83" s="20"/>
      <c r="P83" s="20"/>
      <c r="Q83" s="20"/>
      <c r="R83" s="20">
        <v>57</v>
      </c>
    </row>
    <row r="84" spans="1:18" ht="14.25">
      <c r="D84" s="20"/>
      <c r="E84" s="20"/>
      <c r="G84" s="20"/>
      <c r="H84" s="20"/>
      <c r="I84" s="20"/>
      <c r="J84" s="20"/>
      <c r="K84" s="20"/>
      <c r="L84" s="20"/>
      <c r="M84" s="20"/>
      <c r="N84" s="20"/>
      <c r="O84" s="20"/>
      <c r="P84" s="20"/>
      <c r="Q84" s="20"/>
      <c r="R84" s="20">
        <v>58</v>
      </c>
    </row>
    <row r="85" spans="1:18" ht="14.25">
      <c r="D85" s="20"/>
      <c r="E85" s="20"/>
      <c r="G85" s="20"/>
      <c r="H85" s="20"/>
      <c r="I85" s="20"/>
      <c r="J85" s="20"/>
      <c r="K85" s="20"/>
      <c r="L85" s="20"/>
      <c r="M85" s="20"/>
      <c r="N85" s="20"/>
      <c r="O85" s="20"/>
      <c r="P85" s="20"/>
      <c r="Q85" s="20"/>
      <c r="R85" s="20">
        <v>59</v>
      </c>
    </row>
    <row r="86" spans="1:18" ht="14.25">
      <c r="D86" s="20"/>
      <c r="E86" s="20"/>
      <c r="G86" s="20"/>
      <c r="H86" s="20"/>
      <c r="I86" s="20"/>
      <c r="J86" s="20"/>
      <c r="K86" s="20"/>
      <c r="L86" s="20"/>
      <c r="M86" s="20"/>
      <c r="N86" s="20"/>
      <c r="O86" s="20"/>
      <c r="P86" s="20"/>
      <c r="Q86" s="20"/>
      <c r="R86" s="20">
        <v>60</v>
      </c>
    </row>
    <row r="87" spans="1:18" ht="14.25">
      <c r="D87" s="20"/>
      <c r="E87" s="20"/>
      <c r="G87" s="20"/>
      <c r="H87" s="20"/>
      <c r="I87" s="20"/>
      <c r="J87" s="20"/>
      <c r="K87" s="20"/>
      <c r="L87" s="20"/>
      <c r="M87" s="20"/>
      <c r="N87" s="20"/>
      <c r="O87" s="20"/>
      <c r="P87" s="20"/>
      <c r="Q87" s="20"/>
      <c r="R87" s="20">
        <v>61</v>
      </c>
    </row>
    <row r="88" spans="1:18" ht="14.25">
      <c r="D88" s="20"/>
      <c r="E88" s="20"/>
      <c r="G88" s="20"/>
      <c r="H88" s="20"/>
      <c r="I88" s="20"/>
      <c r="J88" s="20"/>
      <c r="K88" s="20"/>
      <c r="L88" s="20"/>
      <c r="M88" s="20"/>
      <c r="N88" s="20"/>
      <c r="O88" s="20"/>
      <c r="P88" s="20"/>
      <c r="Q88" s="20"/>
      <c r="R88" s="20">
        <v>62</v>
      </c>
    </row>
    <row r="89" spans="1:18" ht="14.25">
      <c r="D89" s="20"/>
      <c r="E89" s="20"/>
      <c r="G89" s="20"/>
      <c r="H89" s="20"/>
      <c r="I89" s="20"/>
      <c r="J89" s="20"/>
      <c r="K89" s="20"/>
      <c r="L89" s="20"/>
      <c r="M89" s="20"/>
      <c r="N89" s="20"/>
      <c r="O89" s="20"/>
      <c r="P89" s="20"/>
      <c r="Q89" s="20"/>
      <c r="R89" s="20">
        <v>63</v>
      </c>
    </row>
    <row r="90" spans="1:18" ht="14.25">
      <c r="D90" s="20"/>
      <c r="E90" s="20"/>
      <c r="G90" s="20"/>
      <c r="H90" s="20"/>
      <c r="I90" s="20"/>
      <c r="J90" s="20"/>
      <c r="K90" s="20"/>
      <c r="L90" s="20"/>
      <c r="M90" s="20"/>
      <c r="N90" s="20"/>
      <c r="O90" s="20"/>
      <c r="P90" s="20"/>
      <c r="Q90" s="20"/>
      <c r="R90" s="20">
        <v>64</v>
      </c>
    </row>
    <row r="91" spans="1:18" ht="14.25">
      <c r="D91" s="20"/>
      <c r="E91" s="20"/>
      <c r="G91" s="20"/>
      <c r="H91" s="20"/>
      <c r="I91" s="20"/>
      <c r="J91" s="20"/>
      <c r="K91" s="20"/>
      <c r="L91" s="20"/>
      <c r="M91" s="20"/>
      <c r="N91" s="20"/>
      <c r="O91" s="20"/>
      <c r="P91" s="20"/>
      <c r="Q91" s="20"/>
      <c r="R91" s="20">
        <v>65</v>
      </c>
    </row>
    <row r="92" spans="1:18" ht="14.25">
      <c r="D92" s="20"/>
      <c r="E92" s="20"/>
      <c r="G92" s="20"/>
      <c r="H92" s="20"/>
      <c r="I92" s="20"/>
      <c r="J92" s="20"/>
      <c r="K92" s="20"/>
      <c r="L92" s="20"/>
      <c r="M92" s="20"/>
      <c r="N92" s="20"/>
      <c r="O92" s="20"/>
      <c r="P92" s="20"/>
      <c r="Q92" s="20"/>
      <c r="R92" s="20"/>
    </row>
    <row r="93" spans="1:18" ht="14.25">
      <c r="D93" s="20"/>
      <c r="E93" s="20"/>
      <c r="G93" s="20"/>
      <c r="H93" s="20"/>
      <c r="I93" s="20"/>
      <c r="J93" s="20"/>
      <c r="K93" s="20"/>
      <c r="L93" s="20"/>
      <c r="M93" s="20"/>
      <c r="N93" s="20"/>
      <c r="O93" s="20"/>
      <c r="P93" s="20"/>
      <c r="Q93" s="20"/>
      <c r="R93" s="20">
        <v>66</v>
      </c>
    </row>
    <row r="94" spans="1:18" ht="14.25">
      <c r="E94" s="20"/>
      <c r="G94" s="20"/>
      <c r="H94" s="20"/>
      <c r="I94" s="20"/>
      <c r="J94" s="20"/>
      <c r="K94" s="20"/>
      <c r="L94" s="20"/>
      <c r="M94" s="20"/>
      <c r="N94" s="20"/>
      <c r="O94" s="20"/>
      <c r="P94" s="20"/>
      <c r="Q94" s="20"/>
      <c r="R94" s="20">
        <v>67</v>
      </c>
    </row>
    <row r="95" spans="1:18" ht="14.25">
      <c r="D95" s="20"/>
      <c r="E95" s="20"/>
      <c r="G95" s="20"/>
      <c r="H95" s="20"/>
      <c r="I95" s="20"/>
      <c r="J95" s="20"/>
      <c r="K95" s="20"/>
      <c r="L95" s="20"/>
      <c r="M95" s="20"/>
      <c r="N95" s="20"/>
      <c r="O95" s="20"/>
      <c r="P95" s="20"/>
      <c r="Q95" s="20"/>
      <c r="R95" s="20">
        <v>68</v>
      </c>
    </row>
    <row r="96" spans="1:18" ht="14.25">
      <c r="D96" s="20"/>
      <c r="E96" s="20"/>
      <c r="G96" s="20"/>
      <c r="H96" s="20"/>
      <c r="I96" s="20"/>
      <c r="J96" s="20"/>
      <c r="K96" s="20"/>
      <c r="L96" s="20"/>
      <c r="M96" s="20"/>
      <c r="N96" s="20"/>
      <c r="O96" s="20"/>
      <c r="P96" s="20"/>
      <c r="Q96" s="20"/>
      <c r="R96" s="20">
        <v>69</v>
      </c>
    </row>
    <row r="97" spans="4:18" ht="14.25">
      <c r="D97" s="20"/>
      <c r="E97" s="20"/>
      <c r="G97" s="20"/>
      <c r="H97" s="20"/>
      <c r="I97" s="20"/>
      <c r="J97" s="20"/>
      <c r="K97" s="20"/>
      <c r="L97" s="20"/>
      <c r="M97" s="20"/>
      <c r="N97" s="20"/>
      <c r="O97" s="20"/>
      <c r="P97" s="20"/>
      <c r="Q97" s="20"/>
      <c r="R97" s="20">
        <v>70</v>
      </c>
    </row>
    <row r="98" spans="4:18" ht="14.25">
      <c r="R98" s="20">
        <v>71</v>
      </c>
    </row>
    <row r="99" spans="4:18" ht="14.25">
      <c r="R99" s="20">
        <v>72</v>
      </c>
    </row>
    <row r="100" spans="4:18" ht="14.25">
      <c r="R100" s="20">
        <v>73</v>
      </c>
    </row>
    <row r="101" spans="4:18" ht="14.25">
      <c r="R101" s="20">
        <v>74</v>
      </c>
    </row>
    <row r="102" spans="4:18" ht="14.25">
      <c r="R102" s="20">
        <v>75</v>
      </c>
    </row>
    <row r="103" spans="4:18" ht="14.25">
      <c r="R103" s="20">
        <v>76</v>
      </c>
    </row>
    <row r="104" spans="4:18" ht="14.25">
      <c r="R104" s="20">
        <v>77</v>
      </c>
    </row>
    <row r="105" spans="4:18" ht="14.25">
      <c r="R105" s="20">
        <v>78</v>
      </c>
    </row>
    <row r="106" spans="4:18" ht="14.25">
      <c r="R106" s="20">
        <v>79</v>
      </c>
    </row>
    <row r="107" spans="4:18" ht="14.25">
      <c r="R107" s="20">
        <v>80</v>
      </c>
    </row>
    <row r="108" spans="4:18" ht="14.25">
      <c r="R108" s="20">
        <v>81</v>
      </c>
    </row>
    <row r="109" spans="4:18" ht="14.25">
      <c r="R109" s="20">
        <v>82</v>
      </c>
    </row>
    <row r="110" spans="4:18" ht="14.25">
      <c r="R110" s="20">
        <v>83</v>
      </c>
    </row>
    <row r="111" spans="4:18" ht="14.25">
      <c r="R111" s="20">
        <v>84</v>
      </c>
    </row>
    <row r="112" spans="4:18" ht="14.25">
      <c r="R112" s="20">
        <v>85</v>
      </c>
    </row>
    <row r="113" spans="18:18" ht="14.25">
      <c r="R113" s="20">
        <v>86</v>
      </c>
    </row>
    <row r="114" spans="18:18" ht="14.25">
      <c r="R114" s="20">
        <v>87</v>
      </c>
    </row>
    <row r="115" spans="18:18" ht="14.25">
      <c r="R115" s="20">
        <v>88</v>
      </c>
    </row>
    <row r="116" spans="18:18" ht="14.25">
      <c r="R116" s="20">
        <v>89</v>
      </c>
    </row>
    <row r="117" spans="18:18" ht="14.25">
      <c r="R117" s="20">
        <v>90</v>
      </c>
    </row>
    <row r="118" spans="18:18" ht="14.25">
      <c r="R118" s="20">
        <v>91</v>
      </c>
    </row>
    <row r="119" spans="18:18" ht="14.25">
      <c r="R119" s="20">
        <v>92</v>
      </c>
    </row>
    <row r="120" spans="18:18" ht="14.25">
      <c r="R120" s="20">
        <v>93</v>
      </c>
    </row>
    <row r="121" spans="18:18" ht="14.25">
      <c r="R121" s="20">
        <v>94</v>
      </c>
    </row>
    <row r="122" spans="18:18" ht="14.25">
      <c r="R122" s="20">
        <v>95</v>
      </c>
    </row>
    <row r="123" spans="18:18" ht="14.25">
      <c r="R123" s="20">
        <v>96</v>
      </c>
    </row>
    <row r="124" spans="18:18" ht="14.25">
      <c r="R124" s="20">
        <v>97</v>
      </c>
    </row>
    <row r="125" spans="18:18" ht="14.25">
      <c r="R125" s="20">
        <v>98</v>
      </c>
    </row>
    <row r="126" spans="18:18" ht="14.25">
      <c r="R126" s="20">
        <v>99</v>
      </c>
    </row>
    <row r="127" spans="18:18" ht="14.25">
      <c r="R127" s="20">
        <v>100</v>
      </c>
    </row>
    <row r="128" spans="18:18" ht="14.25">
      <c r="R128" s="20">
        <v>101</v>
      </c>
    </row>
    <row r="129" spans="18:18" ht="14.25">
      <c r="R129" s="20">
        <v>102</v>
      </c>
    </row>
    <row r="130" spans="18:18" ht="14.25">
      <c r="R130" s="20">
        <v>103</v>
      </c>
    </row>
    <row r="131" spans="18:18" ht="14.25">
      <c r="R131" s="20">
        <v>104</v>
      </c>
    </row>
    <row r="132" spans="18:18" ht="14.25">
      <c r="R132" s="20">
        <v>105</v>
      </c>
    </row>
    <row r="133" spans="18:18" ht="14.25">
      <c r="R133" s="20">
        <v>106</v>
      </c>
    </row>
    <row r="134" spans="18:18" ht="14.25">
      <c r="R134" s="20">
        <v>107</v>
      </c>
    </row>
    <row r="135" spans="18:18" ht="14.25">
      <c r="R135" s="20">
        <v>108</v>
      </c>
    </row>
    <row r="136" spans="18:18" ht="14.25">
      <c r="R136" s="20">
        <v>109</v>
      </c>
    </row>
    <row r="137" spans="18:18" ht="14.25">
      <c r="R137" s="20">
        <v>110</v>
      </c>
    </row>
    <row r="138" spans="18:18" ht="14.25">
      <c r="R138" s="20">
        <v>111</v>
      </c>
    </row>
    <row r="139" spans="18:18" ht="14.25">
      <c r="R139" s="20">
        <v>112</v>
      </c>
    </row>
    <row r="140" spans="18:18" ht="14.25">
      <c r="R140" s="20">
        <v>113</v>
      </c>
    </row>
    <row r="141" spans="18:18" ht="14.25">
      <c r="R141" s="20">
        <v>114</v>
      </c>
    </row>
    <row r="142" spans="18:18" ht="14.25">
      <c r="R142" s="20">
        <v>115</v>
      </c>
    </row>
    <row r="143" spans="18:18" ht="14.25">
      <c r="R143" s="20">
        <v>116</v>
      </c>
    </row>
    <row r="144" spans="18:18" ht="14.25">
      <c r="R144" s="20">
        <v>117</v>
      </c>
    </row>
    <row r="145" spans="18:18" ht="14.25">
      <c r="R145" s="20">
        <v>118</v>
      </c>
    </row>
    <row r="146" spans="18:18" ht="14.25">
      <c r="R146" s="20">
        <v>119</v>
      </c>
    </row>
    <row r="147" spans="18:18" ht="14.25">
      <c r="R147" s="20">
        <v>120</v>
      </c>
    </row>
    <row r="148" spans="18:18" ht="14.25">
      <c r="R148" s="20">
        <v>121</v>
      </c>
    </row>
    <row r="149" spans="18:18" ht="14.25">
      <c r="R149" s="20">
        <v>122</v>
      </c>
    </row>
    <row r="150" spans="18:18" ht="14.25">
      <c r="R150" s="20">
        <v>123</v>
      </c>
    </row>
    <row r="151" spans="18:18" ht="14.25">
      <c r="R151" s="20">
        <v>124</v>
      </c>
    </row>
    <row r="152" spans="18:18" ht="14.25">
      <c r="R152" s="20">
        <v>125</v>
      </c>
    </row>
    <row r="153" spans="18:18" ht="14.25">
      <c r="R153" s="20">
        <v>126</v>
      </c>
    </row>
    <row r="154" spans="18:18" ht="14.25">
      <c r="R154" s="20">
        <v>127</v>
      </c>
    </row>
    <row r="155" spans="18:18" ht="14.25">
      <c r="R155" s="20">
        <v>128</v>
      </c>
    </row>
    <row r="156" spans="18:18" ht="14.25">
      <c r="R156" s="20">
        <v>129</v>
      </c>
    </row>
    <row r="157" spans="18:18" ht="14.25">
      <c r="R157" s="20">
        <v>130</v>
      </c>
    </row>
    <row r="158" spans="18:18" ht="14.25">
      <c r="R158" s="20">
        <v>131</v>
      </c>
    </row>
    <row r="159" spans="18:18" ht="14.25">
      <c r="R159" s="20">
        <v>132</v>
      </c>
    </row>
    <row r="160" spans="18:18" ht="14.25">
      <c r="R160" s="20">
        <v>133</v>
      </c>
    </row>
    <row r="161" spans="18:18" ht="14.25">
      <c r="R161" s="20">
        <v>134</v>
      </c>
    </row>
    <row r="162" spans="18:18" ht="14.25">
      <c r="R162" s="20">
        <v>135</v>
      </c>
    </row>
    <row r="163" spans="18:18" ht="14.25">
      <c r="R163" s="20">
        <v>136</v>
      </c>
    </row>
    <row r="164" spans="18:18" ht="14.25">
      <c r="R164" s="20">
        <v>137</v>
      </c>
    </row>
    <row r="165" spans="18:18" ht="14.25">
      <c r="R165" s="20">
        <v>138</v>
      </c>
    </row>
    <row r="166" spans="18:18" ht="14.25">
      <c r="R166" s="20">
        <v>139</v>
      </c>
    </row>
    <row r="167" spans="18:18" ht="14.25">
      <c r="R167" s="20">
        <v>140</v>
      </c>
    </row>
    <row r="168" spans="18:18" ht="14.25">
      <c r="R168" s="20">
        <v>141</v>
      </c>
    </row>
    <row r="169" spans="18:18" ht="14.25">
      <c r="R169" s="20">
        <v>142</v>
      </c>
    </row>
    <row r="170" spans="18:18" ht="14.25">
      <c r="R170" s="20">
        <v>143</v>
      </c>
    </row>
    <row r="171" spans="18:18" ht="14.25">
      <c r="R171" s="20">
        <v>144</v>
      </c>
    </row>
    <row r="172" spans="18:18" ht="14.25">
      <c r="R172" s="20">
        <v>145</v>
      </c>
    </row>
    <row r="173" spans="18:18" ht="14.25">
      <c r="R173" s="20">
        <v>146</v>
      </c>
    </row>
    <row r="174" spans="18:18" ht="14.25">
      <c r="R174" s="20">
        <v>147</v>
      </c>
    </row>
    <row r="175" spans="18:18" ht="14.25">
      <c r="R175" s="20">
        <v>148</v>
      </c>
    </row>
    <row r="176" spans="18:18" ht="14.25">
      <c r="R176" s="20">
        <v>149</v>
      </c>
    </row>
    <row r="177" spans="18:18" ht="14.25">
      <c r="R177" s="20">
        <v>150</v>
      </c>
    </row>
    <row r="178" spans="18:18" ht="14.25">
      <c r="R178" s="20">
        <v>151</v>
      </c>
    </row>
    <row r="179" spans="18:18" ht="14.25">
      <c r="R179" s="20">
        <v>152</v>
      </c>
    </row>
    <row r="180" spans="18:18" ht="14.25">
      <c r="R180" s="20">
        <v>153</v>
      </c>
    </row>
    <row r="181" spans="18:18" ht="14.25">
      <c r="R181" s="20">
        <v>154</v>
      </c>
    </row>
    <row r="182" spans="18:18" ht="14.25">
      <c r="R182" s="20">
        <v>155</v>
      </c>
    </row>
    <row r="183" spans="18:18" ht="14.25">
      <c r="R183" s="20">
        <v>156</v>
      </c>
    </row>
    <row r="184" spans="18:18" ht="14.25">
      <c r="R184" s="20">
        <v>157</v>
      </c>
    </row>
    <row r="185" spans="18:18" ht="14.25">
      <c r="R185" s="20">
        <v>158</v>
      </c>
    </row>
    <row r="186" spans="18:18" ht="14.25">
      <c r="R186" s="20">
        <v>159</v>
      </c>
    </row>
    <row r="187" spans="18:18" ht="14.25">
      <c r="R187" s="20">
        <v>160</v>
      </c>
    </row>
    <row r="188" spans="18:18" ht="14.25">
      <c r="R188" s="20">
        <v>161</v>
      </c>
    </row>
    <row r="189" spans="18:18" ht="14.25">
      <c r="R189" s="20">
        <v>162</v>
      </c>
    </row>
    <row r="190" spans="18:18" ht="14.25">
      <c r="R190" s="20">
        <v>163</v>
      </c>
    </row>
    <row r="191" spans="18:18" ht="14.25">
      <c r="R191" s="20">
        <v>164</v>
      </c>
    </row>
    <row r="192" spans="18:18" ht="14.25">
      <c r="R192" s="20">
        <v>165</v>
      </c>
    </row>
    <row r="193" spans="18:18" ht="14.25">
      <c r="R193" s="20">
        <v>166</v>
      </c>
    </row>
    <row r="194" spans="18:18" ht="14.25">
      <c r="R194" s="20">
        <v>167</v>
      </c>
    </row>
    <row r="195" spans="18:18" ht="14.25">
      <c r="R195" s="20">
        <v>168</v>
      </c>
    </row>
    <row r="196" spans="18:18" ht="14.25">
      <c r="R196" s="20">
        <v>169</v>
      </c>
    </row>
    <row r="197" spans="18:18" ht="14.25">
      <c r="R197" s="20">
        <v>170</v>
      </c>
    </row>
    <row r="198" spans="18:18" ht="14.25">
      <c r="R198" s="20">
        <v>171</v>
      </c>
    </row>
    <row r="199" spans="18:18" ht="14.25">
      <c r="R199" s="20">
        <v>172</v>
      </c>
    </row>
    <row r="200" spans="18:18" ht="14.25">
      <c r="R200" s="20">
        <v>173</v>
      </c>
    </row>
    <row r="201" spans="18:18" ht="14.25">
      <c r="R201" s="20">
        <v>174</v>
      </c>
    </row>
    <row r="202" spans="18:18" ht="14.25">
      <c r="R202" s="20">
        <v>175</v>
      </c>
    </row>
    <row r="203" spans="18:18" ht="14.25">
      <c r="R203" s="20">
        <v>176</v>
      </c>
    </row>
    <row r="204" spans="18:18" ht="14.25">
      <c r="R204" s="20">
        <v>177</v>
      </c>
    </row>
    <row r="205" spans="18:18" ht="14.25">
      <c r="R205" s="20">
        <v>178</v>
      </c>
    </row>
    <row r="206" spans="18:18" ht="14.25">
      <c r="R206" s="20">
        <v>179</v>
      </c>
    </row>
    <row r="207" spans="18:18" ht="14.25">
      <c r="R207" s="20">
        <v>180</v>
      </c>
    </row>
    <row r="208" spans="18:18" ht="14.25">
      <c r="R208" s="20">
        <v>181</v>
      </c>
    </row>
    <row r="209" spans="18:18" ht="14.25">
      <c r="R209" s="20">
        <v>182</v>
      </c>
    </row>
    <row r="210" spans="18:18" ht="14.25">
      <c r="R210" s="20">
        <v>183</v>
      </c>
    </row>
    <row r="211" spans="18:18" ht="14.25">
      <c r="R211" s="20">
        <v>184</v>
      </c>
    </row>
    <row r="212" spans="18:18" ht="14.25">
      <c r="R212" s="20">
        <v>185</v>
      </c>
    </row>
    <row r="213" spans="18:18" ht="14.25">
      <c r="R213" s="20">
        <v>186</v>
      </c>
    </row>
    <row r="214" spans="18:18" ht="14.25">
      <c r="R214" s="20">
        <v>187</v>
      </c>
    </row>
    <row r="215" spans="18:18" ht="14.25">
      <c r="R215" s="20">
        <v>188</v>
      </c>
    </row>
    <row r="216" spans="18:18" ht="14.25">
      <c r="R216" s="20">
        <v>189</v>
      </c>
    </row>
    <row r="217" spans="18:18" ht="14.25">
      <c r="R217" s="20">
        <v>190</v>
      </c>
    </row>
    <row r="218" spans="18:18" ht="14.25">
      <c r="R218" s="20">
        <v>191</v>
      </c>
    </row>
    <row r="219" spans="18:18" ht="14.25">
      <c r="R219" s="20">
        <v>192</v>
      </c>
    </row>
    <row r="220" spans="18:18" ht="14.25">
      <c r="R220" s="20">
        <v>193</v>
      </c>
    </row>
    <row r="221" spans="18:18" ht="14.25">
      <c r="R221" s="20">
        <v>194</v>
      </c>
    </row>
    <row r="222" spans="18:18" ht="14.25">
      <c r="R222" s="20">
        <v>195</v>
      </c>
    </row>
    <row r="223" spans="18:18" ht="14.25">
      <c r="R223" s="20">
        <v>196</v>
      </c>
    </row>
    <row r="224" spans="18:18" ht="14.25">
      <c r="R224" s="20">
        <v>197</v>
      </c>
    </row>
    <row r="225" spans="18:18" ht="14.25">
      <c r="R225" s="20">
        <v>198</v>
      </c>
    </row>
    <row r="226" spans="18:18" ht="14.25">
      <c r="R226" s="20">
        <v>199</v>
      </c>
    </row>
    <row r="227" spans="18:18" ht="14.25">
      <c r="R227" s="20">
        <v>200</v>
      </c>
    </row>
    <row r="228" spans="18:18" ht="14.25">
      <c r="R228" s="20">
        <v>201</v>
      </c>
    </row>
    <row r="229" spans="18:18" ht="14.25">
      <c r="R229" s="20">
        <v>202</v>
      </c>
    </row>
    <row r="230" spans="18:18" ht="14.25">
      <c r="R230" s="20">
        <v>203</v>
      </c>
    </row>
    <row r="231" spans="18:18" ht="14.25">
      <c r="R231" s="20">
        <v>204</v>
      </c>
    </row>
    <row r="232" spans="18:18" ht="14.25">
      <c r="R232" s="20">
        <v>205</v>
      </c>
    </row>
    <row r="233" spans="18:18" ht="14.25">
      <c r="R233" s="20">
        <v>206</v>
      </c>
    </row>
    <row r="234" spans="18:18" ht="14.25">
      <c r="R234" s="20">
        <v>207</v>
      </c>
    </row>
    <row r="235" spans="18:18" ht="14.25">
      <c r="R235" s="20">
        <v>208</v>
      </c>
    </row>
    <row r="236" spans="18:18" ht="14.25">
      <c r="R236" s="20">
        <v>209</v>
      </c>
    </row>
    <row r="237" spans="18:18" ht="14.25">
      <c r="R237" s="20">
        <v>210</v>
      </c>
    </row>
    <row r="238" spans="18:18" ht="14.25">
      <c r="R238" s="20">
        <v>211</v>
      </c>
    </row>
    <row r="239" spans="18:18" ht="14.25">
      <c r="R239" s="20">
        <v>212</v>
      </c>
    </row>
    <row r="240" spans="18:18" ht="14.25">
      <c r="R240" s="20">
        <v>213</v>
      </c>
    </row>
    <row r="241" spans="18:18" ht="14.25">
      <c r="R241" s="20">
        <v>214</v>
      </c>
    </row>
    <row r="242" spans="18:18" ht="14.25">
      <c r="R242" s="20">
        <v>215</v>
      </c>
    </row>
    <row r="243" spans="18:18" ht="14.25">
      <c r="R243" s="20">
        <v>216</v>
      </c>
    </row>
    <row r="244" spans="18:18" ht="14.25">
      <c r="R244" s="20">
        <v>217</v>
      </c>
    </row>
    <row r="245" spans="18:18" ht="14.25">
      <c r="R245" s="20">
        <v>218</v>
      </c>
    </row>
    <row r="246" spans="18:18" ht="14.25">
      <c r="R246" s="20">
        <v>219</v>
      </c>
    </row>
    <row r="247" spans="18:18" ht="14.25">
      <c r="R247" s="20">
        <v>220</v>
      </c>
    </row>
    <row r="248" spans="18:18" ht="14.25">
      <c r="R248" s="20">
        <v>221</v>
      </c>
    </row>
    <row r="249" spans="18:18" ht="14.25">
      <c r="R249" s="20">
        <v>222</v>
      </c>
    </row>
    <row r="250" spans="18:18" ht="14.25">
      <c r="R250" s="20">
        <v>223</v>
      </c>
    </row>
    <row r="251" spans="18:18" ht="14.25">
      <c r="R251" s="20">
        <v>224</v>
      </c>
    </row>
    <row r="252" spans="18:18" ht="14.25">
      <c r="R252" s="20">
        <v>225</v>
      </c>
    </row>
    <row r="253" spans="18:18" ht="14.25">
      <c r="R253" s="20">
        <v>226</v>
      </c>
    </row>
    <row r="254" spans="18:18" ht="14.25">
      <c r="R254" s="20">
        <v>227</v>
      </c>
    </row>
    <row r="255" spans="18:18" ht="14.25">
      <c r="R255" s="20">
        <v>228</v>
      </c>
    </row>
    <row r="256" spans="18:18" ht="14.25">
      <c r="R256" s="20">
        <v>229</v>
      </c>
    </row>
    <row r="257" spans="18:18" ht="14.25">
      <c r="R257" s="20">
        <v>230</v>
      </c>
    </row>
    <row r="258" spans="18:18" ht="14.25">
      <c r="R258" s="20">
        <v>231</v>
      </c>
    </row>
    <row r="259" spans="18:18" ht="14.25">
      <c r="R259" s="20">
        <v>232</v>
      </c>
    </row>
    <row r="260" spans="18:18" ht="14.25">
      <c r="R260" s="20">
        <v>233</v>
      </c>
    </row>
    <row r="261" spans="18:18" ht="14.25">
      <c r="R261" s="20">
        <v>234</v>
      </c>
    </row>
    <row r="262" spans="18:18" ht="14.25">
      <c r="R262" s="20">
        <v>235</v>
      </c>
    </row>
    <row r="263" spans="18:18" ht="14.25">
      <c r="R263" s="20">
        <v>236</v>
      </c>
    </row>
    <row r="264" spans="18:18" ht="14.25">
      <c r="R264" s="20">
        <v>237</v>
      </c>
    </row>
    <row r="265" spans="18:18" ht="14.25">
      <c r="R265" s="20">
        <v>238</v>
      </c>
    </row>
    <row r="266" spans="18:18" ht="14.25">
      <c r="R266" s="20">
        <v>239</v>
      </c>
    </row>
    <row r="267" spans="18:18" ht="14.25">
      <c r="R267" s="20">
        <v>240</v>
      </c>
    </row>
    <row r="268" spans="18:18" ht="14.25">
      <c r="R268" s="20">
        <v>241</v>
      </c>
    </row>
    <row r="269" spans="18:18" ht="14.25">
      <c r="R269" s="20">
        <v>242</v>
      </c>
    </row>
    <row r="270" spans="18:18" ht="14.25">
      <c r="R270" s="20">
        <v>243</v>
      </c>
    </row>
    <row r="271" spans="18:18" ht="14.25">
      <c r="R271" s="20">
        <v>244</v>
      </c>
    </row>
    <row r="272" spans="18:18" ht="14.25">
      <c r="R272" s="20">
        <v>245</v>
      </c>
    </row>
    <row r="273" spans="18:18" ht="14.25">
      <c r="R273" s="20">
        <v>246</v>
      </c>
    </row>
    <row r="274" spans="18:18" ht="14.25">
      <c r="R274" s="20">
        <v>247</v>
      </c>
    </row>
    <row r="275" spans="18:18" ht="14.25">
      <c r="R275" s="20">
        <v>248</v>
      </c>
    </row>
    <row r="276" spans="18:18" ht="14.25">
      <c r="R276" s="20">
        <v>249</v>
      </c>
    </row>
    <row r="277" spans="18:18" ht="14.25">
      <c r="R277" s="20">
        <v>250</v>
      </c>
    </row>
    <row r="278" spans="18:18" ht="14.25">
      <c r="R278" s="20">
        <v>251</v>
      </c>
    </row>
    <row r="279" spans="18:18" ht="14.25">
      <c r="R279" s="20">
        <v>252</v>
      </c>
    </row>
    <row r="280" spans="18:18" ht="14.25">
      <c r="R280" s="20">
        <v>253</v>
      </c>
    </row>
    <row r="281" spans="18:18" ht="14.25">
      <c r="R281" s="20">
        <v>254</v>
      </c>
    </row>
    <row r="282" spans="18:18" ht="14.25">
      <c r="R282" s="20">
        <v>255</v>
      </c>
    </row>
    <row r="283" spans="18:18" ht="14.25">
      <c r="R283" s="20">
        <v>256</v>
      </c>
    </row>
    <row r="284" spans="18:18" ht="14.25">
      <c r="R284" s="20">
        <v>257</v>
      </c>
    </row>
    <row r="285" spans="18:18" ht="14.25">
      <c r="R285" s="20">
        <v>258</v>
      </c>
    </row>
    <row r="286" spans="18:18" ht="14.25">
      <c r="R286" s="20">
        <v>259</v>
      </c>
    </row>
    <row r="287" spans="18:18" ht="14.25">
      <c r="R287" s="20">
        <v>260</v>
      </c>
    </row>
    <row r="288" spans="18:18" ht="14.25">
      <c r="R288" s="20">
        <v>261</v>
      </c>
    </row>
    <row r="289" spans="18:18" ht="14.25">
      <c r="R289" s="20">
        <v>262</v>
      </c>
    </row>
    <row r="290" spans="18:18" ht="14.25">
      <c r="R290" s="20">
        <v>263</v>
      </c>
    </row>
    <row r="291" spans="18:18" ht="14.25">
      <c r="R291" s="20">
        <v>264</v>
      </c>
    </row>
    <row r="292" spans="18:18" ht="14.25">
      <c r="R292" s="20">
        <v>265</v>
      </c>
    </row>
    <row r="293" spans="18:18" ht="14.25">
      <c r="R293" s="20">
        <v>266</v>
      </c>
    </row>
    <row r="294" spans="18:18" ht="14.25">
      <c r="R294" s="20">
        <v>267</v>
      </c>
    </row>
    <row r="295" spans="18:18" ht="14.25">
      <c r="R295" s="20">
        <v>268</v>
      </c>
    </row>
    <row r="296" spans="18:18" ht="14.25">
      <c r="R296" s="20">
        <v>269</v>
      </c>
    </row>
    <row r="297" spans="18:18" ht="14.25">
      <c r="R297" s="20">
        <v>270</v>
      </c>
    </row>
    <row r="298" spans="18:18" ht="14.25">
      <c r="R298" s="20">
        <v>271</v>
      </c>
    </row>
    <row r="299" spans="18:18" ht="14.25">
      <c r="R299" s="20">
        <v>272</v>
      </c>
    </row>
    <row r="300" spans="18:18" ht="14.25">
      <c r="R300" s="20">
        <v>273</v>
      </c>
    </row>
    <row r="301" spans="18:18" ht="14.25">
      <c r="R301" s="20">
        <v>274</v>
      </c>
    </row>
    <row r="302" spans="18:18" ht="14.25">
      <c r="R302" s="20">
        <v>275</v>
      </c>
    </row>
    <row r="303" spans="18:18" ht="14.25">
      <c r="R303" s="20">
        <v>276</v>
      </c>
    </row>
    <row r="304" spans="18:18" ht="14.25">
      <c r="R304" s="20">
        <v>277</v>
      </c>
    </row>
    <row r="305" spans="18:18" ht="14.25">
      <c r="R305" s="20">
        <v>278</v>
      </c>
    </row>
    <row r="306" spans="18:18" ht="14.25">
      <c r="R306" s="20">
        <v>279</v>
      </c>
    </row>
    <row r="307" spans="18:18" ht="14.25">
      <c r="R307" s="20">
        <v>280</v>
      </c>
    </row>
    <row r="308" spans="18:18" ht="14.25">
      <c r="R308" s="20">
        <v>281</v>
      </c>
    </row>
    <row r="309" spans="18:18" ht="14.25">
      <c r="R309" s="20">
        <v>282</v>
      </c>
    </row>
    <row r="310" spans="18:18" ht="14.25">
      <c r="R310" s="20">
        <v>283</v>
      </c>
    </row>
    <row r="311" spans="18:18" ht="14.25">
      <c r="R311" s="20">
        <v>284</v>
      </c>
    </row>
    <row r="312" spans="18:18" ht="14.25">
      <c r="R312" s="20">
        <v>285</v>
      </c>
    </row>
    <row r="313" spans="18:18" ht="14.25">
      <c r="R313" s="20">
        <v>286</v>
      </c>
    </row>
    <row r="314" spans="18:18" ht="14.25">
      <c r="R314" s="20">
        <v>287</v>
      </c>
    </row>
    <row r="315" spans="18:18" ht="14.25">
      <c r="R315" s="20">
        <v>288</v>
      </c>
    </row>
    <row r="316" spans="18:18" ht="14.25">
      <c r="R316" s="20">
        <v>289</v>
      </c>
    </row>
    <row r="317" spans="18:18" ht="14.25">
      <c r="R317" s="20">
        <v>290</v>
      </c>
    </row>
    <row r="318" spans="18:18" ht="14.25">
      <c r="R318" s="20">
        <v>291</v>
      </c>
    </row>
    <row r="319" spans="18:18" ht="14.25">
      <c r="R319" s="20">
        <v>292</v>
      </c>
    </row>
    <row r="320" spans="18:18" ht="14.25">
      <c r="R320" s="20">
        <v>293</v>
      </c>
    </row>
    <row r="321" spans="18:18" ht="14.25">
      <c r="R321" s="20">
        <v>294</v>
      </c>
    </row>
    <row r="322" spans="18:18" ht="14.25">
      <c r="R322" s="20">
        <v>295</v>
      </c>
    </row>
    <row r="323" spans="18:18" ht="14.25">
      <c r="R323" s="20">
        <v>296</v>
      </c>
    </row>
    <row r="324" spans="18:18" ht="14.25">
      <c r="R324" s="20">
        <v>297</v>
      </c>
    </row>
    <row r="325" spans="18:18" ht="14.25">
      <c r="R325" s="20">
        <v>298</v>
      </c>
    </row>
    <row r="326" spans="18:18" ht="14.25">
      <c r="R326" s="20">
        <v>299</v>
      </c>
    </row>
    <row r="327" spans="18:18" ht="14.25">
      <c r="R327" s="20">
        <v>300</v>
      </c>
    </row>
    <row r="328" spans="18:18" ht="14.25">
      <c r="R328" s="20">
        <v>301</v>
      </c>
    </row>
    <row r="329" spans="18:18" ht="14.25">
      <c r="R329" s="20">
        <v>302</v>
      </c>
    </row>
    <row r="330" spans="18:18" ht="14.25">
      <c r="R330" s="20">
        <v>303</v>
      </c>
    </row>
    <row r="331" spans="18:18" ht="14.25">
      <c r="R331" s="20">
        <v>304</v>
      </c>
    </row>
    <row r="332" spans="18:18" ht="14.25">
      <c r="R332" s="20">
        <v>305</v>
      </c>
    </row>
    <row r="333" spans="18:18" ht="14.25">
      <c r="R333" s="20">
        <v>306</v>
      </c>
    </row>
    <row r="334" spans="18:18" ht="14.25">
      <c r="R334" s="20">
        <v>307</v>
      </c>
    </row>
    <row r="335" spans="18:18" ht="14.25">
      <c r="R335" s="20">
        <v>308</v>
      </c>
    </row>
    <row r="336" spans="18:18" ht="14.25">
      <c r="R336" s="20">
        <v>309</v>
      </c>
    </row>
    <row r="337" spans="18:18" ht="14.25">
      <c r="R337" s="20">
        <v>310</v>
      </c>
    </row>
    <row r="338" spans="18:18" ht="14.25">
      <c r="R338" s="20">
        <v>311</v>
      </c>
    </row>
    <row r="339" spans="18:18" ht="14.25">
      <c r="R339" s="20">
        <v>312</v>
      </c>
    </row>
    <row r="340" spans="18:18" ht="14.25">
      <c r="R340" s="20">
        <v>313</v>
      </c>
    </row>
    <row r="341" spans="18:18" ht="14.25">
      <c r="R341" s="20">
        <v>314</v>
      </c>
    </row>
    <row r="342" spans="18:18" ht="14.25">
      <c r="R342" s="20">
        <v>315</v>
      </c>
    </row>
    <row r="343" spans="18:18" ht="14.25">
      <c r="R343" s="20">
        <v>316</v>
      </c>
    </row>
    <row r="344" spans="18:18" ht="14.25">
      <c r="R344" s="20">
        <v>317</v>
      </c>
    </row>
    <row r="345" spans="18:18" ht="14.25">
      <c r="R345" s="20">
        <v>318</v>
      </c>
    </row>
    <row r="346" spans="18:18" ht="14.25">
      <c r="R346" s="20">
        <v>319</v>
      </c>
    </row>
    <row r="347" spans="18:18" ht="14.25">
      <c r="R347" s="20">
        <v>320</v>
      </c>
    </row>
    <row r="348" spans="18:18" ht="14.25">
      <c r="R348" s="20">
        <v>321</v>
      </c>
    </row>
    <row r="349" spans="18:18" ht="14.25">
      <c r="R349" s="20">
        <v>322</v>
      </c>
    </row>
    <row r="350" spans="18:18" ht="14.25">
      <c r="R350" s="20">
        <v>323</v>
      </c>
    </row>
    <row r="351" spans="18:18" ht="14.25">
      <c r="R351" s="20">
        <v>324</v>
      </c>
    </row>
    <row r="352" spans="18:18" ht="14.25">
      <c r="R352" s="20">
        <v>325</v>
      </c>
    </row>
    <row r="353" spans="18:18" ht="14.25">
      <c r="R353" s="20">
        <v>326</v>
      </c>
    </row>
    <row r="354" spans="18:18" ht="14.25">
      <c r="R354" s="20">
        <v>327</v>
      </c>
    </row>
    <row r="355" spans="18:18" ht="14.25">
      <c r="R355" s="20">
        <v>328</v>
      </c>
    </row>
    <row r="356" spans="18:18" ht="14.25">
      <c r="R356" s="20">
        <v>329</v>
      </c>
    </row>
    <row r="357" spans="18:18" ht="14.25">
      <c r="R357" s="20">
        <v>330</v>
      </c>
    </row>
    <row r="358" spans="18:18" ht="14.25">
      <c r="R358" s="20">
        <v>331</v>
      </c>
    </row>
    <row r="359" spans="18:18" ht="14.25">
      <c r="R359" s="20">
        <v>332</v>
      </c>
    </row>
    <row r="360" spans="18:18" ht="14.25">
      <c r="R360" s="20">
        <v>333</v>
      </c>
    </row>
    <row r="361" spans="18:18" ht="14.25">
      <c r="R361" s="20">
        <v>334</v>
      </c>
    </row>
    <row r="362" spans="18:18" ht="14.25">
      <c r="R362" s="20">
        <v>335</v>
      </c>
    </row>
    <row r="363" spans="18:18" ht="14.25">
      <c r="R363" s="20">
        <v>336</v>
      </c>
    </row>
    <row r="364" spans="18:18" ht="14.25">
      <c r="R364" s="20">
        <v>337</v>
      </c>
    </row>
    <row r="365" spans="18:18" ht="14.25">
      <c r="R365" s="20">
        <v>338</v>
      </c>
    </row>
    <row r="366" spans="18:18" ht="14.25">
      <c r="R366" s="20">
        <v>339</v>
      </c>
    </row>
    <row r="367" spans="18:18" ht="14.25">
      <c r="R367" s="20">
        <v>340</v>
      </c>
    </row>
    <row r="368" spans="18:18" ht="14.25">
      <c r="R368" s="20">
        <v>341</v>
      </c>
    </row>
    <row r="369" spans="18:18" ht="14.25">
      <c r="R369" s="20">
        <v>342</v>
      </c>
    </row>
    <row r="370" spans="18:18" ht="14.25">
      <c r="R370" s="20">
        <v>343</v>
      </c>
    </row>
    <row r="371" spans="18:18" ht="14.25">
      <c r="R371" s="20">
        <v>344</v>
      </c>
    </row>
    <row r="372" spans="18:18" ht="14.25">
      <c r="R372" s="20">
        <v>345</v>
      </c>
    </row>
    <row r="373" spans="18:18" ht="14.25">
      <c r="R373" s="20">
        <v>346</v>
      </c>
    </row>
    <row r="374" spans="18:18" ht="14.25">
      <c r="R374" s="20">
        <v>347</v>
      </c>
    </row>
    <row r="375" spans="18:18" ht="14.25">
      <c r="R375" s="20">
        <v>348</v>
      </c>
    </row>
    <row r="376" spans="18:18" ht="14.25">
      <c r="R376" s="20">
        <v>349</v>
      </c>
    </row>
    <row r="377" spans="18:18" ht="14.25">
      <c r="R377" s="20">
        <v>350</v>
      </c>
    </row>
    <row r="378" spans="18:18" ht="14.25">
      <c r="R378" s="20">
        <v>351</v>
      </c>
    </row>
    <row r="379" spans="18:18" ht="14.25">
      <c r="R379" s="20">
        <v>352</v>
      </c>
    </row>
    <row r="380" spans="18:18" ht="14.25">
      <c r="R380" s="20">
        <v>353</v>
      </c>
    </row>
    <row r="381" spans="18:18" ht="14.25">
      <c r="R381" s="20">
        <v>354</v>
      </c>
    </row>
    <row r="382" spans="18:18" ht="14.25">
      <c r="R382" s="20">
        <v>355</v>
      </c>
    </row>
    <row r="383" spans="18:18" ht="14.25">
      <c r="R383" s="20">
        <v>356</v>
      </c>
    </row>
    <row r="384" spans="18:18" ht="14.25">
      <c r="R384" s="20">
        <v>357</v>
      </c>
    </row>
    <row r="385" spans="18:18" ht="14.25">
      <c r="R385" s="20">
        <v>358</v>
      </c>
    </row>
    <row r="386" spans="18:18" ht="14.25">
      <c r="R386" s="20">
        <v>359</v>
      </c>
    </row>
    <row r="387" spans="18:18" ht="14.25">
      <c r="R387" s="20">
        <v>360</v>
      </c>
    </row>
    <row r="388" spans="18:18" ht="14.25">
      <c r="R388" s="20">
        <v>361</v>
      </c>
    </row>
    <row r="389" spans="18:18" ht="14.25">
      <c r="R389" s="20">
        <v>362</v>
      </c>
    </row>
    <row r="390" spans="18:18" ht="14.25">
      <c r="R390" s="20">
        <v>363</v>
      </c>
    </row>
    <row r="391" spans="18:18" ht="14.25">
      <c r="R391" s="20">
        <v>364</v>
      </c>
    </row>
    <row r="392" spans="18:18" ht="14.25">
      <c r="R392" s="20">
        <v>365</v>
      </c>
    </row>
    <row r="393" spans="18:18" ht="14.25">
      <c r="R393" s="20">
        <v>366</v>
      </c>
    </row>
    <row r="394" spans="18:18" ht="14.25">
      <c r="R394" s="20">
        <v>367</v>
      </c>
    </row>
    <row r="395" spans="18:18" ht="14.25">
      <c r="R395" s="20">
        <v>368</v>
      </c>
    </row>
    <row r="396" spans="18:18" ht="14.25">
      <c r="R396" s="20">
        <v>369</v>
      </c>
    </row>
    <row r="397" spans="18:18" ht="14.25">
      <c r="R397" s="20">
        <v>370</v>
      </c>
    </row>
    <row r="398" spans="18:18" ht="14.25">
      <c r="R398" s="20">
        <v>371</v>
      </c>
    </row>
    <row r="399" spans="18:18" ht="14.25">
      <c r="R399" s="20">
        <v>372</v>
      </c>
    </row>
    <row r="400" spans="18:18" ht="14.25">
      <c r="R400" s="20">
        <v>373</v>
      </c>
    </row>
    <row r="401" spans="18:18" ht="14.25">
      <c r="R401" s="20">
        <v>374</v>
      </c>
    </row>
    <row r="402" spans="18:18" ht="14.25">
      <c r="R402" s="20">
        <v>375</v>
      </c>
    </row>
    <row r="403" spans="18:18" ht="14.25">
      <c r="R403" s="20">
        <v>376</v>
      </c>
    </row>
    <row r="404" spans="18:18" ht="14.25">
      <c r="R404" s="20">
        <v>377</v>
      </c>
    </row>
    <row r="405" spans="18:18" ht="14.25">
      <c r="R405" s="20">
        <v>378</v>
      </c>
    </row>
    <row r="406" spans="18:18" ht="14.25">
      <c r="R406" s="20">
        <v>379</v>
      </c>
    </row>
    <row r="407" spans="18:18" ht="14.25">
      <c r="R407" s="20">
        <v>380</v>
      </c>
    </row>
    <row r="408" spans="18:18" ht="14.25">
      <c r="R408" s="20">
        <v>381</v>
      </c>
    </row>
    <row r="409" spans="18:18" ht="14.25">
      <c r="R409" s="20">
        <v>382</v>
      </c>
    </row>
    <row r="410" spans="18:18" ht="14.25">
      <c r="R410" s="20">
        <v>383</v>
      </c>
    </row>
    <row r="411" spans="18:18" ht="14.25">
      <c r="R411" s="20">
        <v>384</v>
      </c>
    </row>
    <row r="412" spans="18:18" ht="14.25">
      <c r="R412" s="20">
        <v>385</v>
      </c>
    </row>
    <row r="413" spans="18:18" ht="14.25">
      <c r="R413" s="20">
        <v>386</v>
      </c>
    </row>
    <row r="414" spans="18:18" ht="14.25">
      <c r="R414" s="20">
        <v>387</v>
      </c>
    </row>
    <row r="415" spans="18:18" ht="14.25">
      <c r="R415" s="20">
        <v>388</v>
      </c>
    </row>
    <row r="416" spans="18:18" ht="14.25">
      <c r="R416" s="20">
        <v>389</v>
      </c>
    </row>
    <row r="417" spans="18:18" ht="14.25">
      <c r="R417" s="20">
        <v>390</v>
      </c>
    </row>
    <row r="418" spans="18:18" ht="14.25">
      <c r="R418" s="20">
        <v>391</v>
      </c>
    </row>
    <row r="419" spans="18:18" ht="14.25">
      <c r="R419" s="20">
        <v>392</v>
      </c>
    </row>
    <row r="420" spans="18:18" ht="14.25">
      <c r="R420" s="20">
        <v>393</v>
      </c>
    </row>
    <row r="421" spans="18:18" ht="14.25">
      <c r="R421" s="20">
        <v>394</v>
      </c>
    </row>
    <row r="422" spans="18:18" ht="14.25">
      <c r="R422" s="20">
        <v>395</v>
      </c>
    </row>
    <row r="423" spans="18:18" ht="14.25">
      <c r="R423" s="20">
        <v>396</v>
      </c>
    </row>
    <row r="424" spans="18:18" ht="14.25">
      <c r="R424" s="20">
        <v>397</v>
      </c>
    </row>
    <row r="425" spans="18:18" ht="14.25">
      <c r="R425" s="20">
        <v>398</v>
      </c>
    </row>
    <row r="426" spans="18:18" ht="14.25">
      <c r="R426" s="20">
        <v>399</v>
      </c>
    </row>
    <row r="427" spans="18:18" ht="14.25">
      <c r="R427" s="20">
        <v>400</v>
      </c>
    </row>
    <row r="428" spans="18:18" ht="14.25">
      <c r="R428" s="20">
        <v>401</v>
      </c>
    </row>
    <row r="429" spans="18:18" ht="14.25">
      <c r="R429" s="20">
        <v>402</v>
      </c>
    </row>
    <row r="430" spans="18:18" ht="14.25">
      <c r="R430" s="20">
        <v>403</v>
      </c>
    </row>
    <row r="431" spans="18:18" ht="14.25">
      <c r="R431" s="20">
        <v>404</v>
      </c>
    </row>
    <row r="432" spans="18:18" ht="14.25">
      <c r="R432" s="20">
        <v>405</v>
      </c>
    </row>
    <row r="433" spans="18:18" ht="14.25">
      <c r="R433" s="20">
        <v>406</v>
      </c>
    </row>
    <row r="434" spans="18:18" ht="14.25">
      <c r="R434" s="20">
        <v>407</v>
      </c>
    </row>
    <row r="435" spans="18:18" ht="14.25">
      <c r="R435" s="20">
        <v>408</v>
      </c>
    </row>
    <row r="436" spans="18:18" ht="14.25">
      <c r="R436" s="20">
        <v>409</v>
      </c>
    </row>
    <row r="437" spans="18:18" ht="14.25">
      <c r="R437" s="20">
        <v>410</v>
      </c>
    </row>
    <row r="438" spans="18:18" ht="14.25">
      <c r="R438" s="20">
        <v>411</v>
      </c>
    </row>
    <row r="439" spans="18:18" ht="14.25">
      <c r="R439" s="20">
        <v>412</v>
      </c>
    </row>
    <row r="440" spans="18:18" ht="14.25">
      <c r="R440" s="20">
        <v>413</v>
      </c>
    </row>
    <row r="441" spans="18:18" ht="14.25">
      <c r="R441" s="20">
        <v>414</v>
      </c>
    </row>
    <row r="442" spans="18:18" ht="14.25">
      <c r="R442" s="20">
        <v>415</v>
      </c>
    </row>
    <row r="443" spans="18:18" ht="14.25">
      <c r="R443" s="20">
        <v>416</v>
      </c>
    </row>
    <row r="444" spans="18:18" ht="14.25">
      <c r="R444" s="20">
        <v>417</v>
      </c>
    </row>
    <row r="445" spans="18:18" ht="14.25">
      <c r="R445" s="20">
        <v>418</v>
      </c>
    </row>
    <row r="446" spans="18:18" ht="14.25">
      <c r="R446" s="20">
        <v>419</v>
      </c>
    </row>
    <row r="447" spans="18:18" ht="14.25">
      <c r="R447" s="20">
        <v>420</v>
      </c>
    </row>
    <row r="448" spans="18:18" ht="14.25">
      <c r="R448" s="20">
        <v>421</v>
      </c>
    </row>
    <row r="449" spans="18:18" ht="14.25">
      <c r="R449" s="20">
        <v>422</v>
      </c>
    </row>
    <row r="450" spans="18:18" ht="14.25">
      <c r="R450" s="20">
        <v>423</v>
      </c>
    </row>
    <row r="451" spans="18:18" ht="14.25">
      <c r="R451" s="20">
        <v>424</v>
      </c>
    </row>
    <row r="452" spans="18:18" ht="14.25">
      <c r="R452" s="20">
        <v>425</v>
      </c>
    </row>
    <row r="453" spans="18:18" ht="14.25">
      <c r="R453" s="20">
        <v>426</v>
      </c>
    </row>
    <row r="454" spans="18:18" ht="14.25">
      <c r="R454" s="20">
        <v>427</v>
      </c>
    </row>
    <row r="455" spans="18:18" ht="14.25">
      <c r="R455" s="20">
        <v>428</v>
      </c>
    </row>
    <row r="456" spans="18:18" ht="14.25">
      <c r="R456" s="20">
        <v>429</v>
      </c>
    </row>
    <row r="457" spans="18:18" ht="14.25">
      <c r="R457" s="20">
        <v>430</v>
      </c>
    </row>
    <row r="458" spans="18:18" ht="14.25">
      <c r="R458" s="20">
        <v>431</v>
      </c>
    </row>
    <row r="459" spans="18:18" ht="14.25">
      <c r="R459" s="20">
        <v>432</v>
      </c>
    </row>
    <row r="460" spans="18:18" ht="14.25">
      <c r="R460" s="20">
        <v>433</v>
      </c>
    </row>
    <row r="461" spans="18:18" ht="14.25">
      <c r="R461" s="20">
        <v>434</v>
      </c>
    </row>
    <row r="462" spans="18:18" ht="14.25">
      <c r="R462" s="20">
        <v>435</v>
      </c>
    </row>
    <row r="463" spans="18:18" ht="14.25">
      <c r="R463" s="20">
        <v>436</v>
      </c>
    </row>
    <row r="464" spans="18:18" ht="14.25">
      <c r="R464" s="20">
        <v>437</v>
      </c>
    </row>
    <row r="465" spans="18:18" ht="14.25">
      <c r="R465" s="20">
        <v>438</v>
      </c>
    </row>
    <row r="466" spans="18:18" ht="14.25">
      <c r="R466" s="20">
        <v>439</v>
      </c>
    </row>
    <row r="467" spans="18:18" ht="14.25">
      <c r="R467" s="20">
        <v>440</v>
      </c>
    </row>
    <row r="468" spans="18:18" ht="14.25">
      <c r="R468" s="20">
        <v>441</v>
      </c>
    </row>
    <row r="469" spans="18:18" ht="14.25">
      <c r="R469" s="20">
        <v>442</v>
      </c>
    </row>
    <row r="470" spans="18:18" ht="14.25">
      <c r="R470" s="20">
        <v>443</v>
      </c>
    </row>
    <row r="471" spans="18:18" ht="14.25">
      <c r="R471" s="20">
        <v>444</v>
      </c>
    </row>
    <row r="472" spans="18:18" ht="14.25">
      <c r="R472" s="20">
        <v>445</v>
      </c>
    </row>
    <row r="473" spans="18:18" ht="14.25">
      <c r="R473" s="20">
        <v>446</v>
      </c>
    </row>
    <row r="474" spans="18:18" ht="14.25">
      <c r="R474" s="20">
        <v>447</v>
      </c>
    </row>
    <row r="475" spans="18:18" ht="14.25">
      <c r="R475" s="20">
        <v>448</v>
      </c>
    </row>
    <row r="476" spans="18:18" ht="14.25">
      <c r="R476" s="20">
        <v>449</v>
      </c>
    </row>
    <row r="477" spans="18:18" ht="14.25">
      <c r="R477" s="20">
        <v>450</v>
      </c>
    </row>
    <row r="478" spans="18:18" ht="14.25">
      <c r="R478" s="20">
        <v>451</v>
      </c>
    </row>
    <row r="479" spans="18:18" ht="14.25">
      <c r="R479" s="20">
        <v>452</v>
      </c>
    </row>
    <row r="480" spans="18:18" ht="14.25">
      <c r="R480" s="20">
        <v>453</v>
      </c>
    </row>
    <row r="481" spans="18:18" ht="14.25">
      <c r="R481" s="20">
        <v>454</v>
      </c>
    </row>
    <row r="482" spans="18:18" ht="14.25">
      <c r="R482" s="20">
        <v>455</v>
      </c>
    </row>
    <row r="483" spans="18:18" ht="14.25">
      <c r="R483" s="20">
        <v>456</v>
      </c>
    </row>
    <row r="484" spans="18:18" ht="14.25">
      <c r="R484" s="20">
        <v>457</v>
      </c>
    </row>
    <row r="485" spans="18:18" ht="14.25">
      <c r="R485" s="20">
        <v>458</v>
      </c>
    </row>
    <row r="486" spans="18:18" ht="14.25">
      <c r="R486" s="20">
        <v>459</v>
      </c>
    </row>
    <row r="487" spans="18:18" ht="14.25">
      <c r="R487" s="20">
        <v>460</v>
      </c>
    </row>
    <row r="488" spans="18:18" ht="14.25">
      <c r="R488" s="20">
        <v>461</v>
      </c>
    </row>
    <row r="489" spans="18:18" ht="14.25">
      <c r="R489" s="20">
        <v>462</v>
      </c>
    </row>
    <row r="490" spans="18:18" ht="14.25">
      <c r="R490" s="20">
        <v>463</v>
      </c>
    </row>
    <row r="491" spans="18:18" ht="14.25">
      <c r="R491" s="20">
        <v>464</v>
      </c>
    </row>
    <row r="492" spans="18:18" ht="14.25">
      <c r="R492" s="20">
        <v>465</v>
      </c>
    </row>
    <row r="493" spans="18:18" ht="14.25">
      <c r="R493" s="20">
        <v>466</v>
      </c>
    </row>
    <row r="494" spans="18:18" ht="14.25">
      <c r="R494" s="20">
        <v>467</v>
      </c>
    </row>
    <row r="495" spans="18:18" ht="14.25">
      <c r="R495" s="20">
        <v>468</v>
      </c>
    </row>
    <row r="496" spans="18:18" ht="14.25">
      <c r="R496" s="20">
        <v>469</v>
      </c>
    </row>
    <row r="497" spans="18:18" ht="14.25">
      <c r="R497" s="20">
        <v>470</v>
      </c>
    </row>
    <row r="498" spans="18:18" ht="14.25">
      <c r="R498" s="20">
        <v>471</v>
      </c>
    </row>
    <row r="499" spans="18:18" ht="14.25">
      <c r="R499" s="20">
        <v>472</v>
      </c>
    </row>
    <row r="500" spans="18:18" ht="14.25">
      <c r="R500" s="20">
        <v>473</v>
      </c>
    </row>
    <row r="501" spans="18:18" ht="14.25">
      <c r="R501" s="20">
        <v>474</v>
      </c>
    </row>
    <row r="502" spans="18:18" ht="14.25">
      <c r="R502" s="20">
        <v>475</v>
      </c>
    </row>
    <row r="503" spans="18:18" ht="14.25">
      <c r="R503" s="20">
        <v>476</v>
      </c>
    </row>
    <row r="504" spans="18:18" ht="14.25">
      <c r="R504" s="20">
        <v>477</v>
      </c>
    </row>
    <row r="505" spans="18:18" ht="14.25">
      <c r="R505" s="20">
        <v>478</v>
      </c>
    </row>
    <row r="506" spans="18:18" ht="14.25">
      <c r="R506" s="20">
        <v>479</v>
      </c>
    </row>
    <row r="507" spans="18:18" ht="14.25">
      <c r="R507" s="20">
        <v>480</v>
      </c>
    </row>
    <row r="508" spans="18:18" ht="14.25">
      <c r="R508" s="20">
        <v>481</v>
      </c>
    </row>
    <row r="509" spans="18:18" ht="14.25">
      <c r="R509" s="20">
        <v>482</v>
      </c>
    </row>
    <row r="510" spans="18:18" ht="14.25">
      <c r="R510" s="20">
        <v>483</v>
      </c>
    </row>
    <row r="511" spans="18:18" ht="14.25">
      <c r="R511" s="20">
        <v>484</v>
      </c>
    </row>
    <row r="512" spans="18:18" ht="14.25">
      <c r="R512" s="20">
        <v>485</v>
      </c>
    </row>
    <row r="513" spans="18:18" ht="14.25">
      <c r="R513" s="20">
        <v>486</v>
      </c>
    </row>
    <row r="514" spans="18:18" ht="14.25">
      <c r="R514" s="20">
        <v>487</v>
      </c>
    </row>
    <row r="515" spans="18:18" ht="14.25">
      <c r="R515" s="20">
        <v>488</v>
      </c>
    </row>
    <row r="516" spans="18:18" ht="14.25">
      <c r="R516" s="20">
        <v>489</v>
      </c>
    </row>
    <row r="517" spans="18:18" ht="14.25">
      <c r="R517" s="20">
        <v>490</v>
      </c>
    </row>
    <row r="518" spans="18:18" ht="14.25">
      <c r="R518" s="20">
        <v>491</v>
      </c>
    </row>
    <row r="519" spans="18:18" ht="14.25">
      <c r="R519" s="20">
        <v>492</v>
      </c>
    </row>
    <row r="520" spans="18:18" ht="14.25">
      <c r="R520" s="20">
        <v>493</v>
      </c>
    </row>
    <row r="521" spans="18:18" ht="14.25">
      <c r="R521" s="20">
        <v>494</v>
      </c>
    </row>
    <row r="522" spans="18:18" ht="14.25">
      <c r="R522" s="20">
        <v>495</v>
      </c>
    </row>
    <row r="523" spans="18:18" ht="14.25">
      <c r="R523" s="20">
        <v>496</v>
      </c>
    </row>
    <row r="524" spans="18:18" ht="14.25">
      <c r="R524" s="20">
        <v>497</v>
      </c>
    </row>
    <row r="525" spans="18:18" ht="14.25">
      <c r="R525" s="20">
        <v>498</v>
      </c>
    </row>
    <row r="526" spans="18:18" ht="14.25">
      <c r="R526" s="20">
        <v>499</v>
      </c>
    </row>
    <row r="527" spans="18:18" ht="14.25">
      <c r="R527" s="20">
        <v>500</v>
      </c>
    </row>
    <row r="528" spans="18:18" ht="14.25">
      <c r="R528" s="20">
        <v>501</v>
      </c>
    </row>
    <row r="529" spans="18:18" ht="14.25">
      <c r="R529" s="20">
        <v>502</v>
      </c>
    </row>
    <row r="530" spans="18:18" ht="14.25">
      <c r="R530" s="20">
        <v>503</v>
      </c>
    </row>
    <row r="531" spans="18:18" ht="14.25">
      <c r="R531" s="20">
        <v>504</v>
      </c>
    </row>
    <row r="532" spans="18:18" ht="14.25">
      <c r="R532" s="20">
        <v>505</v>
      </c>
    </row>
    <row r="533" spans="18:18" ht="14.25">
      <c r="R533" s="20">
        <v>506</v>
      </c>
    </row>
    <row r="534" spans="18:18" ht="14.25">
      <c r="R534" s="20">
        <v>507</v>
      </c>
    </row>
    <row r="535" spans="18:18" ht="14.25">
      <c r="R535" s="20">
        <v>508</v>
      </c>
    </row>
    <row r="536" spans="18:18" ht="14.25">
      <c r="R536" s="20">
        <v>509</v>
      </c>
    </row>
    <row r="537" spans="18:18" ht="14.25">
      <c r="R537" s="20">
        <v>510</v>
      </c>
    </row>
    <row r="538" spans="18:18" ht="14.25">
      <c r="R538" s="20">
        <v>511</v>
      </c>
    </row>
    <row r="539" spans="18:18" ht="14.25">
      <c r="R539" s="20">
        <v>512</v>
      </c>
    </row>
    <row r="540" spans="18:18" ht="14.25">
      <c r="R540" s="20">
        <v>513</v>
      </c>
    </row>
    <row r="541" spans="18:18" ht="14.25">
      <c r="R541" s="20">
        <v>514</v>
      </c>
    </row>
    <row r="542" spans="18:18" ht="14.25">
      <c r="R542" s="20">
        <v>515</v>
      </c>
    </row>
    <row r="543" spans="18:18" ht="14.25">
      <c r="R543" s="20">
        <v>516</v>
      </c>
    </row>
    <row r="544" spans="18:18" ht="14.25">
      <c r="R544" s="20">
        <v>517</v>
      </c>
    </row>
    <row r="545" spans="18:18" ht="14.25">
      <c r="R545" s="20">
        <v>518</v>
      </c>
    </row>
    <row r="546" spans="18:18" ht="14.25">
      <c r="R546" s="20">
        <v>519</v>
      </c>
    </row>
    <row r="547" spans="18:18" ht="14.25">
      <c r="R547" s="20">
        <v>520</v>
      </c>
    </row>
    <row r="548" spans="18:18" ht="14.25">
      <c r="R548" s="20">
        <v>521</v>
      </c>
    </row>
    <row r="549" spans="18:18" ht="14.25">
      <c r="R549" s="20">
        <v>522</v>
      </c>
    </row>
    <row r="550" spans="18:18" ht="14.25">
      <c r="R550" s="20">
        <v>523</v>
      </c>
    </row>
    <row r="551" spans="18:18" ht="14.25">
      <c r="R551" s="20">
        <v>524</v>
      </c>
    </row>
    <row r="552" spans="18:18" ht="14.25">
      <c r="R552" s="20">
        <v>525</v>
      </c>
    </row>
    <row r="553" spans="18:18" ht="14.25">
      <c r="R553" s="20">
        <v>526</v>
      </c>
    </row>
    <row r="554" spans="18:18" ht="14.25">
      <c r="R554" s="20">
        <v>527</v>
      </c>
    </row>
    <row r="555" spans="18:18" ht="14.25">
      <c r="R555" s="20">
        <v>528</v>
      </c>
    </row>
    <row r="556" spans="18:18" ht="14.25">
      <c r="R556" s="20">
        <v>529</v>
      </c>
    </row>
    <row r="557" spans="18:18" ht="14.25">
      <c r="R557" s="20">
        <v>530</v>
      </c>
    </row>
    <row r="558" spans="18:18" ht="14.25">
      <c r="R558" s="20">
        <v>531</v>
      </c>
    </row>
    <row r="559" spans="18:18" ht="14.25">
      <c r="R559" s="20">
        <v>532</v>
      </c>
    </row>
    <row r="560" spans="18:18" ht="14.25">
      <c r="R560" s="20">
        <v>533</v>
      </c>
    </row>
    <row r="561" spans="18:18" ht="14.25">
      <c r="R561" s="20">
        <v>534</v>
      </c>
    </row>
    <row r="562" spans="18:18" ht="14.25">
      <c r="R562" s="20">
        <v>535</v>
      </c>
    </row>
    <row r="563" spans="18:18" ht="14.25">
      <c r="R563" s="20">
        <v>536</v>
      </c>
    </row>
    <row r="564" spans="18:18" ht="14.25">
      <c r="R564" s="20">
        <v>537</v>
      </c>
    </row>
    <row r="565" spans="18:18" ht="14.25">
      <c r="R565" s="20">
        <v>538</v>
      </c>
    </row>
    <row r="566" spans="18:18" ht="14.25">
      <c r="R566" s="20">
        <v>539</v>
      </c>
    </row>
    <row r="567" spans="18:18" ht="14.25">
      <c r="R567" s="20">
        <v>540</v>
      </c>
    </row>
    <row r="568" spans="18:18" ht="14.25">
      <c r="R568" s="20">
        <v>541</v>
      </c>
    </row>
    <row r="569" spans="18:18" ht="14.25">
      <c r="R569" s="20">
        <v>542</v>
      </c>
    </row>
    <row r="570" spans="18:18" ht="14.25">
      <c r="R570" s="20">
        <v>543</v>
      </c>
    </row>
    <row r="571" spans="18:18" ht="14.25">
      <c r="R571" s="20">
        <v>544</v>
      </c>
    </row>
    <row r="572" spans="18:18" ht="14.25">
      <c r="R572" s="20">
        <v>545</v>
      </c>
    </row>
    <row r="573" spans="18:18" ht="14.25">
      <c r="R573" s="20">
        <v>546</v>
      </c>
    </row>
    <row r="574" spans="18:18" ht="14.25">
      <c r="R574" s="20">
        <v>547</v>
      </c>
    </row>
    <row r="575" spans="18:18" ht="14.25">
      <c r="R575" s="20">
        <v>548</v>
      </c>
    </row>
    <row r="576" spans="18:18" ht="14.25">
      <c r="R576" s="20">
        <v>549</v>
      </c>
    </row>
    <row r="577" spans="18:18" ht="14.25">
      <c r="R577" s="20">
        <v>550</v>
      </c>
    </row>
    <row r="578" spans="18:18" ht="14.25">
      <c r="R578" s="20">
        <v>551</v>
      </c>
    </row>
    <row r="579" spans="18:18" ht="14.25">
      <c r="R579" s="20">
        <v>552</v>
      </c>
    </row>
    <row r="580" spans="18:18" ht="14.25">
      <c r="R580" s="20">
        <v>553</v>
      </c>
    </row>
    <row r="581" spans="18:18" ht="14.25">
      <c r="R581" s="20">
        <v>554</v>
      </c>
    </row>
    <row r="582" spans="18:18" ht="14.25">
      <c r="R582" s="20">
        <v>555</v>
      </c>
    </row>
    <row r="583" spans="18:18" ht="14.25">
      <c r="R583" s="20">
        <v>556</v>
      </c>
    </row>
    <row r="584" spans="18:18" ht="14.25">
      <c r="R584" s="20">
        <v>557</v>
      </c>
    </row>
    <row r="585" spans="18:18" ht="14.25">
      <c r="R585" s="20">
        <v>558</v>
      </c>
    </row>
    <row r="586" spans="18:18" ht="14.25">
      <c r="R586" s="20">
        <v>559</v>
      </c>
    </row>
    <row r="587" spans="18:18" ht="14.25">
      <c r="R587" s="20">
        <v>560</v>
      </c>
    </row>
    <row r="588" spans="18:18" ht="14.25">
      <c r="R588" s="20">
        <v>561</v>
      </c>
    </row>
    <row r="589" spans="18:18" ht="14.25">
      <c r="R589" s="20">
        <v>562</v>
      </c>
    </row>
    <row r="590" spans="18:18" ht="14.25">
      <c r="R590" s="20">
        <v>563</v>
      </c>
    </row>
    <row r="591" spans="18:18" ht="14.25">
      <c r="R591" s="20">
        <v>564</v>
      </c>
    </row>
    <row r="592" spans="18:18" ht="14.25">
      <c r="R592" s="20">
        <v>565</v>
      </c>
    </row>
    <row r="593" spans="18:18" ht="14.25">
      <c r="R593" s="20">
        <v>566</v>
      </c>
    </row>
    <row r="594" spans="18:18" ht="14.25">
      <c r="R594" s="20">
        <v>567</v>
      </c>
    </row>
    <row r="595" spans="18:18" ht="14.25">
      <c r="R595" s="20">
        <v>568</v>
      </c>
    </row>
    <row r="596" spans="18:18" ht="14.25">
      <c r="R596" s="20">
        <v>569</v>
      </c>
    </row>
    <row r="597" spans="18:18" ht="14.25">
      <c r="R597" s="20">
        <v>570</v>
      </c>
    </row>
    <row r="598" spans="18:18" ht="14.25">
      <c r="R598" s="20">
        <v>571</v>
      </c>
    </row>
    <row r="599" spans="18:18" ht="14.25">
      <c r="R599" s="20">
        <v>572</v>
      </c>
    </row>
    <row r="600" spans="18:18" ht="14.25">
      <c r="R600" s="20">
        <v>573</v>
      </c>
    </row>
    <row r="601" spans="18:18" ht="14.25">
      <c r="R601" s="20">
        <v>574</v>
      </c>
    </row>
    <row r="602" spans="18:18" ht="14.25">
      <c r="R602" s="20">
        <v>575</v>
      </c>
    </row>
    <row r="603" spans="18:18" ht="14.25">
      <c r="R603" s="20">
        <v>576</v>
      </c>
    </row>
    <row r="604" spans="18:18" ht="14.25">
      <c r="R604" s="20">
        <v>577</v>
      </c>
    </row>
    <row r="605" spans="18:18" ht="14.25">
      <c r="R605" s="20">
        <v>578</v>
      </c>
    </row>
    <row r="606" spans="18:18" ht="14.25">
      <c r="R606" s="20">
        <v>579</v>
      </c>
    </row>
    <row r="607" spans="18:18" ht="14.25">
      <c r="R607" s="20">
        <v>580</v>
      </c>
    </row>
    <row r="608" spans="18:18" ht="14.25">
      <c r="R608" s="20">
        <v>581</v>
      </c>
    </row>
    <row r="609" spans="18:18" ht="14.25">
      <c r="R609" s="20">
        <v>582</v>
      </c>
    </row>
    <row r="610" spans="18:18" ht="14.25">
      <c r="R610" s="20">
        <v>583</v>
      </c>
    </row>
    <row r="611" spans="18:18" ht="14.25">
      <c r="R611" s="20">
        <v>584</v>
      </c>
    </row>
    <row r="612" spans="18:18" ht="14.25">
      <c r="R612" s="20">
        <v>585</v>
      </c>
    </row>
    <row r="613" spans="18:18" ht="14.25">
      <c r="R613" s="20">
        <v>586</v>
      </c>
    </row>
    <row r="614" spans="18:18" ht="14.25">
      <c r="R614" s="20">
        <v>587</v>
      </c>
    </row>
    <row r="615" spans="18:18" ht="14.25">
      <c r="R615" s="20">
        <v>588</v>
      </c>
    </row>
    <row r="616" spans="18:18" ht="14.25">
      <c r="R616" s="20">
        <v>589</v>
      </c>
    </row>
    <row r="617" spans="18:18" ht="14.25">
      <c r="R617" s="20">
        <v>590</v>
      </c>
    </row>
    <row r="618" spans="18:18" ht="14.25">
      <c r="R618" s="20">
        <v>591</v>
      </c>
    </row>
    <row r="619" spans="18:18" ht="14.25">
      <c r="R619" s="20">
        <v>592</v>
      </c>
    </row>
    <row r="620" spans="18:18" ht="14.25">
      <c r="R620" s="20">
        <v>593</v>
      </c>
    </row>
    <row r="621" spans="18:18" ht="14.25">
      <c r="R621" s="20">
        <v>594</v>
      </c>
    </row>
    <row r="622" spans="18:18" ht="14.25">
      <c r="R622" s="20">
        <v>595</v>
      </c>
    </row>
    <row r="623" spans="18:18" ht="14.25">
      <c r="R623" s="20">
        <v>596</v>
      </c>
    </row>
    <row r="624" spans="18:18" ht="14.25">
      <c r="R624" s="20">
        <v>597</v>
      </c>
    </row>
    <row r="625" spans="18:18" ht="14.25">
      <c r="R625" s="20">
        <v>598</v>
      </c>
    </row>
    <row r="626" spans="18:18" ht="14.25">
      <c r="R626" s="20">
        <v>599</v>
      </c>
    </row>
    <row r="627" spans="18:18" ht="14.25">
      <c r="R627" s="20">
        <v>600</v>
      </c>
    </row>
    <row r="628" spans="18:18" ht="14.25">
      <c r="R628" s="20">
        <v>601</v>
      </c>
    </row>
    <row r="629" spans="18:18" ht="14.25">
      <c r="R629" s="20">
        <v>602</v>
      </c>
    </row>
    <row r="630" spans="18:18" ht="14.25">
      <c r="R630" s="20">
        <v>603</v>
      </c>
    </row>
    <row r="631" spans="18:18" ht="14.25">
      <c r="R631" s="20">
        <v>604</v>
      </c>
    </row>
    <row r="632" spans="18:18" ht="14.25">
      <c r="R632" s="20">
        <v>605</v>
      </c>
    </row>
    <row r="633" spans="18:18" ht="14.25">
      <c r="R633" s="20">
        <v>606</v>
      </c>
    </row>
    <row r="634" spans="18:18" ht="14.25">
      <c r="R634" s="20">
        <v>607</v>
      </c>
    </row>
    <row r="635" spans="18:18" ht="14.25">
      <c r="R635" s="20">
        <v>608</v>
      </c>
    </row>
    <row r="636" spans="18:18" ht="14.25">
      <c r="R636" s="20">
        <v>609</v>
      </c>
    </row>
    <row r="637" spans="18:18" ht="14.25">
      <c r="R637" s="20">
        <v>610</v>
      </c>
    </row>
    <row r="638" spans="18:18" ht="14.25">
      <c r="R638" s="20">
        <v>611</v>
      </c>
    </row>
    <row r="639" spans="18:18" ht="14.25">
      <c r="R639" s="20">
        <v>612</v>
      </c>
    </row>
    <row r="640" spans="18:18" ht="14.25">
      <c r="R640" s="20">
        <v>613</v>
      </c>
    </row>
    <row r="641" spans="18:18" ht="14.25">
      <c r="R641" s="20">
        <v>614</v>
      </c>
    </row>
    <row r="642" spans="18:18" ht="14.25">
      <c r="R642" s="20">
        <v>615</v>
      </c>
    </row>
    <row r="643" spans="18:18" ht="14.25">
      <c r="R643" s="20">
        <v>616</v>
      </c>
    </row>
    <row r="644" spans="18:18" ht="14.25">
      <c r="R644" s="20">
        <v>617</v>
      </c>
    </row>
    <row r="645" spans="18:18" ht="14.25">
      <c r="R645" s="20">
        <v>618</v>
      </c>
    </row>
    <row r="646" spans="18:18" ht="14.25">
      <c r="R646" s="20">
        <v>619</v>
      </c>
    </row>
    <row r="647" spans="18:18" ht="14.25">
      <c r="R647" s="20">
        <v>620</v>
      </c>
    </row>
    <row r="648" spans="18:18" ht="14.25">
      <c r="R648" s="20">
        <v>621</v>
      </c>
    </row>
    <row r="649" spans="18:18" ht="14.25">
      <c r="R649" s="20">
        <v>622</v>
      </c>
    </row>
    <row r="650" spans="18:18" ht="14.25">
      <c r="R650" s="20">
        <v>623</v>
      </c>
    </row>
    <row r="651" spans="18:18" ht="14.25">
      <c r="R651" s="20">
        <v>624</v>
      </c>
    </row>
    <row r="652" spans="18:18" ht="14.25">
      <c r="R652" s="20">
        <v>625</v>
      </c>
    </row>
    <row r="653" spans="18:18" ht="14.25">
      <c r="R653" s="20">
        <v>626</v>
      </c>
    </row>
    <row r="654" spans="18:18" ht="14.25">
      <c r="R654" s="20">
        <v>627</v>
      </c>
    </row>
    <row r="655" spans="18:18" ht="14.25">
      <c r="R655" s="20">
        <v>628</v>
      </c>
    </row>
    <row r="656" spans="18:18" ht="14.25">
      <c r="R656" s="20">
        <v>629</v>
      </c>
    </row>
    <row r="657" spans="18:18" ht="14.25">
      <c r="R657" s="20">
        <v>630</v>
      </c>
    </row>
    <row r="658" spans="18:18" ht="14.25">
      <c r="R658" s="20">
        <v>631</v>
      </c>
    </row>
    <row r="659" spans="18:18" ht="14.25">
      <c r="R659" s="20">
        <v>632</v>
      </c>
    </row>
    <row r="660" spans="18:18" ht="14.25">
      <c r="R660" s="20">
        <v>633</v>
      </c>
    </row>
    <row r="661" spans="18:18" ht="14.25">
      <c r="R661" s="20">
        <v>634</v>
      </c>
    </row>
    <row r="662" spans="18:18" ht="14.25">
      <c r="R662" s="20">
        <v>635</v>
      </c>
    </row>
    <row r="663" spans="18:18" ht="14.25">
      <c r="R663" s="20">
        <v>636</v>
      </c>
    </row>
    <row r="664" spans="18:18" ht="14.25">
      <c r="R664" s="20">
        <v>637</v>
      </c>
    </row>
    <row r="665" spans="18:18" ht="14.25">
      <c r="R665" s="20">
        <v>638</v>
      </c>
    </row>
    <row r="666" spans="18:18" ht="14.25">
      <c r="R666" s="20">
        <v>639</v>
      </c>
    </row>
    <row r="667" spans="18:18" ht="14.25">
      <c r="R667" s="20">
        <v>640</v>
      </c>
    </row>
    <row r="668" spans="18:18" ht="14.25">
      <c r="R668" s="20">
        <v>641</v>
      </c>
    </row>
    <row r="669" spans="18:18" ht="14.25">
      <c r="R669" s="20">
        <v>642</v>
      </c>
    </row>
    <row r="670" spans="18:18" ht="14.25">
      <c r="R670" s="20">
        <v>643</v>
      </c>
    </row>
    <row r="671" spans="18:18" ht="14.25">
      <c r="R671" s="20">
        <v>644</v>
      </c>
    </row>
    <row r="672" spans="18:18" ht="14.25">
      <c r="R672" s="20">
        <v>645</v>
      </c>
    </row>
    <row r="673" spans="18:18" ht="14.25">
      <c r="R673" s="20">
        <v>646</v>
      </c>
    </row>
    <row r="674" spans="18:18" ht="14.25">
      <c r="R674" s="20">
        <v>647</v>
      </c>
    </row>
    <row r="675" spans="18:18" ht="14.25">
      <c r="R675" s="20">
        <v>648</v>
      </c>
    </row>
    <row r="676" spans="18:18" ht="14.25">
      <c r="R676" s="20">
        <v>649</v>
      </c>
    </row>
    <row r="677" spans="18:18" ht="14.25">
      <c r="R677" s="20">
        <v>650</v>
      </c>
    </row>
    <row r="678" spans="18:18" ht="14.25">
      <c r="R678" s="20">
        <v>651</v>
      </c>
    </row>
    <row r="679" spans="18:18" ht="14.25">
      <c r="R679" s="20">
        <v>652</v>
      </c>
    </row>
    <row r="680" spans="18:18" ht="14.25">
      <c r="R680" s="20">
        <v>653</v>
      </c>
    </row>
    <row r="681" spans="18:18" ht="14.25">
      <c r="R681" s="20">
        <v>654</v>
      </c>
    </row>
    <row r="682" spans="18:18" ht="14.25">
      <c r="R682" s="20">
        <v>655</v>
      </c>
    </row>
    <row r="683" spans="18:18" ht="14.25">
      <c r="R683" s="20">
        <v>656</v>
      </c>
    </row>
    <row r="684" spans="18:18" ht="14.25">
      <c r="R684" s="20">
        <v>657</v>
      </c>
    </row>
    <row r="685" spans="18:18" ht="14.25">
      <c r="R685" s="20">
        <v>658</v>
      </c>
    </row>
    <row r="686" spans="18:18" ht="14.25">
      <c r="R686" s="20">
        <v>659</v>
      </c>
    </row>
    <row r="687" spans="18:18" ht="14.25">
      <c r="R687" s="20">
        <v>660</v>
      </c>
    </row>
    <row r="688" spans="18:18" ht="14.25">
      <c r="R688" s="20">
        <v>661</v>
      </c>
    </row>
    <row r="689" spans="18:18" ht="14.25">
      <c r="R689" s="20">
        <v>662</v>
      </c>
    </row>
    <row r="690" spans="18:18" ht="14.25">
      <c r="R690" s="20">
        <v>663</v>
      </c>
    </row>
    <row r="691" spans="18:18" ht="14.25">
      <c r="R691" s="20">
        <v>664</v>
      </c>
    </row>
    <row r="692" spans="18:18" ht="14.25">
      <c r="R692" s="20">
        <v>665</v>
      </c>
    </row>
    <row r="693" spans="18:18" ht="14.25">
      <c r="R693" s="20">
        <v>666</v>
      </c>
    </row>
    <row r="694" spans="18:18" ht="14.25">
      <c r="R694" s="20">
        <v>667</v>
      </c>
    </row>
    <row r="695" spans="18:18" ht="14.25">
      <c r="R695" s="20">
        <v>668</v>
      </c>
    </row>
    <row r="696" spans="18:18" ht="14.25">
      <c r="R696" s="20">
        <v>669</v>
      </c>
    </row>
    <row r="697" spans="18:18" ht="14.25">
      <c r="R697" s="20">
        <v>670</v>
      </c>
    </row>
    <row r="698" spans="18:18" ht="14.25">
      <c r="R698" s="20">
        <v>671</v>
      </c>
    </row>
    <row r="699" spans="18:18" ht="14.25">
      <c r="R699" s="20">
        <v>672</v>
      </c>
    </row>
    <row r="700" spans="18:18" ht="14.25">
      <c r="R700" s="20">
        <v>673</v>
      </c>
    </row>
    <row r="701" spans="18:18" ht="14.25">
      <c r="R701" s="20">
        <v>674</v>
      </c>
    </row>
    <row r="702" spans="18:18" ht="14.25">
      <c r="R702" s="20">
        <v>675</v>
      </c>
    </row>
    <row r="703" spans="18:18" ht="14.25">
      <c r="R703" s="20">
        <v>676</v>
      </c>
    </row>
    <row r="704" spans="18:18" ht="14.25">
      <c r="R704" s="20">
        <v>677</v>
      </c>
    </row>
    <row r="705" spans="18:18" ht="14.25">
      <c r="R705" s="20">
        <v>678</v>
      </c>
    </row>
    <row r="706" spans="18:18" ht="14.25">
      <c r="R706" s="20">
        <v>679</v>
      </c>
    </row>
    <row r="707" spans="18:18" ht="14.25">
      <c r="R707" s="20">
        <v>680</v>
      </c>
    </row>
    <row r="708" spans="18:18" ht="14.25">
      <c r="R708" s="20">
        <v>681</v>
      </c>
    </row>
    <row r="709" spans="18:18" ht="14.25">
      <c r="R709" s="20">
        <v>682</v>
      </c>
    </row>
    <row r="710" spans="18:18" ht="14.25">
      <c r="R710" s="20">
        <v>683</v>
      </c>
    </row>
    <row r="711" spans="18:18" ht="14.25">
      <c r="R711" s="20">
        <v>684</v>
      </c>
    </row>
    <row r="712" spans="18:18" ht="14.25">
      <c r="R712" s="20">
        <v>685</v>
      </c>
    </row>
    <row r="713" spans="18:18" ht="14.25">
      <c r="R713" s="20">
        <v>686</v>
      </c>
    </row>
    <row r="714" spans="18:18" ht="14.25">
      <c r="R714" s="20">
        <v>687</v>
      </c>
    </row>
    <row r="715" spans="18:18" ht="14.25">
      <c r="R715" s="20">
        <v>688</v>
      </c>
    </row>
    <row r="716" spans="18:18" ht="14.25">
      <c r="R716" s="20">
        <v>689</v>
      </c>
    </row>
    <row r="717" spans="18:18" ht="14.25">
      <c r="R717" s="20">
        <v>690</v>
      </c>
    </row>
    <row r="718" spans="18:18" ht="14.25">
      <c r="R718" s="20">
        <v>691</v>
      </c>
    </row>
    <row r="719" spans="18:18" ht="14.25">
      <c r="R719" s="20">
        <v>692</v>
      </c>
    </row>
    <row r="720" spans="18:18" ht="14.25">
      <c r="R720" s="20">
        <v>693</v>
      </c>
    </row>
    <row r="721" spans="18:18" ht="14.25">
      <c r="R721" s="20">
        <v>694</v>
      </c>
    </row>
    <row r="722" spans="18:18" ht="14.25">
      <c r="R722" s="20">
        <v>695</v>
      </c>
    </row>
    <row r="723" spans="18:18" ht="14.25">
      <c r="R723" s="20">
        <v>696</v>
      </c>
    </row>
    <row r="724" spans="18:18" ht="14.25">
      <c r="R724" s="20">
        <v>697</v>
      </c>
    </row>
    <row r="725" spans="18:18" ht="14.25">
      <c r="R725" s="20">
        <v>698</v>
      </c>
    </row>
    <row r="726" spans="18:18" ht="14.25">
      <c r="R726" s="20">
        <v>699</v>
      </c>
    </row>
    <row r="727" spans="18:18" ht="14.25">
      <c r="R727" s="20">
        <v>700</v>
      </c>
    </row>
    <row r="728" spans="18:18" ht="14.25">
      <c r="R728" s="20">
        <v>701</v>
      </c>
    </row>
    <row r="729" spans="18:18" ht="14.25">
      <c r="R729" s="20">
        <v>702</v>
      </c>
    </row>
    <row r="730" spans="18:18" ht="14.25">
      <c r="R730" s="20">
        <v>703</v>
      </c>
    </row>
    <row r="731" spans="18:18" ht="14.25">
      <c r="R731" s="20">
        <v>704</v>
      </c>
    </row>
    <row r="732" spans="18:18" ht="14.25">
      <c r="R732" s="20">
        <v>705</v>
      </c>
    </row>
    <row r="733" spans="18:18" ht="14.25">
      <c r="R733" s="20">
        <v>706</v>
      </c>
    </row>
    <row r="734" spans="18:18" ht="14.25">
      <c r="R734" s="20">
        <v>707</v>
      </c>
    </row>
    <row r="735" spans="18:18" ht="14.25">
      <c r="R735" s="20">
        <v>708</v>
      </c>
    </row>
    <row r="736" spans="18:18" ht="14.25">
      <c r="R736" s="20">
        <v>709</v>
      </c>
    </row>
    <row r="737" spans="18:18" ht="14.25">
      <c r="R737" s="20">
        <v>710</v>
      </c>
    </row>
    <row r="738" spans="18:18" ht="14.25">
      <c r="R738" s="20">
        <v>711</v>
      </c>
    </row>
    <row r="739" spans="18:18" ht="14.25">
      <c r="R739" s="20">
        <v>712</v>
      </c>
    </row>
    <row r="740" spans="18:18" ht="14.25">
      <c r="R740" s="20">
        <v>713</v>
      </c>
    </row>
    <row r="741" spans="18:18" ht="14.25">
      <c r="R741" s="20">
        <v>714</v>
      </c>
    </row>
    <row r="742" spans="18:18" ht="14.25">
      <c r="R742" s="20">
        <v>715</v>
      </c>
    </row>
    <row r="743" spans="18:18" ht="14.25">
      <c r="R743" s="20">
        <v>716</v>
      </c>
    </row>
    <row r="744" spans="18:18" ht="14.25">
      <c r="R744" s="20">
        <v>717</v>
      </c>
    </row>
    <row r="745" spans="18:18" ht="14.25">
      <c r="R745" s="20">
        <v>718</v>
      </c>
    </row>
    <row r="746" spans="18:18" ht="14.25">
      <c r="R746" s="20">
        <v>719</v>
      </c>
    </row>
    <row r="747" spans="18:18" ht="14.25">
      <c r="R747" s="20">
        <v>720</v>
      </c>
    </row>
    <row r="748" spans="18:18" ht="14.25">
      <c r="R748" s="20">
        <v>721</v>
      </c>
    </row>
    <row r="749" spans="18:18" ht="14.25">
      <c r="R749" s="20">
        <v>722</v>
      </c>
    </row>
    <row r="750" spans="18:18" ht="14.25">
      <c r="R750" s="20">
        <v>723</v>
      </c>
    </row>
    <row r="751" spans="18:18" ht="14.25">
      <c r="R751" s="20">
        <v>724</v>
      </c>
    </row>
    <row r="752" spans="18:18" ht="14.25">
      <c r="R752" s="20">
        <v>725</v>
      </c>
    </row>
    <row r="753" spans="18:18" ht="14.25">
      <c r="R753" s="20">
        <v>726</v>
      </c>
    </row>
    <row r="754" spans="18:18" ht="14.25">
      <c r="R754" s="20">
        <v>727</v>
      </c>
    </row>
    <row r="755" spans="18:18" ht="14.25">
      <c r="R755" s="20">
        <v>728</v>
      </c>
    </row>
    <row r="756" spans="18:18" ht="14.25">
      <c r="R756" s="20">
        <v>729</v>
      </c>
    </row>
    <row r="757" spans="18:18" ht="14.25">
      <c r="R757" s="20">
        <v>730</v>
      </c>
    </row>
    <row r="758" spans="18:18" ht="14.25">
      <c r="R758" s="20">
        <v>731</v>
      </c>
    </row>
    <row r="759" spans="18:18" ht="14.25">
      <c r="R759" s="20">
        <v>732</v>
      </c>
    </row>
    <row r="760" spans="18:18" ht="14.25">
      <c r="R760" s="20">
        <v>733</v>
      </c>
    </row>
    <row r="761" spans="18:18" ht="14.25">
      <c r="R761" s="20">
        <v>734</v>
      </c>
    </row>
    <row r="762" spans="18:18" ht="14.25">
      <c r="R762" s="20">
        <v>735</v>
      </c>
    </row>
    <row r="763" spans="18:18" ht="14.25">
      <c r="R763" s="20">
        <v>736</v>
      </c>
    </row>
    <row r="764" spans="18:18" ht="14.25">
      <c r="R764" s="20">
        <v>737</v>
      </c>
    </row>
    <row r="765" spans="18:18" ht="14.25">
      <c r="R765" s="20">
        <v>738</v>
      </c>
    </row>
    <row r="766" spans="18:18" ht="14.25">
      <c r="R766" s="20">
        <v>739</v>
      </c>
    </row>
    <row r="767" spans="18:18" ht="14.25">
      <c r="R767" s="20">
        <v>740</v>
      </c>
    </row>
    <row r="768" spans="18:18" ht="14.25">
      <c r="R768" s="20">
        <v>741</v>
      </c>
    </row>
    <row r="769" spans="18:18" ht="14.25">
      <c r="R769" s="20">
        <v>742</v>
      </c>
    </row>
    <row r="770" spans="18:18" ht="14.25">
      <c r="R770" s="20">
        <v>743</v>
      </c>
    </row>
    <row r="771" spans="18:18" ht="14.25">
      <c r="R771" s="20">
        <v>744</v>
      </c>
    </row>
    <row r="772" spans="18:18" ht="14.25">
      <c r="R772" s="20">
        <v>745</v>
      </c>
    </row>
    <row r="773" spans="18:18" ht="14.25">
      <c r="R773" s="20">
        <v>746</v>
      </c>
    </row>
    <row r="774" spans="18:18" ht="14.25">
      <c r="R774" s="20">
        <v>747</v>
      </c>
    </row>
    <row r="775" spans="18:18" ht="14.25">
      <c r="R775" s="20">
        <v>748</v>
      </c>
    </row>
    <row r="776" spans="18:18" ht="14.25">
      <c r="R776" s="20">
        <v>749</v>
      </c>
    </row>
    <row r="777" spans="18:18" ht="14.25">
      <c r="R777" s="20">
        <v>750</v>
      </c>
    </row>
    <row r="778" spans="18:18" ht="14.25">
      <c r="R778" s="20">
        <v>751</v>
      </c>
    </row>
    <row r="779" spans="18:18" ht="14.25">
      <c r="R779" s="20">
        <v>752</v>
      </c>
    </row>
    <row r="780" spans="18:18" ht="14.25">
      <c r="R780" s="20">
        <v>753</v>
      </c>
    </row>
    <row r="781" spans="18:18" ht="14.25">
      <c r="R781" s="20">
        <v>754</v>
      </c>
    </row>
    <row r="782" spans="18:18" ht="14.25">
      <c r="R782" s="20">
        <v>755</v>
      </c>
    </row>
    <row r="783" spans="18:18" ht="14.25">
      <c r="R783" s="20">
        <v>756</v>
      </c>
    </row>
    <row r="784" spans="18:18" ht="14.25">
      <c r="R784" s="20">
        <v>757</v>
      </c>
    </row>
    <row r="785" spans="18:18" ht="14.25">
      <c r="R785" s="20">
        <v>758</v>
      </c>
    </row>
    <row r="786" spans="18:18" ht="14.25">
      <c r="R786" s="20">
        <v>759</v>
      </c>
    </row>
    <row r="787" spans="18:18" ht="14.25">
      <c r="R787" s="20">
        <v>760</v>
      </c>
    </row>
    <row r="788" spans="18:18" ht="14.25">
      <c r="R788" s="20">
        <v>761</v>
      </c>
    </row>
    <row r="789" spans="18:18" ht="14.25">
      <c r="R789" s="20">
        <v>762</v>
      </c>
    </row>
    <row r="790" spans="18:18" ht="14.25">
      <c r="R790" s="20">
        <v>763</v>
      </c>
    </row>
    <row r="791" spans="18:18" ht="14.25">
      <c r="R791" s="20">
        <v>764</v>
      </c>
    </row>
    <row r="792" spans="18:18" ht="14.25">
      <c r="R792" s="20">
        <v>765</v>
      </c>
    </row>
    <row r="793" spans="18:18" ht="14.25">
      <c r="R793" s="20">
        <v>766</v>
      </c>
    </row>
    <row r="794" spans="18:18" ht="14.25">
      <c r="R794" s="20">
        <v>767</v>
      </c>
    </row>
    <row r="795" spans="18:18" ht="14.25">
      <c r="R795" s="20">
        <v>768</v>
      </c>
    </row>
    <row r="796" spans="18:18" ht="14.25">
      <c r="R796" s="20">
        <v>769</v>
      </c>
    </row>
    <row r="797" spans="18:18" ht="14.25">
      <c r="R797" s="20">
        <v>770</v>
      </c>
    </row>
    <row r="798" spans="18:18" ht="14.25">
      <c r="R798" s="20">
        <v>771</v>
      </c>
    </row>
    <row r="799" spans="18:18" ht="14.25">
      <c r="R799" s="20">
        <v>772</v>
      </c>
    </row>
    <row r="800" spans="18:18" ht="14.25">
      <c r="R800" s="20">
        <v>773</v>
      </c>
    </row>
    <row r="801" spans="18:18" ht="14.25">
      <c r="R801" s="20">
        <v>774</v>
      </c>
    </row>
    <row r="802" spans="18:18" ht="14.25">
      <c r="R802" s="20">
        <v>775</v>
      </c>
    </row>
    <row r="803" spans="18:18" ht="14.25">
      <c r="R803" s="20">
        <v>776</v>
      </c>
    </row>
    <row r="804" spans="18:18" ht="14.25">
      <c r="R804" s="20">
        <v>777</v>
      </c>
    </row>
    <row r="805" spans="18:18" ht="14.25">
      <c r="R805" s="20">
        <v>778</v>
      </c>
    </row>
    <row r="806" spans="18:18" ht="14.25">
      <c r="R806" s="20">
        <v>779</v>
      </c>
    </row>
    <row r="807" spans="18:18" ht="14.25">
      <c r="R807" s="20">
        <v>780</v>
      </c>
    </row>
    <row r="808" spans="18:18" ht="14.25">
      <c r="R808" s="20">
        <v>781</v>
      </c>
    </row>
    <row r="809" spans="18:18" ht="14.25">
      <c r="R809" s="20">
        <v>782</v>
      </c>
    </row>
    <row r="810" spans="18:18" ht="14.25">
      <c r="R810" s="20">
        <v>783</v>
      </c>
    </row>
    <row r="811" spans="18:18" ht="14.25">
      <c r="R811" s="20">
        <v>784</v>
      </c>
    </row>
    <row r="812" spans="18:18" ht="14.25">
      <c r="R812" s="20">
        <v>785</v>
      </c>
    </row>
    <row r="813" spans="18:18" ht="14.25">
      <c r="R813" s="20">
        <v>786</v>
      </c>
    </row>
    <row r="814" spans="18:18" ht="14.25">
      <c r="R814" s="20">
        <v>787</v>
      </c>
    </row>
    <row r="815" spans="18:18" ht="14.25">
      <c r="R815" s="20">
        <v>788</v>
      </c>
    </row>
    <row r="816" spans="18:18" ht="14.25">
      <c r="R816" s="20">
        <v>789</v>
      </c>
    </row>
    <row r="817" spans="18:18" ht="14.25">
      <c r="R817" s="20">
        <v>790</v>
      </c>
    </row>
    <row r="818" spans="18:18" ht="14.25">
      <c r="R818" s="20">
        <v>791</v>
      </c>
    </row>
    <row r="819" spans="18:18" ht="14.25">
      <c r="R819" s="20">
        <v>792</v>
      </c>
    </row>
    <row r="820" spans="18:18" ht="14.25">
      <c r="R820" s="20">
        <v>793</v>
      </c>
    </row>
    <row r="821" spans="18:18" ht="14.25">
      <c r="R821" s="20">
        <v>794</v>
      </c>
    </row>
    <row r="822" spans="18:18" ht="14.25">
      <c r="R822" s="20">
        <v>795</v>
      </c>
    </row>
    <row r="823" spans="18:18" ht="14.25">
      <c r="R823" s="20">
        <v>796</v>
      </c>
    </row>
    <row r="824" spans="18:18" ht="14.25">
      <c r="R824" s="20">
        <v>797</v>
      </c>
    </row>
    <row r="825" spans="18:18" ht="14.25">
      <c r="R825" s="20">
        <v>798</v>
      </c>
    </row>
    <row r="826" spans="18:18" ht="14.25">
      <c r="R826" s="20">
        <v>799</v>
      </c>
    </row>
    <row r="827" spans="18:18" ht="14.25">
      <c r="R827" s="20">
        <v>800</v>
      </c>
    </row>
    <row r="828" spans="18:18" ht="14.25">
      <c r="R828" s="20">
        <v>801</v>
      </c>
    </row>
    <row r="829" spans="18:18" ht="14.25">
      <c r="R829" s="20">
        <v>802</v>
      </c>
    </row>
    <row r="830" spans="18:18" ht="14.25">
      <c r="R830" s="20">
        <v>803</v>
      </c>
    </row>
    <row r="831" spans="18:18" ht="14.25">
      <c r="R831" s="20">
        <v>804</v>
      </c>
    </row>
    <row r="832" spans="18:18" ht="14.25">
      <c r="R832" s="20">
        <v>805</v>
      </c>
    </row>
    <row r="833" spans="18:18" ht="14.25">
      <c r="R833" s="20">
        <v>806</v>
      </c>
    </row>
    <row r="834" spans="18:18" ht="14.25">
      <c r="R834" s="20">
        <v>807</v>
      </c>
    </row>
    <row r="835" spans="18:18" ht="14.25">
      <c r="R835" s="20">
        <v>808</v>
      </c>
    </row>
    <row r="836" spans="18:18" ht="14.25">
      <c r="R836" s="20">
        <v>809</v>
      </c>
    </row>
    <row r="837" spans="18:18" ht="14.25">
      <c r="R837" s="20">
        <v>810</v>
      </c>
    </row>
    <row r="838" spans="18:18" ht="14.25">
      <c r="R838" s="20">
        <v>811</v>
      </c>
    </row>
    <row r="839" spans="18:18" ht="14.25">
      <c r="R839" s="20">
        <v>812</v>
      </c>
    </row>
    <row r="840" spans="18:18" ht="14.25">
      <c r="R840" s="20">
        <v>813</v>
      </c>
    </row>
    <row r="841" spans="18:18" ht="14.25">
      <c r="R841" s="20">
        <v>814</v>
      </c>
    </row>
    <row r="842" spans="18:18" ht="14.25">
      <c r="R842" s="20">
        <v>815</v>
      </c>
    </row>
    <row r="843" spans="18:18" ht="14.25">
      <c r="R843" s="20">
        <v>816</v>
      </c>
    </row>
    <row r="844" spans="18:18" ht="14.25">
      <c r="R844" s="20">
        <v>817</v>
      </c>
    </row>
    <row r="845" spans="18:18" ht="14.25">
      <c r="R845" s="20">
        <v>818</v>
      </c>
    </row>
    <row r="846" spans="18:18" ht="14.25">
      <c r="R846" s="20">
        <v>819</v>
      </c>
    </row>
    <row r="847" spans="18:18" ht="14.25">
      <c r="R847" s="20">
        <v>820</v>
      </c>
    </row>
    <row r="848" spans="18:18" ht="14.25">
      <c r="R848" s="20">
        <v>821</v>
      </c>
    </row>
    <row r="849" spans="18:18" ht="14.25">
      <c r="R849" s="20">
        <v>822</v>
      </c>
    </row>
    <row r="850" spans="18:18" ht="14.25">
      <c r="R850" s="20">
        <v>823</v>
      </c>
    </row>
    <row r="851" spans="18:18" ht="14.25">
      <c r="R851" s="20">
        <v>824</v>
      </c>
    </row>
    <row r="852" spans="18:18" ht="14.25">
      <c r="R852" s="20">
        <v>825</v>
      </c>
    </row>
    <row r="853" spans="18:18" ht="14.25">
      <c r="R853" s="20">
        <v>826</v>
      </c>
    </row>
    <row r="854" spans="18:18" ht="14.25">
      <c r="R854" s="20">
        <v>827</v>
      </c>
    </row>
    <row r="855" spans="18:18" ht="14.25">
      <c r="R855" s="20">
        <v>828</v>
      </c>
    </row>
    <row r="856" spans="18:18" ht="14.25">
      <c r="R856" s="20">
        <v>829</v>
      </c>
    </row>
    <row r="857" spans="18:18" ht="14.25">
      <c r="R857" s="20">
        <v>830</v>
      </c>
    </row>
    <row r="858" spans="18:18" ht="14.25">
      <c r="R858" s="20">
        <v>831</v>
      </c>
    </row>
    <row r="859" spans="18:18" ht="14.25">
      <c r="R859" s="20">
        <v>832</v>
      </c>
    </row>
    <row r="860" spans="18:18" ht="14.25">
      <c r="R860" s="20">
        <v>833</v>
      </c>
    </row>
    <row r="861" spans="18:18" ht="14.25">
      <c r="R861" s="20">
        <v>834</v>
      </c>
    </row>
    <row r="862" spans="18:18" ht="14.25">
      <c r="R862" s="20">
        <v>835</v>
      </c>
    </row>
    <row r="863" spans="18:18" ht="14.25">
      <c r="R863" s="20">
        <v>836</v>
      </c>
    </row>
    <row r="864" spans="18:18" ht="14.25">
      <c r="R864" s="20">
        <v>837</v>
      </c>
    </row>
    <row r="865" spans="18:18" ht="14.25">
      <c r="R865" s="20">
        <v>838</v>
      </c>
    </row>
    <row r="866" spans="18:18" ht="14.25">
      <c r="R866" s="20">
        <v>839</v>
      </c>
    </row>
    <row r="867" spans="18:18" ht="14.25">
      <c r="R867" s="20">
        <v>840</v>
      </c>
    </row>
    <row r="868" spans="18:18" ht="14.25">
      <c r="R868" s="20">
        <v>841</v>
      </c>
    </row>
    <row r="869" spans="18:18" ht="14.25">
      <c r="R869" s="20">
        <v>842</v>
      </c>
    </row>
    <row r="870" spans="18:18" ht="14.25">
      <c r="R870" s="20">
        <v>843</v>
      </c>
    </row>
    <row r="871" spans="18:18" ht="14.25">
      <c r="R871" s="20">
        <v>844</v>
      </c>
    </row>
    <row r="872" spans="18:18" ht="14.25">
      <c r="R872" s="20">
        <v>845</v>
      </c>
    </row>
    <row r="873" spans="18:18" ht="14.25">
      <c r="R873" s="20">
        <v>846</v>
      </c>
    </row>
    <row r="874" spans="18:18" ht="14.25">
      <c r="R874" s="20">
        <v>847</v>
      </c>
    </row>
    <row r="875" spans="18:18" ht="14.25">
      <c r="R875" s="20">
        <v>848</v>
      </c>
    </row>
    <row r="876" spans="18:18" ht="14.25">
      <c r="R876" s="20">
        <v>849</v>
      </c>
    </row>
    <row r="877" spans="18:18" ht="14.25">
      <c r="R877" s="20">
        <v>850</v>
      </c>
    </row>
    <row r="878" spans="18:18" ht="14.25">
      <c r="R878" s="20">
        <v>851</v>
      </c>
    </row>
    <row r="879" spans="18:18" ht="14.25">
      <c r="R879" s="20">
        <v>852</v>
      </c>
    </row>
    <row r="880" spans="18:18" ht="14.25">
      <c r="R880" s="20">
        <v>853</v>
      </c>
    </row>
    <row r="881" spans="18:18" ht="14.25">
      <c r="R881" s="20">
        <v>854</v>
      </c>
    </row>
    <row r="882" spans="18:18" ht="14.25">
      <c r="R882" s="20">
        <v>855</v>
      </c>
    </row>
    <row r="883" spans="18:18" ht="14.25">
      <c r="R883" s="20">
        <v>856</v>
      </c>
    </row>
    <row r="884" spans="18:18" ht="14.25">
      <c r="R884" s="20">
        <v>857</v>
      </c>
    </row>
    <row r="885" spans="18:18" ht="14.25">
      <c r="R885" s="20">
        <v>858</v>
      </c>
    </row>
    <row r="886" spans="18:18" ht="14.25">
      <c r="R886" s="20">
        <v>859</v>
      </c>
    </row>
    <row r="887" spans="18:18" ht="14.25">
      <c r="R887" s="20">
        <v>860</v>
      </c>
    </row>
    <row r="888" spans="18:18" ht="14.25">
      <c r="R888" s="20">
        <v>861</v>
      </c>
    </row>
    <row r="889" spans="18:18" ht="14.25">
      <c r="R889" s="20">
        <v>862</v>
      </c>
    </row>
    <row r="890" spans="18:18" ht="14.25">
      <c r="R890" s="20">
        <v>863</v>
      </c>
    </row>
    <row r="891" spans="18:18" ht="14.25">
      <c r="R891" s="20">
        <v>864</v>
      </c>
    </row>
    <row r="892" spans="18:18" ht="14.25">
      <c r="R892" s="20">
        <v>865</v>
      </c>
    </row>
    <row r="893" spans="18:18" ht="14.25">
      <c r="R893" s="20">
        <v>866</v>
      </c>
    </row>
    <row r="894" spans="18:18" ht="14.25">
      <c r="R894" s="20">
        <v>867</v>
      </c>
    </row>
    <row r="895" spans="18:18" ht="14.25">
      <c r="R895" s="20">
        <v>868</v>
      </c>
    </row>
    <row r="896" spans="18:18" ht="14.25">
      <c r="R896" s="20">
        <v>869</v>
      </c>
    </row>
    <row r="897" spans="18:18" ht="14.25">
      <c r="R897" s="20">
        <v>870</v>
      </c>
    </row>
    <row r="898" spans="18:18" ht="14.25">
      <c r="R898" s="20">
        <v>871</v>
      </c>
    </row>
    <row r="899" spans="18:18" ht="14.25">
      <c r="R899" s="20">
        <v>872</v>
      </c>
    </row>
    <row r="900" spans="18:18" ht="14.25">
      <c r="R900" s="20">
        <v>873</v>
      </c>
    </row>
    <row r="901" spans="18:18" ht="14.25">
      <c r="R901" s="20">
        <v>874</v>
      </c>
    </row>
    <row r="902" spans="18:18" ht="14.25">
      <c r="R902" s="20">
        <v>875</v>
      </c>
    </row>
    <row r="903" spans="18:18" ht="14.25">
      <c r="R903" s="20">
        <v>876</v>
      </c>
    </row>
    <row r="904" spans="18:18" ht="14.25">
      <c r="R904" s="20">
        <v>877</v>
      </c>
    </row>
    <row r="905" spans="18:18" ht="14.25">
      <c r="R905" s="20">
        <v>878</v>
      </c>
    </row>
    <row r="906" spans="18:18" ht="14.25">
      <c r="R906" s="20">
        <v>879</v>
      </c>
    </row>
    <row r="907" spans="18:18" ht="14.25">
      <c r="R907" s="20">
        <v>880</v>
      </c>
    </row>
    <row r="908" spans="18:18" ht="14.25">
      <c r="R908" s="20">
        <v>881</v>
      </c>
    </row>
    <row r="909" spans="18:18" ht="14.25">
      <c r="R909" s="20">
        <v>882</v>
      </c>
    </row>
    <row r="910" spans="18:18" ht="14.25">
      <c r="R910" s="20">
        <v>883</v>
      </c>
    </row>
    <row r="911" spans="18:18" ht="14.25">
      <c r="R911" s="20">
        <v>884</v>
      </c>
    </row>
    <row r="912" spans="18:18" ht="14.25">
      <c r="R912" s="20">
        <v>885</v>
      </c>
    </row>
    <row r="913" spans="18:18" ht="14.25">
      <c r="R913" s="20">
        <v>886</v>
      </c>
    </row>
    <row r="914" spans="18:18" ht="14.25">
      <c r="R914" s="20">
        <v>887</v>
      </c>
    </row>
    <row r="915" spans="18:18" ht="14.25">
      <c r="R915" s="20">
        <v>888</v>
      </c>
    </row>
    <row r="916" spans="18:18" ht="14.25">
      <c r="R916" s="20">
        <v>889</v>
      </c>
    </row>
    <row r="917" spans="18:18" ht="14.25">
      <c r="R917" s="20">
        <v>890</v>
      </c>
    </row>
    <row r="918" spans="18:18" ht="14.25">
      <c r="R918" s="20">
        <v>891</v>
      </c>
    </row>
    <row r="919" spans="18:18" ht="14.25">
      <c r="R919" s="20">
        <v>892</v>
      </c>
    </row>
    <row r="920" spans="18:18" ht="14.25">
      <c r="R920" s="20">
        <v>893</v>
      </c>
    </row>
    <row r="921" spans="18:18" ht="14.25">
      <c r="R921" s="20">
        <v>894</v>
      </c>
    </row>
    <row r="922" spans="18:18" ht="14.25">
      <c r="R922" s="20">
        <v>895</v>
      </c>
    </row>
    <row r="923" spans="18:18" ht="14.25">
      <c r="R923" s="20">
        <v>896</v>
      </c>
    </row>
    <row r="924" spans="18:18" ht="14.25">
      <c r="R924" s="20">
        <v>897</v>
      </c>
    </row>
    <row r="925" spans="18:18" ht="14.25">
      <c r="R925" s="20">
        <v>898</v>
      </c>
    </row>
    <row r="926" spans="18:18" ht="14.25">
      <c r="R926" s="20">
        <v>899</v>
      </c>
    </row>
    <row r="927" spans="18:18" ht="14.25">
      <c r="R927" s="20">
        <v>900</v>
      </c>
    </row>
    <row r="928" spans="18:18" ht="14.25">
      <c r="R928" s="20">
        <v>901</v>
      </c>
    </row>
    <row r="929" spans="18:18" ht="14.25">
      <c r="R929" s="20">
        <v>902</v>
      </c>
    </row>
    <row r="930" spans="18:18" ht="14.25">
      <c r="R930" s="20">
        <v>903</v>
      </c>
    </row>
    <row r="931" spans="18:18" ht="14.25">
      <c r="R931" s="20">
        <v>904</v>
      </c>
    </row>
    <row r="932" spans="18:18" ht="14.25">
      <c r="R932" s="20">
        <v>905</v>
      </c>
    </row>
    <row r="933" spans="18:18" ht="14.25">
      <c r="R933" s="20">
        <v>906</v>
      </c>
    </row>
    <row r="934" spans="18:18" ht="14.25">
      <c r="R934" s="20">
        <v>907</v>
      </c>
    </row>
    <row r="935" spans="18:18" ht="14.25">
      <c r="R935" s="20">
        <v>908</v>
      </c>
    </row>
    <row r="936" spans="18:18" ht="14.25">
      <c r="R936" s="20">
        <v>909</v>
      </c>
    </row>
    <row r="937" spans="18:18" ht="14.25">
      <c r="R937" s="20">
        <v>910</v>
      </c>
    </row>
    <row r="938" spans="18:18" ht="14.25">
      <c r="R938" s="20">
        <v>911</v>
      </c>
    </row>
    <row r="939" spans="18:18" ht="14.25">
      <c r="R939" s="20">
        <v>912</v>
      </c>
    </row>
    <row r="940" spans="18:18" ht="14.25">
      <c r="R940" s="20">
        <v>913</v>
      </c>
    </row>
    <row r="941" spans="18:18" ht="14.25">
      <c r="R941" s="20">
        <v>914</v>
      </c>
    </row>
    <row r="942" spans="18:18" ht="14.25">
      <c r="R942" s="20">
        <v>915</v>
      </c>
    </row>
    <row r="943" spans="18:18" ht="14.25">
      <c r="R943" s="20">
        <v>916</v>
      </c>
    </row>
    <row r="944" spans="18:18" ht="14.25">
      <c r="R944" s="20">
        <v>917</v>
      </c>
    </row>
    <row r="945" spans="18:18" ht="14.25">
      <c r="R945" s="20">
        <v>918</v>
      </c>
    </row>
    <row r="946" spans="18:18" ht="14.25">
      <c r="R946" s="20">
        <v>919</v>
      </c>
    </row>
    <row r="947" spans="18:18" ht="14.25">
      <c r="R947" s="20">
        <v>920</v>
      </c>
    </row>
    <row r="948" spans="18:18" ht="14.25">
      <c r="R948" s="20">
        <v>921</v>
      </c>
    </row>
    <row r="949" spans="18:18" ht="14.25">
      <c r="R949" s="20">
        <v>922</v>
      </c>
    </row>
    <row r="950" spans="18:18" ht="14.25">
      <c r="R950" s="20">
        <v>923</v>
      </c>
    </row>
    <row r="951" spans="18:18" ht="14.25">
      <c r="R951" s="20">
        <v>924</v>
      </c>
    </row>
    <row r="952" spans="18:18" ht="14.25">
      <c r="R952" s="20">
        <v>925</v>
      </c>
    </row>
    <row r="953" spans="18:18" ht="14.25">
      <c r="R953" s="20">
        <v>926</v>
      </c>
    </row>
    <row r="954" spans="18:18" ht="14.25">
      <c r="R954" s="20">
        <v>927</v>
      </c>
    </row>
    <row r="955" spans="18:18" ht="14.25">
      <c r="R955" s="20">
        <v>928</v>
      </c>
    </row>
    <row r="956" spans="18:18" ht="14.25">
      <c r="R956" s="20">
        <v>929</v>
      </c>
    </row>
    <row r="957" spans="18:18" ht="14.25">
      <c r="R957" s="20">
        <v>930</v>
      </c>
    </row>
    <row r="958" spans="18:18" ht="14.25">
      <c r="R958" s="20">
        <v>931</v>
      </c>
    </row>
    <row r="959" spans="18:18" ht="14.25">
      <c r="R959" s="20">
        <v>932</v>
      </c>
    </row>
    <row r="960" spans="18:18" ht="14.25">
      <c r="R960" s="20">
        <v>933</v>
      </c>
    </row>
    <row r="961" spans="18:18" ht="14.25">
      <c r="R961" s="20">
        <v>934</v>
      </c>
    </row>
    <row r="962" spans="18:18" ht="14.25">
      <c r="R962" s="20">
        <v>935</v>
      </c>
    </row>
    <row r="963" spans="18:18" ht="14.25">
      <c r="R963" s="20">
        <v>936</v>
      </c>
    </row>
    <row r="964" spans="18:18" ht="14.25">
      <c r="R964" s="20">
        <v>937</v>
      </c>
    </row>
    <row r="965" spans="18:18" ht="14.25">
      <c r="R965" s="20">
        <v>938</v>
      </c>
    </row>
    <row r="966" spans="18:18" ht="14.25">
      <c r="R966" s="20">
        <v>939</v>
      </c>
    </row>
    <row r="967" spans="18:18" ht="14.25">
      <c r="R967" s="20">
        <v>940</v>
      </c>
    </row>
    <row r="968" spans="18:18" ht="14.25">
      <c r="R968" s="20">
        <v>941</v>
      </c>
    </row>
    <row r="969" spans="18:18" ht="14.25">
      <c r="R969" s="20">
        <v>942</v>
      </c>
    </row>
    <row r="970" spans="18:18" ht="14.25">
      <c r="R970" s="20">
        <v>943</v>
      </c>
    </row>
    <row r="971" spans="18:18" ht="14.25">
      <c r="R971" s="20">
        <v>944</v>
      </c>
    </row>
    <row r="972" spans="18:18" ht="14.25">
      <c r="R972" s="20">
        <v>945</v>
      </c>
    </row>
    <row r="973" spans="18:18" ht="14.25">
      <c r="R973" s="20">
        <v>946</v>
      </c>
    </row>
    <row r="974" spans="18:18" ht="14.25">
      <c r="R974" s="20">
        <v>947</v>
      </c>
    </row>
    <row r="975" spans="18:18" ht="14.25">
      <c r="R975" s="20">
        <v>948</v>
      </c>
    </row>
    <row r="976" spans="18:18" ht="14.25">
      <c r="R976" s="20">
        <v>949</v>
      </c>
    </row>
    <row r="977" spans="18:18" ht="14.25">
      <c r="R977" s="20">
        <v>950</v>
      </c>
    </row>
    <row r="978" spans="18:18" ht="14.25">
      <c r="R978" s="20">
        <v>951</v>
      </c>
    </row>
    <row r="979" spans="18:18" ht="14.25">
      <c r="R979" s="20">
        <v>952</v>
      </c>
    </row>
    <row r="980" spans="18:18" ht="14.25">
      <c r="R980" s="20">
        <v>953</v>
      </c>
    </row>
    <row r="981" spans="18:18" ht="14.25">
      <c r="R981" s="20">
        <v>954</v>
      </c>
    </row>
    <row r="982" spans="18:18" ht="14.25">
      <c r="R982" s="20">
        <v>955</v>
      </c>
    </row>
    <row r="983" spans="18:18" ht="14.25">
      <c r="R983" s="20">
        <v>956</v>
      </c>
    </row>
    <row r="984" spans="18:18" ht="14.25">
      <c r="R984" s="20">
        <v>957</v>
      </c>
    </row>
    <row r="985" spans="18:18" ht="14.25">
      <c r="R985" s="20">
        <v>958</v>
      </c>
    </row>
    <row r="986" spans="18:18" ht="14.25">
      <c r="R986" s="20">
        <v>959</v>
      </c>
    </row>
    <row r="987" spans="18:18" ht="14.25">
      <c r="R987" s="20">
        <v>960</v>
      </c>
    </row>
    <row r="988" spans="18:18" ht="14.25">
      <c r="R988" s="20">
        <v>961</v>
      </c>
    </row>
    <row r="989" spans="18:18" ht="14.25">
      <c r="R989" s="20">
        <v>962</v>
      </c>
    </row>
    <row r="990" spans="18:18" ht="14.25">
      <c r="R990" s="20">
        <v>963</v>
      </c>
    </row>
    <row r="991" spans="18:18" ht="14.25">
      <c r="R991" s="20">
        <v>964</v>
      </c>
    </row>
    <row r="992" spans="18:18" ht="14.25">
      <c r="R992" s="20">
        <v>965</v>
      </c>
    </row>
    <row r="993" spans="18:18" ht="14.25">
      <c r="R993" s="20">
        <v>966</v>
      </c>
    </row>
    <row r="994" spans="18:18" ht="14.25">
      <c r="R994" s="20">
        <v>967</v>
      </c>
    </row>
    <row r="995" spans="18:18" ht="14.25">
      <c r="R995" s="20">
        <v>968</v>
      </c>
    </row>
    <row r="996" spans="18:18" ht="14.25">
      <c r="R996" s="20">
        <v>969</v>
      </c>
    </row>
    <row r="997" spans="18:18" ht="14.25">
      <c r="R997" s="20">
        <v>970</v>
      </c>
    </row>
    <row r="998" spans="18:18" ht="14.25">
      <c r="R998" s="20">
        <v>971</v>
      </c>
    </row>
    <row r="999" spans="18:18" ht="14.25">
      <c r="R999" s="20">
        <v>972</v>
      </c>
    </row>
    <row r="1000" spans="18:18" ht="14.25">
      <c r="R1000" s="20">
        <v>973</v>
      </c>
    </row>
    <row r="1001" spans="18:18" ht="14.25">
      <c r="R1001" s="20">
        <v>974</v>
      </c>
    </row>
    <row r="1002" spans="18:18" ht="14.25">
      <c r="R1002" s="20">
        <v>975</v>
      </c>
    </row>
    <row r="1003" spans="18:18" ht="14.25">
      <c r="R1003" s="20">
        <v>976</v>
      </c>
    </row>
    <row r="1004" spans="18:18" ht="14.25">
      <c r="R1004" s="20">
        <v>977</v>
      </c>
    </row>
    <row r="1005" spans="18:18" ht="14.25">
      <c r="R1005" s="20">
        <v>978</v>
      </c>
    </row>
    <row r="1006" spans="18:18" ht="14.25">
      <c r="R1006" s="20">
        <v>979</v>
      </c>
    </row>
    <row r="1007" spans="18:18" ht="14.25">
      <c r="R1007" s="20">
        <v>980</v>
      </c>
    </row>
    <row r="1008" spans="18:18" ht="14.25">
      <c r="R1008" s="20">
        <v>981</v>
      </c>
    </row>
    <row r="1009" spans="18:18" ht="14.25">
      <c r="R1009" s="20">
        <v>982</v>
      </c>
    </row>
    <row r="1010" spans="18:18" ht="14.25">
      <c r="R1010" s="20">
        <v>983</v>
      </c>
    </row>
    <row r="1011" spans="18:18" ht="14.25">
      <c r="R1011" s="20">
        <v>984</v>
      </c>
    </row>
    <row r="1012" spans="18:18" ht="14.25">
      <c r="R1012" s="20">
        <v>985</v>
      </c>
    </row>
    <row r="1013" spans="18:18" ht="14.25">
      <c r="R1013" s="20">
        <v>986</v>
      </c>
    </row>
    <row r="1014" spans="18:18" ht="14.25">
      <c r="R1014" s="20">
        <v>987</v>
      </c>
    </row>
    <row r="1015" spans="18:18" ht="14.25">
      <c r="R1015" s="20">
        <v>988</v>
      </c>
    </row>
    <row r="1016" spans="18:18" ht="14.25">
      <c r="R1016" s="20">
        <v>989</v>
      </c>
    </row>
    <row r="1017" spans="18:18" ht="14.25">
      <c r="R1017" s="20">
        <v>990</v>
      </c>
    </row>
    <row r="1018" spans="18:18" ht="14.25">
      <c r="R1018" s="20">
        <v>991</v>
      </c>
    </row>
    <row r="1019" spans="18:18" ht="14.25">
      <c r="R1019" s="20">
        <v>992</v>
      </c>
    </row>
    <row r="1020" spans="18:18" ht="14.25">
      <c r="R1020" s="20">
        <v>993</v>
      </c>
    </row>
    <row r="1021" spans="18:18" ht="14.25">
      <c r="R1021" s="20">
        <v>994</v>
      </c>
    </row>
    <row r="1022" spans="18:18" ht="14.25">
      <c r="R1022" s="20">
        <v>995</v>
      </c>
    </row>
    <row r="1023" spans="18:18" ht="14.25">
      <c r="R1023" s="20">
        <v>996</v>
      </c>
    </row>
    <row r="1024" spans="18:18" ht="14.25">
      <c r="R1024" s="20">
        <v>997</v>
      </c>
    </row>
    <row r="1025" spans="18:18" ht="14.25">
      <c r="R1025" s="20">
        <v>998</v>
      </c>
    </row>
    <row r="1026" spans="18:18" ht="14.25">
      <c r="R1026" s="20">
        <v>999</v>
      </c>
    </row>
    <row r="1027" spans="18:18" ht="14.25">
      <c r="R1027" s="20">
        <v>1000</v>
      </c>
    </row>
    <row r="1028" spans="18:18" ht="14.25">
      <c r="R1028" s="20">
        <v>1001</v>
      </c>
    </row>
    <row r="1029" spans="18:18" ht="14.25">
      <c r="R1029" s="20">
        <v>1002</v>
      </c>
    </row>
    <row r="1030" spans="18:18" ht="14.25">
      <c r="R1030" s="20">
        <v>1003</v>
      </c>
    </row>
    <row r="1031" spans="18:18" ht="14.25">
      <c r="R1031" s="20">
        <v>1004</v>
      </c>
    </row>
    <row r="1032" spans="18:18" ht="14.25">
      <c r="R1032" s="20">
        <v>1005</v>
      </c>
    </row>
    <row r="1033" spans="18:18" ht="14.25">
      <c r="R1033" s="20">
        <v>1006</v>
      </c>
    </row>
    <row r="1034" spans="18:18" ht="14.25">
      <c r="R1034" s="20">
        <v>1007</v>
      </c>
    </row>
    <row r="1035" spans="18:18" ht="14.25">
      <c r="R1035" s="20">
        <v>1008</v>
      </c>
    </row>
    <row r="1036" spans="18:18" ht="14.25">
      <c r="R1036" s="20">
        <v>1009</v>
      </c>
    </row>
    <row r="1037" spans="18:18" ht="14.25">
      <c r="R1037" s="20">
        <v>1010</v>
      </c>
    </row>
    <row r="1038" spans="18:18" ht="14.25">
      <c r="R1038" s="20">
        <v>1011</v>
      </c>
    </row>
    <row r="1039" spans="18:18" ht="14.25">
      <c r="R1039" s="20">
        <v>1012</v>
      </c>
    </row>
    <row r="1040" spans="18:18" ht="14.25">
      <c r="R1040" s="20">
        <v>1013</v>
      </c>
    </row>
    <row r="1041" spans="18:18" ht="14.25">
      <c r="R1041" s="20">
        <v>1014</v>
      </c>
    </row>
    <row r="1042" spans="18:18" ht="14.25">
      <c r="R1042" s="20">
        <v>1015</v>
      </c>
    </row>
    <row r="1043" spans="18:18" ht="14.25">
      <c r="R1043" s="20">
        <v>1016</v>
      </c>
    </row>
    <row r="1044" spans="18:18" ht="14.25">
      <c r="R1044" s="20">
        <v>1017</v>
      </c>
    </row>
    <row r="1045" spans="18:18" ht="14.25">
      <c r="R1045" s="20">
        <v>1018</v>
      </c>
    </row>
    <row r="1046" spans="18:18" ht="14.25">
      <c r="R1046" s="20">
        <v>1019</v>
      </c>
    </row>
    <row r="1047" spans="18:18" ht="14.25">
      <c r="R1047" s="20">
        <v>1020</v>
      </c>
    </row>
    <row r="1048" spans="18:18" ht="14.25">
      <c r="R1048" s="20">
        <v>1021</v>
      </c>
    </row>
    <row r="1049" spans="18:18" ht="14.25">
      <c r="R1049" s="20">
        <v>1022</v>
      </c>
    </row>
    <row r="1050" spans="18:18" ht="14.25">
      <c r="R1050" s="20">
        <v>1023</v>
      </c>
    </row>
    <row r="1051" spans="18:18" ht="14.25">
      <c r="R1051" s="20">
        <v>1024</v>
      </c>
    </row>
    <row r="1052" spans="18:18" ht="14.25">
      <c r="R1052" s="20">
        <v>1025</v>
      </c>
    </row>
    <row r="1053" spans="18:18" ht="14.25">
      <c r="R1053" s="20">
        <v>1026</v>
      </c>
    </row>
    <row r="1054" spans="18:18" ht="14.25">
      <c r="R1054" s="20">
        <v>1027</v>
      </c>
    </row>
    <row r="1055" spans="18:18" ht="14.25">
      <c r="R1055" s="20">
        <v>1028</v>
      </c>
    </row>
    <row r="1056" spans="18:18" ht="14.25">
      <c r="R1056" s="20">
        <v>1029</v>
      </c>
    </row>
    <row r="1057" spans="18:18" ht="14.25">
      <c r="R1057" s="20">
        <v>1030</v>
      </c>
    </row>
    <row r="1058" spans="18:18" ht="14.25">
      <c r="R1058" s="20">
        <v>1031</v>
      </c>
    </row>
    <row r="1059" spans="18:18" ht="14.25">
      <c r="R1059" s="20">
        <v>1032</v>
      </c>
    </row>
    <row r="1060" spans="18:18" ht="14.25">
      <c r="R1060" s="20">
        <v>1033</v>
      </c>
    </row>
    <row r="1061" spans="18:18" ht="14.25">
      <c r="R1061" s="20">
        <v>1034</v>
      </c>
    </row>
    <row r="1062" spans="18:18" ht="14.25">
      <c r="R1062" s="20">
        <v>1035</v>
      </c>
    </row>
    <row r="1063" spans="18:18" ht="14.25">
      <c r="R1063" s="20">
        <v>1036</v>
      </c>
    </row>
    <row r="1064" spans="18:18" ht="14.25">
      <c r="R1064" s="20">
        <v>1037</v>
      </c>
    </row>
    <row r="1065" spans="18:18" ht="14.25">
      <c r="R1065" s="20">
        <v>1038</v>
      </c>
    </row>
    <row r="1066" spans="18:18" ht="14.25">
      <c r="R1066" s="20">
        <v>1039</v>
      </c>
    </row>
    <row r="1067" spans="18:18" ht="14.25">
      <c r="R1067" s="20">
        <v>1040</v>
      </c>
    </row>
    <row r="1068" spans="18:18" ht="14.25">
      <c r="R1068" s="20">
        <v>1041</v>
      </c>
    </row>
    <row r="1069" spans="18:18" ht="14.25">
      <c r="R1069" s="20">
        <v>1042</v>
      </c>
    </row>
    <row r="1070" spans="18:18" ht="14.25">
      <c r="R1070" s="20">
        <v>1043</v>
      </c>
    </row>
    <row r="1071" spans="18:18" ht="14.25">
      <c r="R1071" s="20">
        <v>1044</v>
      </c>
    </row>
    <row r="1072" spans="18:18" ht="14.25">
      <c r="R1072" s="20">
        <v>1045</v>
      </c>
    </row>
    <row r="1073" spans="18:18" ht="14.25">
      <c r="R1073" s="20">
        <v>1046</v>
      </c>
    </row>
    <row r="1074" spans="18:18" ht="14.25">
      <c r="R1074" s="20">
        <v>1047</v>
      </c>
    </row>
    <row r="1075" spans="18:18" ht="14.25">
      <c r="R1075" s="20">
        <v>1048</v>
      </c>
    </row>
    <row r="1076" spans="18:18" ht="14.25">
      <c r="R1076" s="20">
        <v>1049</v>
      </c>
    </row>
    <row r="1077" spans="18:18" ht="14.25">
      <c r="R1077" s="20">
        <v>1050</v>
      </c>
    </row>
    <row r="1078" spans="18:18" ht="14.25">
      <c r="R1078" s="20">
        <v>1051</v>
      </c>
    </row>
    <row r="1079" spans="18:18" ht="14.25">
      <c r="R1079" s="20">
        <v>1052</v>
      </c>
    </row>
    <row r="1080" spans="18:18" ht="14.25">
      <c r="R1080" s="20">
        <v>1053</v>
      </c>
    </row>
    <row r="1081" spans="18:18" ht="14.25">
      <c r="R1081" s="20">
        <v>1054</v>
      </c>
    </row>
    <row r="1082" spans="18:18" ht="14.25">
      <c r="R1082" s="20">
        <v>1055</v>
      </c>
    </row>
    <row r="1083" spans="18:18" ht="14.25">
      <c r="R1083" s="20">
        <v>1056</v>
      </c>
    </row>
    <row r="1084" spans="18:18" ht="14.25">
      <c r="R1084" s="20">
        <v>1057</v>
      </c>
    </row>
    <row r="1085" spans="18:18" ht="14.25">
      <c r="R1085" s="20">
        <v>1058</v>
      </c>
    </row>
    <row r="1086" spans="18:18" ht="14.25">
      <c r="R1086" s="20">
        <v>1059</v>
      </c>
    </row>
    <row r="1087" spans="18:18" ht="14.25">
      <c r="R1087" s="20">
        <v>1060</v>
      </c>
    </row>
    <row r="1088" spans="18:18" ht="14.25">
      <c r="R1088" s="20">
        <v>1061</v>
      </c>
    </row>
    <row r="1089" spans="18:18" ht="14.25">
      <c r="R1089" s="20">
        <v>1062</v>
      </c>
    </row>
    <row r="1090" spans="18:18" ht="14.25">
      <c r="R1090" s="20">
        <v>1063</v>
      </c>
    </row>
    <row r="1091" spans="18:18" ht="14.25">
      <c r="R1091" s="20">
        <v>1064</v>
      </c>
    </row>
    <row r="1092" spans="18:18" ht="14.25">
      <c r="R1092" s="20">
        <v>1065</v>
      </c>
    </row>
    <row r="1093" spans="18:18" ht="14.25">
      <c r="R1093" s="20">
        <v>1066</v>
      </c>
    </row>
    <row r="1094" spans="18:18" ht="14.25">
      <c r="R1094" s="20">
        <v>1067</v>
      </c>
    </row>
    <row r="1095" spans="18:18" ht="14.25">
      <c r="R1095" s="20">
        <v>1068</v>
      </c>
    </row>
    <row r="1096" spans="18:18" ht="14.25">
      <c r="R1096" s="20">
        <v>1069</v>
      </c>
    </row>
    <row r="1097" spans="18:18" ht="14.25">
      <c r="R1097" s="20">
        <v>1070</v>
      </c>
    </row>
    <row r="1098" spans="18:18" ht="14.25">
      <c r="R1098" s="20">
        <v>1071</v>
      </c>
    </row>
    <row r="1099" spans="18:18" ht="14.25">
      <c r="R1099" s="20">
        <v>1072</v>
      </c>
    </row>
    <row r="1100" spans="18:18" ht="14.25">
      <c r="R1100" s="20">
        <v>1073</v>
      </c>
    </row>
    <row r="1101" spans="18:18" ht="14.25">
      <c r="R1101" s="20">
        <v>1074</v>
      </c>
    </row>
    <row r="1102" spans="18:18" ht="14.25">
      <c r="R1102" s="20">
        <v>1075</v>
      </c>
    </row>
    <row r="1103" spans="18:18" ht="14.25">
      <c r="R1103" s="20">
        <v>1076</v>
      </c>
    </row>
    <row r="1104" spans="18:18" ht="14.25">
      <c r="R1104" s="20">
        <v>1077</v>
      </c>
    </row>
    <row r="1105" spans="18:18" ht="14.25">
      <c r="R1105" s="20">
        <v>1078</v>
      </c>
    </row>
    <row r="1106" spans="18:18" ht="14.25">
      <c r="R1106" s="20">
        <v>1079</v>
      </c>
    </row>
    <row r="1107" spans="18:18" ht="14.25">
      <c r="R1107" s="20">
        <v>1080</v>
      </c>
    </row>
    <row r="1108" spans="18:18" ht="14.25">
      <c r="R1108" s="20">
        <v>1081</v>
      </c>
    </row>
    <row r="1109" spans="18:18" ht="14.25">
      <c r="R1109" s="20">
        <v>1082</v>
      </c>
    </row>
    <row r="1110" spans="18:18" ht="14.25">
      <c r="R1110" s="20">
        <v>1083</v>
      </c>
    </row>
    <row r="1111" spans="18:18" ht="14.25">
      <c r="R1111" s="20">
        <v>1084</v>
      </c>
    </row>
    <row r="1112" spans="18:18" ht="14.25">
      <c r="R1112" s="20">
        <v>1085</v>
      </c>
    </row>
    <row r="1113" spans="18:18" ht="14.25">
      <c r="R1113" s="20">
        <v>1086</v>
      </c>
    </row>
    <row r="1114" spans="18:18" ht="14.25">
      <c r="R1114" s="20">
        <v>1087</v>
      </c>
    </row>
    <row r="1115" spans="18:18" ht="14.25">
      <c r="R1115" s="20">
        <v>1088</v>
      </c>
    </row>
    <row r="1116" spans="18:18" ht="14.25">
      <c r="R1116" s="20">
        <v>1089</v>
      </c>
    </row>
    <row r="1117" spans="18:18" ht="14.25">
      <c r="R1117" s="20">
        <v>1090</v>
      </c>
    </row>
    <row r="1118" spans="18:18" ht="14.25">
      <c r="R1118" s="20">
        <v>1091</v>
      </c>
    </row>
    <row r="1119" spans="18:18" ht="14.25">
      <c r="R1119" s="20">
        <v>1092</v>
      </c>
    </row>
    <row r="1120" spans="18:18" ht="14.25">
      <c r="R1120" s="20">
        <v>1093</v>
      </c>
    </row>
    <row r="1121" spans="18:18" ht="14.25">
      <c r="R1121" s="20">
        <v>1094</v>
      </c>
    </row>
    <row r="1122" spans="18:18" ht="14.25">
      <c r="R1122" s="20">
        <v>1095</v>
      </c>
    </row>
    <row r="1123" spans="18:18" ht="14.25">
      <c r="R1123" s="20">
        <v>1096</v>
      </c>
    </row>
    <row r="1124" spans="18:18" ht="14.25">
      <c r="R1124" s="20">
        <v>1097</v>
      </c>
    </row>
    <row r="1125" spans="18:18" ht="14.25">
      <c r="R1125" s="20">
        <v>1098</v>
      </c>
    </row>
    <row r="1126" spans="18:18" ht="14.25">
      <c r="R1126" s="20">
        <v>1099</v>
      </c>
    </row>
    <row r="1127" spans="18:18" ht="14.25">
      <c r="R1127" s="20">
        <v>1100</v>
      </c>
    </row>
    <row r="1128" spans="18:18" ht="14.25">
      <c r="R1128" s="20">
        <v>1101</v>
      </c>
    </row>
    <row r="1129" spans="18:18" ht="14.25">
      <c r="R1129" s="20">
        <v>1102</v>
      </c>
    </row>
    <row r="1130" spans="18:18" ht="14.25">
      <c r="R1130" s="20">
        <v>1103</v>
      </c>
    </row>
    <row r="1131" spans="18:18" ht="14.25">
      <c r="R1131" s="20">
        <v>1104</v>
      </c>
    </row>
    <row r="1132" spans="18:18" ht="14.25">
      <c r="R1132" s="20">
        <v>1105</v>
      </c>
    </row>
    <row r="1133" spans="18:18" ht="14.25">
      <c r="R1133" s="20">
        <v>1106</v>
      </c>
    </row>
    <row r="1134" spans="18:18" ht="14.25">
      <c r="R1134" s="20">
        <v>1107</v>
      </c>
    </row>
    <row r="1135" spans="18:18" ht="14.25">
      <c r="R1135" s="20">
        <v>1108</v>
      </c>
    </row>
    <row r="1136" spans="18:18" ht="14.25">
      <c r="R1136" s="20">
        <v>1109</v>
      </c>
    </row>
    <row r="1137" spans="18:18" ht="14.25">
      <c r="R1137" s="20">
        <v>1110</v>
      </c>
    </row>
    <row r="1138" spans="18:18" ht="14.25">
      <c r="R1138" s="20">
        <v>1111</v>
      </c>
    </row>
    <row r="1139" spans="18:18" ht="14.25">
      <c r="R1139" s="20">
        <v>1112</v>
      </c>
    </row>
    <row r="1140" spans="18:18" ht="14.25">
      <c r="R1140" s="20">
        <v>1113</v>
      </c>
    </row>
    <row r="1141" spans="18:18" ht="14.25">
      <c r="R1141" s="20">
        <v>1114</v>
      </c>
    </row>
    <row r="1142" spans="18:18" ht="14.25">
      <c r="R1142" s="20">
        <v>1115</v>
      </c>
    </row>
    <row r="1143" spans="18:18" ht="14.25">
      <c r="R1143" s="20">
        <v>1116</v>
      </c>
    </row>
    <row r="1144" spans="18:18" ht="14.25">
      <c r="R1144" s="20">
        <v>1117</v>
      </c>
    </row>
    <row r="1145" spans="18:18" ht="14.25">
      <c r="R1145" s="20">
        <v>1118</v>
      </c>
    </row>
    <row r="1146" spans="18:18" ht="14.25">
      <c r="R1146" s="20">
        <v>1119</v>
      </c>
    </row>
    <row r="1147" spans="18:18" ht="14.25">
      <c r="R1147" s="20">
        <v>1120</v>
      </c>
    </row>
    <row r="1148" spans="18:18" ht="14.25">
      <c r="R1148" s="20">
        <v>1121</v>
      </c>
    </row>
    <row r="1149" spans="18:18" ht="14.25">
      <c r="R1149" s="20">
        <v>1122</v>
      </c>
    </row>
    <row r="1150" spans="18:18" ht="14.25">
      <c r="R1150" s="20">
        <v>1123</v>
      </c>
    </row>
    <row r="1151" spans="18:18" ht="14.25">
      <c r="R1151" s="20">
        <v>1124</v>
      </c>
    </row>
    <row r="1152" spans="18:18" ht="14.25">
      <c r="R1152" s="20">
        <v>1125</v>
      </c>
    </row>
    <row r="1153" spans="18:18" ht="14.25">
      <c r="R1153" s="20">
        <v>1126</v>
      </c>
    </row>
    <row r="1154" spans="18:18" ht="14.25">
      <c r="R1154" s="20">
        <v>1127</v>
      </c>
    </row>
    <row r="1155" spans="18:18" ht="14.25">
      <c r="R1155" s="20">
        <v>1128</v>
      </c>
    </row>
    <row r="1156" spans="18:18" ht="14.25">
      <c r="R1156" s="20">
        <v>1129</v>
      </c>
    </row>
    <row r="1157" spans="18:18" ht="14.25">
      <c r="R1157" s="20">
        <v>1130</v>
      </c>
    </row>
    <row r="1158" spans="18:18" ht="14.25">
      <c r="R1158" s="20">
        <v>1131</v>
      </c>
    </row>
    <row r="1159" spans="18:18" ht="14.25">
      <c r="R1159" s="20">
        <v>1132</v>
      </c>
    </row>
    <row r="1160" spans="18:18" ht="14.25">
      <c r="R1160" s="20">
        <v>1133</v>
      </c>
    </row>
    <row r="1161" spans="18:18" ht="14.25">
      <c r="R1161" s="20">
        <v>1134</v>
      </c>
    </row>
    <row r="1162" spans="18:18" ht="14.25">
      <c r="R1162" s="20">
        <v>1135</v>
      </c>
    </row>
    <row r="1163" spans="18:18" ht="14.25">
      <c r="R1163" s="20">
        <v>1136</v>
      </c>
    </row>
    <row r="1164" spans="18:18" ht="14.25">
      <c r="R1164" s="20">
        <v>1137</v>
      </c>
    </row>
    <row r="1165" spans="18:18" ht="14.25">
      <c r="R1165" s="20">
        <v>1138</v>
      </c>
    </row>
    <row r="1166" spans="18:18" ht="14.25">
      <c r="R1166" s="20">
        <v>1139</v>
      </c>
    </row>
    <row r="1167" spans="18:18" ht="14.25">
      <c r="R1167" s="20">
        <v>1140</v>
      </c>
    </row>
    <row r="1168" spans="18:18" ht="14.25">
      <c r="R1168" s="20">
        <v>1141</v>
      </c>
    </row>
    <row r="1169" spans="18:18" ht="14.25">
      <c r="R1169" s="20">
        <v>1142</v>
      </c>
    </row>
    <row r="1170" spans="18:18" ht="14.25">
      <c r="R1170" s="20">
        <v>1143</v>
      </c>
    </row>
    <row r="1171" spans="18:18" ht="14.25">
      <c r="R1171" s="20">
        <v>1144</v>
      </c>
    </row>
    <row r="1172" spans="18:18" ht="14.25">
      <c r="R1172" s="20">
        <v>1145</v>
      </c>
    </row>
    <row r="1173" spans="18:18" ht="14.25">
      <c r="R1173" s="20">
        <v>1146</v>
      </c>
    </row>
    <row r="1174" spans="18:18" ht="14.25">
      <c r="R1174" s="20">
        <v>1147</v>
      </c>
    </row>
    <row r="1175" spans="18:18" ht="14.25">
      <c r="R1175" s="20">
        <v>1148</v>
      </c>
    </row>
    <row r="1176" spans="18:18" ht="14.25">
      <c r="R1176" s="20">
        <v>1149</v>
      </c>
    </row>
    <row r="1177" spans="18:18" ht="14.25">
      <c r="R1177" s="20">
        <v>1150</v>
      </c>
    </row>
    <row r="1178" spans="18:18" ht="14.25">
      <c r="R1178" s="20">
        <v>1151</v>
      </c>
    </row>
    <row r="1179" spans="18:18" ht="14.25">
      <c r="R1179" s="20">
        <v>1152</v>
      </c>
    </row>
    <row r="1180" spans="18:18" ht="14.25">
      <c r="R1180" s="20">
        <v>1153</v>
      </c>
    </row>
    <row r="1181" spans="18:18" ht="14.25">
      <c r="R1181" s="20">
        <v>1154</v>
      </c>
    </row>
    <row r="1182" spans="18:18" ht="14.25">
      <c r="R1182" s="20">
        <v>1155</v>
      </c>
    </row>
    <row r="1183" spans="18:18" ht="14.25">
      <c r="R1183" s="20">
        <v>1156</v>
      </c>
    </row>
    <row r="1184" spans="18:18" ht="14.25">
      <c r="R1184" s="20">
        <v>1157</v>
      </c>
    </row>
    <row r="1185" spans="18:18" ht="14.25">
      <c r="R1185" s="20">
        <v>1158</v>
      </c>
    </row>
    <row r="1186" spans="18:18" ht="14.25">
      <c r="R1186" s="20">
        <v>1159</v>
      </c>
    </row>
    <row r="1187" spans="18:18" ht="14.25">
      <c r="R1187" s="20">
        <v>1160</v>
      </c>
    </row>
    <row r="1188" spans="18:18" ht="14.25">
      <c r="R1188" s="20">
        <v>1161</v>
      </c>
    </row>
    <row r="1189" spans="18:18" ht="14.25">
      <c r="R1189" s="20">
        <v>1162</v>
      </c>
    </row>
    <row r="1190" spans="18:18" ht="14.25">
      <c r="R1190" s="20">
        <v>1163</v>
      </c>
    </row>
    <row r="1191" spans="18:18" ht="14.25">
      <c r="R1191" s="20">
        <v>1164</v>
      </c>
    </row>
    <row r="1192" spans="18:18" ht="14.25">
      <c r="R1192" s="20">
        <v>1165</v>
      </c>
    </row>
    <row r="1193" spans="18:18" ht="14.25">
      <c r="R1193" s="20">
        <v>1166</v>
      </c>
    </row>
    <row r="1194" spans="18:18" ht="14.25">
      <c r="R1194" s="20">
        <v>1167</v>
      </c>
    </row>
    <row r="1195" spans="18:18" ht="14.25">
      <c r="R1195" s="20">
        <v>1168</v>
      </c>
    </row>
    <row r="1196" spans="18:18" ht="14.25">
      <c r="R1196" s="20">
        <v>1169</v>
      </c>
    </row>
    <row r="1197" spans="18:18" ht="14.25">
      <c r="R1197" s="20">
        <v>1170</v>
      </c>
    </row>
    <row r="1198" spans="18:18" ht="14.25">
      <c r="R1198" s="20">
        <v>1171</v>
      </c>
    </row>
    <row r="1199" spans="18:18" ht="14.25">
      <c r="R1199" s="20">
        <v>1172</v>
      </c>
    </row>
    <row r="1200" spans="18:18" ht="14.25">
      <c r="R1200" s="20">
        <v>1173</v>
      </c>
    </row>
    <row r="1201" spans="18:18" ht="14.25">
      <c r="R1201" s="20">
        <v>1174</v>
      </c>
    </row>
    <row r="1202" spans="18:18" ht="14.25">
      <c r="R1202" s="20">
        <v>1175</v>
      </c>
    </row>
    <row r="1203" spans="18:18" ht="14.25">
      <c r="R1203" s="20">
        <v>1176</v>
      </c>
    </row>
    <row r="1204" spans="18:18" ht="14.25">
      <c r="R1204" s="20">
        <v>1177</v>
      </c>
    </row>
    <row r="1205" spans="18:18" ht="14.25">
      <c r="R1205" s="20">
        <v>1178</v>
      </c>
    </row>
    <row r="1206" spans="18:18" ht="14.25">
      <c r="R1206" s="20">
        <v>1179</v>
      </c>
    </row>
    <row r="1207" spans="18:18" ht="14.25">
      <c r="R1207" s="20">
        <v>1180</v>
      </c>
    </row>
    <row r="1208" spans="18:18" ht="14.25">
      <c r="R1208" s="20">
        <v>1181</v>
      </c>
    </row>
    <row r="1209" spans="18:18" ht="14.25">
      <c r="R1209" s="20">
        <v>1182</v>
      </c>
    </row>
    <row r="1210" spans="18:18" ht="14.25">
      <c r="R1210" s="20">
        <v>1183</v>
      </c>
    </row>
    <row r="1211" spans="18:18" ht="14.25">
      <c r="R1211" s="20">
        <v>1184</v>
      </c>
    </row>
    <row r="1212" spans="18:18" ht="14.25">
      <c r="R1212" s="20">
        <v>1185</v>
      </c>
    </row>
    <row r="1213" spans="18:18" ht="14.25">
      <c r="R1213" s="20">
        <v>1186</v>
      </c>
    </row>
    <row r="1214" spans="18:18" ht="14.25">
      <c r="R1214" s="20">
        <v>1187</v>
      </c>
    </row>
    <row r="1215" spans="18:18" ht="14.25">
      <c r="R1215" s="20">
        <v>1188</v>
      </c>
    </row>
    <row r="1216" spans="18:18" ht="14.25">
      <c r="R1216" s="20">
        <v>1189</v>
      </c>
    </row>
    <row r="1217" spans="18:18" ht="14.25">
      <c r="R1217" s="20">
        <v>1190</v>
      </c>
    </row>
    <row r="1218" spans="18:18" ht="14.25">
      <c r="R1218" s="20">
        <v>1191</v>
      </c>
    </row>
    <row r="1219" spans="18:18" ht="14.25">
      <c r="R1219" s="20">
        <v>1192</v>
      </c>
    </row>
    <row r="1220" spans="18:18" ht="14.25">
      <c r="R1220" s="20">
        <v>1193</v>
      </c>
    </row>
    <row r="1221" spans="18:18" ht="14.25">
      <c r="R1221" s="20">
        <v>1194</v>
      </c>
    </row>
    <row r="1222" spans="18:18" ht="14.25">
      <c r="R1222" s="20">
        <v>1195</v>
      </c>
    </row>
    <row r="1223" spans="18:18" ht="14.25">
      <c r="R1223" s="20">
        <v>1196</v>
      </c>
    </row>
    <row r="1224" spans="18:18" ht="14.25">
      <c r="R1224" s="20">
        <v>1197</v>
      </c>
    </row>
    <row r="1225" spans="18:18" ht="14.25">
      <c r="R1225" s="20">
        <v>1198</v>
      </c>
    </row>
    <row r="1226" spans="18:18" ht="14.25">
      <c r="R1226" s="20">
        <v>1199</v>
      </c>
    </row>
    <row r="1227" spans="18:18" ht="14.25">
      <c r="R1227" s="20">
        <v>1200</v>
      </c>
    </row>
    <row r="1228" spans="18:18" ht="14.25">
      <c r="R1228" s="20">
        <v>1201</v>
      </c>
    </row>
    <row r="1229" spans="18:18" ht="14.25">
      <c r="R1229" s="20">
        <v>1202</v>
      </c>
    </row>
    <row r="1230" spans="18:18" ht="14.25">
      <c r="R1230" s="20">
        <v>1203</v>
      </c>
    </row>
    <row r="1231" spans="18:18" ht="14.25">
      <c r="R1231" s="20">
        <v>1204</v>
      </c>
    </row>
    <row r="1232" spans="18:18" ht="14.25">
      <c r="R1232" s="20">
        <v>1205</v>
      </c>
    </row>
    <row r="1233" spans="18:18" ht="14.25">
      <c r="R1233" s="20">
        <v>1206</v>
      </c>
    </row>
    <row r="1234" spans="18:18" ht="14.25">
      <c r="R1234" s="20">
        <v>1207</v>
      </c>
    </row>
    <row r="1235" spans="18:18" ht="14.25">
      <c r="R1235" s="20">
        <v>1208</v>
      </c>
    </row>
    <row r="1236" spans="18:18" ht="14.25">
      <c r="R1236" s="20">
        <v>1209</v>
      </c>
    </row>
    <row r="1237" spans="18:18" ht="14.25">
      <c r="R1237" s="20">
        <v>1210</v>
      </c>
    </row>
    <row r="1238" spans="18:18" ht="14.25">
      <c r="R1238" s="20">
        <v>1211</v>
      </c>
    </row>
    <row r="1239" spans="18:18" ht="14.25">
      <c r="R1239" s="20">
        <v>1212</v>
      </c>
    </row>
    <row r="1240" spans="18:18" ht="14.25">
      <c r="R1240" s="20">
        <v>1213</v>
      </c>
    </row>
    <row r="1241" spans="18:18" ht="14.25">
      <c r="R1241" s="20">
        <v>1214</v>
      </c>
    </row>
    <row r="1242" spans="18:18" ht="14.25">
      <c r="R1242" s="20">
        <v>1215</v>
      </c>
    </row>
    <row r="1243" spans="18:18" ht="14.25">
      <c r="R1243" s="20">
        <v>1216</v>
      </c>
    </row>
    <row r="1244" spans="18:18" ht="14.25">
      <c r="R1244" s="20">
        <v>1217</v>
      </c>
    </row>
    <row r="1245" spans="18:18" ht="14.25">
      <c r="R1245" s="20">
        <v>1218</v>
      </c>
    </row>
    <row r="1246" spans="18:18" ht="14.25">
      <c r="R1246" s="20">
        <v>1219</v>
      </c>
    </row>
    <row r="1247" spans="18:18" ht="14.25">
      <c r="R1247" s="20">
        <v>1220</v>
      </c>
    </row>
    <row r="1248" spans="18:18" ht="14.25">
      <c r="R1248" s="20">
        <v>1221</v>
      </c>
    </row>
    <row r="1249" spans="18:18" ht="14.25">
      <c r="R1249" s="20">
        <v>1222</v>
      </c>
    </row>
    <row r="1250" spans="18:18" ht="14.25">
      <c r="R1250" s="20">
        <v>1223</v>
      </c>
    </row>
    <row r="1251" spans="18:18" ht="14.25">
      <c r="R1251" s="20">
        <v>1224</v>
      </c>
    </row>
    <row r="1252" spans="18:18" ht="14.25">
      <c r="R1252" s="20">
        <v>1225</v>
      </c>
    </row>
    <row r="1253" spans="18:18" ht="14.25">
      <c r="R1253" s="20">
        <v>1226</v>
      </c>
    </row>
    <row r="1254" spans="18:18" ht="14.25">
      <c r="R1254" s="20">
        <v>1227</v>
      </c>
    </row>
    <row r="1255" spans="18:18" ht="14.25">
      <c r="R1255" s="20">
        <v>1228</v>
      </c>
    </row>
    <row r="1256" spans="18:18" ht="14.25">
      <c r="R1256" s="20">
        <v>1229</v>
      </c>
    </row>
    <row r="1257" spans="18:18" ht="14.25">
      <c r="R1257" s="20">
        <v>1230</v>
      </c>
    </row>
    <row r="1258" spans="18:18" ht="14.25">
      <c r="R1258" s="20">
        <v>1231</v>
      </c>
    </row>
    <row r="1259" spans="18:18" ht="14.25">
      <c r="R1259" s="20">
        <v>1232</v>
      </c>
    </row>
    <row r="1260" spans="18:18" ht="14.25">
      <c r="R1260" s="20">
        <v>1233</v>
      </c>
    </row>
    <row r="1261" spans="18:18" ht="14.25">
      <c r="R1261" s="20">
        <v>1234</v>
      </c>
    </row>
    <row r="1262" spans="18:18" ht="14.25">
      <c r="R1262" s="20">
        <v>1235</v>
      </c>
    </row>
    <row r="1263" spans="18:18" ht="14.25">
      <c r="R1263" s="20">
        <v>1236</v>
      </c>
    </row>
    <row r="1264" spans="18:18" ht="14.25">
      <c r="R1264" s="20">
        <v>1237</v>
      </c>
    </row>
    <row r="1265" spans="18:18" ht="14.25">
      <c r="R1265" s="20">
        <v>1238</v>
      </c>
    </row>
    <row r="1266" spans="18:18" ht="14.25">
      <c r="R1266" s="20">
        <v>1239</v>
      </c>
    </row>
    <row r="1267" spans="18:18" ht="14.25">
      <c r="R1267" s="20">
        <v>1240</v>
      </c>
    </row>
    <row r="1268" spans="18:18" ht="14.25">
      <c r="R1268" s="20">
        <v>1241</v>
      </c>
    </row>
    <row r="1269" spans="18:18" ht="14.25">
      <c r="R1269" s="20">
        <v>1242</v>
      </c>
    </row>
    <row r="1270" spans="18:18" ht="14.25">
      <c r="R1270" s="20">
        <v>1243</v>
      </c>
    </row>
    <row r="1271" spans="18:18" ht="14.25">
      <c r="R1271" s="20">
        <v>1244</v>
      </c>
    </row>
    <row r="1272" spans="18:18" ht="14.25">
      <c r="R1272" s="20">
        <v>1245</v>
      </c>
    </row>
    <row r="1273" spans="18:18" ht="14.25">
      <c r="R1273" s="20">
        <v>1246</v>
      </c>
    </row>
    <row r="1274" spans="18:18" ht="14.25">
      <c r="R1274" s="20">
        <v>1247</v>
      </c>
    </row>
    <row r="1275" spans="18:18" ht="14.25">
      <c r="R1275" s="20">
        <v>1248</v>
      </c>
    </row>
    <row r="1276" spans="18:18" ht="14.25">
      <c r="R1276" s="20">
        <v>1249</v>
      </c>
    </row>
    <row r="1277" spans="18:18" ht="14.25">
      <c r="R1277" s="20">
        <v>1250</v>
      </c>
    </row>
    <row r="1278" spans="18:18" ht="14.25">
      <c r="R1278" s="20">
        <v>1251</v>
      </c>
    </row>
    <row r="1279" spans="18:18" ht="14.25">
      <c r="R1279" s="20">
        <v>1252</v>
      </c>
    </row>
    <row r="1280" spans="18:18" ht="14.25">
      <c r="R1280" s="20">
        <v>1253</v>
      </c>
    </row>
    <row r="1281" spans="18:18" ht="14.25">
      <c r="R1281" s="20">
        <v>1254</v>
      </c>
    </row>
    <row r="1282" spans="18:18" ht="14.25">
      <c r="R1282" s="20">
        <v>1255</v>
      </c>
    </row>
    <row r="1283" spans="18:18" ht="14.25">
      <c r="R1283" s="20">
        <v>1256</v>
      </c>
    </row>
    <row r="1284" spans="18:18" ht="14.25">
      <c r="R1284" s="20">
        <v>1257</v>
      </c>
    </row>
    <row r="1285" spans="18:18" ht="14.25">
      <c r="R1285" s="20">
        <v>1258</v>
      </c>
    </row>
    <row r="1286" spans="18:18" ht="14.25">
      <c r="R1286" s="20">
        <v>1259</v>
      </c>
    </row>
    <row r="1287" spans="18:18" ht="14.25">
      <c r="R1287" s="20">
        <v>1260</v>
      </c>
    </row>
    <row r="1288" spans="18:18" ht="14.25">
      <c r="R1288" s="20">
        <v>1261</v>
      </c>
    </row>
    <row r="1289" spans="18:18" ht="14.25">
      <c r="R1289" s="20">
        <v>1262</v>
      </c>
    </row>
    <row r="1290" spans="18:18" ht="14.25">
      <c r="R1290" s="20">
        <v>1263</v>
      </c>
    </row>
    <row r="1291" spans="18:18" ht="14.25">
      <c r="R1291" s="20">
        <v>1264</v>
      </c>
    </row>
    <row r="1292" spans="18:18" ht="14.25">
      <c r="R1292" s="20">
        <v>1265</v>
      </c>
    </row>
    <row r="1293" spans="18:18" ht="14.25">
      <c r="R1293" s="20">
        <v>1266</v>
      </c>
    </row>
    <row r="1294" spans="18:18" ht="14.25">
      <c r="R1294" s="20">
        <v>1267</v>
      </c>
    </row>
    <row r="1295" spans="18:18" ht="14.25">
      <c r="R1295" s="20">
        <v>1268</v>
      </c>
    </row>
    <row r="1296" spans="18:18" ht="14.25">
      <c r="R1296" s="20">
        <v>1269</v>
      </c>
    </row>
    <row r="1297" spans="18:18" ht="14.25">
      <c r="R1297" s="20">
        <v>1270</v>
      </c>
    </row>
    <row r="1298" spans="18:18" ht="14.25">
      <c r="R1298" s="20">
        <v>1271</v>
      </c>
    </row>
    <row r="1299" spans="18:18" ht="14.25">
      <c r="R1299" s="20">
        <v>1272</v>
      </c>
    </row>
    <row r="1300" spans="18:18" ht="14.25">
      <c r="R1300" s="20">
        <v>1273</v>
      </c>
    </row>
    <row r="1301" spans="18:18" ht="14.25">
      <c r="R1301" s="20">
        <v>1274</v>
      </c>
    </row>
    <row r="1302" spans="18:18" ht="14.25">
      <c r="R1302" s="20">
        <v>1275</v>
      </c>
    </row>
    <row r="1303" spans="18:18" ht="14.25">
      <c r="R1303" s="20">
        <v>1276</v>
      </c>
    </row>
    <row r="1304" spans="18:18" ht="14.25">
      <c r="R1304" s="20">
        <v>1277</v>
      </c>
    </row>
    <row r="1305" spans="18:18" ht="14.25">
      <c r="R1305" s="20">
        <v>1278</v>
      </c>
    </row>
    <row r="1306" spans="18:18" ht="14.25">
      <c r="R1306" s="20">
        <v>1279</v>
      </c>
    </row>
    <row r="1307" spans="18:18" ht="14.25">
      <c r="R1307" s="20">
        <v>1280</v>
      </c>
    </row>
    <row r="1308" spans="18:18" ht="14.25">
      <c r="R1308" s="20">
        <v>1281</v>
      </c>
    </row>
    <row r="1309" spans="18:18" ht="14.25">
      <c r="R1309" s="20">
        <v>1282</v>
      </c>
    </row>
    <row r="1310" spans="18:18" ht="14.25">
      <c r="R1310" s="20">
        <v>1283</v>
      </c>
    </row>
    <row r="1311" spans="18:18" ht="14.25">
      <c r="R1311" s="20">
        <v>1284</v>
      </c>
    </row>
    <row r="1312" spans="18:18" ht="14.25">
      <c r="R1312" s="20">
        <v>1285</v>
      </c>
    </row>
    <row r="1313" spans="18:18" ht="14.25">
      <c r="R1313" s="20">
        <v>1286</v>
      </c>
    </row>
    <row r="1314" spans="18:18" ht="14.25">
      <c r="R1314" s="20">
        <v>1287</v>
      </c>
    </row>
    <row r="1315" spans="18:18" ht="14.25">
      <c r="R1315" s="20">
        <v>1288</v>
      </c>
    </row>
    <row r="1316" spans="18:18" ht="14.25">
      <c r="R1316" s="20">
        <v>1289</v>
      </c>
    </row>
    <row r="1317" spans="18:18" ht="14.25">
      <c r="R1317" s="20">
        <v>1290</v>
      </c>
    </row>
    <row r="1318" spans="18:18" ht="14.25">
      <c r="R1318" s="20">
        <v>1291</v>
      </c>
    </row>
    <row r="1319" spans="18:18" ht="14.25">
      <c r="R1319" s="20">
        <v>1292</v>
      </c>
    </row>
    <row r="1320" spans="18:18" ht="14.25">
      <c r="R1320" s="20">
        <v>1293</v>
      </c>
    </row>
    <row r="1321" spans="18:18" ht="14.25">
      <c r="R1321" s="20">
        <v>1294</v>
      </c>
    </row>
    <row r="1322" spans="18:18" ht="14.25">
      <c r="R1322" s="20">
        <v>1295</v>
      </c>
    </row>
    <row r="1323" spans="18:18" ht="14.25">
      <c r="R1323" s="20">
        <v>1296</v>
      </c>
    </row>
    <row r="1324" spans="18:18" ht="14.25">
      <c r="R1324" s="20">
        <v>1297</v>
      </c>
    </row>
    <row r="1325" spans="18:18" ht="14.25">
      <c r="R1325" s="20">
        <v>1298</v>
      </c>
    </row>
    <row r="1326" spans="18:18" ht="14.25">
      <c r="R1326" s="20">
        <v>1299</v>
      </c>
    </row>
    <row r="1327" spans="18:18" ht="14.25">
      <c r="R1327" s="20">
        <v>1300</v>
      </c>
    </row>
    <row r="1328" spans="18:18" ht="14.25">
      <c r="R1328" s="20">
        <v>1301</v>
      </c>
    </row>
    <row r="1329" spans="18:18" ht="14.25">
      <c r="R1329" s="20">
        <v>1302</v>
      </c>
    </row>
    <row r="1330" spans="18:18" ht="14.25">
      <c r="R1330" s="20">
        <v>1303</v>
      </c>
    </row>
    <row r="1331" spans="18:18" ht="14.25">
      <c r="R1331" s="20">
        <v>1304</v>
      </c>
    </row>
    <row r="1332" spans="18:18" ht="14.25">
      <c r="R1332" s="20">
        <v>1305</v>
      </c>
    </row>
    <row r="1333" spans="18:18" ht="14.25">
      <c r="R1333" s="20">
        <v>1306</v>
      </c>
    </row>
    <row r="1334" spans="18:18" ht="14.25">
      <c r="R1334" s="20">
        <v>1307</v>
      </c>
    </row>
    <row r="1335" spans="18:18" ht="14.25">
      <c r="R1335" s="20">
        <v>1308</v>
      </c>
    </row>
    <row r="1336" spans="18:18" ht="14.25">
      <c r="R1336" s="20">
        <v>1309</v>
      </c>
    </row>
    <row r="1337" spans="18:18" ht="14.25">
      <c r="R1337" s="20">
        <v>1310</v>
      </c>
    </row>
    <row r="1338" spans="18:18" ht="14.25">
      <c r="R1338" s="20">
        <v>1311</v>
      </c>
    </row>
    <row r="1339" spans="18:18" ht="14.25">
      <c r="R1339" s="20">
        <v>1312</v>
      </c>
    </row>
    <row r="1340" spans="18:18" ht="14.25">
      <c r="R1340" s="20">
        <v>1313</v>
      </c>
    </row>
    <row r="1341" spans="18:18" ht="14.25">
      <c r="R1341" s="20">
        <v>1314</v>
      </c>
    </row>
    <row r="1342" spans="18:18" ht="14.25">
      <c r="R1342" s="20">
        <v>1315</v>
      </c>
    </row>
    <row r="1343" spans="18:18" ht="14.25">
      <c r="R1343" s="20">
        <v>1316</v>
      </c>
    </row>
    <row r="1344" spans="18:18" ht="14.25">
      <c r="R1344" s="20">
        <v>1317</v>
      </c>
    </row>
    <row r="1345" spans="18:18" ht="14.25">
      <c r="R1345" s="20">
        <v>1318</v>
      </c>
    </row>
    <row r="1346" spans="18:18" ht="14.25">
      <c r="R1346" s="20">
        <v>1319</v>
      </c>
    </row>
    <row r="1347" spans="18:18" ht="14.25">
      <c r="R1347" s="20">
        <v>1320</v>
      </c>
    </row>
    <row r="1348" spans="18:18" ht="14.25">
      <c r="R1348" s="20">
        <v>1321</v>
      </c>
    </row>
    <row r="1349" spans="18:18" ht="14.25">
      <c r="R1349" s="20">
        <v>1322</v>
      </c>
    </row>
    <row r="1350" spans="18:18" ht="14.25">
      <c r="R1350" s="20">
        <v>1323</v>
      </c>
    </row>
    <row r="1351" spans="18:18" ht="14.25">
      <c r="R1351" s="20">
        <v>1324</v>
      </c>
    </row>
    <row r="1352" spans="18:18" ht="14.25">
      <c r="R1352" s="20">
        <v>1325</v>
      </c>
    </row>
    <row r="1353" spans="18:18" ht="14.25">
      <c r="R1353" s="20">
        <v>1326</v>
      </c>
    </row>
    <row r="1354" spans="18:18" ht="14.25">
      <c r="R1354" s="20">
        <v>1327</v>
      </c>
    </row>
    <row r="1355" spans="18:18" ht="14.25">
      <c r="R1355" s="20">
        <v>1328</v>
      </c>
    </row>
    <row r="1356" spans="18:18" ht="14.25">
      <c r="R1356" s="20">
        <v>1329</v>
      </c>
    </row>
    <row r="1357" spans="18:18" ht="14.25">
      <c r="R1357" s="20">
        <v>1330</v>
      </c>
    </row>
    <row r="1358" spans="18:18" ht="14.25">
      <c r="R1358" s="20">
        <v>1331</v>
      </c>
    </row>
    <row r="1359" spans="18:18" ht="14.25">
      <c r="R1359" s="20">
        <v>1332</v>
      </c>
    </row>
    <row r="1360" spans="18:18" ht="14.25">
      <c r="R1360" s="20">
        <v>1333</v>
      </c>
    </row>
    <row r="1361" spans="18:18" ht="14.25">
      <c r="R1361" s="20">
        <v>1334</v>
      </c>
    </row>
    <row r="1362" spans="18:18" ht="14.25">
      <c r="R1362" s="20">
        <v>1335</v>
      </c>
    </row>
    <row r="1363" spans="18:18" ht="14.25">
      <c r="R1363" s="20">
        <v>1336</v>
      </c>
    </row>
    <row r="1364" spans="18:18" ht="14.25">
      <c r="R1364" s="20">
        <v>1337</v>
      </c>
    </row>
    <row r="1365" spans="18:18" ht="14.25">
      <c r="R1365" s="20">
        <v>1338</v>
      </c>
    </row>
    <row r="1366" spans="18:18" ht="14.25">
      <c r="R1366" s="20">
        <v>1339</v>
      </c>
    </row>
    <row r="1367" spans="18:18" ht="14.25">
      <c r="R1367" s="20">
        <v>1340</v>
      </c>
    </row>
    <row r="1368" spans="18:18" ht="14.25">
      <c r="R1368" s="20">
        <v>1341</v>
      </c>
    </row>
    <row r="1369" spans="18:18" ht="14.25">
      <c r="R1369" s="20">
        <v>1342</v>
      </c>
    </row>
    <row r="1370" spans="18:18" ht="14.25">
      <c r="R1370" s="20">
        <v>1343</v>
      </c>
    </row>
    <row r="1371" spans="18:18" ht="14.25">
      <c r="R1371" s="20">
        <v>1344</v>
      </c>
    </row>
    <row r="1372" spans="18:18" ht="14.25">
      <c r="R1372" s="20">
        <v>1345</v>
      </c>
    </row>
    <row r="1373" spans="18:18" ht="14.25">
      <c r="R1373" s="20">
        <v>1346</v>
      </c>
    </row>
    <row r="1374" spans="18:18" ht="14.25">
      <c r="R1374" s="20">
        <v>1347</v>
      </c>
    </row>
    <row r="1375" spans="18:18" ht="14.25">
      <c r="R1375" s="20">
        <v>1348</v>
      </c>
    </row>
    <row r="1376" spans="18:18" ht="14.25">
      <c r="R1376" s="20">
        <v>1349</v>
      </c>
    </row>
    <row r="1377" spans="18:18" ht="14.25">
      <c r="R1377" s="20">
        <v>1350</v>
      </c>
    </row>
    <row r="1378" spans="18:18" ht="14.25">
      <c r="R1378" s="20">
        <v>1351</v>
      </c>
    </row>
    <row r="1379" spans="18:18" ht="14.25">
      <c r="R1379" s="20">
        <v>1352</v>
      </c>
    </row>
    <row r="1380" spans="18:18" ht="14.25">
      <c r="R1380" s="20">
        <v>1353</v>
      </c>
    </row>
    <row r="1381" spans="18:18" ht="14.25">
      <c r="R1381" s="20">
        <v>1354</v>
      </c>
    </row>
    <row r="1382" spans="18:18" ht="14.25">
      <c r="R1382" s="20">
        <v>1355</v>
      </c>
    </row>
    <row r="1383" spans="18:18" ht="14.25">
      <c r="R1383" s="20">
        <v>1356</v>
      </c>
    </row>
    <row r="1384" spans="18:18" ht="14.25">
      <c r="R1384" s="20">
        <v>1357</v>
      </c>
    </row>
    <row r="1385" spans="18:18" ht="14.25">
      <c r="R1385" s="20">
        <v>1358</v>
      </c>
    </row>
    <row r="1386" spans="18:18" ht="14.25">
      <c r="R1386" s="20">
        <v>1359</v>
      </c>
    </row>
    <row r="1387" spans="18:18" ht="14.25">
      <c r="R1387" s="20">
        <v>1360</v>
      </c>
    </row>
    <row r="1388" spans="18:18" ht="14.25">
      <c r="R1388" s="20">
        <v>1361</v>
      </c>
    </row>
    <row r="1389" spans="18:18" ht="14.25">
      <c r="R1389" s="20">
        <v>1362</v>
      </c>
    </row>
    <row r="1390" spans="18:18" ht="14.25">
      <c r="R1390" s="20">
        <v>1363</v>
      </c>
    </row>
    <row r="1391" spans="18:18" ht="14.25">
      <c r="R1391" s="20">
        <v>1364</v>
      </c>
    </row>
    <row r="1392" spans="18:18" ht="14.25">
      <c r="R1392" s="20">
        <v>1365</v>
      </c>
    </row>
    <row r="1393" spans="18:18" ht="14.25">
      <c r="R1393" s="20">
        <v>1366</v>
      </c>
    </row>
    <row r="1394" spans="18:18" ht="14.25">
      <c r="R1394" s="20">
        <v>1367</v>
      </c>
    </row>
    <row r="1395" spans="18:18" ht="14.25">
      <c r="R1395" s="20">
        <v>1368</v>
      </c>
    </row>
    <row r="1396" spans="18:18" ht="14.25">
      <c r="R1396" s="20">
        <v>1369</v>
      </c>
    </row>
    <row r="1397" spans="18:18" ht="14.25">
      <c r="R1397" s="20">
        <v>1370</v>
      </c>
    </row>
    <row r="1398" spans="18:18" ht="14.25">
      <c r="R1398" s="20">
        <v>1371</v>
      </c>
    </row>
    <row r="1399" spans="18:18" ht="14.25">
      <c r="R1399" s="20">
        <v>1372</v>
      </c>
    </row>
    <row r="1400" spans="18:18" ht="14.25">
      <c r="R1400" s="20">
        <v>1373</v>
      </c>
    </row>
    <row r="1401" spans="18:18" ht="14.25">
      <c r="R1401" s="20">
        <v>1374</v>
      </c>
    </row>
    <row r="1402" spans="18:18" ht="14.25">
      <c r="R1402" s="20">
        <v>1375</v>
      </c>
    </row>
    <row r="1403" spans="18:18" ht="14.25">
      <c r="R1403" s="20">
        <v>1376</v>
      </c>
    </row>
    <row r="1404" spans="18:18" ht="14.25">
      <c r="R1404" s="20">
        <v>1377</v>
      </c>
    </row>
    <row r="1405" spans="18:18" ht="14.25">
      <c r="R1405" s="20">
        <v>1378</v>
      </c>
    </row>
    <row r="1406" spans="18:18" ht="14.25">
      <c r="R1406" s="20">
        <v>1379</v>
      </c>
    </row>
    <row r="1407" spans="18:18" ht="14.25">
      <c r="R1407" s="20">
        <v>1380</v>
      </c>
    </row>
    <row r="1408" spans="18:18" ht="14.25">
      <c r="R1408" s="20">
        <v>1381</v>
      </c>
    </row>
    <row r="1409" spans="18:18" ht="14.25">
      <c r="R1409" s="20">
        <v>1382</v>
      </c>
    </row>
    <row r="1410" spans="18:18" ht="14.25">
      <c r="R1410" s="20">
        <v>1383</v>
      </c>
    </row>
    <row r="1411" spans="18:18" ht="14.25">
      <c r="R1411" s="20">
        <v>1384</v>
      </c>
    </row>
    <row r="1412" spans="18:18" ht="14.25">
      <c r="R1412" s="20">
        <v>1385</v>
      </c>
    </row>
    <row r="1413" spans="18:18" ht="14.25">
      <c r="R1413" s="20">
        <v>1386</v>
      </c>
    </row>
    <row r="1414" spans="18:18" ht="14.25">
      <c r="R1414" s="20">
        <v>1387</v>
      </c>
    </row>
    <row r="1415" spans="18:18" ht="14.25">
      <c r="R1415" s="20">
        <v>1388</v>
      </c>
    </row>
    <row r="1416" spans="18:18" ht="14.25">
      <c r="R1416" s="20">
        <v>1389</v>
      </c>
    </row>
    <row r="1417" spans="18:18" ht="14.25">
      <c r="R1417" s="20">
        <v>1390</v>
      </c>
    </row>
    <row r="1418" spans="18:18" ht="14.25">
      <c r="R1418" s="20">
        <v>1391</v>
      </c>
    </row>
    <row r="1419" spans="18:18" ht="14.25">
      <c r="R1419" s="20">
        <v>1392</v>
      </c>
    </row>
    <row r="1420" spans="18:18" ht="14.25">
      <c r="R1420" s="20">
        <v>1393</v>
      </c>
    </row>
    <row r="1421" spans="18:18" ht="14.25">
      <c r="R1421" s="20">
        <v>1394</v>
      </c>
    </row>
    <row r="1422" spans="18:18" ht="14.25">
      <c r="R1422" s="20">
        <v>1395</v>
      </c>
    </row>
    <row r="1423" spans="18:18" ht="14.25">
      <c r="R1423" s="20">
        <v>1396</v>
      </c>
    </row>
    <row r="1424" spans="18:18" ht="14.25">
      <c r="R1424" s="20">
        <v>1397</v>
      </c>
    </row>
    <row r="1425" spans="18:18" ht="14.25">
      <c r="R1425" s="20">
        <v>1398</v>
      </c>
    </row>
    <row r="1426" spans="18:18" ht="14.25">
      <c r="R1426" s="20">
        <v>1399</v>
      </c>
    </row>
    <row r="1427" spans="18:18" ht="14.25">
      <c r="R1427" s="20">
        <v>1400</v>
      </c>
    </row>
    <row r="1428" spans="18:18" ht="14.25">
      <c r="R1428" s="20">
        <v>1401</v>
      </c>
    </row>
    <row r="1429" spans="18:18" ht="14.25">
      <c r="R1429" s="20">
        <v>1402</v>
      </c>
    </row>
    <row r="1430" spans="18:18" ht="14.25">
      <c r="R1430" s="20">
        <v>1403</v>
      </c>
    </row>
    <row r="1431" spans="18:18" ht="14.25">
      <c r="R1431" s="20">
        <v>1404</v>
      </c>
    </row>
    <row r="1432" spans="18:18" ht="14.25">
      <c r="R1432" s="20">
        <v>1405</v>
      </c>
    </row>
    <row r="1433" spans="18:18" ht="14.25">
      <c r="R1433" s="20">
        <v>1406</v>
      </c>
    </row>
    <row r="1434" spans="18:18" ht="14.25">
      <c r="R1434" s="20">
        <v>1407</v>
      </c>
    </row>
    <row r="1435" spans="18:18" ht="14.25">
      <c r="R1435" s="20">
        <v>1408</v>
      </c>
    </row>
    <row r="1436" spans="18:18" ht="14.25">
      <c r="R1436" s="20">
        <v>1409</v>
      </c>
    </row>
    <row r="1437" spans="18:18" ht="14.25">
      <c r="R1437" s="20">
        <v>1410</v>
      </c>
    </row>
    <row r="1438" spans="18:18" ht="14.25">
      <c r="R1438" s="20">
        <v>1411</v>
      </c>
    </row>
    <row r="1439" spans="18:18" ht="14.25">
      <c r="R1439" s="20">
        <v>1412</v>
      </c>
    </row>
    <row r="1440" spans="18:18" ht="14.25">
      <c r="R1440" s="20">
        <v>1413</v>
      </c>
    </row>
    <row r="1441" spans="18:18" ht="14.25">
      <c r="R1441" s="20">
        <v>1414</v>
      </c>
    </row>
    <row r="1442" spans="18:18" ht="14.25">
      <c r="R1442" s="20">
        <v>1415</v>
      </c>
    </row>
    <row r="1443" spans="18:18" ht="14.25">
      <c r="R1443" s="20">
        <v>1416</v>
      </c>
    </row>
    <row r="1444" spans="18:18" ht="14.25">
      <c r="R1444" s="20">
        <v>1417</v>
      </c>
    </row>
    <row r="1445" spans="18:18" ht="14.25">
      <c r="R1445" s="20">
        <v>1418</v>
      </c>
    </row>
    <row r="1446" spans="18:18" ht="14.25">
      <c r="R1446" s="20">
        <v>1419</v>
      </c>
    </row>
    <row r="1447" spans="18:18" ht="14.25">
      <c r="R1447" s="20">
        <v>1420</v>
      </c>
    </row>
    <row r="1448" spans="18:18" ht="14.25">
      <c r="R1448" s="20">
        <v>1421</v>
      </c>
    </row>
    <row r="1449" spans="18:18" ht="14.25">
      <c r="R1449" s="20">
        <v>1422</v>
      </c>
    </row>
    <row r="1450" spans="18:18" ht="14.25">
      <c r="R1450" s="20">
        <v>1423</v>
      </c>
    </row>
    <row r="1451" spans="18:18" ht="14.25">
      <c r="R1451" s="20">
        <v>1424</v>
      </c>
    </row>
    <row r="1452" spans="18:18" ht="14.25">
      <c r="R1452" s="20">
        <v>1425</v>
      </c>
    </row>
    <row r="1453" spans="18:18" ht="14.25">
      <c r="R1453" s="20">
        <v>1426</v>
      </c>
    </row>
    <row r="1454" spans="18:18" ht="14.25">
      <c r="R1454" s="20">
        <v>1427</v>
      </c>
    </row>
    <row r="1455" spans="18:18" ht="14.25">
      <c r="R1455" s="20">
        <v>1428</v>
      </c>
    </row>
    <row r="1456" spans="18:18" ht="14.25">
      <c r="R1456" s="20">
        <v>1429</v>
      </c>
    </row>
    <row r="1457" spans="18:18" ht="14.25">
      <c r="R1457" s="20">
        <v>1430</v>
      </c>
    </row>
    <row r="1458" spans="18:18" ht="14.25">
      <c r="R1458" s="20">
        <v>1431</v>
      </c>
    </row>
    <row r="1459" spans="18:18" ht="14.25">
      <c r="R1459" s="20">
        <v>1432</v>
      </c>
    </row>
    <row r="1460" spans="18:18" ht="14.25">
      <c r="R1460" s="20">
        <v>1433</v>
      </c>
    </row>
    <row r="1461" spans="18:18" ht="14.25">
      <c r="R1461" s="20">
        <v>1434</v>
      </c>
    </row>
    <row r="1462" spans="18:18" ht="14.25">
      <c r="R1462" s="20">
        <v>1435</v>
      </c>
    </row>
    <row r="1463" spans="18:18" ht="14.25">
      <c r="R1463" s="20">
        <v>1436</v>
      </c>
    </row>
    <row r="1464" spans="18:18" ht="14.25">
      <c r="R1464" s="20">
        <v>1437</v>
      </c>
    </row>
    <row r="1465" spans="18:18" ht="14.25">
      <c r="R1465" s="20">
        <v>1438</v>
      </c>
    </row>
    <row r="1466" spans="18:18" ht="14.25">
      <c r="R1466" s="20">
        <v>1439</v>
      </c>
    </row>
    <row r="1467" spans="18:18" ht="14.25">
      <c r="R1467" s="20">
        <v>1440</v>
      </c>
    </row>
    <row r="1468" spans="18:18" ht="14.25">
      <c r="R1468" s="20">
        <v>1441</v>
      </c>
    </row>
    <row r="1469" spans="18:18" ht="14.25">
      <c r="R1469" s="20">
        <v>1442</v>
      </c>
    </row>
    <row r="1470" spans="18:18" ht="14.25">
      <c r="R1470" s="20">
        <v>1443</v>
      </c>
    </row>
    <row r="1471" spans="18:18" ht="14.25">
      <c r="R1471" s="20">
        <v>1444</v>
      </c>
    </row>
    <row r="1472" spans="18:18" ht="14.25">
      <c r="R1472" s="20">
        <v>1445</v>
      </c>
    </row>
    <row r="1473" spans="18:18" ht="14.25">
      <c r="R1473" s="20">
        <v>1446</v>
      </c>
    </row>
    <row r="1474" spans="18:18" ht="14.25">
      <c r="R1474" s="20">
        <v>1447</v>
      </c>
    </row>
    <row r="1475" spans="18:18" ht="14.25">
      <c r="R1475" s="20">
        <v>1448</v>
      </c>
    </row>
    <row r="1476" spans="18:18" ht="14.25">
      <c r="R1476" s="20">
        <v>1449</v>
      </c>
    </row>
    <row r="1477" spans="18:18" ht="14.25">
      <c r="R1477" s="20">
        <v>1450</v>
      </c>
    </row>
    <row r="1478" spans="18:18" ht="14.25">
      <c r="R1478" s="20">
        <v>1451</v>
      </c>
    </row>
    <row r="1479" spans="18:18" ht="14.25">
      <c r="R1479" s="20">
        <v>1452</v>
      </c>
    </row>
    <row r="1480" spans="18:18" ht="14.25">
      <c r="R1480" s="20">
        <v>1453</v>
      </c>
    </row>
    <row r="1481" spans="18:18" ht="14.25">
      <c r="R1481" s="20">
        <v>1454</v>
      </c>
    </row>
    <row r="1482" spans="18:18" ht="14.25">
      <c r="R1482" s="20">
        <v>1455</v>
      </c>
    </row>
    <row r="1483" spans="18:18" ht="14.25">
      <c r="R1483" s="20">
        <v>1456</v>
      </c>
    </row>
    <row r="1484" spans="18:18" ht="14.25">
      <c r="R1484" s="20">
        <v>1457</v>
      </c>
    </row>
    <row r="1485" spans="18:18" ht="14.25">
      <c r="R1485" s="20">
        <v>1458</v>
      </c>
    </row>
    <row r="1486" spans="18:18" ht="14.25">
      <c r="R1486" s="20">
        <v>1459</v>
      </c>
    </row>
    <row r="1487" spans="18:18" ht="14.25">
      <c r="R1487" s="20">
        <v>1460</v>
      </c>
    </row>
    <row r="1488" spans="18:18" ht="14.25">
      <c r="R1488" s="20">
        <v>1461</v>
      </c>
    </row>
    <row r="1489" spans="18:18" ht="14.25">
      <c r="R1489" s="20">
        <v>1462</v>
      </c>
    </row>
    <row r="1490" spans="18:18" ht="14.25">
      <c r="R1490" s="20">
        <v>1463</v>
      </c>
    </row>
    <row r="1491" spans="18:18" ht="14.25">
      <c r="R1491" s="20">
        <v>1464</v>
      </c>
    </row>
    <row r="1492" spans="18:18" ht="14.25">
      <c r="R1492" s="20">
        <v>1465</v>
      </c>
    </row>
    <row r="1493" spans="18:18" ht="14.25">
      <c r="R1493" s="20">
        <v>1466</v>
      </c>
    </row>
    <row r="1494" spans="18:18" ht="14.25">
      <c r="R1494" s="20">
        <v>1467</v>
      </c>
    </row>
    <row r="1495" spans="18:18" ht="14.25">
      <c r="R1495" s="20">
        <v>1468</v>
      </c>
    </row>
    <row r="1496" spans="18:18" ht="14.25">
      <c r="R1496" s="20">
        <v>1469</v>
      </c>
    </row>
    <row r="1497" spans="18:18" ht="14.25">
      <c r="R1497" s="20">
        <v>1470</v>
      </c>
    </row>
    <row r="1498" spans="18:18" ht="14.25">
      <c r="R1498" s="20">
        <v>1471</v>
      </c>
    </row>
    <row r="1499" spans="18:18" ht="14.25">
      <c r="R1499" s="20">
        <v>1472</v>
      </c>
    </row>
    <row r="1500" spans="18:18" ht="14.25">
      <c r="R1500" s="20">
        <v>1473</v>
      </c>
    </row>
    <row r="1501" spans="18:18" ht="14.25">
      <c r="R1501" s="20">
        <v>1474</v>
      </c>
    </row>
    <row r="1502" spans="18:18" ht="14.25">
      <c r="R1502" s="20">
        <v>1475</v>
      </c>
    </row>
    <row r="1503" spans="18:18" ht="14.25">
      <c r="R1503" s="20">
        <v>1476</v>
      </c>
    </row>
    <row r="1504" spans="18:18" ht="14.25">
      <c r="R1504" s="20">
        <v>1477</v>
      </c>
    </row>
    <row r="1505" spans="18:18" ht="14.25">
      <c r="R1505" s="20">
        <v>1478</v>
      </c>
    </row>
    <row r="1506" spans="18:18" ht="14.25">
      <c r="R1506" s="20">
        <v>1479</v>
      </c>
    </row>
    <row r="1507" spans="18:18" ht="14.25">
      <c r="R1507" s="20">
        <v>1480</v>
      </c>
    </row>
    <row r="1508" spans="18:18" ht="14.25">
      <c r="R1508" s="20">
        <v>1481</v>
      </c>
    </row>
    <row r="1509" spans="18:18" ht="14.25">
      <c r="R1509" s="20">
        <v>1482</v>
      </c>
    </row>
    <row r="1510" spans="18:18" ht="14.25">
      <c r="R1510" s="20">
        <v>1483</v>
      </c>
    </row>
    <row r="1511" spans="18:18" ht="14.25">
      <c r="R1511" s="20">
        <v>1484</v>
      </c>
    </row>
    <row r="1512" spans="18:18" ht="14.25">
      <c r="R1512" s="20">
        <v>1485</v>
      </c>
    </row>
    <row r="1513" spans="18:18" ht="14.25">
      <c r="R1513" s="20">
        <v>1486</v>
      </c>
    </row>
    <row r="1514" spans="18:18" ht="14.25">
      <c r="R1514" s="20">
        <v>1487</v>
      </c>
    </row>
    <row r="1515" spans="18:18" ht="14.25">
      <c r="R1515" s="20">
        <v>1488</v>
      </c>
    </row>
    <row r="1516" spans="18:18" ht="14.25">
      <c r="R1516" s="20">
        <v>1489</v>
      </c>
    </row>
    <row r="1517" spans="18:18" ht="14.25">
      <c r="R1517" s="20">
        <v>1490</v>
      </c>
    </row>
    <row r="1518" spans="18:18" ht="14.25">
      <c r="R1518" s="20">
        <v>1491</v>
      </c>
    </row>
    <row r="1519" spans="18:18" ht="14.25">
      <c r="R1519" s="20">
        <v>1492</v>
      </c>
    </row>
    <row r="1520" spans="18:18" ht="14.25">
      <c r="R1520" s="20">
        <v>1493</v>
      </c>
    </row>
    <row r="1521" spans="18:18" ht="14.25">
      <c r="R1521" s="20">
        <v>1494</v>
      </c>
    </row>
    <row r="1522" spans="18:18" ht="14.25">
      <c r="R1522" s="20">
        <v>1495</v>
      </c>
    </row>
    <row r="1523" spans="18:18" ht="14.25">
      <c r="R1523" s="20">
        <v>1496</v>
      </c>
    </row>
    <row r="1524" spans="18:18" ht="14.25">
      <c r="R1524" s="20">
        <v>1497</v>
      </c>
    </row>
    <row r="1525" spans="18:18" ht="14.25">
      <c r="R1525" s="20">
        <v>1498</v>
      </c>
    </row>
    <row r="1526" spans="18:18" ht="14.25">
      <c r="R1526" s="20">
        <v>1499</v>
      </c>
    </row>
    <row r="1527" spans="18:18" ht="14.25">
      <c r="R1527" s="20">
        <v>1500</v>
      </c>
    </row>
    <row r="1528" spans="18:18" ht="14.25">
      <c r="R1528" s="20">
        <v>1501</v>
      </c>
    </row>
    <row r="1529" spans="18:18" ht="14.25">
      <c r="R1529" s="20">
        <v>1502</v>
      </c>
    </row>
    <row r="1530" spans="18:18" ht="14.25">
      <c r="R1530" s="20">
        <v>1503</v>
      </c>
    </row>
    <row r="1531" spans="18:18" ht="14.25">
      <c r="R1531" s="20">
        <v>1504</v>
      </c>
    </row>
    <row r="1532" spans="18:18" ht="14.25">
      <c r="R1532" s="20">
        <v>1505</v>
      </c>
    </row>
    <row r="1533" spans="18:18" ht="14.25">
      <c r="R1533" s="20">
        <v>1506</v>
      </c>
    </row>
    <row r="1534" spans="18:18" ht="14.25">
      <c r="R1534" s="20">
        <v>1507</v>
      </c>
    </row>
    <row r="1535" spans="18:18" ht="14.25">
      <c r="R1535" s="20">
        <v>1508</v>
      </c>
    </row>
    <row r="1536" spans="18:18" ht="14.25">
      <c r="R1536" s="20">
        <v>1509</v>
      </c>
    </row>
    <row r="1537" spans="18:18" ht="14.25">
      <c r="R1537" s="20">
        <v>1510</v>
      </c>
    </row>
    <row r="1538" spans="18:18" ht="14.25">
      <c r="R1538" s="20">
        <v>1511</v>
      </c>
    </row>
    <row r="1539" spans="18:18" ht="14.25">
      <c r="R1539" s="20">
        <v>1512</v>
      </c>
    </row>
    <row r="1540" spans="18:18" ht="14.25">
      <c r="R1540" s="20">
        <v>1513</v>
      </c>
    </row>
    <row r="1541" spans="18:18" ht="14.25">
      <c r="R1541" s="20">
        <v>1514</v>
      </c>
    </row>
    <row r="1542" spans="18:18" ht="14.25">
      <c r="R1542" s="20">
        <v>1515</v>
      </c>
    </row>
    <row r="1543" spans="18:18" ht="14.25">
      <c r="R1543" s="20">
        <v>1516</v>
      </c>
    </row>
    <row r="1544" spans="18:18" ht="14.25">
      <c r="R1544" s="20">
        <v>1517</v>
      </c>
    </row>
    <row r="1545" spans="18:18" ht="14.25">
      <c r="R1545" s="20">
        <v>1518</v>
      </c>
    </row>
    <row r="1546" spans="18:18" ht="14.25">
      <c r="R1546" s="20">
        <v>1519</v>
      </c>
    </row>
    <row r="1547" spans="18:18" ht="14.25">
      <c r="R1547" s="20">
        <v>1520</v>
      </c>
    </row>
    <row r="1548" spans="18:18" ht="14.25">
      <c r="R1548" s="20">
        <v>1521</v>
      </c>
    </row>
    <row r="1549" spans="18:18" ht="14.25">
      <c r="R1549" s="20">
        <v>1522</v>
      </c>
    </row>
    <row r="1550" spans="18:18" ht="14.25">
      <c r="R1550" s="20">
        <v>1523</v>
      </c>
    </row>
    <row r="1551" spans="18:18" ht="14.25">
      <c r="R1551" s="20">
        <v>1524</v>
      </c>
    </row>
    <row r="1552" spans="18:18" ht="14.25">
      <c r="R1552" s="20">
        <v>1525</v>
      </c>
    </row>
    <row r="1553" spans="18:18" ht="14.25">
      <c r="R1553" s="20">
        <v>1526</v>
      </c>
    </row>
    <row r="1554" spans="18:18" ht="14.25">
      <c r="R1554" s="20">
        <v>1527</v>
      </c>
    </row>
    <row r="1555" spans="18:18" ht="14.25">
      <c r="R1555" s="20">
        <v>1528</v>
      </c>
    </row>
    <row r="1556" spans="18:18" ht="14.25">
      <c r="R1556" s="20">
        <v>1529</v>
      </c>
    </row>
    <row r="1557" spans="18:18" ht="14.25">
      <c r="R1557" s="20">
        <v>1530</v>
      </c>
    </row>
    <row r="1558" spans="18:18" ht="14.25">
      <c r="R1558" s="20">
        <v>1531</v>
      </c>
    </row>
    <row r="1559" spans="18:18" ht="14.25">
      <c r="R1559" s="20">
        <v>1532</v>
      </c>
    </row>
    <row r="1560" spans="18:18" ht="14.25">
      <c r="R1560" s="20">
        <v>1533</v>
      </c>
    </row>
    <row r="1561" spans="18:18" ht="14.25">
      <c r="R1561" s="20">
        <v>1534</v>
      </c>
    </row>
    <row r="1562" spans="18:18" ht="14.25">
      <c r="R1562" s="20">
        <v>1535</v>
      </c>
    </row>
    <row r="1563" spans="18:18" ht="14.25">
      <c r="R1563" s="20">
        <v>1536</v>
      </c>
    </row>
    <row r="1564" spans="18:18" ht="14.25">
      <c r="R1564" s="20">
        <v>1537</v>
      </c>
    </row>
    <row r="1565" spans="18:18" ht="14.25">
      <c r="R1565" s="20">
        <v>1538</v>
      </c>
    </row>
    <row r="1566" spans="18:18" ht="14.25">
      <c r="R1566" s="20">
        <v>1539</v>
      </c>
    </row>
    <row r="1567" spans="18:18" ht="14.25">
      <c r="R1567" s="20">
        <v>1540</v>
      </c>
    </row>
    <row r="1568" spans="18:18" ht="14.25">
      <c r="R1568" s="20">
        <v>1541</v>
      </c>
    </row>
    <row r="1569" spans="18:18" ht="14.25">
      <c r="R1569" s="20">
        <v>1542</v>
      </c>
    </row>
    <row r="1570" spans="18:18" ht="14.25">
      <c r="R1570" s="20">
        <v>1543</v>
      </c>
    </row>
    <row r="1571" spans="18:18" ht="14.25">
      <c r="R1571" s="20">
        <v>1544</v>
      </c>
    </row>
    <row r="1572" spans="18:18" ht="14.25">
      <c r="R1572" s="20">
        <v>1545</v>
      </c>
    </row>
    <row r="1573" spans="18:18" ht="14.25">
      <c r="R1573" s="20">
        <v>1546</v>
      </c>
    </row>
    <row r="1574" spans="18:18" ht="14.25">
      <c r="R1574" s="20">
        <v>1547</v>
      </c>
    </row>
    <row r="1575" spans="18:18" ht="14.25">
      <c r="R1575" s="20">
        <v>1548</v>
      </c>
    </row>
    <row r="1576" spans="18:18" ht="14.25">
      <c r="R1576" s="20">
        <v>1549</v>
      </c>
    </row>
    <row r="1577" spans="18:18" ht="14.25">
      <c r="R1577" s="20">
        <v>1550</v>
      </c>
    </row>
    <row r="1578" spans="18:18" ht="14.25">
      <c r="R1578" s="20">
        <v>1551</v>
      </c>
    </row>
    <row r="1579" spans="18:18" ht="14.25">
      <c r="R1579" s="20">
        <v>1552</v>
      </c>
    </row>
    <row r="1580" spans="18:18" ht="14.25">
      <c r="R1580" s="20">
        <v>1553</v>
      </c>
    </row>
    <row r="1581" spans="18:18" ht="14.25">
      <c r="R1581" s="20">
        <v>1554</v>
      </c>
    </row>
    <row r="1582" spans="18:18" ht="14.25">
      <c r="R1582" s="20">
        <v>1555</v>
      </c>
    </row>
    <row r="1583" spans="18:18" ht="14.25">
      <c r="R1583" s="20">
        <v>1556</v>
      </c>
    </row>
    <row r="1584" spans="18:18" ht="14.25">
      <c r="R1584" s="20">
        <v>1557</v>
      </c>
    </row>
    <row r="1585" spans="18:18" ht="14.25">
      <c r="R1585" s="20">
        <v>1558</v>
      </c>
    </row>
    <row r="1586" spans="18:18" ht="14.25">
      <c r="R1586" s="20">
        <v>1559</v>
      </c>
    </row>
    <row r="1587" spans="18:18" ht="14.25">
      <c r="R1587" s="20">
        <v>1560</v>
      </c>
    </row>
    <row r="1588" spans="18:18" ht="14.25">
      <c r="R1588" s="20">
        <v>1561</v>
      </c>
    </row>
    <row r="1589" spans="18:18" ht="14.25">
      <c r="R1589" s="20">
        <v>1562</v>
      </c>
    </row>
    <row r="1590" spans="18:18" ht="14.25">
      <c r="R1590" s="20">
        <v>1563</v>
      </c>
    </row>
    <row r="1591" spans="18:18" ht="14.25">
      <c r="R1591" s="20">
        <v>1564</v>
      </c>
    </row>
    <row r="1592" spans="18:18" ht="14.25">
      <c r="R1592" s="20">
        <v>1565</v>
      </c>
    </row>
    <row r="1593" spans="18:18" ht="14.25">
      <c r="R1593" s="20">
        <v>1566</v>
      </c>
    </row>
    <row r="1594" spans="18:18" ht="14.25">
      <c r="R1594" s="20">
        <v>1567</v>
      </c>
    </row>
    <row r="1595" spans="18:18" ht="14.25">
      <c r="R1595" s="20">
        <v>1568</v>
      </c>
    </row>
    <row r="1596" spans="18:18" ht="14.25">
      <c r="R1596" s="20">
        <v>1569</v>
      </c>
    </row>
    <row r="1597" spans="18:18" ht="14.25">
      <c r="R1597" s="20">
        <v>1570</v>
      </c>
    </row>
    <row r="1598" spans="18:18" ht="14.25">
      <c r="R1598" s="20">
        <v>1571</v>
      </c>
    </row>
    <row r="1599" spans="18:18" ht="14.25">
      <c r="R1599" s="20">
        <v>1572</v>
      </c>
    </row>
    <row r="1600" spans="18:18" ht="14.25">
      <c r="R1600" s="20">
        <v>1573</v>
      </c>
    </row>
    <row r="1601" spans="18:18" ht="14.25">
      <c r="R1601" s="20">
        <v>1574</v>
      </c>
    </row>
    <row r="1602" spans="18:18" ht="14.25">
      <c r="R1602" s="20">
        <v>1575</v>
      </c>
    </row>
    <row r="1603" spans="18:18" ht="14.25">
      <c r="R1603" s="20">
        <v>1576</v>
      </c>
    </row>
    <row r="1604" spans="18:18" ht="14.25">
      <c r="R1604" s="20">
        <v>1577</v>
      </c>
    </row>
    <row r="1605" spans="18:18" ht="14.25">
      <c r="R1605" s="20">
        <v>1578</v>
      </c>
    </row>
    <row r="1606" spans="18:18" ht="14.25">
      <c r="R1606" s="20">
        <v>1579</v>
      </c>
    </row>
    <row r="1607" spans="18:18" ht="14.25">
      <c r="R1607" s="20">
        <v>1580</v>
      </c>
    </row>
    <row r="1608" spans="18:18" ht="14.25">
      <c r="R1608" s="20">
        <v>1581</v>
      </c>
    </row>
    <row r="1609" spans="18:18" ht="14.25">
      <c r="R1609" s="20">
        <v>1582</v>
      </c>
    </row>
    <row r="1610" spans="18:18" ht="14.25">
      <c r="R1610" s="20">
        <v>1583</v>
      </c>
    </row>
    <row r="1611" spans="18:18" ht="14.25">
      <c r="R1611" s="20">
        <v>1584</v>
      </c>
    </row>
    <row r="1612" spans="18:18" ht="14.25">
      <c r="R1612" s="20">
        <v>1585</v>
      </c>
    </row>
    <row r="1613" spans="18:18" ht="14.25">
      <c r="R1613" s="20">
        <v>1586</v>
      </c>
    </row>
    <row r="1614" spans="18:18" ht="14.25">
      <c r="R1614" s="20">
        <v>1587</v>
      </c>
    </row>
    <row r="1615" spans="18:18" ht="14.25">
      <c r="R1615" s="20">
        <v>1588</v>
      </c>
    </row>
    <row r="1616" spans="18:18" ht="14.25">
      <c r="R1616" s="20">
        <v>1589</v>
      </c>
    </row>
    <row r="1617" spans="18:18" ht="14.25">
      <c r="R1617" s="20">
        <v>1590</v>
      </c>
    </row>
    <row r="1618" spans="18:18" ht="14.25">
      <c r="R1618" s="20">
        <v>1591</v>
      </c>
    </row>
    <row r="1619" spans="18:18" ht="14.25">
      <c r="R1619" s="20">
        <v>1592</v>
      </c>
    </row>
    <row r="1620" spans="18:18" ht="14.25">
      <c r="R1620" s="20">
        <v>1593</v>
      </c>
    </row>
    <row r="1621" spans="18:18" ht="14.25">
      <c r="R1621" s="20">
        <v>1594</v>
      </c>
    </row>
    <row r="1622" spans="18:18" ht="14.25">
      <c r="R1622" s="20">
        <v>1595</v>
      </c>
    </row>
    <row r="1623" spans="18:18" ht="14.25">
      <c r="R1623" s="20">
        <v>1596</v>
      </c>
    </row>
    <row r="1624" spans="18:18" ht="14.25">
      <c r="R1624" s="20">
        <v>1597</v>
      </c>
    </row>
    <row r="1625" spans="18:18" ht="14.25">
      <c r="R1625" s="20">
        <v>1598</v>
      </c>
    </row>
    <row r="1626" spans="18:18" ht="14.25">
      <c r="R1626" s="20">
        <v>1599</v>
      </c>
    </row>
    <row r="1627" spans="18:18" ht="14.25">
      <c r="R1627" s="20">
        <v>1600</v>
      </c>
    </row>
    <row r="1628" spans="18:18" ht="14.25">
      <c r="R1628" s="20">
        <v>1601</v>
      </c>
    </row>
    <row r="1629" spans="18:18" ht="14.25">
      <c r="R1629" s="20">
        <v>1602</v>
      </c>
    </row>
    <row r="1630" spans="18:18" ht="14.25">
      <c r="R1630" s="20">
        <v>1603</v>
      </c>
    </row>
    <row r="1631" spans="18:18" ht="14.25">
      <c r="R1631" s="20">
        <v>1604</v>
      </c>
    </row>
    <row r="1632" spans="18:18" ht="14.25">
      <c r="R1632" s="20">
        <v>1605</v>
      </c>
    </row>
    <row r="1633" spans="18:18" ht="14.25">
      <c r="R1633" s="20">
        <v>1606</v>
      </c>
    </row>
    <row r="1634" spans="18:18" ht="14.25">
      <c r="R1634" s="20">
        <v>1607</v>
      </c>
    </row>
    <row r="1635" spans="18:18" ht="14.25">
      <c r="R1635" s="20">
        <v>1608</v>
      </c>
    </row>
    <row r="1636" spans="18:18" ht="14.25">
      <c r="R1636" s="20">
        <v>1609</v>
      </c>
    </row>
    <row r="1637" spans="18:18" ht="14.25">
      <c r="R1637" s="20">
        <v>1610</v>
      </c>
    </row>
    <row r="1638" spans="18:18" ht="14.25">
      <c r="R1638" s="20">
        <v>1611</v>
      </c>
    </row>
    <row r="1639" spans="18:18" ht="14.25">
      <c r="R1639" s="20">
        <v>1612</v>
      </c>
    </row>
    <row r="1640" spans="18:18" ht="14.25">
      <c r="R1640" s="20">
        <v>1613</v>
      </c>
    </row>
    <row r="1641" spans="18:18" ht="14.25">
      <c r="R1641" s="20">
        <v>1614</v>
      </c>
    </row>
    <row r="1642" spans="18:18" ht="14.25">
      <c r="R1642" s="20">
        <v>1615</v>
      </c>
    </row>
    <row r="1643" spans="18:18" ht="14.25">
      <c r="R1643" s="20">
        <v>1616</v>
      </c>
    </row>
    <row r="1644" spans="18:18" ht="14.25">
      <c r="R1644" s="20">
        <v>1617</v>
      </c>
    </row>
    <row r="1645" spans="18:18" ht="14.25">
      <c r="R1645" s="20">
        <v>1618</v>
      </c>
    </row>
    <row r="1646" spans="18:18" ht="14.25">
      <c r="R1646" s="20">
        <v>1619</v>
      </c>
    </row>
    <row r="1647" spans="18:18" ht="14.25">
      <c r="R1647" s="20">
        <v>1620</v>
      </c>
    </row>
    <row r="1648" spans="18:18" ht="14.25">
      <c r="R1648" s="20">
        <v>1621</v>
      </c>
    </row>
    <row r="1649" spans="18:18" ht="14.25">
      <c r="R1649" s="20">
        <v>1622</v>
      </c>
    </row>
    <row r="1650" spans="18:18" ht="14.25">
      <c r="R1650" s="20">
        <v>1623</v>
      </c>
    </row>
    <row r="1651" spans="18:18" ht="14.25">
      <c r="R1651" s="20">
        <v>1624</v>
      </c>
    </row>
    <row r="1652" spans="18:18" ht="14.25">
      <c r="R1652" s="20">
        <v>1625</v>
      </c>
    </row>
    <row r="1653" spans="18:18" ht="14.25">
      <c r="R1653" s="20">
        <v>1626</v>
      </c>
    </row>
    <row r="1654" spans="18:18" ht="14.25">
      <c r="R1654" s="20">
        <v>1627</v>
      </c>
    </row>
    <row r="1655" spans="18:18" ht="14.25">
      <c r="R1655" s="20">
        <v>1628</v>
      </c>
    </row>
    <row r="1656" spans="18:18" ht="14.25">
      <c r="R1656" s="20">
        <v>1629</v>
      </c>
    </row>
    <row r="1657" spans="18:18" ht="14.25">
      <c r="R1657" s="20">
        <v>1630</v>
      </c>
    </row>
    <row r="1658" spans="18:18" ht="14.25">
      <c r="R1658" s="20">
        <v>1631</v>
      </c>
    </row>
    <row r="1659" spans="18:18" ht="14.25">
      <c r="R1659" s="20">
        <v>1632</v>
      </c>
    </row>
    <row r="1660" spans="18:18" ht="14.25">
      <c r="R1660" s="20">
        <v>1633</v>
      </c>
    </row>
    <row r="1661" spans="18:18" ht="14.25">
      <c r="R1661" s="20">
        <v>1634</v>
      </c>
    </row>
    <row r="1662" spans="18:18" ht="14.25">
      <c r="R1662" s="20">
        <v>1635</v>
      </c>
    </row>
    <row r="1663" spans="18:18" ht="14.25">
      <c r="R1663" s="20">
        <v>1636</v>
      </c>
    </row>
    <row r="1664" spans="18:18" ht="14.25">
      <c r="R1664" s="20">
        <v>1637</v>
      </c>
    </row>
    <row r="1665" spans="18:18" ht="14.25">
      <c r="R1665" s="20">
        <v>1638</v>
      </c>
    </row>
    <row r="1666" spans="18:18" ht="14.25">
      <c r="R1666" s="20">
        <v>1639</v>
      </c>
    </row>
    <row r="1667" spans="18:18" ht="14.25">
      <c r="R1667" s="20">
        <v>1640</v>
      </c>
    </row>
    <row r="1668" spans="18:18" ht="14.25">
      <c r="R1668" s="20">
        <v>1641</v>
      </c>
    </row>
    <row r="1669" spans="18:18" ht="14.25">
      <c r="R1669" s="20">
        <v>1642</v>
      </c>
    </row>
    <row r="1670" spans="18:18" ht="14.25">
      <c r="R1670" s="20">
        <v>1643</v>
      </c>
    </row>
    <row r="1671" spans="18:18" ht="14.25">
      <c r="R1671" s="20">
        <v>1644</v>
      </c>
    </row>
    <row r="1672" spans="18:18" ht="14.25">
      <c r="R1672" s="20">
        <v>1645</v>
      </c>
    </row>
    <row r="1673" spans="18:18" ht="14.25">
      <c r="R1673" s="20">
        <v>1646</v>
      </c>
    </row>
    <row r="1674" spans="18:18" ht="14.25">
      <c r="R1674" s="20">
        <v>1647</v>
      </c>
    </row>
    <row r="1675" spans="18:18" ht="14.25">
      <c r="R1675" s="20">
        <v>1648</v>
      </c>
    </row>
    <row r="1676" spans="18:18" ht="14.25">
      <c r="R1676" s="20">
        <v>1649</v>
      </c>
    </row>
    <row r="1677" spans="18:18" ht="14.25">
      <c r="R1677" s="20">
        <v>1650</v>
      </c>
    </row>
    <row r="1678" spans="18:18" ht="14.25">
      <c r="R1678" s="20">
        <v>1651</v>
      </c>
    </row>
    <row r="1679" spans="18:18" ht="14.25">
      <c r="R1679" s="20">
        <v>1652</v>
      </c>
    </row>
    <row r="1680" spans="18:18" ht="14.25">
      <c r="R1680" s="20">
        <v>1653</v>
      </c>
    </row>
    <row r="1681" spans="18:18" ht="14.25">
      <c r="R1681" s="20">
        <v>1654</v>
      </c>
    </row>
    <row r="1682" spans="18:18" ht="14.25">
      <c r="R1682" s="20">
        <v>1655</v>
      </c>
    </row>
    <row r="1683" spans="18:18" ht="14.25">
      <c r="R1683" s="20">
        <v>1656</v>
      </c>
    </row>
    <row r="1684" spans="18:18" ht="14.25">
      <c r="R1684" s="20">
        <v>1657</v>
      </c>
    </row>
    <row r="1685" spans="18:18" ht="14.25">
      <c r="R1685" s="20">
        <v>1658</v>
      </c>
    </row>
    <row r="1686" spans="18:18" ht="14.25">
      <c r="R1686" s="20">
        <v>1659</v>
      </c>
    </row>
    <row r="1687" spans="18:18" ht="14.25">
      <c r="R1687" s="20">
        <v>1660</v>
      </c>
    </row>
    <row r="1688" spans="18:18" ht="14.25">
      <c r="R1688" s="20">
        <v>1661</v>
      </c>
    </row>
    <row r="1689" spans="18:18" ht="14.25">
      <c r="R1689" s="20">
        <v>1662</v>
      </c>
    </row>
    <row r="1690" spans="18:18" ht="14.25">
      <c r="R1690" s="20">
        <v>1663</v>
      </c>
    </row>
    <row r="1691" spans="18:18" ht="14.25">
      <c r="R1691" s="20">
        <v>1664</v>
      </c>
    </row>
    <row r="1692" spans="18:18" ht="14.25">
      <c r="R1692" s="20">
        <v>1665</v>
      </c>
    </row>
    <row r="1693" spans="18:18" ht="14.25">
      <c r="R1693" s="20">
        <v>1666</v>
      </c>
    </row>
    <row r="1694" spans="18:18" ht="14.25">
      <c r="R1694" s="20">
        <v>1667</v>
      </c>
    </row>
    <row r="1695" spans="18:18" ht="14.25">
      <c r="R1695" s="20">
        <v>1668</v>
      </c>
    </row>
    <row r="1696" spans="18:18" ht="14.25">
      <c r="R1696" s="20">
        <v>1669</v>
      </c>
    </row>
    <row r="1697" spans="18:18" ht="14.25">
      <c r="R1697" s="20">
        <v>1670</v>
      </c>
    </row>
    <row r="1698" spans="18:18" ht="14.25">
      <c r="R1698" s="20">
        <v>1671</v>
      </c>
    </row>
    <row r="1699" spans="18:18" ht="14.25">
      <c r="R1699" s="20">
        <v>1672</v>
      </c>
    </row>
    <row r="1700" spans="18:18" ht="14.25">
      <c r="R1700" s="20">
        <v>1673</v>
      </c>
    </row>
    <row r="1701" spans="18:18" ht="14.25">
      <c r="R1701" s="20">
        <v>1674</v>
      </c>
    </row>
    <row r="1702" spans="18:18" ht="14.25">
      <c r="R1702" s="20">
        <v>1675</v>
      </c>
    </row>
    <row r="1703" spans="18:18" ht="14.25">
      <c r="R1703" s="20">
        <v>1676</v>
      </c>
    </row>
    <row r="1704" spans="18:18" ht="14.25">
      <c r="R1704" s="20">
        <v>1677</v>
      </c>
    </row>
    <row r="1705" spans="18:18" ht="14.25">
      <c r="R1705" s="20">
        <v>1678</v>
      </c>
    </row>
    <row r="1706" spans="18:18" ht="14.25">
      <c r="R1706" s="20">
        <v>1679</v>
      </c>
    </row>
    <row r="1707" spans="18:18" ht="14.25">
      <c r="R1707" s="20">
        <v>1680</v>
      </c>
    </row>
    <row r="1708" spans="18:18" ht="14.25">
      <c r="R1708" s="20">
        <v>1681</v>
      </c>
    </row>
    <row r="1709" spans="18:18" ht="14.25">
      <c r="R1709" s="20">
        <v>1682</v>
      </c>
    </row>
    <row r="1710" spans="18:18" ht="14.25">
      <c r="R1710" s="20">
        <v>1683</v>
      </c>
    </row>
    <row r="1711" spans="18:18" ht="14.25">
      <c r="R1711" s="20">
        <v>1684</v>
      </c>
    </row>
    <row r="1712" spans="18:18" ht="14.25">
      <c r="R1712" s="20">
        <v>1685</v>
      </c>
    </row>
    <row r="1713" spans="18:18" ht="14.25">
      <c r="R1713" s="20">
        <v>1686</v>
      </c>
    </row>
    <row r="1714" spans="18:18" ht="14.25">
      <c r="R1714" s="20">
        <v>1687</v>
      </c>
    </row>
    <row r="1715" spans="18:18" ht="14.25">
      <c r="R1715" s="20">
        <v>1688</v>
      </c>
    </row>
    <row r="1716" spans="18:18" ht="14.25">
      <c r="R1716" s="20">
        <v>1689</v>
      </c>
    </row>
    <row r="1717" spans="18:18" ht="14.25">
      <c r="R1717" s="20">
        <v>1690</v>
      </c>
    </row>
    <row r="1718" spans="18:18" ht="14.25">
      <c r="R1718" s="20">
        <v>1691</v>
      </c>
    </row>
    <row r="1719" spans="18:18" ht="14.25">
      <c r="R1719" s="20">
        <v>1692</v>
      </c>
    </row>
    <row r="1720" spans="18:18" ht="14.25">
      <c r="R1720" s="20">
        <v>1693</v>
      </c>
    </row>
    <row r="1721" spans="18:18" ht="14.25">
      <c r="R1721" s="20">
        <v>1694</v>
      </c>
    </row>
    <row r="1722" spans="18:18" ht="14.25">
      <c r="R1722" s="20">
        <v>1695</v>
      </c>
    </row>
    <row r="1723" spans="18:18" ht="14.25">
      <c r="R1723" s="20">
        <v>1696</v>
      </c>
    </row>
    <row r="1724" spans="18:18" ht="14.25">
      <c r="R1724" s="20">
        <v>1697</v>
      </c>
    </row>
    <row r="1725" spans="18:18" ht="14.25">
      <c r="R1725" s="20">
        <v>1698</v>
      </c>
    </row>
    <row r="1726" spans="18:18" ht="14.25">
      <c r="R1726" s="20">
        <v>1699</v>
      </c>
    </row>
    <row r="1727" spans="18:18" ht="14.25">
      <c r="R1727" s="20">
        <v>1700</v>
      </c>
    </row>
    <row r="1728" spans="18:18" ht="14.25">
      <c r="R1728" s="20">
        <v>1701</v>
      </c>
    </row>
    <row r="1729" spans="18:18" ht="14.25">
      <c r="R1729" s="20">
        <v>1702</v>
      </c>
    </row>
    <row r="1730" spans="18:18" ht="14.25">
      <c r="R1730" s="20">
        <v>1703</v>
      </c>
    </row>
    <row r="1731" spans="18:18" ht="14.25">
      <c r="R1731" s="20">
        <v>1704</v>
      </c>
    </row>
    <row r="1732" spans="18:18" ht="14.25">
      <c r="R1732" s="20">
        <v>1705</v>
      </c>
    </row>
    <row r="1733" spans="18:18" ht="14.25">
      <c r="R1733" s="20">
        <v>1706</v>
      </c>
    </row>
    <row r="1734" spans="18:18" ht="14.25">
      <c r="R1734" s="20">
        <v>1707</v>
      </c>
    </row>
    <row r="1735" spans="18:18" ht="14.25">
      <c r="R1735" s="20">
        <v>1708</v>
      </c>
    </row>
    <row r="1736" spans="18:18" ht="14.25">
      <c r="R1736" s="20">
        <v>1709</v>
      </c>
    </row>
    <row r="1737" spans="18:18" ht="14.25">
      <c r="R1737" s="20">
        <v>1710</v>
      </c>
    </row>
    <row r="1738" spans="18:18" ht="14.25">
      <c r="R1738" s="20">
        <v>1711</v>
      </c>
    </row>
    <row r="1739" spans="18:18" ht="14.25">
      <c r="R1739" s="20">
        <v>1712</v>
      </c>
    </row>
    <row r="1740" spans="18:18" ht="14.25">
      <c r="R1740" s="20">
        <v>1713</v>
      </c>
    </row>
    <row r="1741" spans="18:18" ht="14.25">
      <c r="R1741" s="20">
        <v>1714</v>
      </c>
    </row>
    <row r="1742" spans="18:18" ht="14.25">
      <c r="R1742" s="20">
        <v>1715</v>
      </c>
    </row>
    <row r="1743" spans="18:18" ht="14.25">
      <c r="R1743" s="20">
        <v>1716</v>
      </c>
    </row>
    <row r="1744" spans="18:18" ht="14.25">
      <c r="R1744" s="20">
        <v>1717</v>
      </c>
    </row>
    <row r="1745" spans="18:18" ht="14.25">
      <c r="R1745" s="20">
        <v>1718</v>
      </c>
    </row>
    <row r="1746" spans="18:18" ht="14.25">
      <c r="R1746" s="20">
        <v>1719</v>
      </c>
    </row>
    <row r="1747" spans="18:18" ht="14.25">
      <c r="R1747" s="20">
        <v>1720</v>
      </c>
    </row>
    <row r="1748" spans="18:18" ht="14.25">
      <c r="R1748" s="20">
        <v>1721</v>
      </c>
    </row>
    <row r="1749" spans="18:18" ht="14.25">
      <c r="R1749" s="20">
        <v>1722</v>
      </c>
    </row>
    <row r="1750" spans="18:18" ht="14.25">
      <c r="R1750" s="20">
        <v>1723</v>
      </c>
    </row>
    <row r="1751" spans="18:18" ht="14.25">
      <c r="R1751" s="20">
        <v>1724</v>
      </c>
    </row>
    <row r="1752" spans="18:18" ht="14.25">
      <c r="R1752" s="20">
        <v>1725</v>
      </c>
    </row>
    <row r="1753" spans="18:18" ht="14.25">
      <c r="R1753" s="20">
        <v>1726</v>
      </c>
    </row>
    <row r="1754" spans="18:18" ht="14.25">
      <c r="R1754" s="20">
        <v>1727</v>
      </c>
    </row>
    <row r="1755" spans="18:18" ht="14.25">
      <c r="R1755" s="20">
        <v>1728</v>
      </c>
    </row>
    <row r="1756" spans="18:18" ht="14.25">
      <c r="R1756" s="20">
        <v>1729</v>
      </c>
    </row>
    <row r="1757" spans="18:18" ht="14.25">
      <c r="R1757" s="20">
        <v>1730</v>
      </c>
    </row>
    <row r="1758" spans="18:18" ht="14.25">
      <c r="R1758" s="20">
        <v>1731</v>
      </c>
    </row>
    <row r="1759" spans="18:18" ht="14.25">
      <c r="R1759" s="20">
        <v>1732</v>
      </c>
    </row>
    <row r="1760" spans="18:18" ht="14.25">
      <c r="R1760" s="20">
        <v>1733</v>
      </c>
    </row>
    <row r="1761" spans="18:18" ht="14.25">
      <c r="R1761" s="20">
        <v>1734</v>
      </c>
    </row>
    <row r="1762" spans="18:18" ht="14.25">
      <c r="R1762" s="20">
        <v>1735</v>
      </c>
    </row>
    <row r="1763" spans="18:18" ht="14.25">
      <c r="R1763" s="20">
        <v>1736</v>
      </c>
    </row>
    <row r="1764" spans="18:18" ht="14.25">
      <c r="R1764" s="20">
        <v>1737</v>
      </c>
    </row>
    <row r="1765" spans="18:18" ht="14.25">
      <c r="R1765" s="20">
        <v>1738</v>
      </c>
    </row>
    <row r="1766" spans="18:18" ht="14.25">
      <c r="R1766" s="20">
        <v>1739</v>
      </c>
    </row>
    <row r="1767" spans="18:18" ht="14.25">
      <c r="R1767" s="20">
        <v>1740</v>
      </c>
    </row>
    <row r="1768" spans="18:18" ht="14.25">
      <c r="R1768" s="20">
        <v>1741</v>
      </c>
    </row>
    <row r="1769" spans="18:18" ht="14.25">
      <c r="R1769" s="20">
        <v>1742</v>
      </c>
    </row>
    <row r="1770" spans="18:18" ht="14.25">
      <c r="R1770" s="20">
        <v>1743</v>
      </c>
    </row>
    <row r="1771" spans="18:18" ht="14.25">
      <c r="R1771" s="20">
        <v>1744</v>
      </c>
    </row>
    <row r="1772" spans="18:18" ht="14.25">
      <c r="R1772" s="20">
        <v>1745</v>
      </c>
    </row>
    <row r="1773" spans="18:18" ht="14.25">
      <c r="R1773" s="20">
        <v>1746</v>
      </c>
    </row>
    <row r="1774" spans="18:18" ht="14.25">
      <c r="R1774" s="20">
        <v>1747</v>
      </c>
    </row>
    <row r="1775" spans="18:18" ht="14.25">
      <c r="R1775" s="20">
        <v>1748</v>
      </c>
    </row>
    <row r="1776" spans="18:18" ht="14.25">
      <c r="R1776" s="20">
        <v>1749</v>
      </c>
    </row>
    <row r="1777" spans="18:18" ht="14.25">
      <c r="R1777" s="20">
        <v>1750</v>
      </c>
    </row>
    <row r="1778" spans="18:18" ht="14.25">
      <c r="R1778" s="20">
        <v>1751</v>
      </c>
    </row>
    <row r="1779" spans="18:18" ht="14.25">
      <c r="R1779" s="20">
        <v>1752</v>
      </c>
    </row>
    <row r="1780" spans="18:18" ht="14.25">
      <c r="R1780" s="20">
        <v>1753</v>
      </c>
    </row>
    <row r="1781" spans="18:18" ht="14.25">
      <c r="R1781" s="20">
        <v>1754</v>
      </c>
    </row>
    <row r="1782" spans="18:18" ht="14.25">
      <c r="R1782" s="20">
        <v>1755</v>
      </c>
    </row>
    <row r="1783" spans="18:18" ht="14.25">
      <c r="R1783" s="20">
        <v>1756</v>
      </c>
    </row>
    <row r="1784" spans="18:18" ht="14.25">
      <c r="R1784" s="20">
        <v>1757</v>
      </c>
    </row>
    <row r="1785" spans="18:18" ht="14.25">
      <c r="R1785" s="20">
        <v>1758</v>
      </c>
    </row>
    <row r="1786" spans="18:18" ht="14.25">
      <c r="R1786" s="20">
        <v>1759</v>
      </c>
    </row>
    <row r="1787" spans="18:18" ht="14.25">
      <c r="R1787" s="20">
        <v>1760</v>
      </c>
    </row>
    <row r="1788" spans="18:18" ht="14.25">
      <c r="R1788" s="20">
        <v>1761</v>
      </c>
    </row>
    <row r="1789" spans="18:18" ht="14.25">
      <c r="R1789" s="20">
        <v>1762</v>
      </c>
    </row>
    <row r="1790" spans="18:18" ht="14.25">
      <c r="R1790" s="20">
        <v>1763</v>
      </c>
    </row>
    <row r="1791" spans="18:18" ht="14.25">
      <c r="R1791" s="20">
        <v>1764</v>
      </c>
    </row>
    <row r="1792" spans="18:18" ht="14.25">
      <c r="R1792" s="20">
        <v>1765</v>
      </c>
    </row>
    <row r="1793" spans="18:18" ht="14.25">
      <c r="R1793" s="20">
        <v>1766</v>
      </c>
    </row>
    <row r="1794" spans="18:18" ht="14.25">
      <c r="R1794" s="20">
        <v>1767</v>
      </c>
    </row>
    <row r="1795" spans="18:18" ht="14.25">
      <c r="R1795" s="20">
        <v>1768</v>
      </c>
    </row>
    <row r="1796" spans="18:18" ht="14.25">
      <c r="R1796" s="20">
        <v>1769</v>
      </c>
    </row>
    <row r="1797" spans="18:18" ht="14.25">
      <c r="R1797" s="20">
        <v>1770</v>
      </c>
    </row>
    <row r="1798" spans="18:18" ht="14.25">
      <c r="R1798" s="20">
        <v>1771</v>
      </c>
    </row>
    <row r="1799" spans="18:18" ht="14.25">
      <c r="R1799" s="20">
        <v>1772</v>
      </c>
    </row>
    <row r="1800" spans="18:18" ht="14.25">
      <c r="R1800" s="20">
        <v>1773</v>
      </c>
    </row>
    <row r="1801" spans="18:18" ht="14.25">
      <c r="R1801" s="20">
        <v>1774</v>
      </c>
    </row>
    <row r="1802" spans="18:18" ht="14.25">
      <c r="R1802" s="20">
        <v>1775</v>
      </c>
    </row>
    <row r="1803" spans="18:18" ht="14.25">
      <c r="R1803" s="20">
        <v>1776</v>
      </c>
    </row>
    <row r="1804" spans="18:18" ht="14.25">
      <c r="R1804" s="20">
        <v>1777</v>
      </c>
    </row>
    <row r="1805" spans="18:18" ht="14.25">
      <c r="R1805" s="20">
        <v>1778</v>
      </c>
    </row>
    <row r="1806" spans="18:18" ht="14.25">
      <c r="R1806" s="20">
        <v>1779</v>
      </c>
    </row>
    <row r="1807" spans="18:18" ht="14.25">
      <c r="R1807" s="20">
        <v>1780</v>
      </c>
    </row>
    <row r="1808" spans="18:18" ht="14.25">
      <c r="R1808" s="20">
        <v>1781</v>
      </c>
    </row>
    <row r="1809" spans="18:18" ht="14.25">
      <c r="R1809" s="20">
        <v>1782</v>
      </c>
    </row>
    <row r="1810" spans="18:18" ht="14.25">
      <c r="R1810" s="20">
        <v>1783</v>
      </c>
    </row>
    <row r="1811" spans="18:18" ht="14.25">
      <c r="R1811" s="20">
        <v>1784</v>
      </c>
    </row>
    <row r="1812" spans="18:18" ht="14.25">
      <c r="R1812" s="20">
        <v>1785</v>
      </c>
    </row>
    <row r="1813" spans="18:18" ht="14.25">
      <c r="R1813" s="20">
        <v>1786</v>
      </c>
    </row>
    <row r="1814" spans="18:18" ht="14.25">
      <c r="R1814" s="20">
        <v>1787</v>
      </c>
    </row>
    <row r="1815" spans="18:18" ht="14.25">
      <c r="R1815" s="20">
        <v>1788</v>
      </c>
    </row>
    <row r="1816" spans="18:18" ht="14.25">
      <c r="R1816" s="20">
        <v>1789</v>
      </c>
    </row>
    <row r="1817" spans="18:18" ht="14.25">
      <c r="R1817" s="20">
        <v>1790</v>
      </c>
    </row>
    <row r="1818" spans="18:18" ht="14.25">
      <c r="R1818" s="20">
        <v>1791</v>
      </c>
    </row>
    <row r="1819" spans="18:18" ht="14.25">
      <c r="R1819" s="20">
        <v>1792</v>
      </c>
    </row>
    <row r="1820" spans="18:18" ht="14.25">
      <c r="R1820" s="20">
        <v>1793</v>
      </c>
    </row>
    <row r="1821" spans="18:18" ht="14.25">
      <c r="R1821" s="20">
        <v>1794</v>
      </c>
    </row>
    <row r="1822" spans="18:18" ht="14.25">
      <c r="R1822" s="20">
        <v>1795</v>
      </c>
    </row>
    <row r="1823" spans="18:18" ht="14.25">
      <c r="R1823" s="20">
        <v>1796</v>
      </c>
    </row>
    <row r="1824" spans="18:18" ht="14.25">
      <c r="R1824" s="20">
        <v>1797</v>
      </c>
    </row>
    <row r="1825" spans="18:18" ht="14.25">
      <c r="R1825" s="20">
        <v>1798</v>
      </c>
    </row>
    <row r="1826" spans="18:18" ht="14.25">
      <c r="R1826" s="20">
        <v>1799</v>
      </c>
    </row>
    <row r="1827" spans="18:18" ht="14.25">
      <c r="R1827" s="20">
        <v>1800</v>
      </c>
    </row>
    <row r="1828" spans="18:18" ht="14.25">
      <c r="R1828" s="20">
        <v>1801</v>
      </c>
    </row>
    <row r="1829" spans="18:18" ht="14.25">
      <c r="R1829" s="20">
        <v>1802</v>
      </c>
    </row>
    <row r="1830" spans="18:18" ht="14.25">
      <c r="R1830" s="20">
        <v>1803</v>
      </c>
    </row>
    <row r="1831" spans="18:18" ht="14.25">
      <c r="R1831" s="20">
        <v>1804</v>
      </c>
    </row>
    <row r="1832" spans="18:18" ht="14.25">
      <c r="R1832" s="20">
        <v>1805</v>
      </c>
    </row>
    <row r="1833" spans="18:18" ht="14.25">
      <c r="R1833" s="20">
        <v>1806</v>
      </c>
    </row>
    <row r="1834" spans="18:18" ht="14.25">
      <c r="R1834" s="20">
        <v>1807</v>
      </c>
    </row>
    <row r="1835" spans="18:18" ht="14.25">
      <c r="R1835" s="20">
        <v>1808</v>
      </c>
    </row>
    <row r="1836" spans="18:18" ht="14.25">
      <c r="R1836" s="20">
        <v>1809</v>
      </c>
    </row>
    <row r="1837" spans="18:18" ht="14.25">
      <c r="R1837" s="20">
        <v>1810</v>
      </c>
    </row>
    <row r="1838" spans="18:18" ht="14.25">
      <c r="R1838" s="20">
        <v>1811</v>
      </c>
    </row>
    <row r="1839" spans="18:18" ht="14.25">
      <c r="R1839" s="20">
        <v>1812</v>
      </c>
    </row>
    <row r="1840" spans="18:18" ht="14.25">
      <c r="R1840" s="20">
        <v>1813</v>
      </c>
    </row>
    <row r="1841" spans="18:18" ht="14.25">
      <c r="R1841" s="20">
        <v>1814</v>
      </c>
    </row>
    <row r="1842" spans="18:18" ht="14.25">
      <c r="R1842" s="20">
        <v>1815</v>
      </c>
    </row>
    <row r="1843" spans="18:18" ht="14.25">
      <c r="R1843" s="20">
        <v>1816</v>
      </c>
    </row>
    <row r="1844" spans="18:18" ht="14.25">
      <c r="R1844" s="20">
        <v>1817</v>
      </c>
    </row>
    <row r="1845" spans="18:18" ht="14.25">
      <c r="R1845" s="20">
        <v>1818</v>
      </c>
    </row>
    <row r="1846" spans="18:18" ht="14.25">
      <c r="R1846" s="20">
        <v>1819</v>
      </c>
    </row>
    <row r="1847" spans="18:18" ht="14.25">
      <c r="R1847" s="20">
        <v>1820</v>
      </c>
    </row>
    <row r="1848" spans="18:18" ht="14.25">
      <c r="R1848" s="20">
        <v>1821</v>
      </c>
    </row>
    <row r="1849" spans="18:18" ht="14.25">
      <c r="R1849" s="20">
        <v>1822</v>
      </c>
    </row>
    <row r="1850" spans="18:18" ht="14.25">
      <c r="R1850" s="20">
        <v>1823</v>
      </c>
    </row>
    <row r="1851" spans="18:18" ht="14.25">
      <c r="R1851" s="20">
        <v>1824</v>
      </c>
    </row>
    <row r="1852" spans="18:18" ht="14.25">
      <c r="R1852" s="20">
        <v>1825</v>
      </c>
    </row>
    <row r="1853" spans="18:18" ht="14.25">
      <c r="R1853" s="20">
        <v>1826</v>
      </c>
    </row>
    <row r="1854" spans="18:18" ht="14.25">
      <c r="R1854" s="20">
        <v>1827</v>
      </c>
    </row>
    <row r="1855" spans="18:18" ht="14.25">
      <c r="R1855" s="20">
        <v>1828</v>
      </c>
    </row>
    <row r="1856" spans="18:18" ht="14.25">
      <c r="R1856" s="20">
        <v>1829</v>
      </c>
    </row>
    <row r="1857" spans="18:18" ht="14.25">
      <c r="R1857" s="20">
        <v>1830</v>
      </c>
    </row>
    <row r="1858" spans="18:18" ht="14.25">
      <c r="R1858" s="20">
        <v>1831</v>
      </c>
    </row>
    <row r="1859" spans="18:18" ht="14.25">
      <c r="R1859" s="20">
        <v>1832</v>
      </c>
    </row>
    <row r="1860" spans="18:18" ht="14.25">
      <c r="R1860" s="20">
        <v>1833</v>
      </c>
    </row>
    <row r="1861" spans="18:18" ht="14.25">
      <c r="R1861" s="20">
        <v>1834</v>
      </c>
    </row>
    <row r="1862" spans="18:18" ht="14.25">
      <c r="R1862" s="20">
        <v>1835</v>
      </c>
    </row>
    <row r="1863" spans="18:18" ht="14.25">
      <c r="R1863" s="20">
        <v>1836</v>
      </c>
    </row>
    <row r="1864" spans="18:18" ht="14.25">
      <c r="R1864" s="20">
        <v>1837</v>
      </c>
    </row>
    <row r="1865" spans="18:18" ht="14.25">
      <c r="R1865" s="20">
        <v>1838</v>
      </c>
    </row>
    <row r="1866" spans="18:18" ht="14.25">
      <c r="R1866" s="20">
        <v>1839</v>
      </c>
    </row>
    <row r="1867" spans="18:18" ht="14.25">
      <c r="R1867" s="20">
        <v>1840</v>
      </c>
    </row>
    <row r="1868" spans="18:18" ht="14.25">
      <c r="R1868" s="20">
        <v>1841</v>
      </c>
    </row>
    <row r="1869" spans="18:18" ht="14.25">
      <c r="R1869" s="20">
        <v>1842</v>
      </c>
    </row>
    <row r="1870" spans="18:18" ht="14.25">
      <c r="R1870" s="20">
        <v>1843</v>
      </c>
    </row>
    <row r="1871" spans="18:18" ht="14.25">
      <c r="R1871" s="20">
        <v>1844</v>
      </c>
    </row>
    <row r="1872" spans="18:18" ht="14.25">
      <c r="R1872" s="20">
        <v>1845</v>
      </c>
    </row>
    <row r="1873" spans="18:18" ht="14.25">
      <c r="R1873" s="20">
        <v>1846</v>
      </c>
    </row>
    <row r="1874" spans="18:18" ht="14.25">
      <c r="R1874" s="20">
        <v>1847</v>
      </c>
    </row>
    <row r="1875" spans="18:18" ht="14.25">
      <c r="R1875" s="20">
        <v>1848</v>
      </c>
    </row>
    <row r="1876" spans="18:18" ht="14.25">
      <c r="R1876" s="20">
        <v>1849</v>
      </c>
    </row>
    <row r="1877" spans="18:18" ht="14.25">
      <c r="R1877" s="20">
        <v>1850</v>
      </c>
    </row>
    <row r="1878" spans="18:18" ht="14.25">
      <c r="R1878" s="20">
        <v>1851</v>
      </c>
    </row>
    <row r="1879" spans="18:18" ht="14.25">
      <c r="R1879" s="20">
        <v>1852</v>
      </c>
    </row>
    <row r="1880" spans="18:18" ht="14.25">
      <c r="R1880" s="20">
        <v>1853</v>
      </c>
    </row>
    <row r="1881" spans="18:18" ht="14.25">
      <c r="R1881" s="20">
        <v>1854</v>
      </c>
    </row>
    <row r="1882" spans="18:18" ht="14.25">
      <c r="R1882" s="20">
        <v>1855</v>
      </c>
    </row>
    <row r="1883" spans="18:18" ht="14.25">
      <c r="R1883" s="20">
        <v>1856</v>
      </c>
    </row>
    <row r="1884" spans="18:18" ht="14.25">
      <c r="R1884" s="20">
        <v>1857</v>
      </c>
    </row>
    <row r="1885" spans="18:18" ht="14.25">
      <c r="R1885" s="20">
        <v>1858</v>
      </c>
    </row>
    <row r="1886" spans="18:18" ht="14.25">
      <c r="R1886" s="20">
        <v>1859</v>
      </c>
    </row>
    <row r="1887" spans="18:18" ht="14.25">
      <c r="R1887" s="20">
        <v>1860</v>
      </c>
    </row>
    <row r="1888" spans="18:18" ht="14.25">
      <c r="R1888" s="20">
        <v>1861</v>
      </c>
    </row>
    <row r="1889" spans="18:18" ht="14.25">
      <c r="R1889" s="20">
        <v>1862</v>
      </c>
    </row>
    <row r="1890" spans="18:18" ht="14.25">
      <c r="R1890" s="20">
        <v>1863</v>
      </c>
    </row>
    <row r="1891" spans="18:18" ht="14.25">
      <c r="R1891" s="20">
        <v>1864</v>
      </c>
    </row>
    <row r="1892" spans="18:18" ht="14.25">
      <c r="R1892" s="20">
        <v>1865</v>
      </c>
    </row>
    <row r="1893" spans="18:18" ht="14.25">
      <c r="R1893" s="20">
        <v>1866</v>
      </c>
    </row>
    <row r="1894" spans="18:18" ht="14.25">
      <c r="R1894" s="20">
        <v>1867</v>
      </c>
    </row>
    <row r="1895" spans="18:18" ht="14.25">
      <c r="R1895" s="20">
        <v>1868</v>
      </c>
    </row>
    <row r="1896" spans="18:18" ht="14.25">
      <c r="R1896" s="20">
        <v>1869</v>
      </c>
    </row>
    <row r="1897" spans="18:18" ht="14.25">
      <c r="R1897" s="20">
        <v>1870</v>
      </c>
    </row>
    <row r="1898" spans="18:18" ht="14.25">
      <c r="R1898" s="20">
        <v>1871</v>
      </c>
    </row>
    <row r="1899" spans="18:18" ht="14.25">
      <c r="R1899" s="20">
        <v>1872</v>
      </c>
    </row>
    <row r="1900" spans="18:18" ht="14.25">
      <c r="R1900" s="20">
        <v>1873</v>
      </c>
    </row>
    <row r="1901" spans="18:18" ht="14.25">
      <c r="R1901" s="20">
        <v>1874</v>
      </c>
    </row>
    <row r="1902" spans="18:18" ht="14.25">
      <c r="R1902" s="20">
        <v>1875</v>
      </c>
    </row>
    <row r="1903" spans="18:18" ht="14.25">
      <c r="R1903" s="20">
        <v>1876</v>
      </c>
    </row>
    <row r="1904" spans="18:18" ht="14.25">
      <c r="R1904" s="20">
        <v>1877</v>
      </c>
    </row>
    <row r="1905" spans="18:18" ht="14.25">
      <c r="R1905" s="20">
        <v>1878</v>
      </c>
    </row>
    <row r="1906" spans="18:18" ht="14.25">
      <c r="R1906" s="20">
        <v>1879</v>
      </c>
    </row>
    <row r="1907" spans="18:18" ht="14.25">
      <c r="R1907" s="20">
        <v>1880</v>
      </c>
    </row>
    <row r="1908" spans="18:18" ht="14.25">
      <c r="R1908" s="20">
        <v>1881</v>
      </c>
    </row>
    <row r="1909" spans="18:18" ht="14.25">
      <c r="R1909" s="20">
        <v>1882</v>
      </c>
    </row>
    <row r="1910" spans="18:18" ht="14.25">
      <c r="R1910" s="20">
        <v>1883</v>
      </c>
    </row>
    <row r="1911" spans="18:18" ht="14.25">
      <c r="R1911" s="20">
        <v>1884</v>
      </c>
    </row>
    <row r="1912" spans="18:18" ht="14.25">
      <c r="R1912" s="20">
        <v>1885</v>
      </c>
    </row>
    <row r="1913" spans="18:18" ht="14.25">
      <c r="R1913" s="20">
        <v>1886</v>
      </c>
    </row>
    <row r="1914" spans="18:18" ht="14.25">
      <c r="R1914" s="20">
        <v>1887</v>
      </c>
    </row>
    <row r="1915" spans="18:18" ht="14.25">
      <c r="R1915" s="20">
        <v>1888</v>
      </c>
    </row>
    <row r="1916" spans="18:18" ht="14.25">
      <c r="R1916" s="20">
        <v>1889</v>
      </c>
    </row>
    <row r="1917" spans="18:18" ht="14.25">
      <c r="R1917" s="20">
        <v>1890</v>
      </c>
    </row>
    <row r="1918" spans="18:18" ht="14.25">
      <c r="R1918" s="20">
        <v>1891</v>
      </c>
    </row>
    <row r="1919" spans="18:18" ht="14.25">
      <c r="R1919" s="20">
        <v>1892</v>
      </c>
    </row>
    <row r="1920" spans="18:18" ht="14.25">
      <c r="R1920" s="20">
        <v>1893</v>
      </c>
    </row>
    <row r="1921" spans="18:18" ht="14.25">
      <c r="R1921" s="20">
        <v>1894</v>
      </c>
    </row>
    <row r="1922" spans="18:18" ht="14.25">
      <c r="R1922" s="20">
        <v>1895</v>
      </c>
    </row>
    <row r="1923" spans="18:18" ht="14.25">
      <c r="R1923" s="20">
        <v>1896</v>
      </c>
    </row>
    <row r="1924" spans="18:18" ht="14.25">
      <c r="R1924" s="20">
        <v>1897</v>
      </c>
    </row>
    <row r="1925" spans="18:18" ht="14.25">
      <c r="R1925" s="20">
        <v>1898</v>
      </c>
    </row>
    <row r="1926" spans="18:18" ht="14.25">
      <c r="R1926" s="20">
        <v>1899</v>
      </c>
    </row>
    <row r="1927" spans="18:18" ht="14.25">
      <c r="R1927" s="20">
        <v>1900</v>
      </c>
    </row>
    <row r="1928" spans="18:18" ht="14.25">
      <c r="R1928" s="20">
        <v>1901</v>
      </c>
    </row>
    <row r="1929" spans="18:18" ht="14.25">
      <c r="R1929" s="20">
        <v>1902</v>
      </c>
    </row>
    <row r="1930" spans="18:18" ht="14.25">
      <c r="R1930" s="20">
        <v>1903</v>
      </c>
    </row>
    <row r="1931" spans="18:18" ht="14.25">
      <c r="R1931" s="20">
        <v>1904</v>
      </c>
    </row>
    <row r="1932" spans="18:18" ht="14.25">
      <c r="R1932" s="20">
        <v>1905</v>
      </c>
    </row>
    <row r="1933" spans="18:18" ht="14.25">
      <c r="R1933" s="20">
        <v>1906</v>
      </c>
    </row>
    <row r="1934" spans="18:18" ht="14.25">
      <c r="R1934" s="20">
        <v>1907</v>
      </c>
    </row>
    <row r="1935" spans="18:18" ht="14.25">
      <c r="R1935" s="20">
        <v>1908</v>
      </c>
    </row>
    <row r="1936" spans="18:18" ht="14.25">
      <c r="R1936" s="20">
        <v>1909</v>
      </c>
    </row>
    <row r="1937" spans="18:18" ht="14.25">
      <c r="R1937" s="20">
        <v>1910</v>
      </c>
    </row>
    <row r="1938" spans="18:18" ht="14.25">
      <c r="R1938" s="20">
        <v>1911</v>
      </c>
    </row>
    <row r="1939" spans="18:18" ht="14.25">
      <c r="R1939" s="20">
        <v>1912</v>
      </c>
    </row>
    <row r="1940" spans="18:18" ht="14.25">
      <c r="R1940" s="20">
        <v>1913</v>
      </c>
    </row>
    <row r="1941" spans="18:18" ht="14.25">
      <c r="R1941" s="20">
        <v>1914</v>
      </c>
    </row>
    <row r="1942" spans="18:18" ht="14.25">
      <c r="R1942" s="20">
        <v>1915</v>
      </c>
    </row>
    <row r="1943" spans="18:18" ht="14.25">
      <c r="R1943" s="20">
        <v>1916</v>
      </c>
    </row>
    <row r="1944" spans="18:18" ht="14.25">
      <c r="R1944" s="20">
        <v>1917</v>
      </c>
    </row>
    <row r="1945" spans="18:18" ht="14.25">
      <c r="R1945" s="20">
        <v>1918</v>
      </c>
    </row>
    <row r="1946" spans="18:18" ht="14.25">
      <c r="R1946" s="20">
        <v>1919</v>
      </c>
    </row>
    <row r="1947" spans="18:18" ht="14.25">
      <c r="R1947" s="20">
        <v>1920</v>
      </c>
    </row>
    <row r="1948" spans="18:18" ht="14.25">
      <c r="R1948" s="20">
        <v>1921</v>
      </c>
    </row>
    <row r="1949" spans="18:18" ht="14.25">
      <c r="R1949" s="20">
        <v>1922</v>
      </c>
    </row>
    <row r="1950" spans="18:18" ht="14.25">
      <c r="R1950" s="20">
        <v>1923</v>
      </c>
    </row>
    <row r="1951" spans="18:18" ht="14.25">
      <c r="R1951" s="20">
        <v>1924</v>
      </c>
    </row>
    <row r="1952" spans="18:18" ht="14.25">
      <c r="R1952" s="20">
        <v>1925</v>
      </c>
    </row>
    <row r="1953" spans="18:18" ht="14.25">
      <c r="R1953" s="20">
        <v>1926</v>
      </c>
    </row>
    <row r="1954" spans="18:18" ht="14.25">
      <c r="R1954" s="20">
        <v>1927</v>
      </c>
    </row>
    <row r="1955" spans="18:18" ht="14.25">
      <c r="R1955" s="20">
        <v>1928</v>
      </c>
    </row>
    <row r="1956" spans="18:18" ht="14.25">
      <c r="R1956" s="20">
        <v>1929</v>
      </c>
    </row>
    <row r="1957" spans="18:18" ht="14.25">
      <c r="R1957" s="20">
        <v>1930</v>
      </c>
    </row>
    <row r="1958" spans="18:18" ht="14.25">
      <c r="R1958" s="20">
        <v>1931</v>
      </c>
    </row>
    <row r="1959" spans="18:18" ht="14.25">
      <c r="R1959" s="20">
        <v>1932</v>
      </c>
    </row>
    <row r="1960" spans="18:18" ht="14.25">
      <c r="R1960" s="20">
        <v>1933</v>
      </c>
    </row>
    <row r="1961" spans="18:18" ht="14.25">
      <c r="R1961" s="20">
        <v>1934</v>
      </c>
    </row>
    <row r="1962" spans="18:18" ht="14.25">
      <c r="R1962" s="20">
        <v>1935</v>
      </c>
    </row>
    <row r="1963" spans="18:18" ht="14.25">
      <c r="R1963" s="20">
        <v>1936</v>
      </c>
    </row>
    <row r="1964" spans="18:18" ht="14.25">
      <c r="R1964" s="20">
        <v>1937</v>
      </c>
    </row>
    <row r="1965" spans="18:18" ht="14.25">
      <c r="R1965" s="20">
        <v>1938</v>
      </c>
    </row>
    <row r="1966" spans="18:18" ht="14.25">
      <c r="R1966" s="20">
        <v>1939</v>
      </c>
    </row>
    <row r="1967" spans="18:18" ht="14.25">
      <c r="R1967" s="20">
        <v>1940</v>
      </c>
    </row>
    <row r="1968" spans="18:18" ht="14.25">
      <c r="R1968" s="20">
        <v>1941</v>
      </c>
    </row>
    <row r="1969" spans="18:18" ht="14.25">
      <c r="R1969" s="20">
        <v>1942</v>
      </c>
    </row>
    <row r="1970" spans="18:18" ht="14.25">
      <c r="R1970" s="20">
        <v>1943</v>
      </c>
    </row>
    <row r="1971" spans="18:18" ht="14.25">
      <c r="R1971" s="20">
        <v>1944</v>
      </c>
    </row>
    <row r="1972" spans="18:18" ht="14.25">
      <c r="R1972" s="20">
        <v>1945</v>
      </c>
    </row>
    <row r="1973" spans="18:18" ht="14.25">
      <c r="R1973" s="20">
        <v>1946</v>
      </c>
    </row>
    <row r="1974" spans="18:18" ht="14.25">
      <c r="R1974" s="20">
        <v>1947</v>
      </c>
    </row>
    <row r="1975" spans="18:18" ht="14.25">
      <c r="R1975" s="20">
        <v>1948</v>
      </c>
    </row>
    <row r="1976" spans="18:18" ht="14.25">
      <c r="R1976" s="20">
        <v>1949</v>
      </c>
    </row>
    <row r="1977" spans="18:18" ht="14.25">
      <c r="R1977" s="20">
        <v>1950</v>
      </c>
    </row>
    <row r="1978" spans="18:18" ht="14.25">
      <c r="R1978" s="20">
        <v>1951</v>
      </c>
    </row>
    <row r="1979" spans="18:18" ht="14.25">
      <c r="R1979" s="20">
        <v>1952</v>
      </c>
    </row>
    <row r="1980" spans="18:18" ht="14.25">
      <c r="R1980" s="20">
        <v>1953</v>
      </c>
    </row>
    <row r="1981" spans="18:18" ht="14.25">
      <c r="R1981" s="20">
        <v>1954</v>
      </c>
    </row>
    <row r="1982" spans="18:18" ht="14.25">
      <c r="R1982" s="20">
        <v>1955</v>
      </c>
    </row>
    <row r="1983" spans="18:18" ht="14.25">
      <c r="R1983" s="20">
        <v>1956</v>
      </c>
    </row>
    <row r="1984" spans="18:18" ht="14.25">
      <c r="R1984" s="20">
        <v>1957</v>
      </c>
    </row>
    <row r="1985" spans="18:18" ht="14.25">
      <c r="R1985" s="20">
        <v>1958</v>
      </c>
    </row>
    <row r="1986" spans="18:18" ht="14.25">
      <c r="R1986" s="20">
        <v>1959</v>
      </c>
    </row>
    <row r="1987" spans="18:18" ht="14.25">
      <c r="R1987" s="20">
        <v>1960</v>
      </c>
    </row>
    <row r="1988" spans="18:18" ht="14.25">
      <c r="R1988" s="20">
        <v>1961</v>
      </c>
    </row>
    <row r="1989" spans="18:18" ht="14.25">
      <c r="R1989" s="20">
        <v>1962</v>
      </c>
    </row>
    <row r="1990" spans="18:18" ht="14.25">
      <c r="R1990" s="20">
        <v>1963</v>
      </c>
    </row>
    <row r="1991" spans="18:18" ht="14.25">
      <c r="R1991" s="20">
        <v>1964</v>
      </c>
    </row>
    <row r="1992" spans="18:18" ht="14.25">
      <c r="R1992" s="20">
        <v>1965</v>
      </c>
    </row>
    <row r="1993" spans="18:18" ht="14.25">
      <c r="R1993" s="20">
        <v>1966</v>
      </c>
    </row>
    <row r="1994" spans="18:18" ht="14.25">
      <c r="R1994" s="20">
        <v>1967</v>
      </c>
    </row>
    <row r="1995" spans="18:18" ht="14.25">
      <c r="R1995" s="20">
        <v>1968</v>
      </c>
    </row>
    <row r="1996" spans="18:18" ht="14.25">
      <c r="R1996" s="20">
        <v>1969</v>
      </c>
    </row>
    <row r="1997" spans="18:18" ht="14.25">
      <c r="R1997" s="20">
        <v>1970</v>
      </c>
    </row>
    <row r="1998" spans="18:18" ht="14.25">
      <c r="R1998" s="20">
        <v>1971</v>
      </c>
    </row>
    <row r="1999" spans="18:18" ht="14.25">
      <c r="R1999" s="20">
        <v>1972</v>
      </c>
    </row>
    <row r="2000" spans="18:18" ht="14.25">
      <c r="R2000" s="20">
        <v>1973</v>
      </c>
    </row>
    <row r="2001" spans="18:18" ht="14.25">
      <c r="R2001" s="20">
        <v>1974</v>
      </c>
    </row>
    <row r="2002" spans="18:18" ht="14.25">
      <c r="R2002" s="20">
        <v>1975</v>
      </c>
    </row>
    <row r="2003" spans="18:18" ht="14.25">
      <c r="R2003" s="20">
        <v>1976</v>
      </c>
    </row>
    <row r="2004" spans="18:18" ht="14.25">
      <c r="R2004" s="20">
        <v>1977</v>
      </c>
    </row>
    <row r="2005" spans="18:18" ht="14.25">
      <c r="R2005" s="20">
        <v>1978</v>
      </c>
    </row>
    <row r="2006" spans="18:18" ht="14.25">
      <c r="R2006" s="20">
        <v>1979</v>
      </c>
    </row>
    <row r="2007" spans="18:18" ht="14.25">
      <c r="R2007" s="20">
        <v>1980</v>
      </c>
    </row>
    <row r="2008" spans="18:18" ht="14.25">
      <c r="R2008" s="20">
        <v>1981</v>
      </c>
    </row>
    <row r="2009" spans="18:18" ht="14.25">
      <c r="R2009" s="20">
        <v>1982</v>
      </c>
    </row>
    <row r="2010" spans="18:18" ht="14.25">
      <c r="R2010" s="20">
        <v>1983</v>
      </c>
    </row>
    <row r="2011" spans="18:18" ht="14.25">
      <c r="R2011" s="20">
        <v>1984</v>
      </c>
    </row>
    <row r="2012" spans="18:18" ht="14.25">
      <c r="R2012" s="20">
        <v>1985</v>
      </c>
    </row>
    <row r="2013" spans="18:18" ht="14.25">
      <c r="R2013" s="20">
        <v>1986</v>
      </c>
    </row>
    <row r="2014" spans="18:18" ht="14.25">
      <c r="R2014" s="20">
        <v>1987</v>
      </c>
    </row>
    <row r="2015" spans="18:18" ht="14.25">
      <c r="R2015" s="20">
        <v>1988</v>
      </c>
    </row>
    <row r="2016" spans="18:18" ht="14.25">
      <c r="R2016" s="20">
        <v>1989</v>
      </c>
    </row>
    <row r="2017" spans="18:18" ht="14.25">
      <c r="R2017" s="20">
        <v>1990</v>
      </c>
    </row>
    <row r="2018" spans="18:18" ht="14.25">
      <c r="R2018" s="20">
        <v>1991</v>
      </c>
    </row>
    <row r="2019" spans="18:18" ht="14.25">
      <c r="R2019" s="20">
        <v>1992</v>
      </c>
    </row>
    <row r="2020" spans="18:18" ht="14.25">
      <c r="R2020" s="20">
        <v>1993</v>
      </c>
    </row>
    <row r="2021" spans="18:18" ht="14.25">
      <c r="R2021" s="20">
        <v>1994</v>
      </c>
    </row>
    <row r="2022" spans="18:18" ht="14.25">
      <c r="R2022" s="20">
        <v>1995</v>
      </c>
    </row>
    <row r="2023" spans="18:18" ht="14.25">
      <c r="R2023" s="20">
        <v>1996</v>
      </c>
    </row>
    <row r="2024" spans="18:18" ht="14.25">
      <c r="R2024" s="20">
        <v>1997</v>
      </c>
    </row>
    <row r="2025" spans="18:18" ht="14.25">
      <c r="R2025" s="20">
        <v>1998</v>
      </c>
    </row>
    <row r="2026" spans="18:18" ht="14.25">
      <c r="R2026" s="20">
        <v>1999</v>
      </c>
    </row>
    <row r="2027" spans="18:18" ht="14.25">
      <c r="R2027" s="20">
        <v>2000</v>
      </c>
    </row>
    <row r="2028" spans="18:18" ht="14.25">
      <c r="R2028" s="20">
        <v>2001</v>
      </c>
    </row>
    <row r="2029" spans="18:18" ht="14.25">
      <c r="R2029" s="20">
        <v>2002</v>
      </c>
    </row>
    <row r="2030" spans="18:18" ht="14.25">
      <c r="R2030" s="20">
        <v>2003</v>
      </c>
    </row>
    <row r="2031" spans="18:18" ht="14.25">
      <c r="R2031" s="20">
        <v>2004</v>
      </c>
    </row>
    <row r="2032" spans="18:18" ht="14.25">
      <c r="R2032" s="20">
        <v>2005</v>
      </c>
    </row>
    <row r="2033" spans="18:18" ht="14.25">
      <c r="R2033" s="20">
        <v>2006</v>
      </c>
    </row>
    <row r="2034" spans="18:18" ht="14.25">
      <c r="R2034" s="20">
        <v>2007</v>
      </c>
    </row>
    <row r="2035" spans="18:18" ht="14.25">
      <c r="R2035" s="20">
        <v>2008</v>
      </c>
    </row>
    <row r="2036" spans="18:18" ht="14.25">
      <c r="R2036" s="20">
        <v>2009</v>
      </c>
    </row>
    <row r="2037" spans="18:18" ht="14.25">
      <c r="R2037" s="20">
        <v>2010</v>
      </c>
    </row>
    <row r="2038" spans="18:18" ht="14.25">
      <c r="R2038" s="20">
        <v>2011</v>
      </c>
    </row>
    <row r="2039" spans="18:18" ht="14.25">
      <c r="R2039" s="20">
        <v>2012</v>
      </c>
    </row>
    <row r="2040" spans="18:18" ht="14.25">
      <c r="R2040" s="20">
        <v>2013</v>
      </c>
    </row>
    <row r="2041" spans="18:18" ht="14.25">
      <c r="R2041" s="20">
        <v>2014</v>
      </c>
    </row>
    <row r="2042" spans="18:18" ht="14.25">
      <c r="R2042" s="20">
        <v>2015</v>
      </c>
    </row>
    <row r="2043" spans="18:18" ht="14.25">
      <c r="R2043" s="20">
        <v>2016</v>
      </c>
    </row>
    <row r="2044" spans="18:18" ht="14.25">
      <c r="R2044" s="20">
        <v>2017</v>
      </c>
    </row>
    <row r="2045" spans="18:18" ht="14.25">
      <c r="R2045" s="20">
        <v>2018</v>
      </c>
    </row>
    <row r="2046" spans="18:18" ht="14.25">
      <c r="R2046" s="20">
        <v>2019</v>
      </c>
    </row>
    <row r="2047" spans="18:18" ht="14.25">
      <c r="R2047" s="20">
        <v>2020</v>
      </c>
    </row>
    <row r="2048" spans="18:18" ht="14.25">
      <c r="R2048" s="20">
        <v>2021</v>
      </c>
    </row>
    <row r="2049" spans="18:18" ht="14.25">
      <c r="R2049" s="20">
        <v>2022</v>
      </c>
    </row>
    <row r="2050" spans="18:18" ht="14.25">
      <c r="R2050" s="20">
        <v>2023</v>
      </c>
    </row>
    <row r="2051" spans="18:18" ht="14.25">
      <c r="R2051" s="20">
        <v>2024</v>
      </c>
    </row>
    <row r="2052" spans="18:18" ht="14.25">
      <c r="R2052" s="20">
        <v>2025</v>
      </c>
    </row>
    <row r="2053" spans="18:18" ht="14.25">
      <c r="R2053" s="20">
        <v>2026</v>
      </c>
    </row>
    <row r="2054" spans="18:18" ht="14.25">
      <c r="R2054" s="20">
        <v>2027</v>
      </c>
    </row>
    <row r="2055" spans="18:18" ht="14.25">
      <c r="R2055" s="20">
        <v>2028</v>
      </c>
    </row>
    <row r="2056" spans="18:18" ht="14.25">
      <c r="R2056" s="20">
        <v>2029</v>
      </c>
    </row>
    <row r="2057" spans="18:18" ht="14.25">
      <c r="R2057" s="20">
        <v>2030</v>
      </c>
    </row>
    <row r="2058" spans="18:18" ht="14.25">
      <c r="R2058" s="20">
        <v>2031</v>
      </c>
    </row>
    <row r="2059" spans="18:18" ht="14.25">
      <c r="R2059" s="20">
        <v>2032</v>
      </c>
    </row>
    <row r="2060" spans="18:18" ht="14.25">
      <c r="R2060" s="20">
        <v>2033</v>
      </c>
    </row>
    <row r="2061" spans="18:18" ht="14.25">
      <c r="R2061" s="20">
        <v>2034</v>
      </c>
    </row>
    <row r="2062" spans="18:18" ht="14.25">
      <c r="R2062" s="20">
        <v>2035</v>
      </c>
    </row>
    <row r="2063" spans="18:18" ht="14.25">
      <c r="R2063" s="20">
        <v>2036</v>
      </c>
    </row>
    <row r="2064" spans="18:18" ht="14.25">
      <c r="R2064" s="20">
        <v>2037</v>
      </c>
    </row>
    <row r="2065" spans="18:18" ht="14.25">
      <c r="R2065" s="20">
        <v>2038</v>
      </c>
    </row>
    <row r="2066" spans="18:18" ht="14.25">
      <c r="R2066" s="20">
        <v>2039</v>
      </c>
    </row>
    <row r="2067" spans="18:18" ht="14.25">
      <c r="R2067" s="20">
        <v>2040</v>
      </c>
    </row>
    <row r="2068" spans="18:18" ht="14.25">
      <c r="R2068" s="20">
        <v>2041</v>
      </c>
    </row>
    <row r="2069" spans="18:18" ht="14.25">
      <c r="R2069" s="20">
        <v>2042</v>
      </c>
    </row>
    <row r="2070" spans="18:18" ht="14.25">
      <c r="R2070" s="20">
        <v>2043</v>
      </c>
    </row>
    <row r="2071" spans="18:18" ht="14.25">
      <c r="R2071" s="20">
        <v>2044</v>
      </c>
    </row>
    <row r="2072" spans="18:18" ht="14.25">
      <c r="R2072" s="20">
        <v>2045</v>
      </c>
    </row>
    <row r="2073" spans="18:18" ht="14.25">
      <c r="R2073" s="20">
        <v>2046</v>
      </c>
    </row>
    <row r="2074" spans="18:18" ht="14.25">
      <c r="R2074" s="20">
        <v>2047</v>
      </c>
    </row>
    <row r="2075" spans="18:18" ht="14.25">
      <c r="R2075" s="20">
        <v>2048</v>
      </c>
    </row>
    <row r="2076" spans="18:18" ht="14.25">
      <c r="R2076" s="20">
        <v>2049</v>
      </c>
    </row>
    <row r="2077" spans="18:18" ht="14.25">
      <c r="R2077" s="20">
        <v>2050</v>
      </c>
    </row>
    <row r="2078" spans="18:18" ht="14.25">
      <c r="R2078" s="20">
        <v>2051</v>
      </c>
    </row>
    <row r="2079" spans="18:18" ht="14.25">
      <c r="R2079" s="20">
        <v>2052</v>
      </c>
    </row>
    <row r="2080" spans="18:18" ht="14.25">
      <c r="R2080" s="20">
        <v>2053</v>
      </c>
    </row>
    <row r="2081" spans="18:18" ht="14.25">
      <c r="R2081" s="20">
        <v>2054</v>
      </c>
    </row>
    <row r="2082" spans="18:18" ht="14.25">
      <c r="R2082" s="20">
        <v>2055</v>
      </c>
    </row>
    <row r="2083" spans="18:18" ht="14.25">
      <c r="R2083" s="20">
        <v>2056</v>
      </c>
    </row>
    <row r="2084" spans="18:18" ht="14.25">
      <c r="R2084" s="20">
        <v>2057</v>
      </c>
    </row>
    <row r="2085" spans="18:18" ht="14.25">
      <c r="R2085" s="20">
        <v>2058</v>
      </c>
    </row>
    <row r="2086" spans="18:18" ht="14.25">
      <c r="R2086" s="20">
        <v>2059</v>
      </c>
    </row>
    <row r="2087" spans="18:18" ht="14.25">
      <c r="R2087" s="20">
        <v>2060</v>
      </c>
    </row>
    <row r="2088" spans="18:18" ht="14.25">
      <c r="R2088" s="20">
        <v>2061</v>
      </c>
    </row>
    <row r="2089" spans="18:18" ht="14.25">
      <c r="R2089" s="20">
        <v>2062</v>
      </c>
    </row>
    <row r="2090" spans="18:18" ht="14.25">
      <c r="R2090" s="20">
        <v>2063</v>
      </c>
    </row>
    <row r="2091" spans="18:18" ht="14.25">
      <c r="R2091" s="20">
        <v>2064</v>
      </c>
    </row>
    <row r="2092" spans="18:18" ht="14.25">
      <c r="R2092" s="20">
        <v>2065</v>
      </c>
    </row>
    <row r="2093" spans="18:18" ht="14.25">
      <c r="R2093" s="20">
        <v>2066</v>
      </c>
    </row>
    <row r="2094" spans="18:18" ht="14.25">
      <c r="R2094" s="20">
        <v>2067</v>
      </c>
    </row>
    <row r="2095" spans="18:18" ht="14.25">
      <c r="R2095" s="20">
        <v>2068</v>
      </c>
    </row>
    <row r="2096" spans="18:18" ht="14.25">
      <c r="R2096" s="20">
        <v>2069</v>
      </c>
    </row>
    <row r="2097" spans="18:18" ht="14.25">
      <c r="R2097" s="20">
        <v>2070</v>
      </c>
    </row>
    <row r="2098" spans="18:18" ht="14.25">
      <c r="R2098" s="20">
        <v>2071</v>
      </c>
    </row>
    <row r="2099" spans="18:18" ht="14.25">
      <c r="R2099" s="20">
        <v>2072</v>
      </c>
    </row>
    <row r="2100" spans="18:18" ht="14.25">
      <c r="R2100" s="20">
        <v>2073</v>
      </c>
    </row>
    <row r="2101" spans="18:18" ht="14.25">
      <c r="R2101" s="20">
        <v>2074</v>
      </c>
    </row>
    <row r="2102" spans="18:18" ht="14.25">
      <c r="R2102" s="20">
        <v>2075</v>
      </c>
    </row>
    <row r="2103" spans="18:18" ht="14.25">
      <c r="R2103" s="20">
        <v>2076</v>
      </c>
    </row>
    <row r="2104" spans="18:18" ht="14.25">
      <c r="R2104" s="20">
        <v>2077</v>
      </c>
    </row>
    <row r="2105" spans="18:18" ht="14.25">
      <c r="R2105" s="20">
        <v>2078</v>
      </c>
    </row>
    <row r="2106" spans="18:18" ht="14.25">
      <c r="R2106" s="20">
        <v>2079</v>
      </c>
    </row>
    <row r="2107" spans="18:18" ht="14.25">
      <c r="R2107" s="20">
        <v>2080</v>
      </c>
    </row>
    <row r="2108" spans="18:18" ht="14.25">
      <c r="R2108" s="20">
        <v>2081</v>
      </c>
    </row>
    <row r="2109" spans="18:18" ht="14.25">
      <c r="R2109" s="20">
        <v>2082</v>
      </c>
    </row>
    <row r="2110" spans="18:18" ht="14.25">
      <c r="R2110" s="20">
        <v>2083</v>
      </c>
    </row>
    <row r="2111" spans="18:18" ht="14.25">
      <c r="R2111" s="20">
        <v>2084</v>
      </c>
    </row>
    <row r="2112" spans="18:18" ht="14.25">
      <c r="R2112" s="20">
        <v>2085</v>
      </c>
    </row>
    <row r="2113" spans="18:18" ht="14.25">
      <c r="R2113" s="20">
        <v>2086</v>
      </c>
    </row>
    <row r="2114" spans="18:18" ht="14.25">
      <c r="R2114" s="20">
        <v>2087</v>
      </c>
    </row>
    <row r="2115" spans="18:18" ht="14.25">
      <c r="R2115" s="20">
        <v>2088</v>
      </c>
    </row>
    <row r="2116" spans="18:18" ht="14.25">
      <c r="R2116" s="20">
        <v>2089</v>
      </c>
    </row>
    <row r="2117" spans="18:18" ht="14.25">
      <c r="R2117" s="20">
        <v>2090</v>
      </c>
    </row>
    <row r="2118" spans="18:18" ht="14.25">
      <c r="R2118" s="20">
        <v>2091</v>
      </c>
    </row>
    <row r="2119" spans="18:18" ht="14.25">
      <c r="R2119" s="20">
        <v>2092</v>
      </c>
    </row>
    <row r="2120" spans="18:18" ht="14.25">
      <c r="R2120" s="20">
        <v>2093</v>
      </c>
    </row>
    <row r="2121" spans="18:18" ht="14.25">
      <c r="R2121" s="20">
        <v>2094</v>
      </c>
    </row>
    <row r="2122" spans="18:18" ht="14.25">
      <c r="R2122" s="20">
        <v>2095</v>
      </c>
    </row>
    <row r="2123" spans="18:18" ht="14.25">
      <c r="R2123" s="20">
        <v>2096</v>
      </c>
    </row>
    <row r="2124" spans="18:18" ht="14.25">
      <c r="R2124" s="20">
        <v>2097</v>
      </c>
    </row>
    <row r="2125" spans="18:18" ht="14.25">
      <c r="R2125" s="20">
        <v>2098</v>
      </c>
    </row>
    <row r="2126" spans="18:18" ht="14.25">
      <c r="R2126" s="20">
        <v>2099</v>
      </c>
    </row>
    <row r="2127" spans="18:18" ht="14.25">
      <c r="R2127" s="20">
        <v>2100</v>
      </c>
    </row>
    <row r="2128" spans="18:18" ht="14.25">
      <c r="R2128" s="20">
        <v>2101</v>
      </c>
    </row>
    <row r="2129" spans="18:18" ht="14.25">
      <c r="R2129" s="20">
        <v>2102</v>
      </c>
    </row>
    <row r="2130" spans="18:18" ht="14.25">
      <c r="R2130" s="20">
        <v>2103</v>
      </c>
    </row>
    <row r="2131" spans="18:18" ht="14.25">
      <c r="R2131" s="20">
        <v>2104</v>
      </c>
    </row>
    <row r="2132" spans="18:18" ht="14.25">
      <c r="R2132" s="20">
        <v>2105</v>
      </c>
    </row>
    <row r="2133" spans="18:18" ht="14.25">
      <c r="R2133" s="20">
        <v>2106</v>
      </c>
    </row>
    <row r="2134" spans="18:18" ht="14.25">
      <c r="R2134" s="20">
        <v>2107</v>
      </c>
    </row>
    <row r="2135" spans="18:18" ht="14.25">
      <c r="R2135" s="20">
        <v>2108</v>
      </c>
    </row>
    <row r="2136" spans="18:18" ht="14.25">
      <c r="R2136" s="20">
        <v>2109</v>
      </c>
    </row>
    <row r="2137" spans="18:18" ht="14.25">
      <c r="R2137" s="20">
        <v>2110</v>
      </c>
    </row>
    <row r="2138" spans="18:18" ht="14.25">
      <c r="R2138" s="20">
        <v>2111</v>
      </c>
    </row>
    <row r="2139" spans="18:18" ht="14.25">
      <c r="R2139" s="20">
        <v>2112</v>
      </c>
    </row>
    <row r="2140" spans="18:18" ht="14.25">
      <c r="R2140" s="20">
        <v>2113</v>
      </c>
    </row>
    <row r="2141" spans="18:18" ht="14.25">
      <c r="R2141" s="20">
        <v>2114</v>
      </c>
    </row>
    <row r="2142" spans="18:18" ht="14.25">
      <c r="R2142" s="20">
        <v>2115</v>
      </c>
    </row>
    <row r="2143" spans="18:18" ht="14.25">
      <c r="R2143" s="20">
        <v>2116</v>
      </c>
    </row>
    <row r="2144" spans="18:18" ht="14.25">
      <c r="R2144" s="20">
        <v>2117</v>
      </c>
    </row>
    <row r="2145" spans="18:18" ht="14.25">
      <c r="R2145" s="20">
        <v>2118</v>
      </c>
    </row>
    <row r="2146" spans="18:18" ht="14.25">
      <c r="R2146" s="20">
        <v>2119</v>
      </c>
    </row>
    <row r="2147" spans="18:18" ht="14.25">
      <c r="R2147" s="20">
        <v>2120</v>
      </c>
    </row>
    <row r="2148" spans="18:18" ht="14.25">
      <c r="R2148" s="20">
        <v>2121</v>
      </c>
    </row>
    <row r="2149" spans="18:18" ht="14.25">
      <c r="R2149" s="20">
        <v>2122</v>
      </c>
    </row>
    <row r="2150" spans="18:18" ht="14.25">
      <c r="R2150" s="20">
        <v>2123</v>
      </c>
    </row>
    <row r="2151" spans="18:18" ht="14.25">
      <c r="R2151" s="20">
        <v>2124</v>
      </c>
    </row>
    <row r="2152" spans="18:18" ht="14.25">
      <c r="R2152" s="20">
        <v>2125</v>
      </c>
    </row>
    <row r="2153" spans="18:18" ht="14.25">
      <c r="R2153" s="20">
        <v>2126</v>
      </c>
    </row>
    <row r="2154" spans="18:18" ht="14.25">
      <c r="R2154" s="20">
        <v>2127</v>
      </c>
    </row>
    <row r="2155" spans="18:18" ht="14.25">
      <c r="R2155" s="20">
        <v>2128</v>
      </c>
    </row>
    <row r="2156" spans="18:18" ht="14.25">
      <c r="R2156" s="20">
        <v>2129</v>
      </c>
    </row>
    <row r="2157" spans="18:18" ht="14.25">
      <c r="R2157" s="20">
        <v>2130</v>
      </c>
    </row>
    <row r="2158" spans="18:18" ht="14.25">
      <c r="R2158" s="20">
        <v>2131</v>
      </c>
    </row>
    <row r="2159" spans="18:18" ht="14.25">
      <c r="R2159" s="20">
        <v>2132</v>
      </c>
    </row>
    <row r="2160" spans="18:18" ht="14.25">
      <c r="R2160" s="20">
        <v>2133</v>
      </c>
    </row>
    <row r="2161" spans="18:18" ht="14.25">
      <c r="R2161" s="20">
        <v>2134</v>
      </c>
    </row>
    <row r="2162" spans="18:18" ht="14.25">
      <c r="R2162" s="20">
        <v>2135</v>
      </c>
    </row>
    <row r="2163" spans="18:18" ht="14.25">
      <c r="R2163" s="20">
        <v>2136</v>
      </c>
    </row>
    <row r="2164" spans="18:18" ht="14.25">
      <c r="R2164" s="20">
        <v>2137</v>
      </c>
    </row>
    <row r="2165" spans="18:18" ht="14.25">
      <c r="R2165" s="20">
        <v>2138</v>
      </c>
    </row>
    <row r="2166" spans="18:18" ht="14.25">
      <c r="R2166" s="20">
        <v>2139</v>
      </c>
    </row>
    <row r="2167" spans="18:18" ht="14.25">
      <c r="R2167" s="20">
        <v>2140</v>
      </c>
    </row>
    <row r="2168" spans="18:18" ht="14.25">
      <c r="R2168" s="20">
        <v>2141</v>
      </c>
    </row>
    <row r="2169" spans="18:18" ht="14.25">
      <c r="R2169" s="20">
        <v>2142</v>
      </c>
    </row>
    <row r="2170" spans="18:18" ht="14.25">
      <c r="R2170" s="20">
        <v>2143</v>
      </c>
    </row>
    <row r="2171" spans="18:18" ht="14.25">
      <c r="R2171" s="20">
        <v>2144</v>
      </c>
    </row>
    <row r="2172" spans="18:18" ht="14.25">
      <c r="R2172" s="20">
        <v>2145</v>
      </c>
    </row>
    <row r="2173" spans="18:18" ht="14.25">
      <c r="R2173" s="20">
        <v>2146</v>
      </c>
    </row>
    <row r="2174" spans="18:18" ht="14.25">
      <c r="R2174" s="20">
        <v>2147</v>
      </c>
    </row>
    <row r="2175" spans="18:18" ht="14.25">
      <c r="R2175" s="20">
        <v>2148</v>
      </c>
    </row>
    <row r="2176" spans="18:18" ht="14.25">
      <c r="R2176" s="20">
        <v>2149</v>
      </c>
    </row>
    <row r="2177" spans="18:18" ht="14.25">
      <c r="R2177" s="20">
        <v>2150</v>
      </c>
    </row>
    <row r="2178" spans="18:18" ht="14.25">
      <c r="R2178" s="20">
        <v>2151</v>
      </c>
    </row>
    <row r="2179" spans="18:18" ht="14.25">
      <c r="R2179" s="20">
        <v>2152</v>
      </c>
    </row>
    <row r="2180" spans="18:18" ht="14.25">
      <c r="R2180" s="20">
        <v>2153</v>
      </c>
    </row>
    <row r="2181" spans="18:18" ht="14.25">
      <c r="R2181" s="20">
        <v>2154</v>
      </c>
    </row>
    <row r="2182" spans="18:18" ht="14.25">
      <c r="R2182" s="20">
        <v>2155</v>
      </c>
    </row>
    <row r="2183" spans="18:18" ht="14.25">
      <c r="R2183" s="20">
        <v>2156</v>
      </c>
    </row>
    <row r="2184" spans="18:18" ht="14.25">
      <c r="R2184" s="20">
        <v>2157</v>
      </c>
    </row>
    <row r="2185" spans="18:18" ht="14.25">
      <c r="R2185" s="20">
        <v>2158</v>
      </c>
    </row>
    <row r="2186" spans="18:18" ht="14.25">
      <c r="R2186" s="20">
        <v>2159</v>
      </c>
    </row>
    <row r="2187" spans="18:18" ht="14.25">
      <c r="R2187" s="20">
        <v>2160</v>
      </c>
    </row>
    <row r="2188" spans="18:18" ht="14.25">
      <c r="R2188" s="20">
        <v>2161</v>
      </c>
    </row>
    <row r="2189" spans="18:18" ht="14.25">
      <c r="R2189" s="20">
        <v>2162</v>
      </c>
    </row>
    <row r="2190" spans="18:18" ht="14.25">
      <c r="R2190" s="20">
        <v>2163</v>
      </c>
    </row>
    <row r="2191" spans="18:18" ht="14.25">
      <c r="R2191" s="20">
        <v>2164</v>
      </c>
    </row>
    <row r="2192" spans="18:18" ht="14.25">
      <c r="R2192" s="20">
        <v>2165</v>
      </c>
    </row>
    <row r="2193" spans="18:18" ht="14.25">
      <c r="R2193" s="20">
        <v>2166</v>
      </c>
    </row>
    <row r="2194" spans="18:18" ht="14.25">
      <c r="R2194" s="20">
        <v>2167</v>
      </c>
    </row>
    <row r="2195" spans="18:18" ht="14.25">
      <c r="R2195" s="20">
        <v>2168</v>
      </c>
    </row>
    <row r="2196" spans="18:18" ht="14.25">
      <c r="R2196" s="20">
        <v>2169</v>
      </c>
    </row>
    <row r="2197" spans="18:18" ht="14.25">
      <c r="R2197" s="20">
        <v>2170</v>
      </c>
    </row>
    <row r="2198" spans="18:18" ht="14.25">
      <c r="R2198" s="20">
        <v>2171</v>
      </c>
    </row>
    <row r="2199" spans="18:18" ht="14.25">
      <c r="R2199" s="20">
        <v>2172</v>
      </c>
    </row>
    <row r="2200" spans="18:18" ht="14.25">
      <c r="R2200" s="20">
        <v>2173</v>
      </c>
    </row>
    <row r="2201" spans="18:18" ht="14.25">
      <c r="R2201" s="20">
        <v>2174</v>
      </c>
    </row>
    <row r="2202" spans="18:18" ht="14.25">
      <c r="R2202" s="20">
        <v>2175</v>
      </c>
    </row>
    <row r="2203" spans="18:18" ht="14.25">
      <c r="R2203" s="20">
        <v>2176</v>
      </c>
    </row>
    <row r="2204" spans="18:18" ht="14.25">
      <c r="R2204" s="20">
        <v>2177</v>
      </c>
    </row>
    <row r="2205" spans="18:18" ht="14.25">
      <c r="R2205" s="20">
        <v>2178</v>
      </c>
    </row>
    <row r="2206" spans="18:18" ht="14.25">
      <c r="R2206" s="20">
        <v>2179</v>
      </c>
    </row>
    <row r="2207" spans="18:18" ht="14.25">
      <c r="R2207" s="20">
        <v>2180</v>
      </c>
    </row>
    <row r="2208" spans="18:18" ht="14.25">
      <c r="R2208" s="20">
        <v>2181</v>
      </c>
    </row>
    <row r="2209" spans="18:18" ht="14.25">
      <c r="R2209" s="20">
        <v>2182</v>
      </c>
    </row>
    <row r="2210" spans="18:18" ht="14.25">
      <c r="R2210" s="20">
        <v>2183</v>
      </c>
    </row>
    <row r="2211" spans="18:18" ht="14.25">
      <c r="R2211" s="20">
        <v>2184</v>
      </c>
    </row>
    <row r="2212" spans="18:18" ht="14.25">
      <c r="R2212" s="20">
        <v>2185</v>
      </c>
    </row>
    <row r="2213" spans="18:18" ht="14.25">
      <c r="R2213" s="20">
        <v>2186</v>
      </c>
    </row>
    <row r="2214" spans="18:18" ht="14.25">
      <c r="R2214" s="20">
        <v>2187</v>
      </c>
    </row>
    <row r="2215" spans="18:18" ht="14.25">
      <c r="R2215" s="20">
        <v>2188</v>
      </c>
    </row>
    <row r="2216" spans="18:18" ht="14.25">
      <c r="R2216" s="20">
        <v>2189</v>
      </c>
    </row>
    <row r="2217" spans="18:18" ht="14.25">
      <c r="R2217" s="20">
        <v>2190</v>
      </c>
    </row>
    <row r="2218" spans="18:18" ht="14.25">
      <c r="R2218" s="20">
        <v>2191</v>
      </c>
    </row>
    <row r="2219" spans="18:18" ht="14.25">
      <c r="R2219" s="20">
        <v>2192</v>
      </c>
    </row>
    <row r="2220" spans="18:18" ht="14.25">
      <c r="R2220" s="20">
        <v>2193</v>
      </c>
    </row>
    <row r="2221" spans="18:18" ht="14.25">
      <c r="R2221" s="20">
        <v>2194</v>
      </c>
    </row>
    <row r="2222" spans="18:18" ht="14.25">
      <c r="R2222" s="20">
        <v>2195</v>
      </c>
    </row>
    <row r="2223" spans="18:18" ht="14.25">
      <c r="R2223" s="20">
        <v>2196</v>
      </c>
    </row>
    <row r="2224" spans="18:18" ht="14.25">
      <c r="R2224" s="20">
        <v>2197</v>
      </c>
    </row>
    <row r="2225" spans="18:18" ht="14.25">
      <c r="R2225" s="20">
        <v>2198</v>
      </c>
    </row>
    <row r="2226" spans="18:18" ht="14.25">
      <c r="R2226" s="20">
        <v>2199</v>
      </c>
    </row>
    <row r="2227" spans="18:18" ht="14.25">
      <c r="R2227" s="20">
        <v>2200</v>
      </c>
    </row>
    <row r="2228" spans="18:18" ht="14.25">
      <c r="R2228" s="20">
        <v>2201</v>
      </c>
    </row>
    <row r="2229" spans="18:18" ht="14.25">
      <c r="R2229" s="20">
        <v>2202</v>
      </c>
    </row>
    <row r="2230" spans="18:18" ht="14.25">
      <c r="R2230" s="20">
        <v>2203</v>
      </c>
    </row>
    <row r="2231" spans="18:18" ht="14.25">
      <c r="R2231" s="20">
        <v>2204</v>
      </c>
    </row>
    <row r="2232" spans="18:18" ht="14.25">
      <c r="R2232" s="20">
        <v>2205</v>
      </c>
    </row>
    <row r="2233" spans="18:18" ht="14.25">
      <c r="R2233" s="20">
        <v>2206</v>
      </c>
    </row>
    <row r="2234" spans="18:18" ht="14.25">
      <c r="R2234" s="20">
        <v>2207</v>
      </c>
    </row>
    <row r="2235" spans="18:18" ht="14.25">
      <c r="R2235" s="20">
        <v>2208</v>
      </c>
    </row>
    <row r="2236" spans="18:18" ht="14.25">
      <c r="R2236" s="20">
        <v>2209</v>
      </c>
    </row>
    <row r="2237" spans="18:18" ht="14.25">
      <c r="R2237" s="20">
        <v>2210</v>
      </c>
    </row>
    <row r="2238" spans="18:18" ht="14.25">
      <c r="R2238" s="20">
        <v>2211</v>
      </c>
    </row>
    <row r="2239" spans="18:18" ht="14.25">
      <c r="R2239" s="20">
        <v>2212</v>
      </c>
    </row>
    <row r="2240" spans="18:18" ht="14.25">
      <c r="R2240" s="20">
        <v>2213</v>
      </c>
    </row>
    <row r="2241" spans="18:18" ht="14.25">
      <c r="R2241" s="20">
        <v>2214</v>
      </c>
    </row>
    <row r="2242" spans="18:18" ht="14.25">
      <c r="R2242" s="20">
        <v>2215</v>
      </c>
    </row>
    <row r="2243" spans="18:18" ht="14.25">
      <c r="R2243" s="20">
        <v>2216</v>
      </c>
    </row>
    <row r="2244" spans="18:18" ht="14.25">
      <c r="R2244" s="20">
        <v>2217</v>
      </c>
    </row>
    <row r="2245" spans="18:18" ht="14.25">
      <c r="R2245" s="20">
        <v>2218</v>
      </c>
    </row>
    <row r="2246" spans="18:18" ht="14.25">
      <c r="R2246" s="20">
        <v>2219</v>
      </c>
    </row>
    <row r="2247" spans="18:18" ht="14.25">
      <c r="R2247" s="20">
        <v>2220</v>
      </c>
    </row>
    <row r="2248" spans="18:18" ht="14.25">
      <c r="R2248" s="20">
        <v>2221</v>
      </c>
    </row>
    <row r="2249" spans="18:18" ht="14.25">
      <c r="R2249" s="20">
        <v>2222</v>
      </c>
    </row>
    <row r="2250" spans="18:18" ht="14.25">
      <c r="R2250" s="20">
        <v>2223</v>
      </c>
    </row>
    <row r="2251" spans="18:18" ht="14.25">
      <c r="R2251" s="20">
        <v>2224</v>
      </c>
    </row>
    <row r="2252" spans="18:18" ht="14.25">
      <c r="R2252" s="20">
        <v>2225</v>
      </c>
    </row>
    <row r="2253" spans="18:18" ht="14.25">
      <c r="R2253" s="20">
        <v>2226</v>
      </c>
    </row>
    <row r="2254" spans="18:18" ht="14.25">
      <c r="R2254" s="20">
        <v>2227</v>
      </c>
    </row>
    <row r="2255" spans="18:18" ht="14.25">
      <c r="R2255" s="20">
        <v>2228</v>
      </c>
    </row>
    <row r="2256" spans="18:18" ht="14.25">
      <c r="R2256" s="20">
        <v>2229</v>
      </c>
    </row>
    <row r="2257" spans="18:18" ht="14.25">
      <c r="R2257" s="20">
        <v>2230</v>
      </c>
    </row>
    <row r="2258" spans="18:18" ht="14.25">
      <c r="R2258" s="20">
        <v>2231</v>
      </c>
    </row>
    <row r="2259" spans="18:18" ht="14.25">
      <c r="R2259" s="20">
        <v>2232</v>
      </c>
    </row>
    <row r="2260" spans="18:18" ht="14.25">
      <c r="R2260" s="20">
        <v>2233</v>
      </c>
    </row>
    <row r="2261" spans="18:18" ht="14.25">
      <c r="R2261" s="20">
        <v>2234</v>
      </c>
    </row>
    <row r="2262" spans="18:18" ht="14.25">
      <c r="R2262" s="20">
        <v>2235</v>
      </c>
    </row>
    <row r="2263" spans="18:18" ht="14.25">
      <c r="R2263" s="20">
        <v>2236</v>
      </c>
    </row>
    <row r="2264" spans="18:18" ht="14.25">
      <c r="R2264" s="20">
        <v>2237</v>
      </c>
    </row>
    <row r="2265" spans="18:18" ht="14.25">
      <c r="R2265" s="20">
        <v>2238</v>
      </c>
    </row>
    <row r="2266" spans="18:18" ht="14.25">
      <c r="R2266" s="20">
        <v>2239</v>
      </c>
    </row>
    <row r="2267" spans="18:18" ht="14.25">
      <c r="R2267" s="20">
        <v>2240</v>
      </c>
    </row>
    <row r="2268" spans="18:18" ht="14.25">
      <c r="R2268" s="20">
        <v>2241</v>
      </c>
    </row>
    <row r="2269" spans="18:18" ht="14.25">
      <c r="R2269" s="20">
        <v>2242</v>
      </c>
    </row>
    <row r="2270" spans="18:18" ht="14.25">
      <c r="R2270" s="20">
        <v>2243</v>
      </c>
    </row>
    <row r="2271" spans="18:18" ht="14.25">
      <c r="R2271" s="20">
        <v>2244</v>
      </c>
    </row>
    <row r="2272" spans="18:18" ht="14.25">
      <c r="R2272" s="20">
        <v>2245</v>
      </c>
    </row>
    <row r="2273" spans="18:18" ht="14.25">
      <c r="R2273" s="20">
        <v>2246</v>
      </c>
    </row>
    <row r="2274" spans="18:18" ht="14.25">
      <c r="R2274" s="20">
        <v>2247</v>
      </c>
    </row>
    <row r="2275" spans="18:18" ht="14.25">
      <c r="R2275" s="20">
        <v>2248</v>
      </c>
    </row>
    <row r="2276" spans="18:18" ht="14.25">
      <c r="R2276" s="20">
        <v>2249</v>
      </c>
    </row>
    <row r="2277" spans="18:18" ht="14.25">
      <c r="R2277" s="20">
        <v>2250</v>
      </c>
    </row>
    <row r="2278" spans="18:18" ht="14.25">
      <c r="R2278" s="20">
        <v>2251</v>
      </c>
    </row>
    <row r="2279" spans="18:18" ht="14.25">
      <c r="R2279" s="20">
        <v>2252</v>
      </c>
    </row>
    <row r="2280" spans="18:18" ht="14.25">
      <c r="R2280" s="20">
        <v>2253</v>
      </c>
    </row>
    <row r="2281" spans="18:18" ht="14.25">
      <c r="R2281" s="20">
        <v>2254</v>
      </c>
    </row>
    <row r="2282" spans="18:18" ht="14.25">
      <c r="R2282" s="20">
        <v>2255</v>
      </c>
    </row>
    <row r="2283" spans="18:18" ht="14.25">
      <c r="R2283" s="20">
        <v>2256</v>
      </c>
    </row>
    <row r="2284" spans="18:18" ht="14.25">
      <c r="R2284" s="20">
        <v>2257</v>
      </c>
    </row>
    <row r="2285" spans="18:18" ht="14.25">
      <c r="R2285" s="20">
        <v>2258</v>
      </c>
    </row>
    <row r="2286" spans="18:18" ht="14.25">
      <c r="R2286" s="20">
        <v>2259</v>
      </c>
    </row>
    <row r="2287" spans="18:18" ht="14.25">
      <c r="R2287" s="20">
        <v>2260</v>
      </c>
    </row>
    <row r="2288" spans="18:18" ht="14.25">
      <c r="R2288" s="20">
        <v>2261</v>
      </c>
    </row>
    <row r="2289" spans="18:18" ht="14.25">
      <c r="R2289" s="20">
        <v>2262</v>
      </c>
    </row>
    <row r="2290" spans="18:18" ht="14.25">
      <c r="R2290" s="20">
        <v>2263</v>
      </c>
    </row>
    <row r="2291" spans="18:18" ht="14.25">
      <c r="R2291" s="20">
        <v>2264</v>
      </c>
    </row>
    <row r="2292" spans="18:18" ht="14.25">
      <c r="R2292" s="20">
        <v>2265</v>
      </c>
    </row>
    <row r="2293" spans="18:18" ht="14.25">
      <c r="R2293" s="20">
        <v>2266</v>
      </c>
    </row>
    <row r="2294" spans="18:18" ht="14.25">
      <c r="R2294" s="20">
        <v>2267</v>
      </c>
    </row>
    <row r="2295" spans="18:18" ht="14.25">
      <c r="R2295" s="20">
        <v>2268</v>
      </c>
    </row>
    <row r="2296" spans="18:18" ht="14.25">
      <c r="R2296" s="20">
        <v>2269</v>
      </c>
    </row>
    <row r="2297" spans="18:18" ht="14.25">
      <c r="R2297" s="20">
        <v>2270</v>
      </c>
    </row>
    <row r="2298" spans="18:18" ht="14.25">
      <c r="R2298" s="20">
        <v>2271</v>
      </c>
    </row>
    <row r="2299" spans="18:18" ht="14.25">
      <c r="R2299" s="20">
        <v>2272</v>
      </c>
    </row>
    <row r="2300" spans="18:18" ht="14.25">
      <c r="R2300" s="20">
        <v>2273</v>
      </c>
    </row>
    <row r="2301" spans="18:18" ht="14.25">
      <c r="R2301" s="20">
        <v>2274</v>
      </c>
    </row>
    <row r="2302" spans="18:18" ht="14.25">
      <c r="R2302" s="20">
        <v>2275</v>
      </c>
    </row>
    <row r="2303" spans="18:18" ht="14.25">
      <c r="R2303" s="20">
        <v>2276</v>
      </c>
    </row>
    <row r="2304" spans="18:18" ht="14.25">
      <c r="R2304" s="20">
        <v>2277</v>
      </c>
    </row>
    <row r="2305" spans="18:18" ht="14.25">
      <c r="R2305" s="20">
        <v>2278</v>
      </c>
    </row>
    <row r="2306" spans="18:18" ht="14.25">
      <c r="R2306" s="20">
        <v>2279</v>
      </c>
    </row>
    <row r="2307" spans="18:18" ht="14.25">
      <c r="R2307" s="20">
        <v>2280</v>
      </c>
    </row>
    <row r="2308" spans="18:18" ht="14.25">
      <c r="R2308" s="20">
        <v>2281</v>
      </c>
    </row>
    <row r="2309" spans="18:18" ht="14.25">
      <c r="R2309" s="20">
        <v>2282</v>
      </c>
    </row>
    <row r="2310" spans="18:18" ht="14.25">
      <c r="R2310" s="20">
        <v>2283</v>
      </c>
    </row>
    <row r="2311" spans="18:18" ht="14.25">
      <c r="R2311" s="20">
        <v>2284</v>
      </c>
    </row>
    <row r="2312" spans="18:18" ht="14.25">
      <c r="R2312" s="20">
        <v>2285</v>
      </c>
    </row>
    <row r="2313" spans="18:18" ht="14.25">
      <c r="R2313" s="20">
        <v>2286</v>
      </c>
    </row>
    <row r="2314" spans="18:18" ht="14.25">
      <c r="R2314" s="20">
        <v>2287</v>
      </c>
    </row>
    <row r="2315" spans="18:18" ht="14.25">
      <c r="R2315" s="20">
        <v>2288</v>
      </c>
    </row>
    <row r="2316" spans="18:18" ht="14.25">
      <c r="R2316" s="20">
        <v>2289</v>
      </c>
    </row>
    <row r="2317" spans="18:18" ht="14.25">
      <c r="R2317" s="20">
        <v>2290</v>
      </c>
    </row>
    <row r="2318" spans="18:18" ht="14.25">
      <c r="R2318" s="20">
        <v>2291</v>
      </c>
    </row>
    <row r="2319" spans="18:18" ht="14.25">
      <c r="R2319" s="20">
        <v>2292</v>
      </c>
    </row>
    <row r="2320" spans="18:18" ht="14.25">
      <c r="R2320" s="20">
        <v>2293</v>
      </c>
    </row>
    <row r="2321" spans="18:18" ht="14.25">
      <c r="R2321" s="20">
        <v>2294</v>
      </c>
    </row>
    <row r="2322" spans="18:18" ht="14.25">
      <c r="R2322" s="20">
        <v>2295</v>
      </c>
    </row>
    <row r="2323" spans="18:18" ht="14.25">
      <c r="R2323" s="20">
        <v>2296</v>
      </c>
    </row>
    <row r="2324" spans="18:18" ht="14.25">
      <c r="R2324" s="20">
        <v>2297</v>
      </c>
    </row>
    <row r="2325" spans="18:18" ht="14.25">
      <c r="R2325" s="20">
        <v>2298</v>
      </c>
    </row>
    <row r="2326" spans="18:18" ht="14.25">
      <c r="R2326" s="20">
        <v>2299</v>
      </c>
    </row>
    <row r="2327" spans="18:18" ht="14.25">
      <c r="R2327" s="20">
        <v>2300</v>
      </c>
    </row>
    <row r="2328" spans="18:18" ht="14.25">
      <c r="R2328" s="20">
        <v>2301</v>
      </c>
    </row>
    <row r="2329" spans="18:18" ht="14.25">
      <c r="R2329" s="20">
        <v>2302</v>
      </c>
    </row>
    <row r="2330" spans="18:18" ht="14.25">
      <c r="R2330" s="20">
        <v>2303</v>
      </c>
    </row>
    <row r="2331" spans="18:18" ht="14.25">
      <c r="R2331" s="20">
        <v>2304</v>
      </c>
    </row>
    <row r="2332" spans="18:18" ht="14.25">
      <c r="R2332" s="20">
        <v>2305</v>
      </c>
    </row>
    <row r="2333" spans="18:18" ht="14.25">
      <c r="R2333" s="20">
        <v>2306</v>
      </c>
    </row>
    <row r="2334" spans="18:18" ht="14.25">
      <c r="R2334" s="20">
        <v>2307</v>
      </c>
    </row>
    <row r="2335" spans="18:18" ht="14.25">
      <c r="R2335" s="20">
        <v>2308</v>
      </c>
    </row>
    <row r="2336" spans="18:18" ht="14.25">
      <c r="R2336" s="20">
        <v>2309</v>
      </c>
    </row>
    <row r="2337" spans="18:18" ht="14.25">
      <c r="R2337" s="20">
        <v>2310</v>
      </c>
    </row>
    <row r="2338" spans="18:18" ht="14.25">
      <c r="R2338" s="20">
        <v>2311</v>
      </c>
    </row>
    <row r="2339" spans="18:18" ht="14.25">
      <c r="R2339" s="20">
        <v>2312</v>
      </c>
    </row>
    <row r="2340" spans="18:18" ht="14.25">
      <c r="R2340" s="20">
        <v>2313</v>
      </c>
    </row>
    <row r="2341" spans="18:18" ht="14.25">
      <c r="R2341" s="20">
        <v>2314</v>
      </c>
    </row>
    <row r="2342" spans="18:18" ht="14.25">
      <c r="R2342" s="20">
        <v>2315</v>
      </c>
    </row>
    <row r="2343" spans="18:18" ht="14.25">
      <c r="R2343" s="20">
        <v>2316</v>
      </c>
    </row>
    <row r="2344" spans="18:18" ht="14.25">
      <c r="R2344" s="20">
        <v>2317</v>
      </c>
    </row>
    <row r="2345" spans="18:18" ht="14.25">
      <c r="R2345" s="20">
        <v>2318</v>
      </c>
    </row>
    <row r="2346" spans="18:18" ht="14.25">
      <c r="R2346" s="20">
        <v>2319</v>
      </c>
    </row>
    <row r="2347" spans="18:18" ht="14.25">
      <c r="R2347" s="20">
        <v>2320</v>
      </c>
    </row>
    <row r="2348" spans="18:18" ht="14.25">
      <c r="R2348" s="20">
        <v>2321</v>
      </c>
    </row>
    <row r="2349" spans="18:18" ht="14.25">
      <c r="R2349" s="20">
        <v>2322</v>
      </c>
    </row>
    <row r="2350" spans="18:18" ht="14.25">
      <c r="R2350" s="20">
        <v>2323</v>
      </c>
    </row>
    <row r="2351" spans="18:18" ht="14.25">
      <c r="R2351" s="20">
        <v>2324</v>
      </c>
    </row>
    <row r="2352" spans="18:18" ht="14.25">
      <c r="R2352" s="20">
        <v>2325</v>
      </c>
    </row>
    <row r="2353" spans="18:18" ht="14.25">
      <c r="R2353" s="20">
        <v>2326</v>
      </c>
    </row>
    <row r="2354" spans="18:18" ht="14.25">
      <c r="R2354" s="20">
        <v>2327</v>
      </c>
    </row>
    <row r="2355" spans="18:18" ht="14.25">
      <c r="R2355" s="20">
        <v>2328</v>
      </c>
    </row>
    <row r="2356" spans="18:18" ht="14.25">
      <c r="R2356" s="20">
        <v>2329</v>
      </c>
    </row>
    <row r="2357" spans="18:18" ht="14.25">
      <c r="R2357" s="20">
        <v>2330</v>
      </c>
    </row>
    <row r="2358" spans="18:18" ht="14.25">
      <c r="R2358" s="20">
        <v>2331</v>
      </c>
    </row>
    <row r="2359" spans="18:18" ht="14.25">
      <c r="R2359" s="20">
        <v>2332</v>
      </c>
    </row>
    <row r="2360" spans="18:18" ht="14.25">
      <c r="R2360" s="20">
        <v>2333</v>
      </c>
    </row>
    <row r="2361" spans="18:18" ht="14.25">
      <c r="R2361" s="20">
        <v>2334</v>
      </c>
    </row>
    <row r="2362" spans="18:18" ht="14.25">
      <c r="R2362" s="20">
        <v>2335</v>
      </c>
    </row>
    <row r="2363" spans="18:18" ht="14.25">
      <c r="R2363" s="20">
        <v>2336</v>
      </c>
    </row>
    <row r="2364" spans="18:18" ht="14.25">
      <c r="R2364" s="20">
        <v>2337</v>
      </c>
    </row>
    <row r="2365" spans="18:18" ht="14.25">
      <c r="R2365" s="20">
        <v>2338</v>
      </c>
    </row>
    <row r="2366" spans="18:18" ht="14.25">
      <c r="R2366" s="20">
        <v>2339</v>
      </c>
    </row>
    <row r="2367" spans="18:18" ht="14.25">
      <c r="R2367" s="20">
        <v>2340</v>
      </c>
    </row>
    <row r="2368" spans="18:18" ht="14.25">
      <c r="R2368" s="20">
        <v>2341</v>
      </c>
    </row>
    <row r="2369" spans="18:18" ht="14.25">
      <c r="R2369" s="20">
        <v>2342</v>
      </c>
    </row>
    <row r="2370" spans="18:18" ht="14.25">
      <c r="R2370" s="20">
        <v>2343</v>
      </c>
    </row>
    <row r="2371" spans="18:18" ht="14.25">
      <c r="R2371" s="20">
        <v>2344</v>
      </c>
    </row>
    <row r="2372" spans="18:18" ht="14.25">
      <c r="R2372" s="20">
        <v>2345</v>
      </c>
    </row>
    <row r="2373" spans="18:18" ht="14.25">
      <c r="R2373" s="20">
        <v>2346</v>
      </c>
    </row>
    <row r="2374" spans="18:18" ht="14.25">
      <c r="R2374" s="20">
        <v>2347</v>
      </c>
    </row>
    <row r="2375" spans="18:18" ht="14.25">
      <c r="R2375" s="20">
        <v>2348</v>
      </c>
    </row>
    <row r="2376" spans="18:18" ht="14.25">
      <c r="R2376" s="20">
        <v>2349</v>
      </c>
    </row>
    <row r="2377" spans="18:18" ht="14.25">
      <c r="R2377" s="20">
        <v>2350</v>
      </c>
    </row>
    <row r="2378" spans="18:18" ht="14.25">
      <c r="R2378" s="20">
        <v>2351</v>
      </c>
    </row>
    <row r="2379" spans="18:18" ht="14.25">
      <c r="R2379" s="20">
        <v>2352</v>
      </c>
    </row>
    <row r="2380" spans="18:18" ht="14.25">
      <c r="R2380" s="20">
        <v>2353</v>
      </c>
    </row>
    <row r="2381" spans="18:18" ht="14.25">
      <c r="R2381" s="20">
        <v>2354</v>
      </c>
    </row>
    <row r="2382" spans="18:18" ht="14.25">
      <c r="R2382" s="20">
        <v>2355</v>
      </c>
    </row>
    <row r="2383" spans="18:18" ht="14.25">
      <c r="R2383" s="20">
        <v>2356</v>
      </c>
    </row>
    <row r="2384" spans="18:18" ht="14.25">
      <c r="R2384" s="20">
        <v>2357</v>
      </c>
    </row>
    <row r="2385" spans="18:18" ht="14.25">
      <c r="R2385" s="20">
        <v>2358</v>
      </c>
    </row>
    <row r="2386" spans="18:18" ht="14.25">
      <c r="R2386" s="20">
        <v>2359</v>
      </c>
    </row>
    <row r="2387" spans="18:18" ht="14.25">
      <c r="R2387" s="20">
        <v>2360</v>
      </c>
    </row>
    <row r="2388" spans="18:18" ht="14.25">
      <c r="R2388" s="20">
        <v>2361</v>
      </c>
    </row>
    <row r="2389" spans="18:18" ht="14.25">
      <c r="R2389" s="20">
        <v>2362</v>
      </c>
    </row>
    <row r="2390" spans="18:18" ht="14.25">
      <c r="R2390" s="20">
        <v>2363</v>
      </c>
    </row>
    <row r="2391" spans="18:18" ht="14.25">
      <c r="R2391" s="20">
        <v>2364</v>
      </c>
    </row>
    <row r="2392" spans="18:18" ht="14.25">
      <c r="R2392" s="20">
        <v>2365</v>
      </c>
    </row>
    <row r="2393" spans="18:18" ht="14.25">
      <c r="R2393" s="20">
        <v>2366</v>
      </c>
    </row>
    <row r="2394" spans="18:18" ht="14.25">
      <c r="R2394" s="20">
        <v>2367</v>
      </c>
    </row>
    <row r="2395" spans="18:18" ht="14.25">
      <c r="R2395" s="20">
        <v>2368</v>
      </c>
    </row>
    <row r="2396" spans="18:18" ht="14.25">
      <c r="R2396" s="20">
        <v>2369</v>
      </c>
    </row>
    <row r="2397" spans="18:18" ht="14.25">
      <c r="R2397" s="20">
        <v>2370</v>
      </c>
    </row>
    <row r="2398" spans="18:18" ht="14.25">
      <c r="R2398" s="20">
        <v>2371</v>
      </c>
    </row>
    <row r="2399" spans="18:18" ht="14.25">
      <c r="R2399" s="20">
        <v>2372</v>
      </c>
    </row>
    <row r="2400" spans="18:18" ht="14.25">
      <c r="R2400" s="20">
        <v>2373</v>
      </c>
    </row>
    <row r="2401" spans="18:18" ht="14.25">
      <c r="R2401" s="20">
        <v>2374</v>
      </c>
    </row>
    <row r="2402" spans="18:18" ht="14.25">
      <c r="R2402" s="20">
        <v>2375</v>
      </c>
    </row>
    <row r="2403" spans="18:18" ht="14.25">
      <c r="R2403" s="20">
        <v>2376</v>
      </c>
    </row>
    <row r="2404" spans="18:18" ht="14.25">
      <c r="R2404" s="20">
        <v>2377</v>
      </c>
    </row>
    <row r="2405" spans="18:18" ht="14.25">
      <c r="R2405" s="20">
        <v>2378</v>
      </c>
    </row>
    <row r="2406" spans="18:18" ht="14.25">
      <c r="R2406" s="20">
        <v>2379</v>
      </c>
    </row>
    <row r="2407" spans="18:18" ht="14.25">
      <c r="R2407" s="20">
        <v>2380</v>
      </c>
    </row>
    <row r="2408" spans="18:18" ht="14.25">
      <c r="R2408" s="20">
        <v>2381</v>
      </c>
    </row>
    <row r="2409" spans="18:18" ht="14.25">
      <c r="R2409" s="20">
        <v>2382</v>
      </c>
    </row>
    <row r="2410" spans="18:18" ht="14.25">
      <c r="R2410" s="20">
        <v>2383</v>
      </c>
    </row>
    <row r="2411" spans="18:18" ht="14.25">
      <c r="R2411" s="20">
        <v>2384</v>
      </c>
    </row>
    <row r="2412" spans="18:18" ht="14.25">
      <c r="R2412" s="20">
        <v>2385</v>
      </c>
    </row>
    <row r="2413" spans="18:18" ht="14.25">
      <c r="R2413" s="20">
        <v>2386</v>
      </c>
    </row>
    <row r="2414" spans="18:18" ht="14.25">
      <c r="R2414" s="20">
        <v>2387</v>
      </c>
    </row>
    <row r="2415" spans="18:18" ht="14.25">
      <c r="R2415" s="20">
        <v>2388</v>
      </c>
    </row>
    <row r="2416" spans="18:18" ht="14.25">
      <c r="R2416" s="20">
        <v>2389</v>
      </c>
    </row>
    <row r="2417" spans="18:18" ht="14.25">
      <c r="R2417" s="20">
        <v>2390</v>
      </c>
    </row>
    <row r="2418" spans="18:18" ht="14.25">
      <c r="R2418" s="20">
        <v>2391</v>
      </c>
    </row>
    <row r="2419" spans="18:18" ht="14.25">
      <c r="R2419" s="20">
        <v>2392</v>
      </c>
    </row>
    <row r="2420" spans="18:18" ht="14.25">
      <c r="R2420" s="20">
        <v>2393</v>
      </c>
    </row>
    <row r="2421" spans="18:18" ht="14.25">
      <c r="R2421" s="20">
        <v>2394</v>
      </c>
    </row>
    <row r="2422" spans="18:18" ht="14.25">
      <c r="R2422" s="20">
        <v>2395</v>
      </c>
    </row>
    <row r="2423" spans="18:18" ht="14.25">
      <c r="R2423" s="20">
        <v>2396</v>
      </c>
    </row>
    <row r="2424" spans="18:18" ht="14.25">
      <c r="R2424" s="20">
        <v>2397</v>
      </c>
    </row>
    <row r="2425" spans="18:18" ht="14.25">
      <c r="R2425" s="20">
        <v>2398</v>
      </c>
    </row>
    <row r="2426" spans="18:18" ht="14.25">
      <c r="R2426" s="20">
        <v>2399</v>
      </c>
    </row>
    <row r="2427" spans="18:18" ht="14.25">
      <c r="R2427" s="20">
        <v>2400</v>
      </c>
    </row>
    <row r="2428" spans="18:18" ht="14.25">
      <c r="R2428" s="20">
        <v>2401</v>
      </c>
    </row>
    <row r="2429" spans="18:18" ht="14.25">
      <c r="R2429" s="20">
        <v>2402</v>
      </c>
    </row>
    <row r="2430" spans="18:18" ht="14.25">
      <c r="R2430" s="20">
        <v>2403</v>
      </c>
    </row>
    <row r="2431" spans="18:18" ht="14.25">
      <c r="R2431" s="20">
        <v>2404</v>
      </c>
    </row>
    <row r="2432" spans="18:18" ht="14.25">
      <c r="R2432" s="20">
        <v>2405</v>
      </c>
    </row>
    <row r="2433" spans="18:18" ht="14.25">
      <c r="R2433" s="20">
        <v>2406</v>
      </c>
    </row>
    <row r="2434" spans="18:18" ht="14.25">
      <c r="R2434" s="20">
        <v>2407</v>
      </c>
    </row>
    <row r="2435" spans="18:18" ht="14.25">
      <c r="R2435" s="20">
        <v>2408</v>
      </c>
    </row>
    <row r="2436" spans="18:18" ht="14.25">
      <c r="R2436" s="20">
        <v>2409</v>
      </c>
    </row>
    <row r="2437" spans="18:18" ht="14.25">
      <c r="R2437" s="20">
        <v>2410</v>
      </c>
    </row>
    <row r="2438" spans="18:18" ht="14.25">
      <c r="R2438" s="20">
        <v>2411</v>
      </c>
    </row>
    <row r="2439" spans="18:18" ht="14.25">
      <c r="R2439" s="20">
        <v>2412</v>
      </c>
    </row>
    <row r="2440" spans="18:18" ht="14.25">
      <c r="R2440" s="20">
        <v>2413</v>
      </c>
    </row>
    <row r="2441" spans="18:18" ht="14.25">
      <c r="R2441" s="20">
        <v>2414</v>
      </c>
    </row>
    <row r="2442" spans="18:18" ht="14.25">
      <c r="R2442" s="20">
        <v>2415</v>
      </c>
    </row>
    <row r="2443" spans="18:18" ht="14.25">
      <c r="R2443" s="20">
        <v>2416</v>
      </c>
    </row>
    <row r="2444" spans="18:18" ht="14.25">
      <c r="R2444" s="20">
        <v>2417</v>
      </c>
    </row>
    <row r="2445" spans="18:18" ht="14.25">
      <c r="R2445" s="20">
        <v>2418</v>
      </c>
    </row>
    <row r="2446" spans="18:18" ht="14.25">
      <c r="R2446" s="20">
        <v>2419</v>
      </c>
    </row>
    <row r="2447" spans="18:18" ht="14.25">
      <c r="R2447" s="20">
        <v>2420</v>
      </c>
    </row>
    <row r="2448" spans="18:18" ht="14.25">
      <c r="R2448" s="20">
        <v>2421</v>
      </c>
    </row>
    <row r="2449" spans="18:18" ht="14.25">
      <c r="R2449" s="20">
        <v>2422</v>
      </c>
    </row>
    <row r="2450" spans="18:18" ht="14.25">
      <c r="R2450" s="20">
        <v>2423</v>
      </c>
    </row>
    <row r="2451" spans="18:18" ht="14.25">
      <c r="R2451" s="20">
        <v>2424</v>
      </c>
    </row>
    <row r="2452" spans="18:18" ht="14.25">
      <c r="R2452" s="20">
        <v>2425</v>
      </c>
    </row>
    <row r="2453" spans="18:18" ht="14.25">
      <c r="R2453" s="20">
        <v>2426</v>
      </c>
    </row>
    <row r="2454" spans="18:18" ht="14.25">
      <c r="R2454" s="20">
        <v>2427</v>
      </c>
    </row>
    <row r="2455" spans="18:18" ht="14.25">
      <c r="R2455" s="20">
        <v>2428</v>
      </c>
    </row>
    <row r="2456" spans="18:18" ht="14.25">
      <c r="R2456" s="20">
        <v>2429</v>
      </c>
    </row>
    <row r="2457" spans="18:18" ht="14.25">
      <c r="R2457" s="20">
        <v>2430</v>
      </c>
    </row>
    <row r="2458" spans="18:18" ht="14.25">
      <c r="R2458" s="20">
        <v>2431</v>
      </c>
    </row>
    <row r="2459" spans="18:18" ht="14.25">
      <c r="R2459" s="20">
        <v>2432</v>
      </c>
    </row>
    <row r="2460" spans="18:18" ht="14.25">
      <c r="R2460" s="20">
        <v>2433</v>
      </c>
    </row>
    <row r="2461" spans="18:18" ht="14.25">
      <c r="R2461" s="20">
        <v>2434</v>
      </c>
    </row>
    <row r="2462" spans="18:18" ht="14.25">
      <c r="R2462" s="20">
        <v>2435</v>
      </c>
    </row>
    <row r="2463" spans="18:18" ht="14.25">
      <c r="R2463" s="20">
        <v>2436</v>
      </c>
    </row>
    <row r="2464" spans="18:18" ht="14.25">
      <c r="R2464" s="20">
        <v>2437</v>
      </c>
    </row>
    <row r="2465" spans="18:18" ht="14.25">
      <c r="R2465" s="20">
        <v>2438</v>
      </c>
    </row>
    <row r="2466" spans="18:18" ht="14.25">
      <c r="R2466" s="20">
        <v>2439</v>
      </c>
    </row>
    <row r="2467" spans="18:18" ht="14.25">
      <c r="R2467" s="20">
        <v>2440</v>
      </c>
    </row>
    <row r="2468" spans="18:18" ht="14.25">
      <c r="R2468" s="20">
        <v>2441</v>
      </c>
    </row>
    <row r="2469" spans="18:18" ht="14.25">
      <c r="R2469" s="20">
        <v>2442</v>
      </c>
    </row>
    <row r="2470" spans="18:18" ht="14.25">
      <c r="R2470" s="20">
        <v>2443</v>
      </c>
    </row>
    <row r="2471" spans="18:18" ht="14.25">
      <c r="R2471" s="20">
        <v>2444</v>
      </c>
    </row>
    <row r="2472" spans="18:18" ht="14.25">
      <c r="R2472" s="20">
        <v>2445</v>
      </c>
    </row>
    <row r="2473" spans="18:18" ht="14.25">
      <c r="R2473" s="20">
        <v>2446</v>
      </c>
    </row>
    <row r="2474" spans="18:18" ht="14.25">
      <c r="R2474" s="20">
        <v>2447</v>
      </c>
    </row>
    <row r="2475" spans="18:18" ht="14.25">
      <c r="R2475" s="20">
        <v>2448</v>
      </c>
    </row>
    <row r="2476" spans="18:18" ht="14.25">
      <c r="R2476" s="20">
        <v>2449</v>
      </c>
    </row>
    <row r="2477" spans="18:18" ht="14.25">
      <c r="R2477" s="20">
        <v>2450</v>
      </c>
    </row>
    <row r="2478" spans="18:18" ht="14.25">
      <c r="R2478" s="20">
        <v>2451</v>
      </c>
    </row>
    <row r="2479" spans="18:18" ht="14.25">
      <c r="R2479" s="20">
        <v>2452</v>
      </c>
    </row>
    <row r="2480" spans="18:18" ht="14.25">
      <c r="R2480" s="20">
        <v>2453</v>
      </c>
    </row>
    <row r="2481" spans="18:18" ht="14.25">
      <c r="R2481" s="20">
        <v>2454</v>
      </c>
    </row>
    <row r="2482" spans="18:18" ht="14.25">
      <c r="R2482" s="20">
        <v>2455</v>
      </c>
    </row>
    <row r="2483" spans="18:18" ht="14.25">
      <c r="R2483" s="20">
        <v>2456</v>
      </c>
    </row>
    <row r="2484" spans="18:18" ht="14.25">
      <c r="R2484" s="20">
        <v>2457</v>
      </c>
    </row>
    <row r="2485" spans="18:18" ht="14.25">
      <c r="R2485" s="20">
        <v>2458</v>
      </c>
    </row>
    <row r="2486" spans="18:18" ht="14.25">
      <c r="R2486" s="20">
        <v>2459</v>
      </c>
    </row>
    <row r="2487" spans="18:18" ht="14.25">
      <c r="R2487" s="20">
        <v>2460</v>
      </c>
    </row>
    <row r="2488" spans="18:18" ht="14.25">
      <c r="R2488" s="20">
        <v>2461</v>
      </c>
    </row>
    <row r="2489" spans="18:18" ht="14.25">
      <c r="R2489" s="20">
        <v>2462</v>
      </c>
    </row>
    <row r="2490" spans="18:18" ht="14.25">
      <c r="R2490" s="20">
        <v>2463</v>
      </c>
    </row>
    <row r="2491" spans="18:18" ht="14.25">
      <c r="R2491" s="20">
        <v>2464</v>
      </c>
    </row>
    <row r="2492" spans="18:18" ht="14.25">
      <c r="R2492" s="20">
        <v>2465</v>
      </c>
    </row>
    <row r="2493" spans="18:18" ht="14.25">
      <c r="R2493" s="20">
        <v>2466</v>
      </c>
    </row>
    <row r="2494" spans="18:18" ht="14.25">
      <c r="R2494" s="20">
        <v>2467</v>
      </c>
    </row>
    <row r="2495" spans="18:18" ht="14.25">
      <c r="R2495" s="20">
        <v>2468</v>
      </c>
    </row>
    <row r="2496" spans="18:18" ht="14.25">
      <c r="R2496" s="20">
        <v>2469</v>
      </c>
    </row>
    <row r="2497" spans="18:18" ht="14.25">
      <c r="R2497" s="20">
        <v>2470</v>
      </c>
    </row>
    <row r="2498" spans="18:18" ht="14.25">
      <c r="R2498" s="20">
        <v>2471</v>
      </c>
    </row>
    <row r="2499" spans="18:18" ht="14.25">
      <c r="R2499" s="20">
        <v>2472</v>
      </c>
    </row>
    <row r="2500" spans="18:18" ht="14.25">
      <c r="R2500" s="20">
        <v>2473</v>
      </c>
    </row>
    <row r="2501" spans="18:18" ht="14.25">
      <c r="R2501" s="20">
        <v>2474</v>
      </c>
    </row>
    <row r="2502" spans="18:18" ht="14.25">
      <c r="R2502" s="20">
        <v>2475</v>
      </c>
    </row>
    <row r="2503" spans="18:18" ht="14.25">
      <c r="R2503" s="20">
        <v>2476</v>
      </c>
    </row>
    <row r="2504" spans="18:18" ht="14.25">
      <c r="R2504" s="20">
        <v>2477</v>
      </c>
    </row>
    <row r="2505" spans="18:18" ht="14.25">
      <c r="R2505" s="20">
        <v>2478</v>
      </c>
    </row>
    <row r="2506" spans="18:18" ht="14.25">
      <c r="R2506" s="20">
        <v>2479</v>
      </c>
    </row>
    <row r="2507" spans="18:18" ht="14.25">
      <c r="R2507" s="20">
        <v>2480</v>
      </c>
    </row>
    <row r="2508" spans="18:18" ht="14.25">
      <c r="R2508" s="20">
        <v>2481</v>
      </c>
    </row>
    <row r="2509" spans="18:18" ht="14.25">
      <c r="R2509" s="20">
        <v>2482</v>
      </c>
    </row>
    <row r="2510" spans="18:18" ht="14.25">
      <c r="R2510" s="20">
        <v>2483</v>
      </c>
    </row>
    <row r="2511" spans="18:18" ht="14.25">
      <c r="R2511" s="20">
        <v>2484</v>
      </c>
    </row>
    <row r="2512" spans="18:18" ht="14.25">
      <c r="R2512" s="20">
        <v>2485</v>
      </c>
    </row>
    <row r="2513" spans="18:18" ht="14.25">
      <c r="R2513" s="20">
        <v>2486</v>
      </c>
    </row>
    <row r="2514" spans="18:18" ht="14.25">
      <c r="R2514" s="20">
        <v>2487</v>
      </c>
    </row>
    <row r="2515" spans="18:18" ht="14.25">
      <c r="R2515" s="20">
        <v>2488</v>
      </c>
    </row>
    <row r="2516" spans="18:18" ht="14.25">
      <c r="R2516" s="20">
        <v>2489</v>
      </c>
    </row>
    <row r="2517" spans="18:18" ht="14.25">
      <c r="R2517" s="20">
        <v>2490</v>
      </c>
    </row>
    <row r="2518" spans="18:18" ht="14.25">
      <c r="R2518" s="20">
        <v>2491</v>
      </c>
    </row>
    <row r="2519" spans="18:18" ht="14.25">
      <c r="R2519" s="20">
        <v>2492</v>
      </c>
    </row>
    <row r="2520" spans="18:18" ht="14.25">
      <c r="R2520" s="20">
        <v>2493</v>
      </c>
    </row>
    <row r="2521" spans="18:18" ht="14.25">
      <c r="R2521" s="20">
        <v>2494</v>
      </c>
    </row>
    <row r="2522" spans="18:18" ht="14.25">
      <c r="R2522" s="20">
        <v>2495</v>
      </c>
    </row>
    <row r="2523" spans="18:18" ht="14.25">
      <c r="R2523" s="20">
        <v>2496</v>
      </c>
    </row>
    <row r="2524" spans="18:18" ht="14.25">
      <c r="R2524" s="20">
        <v>2497</v>
      </c>
    </row>
    <row r="2525" spans="18:18" ht="14.25">
      <c r="R2525" s="20">
        <v>2498</v>
      </c>
    </row>
    <row r="2526" spans="18:18" ht="14.25">
      <c r="R2526" s="20">
        <v>2499</v>
      </c>
    </row>
    <row r="2527" spans="18:18" ht="14.25">
      <c r="R2527" s="20">
        <v>2500</v>
      </c>
    </row>
    <row r="2528" spans="18:18" ht="14.25">
      <c r="R2528" s="20">
        <v>2501</v>
      </c>
    </row>
    <row r="2529" spans="18:18" ht="14.25">
      <c r="R2529" s="20">
        <v>2502</v>
      </c>
    </row>
    <row r="2530" spans="18:18" ht="14.25">
      <c r="R2530" s="20">
        <v>2503</v>
      </c>
    </row>
    <row r="2531" spans="18:18" ht="14.25">
      <c r="R2531" s="20">
        <v>2504</v>
      </c>
    </row>
    <row r="2532" spans="18:18" ht="14.25">
      <c r="R2532" s="20">
        <v>2505</v>
      </c>
    </row>
    <row r="2533" spans="18:18" ht="14.25">
      <c r="R2533" s="20">
        <v>2506</v>
      </c>
    </row>
    <row r="2534" spans="18:18" ht="14.25">
      <c r="R2534" s="20">
        <v>2507</v>
      </c>
    </row>
    <row r="2535" spans="18:18" ht="14.25">
      <c r="R2535" s="20">
        <v>2508</v>
      </c>
    </row>
    <row r="2536" spans="18:18" ht="14.25">
      <c r="R2536" s="20">
        <v>2509</v>
      </c>
    </row>
    <row r="2537" spans="18:18" ht="14.25">
      <c r="R2537" s="20">
        <v>2510</v>
      </c>
    </row>
    <row r="2538" spans="18:18" ht="14.25">
      <c r="R2538" s="20">
        <v>2511</v>
      </c>
    </row>
    <row r="2539" spans="18:18" ht="14.25">
      <c r="R2539" s="20">
        <v>2512</v>
      </c>
    </row>
    <row r="2540" spans="18:18" ht="14.25">
      <c r="R2540" s="20">
        <v>2513</v>
      </c>
    </row>
    <row r="2541" spans="18:18" ht="14.25">
      <c r="R2541" s="20">
        <v>2514</v>
      </c>
    </row>
    <row r="2542" spans="18:18" ht="14.25">
      <c r="R2542" s="20">
        <v>2515</v>
      </c>
    </row>
    <row r="2543" spans="18:18" ht="14.25">
      <c r="R2543" s="20">
        <v>2516</v>
      </c>
    </row>
    <row r="2544" spans="18:18" ht="14.25">
      <c r="R2544" s="20">
        <v>2517</v>
      </c>
    </row>
    <row r="2545" spans="18:18" ht="14.25">
      <c r="R2545" s="20">
        <v>2518</v>
      </c>
    </row>
    <row r="2546" spans="18:18" ht="14.25">
      <c r="R2546" s="20">
        <v>2519</v>
      </c>
    </row>
    <row r="2547" spans="18:18" ht="14.25">
      <c r="R2547" s="20">
        <v>2520</v>
      </c>
    </row>
    <row r="2548" spans="18:18" ht="14.25">
      <c r="R2548" s="20">
        <v>2521</v>
      </c>
    </row>
    <row r="2549" spans="18:18" ht="14.25">
      <c r="R2549" s="20">
        <v>2522</v>
      </c>
    </row>
    <row r="2550" spans="18:18" ht="14.25">
      <c r="R2550" s="20">
        <v>2523</v>
      </c>
    </row>
    <row r="2551" spans="18:18" ht="14.25">
      <c r="R2551" s="20">
        <v>2524</v>
      </c>
    </row>
    <row r="2552" spans="18:18" ht="14.25">
      <c r="R2552" s="20">
        <v>2525</v>
      </c>
    </row>
    <row r="2553" spans="18:18" ht="14.25">
      <c r="R2553" s="20">
        <v>2526</v>
      </c>
    </row>
    <row r="2554" spans="18:18" ht="14.25">
      <c r="R2554" s="20">
        <v>2527</v>
      </c>
    </row>
    <row r="2555" spans="18:18" ht="14.25">
      <c r="R2555" s="20">
        <v>2528</v>
      </c>
    </row>
    <row r="2556" spans="18:18" ht="14.25">
      <c r="R2556" s="20">
        <v>2529</v>
      </c>
    </row>
    <row r="2557" spans="18:18" ht="14.25">
      <c r="R2557" s="20">
        <v>2530</v>
      </c>
    </row>
    <row r="2558" spans="18:18" ht="14.25">
      <c r="R2558" s="20">
        <v>2531</v>
      </c>
    </row>
    <row r="2559" spans="18:18" ht="14.25">
      <c r="R2559" s="20">
        <v>2532</v>
      </c>
    </row>
    <row r="2560" spans="18:18" ht="14.25">
      <c r="R2560" s="20">
        <v>2533</v>
      </c>
    </row>
    <row r="2561" spans="18:18" ht="14.25">
      <c r="R2561" s="20">
        <v>2534</v>
      </c>
    </row>
    <row r="2562" spans="18:18" ht="14.25">
      <c r="R2562" s="20">
        <v>2535</v>
      </c>
    </row>
    <row r="2563" spans="18:18" ht="14.25">
      <c r="R2563" s="20">
        <v>2536</v>
      </c>
    </row>
    <row r="2564" spans="18:18" ht="14.25">
      <c r="R2564" s="20">
        <v>2537</v>
      </c>
    </row>
    <row r="2565" spans="18:18" ht="14.25">
      <c r="R2565" s="20">
        <v>2538</v>
      </c>
    </row>
    <row r="2566" spans="18:18" ht="14.25">
      <c r="R2566" s="20">
        <v>2539</v>
      </c>
    </row>
    <row r="2567" spans="18:18" ht="14.25">
      <c r="R2567" s="20">
        <v>2540</v>
      </c>
    </row>
    <row r="2568" spans="18:18" ht="14.25">
      <c r="R2568" s="20">
        <v>2541</v>
      </c>
    </row>
    <row r="2569" spans="18:18" ht="14.25">
      <c r="R2569" s="20">
        <v>2542</v>
      </c>
    </row>
    <row r="2570" spans="18:18" ht="14.25">
      <c r="R2570" s="20">
        <v>2543</v>
      </c>
    </row>
    <row r="2571" spans="18:18" ht="14.25">
      <c r="R2571" s="20">
        <v>2544</v>
      </c>
    </row>
    <row r="2572" spans="18:18" ht="14.25">
      <c r="R2572" s="20">
        <v>2545</v>
      </c>
    </row>
    <row r="2573" spans="18:18" ht="14.25">
      <c r="R2573" s="20">
        <v>2546</v>
      </c>
    </row>
    <row r="2574" spans="18:18" ht="14.25">
      <c r="R2574" s="20">
        <v>2547</v>
      </c>
    </row>
    <row r="2575" spans="18:18" ht="14.25">
      <c r="R2575" s="20">
        <v>2548</v>
      </c>
    </row>
    <row r="2576" spans="18:18" ht="14.25">
      <c r="R2576" s="20">
        <v>2549</v>
      </c>
    </row>
    <row r="2577" spans="18:18" ht="14.25">
      <c r="R2577" s="20">
        <v>2550</v>
      </c>
    </row>
    <row r="2578" spans="18:18" ht="14.25">
      <c r="R2578" s="20">
        <v>2551</v>
      </c>
    </row>
    <row r="2579" spans="18:18" ht="14.25">
      <c r="R2579" s="20">
        <v>2552</v>
      </c>
    </row>
    <row r="2580" spans="18:18" ht="14.25">
      <c r="R2580" s="20">
        <v>2553</v>
      </c>
    </row>
    <row r="2581" spans="18:18" ht="14.25">
      <c r="R2581" s="20">
        <v>2554</v>
      </c>
    </row>
    <row r="2582" spans="18:18" ht="14.25">
      <c r="R2582" s="20">
        <v>2555</v>
      </c>
    </row>
    <row r="2583" spans="18:18" ht="14.25">
      <c r="R2583" s="20">
        <v>2556</v>
      </c>
    </row>
    <row r="2584" spans="18:18" ht="14.25">
      <c r="R2584" s="20">
        <v>2557</v>
      </c>
    </row>
    <row r="2585" spans="18:18" ht="14.25">
      <c r="R2585" s="20">
        <v>2558</v>
      </c>
    </row>
    <row r="2586" spans="18:18" ht="14.25">
      <c r="R2586" s="20">
        <v>2559</v>
      </c>
    </row>
    <row r="2587" spans="18:18" ht="14.25">
      <c r="R2587" s="20">
        <v>2560</v>
      </c>
    </row>
    <row r="2588" spans="18:18" ht="14.25">
      <c r="R2588" s="20">
        <v>2561</v>
      </c>
    </row>
    <row r="2589" spans="18:18" ht="14.25">
      <c r="R2589" s="20">
        <v>2562</v>
      </c>
    </row>
    <row r="2590" spans="18:18" ht="14.25">
      <c r="R2590" s="20">
        <v>2563</v>
      </c>
    </row>
    <row r="2591" spans="18:18" ht="14.25">
      <c r="R2591" s="20">
        <v>2564</v>
      </c>
    </row>
    <row r="2592" spans="18:18" ht="14.25">
      <c r="R2592" s="20">
        <v>2565</v>
      </c>
    </row>
    <row r="2593" spans="18:18" ht="14.25">
      <c r="R2593" s="20">
        <v>2566</v>
      </c>
    </row>
    <row r="2594" spans="18:18" ht="14.25">
      <c r="R2594" s="20">
        <v>2567</v>
      </c>
    </row>
    <row r="2595" spans="18:18" ht="14.25">
      <c r="R2595" s="20">
        <v>2568</v>
      </c>
    </row>
    <row r="2596" spans="18:18" ht="14.25">
      <c r="R2596" s="20">
        <v>2569</v>
      </c>
    </row>
    <row r="2597" spans="18:18" ht="14.25">
      <c r="R2597" s="20">
        <v>2570</v>
      </c>
    </row>
    <row r="2598" spans="18:18" ht="14.25">
      <c r="R2598" s="20">
        <v>2571</v>
      </c>
    </row>
    <row r="2599" spans="18:18" ht="14.25">
      <c r="R2599" s="20">
        <v>2572</v>
      </c>
    </row>
    <row r="2600" spans="18:18" ht="14.25">
      <c r="R2600" s="20">
        <v>2573</v>
      </c>
    </row>
    <row r="2601" spans="18:18" ht="14.25">
      <c r="R2601" s="20">
        <v>2574</v>
      </c>
    </row>
    <row r="2602" spans="18:18" ht="14.25">
      <c r="R2602" s="20">
        <v>2575</v>
      </c>
    </row>
    <row r="2603" spans="18:18" ht="14.25">
      <c r="R2603" s="20">
        <v>2576</v>
      </c>
    </row>
    <row r="2604" spans="18:18" ht="14.25">
      <c r="R2604" s="20">
        <v>2577</v>
      </c>
    </row>
    <row r="2605" spans="18:18" ht="14.25">
      <c r="R2605" s="20">
        <v>2578</v>
      </c>
    </row>
    <row r="2606" spans="18:18" ht="14.25">
      <c r="R2606" s="20">
        <v>2579</v>
      </c>
    </row>
    <row r="2607" spans="18:18" ht="14.25">
      <c r="R2607" s="20">
        <v>2580</v>
      </c>
    </row>
    <row r="2608" spans="18:18" ht="14.25">
      <c r="R2608" s="20">
        <v>2581</v>
      </c>
    </row>
    <row r="2609" spans="18:18" ht="14.25">
      <c r="R2609" s="20">
        <v>2582</v>
      </c>
    </row>
    <row r="2610" spans="18:18" ht="14.25">
      <c r="R2610" s="20">
        <v>2583</v>
      </c>
    </row>
    <row r="2611" spans="18:18" ht="14.25">
      <c r="R2611" s="20">
        <v>2584</v>
      </c>
    </row>
    <row r="2612" spans="18:18" ht="14.25">
      <c r="R2612" s="20">
        <v>2585</v>
      </c>
    </row>
    <row r="2613" spans="18:18" ht="14.25">
      <c r="R2613" s="20">
        <v>2586</v>
      </c>
    </row>
    <row r="2614" spans="18:18" ht="14.25">
      <c r="R2614" s="20">
        <v>2587</v>
      </c>
    </row>
    <row r="2615" spans="18:18" ht="14.25">
      <c r="R2615" s="20">
        <v>2588</v>
      </c>
    </row>
    <row r="2616" spans="18:18" ht="14.25">
      <c r="R2616" s="20">
        <v>2589</v>
      </c>
    </row>
    <row r="2617" spans="18:18" ht="14.25">
      <c r="R2617" s="20">
        <v>2590</v>
      </c>
    </row>
    <row r="2618" spans="18:18" ht="14.25">
      <c r="R2618" s="20">
        <v>2591</v>
      </c>
    </row>
    <row r="2619" spans="18:18" ht="14.25">
      <c r="R2619" s="20">
        <v>2592</v>
      </c>
    </row>
    <row r="2620" spans="18:18" ht="14.25">
      <c r="R2620" s="20">
        <v>2593</v>
      </c>
    </row>
    <row r="2621" spans="18:18" ht="14.25">
      <c r="R2621" s="20">
        <v>2594</v>
      </c>
    </row>
    <row r="2622" spans="18:18" ht="14.25">
      <c r="R2622" s="20">
        <v>2595</v>
      </c>
    </row>
    <row r="2623" spans="18:18" ht="14.25">
      <c r="R2623" s="20">
        <v>2596</v>
      </c>
    </row>
    <row r="2624" spans="18:18" ht="14.25">
      <c r="R2624" s="20">
        <v>2597</v>
      </c>
    </row>
    <row r="2625" spans="18:18" ht="14.25">
      <c r="R2625" s="20">
        <v>2598</v>
      </c>
    </row>
    <row r="2626" spans="18:18" ht="14.25">
      <c r="R2626" s="20">
        <v>2599</v>
      </c>
    </row>
    <row r="2627" spans="18:18" ht="14.25">
      <c r="R2627" s="20">
        <v>2600</v>
      </c>
    </row>
    <row r="2628" spans="18:18" ht="14.25">
      <c r="R2628" s="20">
        <v>2601</v>
      </c>
    </row>
    <row r="2629" spans="18:18" ht="14.25">
      <c r="R2629" s="20">
        <v>2602</v>
      </c>
    </row>
    <row r="2630" spans="18:18" ht="14.25">
      <c r="R2630" s="20">
        <v>2603</v>
      </c>
    </row>
    <row r="2631" spans="18:18" ht="14.25">
      <c r="R2631" s="20">
        <v>2604</v>
      </c>
    </row>
    <row r="2632" spans="18:18" ht="14.25">
      <c r="R2632" s="20">
        <v>2605</v>
      </c>
    </row>
    <row r="2633" spans="18:18" ht="14.25">
      <c r="R2633" s="20">
        <v>2606</v>
      </c>
    </row>
    <row r="2634" spans="18:18" ht="14.25">
      <c r="R2634" s="20">
        <v>2607</v>
      </c>
    </row>
    <row r="2635" spans="18:18" ht="14.25">
      <c r="R2635" s="20">
        <v>2608</v>
      </c>
    </row>
    <row r="2636" spans="18:18" ht="14.25">
      <c r="R2636" s="20">
        <v>2609</v>
      </c>
    </row>
    <row r="2637" spans="18:18" ht="14.25">
      <c r="R2637" s="20">
        <v>2610</v>
      </c>
    </row>
    <row r="2638" spans="18:18" ht="14.25">
      <c r="R2638" s="20">
        <v>2611</v>
      </c>
    </row>
    <row r="2639" spans="18:18" ht="14.25">
      <c r="R2639" s="20">
        <v>2612</v>
      </c>
    </row>
    <row r="2640" spans="18:18" ht="14.25">
      <c r="R2640" s="20">
        <v>2613</v>
      </c>
    </row>
    <row r="2641" spans="18:18" ht="14.25">
      <c r="R2641" s="20">
        <v>2614</v>
      </c>
    </row>
    <row r="2642" spans="18:18" ht="14.25">
      <c r="R2642" s="20">
        <v>2615</v>
      </c>
    </row>
    <row r="2643" spans="18:18" ht="14.25">
      <c r="R2643" s="20">
        <v>2616</v>
      </c>
    </row>
    <row r="2644" spans="18:18" ht="14.25">
      <c r="R2644" s="20">
        <v>2617</v>
      </c>
    </row>
    <row r="2645" spans="18:18" ht="14.25">
      <c r="R2645" s="20">
        <v>2618</v>
      </c>
    </row>
    <row r="2646" spans="18:18" ht="14.25">
      <c r="R2646" s="20">
        <v>2619</v>
      </c>
    </row>
    <row r="2647" spans="18:18" ht="14.25">
      <c r="R2647" s="20">
        <v>2620</v>
      </c>
    </row>
    <row r="2648" spans="18:18" ht="14.25">
      <c r="R2648" s="20">
        <v>2621</v>
      </c>
    </row>
    <row r="2649" spans="18:18" ht="14.25">
      <c r="R2649" s="20">
        <v>2622</v>
      </c>
    </row>
    <row r="2650" spans="18:18" ht="14.25">
      <c r="R2650" s="20">
        <v>2623</v>
      </c>
    </row>
    <row r="2651" spans="18:18" ht="14.25">
      <c r="R2651" s="20">
        <v>2624</v>
      </c>
    </row>
    <row r="2652" spans="18:18" ht="14.25">
      <c r="R2652" s="20">
        <v>2625</v>
      </c>
    </row>
    <row r="2653" spans="18:18" ht="14.25">
      <c r="R2653" s="20">
        <v>2626</v>
      </c>
    </row>
    <row r="2654" spans="18:18" ht="14.25">
      <c r="R2654" s="20">
        <v>2627</v>
      </c>
    </row>
    <row r="2655" spans="18:18" ht="14.25">
      <c r="R2655" s="20">
        <v>2628</v>
      </c>
    </row>
    <row r="2656" spans="18:18" ht="14.25">
      <c r="R2656" s="20">
        <v>2629</v>
      </c>
    </row>
    <row r="2657" spans="18:18" ht="14.25">
      <c r="R2657" s="20">
        <v>2630</v>
      </c>
    </row>
    <row r="2658" spans="18:18" ht="14.25">
      <c r="R2658" s="20">
        <v>2631</v>
      </c>
    </row>
    <row r="2659" spans="18:18" ht="14.25">
      <c r="R2659" s="20">
        <v>2632</v>
      </c>
    </row>
    <row r="2660" spans="18:18" ht="14.25">
      <c r="R2660" s="20">
        <v>2633</v>
      </c>
    </row>
    <row r="2661" spans="18:18" ht="14.25">
      <c r="R2661" s="20">
        <v>2634</v>
      </c>
    </row>
    <row r="2662" spans="18:18" ht="14.25">
      <c r="R2662" s="20">
        <v>2635</v>
      </c>
    </row>
    <row r="2663" spans="18:18" ht="14.25">
      <c r="R2663" s="20">
        <v>2636</v>
      </c>
    </row>
    <row r="2664" spans="18:18" ht="14.25">
      <c r="R2664" s="20">
        <v>2637</v>
      </c>
    </row>
    <row r="2665" spans="18:18" ht="14.25">
      <c r="R2665" s="20">
        <v>2638</v>
      </c>
    </row>
    <row r="2666" spans="18:18" ht="14.25">
      <c r="R2666" s="20">
        <v>2639</v>
      </c>
    </row>
    <row r="2667" spans="18:18" ht="14.25">
      <c r="R2667" s="20">
        <v>2640</v>
      </c>
    </row>
    <row r="2668" spans="18:18" ht="14.25">
      <c r="R2668" s="20">
        <v>2641</v>
      </c>
    </row>
    <row r="2669" spans="18:18" ht="14.25">
      <c r="R2669" s="20">
        <v>2642</v>
      </c>
    </row>
    <row r="2670" spans="18:18" ht="14.25">
      <c r="R2670" s="20">
        <v>2643</v>
      </c>
    </row>
    <row r="2671" spans="18:18" ht="14.25">
      <c r="R2671" s="20">
        <v>2644</v>
      </c>
    </row>
    <row r="2672" spans="18:18" ht="14.25">
      <c r="R2672" s="20">
        <v>2645</v>
      </c>
    </row>
    <row r="2673" spans="18:18" ht="14.25">
      <c r="R2673" s="20">
        <v>2646</v>
      </c>
    </row>
    <row r="2674" spans="18:18" ht="14.25">
      <c r="R2674" s="20">
        <v>2647</v>
      </c>
    </row>
    <row r="2675" spans="18:18" ht="14.25">
      <c r="R2675" s="20">
        <v>2648</v>
      </c>
    </row>
    <row r="2676" spans="18:18" ht="14.25">
      <c r="R2676" s="20">
        <v>2649</v>
      </c>
    </row>
    <row r="2677" spans="18:18" ht="14.25">
      <c r="R2677" s="20">
        <v>2650</v>
      </c>
    </row>
    <row r="2678" spans="18:18" ht="14.25">
      <c r="R2678" s="20">
        <v>2651</v>
      </c>
    </row>
    <row r="2679" spans="18:18" ht="14.25">
      <c r="R2679" s="20">
        <v>2652</v>
      </c>
    </row>
    <row r="2680" spans="18:18" ht="14.25">
      <c r="R2680" s="20">
        <v>2653</v>
      </c>
    </row>
    <row r="2681" spans="18:18" ht="14.25">
      <c r="R2681" s="20">
        <v>2654</v>
      </c>
    </row>
    <row r="2682" spans="18:18" ht="14.25">
      <c r="R2682" s="20">
        <v>2655</v>
      </c>
    </row>
    <row r="2683" spans="18:18" ht="14.25">
      <c r="R2683" s="20">
        <v>2656</v>
      </c>
    </row>
    <row r="2684" spans="18:18" ht="14.25">
      <c r="R2684" s="20">
        <v>2657</v>
      </c>
    </row>
    <row r="2685" spans="18:18" ht="14.25">
      <c r="R2685" s="20">
        <v>2658</v>
      </c>
    </row>
    <row r="2686" spans="18:18" ht="14.25">
      <c r="R2686" s="20">
        <v>2659</v>
      </c>
    </row>
    <row r="2687" spans="18:18" ht="14.25">
      <c r="R2687" s="20">
        <v>2660</v>
      </c>
    </row>
    <row r="2688" spans="18:18" ht="14.25">
      <c r="R2688" s="20">
        <v>2661</v>
      </c>
    </row>
    <row r="2689" spans="18:18" ht="14.25">
      <c r="R2689" s="20">
        <v>2662</v>
      </c>
    </row>
    <row r="2690" spans="18:18" ht="14.25">
      <c r="R2690" s="20">
        <v>2663</v>
      </c>
    </row>
    <row r="2691" spans="18:18" ht="14.25">
      <c r="R2691" s="20">
        <v>2664</v>
      </c>
    </row>
    <row r="2692" spans="18:18" ht="14.25">
      <c r="R2692" s="20">
        <v>2665</v>
      </c>
    </row>
    <row r="2693" spans="18:18" ht="14.25">
      <c r="R2693" s="20">
        <v>2666</v>
      </c>
    </row>
    <row r="2694" spans="18:18" ht="14.25">
      <c r="R2694" s="20">
        <v>2667</v>
      </c>
    </row>
    <row r="2695" spans="18:18" ht="14.25">
      <c r="R2695" s="20">
        <v>2668</v>
      </c>
    </row>
    <row r="2696" spans="18:18" ht="14.25">
      <c r="R2696" s="20">
        <v>2669</v>
      </c>
    </row>
    <row r="2697" spans="18:18" ht="14.25">
      <c r="R2697" s="20">
        <v>2670</v>
      </c>
    </row>
    <row r="2698" spans="18:18" ht="14.25">
      <c r="R2698" s="20">
        <v>2671</v>
      </c>
    </row>
    <row r="2699" spans="18:18" ht="14.25">
      <c r="R2699" s="20">
        <v>2672</v>
      </c>
    </row>
    <row r="2700" spans="18:18" ht="14.25">
      <c r="R2700" s="20">
        <v>2673</v>
      </c>
    </row>
    <row r="2701" spans="18:18" ht="14.25">
      <c r="R2701" s="20">
        <v>2674</v>
      </c>
    </row>
    <row r="2702" spans="18:18" ht="14.25">
      <c r="R2702" s="20">
        <v>2675</v>
      </c>
    </row>
    <row r="2703" spans="18:18" ht="14.25">
      <c r="R2703" s="20">
        <v>2676</v>
      </c>
    </row>
    <row r="2704" spans="18:18" ht="14.25">
      <c r="R2704" s="20">
        <v>2677</v>
      </c>
    </row>
    <row r="2705" spans="18:18" ht="14.25">
      <c r="R2705" s="20">
        <v>2678</v>
      </c>
    </row>
    <row r="2706" spans="18:18" ht="14.25">
      <c r="R2706" s="20">
        <v>2679</v>
      </c>
    </row>
    <row r="2707" spans="18:18" ht="14.25">
      <c r="R2707" s="20">
        <v>2680</v>
      </c>
    </row>
    <row r="2708" spans="18:18" ht="14.25">
      <c r="R2708" s="20">
        <v>2681</v>
      </c>
    </row>
    <row r="2709" spans="18:18" ht="14.25">
      <c r="R2709" s="20">
        <v>2682</v>
      </c>
    </row>
    <row r="2710" spans="18:18" ht="14.25">
      <c r="R2710" s="20">
        <v>2683</v>
      </c>
    </row>
    <row r="2711" spans="18:18" ht="14.25">
      <c r="R2711" s="20">
        <v>2684</v>
      </c>
    </row>
    <row r="2712" spans="18:18" ht="14.25">
      <c r="R2712" s="20">
        <v>2685</v>
      </c>
    </row>
    <row r="2713" spans="18:18" ht="14.25">
      <c r="R2713" s="20">
        <v>2686</v>
      </c>
    </row>
    <row r="2714" spans="18:18" ht="14.25">
      <c r="R2714" s="20">
        <v>2687</v>
      </c>
    </row>
    <row r="2715" spans="18:18" ht="14.25">
      <c r="R2715" s="20">
        <v>2688</v>
      </c>
    </row>
    <row r="2716" spans="18:18" ht="14.25">
      <c r="R2716" s="20">
        <v>2689</v>
      </c>
    </row>
    <row r="2717" spans="18:18" ht="14.25">
      <c r="R2717" s="20">
        <v>2690</v>
      </c>
    </row>
    <row r="2718" spans="18:18" ht="14.25">
      <c r="R2718" s="20">
        <v>2691</v>
      </c>
    </row>
    <row r="2719" spans="18:18" ht="14.25">
      <c r="R2719" s="20">
        <v>2692</v>
      </c>
    </row>
    <row r="2720" spans="18:18" ht="14.25">
      <c r="R2720" s="20">
        <v>2693</v>
      </c>
    </row>
    <row r="2721" spans="18:18" ht="14.25">
      <c r="R2721" s="20">
        <v>2694</v>
      </c>
    </row>
    <row r="2722" spans="18:18" ht="14.25">
      <c r="R2722" s="20">
        <v>2695</v>
      </c>
    </row>
    <row r="2723" spans="18:18" ht="14.25">
      <c r="R2723" s="20">
        <v>2696</v>
      </c>
    </row>
    <row r="2724" spans="18:18" ht="14.25">
      <c r="R2724" s="20">
        <v>2697</v>
      </c>
    </row>
    <row r="2725" spans="18:18" ht="14.25">
      <c r="R2725" s="20">
        <v>2698</v>
      </c>
    </row>
    <row r="2726" spans="18:18" ht="14.25">
      <c r="R2726" s="20">
        <v>2699</v>
      </c>
    </row>
    <row r="2727" spans="18:18" ht="14.25">
      <c r="R2727" s="20">
        <v>2700</v>
      </c>
    </row>
    <row r="2728" spans="18:18" ht="14.25">
      <c r="R2728" s="20">
        <v>2701</v>
      </c>
    </row>
    <row r="2729" spans="18:18" ht="14.25">
      <c r="R2729" s="20">
        <v>2702</v>
      </c>
    </row>
    <row r="2730" spans="18:18" ht="14.25">
      <c r="R2730" s="20">
        <v>2703</v>
      </c>
    </row>
    <row r="2731" spans="18:18" ht="14.25">
      <c r="R2731" s="20">
        <v>2704</v>
      </c>
    </row>
    <row r="2732" spans="18:18" ht="14.25">
      <c r="R2732" s="20">
        <v>2705</v>
      </c>
    </row>
    <row r="2733" spans="18:18" ht="14.25">
      <c r="R2733" s="20">
        <v>2706</v>
      </c>
    </row>
    <row r="2734" spans="18:18" ht="14.25">
      <c r="R2734" s="20">
        <v>2707</v>
      </c>
    </row>
    <row r="2735" spans="18:18" ht="14.25">
      <c r="R2735" s="20">
        <v>2708</v>
      </c>
    </row>
    <row r="2736" spans="18:18" ht="14.25">
      <c r="R2736" s="20">
        <v>2709</v>
      </c>
    </row>
    <row r="2737" spans="18:18" ht="14.25">
      <c r="R2737" s="20">
        <v>2710</v>
      </c>
    </row>
    <row r="2738" spans="18:18" ht="14.25">
      <c r="R2738" s="20">
        <v>2711</v>
      </c>
    </row>
    <row r="2739" spans="18:18" ht="14.25">
      <c r="R2739" s="20">
        <v>2712</v>
      </c>
    </row>
    <row r="2740" spans="18:18" ht="14.25">
      <c r="R2740" s="20">
        <v>2713</v>
      </c>
    </row>
    <row r="2741" spans="18:18" ht="14.25">
      <c r="R2741" s="20">
        <v>2714</v>
      </c>
    </row>
    <row r="2742" spans="18:18" ht="14.25">
      <c r="R2742" s="20">
        <v>2715</v>
      </c>
    </row>
    <row r="2743" spans="18:18" ht="14.25">
      <c r="R2743" s="20">
        <v>2716</v>
      </c>
    </row>
    <row r="2744" spans="18:18" ht="14.25">
      <c r="R2744" s="20">
        <v>2717</v>
      </c>
    </row>
    <row r="2745" spans="18:18" ht="14.25">
      <c r="R2745" s="20">
        <v>2718</v>
      </c>
    </row>
    <row r="2746" spans="18:18" ht="14.25">
      <c r="R2746" s="20">
        <v>2719</v>
      </c>
    </row>
    <row r="2747" spans="18:18" ht="14.25">
      <c r="R2747" s="20">
        <v>2720</v>
      </c>
    </row>
    <row r="2748" spans="18:18" ht="14.25">
      <c r="R2748" s="20">
        <v>2721</v>
      </c>
    </row>
    <row r="2749" spans="18:18" ht="14.25">
      <c r="R2749" s="20">
        <v>2722</v>
      </c>
    </row>
    <row r="2750" spans="18:18" ht="14.25">
      <c r="R2750" s="20">
        <v>2723</v>
      </c>
    </row>
    <row r="2751" spans="18:18" ht="14.25">
      <c r="R2751" s="20">
        <v>2724</v>
      </c>
    </row>
    <row r="2752" spans="18:18" ht="14.25">
      <c r="R2752" s="20">
        <v>2725</v>
      </c>
    </row>
    <row r="2753" spans="18:18" ht="14.25">
      <c r="R2753" s="20">
        <v>2726</v>
      </c>
    </row>
    <row r="2754" spans="18:18" ht="14.25">
      <c r="R2754" s="20">
        <v>2727</v>
      </c>
    </row>
    <row r="2755" spans="18:18" ht="14.25">
      <c r="R2755" s="20">
        <v>2728</v>
      </c>
    </row>
    <row r="2756" spans="18:18" ht="14.25">
      <c r="R2756" s="20">
        <v>2729</v>
      </c>
    </row>
    <row r="2757" spans="18:18" ht="14.25">
      <c r="R2757" s="20">
        <v>2730</v>
      </c>
    </row>
    <row r="2758" spans="18:18" ht="14.25">
      <c r="R2758" s="20">
        <v>2731</v>
      </c>
    </row>
    <row r="2759" spans="18:18" ht="14.25">
      <c r="R2759" s="20">
        <v>2732</v>
      </c>
    </row>
    <row r="2760" spans="18:18" ht="14.25">
      <c r="R2760" s="20">
        <v>2733</v>
      </c>
    </row>
    <row r="2761" spans="18:18" ht="14.25">
      <c r="R2761" s="20">
        <v>2734</v>
      </c>
    </row>
    <row r="2762" spans="18:18" ht="14.25">
      <c r="R2762" s="20">
        <v>2735</v>
      </c>
    </row>
    <row r="2763" spans="18:18" ht="14.25">
      <c r="R2763" s="20">
        <v>2736</v>
      </c>
    </row>
    <row r="2764" spans="18:18" ht="14.25">
      <c r="R2764" s="20">
        <v>2737</v>
      </c>
    </row>
    <row r="2765" spans="18:18" ht="14.25">
      <c r="R2765" s="20">
        <v>2738</v>
      </c>
    </row>
    <row r="2766" spans="18:18" ht="14.25">
      <c r="R2766" s="20">
        <v>2739</v>
      </c>
    </row>
    <row r="2767" spans="18:18" ht="14.25">
      <c r="R2767" s="20">
        <v>2740</v>
      </c>
    </row>
    <row r="2768" spans="18:18" ht="14.25">
      <c r="R2768" s="20">
        <v>2741</v>
      </c>
    </row>
    <row r="2769" spans="18:18" ht="14.25">
      <c r="R2769" s="20">
        <v>2742</v>
      </c>
    </row>
    <row r="2770" spans="18:18" ht="14.25">
      <c r="R2770" s="20">
        <v>2743</v>
      </c>
    </row>
    <row r="2771" spans="18:18" ht="14.25">
      <c r="R2771" s="20">
        <v>2744</v>
      </c>
    </row>
    <row r="2772" spans="18:18" ht="14.25">
      <c r="R2772" s="20">
        <v>2745</v>
      </c>
    </row>
    <row r="2773" spans="18:18" ht="14.25">
      <c r="R2773" s="20">
        <v>2746</v>
      </c>
    </row>
    <row r="2774" spans="18:18" ht="14.25">
      <c r="R2774" s="20">
        <v>2747</v>
      </c>
    </row>
    <row r="2775" spans="18:18" ht="14.25">
      <c r="R2775" s="20">
        <v>2748</v>
      </c>
    </row>
    <row r="2776" spans="18:18" ht="14.25">
      <c r="R2776" s="20">
        <v>2749</v>
      </c>
    </row>
    <row r="2777" spans="18:18" ht="14.25">
      <c r="R2777" s="20">
        <v>2750</v>
      </c>
    </row>
    <row r="2778" spans="18:18" ht="14.25">
      <c r="R2778" s="20">
        <v>2751</v>
      </c>
    </row>
    <row r="2779" spans="18:18" ht="14.25">
      <c r="R2779" s="20">
        <v>2752</v>
      </c>
    </row>
    <row r="2780" spans="18:18" ht="14.25">
      <c r="R2780" s="20">
        <v>2753</v>
      </c>
    </row>
    <row r="2781" spans="18:18" ht="14.25">
      <c r="R2781" s="20">
        <v>2754</v>
      </c>
    </row>
    <row r="2782" spans="18:18" ht="14.25">
      <c r="R2782" s="20">
        <v>2755</v>
      </c>
    </row>
    <row r="2783" spans="18:18" ht="14.25">
      <c r="R2783" s="20">
        <v>2756</v>
      </c>
    </row>
    <row r="2784" spans="18:18" ht="14.25">
      <c r="R2784" s="20">
        <v>2757</v>
      </c>
    </row>
    <row r="2785" spans="18:18" ht="14.25">
      <c r="R2785" s="20">
        <v>2758</v>
      </c>
    </row>
    <row r="2786" spans="18:18" ht="14.25">
      <c r="R2786" s="20">
        <v>2759</v>
      </c>
    </row>
    <row r="2787" spans="18:18" ht="14.25">
      <c r="R2787" s="20">
        <v>2760</v>
      </c>
    </row>
    <row r="2788" spans="18:18" ht="14.25">
      <c r="R2788" s="20">
        <v>2761</v>
      </c>
    </row>
    <row r="2789" spans="18:18" ht="14.25">
      <c r="R2789" s="20">
        <v>2762</v>
      </c>
    </row>
    <row r="2790" spans="18:18" ht="14.25">
      <c r="R2790" s="20">
        <v>2763</v>
      </c>
    </row>
    <row r="2791" spans="18:18" ht="14.25">
      <c r="R2791" s="20">
        <v>2764</v>
      </c>
    </row>
    <row r="2792" spans="18:18" ht="14.25">
      <c r="R2792" s="20">
        <v>2765</v>
      </c>
    </row>
    <row r="2793" spans="18:18" ht="14.25">
      <c r="R2793" s="20">
        <v>2766</v>
      </c>
    </row>
    <row r="2794" spans="18:18" ht="14.25">
      <c r="R2794" s="20">
        <v>2767</v>
      </c>
    </row>
    <row r="2795" spans="18:18" ht="14.25">
      <c r="R2795" s="20">
        <v>2768</v>
      </c>
    </row>
    <row r="2796" spans="18:18" ht="14.25">
      <c r="R2796" s="20">
        <v>2769</v>
      </c>
    </row>
    <row r="2797" spans="18:18" ht="14.25">
      <c r="R2797" s="20">
        <v>2770</v>
      </c>
    </row>
    <row r="2798" spans="18:18" ht="14.25">
      <c r="R2798" s="20">
        <v>2771</v>
      </c>
    </row>
    <row r="2799" spans="18:18" ht="14.25">
      <c r="R2799" s="20">
        <v>2772</v>
      </c>
    </row>
    <row r="2800" spans="18:18" ht="14.25">
      <c r="R2800" s="20">
        <v>2773</v>
      </c>
    </row>
    <row r="2801" spans="18:18" ht="14.25">
      <c r="R2801" s="20">
        <v>2774</v>
      </c>
    </row>
    <row r="2802" spans="18:18" ht="14.25">
      <c r="R2802" s="20">
        <v>2775</v>
      </c>
    </row>
    <row r="2803" spans="18:18" ht="14.25">
      <c r="R2803" s="20">
        <v>2776</v>
      </c>
    </row>
    <row r="2804" spans="18:18" ht="14.25">
      <c r="R2804" s="20">
        <v>2777</v>
      </c>
    </row>
    <row r="2805" spans="18:18" ht="14.25">
      <c r="R2805" s="20">
        <v>2778</v>
      </c>
    </row>
    <row r="2806" spans="18:18" ht="14.25">
      <c r="R2806" s="20">
        <v>2779</v>
      </c>
    </row>
    <row r="2807" spans="18:18" ht="14.25">
      <c r="R2807" s="20">
        <v>2780</v>
      </c>
    </row>
    <row r="2808" spans="18:18" ht="14.25">
      <c r="R2808" s="20">
        <v>2781</v>
      </c>
    </row>
    <row r="2809" spans="18:18" ht="14.25">
      <c r="R2809" s="20">
        <v>2782</v>
      </c>
    </row>
    <row r="2810" spans="18:18" ht="14.25">
      <c r="R2810" s="20">
        <v>2783</v>
      </c>
    </row>
    <row r="2811" spans="18:18" ht="14.25">
      <c r="R2811" s="20">
        <v>2784</v>
      </c>
    </row>
    <row r="2812" spans="18:18" ht="14.25">
      <c r="R2812" s="20">
        <v>2785</v>
      </c>
    </row>
    <row r="2813" spans="18:18" ht="14.25">
      <c r="R2813" s="20">
        <v>2786</v>
      </c>
    </row>
    <row r="2814" spans="18:18" ht="14.25">
      <c r="R2814" s="20">
        <v>2787</v>
      </c>
    </row>
    <row r="2815" spans="18:18" ht="14.25">
      <c r="R2815" s="20">
        <v>2788</v>
      </c>
    </row>
    <row r="2816" spans="18:18" ht="14.25">
      <c r="R2816" s="20">
        <v>2789</v>
      </c>
    </row>
    <row r="2817" spans="18:18" ht="14.25">
      <c r="R2817" s="20">
        <v>2790</v>
      </c>
    </row>
    <row r="2818" spans="18:18" ht="14.25">
      <c r="R2818" s="20">
        <v>2791</v>
      </c>
    </row>
    <row r="2819" spans="18:18" ht="14.25">
      <c r="R2819" s="20">
        <v>2792</v>
      </c>
    </row>
    <row r="2820" spans="18:18" ht="14.25">
      <c r="R2820" s="20">
        <v>2793</v>
      </c>
    </row>
    <row r="2821" spans="18:18" ht="14.25">
      <c r="R2821" s="20">
        <v>2794</v>
      </c>
    </row>
    <row r="2822" spans="18:18" ht="14.25">
      <c r="R2822" s="20">
        <v>2795</v>
      </c>
    </row>
    <row r="2823" spans="18:18" ht="14.25">
      <c r="R2823" s="20">
        <v>2796</v>
      </c>
    </row>
    <row r="2824" spans="18:18" ht="14.25">
      <c r="R2824" s="20">
        <v>2797</v>
      </c>
    </row>
    <row r="2825" spans="18:18" ht="14.25">
      <c r="R2825" s="20">
        <v>2798</v>
      </c>
    </row>
    <row r="2826" spans="18:18" ht="14.25">
      <c r="R2826" s="20">
        <v>2799</v>
      </c>
    </row>
    <row r="2827" spans="18:18" ht="14.25">
      <c r="R2827" s="20">
        <v>2800</v>
      </c>
    </row>
    <row r="2828" spans="18:18" ht="14.25">
      <c r="R2828" s="20">
        <v>2801</v>
      </c>
    </row>
    <row r="2829" spans="18:18" ht="14.25">
      <c r="R2829" s="20">
        <v>2802</v>
      </c>
    </row>
    <row r="2830" spans="18:18" ht="14.25">
      <c r="R2830" s="20">
        <v>2803</v>
      </c>
    </row>
    <row r="2831" spans="18:18" ht="14.25">
      <c r="R2831" s="20">
        <v>2804</v>
      </c>
    </row>
    <row r="2832" spans="18:18" ht="14.25">
      <c r="R2832" s="20">
        <v>2805</v>
      </c>
    </row>
    <row r="2833" spans="18:18" ht="14.25">
      <c r="R2833" s="20">
        <v>2806</v>
      </c>
    </row>
    <row r="2834" spans="18:18" ht="14.25">
      <c r="R2834" s="20">
        <v>2807</v>
      </c>
    </row>
    <row r="2835" spans="18:18" ht="14.25">
      <c r="R2835" s="20">
        <v>2808</v>
      </c>
    </row>
    <row r="2836" spans="18:18" ht="14.25">
      <c r="R2836" s="20">
        <v>2809</v>
      </c>
    </row>
    <row r="2837" spans="18:18" ht="14.25">
      <c r="R2837" s="20">
        <v>2810</v>
      </c>
    </row>
    <row r="2838" spans="18:18" ht="14.25">
      <c r="R2838" s="20">
        <v>2811</v>
      </c>
    </row>
    <row r="2839" spans="18:18" ht="14.25">
      <c r="R2839" s="20">
        <v>2812</v>
      </c>
    </row>
    <row r="2840" spans="18:18" ht="14.25">
      <c r="R2840" s="20">
        <v>2813</v>
      </c>
    </row>
    <row r="2841" spans="18:18" ht="14.25">
      <c r="R2841" s="20">
        <v>2814</v>
      </c>
    </row>
    <row r="2842" spans="18:18" ht="14.25">
      <c r="R2842" s="20">
        <v>2815</v>
      </c>
    </row>
    <row r="2843" spans="18:18" ht="14.25">
      <c r="R2843" s="20">
        <v>2816</v>
      </c>
    </row>
    <row r="2844" spans="18:18" ht="14.25">
      <c r="R2844" s="20">
        <v>2817</v>
      </c>
    </row>
    <row r="2845" spans="18:18" ht="14.25">
      <c r="R2845" s="20">
        <v>2818</v>
      </c>
    </row>
    <row r="2846" spans="18:18" ht="14.25">
      <c r="R2846" s="20">
        <v>2819</v>
      </c>
    </row>
    <row r="2847" spans="18:18" ht="14.25">
      <c r="R2847" s="20">
        <v>2820</v>
      </c>
    </row>
    <row r="2848" spans="18:18" ht="14.25">
      <c r="R2848" s="20">
        <v>2821</v>
      </c>
    </row>
    <row r="2849" spans="18:18" ht="14.25">
      <c r="R2849" s="20">
        <v>2822</v>
      </c>
    </row>
    <row r="2850" spans="18:18" ht="14.25">
      <c r="R2850" s="20">
        <v>2823</v>
      </c>
    </row>
    <row r="2851" spans="18:18" ht="14.25">
      <c r="R2851" s="20">
        <v>2824</v>
      </c>
    </row>
    <row r="2852" spans="18:18" ht="14.25">
      <c r="R2852" s="20">
        <v>2825</v>
      </c>
    </row>
    <row r="2853" spans="18:18" ht="14.25">
      <c r="R2853" s="20">
        <v>2826</v>
      </c>
    </row>
    <row r="2854" spans="18:18" ht="14.25">
      <c r="R2854" s="20">
        <v>2827</v>
      </c>
    </row>
    <row r="2855" spans="18:18" ht="14.25">
      <c r="R2855" s="20">
        <v>2828</v>
      </c>
    </row>
    <row r="2856" spans="18:18" ht="14.25">
      <c r="R2856" s="20">
        <v>2829</v>
      </c>
    </row>
    <row r="2857" spans="18:18" ht="14.25">
      <c r="R2857" s="20">
        <v>2830</v>
      </c>
    </row>
    <row r="2858" spans="18:18" ht="14.25">
      <c r="R2858" s="20">
        <v>2831</v>
      </c>
    </row>
    <row r="2859" spans="18:18" ht="14.25">
      <c r="R2859" s="20">
        <v>2832</v>
      </c>
    </row>
    <row r="2860" spans="18:18" ht="14.25">
      <c r="R2860" s="20">
        <v>2833</v>
      </c>
    </row>
    <row r="2861" spans="18:18" ht="14.25">
      <c r="R2861" s="20">
        <v>2834</v>
      </c>
    </row>
    <row r="2862" spans="18:18" ht="14.25">
      <c r="R2862" s="20">
        <v>2835</v>
      </c>
    </row>
    <row r="2863" spans="18:18" ht="14.25">
      <c r="R2863" s="20">
        <v>2836</v>
      </c>
    </row>
    <row r="2864" spans="18:18" ht="14.25">
      <c r="R2864" s="20">
        <v>2837</v>
      </c>
    </row>
    <row r="2865" spans="18:18" ht="14.25">
      <c r="R2865" s="20">
        <v>2838</v>
      </c>
    </row>
    <row r="2866" spans="18:18" ht="14.25">
      <c r="R2866" s="20">
        <v>2839</v>
      </c>
    </row>
    <row r="2867" spans="18:18" ht="14.25">
      <c r="R2867" s="20">
        <v>2840</v>
      </c>
    </row>
    <row r="2868" spans="18:18" ht="14.25">
      <c r="R2868" s="20">
        <v>2841</v>
      </c>
    </row>
    <row r="2869" spans="18:18" ht="14.25">
      <c r="R2869" s="20">
        <v>2842</v>
      </c>
    </row>
    <row r="2870" spans="18:18" ht="14.25">
      <c r="R2870" s="20">
        <v>2843</v>
      </c>
    </row>
    <row r="2871" spans="18:18" ht="14.25">
      <c r="R2871" s="20">
        <v>2844</v>
      </c>
    </row>
    <row r="2872" spans="18:18" ht="14.25">
      <c r="R2872" s="20">
        <v>2845</v>
      </c>
    </row>
    <row r="2873" spans="18:18" ht="14.25">
      <c r="R2873" s="20">
        <v>2846</v>
      </c>
    </row>
    <row r="2874" spans="18:18" ht="14.25">
      <c r="R2874" s="20">
        <v>2847</v>
      </c>
    </row>
    <row r="2875" spans="18:18" ht="14.25">
      <c r="R2875" s="20">
        <v>2848</v>
      </c>
    </row>
    <row r="2876" spans="18:18" ht="14.25">
      <c r="R2876" s="20">
        <v>2849</v>
      </c>
    </row>
    <row r="2877" spans="18:18" ht="14.25">
      <c r="R2877" s="20">
        <v>2850</v>
      </c>
    </row>
    <row r="2878" spans="18:18" ht="14.25">
      <c r="R2878" s="20">
        <v>2851</v>
      </c>
    </row>
    <row r="2879" spans="18:18" ht="14.25">
      <c r="R2879" s="20">
        <v>2852</v>
      </c>
    </row>
    <row r="2880" spans="18:18" ht="14.25">
      <c r="R2880" s="20">
        <v>2853</v>
      </c>
    </row>
    <row r="2881" spans="18:18" ht="14.25">
      <c r="R2881" s="20">
        <v>2854</v>
      </c>
    </row>
    <row r="2882" spans="18:18" ht="14.25">
      <c r="R2882" s="20">
        <v>2855</v>
      </c>
    </row>
    <row r="2883" spans="18:18" ht="14.25">
      <c r="R2883" s="20">
        <v>2856</v>
      </c>
    </row>
    <row r="2884" spans="18:18" ht="14.25">
      <c r="R2884" s="20">
        <v>2857</v>
      </c>
    </row>
    <row r="2885" spans="18:18" ht="14.25">
      <c r="R2885" s="20">
        <v>2858</v>
      </c>
    </row>
    <row r="2886" spans="18:18" ht="14.25">
      <c r="R2886" s="20">
        <v>2859</v>
      </c>
    </row>
    <row r="2887" spans="18:18" ht="14.25">
      <c r="R2887" s="20">
        <v>2860</v>
      </c>
    </row>
    <row r="2888" spans="18:18" ht="14.25">
      <c r="R2888" s="20">
        <v>2861</v>
      </c>
    </row>
    <row r="2889" spans="18:18" ht="14.25">
      <c r="R2889" s="20">
        <v>2862</v>
      </c>
    </row>
    <row r="2890" spans="18:18" ht="14.25">
      <c r="R2890" s="20">
        <v>2863</v>
      </c>
    </row>
    <row r="2891" spans="18:18" ht="14.25">
      <c r="R2891" s="20">
        <v>2864</v>
      </c>
    </row>
    <row r="2892" spans="18:18" ht="14.25">
      <c r="R2892" s="20">
        <v>2865</v>
      </c>
    </row>
    <row r="2893" spans="18:18" ht="14.25">
      <c r="R2893" s="20">
        <v>2866</v>
      </c>
    </row>
    <row r="2894" spans="18:18" ht="14.25">
      <c r="R2894" s="20">
        <v>2867</v>
      </c>
    </row>
    <row r="2895" spans="18:18" ht="14.25">
      <c r="R2895" s="20">
        <v>2868</v>
      </c>
    </row>
    <row r="2896" spans="18:18" ht="14.25">
      <c r="R2896" s="20">
        <v>2869</v>
      </c>
    </row>
    <row r="2897" spans="18:18" ht="14.25">
      <c r="R2897" s="20">
        <v>2870</v>
      </c>
    </row>
    <row r="2898" spans="18:18" ht="14.25">
      <c r="R2898" s="20">
        <v>2871</v>
      </c>
    </row>
    <row r="2899" spans="18:18" ht="14.25">
      <c r="R2899" s="20">
        <v>2872</v>
      </c>
    </row>
    <row r="2900" spans="18:18" ht="14.25">
      <c r="R2900" s="20">
        <v>2873</v>
      </c>
    </row>
    <row r="2901" spans="18:18" ht="14.25">
      <c r="R2901" s="20">
        <v>2874</v>
      </c>
    </row>
    <row r="2902" spans="18:18" ht="14.25">
      <c r="R2902" s="20">
        <v>2875</v>
      </c>
    </row>
    <row r="2903" spans="18:18" ht="14.25">
      <c r="R2903" s="20">
        <v>2876</v>
      </c>
    </row>
    <row r="2904" spans="18:18" ht="14.25">
      <c r="R2904" s="20">
        <v>2877</v>
      </c>
    </row>
    <row r="2905" spans="18:18" ht="14.25">
      <c r="R2905" s="20">
        <v>2878</v>
      </c>
    </row>
    <row r="2906" spans="18:18" ht="14.25">
      <c r="R2906" s="20">
        <v>2879</v>
      </c>
    </row>
    <row r="2907" spans="18:18" ht="14.25">
      <c r="R2907" s="20">
        <v>2880</v>
      </c>
    </row>
    <row r="2908" spans="18:18" ht="14.25">
      <c r="R2908" s="20">
        <v>2881</v>
      </c>
    </row>
    <row r="2909" spans="18:18" ht="14.25">
      <c r="R2909" s="20">
        <v>2882</v>
      </c>
    </row>
    <row r="2910" spans="18:18" ht="14.25">
      <c r="R2910" s="20">
        <v>2883</v>
      </c>
    </row>
    <row r="2911" spans="18:18" ht="14.25">
      <c r="R2911" s="20">
        <v>2884</v>
      </c>
    </row>
    <row r="2912" spans="18:18" ht="14.25">
      <c r="R2912" s="20">
        <v>2885</v>
      </c>
    </row>
    <row r="2913" spans="18:18" ht="14.25">
      <c r="R2913" s="20">
        <v>2886</v>
      </c>
    </row>
    <row r="2914" spans="18:18" ht="14.25">
      <c r="R2914" s="20">
        <v>2887</v>
      </c>
    </row>
    <row r="2915" spans="18:18" ht="14.25">
      <c r="R2915" s="20">
        <v>2888</v>
      </c>
    </row>
    <row r="2916" spans="18:18" ht="14.25">
      <c r="R2916" s="20">
        <v>2889</v>
      </c>
    </row>
    <row r="2917" spans="18:18" ht="14.25">
      <c r="R2917" s="20">
        <v>2890</v>
      </c>
    </row>
    <row r="2918" spans="18:18" ht="14.25">
      <c r="R2918" s="20">
        <v>2891</v>
      </c>
    </row>
    <row r="2919" spans="18:18" ht="14.25">
      <c r="R2919" s="20">
        <v>2892</v>
      </c>
    </row>
    <row r="2920" spans="18:18" ht="14.25">
      <c r="R2920" s="20">
        <v>2893</v>
      </c>
    </row>
    <row r="2921" spans="18:18" ht="14.25">
      <c r="R2921" s="20">
        <v>2894</v>
      </c>
    </row>
    <row r="2922" spans="18:18" ht="14.25">
      <c r="R2922" s="20">
        <v>2895</v>
      </c>
    </row>
    <row r="2923" spans="18:18" ht="14.25">
      <c r="R2923" s="20">
        <v>2896</v>
      </c>
    </row>
    <row r="2924" spans="18:18" ht="14.25">
      <c r="R2924" s="20">
        <v>2897</v>
      </c>
    </row>
    <row r="2925" spans="18:18" ht="14.25">
      <c r="R2925" s="20">
        <v>2898</v>
      </c>
    </row>
    <row r="2926" spans="18:18" ht="14.25">
      <c r="R2926" s="20">
        <v>2899</v>
      </c>
    </row>
    <row r="2927" spans="18:18" ht="14.25">
      <c r="R2927" s="20">
        <v>2900</v>
      </c>
    </row>
    <row r="2928" spans="18:18" ht="14.25">
      <c r="R2928" s="20">
        <v>2901</v>
      </c>
    </row>
    <row r="2929" spans="18:18" ht="14.25">
      <c r="R2929" s="20">
        <v>2902</v>
      </c>
    </row>
    <row r="2930" spans="18:18" ht="14.25">
      <c r="R2930" s="20">
        <v>2903</v>
      </c>
    </row>
    <row r="2931" spans="18:18" ht="14.25">
      <c r="R2931" s="20">
        <v>2904</v>
      </c>
    </row>
    <row r="2932" spans="18:18" ht="14.25">
      <c r="R2932" s="20">
        <v>2905</v>
      </c>
    </row>
    <row r="2933" spans="18:18" ht="14.25">
      <c r="R2933" s="20">
        <v>2906</v>
      </c>
    </row>
    <row r="2934" spans="18:18" ht="14.25">
      <c r="R2934" s="20">
        <v>2907</v>
      </c>
    </row>
    <row r="2935" spans="18:18" ht="14.25">
      <c r="R2935" s="20">
        <v>2908</v>
      </c>
    </row>
    <row r="2936" spans="18:18" ht="14.25">
      <c r="R2936" s="20">
        <v>2909</v>
      </c>
    </row>
    <row r="2937" spans="18:18" ht="14.25">
      <c r="R2937" s="20">
        <v>2910</v>
      </c>
    </row>
    <row r="2938" spans="18:18" ht="14.25">
      <c r="R2938" s="20">
        <v>2911</v>
      </c>
    </row>
    <row r="2939" spans="18:18" ht="14.25">
      <c r="R2939" s="20">
        <v>2912</v>
      </c>
    </row>
    <row r="2940" spans="18:18" ht="14.25">
      <c r="R2940" s="20">
        <v>2913</v>
      </c>
    </row>
    <row r="2941" spans="18:18" ht="14.25">
      <c r="R2941" s="20">
        <v>2914</v>
      </c>
    </row>
    <row r="2942" spans="18:18" ht="14.25">
      <c r="R2942" s="20">
        <v>2915</v>
      </c>
    </row>
    <row r="2943" spans="18:18" ht="14.25">
      <c r="R2943" s="20">
        <v>2916</v>
      </c>
    </row>
    <row r="2944" spans="18:18" ht="14.25">
      <c r="R2944" s="20">
        <v>2917</v>
      </c>
    </row>
    <row r="2945" spans="18:18" ht="14.25">
      <c r="R2945" s="20">
        <v>2918</v>
      </c>
    </row>
    <row r="2946" spans="18:18" ht="14.25">
      <c r="R2946" s="20">
        <v>2919</v>
      </c>
    </row>
    <row r="2947" spans="18:18" ht="14.25">
      <c r="R2947" s="20">
        <v>2920</v>
      </c>
    </row>
    <row r="2948" spans="18:18" ht="14.25">
      <c r="R2948" s="20">
        <v>2921</v>
      </c>
    </row>
    <row r="2949" spans="18:18" ht="14.25">
      <c r="R2949" s="20">
        <v>2922</v>
      </c>
    </row>
    <row r="2950" spans="18:18" ht="14.25">
      <c r="R2950" s="20">
        <v>2923</v>
      </c>
    </row>
    <row r="2951" spans="18:18" ht="14.25">
      <c r="R2951" s="20">
        <v>2924</v>
      </c>
    </row>
    <row r="2952" spans="18:18" ht="14.25">
      <c r="R2952" s="20">
        <v>2925</v>
      </c>
    </row>
    <row r="2953" spans="18:18" ht="14.25">
      <c r="R2953" s="20">
        <v>2926</v>
      </c>
    </row>
    <row r="2954" spans="18:18" ht="14.25">
      <c r="R2954" s="20">
        <v>2927</v>
      </c>
    </row>
    <row r="2955" spans="18:18" ht="14.25">
      <c r="R2955" s="20">
        <v>2928</v>
      </c>
    </row>
    <row r="2956" spans="18:18" ht="14.25">
      <c r="R2956" s="20">
        <v>2929</v>
      </c>
    </row>
    <row r="2957" spans="18:18" ht="14.25">
      <c r="R2957" s="20">
        <v>2930</v>
      </c>
    </row>
    <row r="2958" spans="18:18" ht="14.25">
      <c r="R2958" s="20">
        <v>2931</v>
      </c>
    </row>
    <row r="2959" spans="18:18" ht="14.25">
      <c r="R2959" s="20">
        <v>2932</v>
      </c>
    </row>
    <row r="2960" spans="18:18" ht="14.25">
      <c r="R2960" s="20">
        <v>2933</v>
      </c>
    </row>
    <row r="2961" spans="18:18" ht="14.25">
      <c r="R2961" s="20">
        <v>2934</v>
      </c>
    </row>
    <row r="2962" spans="18:18" ht="14.25">
      <c r="R2962" s="20">
        <v>2935</v>
      </c>
    </row>
    <row r="2963" spans="18:18" ht="14.25">
      <c r="R2963" s="20">
        <v>2936</v>
      </c>
    </row>
    <row r="2964" spans="18:18" ht="14.25">
      <c r="R2964" s="20">
        <v>2937</v>
      </c>
    </row>
    <row r="2965" spans="18:18" ht="14.25">
      <c r="R2965" s="20">
        <v>2938</v>
      </c>
    </row>
    <row r="2966" spans="18:18" ht="14.25">
      <c r="R2966" s="20">
        <v>2939</v>
      </c>
    </row>
    <row r="2967" spans="18:18" ht="14.25">
      <c r="R2967" s="20">
        <v>2940</v>
      </c>
    </row>
    <row r="2968" spans="18:18" ht="14.25">
      <c r="R2968" s="20">
        <v>2941</v>
      </c>
    </row>
    <row r="2969" spans="18:18" ht="14.25">
      <c r="R2969" s="20">
        <v>2942</v>
      </c>
    </row>
    <row r="2970" spans="18:18" ht="14.25">
      <c r="R2970" s="20">
        <v>2943</v>
      </c>
    </row>
    <row r="2971" spans="18:18" ht="14.25">
      <c r="R2971" s="20">
        <v>2944</v>
      </c>
    </row>
    <row r="2972" spans="18:18" ht="14.25">
      <c r="R2972" s="20">
        <v>2945</v>
      </c>
    </row>
    <row r="2973" spans="18:18" ht="14.25">
      <c r="R2973" s="20">
        <v>2946</v>
      </c>
    </row>
    <row r="2974" spans="18:18" ht="14.25">
      <c r="R2974" s="20">
        <v>2947</v>
      </c>
    </row>
    <row r="2975" spans="18:18" ht="14.25">
      <c r="R2975" s="20">
        <v>2948</v>
      </c>
    </row>
    <row r="2976" spans="18:18" ht="14.25">
      <c r="R2976" s="20">
        <v>2949</v>
      </c>
    </row>
    <row r="2977" spans="18:18" ht="14.25">
      <c r="R2977" s="20">
        <v>2950</v>
      </c>
    </row>
    <row r="2978" spans="18:18" ht="14.25">
      <c r="R2978" s="20">
        <v>2951</v>
      </c>
    </row>
    <row r="2979" spans="18:18" ht="14.25">
      <c r="R2979" s="20">
        <v>2952</v>
      </c>
    </row>
    <row r="2980" spans="18:18" ht="14.25">
      <c r="R2980" s="20">
        <v>2953</v>
      </c>
    </row>
    <row r="2981" spans="18:18" ht="14.25">
      <c r="R2981" s="20">
        <v>2954</v>
      </c>
    </row>
    <row r="2982" spans="18:18" ht="14.25">
      <c r="R2982" s="20">
        <v>2955</v>
      </c>
    </row>
    <row r="2983" spans="18:18" ht="14.25">
      <c r="R2983" s="20">
        <v>2956</v>
      </c>
    </row>
    <row r="2984" spans="18:18" ht="14.25">
      <c r="R2984" s="20">
        <v>2957</v>
      </c>
    </row>
    <row r="2985" spans="18:18" ht="14.25">
      <c r="R2985" s="20">
        <v>2958</v>
      </c>
    </row>
    <row r="2986" spans="18:18" ht="14.25">
      <c r="R2986" s="20">
        <v>2959</v>
      </c>
    </row>
    <row r="2987" spans="18:18" ht="14.25">
      <c r="R2987" s="20">
        <v>2960</v>
      </c>
    </row>
    <row r="2988" spans="18:18" ht="14.25">
      <c r="R2988" s="20">
        <v>2961</v>
      </c>
    </row>
    <row r="2989" spans="18:18" ht="14.25">
      <c r="R2989" s="20">
        <v>2962</v>
      </c>
    </row>
    <row r="2990" spans="18:18" ht="14.25">
      <c r="R2990" s="20">
        <v>2963</v>
      </c>
    </row>
    <row r="2991" spans="18:18" ht="14.25">
      <c r="R2991" s="20">
        <v>2964</v>
      </c>
    </row>
    <row r="2992" spans="18:18" ht="14.25">
      <c r="R2992" s="20">
        <v>2965</v>
      </c>
    </row>
    <row r="2993" spans="18:18" ht="14.25">
      <c r="R2993" s="20">
        <v>2966</v>
      </c>
    </row>
    <row r="2994" spans="18:18" ht="14.25">
      <c r="R2994" s="20">
        <v>2967</v>
      </c>
    </row>
    <row r="2995" spans="18:18" ht="14.25">
      <c r="R2995" s="20">
        <v>2968</v>
      </c>
    </row>
    <row r="2996" spans="18:18" ht="14.25">
      <c r="R2996" s="20">
        <v>2969</v>
      </c>
    </row>
    <row r="2997" spans="18:18" ht="14.25">
      <c r="R2997" s="20">
        <v>2970</v>
      </c>
    </row>
    <row r="2998" spans="18:18" ht="14.25">
      <c r="R2998" s="20">
        <v>2971</v>
      </c>
    </row>
    <row r="2999" spans="18:18" ht="14.25">
      <c r="R2999" s="20">
        <v>2972</v>
      </c>
    </row>
    <row r="3000" spans="18:18" ht="14.25">
      <c r="R3000" s="20">
        <v>2973</v>
      </c>
    </row>
    <row r="3001" spans="18:18" ht="14.25">
      <c r="R3001" s="20">
        <v>2974</v>
      </c>
    </row>
    <row r="3002" spans="18:18" ht="14.25">
      <c r="R3002" s="20">
        <v>2975</v>
      </c>
    </row>
    <row r="3003" spans="18:18" ht="14.25">
      <c r="R3003" s="20">
        <v>2976</v>
      </c>
    </row>
    <row r="3004" spans="18:18" ht="14.25">
      <c r="R3004" s="20">
        <v>2977</v>
      </c>
    </row>
    <row r="3005" spans="18:18" ht="14.25">
      <c r="R3005" s="20">
        <v>2978</v>
      </c>
    </row>
    <row r="3006" spans="18:18" ht="14.25">
      <c r="R3006" s="20">
        <v>2979</v>
      </c>
    </row>
    <row r="3007" spans="18:18" ht="14.25">
      <c r="R3007" s="20">
        <v>2980</v>
      </c>
    </row>
    <row r="3008" spans="18:18" ht="14.25">
      <c r="R3008" s="20">
        <v>2981</v>
      </c>
    </row>
    <row r="3009" spans="18:18" ht="14.25">
      <c r="R3009" s="20">
        <v>2982</v>
      </c>
    </row>
    <row r="3010" spans="18:18" ht="14.25">
      <c r="R3010" s="20">
        <v>2983</v>
      </c>
    </row>
    <row r="3011" spans="18:18" ht="14.25">
      <c r="R3011" s="20">
        <v>2984</v>
      </c>
    </row>
    <row r="3012" spans="18:18" ht="14.25">
      <c r="R3012" s="20">
        <v>2985</v>
      </c>
    </row>
    <row r="3013" spans="18:18" ht="14.25">
      <c r="R3013" s="20">
        <v>2986</v>
      </c>
    </row>
    <row r="3014" spans="18:18" ht="14.25">
      <c r="R3014" s="20">
        <v>2987</v>
      </c>
    </row>
    <row r="3015" spans="18:18" ht="14.25">
      <c r="R3015" s="20">
        <v>2988</v>
      </c>
    </row>
    <row r="3016" spans="18:18" ht="14.25">
      <c r="R3016" s="20">
        <v>2989</v>
      </c>
    </row>
    <row r="3017" spans="18:18" ht="14.25">
      <c r="R3017" s="20">
        <v>2990</v>
      </c>
    </row>
    <row r="3018" spans="18:18" ht="14.25">
      <c r="R3018" s="20">
        <v>2991</v>
      </c>
    </row>
    <row r="3019" spans="18:18" ht="14.25">
      <c r="R3019" s="20">
        <v>2992</v>
      </c>
    </row>
    <row r="3020" spans="18:18" ht="14.25">
      <c r="R3020" s="20">
        <v>2993</v>
      </c>
    </row>
    <row r="3021" spans="18:18" ht="14.25">
      <c r="R3021" s="20">
        <v>2994</v>
      </c>
    </row>
    <row r="3022" spans="18:18" ht="14.25">
      <c r="R3022" s="20">
        <v>2995</v>
      </c>
    </row>
    <row r="3023" spans="18:18" ht="14.25">
      <c r="R3023" s="20">
        <v>2996</v>
      </c>
    </row>
    <row r="3024" spans="18:18" ht="14.25">
      <c r="R3024" s="20">
        <v>2997</v>
      </c>
    </row>
    <row r="3025" spans="18:18" ht="14.25">
      <c r="R3025" s="20">
        <v>2998</v>
      </c>
    </row>
    <row r="3026" spans="18:18" ht="14.25">
      <c r="R3026" s="20">
        <v>2999</v>
      </c>
    </row>
    <row r="3027" spans="18:18" ht="14.25">
      <c r="R3027" s="20">
        <v>3000</v>
      </c>
    </row>
    <row r="3028" spans="18:18" ht="14.25">
      <c r="R3028" s="20">
        <v>3001</v>
      </c>
    </row>
    <row r="3029" spans="18:18" ht="14.25">
      <c r="R3029" s="20">
        <v>3002</v>
      </c>
    </row>
    <row r="3030" spans="18:18" ht="14.25">
      <c r="R3030" s="20">
        <v>3003</v>
      </c>
    </row>
    <row r="3031" spans="18:18" ht="14.25">
      <c r="R3031" s="20">
        <v>3004</v>
      </c>
    </row>
    <row r="3032" spans="18:18" ht="14.25">
      <c r="R3032" s="20">
        <v>3005</v>
      </c>
    </row>
    <row r="3033" spans="18:18" ht="14.25">
      <c r="R3033" s="20">
        <v>3006</v>
      </c>
    </row>
    <row r="3034" spans="18:18" ht="14.25">
      <c r="R3034" s="20">
        <v>3007</v>
      </c>
    </row>
    <row r="3035" spans="18:18" ht="14.25">
      <c r="R3035" s="20">
        <v>3008</v>
      </c>
    </row>
    <row r="3036" spans="18:18" ht="14.25">
      <c r="R3036" s="20">
        <v>3009</v>
      </c>
    </row>
    <row r="3037" spans="18:18" ht="14.25">
      <c r="R3037" s="20">
        <v>3010</v>
      </c>
    </row>
    <row r="3038" spans="18:18" ht="14.25">
      <c r="R3038" s="20">
        <v>3011</v>
      </c>
    </row>
    <row r="3039" spans="18:18" ht="14.25">
      <c r="R3039" s="20">
        <v>3012</v>
      </c>
    </row>
    <row r="3040" spans="18:18" ht="14.25">
      <c r="R3040" s="20">
        <v>3013</v>
      </c>
    </row>
    <row r="3041" spans="18:18" ht="14.25">
      <c r="R3041" s="20">
        <v>3014</v>
      </c>
    </row>
    <row r="3042" spans="18:18" ht="14.25">
      <c r="R3042" s="20">
        <v>3015</v>
      </c>
    </row>
    <row r="3043" spans="18:18" ht="14.25">
      <c r="R3043" s="20">
        <v>3016</v>
      </c>
    </row>
    <row r="3044" spans="18:18" ht="14.25">
      <c r="R3044" s="20">
        <v>3017</v>
      </c>
    </row>
    <row r="3045" spans="18:18" ht="14.25">
      <c r="R3045" s="20">
        <v>3018</v>
      </c>
    </row>
    <row r="3046" spans="18:18" ht="14.25">
      <c r="R3046" s="20">
        <v>3019</v>
      </c>
    </row>
    <row r="3047" spans="18:18" ht="14.25">
      <c r="R3047" s="20">
        <v>3020</v>
      </c>
    </row>
    <row r="3048" spans="18:18" ht="14.25">
      <c r="R3048" s="20">
        <v>3021</v>
      </c>
    </row>
    <row r="3049" spans="18:18" ht="14.25">
      <c r="R3049" s="20">
        <v>3022</v>
      </c>
    </row>
    <row r="3050" spans="18:18" ht="14.25">
      <c r="R3050" s="20">
        <v>3023</v>
      </c>
    </row>
    <row r="3051" spans="18:18" ht="14.25">
      <c r="R3051" s="20">
        <v>3024</v>
      </c>
    </row>
    <row r="3052" spans="18:18" ht="14.25">
      <c r="R3052" s="20">
        <v>3025</v>
      </c>
    </row>
    <row r="3053" spans="18:18" ht="14.25">
      <c r="R3053" s="20">
        <v>3026</v>
      </c>
    </row>
    <row r="3054" spans="18:18" ht="14.25">
      <c r="R3054" s="20">
        <v>3027</v>
      </c>
    </row>
    <row r="3055" spans="18:18" ht="14.25">
      <c r="R3055" s="20">
        <v>3028</v>
      </c>
    </row>
    <row r="3056" spans="18:18" ht="14.25">
      <c r="R3056" s="20">
        <v>3029</v>
      </c>
    </row>
    <row r="3057" spans="18:18" ht="14.25">
      <c r="R3057" s="20">
        <v>3030</v>
      </c>
    </row>
    <row r="3058" spans="18:18" ht="14.25">
      <c r="R3058" s="20">
        <v>3031</v>
      </c>
    </row>
    <row r="3059" spans="18:18" ht="14.25">
      <c r="R3059" s="20">
        <v>3032</v>
      </c>
    </row>
    <row r="3060" spans="18:18" ht="14.25">
      <c r="R3060" s="20">
        <v>3033</v>
      </c>
    </row>
    <row r="3061" spans="18:18" ht="14.25">
      <c r="R3061" s="20">
        <v>3034</v>
      </c>
    </row>
    <row r="3062" spans="18:18" ht="14.25">
      <c r="R3062" s="20">
        <v>3035</v>
      </c>
    </row>
    <row r="3063" spans="18:18" ht="14.25">
      <c r="R3063" s="20">
        <v>3036</v>
      </c>
    </row>
    <row r="3064" spans="18:18" ht="14.25">
      <c r="R3064" s="20">
        <v>3037</v>
      </c>
    </row>
    <row r="3065" spans="18:18" ht="14.25">
      <c r="R3065" s="20">
        <v>3038</v>
      </c>
    </row>
    <row r="3066" spans="18:18" ht="14.25">
      <c r="R3066" s="20">
        <v>3039</v>
      </c>
    </row>
    <row r="3067" spans="18:18" ht="14.25">
      <c r="R3067" s="20">
        <v>3040</v>
      </c>
    </row>
    <row r="3068" spans="18:18" ht="14.25">
      <c r="R3068" s="20">
        <v>3041</v>
      </c>
    </row>
    <row r="3069" spans="18:18" ht="14.25">
      <c r="R3069" s="20">
        <v>3042</v>
      </c>
    </row>
    <row r="3070" spans="18:18" ht="14.25">
      <c r="R3070" s="20">
        <v>3043</v>
      </c>
    </row>
    <row r="3071" spans="18:18" ht="14.25">
      <c r="R3071" s="20">
        <v>3044</v>
      </c>
    </row>
    <row r="3072" spans="18:18" ht="14.25">
      <c r="R3072" s="20">
        <v>3045</v>
      </c>
    </row>
    <row r="3073" spans="18:18" ht="14.25">
      <c r="R3073" s="20">
        <v>3046</v>
      </c>
    </row>
    <row r="3074" spans="18:18" ht="14.25">
      <c r="R3074" s="20">
        <v>3047</v>
      </c>
    </row>
    <row r="3075" spans="18:18" ht="14.25">
      <c r="R3075" s="20">
        <v>3048</v>
      </c>
    </row>
    <row r="3076" spans="18:18" ht="14.25">
      <c r="R3076" s="20">
        <v>3049</v>
      </c>
    </row>
    <row r="3077" spans="18:18" ht="14.25">
      <c r="R3077" s="20">
        <v>3050</v>
      </c>
    </row>
    <row r="3078" spans="18:18" ht="14.25">
      <c r="R3078" s="20">
        <v>3051</v>
      </c>
    </row>
    <row r="3079" spans="18:18" ht="14.25">
      <c r="R3079" s="20">
        <v>3052</v>
      </c>
    </row>
    <row r="3080" spans="18:18" ht="14.25">
      <c r="R3080" s="20">
        <v>3053</v>
      </c>
    </row>
    <row r="3081" spans="18:18" ht="14.25">
      <c r="R3081" s="20">
        <v>3054</v>
      </c>
    </row>
    <row r="3082" spans="18:18" ht="14.25">
      <c r="R3082" s="20">
        <v>3055</v>
      </c>
    </row>
    <row r="3083" spans="18:18" ht="14.25">
      <c r="R3083" s="20">
        <v>3056</v>
      </c>
    </row>
    <row r="3084" spans="18:18" ht="14.25">
      <c r="R3084" s="20">
        <v>3057</v>
      </c>
    </row>
    <row r="3085" spans="18:18" ht="14.25">
      <c r="R3085" s="20">
        <v>3058</v>
      </c>
    </row>
    <row r="3086" spans="18:18" ht="14.25">
      <c r="R3086" s="20">
        <v>3059</v>
      </c>
    </row>
    <row r="3087" spans="18:18" ht="14.25">
      <c r="R3087" s="20">
        <v>3060</v>
      </c>
    </row>
    <row r="3088" spans="18:18" ht="14.25">
      <c r="R3088" s="20">
        <v>3061</v>
      </c>
    </row>
    <row r="3089" spans="18:18" ht="14.25">
      <c r="R3089" s="20">
        <v>3062</v>
      </c>
    </row>
    <row r="3090" spans="18:18" ht="14.25">
      <c r="R3090" s="20">
        <v>3063</v>
      </c>
    </row>
    <row r="3091" spans="18:18" ht="14.25">
      <c r="R3091" s="20">
        <v>3064</v>
      </c>
    </row>
    <row r="3092" spans="18:18" ht="14.25">
      <c r="R3092" s="20">
        <v>3065</v>
      </c>
    </row>
    <row r="3093" spans="18:18" ht="14.25">
      <c r="R3093" s="20">
        <v>3066</v>
      </c>
    </row>
    <row r="3094" spans="18:18" ht="14.25">
      <c r="R3094" s="20">
        <v>3067</v>
      </c>
    </row>
    <row r="3095" spans="18:18" ht="14.25">
      <c r="R3095" s="20">
        <v>3068</v>
      </c>
    </row>
    <row r="3096" spans="18:18" ht="14.25">
      <c r="R3096" s="20">
        <v>3069</v>
      </c>
    </row>
    <row r="3097" spans="18:18" ht="14.25">
      <c r="R3097" s="20">
        <v>3070</v>
      </c>
    </row>
    <row r="3098" spans="18:18" ht="14.25">
      <c r="R3098" s="20">
        <v>3071</v>
      </c>
    </row>
    <row r="3099" spans="18:18" ht="14.25">
      <c r="R3099" s="20">
        <v>3072</v>
      </c>
    </row>
    <row r="3100" spans="18:18" ht="14.25">
      <c r="R3100" s="20">
        <v>3073</v>
      </c>
    </row>
    <row r="3101" spans="18:18" ht="14.25">
      <c r="R3101" s="20">
        <v>3074</v>
      </c>
    </row>
    <row r="3102" spans="18:18" ht="14.25">
      <c r="R3102" s="20">
        <v>3075</v>
      </c>
    </row>
    <row r="3103" spans="18:18" ht="14.25">
      <c r="R3103" s="20">
        <v>3076</v>
      </c>
    </row>
    <row r="3104" spans="18:18" ht="14.25">
      <c r="R3104" s="20">
        <v>3077</v>
      </c>
    </row>
    <row r="3105" spans="18:18" ht="14.25">
      <c r="R3105" s="20">
        <v>3078</v>
      </c>
    </row>
    <row r="3106" spans="18:18" ht="14.25">
      <c r="R3106" s="20">
        <v>3079</v>
      </c>
    </row>
    <row r="3107" spans="18:18" ht="14.25">
      <c r="R3107" s="20">
        <v>3080</v>
      </c>
    </row>
    <row r="3108" spans="18:18" ht="14.25">
      <c r="R3108" s="20">
        <v>3081</v>
      </c>
    </row>
    <row r="3109" spans="18:18" ht="14.25">
      <c r="R3109" s="20">
        <v>3082</v>
      </c>
    </row>
    <row r="3110" spans="18:18" ht="14.25">
      <c r="R3110" s="20">
        <v>3083</v>
      </c>
    </row>
    <row r="3111" spans="18:18" ht="14.25">
      <c r="R3111" s="20">
        <v>3084</v>
      </c>
    </row>
    <row r="3112" spans="18:18" ht="14.25">
      <c r="R3112" s="20">
        <v>3085</v>
      </c>
    </row>
    <row r="3113" spans="18:18" ht="14.25">
      <c r="R3113" s="20">
        <v>3086</v>
      </c>
    </row>
    <row r="3114" spans="18:18" ht="14.25">
      <c r="R3114" s="20">
        <v>3087</v>
      </c>
    </row>
    <row r="3115" spans="18:18" ht="14.25">
      <c r="R3115" s="20">
        <v>3088</v>
      </c>
    </row>
    <row r="3116" spans="18:18" ht="14.25">
      <c r="R3116" s="20">
        <v>3089</v>
      </c>
    </row>
    <row r="3117" spans="18:18" ht="14.25">
      <c r="R3117" s="20">
        <v>3090</v>
      </c>
    </row>
    <row r="3118" spans="18:18" ht="14.25">
      <c r="R3118" s="20">
        <v>3091</v>
      </c>
    </row>
    <row r="3119" spans="18:18" ht="14.25">
      <c r="R3119" s="20">
        <v>3092</v>
      </c>
    </row>
    <row r="3120" spans="18:18" ht="14.25">
      <c r="R3120" s="20">
        <v>3093</v>
      </c>
    </row>
    <row r="3121" spans="18:18" ht="14.25">
      <c r="R3121" s="20">
        <v>3094</v>
      </c>
    </row>
    <row r="3122" spans="18:18" ht="14.25">
      <c r="R3122" s="20">
        <v>3095</v>
      </c>
    </row>
    <row r="3123" spans="18:18" ht="14.25">
      <c r="R3123" s="20">
        <v>3096</v>
      </c>
    </row>
    <row r="3124" spans="18:18" ht="14.25">
      <c r="R3124" s="20">
        <v>3097</v>
      </c>
    </row>
    <row r="3125" spans="18:18" ht="14.25">
      <c r="R3125" s="20">
        <v>3098</v>
      </c>
    </row>
    <row r="3126" spans="18:18" ht="14.25">
      <c r="R3126" s="20">
        <v>3099</v>
      </c>
    </row>
    <row r="3127" spans="18:18" ht="14.25">
      <c r="R3127" s="20">
        <v>3100</v>
      </c>
    </row>
    <row r="3128" spans="18:18" ht="14.25">
      <c r="R3128" s="20">
        <v>3101</v>
      </c>
    </row>
    <row r="3129" spans="18:18" ht="14.25">
      <c r="R3129" s="20">
        <v>3102</v>
      </c>
    </row>
    <row r="3130" spans="18:18" ht="14.25">
      <c r="R3130" s="20">
        <v>3103</v>
      </c>
    </row>
    <row r="3131" spans="18:18" ht="14.25">
      <c r="R3131" s="20">
        <v>3104</v>
      </c>
    </row>
    <row r="3132" spans="18:18" ht="14.25">
      <c r="R3132" s="20">
        <v>3105</v>
      </c>
    </row>
    <row r="3133" spans="18:18" ht="14.25">
      <c r="R3133" s="20">
        <v>3106</v>
      </c>
    </row>
    <row r="3134" spans="18:18" ht="14.25">
      <c r="R3134" s="20">
        <v>3107</v>
      </c>
    </row>
    <row r="3135" spans="18:18" ht="14.25">
      <c r="R3135" s="20">
        <v>3108</v>
      </c>
    </row>
    <row r="3136" spans="18:18" ht="14.25">
      <c r="R3136" s="20">
        <v>3109</v>
      </c>
    </row>
    <row r="3137" spans="18:18" ht="14.25">
      <c r="R3137" s="20">
        <v>3110</v>
      </c>
    </row>
    <row r="3138" spans="18:18" ht="14.25">
      <c r="R3138" s="20">
        <v>3111</v>
      </c>
    </row>
    <row r="3139" spans="18:18" ht="14.25">
      <c r="R3139" s="20">
        <v>3112</v>
      </c>
    </row>
    <row r="3140" spans="18:18" ht="14.25">
      <c r="R3140" s="20">
        <v>3113</v>
      </c>
    </row>
    <row r="3141" spans="18:18" ht="14.25">
      <c r="R3141" s="20">
        <v>3114</v>
      </c>
    </row>
    <row r="3142" spans="18:18" ht="14.25">
      <c r="R3142" s="20">
        <v>3115</v>
      </c>
    </row>
    <row r="3143" spans="18:18" ht="14.25">
      <c r="R3143" s="20">
        <v>3116</v>
      </c>
    </row>
    <row r="3144" spans="18:18" ht="14.25">
      <c r="R3144" s="20">
        <v>3117</v>
      </c>
    </row>
    <row r="3145" spans="18:18" ht="14.25">
      <c r="R3145" s="20">
        <v>3118</v>
      </c>
    </row>
    <row r="3146" spans="18:18" ht="14.25">
      <c r="R3146" s="20">
        <v>3119</v>
      </c>
    </row>
    <row r="3147" spans="18:18" ht="14.25">
      <c r="R3147" s="20">
        <v>3120</v>
      </c>
    </row>
    <row r="3148" spans="18:18" ht="14.25">
      <c r="R3148" s="20">
        <v>3121</v>
      </c>
    </row>
    <row r="3149" spans="18:18" ht="14.25">
      <c r="R3149" s="20">
        <v>3122</v>
      </c>
    </row>
    <row r="3150" spans="18:18" ht="14.25">
      <c r="R3150" s="20">
        <v>3123</v>
      </c>
    </row>
    <row r="3151" spans="18:18" ht="14.25">
      <c r="R3151" s="20">
        <v>3124</v>
      </c>
    </row>
    <row r="3152" spans="18:18" ht="14.25">
      <c r="R3152" s="20">
        <v>3125</v>
      </c>
    </row>
    <row r="3153" spans="18:18" ht="14.25">
      <c r="R3153" s="20">
        <v>3126</v>
      </c>
    </row>
    <row r="3154" spans="18:18" ht="14.25">
      <c r="R3154" s="20">
        <v>3127</v>
      </c>
    </row>
    <row r="3155" spans="18:18" ht="14.25">
      <c r="R3155" s="20">
        <v>3128</v>
      </c>
    </row>
    <row r="3156" spans="18:18" ht="14.25">
      <c r="R3156" s="20">
        <v>3129</v>
      </c>
    </row>
    <row r="3157" spans="18:18" ht="14.25">
      <c r="R3157" s="20">
        <v>3130</v>
      </c>
    </row>
    <row r="3158" spans="18:18" ht="14.25">
      <c r="R3158" s="20">
        <v>3131</v>
      </c>
    </row>
    <row r="3159" spans="18:18" ht="14.25">
      <c r="R3159" s="20">
        <v>3132</v>
      </c>
    </row>
    <row r="3160" spans="18:18" ht="14.25">
      <c r="R3160" s="20">
        <v>3133</v>
      </c>
    </row>
    <row r="3161" spans="18:18" ht="14.25">
      <c r="R3161" s="20">
        <v>3134</v>
      </c>
    </row>
    <row r="3162" spans="18:18" ht="14.25">
      <c r="R3162" s="20">
        <v>3135</v>
      </c>
    </row>
    <row r="3163" spans="18:18" ht="14.25">
      <c r="R3163" s="20">
        <v>3136</v>
      </c>
    </row>
    <row r="3164" spans="18:18" ht="14.25">
      <c r="R3164" s="20">
        <v>3137</v>
      </c>
    </row>
    <row r="3165" spans="18:18" ht="14.25">
      <c r="R3165" s="20">
        <v>3138</v>
      </c>
    </row>
    <row r="3166" spans="18:18" ht="14.25">
      <c r="R3166" s="20">
        <v>3139</v>
      </c>
    </row>
    <row r="3167" spans="18:18" ht="14.25">
      <c r="R3167" s="20">
        <v>3140</v>
      </c>
    </row>
    <row r="3168" spans="18:18" ht="14.25">
      <c r="R3168" s="20">
        <v>3141</v>
      </c>
    </row>
    <row r="3169" spans="18:18" ht="14.25">
      <c r="R3169" s="20">
        <v>3142</v>
      </c>
    </row>
    <row r="3170" spans="18:18" ht="14.25">
      <c r="R3170" s="20">
        <v>3143</v>
      </c>
    </row>
    <row r="3171" spans="18:18" ht="14.25">
      <c r="R3171" s="20">
        <v>3144</v>
      </c>
    </row>
    <row r="3172" spans="18:18" ht="14.25">
      <c r="R3172" s="20">
        <v>3145</v>
      </c>
    </row>
    <row r="3173" spans="18:18" ht="14.25">
      <c r="R3173" s="20">
        <v>3146</v>
      </c>
    </row>
    <row r="3174" spans="18:18" ht="14.25">
      <c r="R3174" s="20">
        <v>3147</v>
      </c>
    </row>
    <row r="3175" spans="18:18" ht="14.25">
      <c r="R3175" s="20">
        <v>3148</v>
      </c>
    </row>
    <row r="3176" spans="18:18" ht="14.25">
      <c r="R3176" s="20">
        <v>3149</v>
      </c>
    </row>
    <row r="3177" spans="18:18" ht="14.25">
      <c r="R3177" s="20">
        <v>3150</v>
      </c>
    </row>
    <row r="3178" spans="18:18" ht="14.25">
      <c r="R3178" s="20">
        <v>3151</v>
      </c>
    </row>
    <row r="3179" spans="18:18" ht="14.25">
      <c r="R3179" s="20">
        <v>3152</v>
      </c>
    </row>
    <row r="3180" spans="18:18" ht="14.25">
      <c r="R3180" s="20">
        <v>3153</v>
      </c>
    </row>
    <row r="3181" spans="18:18" ht="14.25">
      <c r="R3181" s="20">
        <v>3154</v>
      </c>
    </row>
    <row r="3182" spans="18:18" ht="14.25">
      <c r="R3182" s="20">
        <v>3155</v>
      </c>
    </row>
    <row r="3183" spans="18:18" ht="14.25">
      <c r="R3183" s="20">
        <v>3156</v>
      </c>
    </row>
    <row r="3184" spans="18:18" ht="14.25">
      <c r="R3184" s="20">
        <v>3157</v>
      </c>
    </row>
    <row r="3185" spans="18:18" ht="14.25">
      <c r="R3185" s="20">
        <v>3158</v>
      </c>
    </row>
    <row r="3186" spans="18:18" ht="14.25">
      <c r="R3186" s="20">
        <v>3159</v>
      </c>
    </row>
    <row r="3187" spans="18:18" ht="14.25">
      <c r="R3187" s="20">
        <v>3160</v>
      </c>
    </row>
    <row r="3188" spans="18:18" ht="14.25">
      <c r="R3188" s="20">
        <v>3161</v>
      </c>
    </row>
    <row r="3189" spans="18:18" ht="14.25">
      <c r="R3189" s="20">
        <v>3162</v>
      </c>
    </row>
    <row r="3190" spans="18:18" ht="14.25">
      <c r="R3190" s="20">
        <v>3163</v>
      </c>
    </row>
    <row r="3191" spans="18:18" ht="14.25">
      <c r="R3191" s="20">
        <v>3164</v>
      </c>
    </row>
    <row r="3192" spans="18:18" ht="14.25">
      <c r="R3192" s="20">
        <v>3165</v>
      </c>
    </row>
    <row r="3193" spans="18:18" ht="14.25">
      <c r="R3193" s="20">
        <v>3166</v>
      </c>
    </row>
    <row r="3194" spans="18:18" ht="14.25">
      <c r="R3194" s="20">
        <v>3167</v>
      </c>
    </row>
    <row r="3195" spans="18:18" ht="14.25">
      <c r="R3195" s="20">
        <v>3168</v>
      </c>
    </row>
    <row r="3196" spans="18:18" ht="14.25">
      <c r="R3196" s="20">
        <v>3169</v>
      </c>
    </row>
    <row r="3197" spans="18:18" ht="14.25">
      <c r="R3197" s="20">
        <v>3170</v>
      </c>
    </row>
    <row r="3198" spans="18:18" ht="14.25">
      <c r="R3198" s="20">
        <v>3171</v>
      </c>
    </row>
    <row r="3199" spans="18:18" ht="14.25">
      <c r="R3199" s="20">
        <v>3172</v>
      </c>
    </row>
    <row r="3200" spans="18:18" ht="14.25">
      <c r="R3200" s="20">
        <v>3173</v>
      </c>
    </row>
    <row r="3201" spans="18:18" ht="14.25">
      <c r="R3201" s="20">
        <v>3174</v>
      </c>
    </row>
    <row r="3202" spans="18:18" ht="14.25">
      <c r="R3202" s="20">
        <v>3175</v>
      </c>
    </row>
    <row r="3203" spans="18:18" ht="14.25">
      <c r="R3203" s="20">
        <v>3176</v>
      </c>
    </row>
    <row r="3204" spans="18:18" ht="14.25">
      <c r="R3204" s="20">
        <v>3177</v>
      </c>
    </row>
    <row r="3205" spans="18:18" ht="14.25">
      <c r="R3205" s="20">
        <v>3178</v>
      </c>
    </row>
    <row r="3206" spans="18:18" ht="14.25">
      <c r="R3206" s="20">
        <v>3179</v>
      </c>
    </row>
    <row r="3207" spans="18:18" ht="14.25">
      <c r="R3207" s="20">
        <v>3180</v>
      </c>
    </row>
    <row r="3208" spans="18:18" ht="14.25">
      <c r="R3208" s="20">
        <v>3181</v>
      </c>
    </row>
    <row r="3209" spans="18:18" ht="14.25">
      <c r="R3209" s="20">
        <v>3182</v>
      </c>
    </row>
    <row r="3210" spans="18:18" ht="14.25">
      <c r="R3210" s="20">
        <v>3183</v>
      </c>
    </row>
    <row r="3211" spans="18:18" ht="14.25">
      <c r="R3211" s="20">
        <v>3184</v>
      </c>
    </row>
    <row r="3212" spans="18:18" ht="14.25">
      <c r="R3212" s="20">
        <v>3185</v>
      </c>
    </row>
    <row r="3213" spans="18:18" ht="14.25">
      <c r="R3213" s="20">
        <v>3186</v>
      </c>
    </row>
    <row r="3214" spans="18:18" ht="14.25">
      <c r="R3214" s="20">
        <v>3187</v>
      </c>
    </row>
    <row r="3215" spans="18:18" ht="14.25">
      <c r="R3215" s="20">
        <v>3188</v>
      </c>
    </row>
    <row r="3216" spans="18:18" ht="14.25">
      <c r="R3216" s="20">
        <v>3189</v>
      </c>
    </row>
    <row r="3217" spans="18:18" ht="14.25">
      <c r="R3217" s="20">
        <v>3190</v>
      </c>
    </row>
    <row r="3218" spans="18:18" ht="14.25">
      <c r="R3218" s="20">
        <v>3191</v>
      </c>
    </row>
    <row r="3219" spans="18:18" ht="14.25">
      <c r="R3219" s="20">
        <v>3192</v>
      </c>
    </row>
    <row r="3220" spans="18:18" ht="14.25">
      <c r="R3220" s="20">
        <v>3193</v>
      </c>
    </row>
    <row r="3221" spans="18:18" ht="14.25">
      <c r="R3221" s="20">
        <v>3194</v>
      </c>
    </row>
    <row r="3222" spans="18:18" ht="14.25">
      <c r="R3222" s="20">
        <v>3195</v>
      </c>
    </row>
    <row r="3223" spans="18:18" ht="14.25">
      <c r="R3223" s="20">
        <v>3196</v>
      </c>
    </row>
    <row r="3224" spans="18:18" ht="14.25">
      <c r="R3224" s="20">
        <v>3197</v>
      </c>
    </row>
    <row r="3225" spans="18:18" ht="14.25">
      <c r="R3225" s="20">
        <v>3198</v>
      </c>
    </row>
    <row r="3226" spans="18:18" ht="14.25">
      <c r="R3226" s="20">
        <v>3199</v>
      </c>
    </row>
    <row r="3227" spans="18:18" ht="14.25">
      <c r="R3227" s="20">
        <v>3200</v>
      </c>
    </row>
    <row r="3228" spans="18:18" ht="14.25">
      <c r="R3228" s="20">
        <v>3201</v>
      </c>
    </row>
    <row r="3229" spans="18:18" ht="14.25">
      <c r="R3229" s="20">
        <v>3202</v>
      </c>
    </row>
    <row r="3230" spans="18:18" ht="14.25">
      <c r="R3230" s="20">
        <v>3203</v>
      </c>
    </row>
    <row r="3231" spans="18:18" ht="14.25">
      <c r="R3231" s="20">
        <v>3204</v>
      </c>
    </row>
    <row r="3232" spans="18:18" ht="14.25">
      <c r="R3232" s="20">
        <v>3205</v>
      </c>
    </row>
    <row r="3233" spans="18:18" ht="14.25">
      <c r="R3233" s="20">
        <v>3206</v>
      </c>
    </row>
    <row r="3234" spans="18:18" ht="14.25">
      <c r="R3234" s="20">
        <v>3207</v>
      </c>
    </row>
    <row r="3235" spans="18:18" ht="14.25">
      <c r="R3235" s="20">
        <v>3208</v>
      </c>
    </row>
    <row r="3236" spans="18:18" ht="14.25">
      <c r="R3236" s="20">
        <v>3209</v>
      </c>
    </row>
    <row r="3237" spans="18:18" ht="14.25">
      <c r="R3237" s="20">
        <v>3210</v>
      </c>
    </row>
    <row r="3238" spans="18:18" ht="14.25">
      <c r="R3238" s="20">
        <v>3211</v>
      </c>
    </row>
    <row r="3239" spans="18:18" ht="14.25">
      <c r="R3239" s="20">
        <v>3212</v>
      </c>
    </row>
    <row r="3240" spans="18:18" ht="14.25">
      <c r="R3240" s="20">
        <v>3213</v>
      </c>
    </row>
    <row r="3241" spans="18:18" ht="14.25">
      <c r="R3241" s="20">
        <v>3214</v>
      </c>
    </row>
    <row r="3242" spans="18:18" ht="14.25">
      <c r="R3242" s="20">
        <v>3215</v>
      </c>
    </row>
    <row r="3243" spans="18:18" ht="14.25">
      <c r="R3243" s="20">
        <v>3216</v>
      </c>
    </row>
    <row r="3244" spans="18:18" ht="14.25">
      <c r="R3244" s="20">
        <v>3217</v>
      </c>
    </row>
    <row r="3245" spans="18:18" ht="14.25">
      <c r="R3245" s="20">
        <v>3218</v>
      </c>
    </row>
    <row r="3246" spans="18:18" ht="14.25">
      <c r="R3246" s="20">
        <v>3219</v>
      </c>
    </row>
    <row r="3247" spans="18:18" ht="14.25">
      <c r="R3247" s="20">
        <v>3220</v>
      </c>
    </row>
    <row r="3248" spans="18:18" ht="14.25">
      <c r="R3248" s="20">
        <v>3221</v>
      </c>
    </row>
    <row r="3249" spans="18:18" ht="14.25">
      <c r="R3249" s="20">
        <v>3222</v>
      </c>
    </row>
    <row r="3250" spans="18:18" ht="14.25">
      <c r="R3250" s="20">
        <v>3223</v>
      </c>
    </row>
    <row r="3251" spans="18:18" ht="14.25">
      <c r="R3251" s="20">
        <v>3224</v>
      </c>
    </row>
    <row r="3252" spans="18:18" ht="14.25">
      <c r="R3252" s="20">
        <v>3225</v>
      </c>
    </row>
    <row r="3253" spans="18:18" ht="14.25">
      <c r="R3253" s="20">
        <v>3226</v>
      </c>
    </row>
    <row r="3254" spans="18:18" ht="14.25">
      <c r="R3254" s="20">
        <v>3227</v>
      </c>
    </row>
    <row r="3255" spans="18:18" ht="14.25">
      <c r="R3255" s="20">
        <v>3228</v>
      </c>
    </row>
    <row r="3256" spans="18:18" ht="14.25">
      <c r="R3256" s="20">
        <v>3229</v>
      </c>
    </row>
    <row r="3257" spans="18:18" ht="14.25">
      <c r="R3257" s="20">
        <v>3230</v>
      </c>
    </row>
    <row r="3258" spans="18:18" ht="14.25">
      <c r="R3258" s="20">
        <v>3231</v>
      </c>
    </row>
    <row r="3259" spans="18:18" ht="14.25">
      <c r="R3259" s="20">
        <v>3232</v>
      </c>
    </row>
    <row r="3260" spans="18:18" ht="14.25">
      <c r="R3260" s="20">
        <v>3233</v>
      </c>
    </row>
    <row r="3261" spans="18:18" ht="14.25">
      <c r="R3261" s="20">
        <v>3234</v>
      </c>
    </row>
    <row r="3262" spans="18:18" ht="14.25">
      <c r="R3262" s="20">
        <v>3235</v>
      </c>
    </row>
    <row r="3263" spans="18:18" ht="14.25">
      <c r="R3263" s="20">
        <v>3236</v>
      </c>
    </row>
    <row r="3264" spans="18:18" ht="14.25">
      <c r="R3264" s="20">
        <v>3237</v>
      </c>
    </row>
    <row r="3265" spans="18:18" ht="14.25">
      <c r="R3265" s="20">
        <v>3238</v>
      </c>
    </row>
    <row r="3266" spans="18:18" ht="14.25">
      <c r="R3266" s="20">
        <v>3239</v>
      </c>
    </row>
    <row r="3267" spans="18:18" ht="14.25">
      <c r="R3267" s="20">
        <v>3240</v>
      </c>
    </row>
    <row r="3268" spans="18:18" ht="14.25">
      <c r="R3268" s="20">
        <v>3241</v>
      </c>
    </row>
    <row r="3269" spans="18:18" ht="14.25">
      <c r="R3269" s="20">
        <v>3242</v>
      </c>
    </row>
    <row r="3270" spans="18:18" ht="14.25">
      <c r="R3270" s="20">
        <v>3243</v>
      </c>
    </row>
    <row r="3271" spans="18:18" ht="14.25">
      <c r="R3271" s="20">
        <v>3244</v>
      </c>
    </row>
    <row r="3272" spans="18:18" ht="14.25">
      <c r="R3272" s="20">
        <v>3245</v>
      </c>
    </row>
    <row r="3273" spans="18:18" ht="14.25">
      <c r="R3273" s="20">
        <v>3246</v>
      </c>
    </row>
    <row r="3274" spans="18:18" ht="14.25">
      <c r="R3274" s="20">
        <v>3247</v>
      </c>
    </row>
    <row r="3275" spans="18:18" ht="14.25">
      <c r="R3275" s="20">
        <v>3248</v>
      </c>
    </row>
    <row r="3276" spans="18:18" ht="14.25">
      <c r="R3276" s="20">
        <v>3249</v>
      </c>
    </row>
    <row r="3277" spans="18:18" ht="14.25">
      <c r="R3277" s="20">
        <v>3250</v>
      </c>
    </row>
    <row r="3278" spans="18:18" ht="14.25">
      <c r="R3278" s="20">
        <v>3251</v>
      </c>
    </row>
    <row r="3279" spans="18:18" ht="14.25">
      <c r="R3279" s="20">
        <v>3252</v>
      </c>
    </row>
    <row r="3280" spans="18:18" ht="14.25">
      <c r="R3280" s="20">
        <v>3253</v>
      </c>
    </row>
    <row r="3281" spans="18:18" ht="14.25">
      <c r="R3281" s="20">
        <v>3254</v>
      </c>
    </row>
    <row r="3282" spans="18:18" ht="14.25">
      <c r="R3282" s="20">
        <v>3255</v>
      </c>
    </row>
    <row r="3283" spans="18:18" ht="14.25">
      <c r="R3283" s="20">
        <v>3256</v>
      </c>
    </row>
    <row r="3284" spans="18:18" ht="14.25">
      <c r="R3284" s="20">
        <v>3257</v>
      </c>
    </row>
    <row r="3285" spans="18:18" ht="14.25">
      <c r="R3285" s="20">
        <v>3258</v>
      </c>
    </row>
    <row r="3286" spans="18:18" ht="14.25">
      <c r="R3286" s="20">
        <v>3259</v>
      </c>
    </row>
    <row r="3287" spans="18:18" ht="14.25">
      <c r="R3287" s="20">
        <v>3260</v>
      </c>
    </row>
    <row r="3288" spans="18:18" ht="14.25">
      <c r="R3288" s="20">
        <v>3261</v>
      </c>
    </row>
    <row r="3289" spans="18:18" ht="14.25">
      <c r="R3289" s="20">
        <v>3262</v>
      </c>
    </row>
    <row r="3290" spans="18:18" ht="14.25">
      <c r="R3290" s="20">
        <v>3263</v>
      </c>
    </row>
    <row r="3291" spans="18:18" ht="14.25">
      <c r="R3291" s="20">
        <v>3264</v>
      </c>
    </row>
    <row r="3292" spans="18:18" ht="14.25">
      <c r="R3292" s="20">
        <v>3265</v>
      </c>
    </row>
    <row r="3293" spans="18:18" ht="14.25">
      <c r="R3293" s="20">
        <v>3266</v>
      </c>
    </row>
    <row r="3294" spans="18:18" ht="14.25">
      <c r="R3294" s="20">
        <v>3267</v>
      </c>
    </row>
    <row r="3295" spans="18:18" ht="14.25">
      <c r="R3295" s="20">
        <v>3268</v>
      </c>
    </row>
    <row r="3296" spans="18:18" ht="14.25">
      <c r="R3296" s="20">
        <v>3269</v>
      </c>
    </row>
    <row r="3297" spans="18:18" ht="14.25">
      <c r="R3297" s="20">
        <v>3270</v>
      </c>
    </row>
    <row r="3298" spans="18:18" ht="14.25">
      <c r="R3298" s="20">
        <v>3271</v>
      </c>
    </row>
    <row r="3299" spans="18:18" ht="14.25">
      <c r="R3299" s="20">
        <v>3272</v>
      </c>
    </row>
    <row r="3300" spans="18:18" ht="14.25">
      <c r="R3300" s="20">
        <v>3273</v>
      </c>
    </row>
    <row r="3301" spans="18:18" ht="14.25">
      <c r="R3301" s="20">
        <v>3274</v>
      </c>
    </row>
    <row r="3302" spans="18:18" ht="14.25">
      <c r="R3302" s="20">
        <v>3275</v>
      </c>
    </row>
    <row r="3303" spans="18:18" ht="14.25">
      <c r="R3303" s="20">
        <v>3276</v>
      </c>
    </row>
    <row r="3304" spans="18:18" ht="14.25">
      <c r="R3304" s="20">
        <v>3277</v>
      </c>
    </row>
    <row r="3305" spans="18:18" ht="14.25">
      <c r="R3305" s="20">
        <v>3278</v>
      </c>
    </row>
    <row r="3306" spans="18:18" ht="14.25">
      <c r="R3306" s="20">
        <v>3279</v>
      </c>
    </row>
    <row r="3307" spans="18:18" ht="14.25">
      <c r="R3307" s="20">
        <v>3280</v>
      </c>
    </row>
    <row r="3308" spans="18:18" ht="14.25">
      <c r="R3308" s="20">
        <v>3281</v>
      </c>
    </row>
    <row r="3309" spans="18:18" ht="14.25">
      <c r="R3309" s="20">
        <v>3282</v>
      </c>
    </row>
    <row r="3310" spans="18:18" ht="14.25">
      <c r="R3310" s="20">
        <v>3283</v>
      </c>
    </row>
    <row r="3311" spans="18:18" ht="14.25">
      <c r="R3311" s="20">
        <v>3284</v>
      </c>
    </row>
    <row r="3312" spans="18:18" ht="14.25">
      <c r="R3312" s="20">
        <v>3285</v>
      </c>
    </row>
    <row r="3313" spans="18:18" ht="14.25">
      <c r="R3313" s="20">
        <v>3286</v>
      </c>
    </row>
    <row r="3314" spans="18:18" ht="14.25">
      <c r="R3314" s="20">
        <v>3287</v>
      </c>
    </row>
    <row r="3315" spans="18:18" ht="14.25">
      <c r="R3315" s="20">
        <v>3288</v>
      </c>
    </row>
    <row r="3316" spans="18:18" ht="14.25">
      <c r="R3316" s="20">
        <v>3289</v>
      </c>
    </row>
    <row r="3317" spans="18:18" ht="14.25">
      <c r="R3317" s="20">
        <v>3290</v>
      </c>
    </row>
    <row r="3318" spans="18:18" ht="14.25">
      <c r="R3318" s="20">
        <v>3291</v>
      </c>
    </row>
    <row r="3319" spans="18:18" ht="14.25">
      <c r="R3319" s="20">
        <v>3292</v>
      </c>
    </row>
    <row r="3320" spans="18:18" ht="14.25">
      <c r="R3320" s="20">
        <v>3293</v>
      </c>
    </row>
    <row r="3321" spans="18:18" ht="14.25">
      <c r="R3321" s="20">
        <v>3294</v>
      </c>
    </row>
    <row r="3322" spans="18:18" ht="14.25">
      <c r="R3322" s="20">
        <v>3295</v>
      </c>
    </row>
    <row r="3323" spans="18:18" ht="14.25">
      <c r="R3323" s="20">
        <v>3296</v>
      </c>
    </row>
    <row r="3324" spans="18:18" ht="14.25">
      <c r="R3324" s="20">
        <v>3297</v>
      </c>
    </row>
    <row r="3325" spans="18:18" ht="14.25">
      <c r="R3325" s="20">
        <v>3298</v>
      </c>
    </row>
    <row r="3326" spans="18:18" ht="14.25">
      <c r="R3326" s="20">
        <v>3299</v>
      </c>
    </row>
    <row r="3327" spans="18:18" ht="14.25">
      <c r="R3327" s="20">
        <v>3300</v>
      </c>
    </row>
    <row r="3328" spans="18:18" ht="14.25">
      <c r="R3328" s="20">
        <v>3301</v>
      </c>
    </row>
    <row r="3329" spans="18:18" ht="14.25">
      <c r="R3329" s="20">
        <v>3302</v>
      </c>
    </row>
    <row r="3330" spans="18:18" ht="14.25">
      <c r="R3330" s="20">
        <v>3303</v>
      </c>
    </row>
    <row r="3331" spans="18:18" ht="14.25">
      <c r="R3331" s="20">
        <v>3304</v>
      </c>
    </row>
    <row r="3332" spans="18:18" ht="14.25">
      <c r="R3332" s="20">
        <v>3305</v>
      </c>
    </row>
    <row r="3333" spans="18:18" ht="14.25">
      <c r="R3333" s="20">
        <v>3306</v>
      </c>
    </row>
    <row r="3334" spans="18:18" ht="14.25">
      <c r="R3334" s="20">
        <v>3307</v>
      </c>
    </row>
    <row r="3335" spans="18:18" ht="14.25">
      <c r="R3335" s="20">
        <v>3308</v>
      </c>
    </row>
    <row r="3336" spans="18:18" ht="14.25">
      <c r="R3336" s="20">
        <v>3309</v>
      </c>
    </row>
    <row r="3337" spans="18:18" ht="14.25">
      <c r="R3337" s="20">
        <v>3310</v>
      </c>
    </row>
    <row r="3338" spans="18:18" ht="14.25">
      <c r="R3338" s="20">
        <v>3311</v>
      </c>
    </row>
    <row r="3339" spans="18:18" ht="14.25">
      <c r="R3339" s="20">
        <v>3312</v>
      </c>
    </row>
    <row r="3340" spans="18:18" ht="14.25">
      <c r="R3340" s="20">
        <v>3313</v>
      </c>
    </row>
    <row r="3341" spans="18:18" ht="14.25">
      <c r="R3341" s="20">
        <v>3314</v>
      </c>
    </row>
    <row r="3342" spans="18:18" ht="14.25">
      <c r="R3342" s="20">
        <v>3315</v>
      </c>
    </row>
    <row r="3343" spans="18:18" ht="14.25">
      <c r="R3343" s="20">
        <v>3316</v>
      </c>
    </row>
    <row r="3344" spans="18:18" ht="14.25">
      <c r="R3344" s="20">
        <v>3317</v>
      </c>
    </row>
    <row r="3345" spans="18:18" ht="14.25">
      <c r="R3345" s="20">
        <v>3318</v>
      </c>
    </row>
    <row r="3346" spans="18:18" ht="14.25">
      <c r="R3346" s="20">
        <v>3319</v>
      </c>
    </row>
    <row r="3347" spans="18:18" ht="14.25">
      <c r="R3347" s="20">
        <v>3320</v>
      </c>
    </row>
    <row r="3348" spans="18:18" ht="14.25">
      <c r="R3348" s="20">
        <v>3321</v>
      </c>
    </row>
    <row r="3349" spans="18:18" ht="14.25">
      <c r="R3349" s="20">
        <v>3322</v>
      </c>
    </row>
    <row r="3350" spans="18:18" ht="14.25">
      <c r="R3350" s="20">
        <v>3323</v>
      </c>
    </row>
    <row r="3351" spans="18:18" ht="14.25">
      <c r="R3351" s="20">
        <v>3324</v>
      </c>
    </row>
    <row r="3352" spans="18:18" ht="14.25">
      <c r="R3352" s="20">
        <v>3325</v>
      </c>
    </row>
    <row r="3353" spans="18:18" ht="14.25">
      <c r="R3353" s="20">
        <v>3326</v>
      </c>
    </row>
    <row r="3354" spans="18:18" ht="14.25">
      <c r="R3354" s="20">
        <v>3327</v>
      </c>
    </row>
    <row r="3355" spans="18:18" ht="14.25">
      <c r="R3355" s="20">
        <v>3328</v>
      </c>
    </row>
    <row r="3356" spans="18:18" ht="14.25">
      <c r="R3356" s="20">
        <v>3329</v>
      </c>
    </row>
    <row r="3357" spans="18:18" ht="14.25">
      <c r="R3357" s="20">
        <v>3330</v>
      </c>
    </row>
    <row r="3358" spans="18:18" ht="14.25">
      <c r="R3358" s="20">
        <v>3331</v>
      </c>
    </row>
    <row r="3359" spans="18:18" ht="14.25">
      <c r="R3359" s="20">
        <v>3332</v>
      </c>
    </row>
    <row r="3360" spans="18:18" ht="14.25">
      <c r="R3360" s="20">
        <v>3333</v>
      </c>
    </row>
    <row r="3361" spans="18:18" ht="14.25">
      <c r="R3361" s="20">
        <v>3334</v>
      </c>
    </row>
    <row r="3362" spans="18:18" ht="14.25">
      <c r="R3362" s="20">
        <v>3335</v>
      </c>
    </row>
    <row r="3363" spans="18:18" ht="14.25">
      <c r="R3363" s="20">
        <v>3336</v>
      </c>
    </row>
    <row r="3364" spans="18:18" ht="14.25">
      <c r="R3364" s="20">
        <v>3337</v>
      </c>
    </row>
    <row r="3365" spans="18:18" ht="14.25">
      <c r="R3365" s="20">
        <v>3338</v>
      </c>
    </row>
    <row r="3366" spans="18:18" ht="14.25">
      <c r="R3366" s="20">
        <v>3339</v>
      </c>
    </row>
    <row r="3367" spans="18:18" ht="14.25">
      <c r="R3367" s="20">
        <v>3340</v>
      </c>
    </row>
    <row r="3368" spans="18:18" ht="14.25">
      <c r="R3368" s="20">
        <v>3341</v>
      </c>
    </row>
    <row r="3369" spans="18:18" ht="14.25">
      <c r="R3369" s="20">
        <v>3342</v>
      </c>
    </row>
    <row r="3370" spans="18:18" ht="14.25">
      <c r="R3370" s="20">
        <v>3343</v>
      </c>
    </row>
    <row r="3371" spans="18:18" ht="14.25">
      <c r="R3371" s="20">
        <v>3344</v>
      </c>
    </row>
    <row r="3372" spans="18:18" ht="14.25">
      <c r="R3372" s="20">
        <v>3345</v>
      </c>
    </row>
    <row r="3373" spans="18:18" ht="14.25">
      <c r="R3373" s="20">
        <v>3346</v>
      </c>
    </row>
    <row r="3374" spans="18:18" ht="14.25">
      <c r="R3374" s="20">
        <v>3347</v>
      </c>
    </row>
    <row r="3375" spans="18:18" ht="14.25">
      <c r="R3375" s="20">
        <v>3348</v>
      </c>
    </row>
    <row r="3376" spans="18:18" ht="14.25">
      <c r="R3376" s="20">
        <v>3349</v>
      </c>
    </row>
    <row r="3377" spans="18:18" ht="14.25">
      <c r="R3377" s="20">
        <v>3350</v>
      </c>
    </row>
    <row r="3378" spans="18:18" ht="14.25">
      <c r="R3378" s="20">
        <v>3351</v>
      </c>
    </row>
    <row r="3379" spans="18:18" ht="14.25">
      <c r="R3379" s="20">
        <v>3352</v>
      </c>
    </row>
    <row r="3380" spans="18:18" ht="14.25">
      <c r="R3380" s="20">
        <v>3353</v>
      </c>
    </row>
    <row r="3381" spans="18:18" ht="14.25">
      <c r="R3381" s="20">
        <v>3354</v>
      </c>
    </row>
    <row r="3382" spans="18:18" ht="14.25">
      <c r="R3382" s="20">
        <v>3355</v>
      </c>
    </row>
    <row r="3383" spans="18:18" ht="14.25">
      <c r="R3383" s="20">
        <v>3356</v>
      </c>
    </row>
    <row r="3384" spans="18:18" ht="14.25">
      <c r="R3384" s="20">
        <v>3357</v>
      </c>
    </row>
    <row r="3385" spans="18:18" ht="14.25">
      <c r="R3385" s="20">
        <v>3358</v>
      </c>
    </row>
    <row r="3386" spans="18:18" ht="14.25">
      <c r="R3386" s="20">
        <v>3359</v>
      </c>
    </row>
    <row r="3387" spans="18:18" ht="14.25">
      <c r="R3387" s="20">
        <v>3360</v>
      </c>
    </row>
    <row r="3388" spans="18:18" ht="14.25">
      <c r="R3388" s="20">
        <v>3361</v>
      </c>
    </row>
    <row r="3389" spans="18:18" ht="14.25">
      <c r="R3389" s="20">
        <v>3362</v>
      </c>
    </row>
    <row r="3390" spans="18:18" ht="14.25">
      <c r="R3390" s="20">
        <v>3363</v>
      </c>
    </row>
    <row r="3391" spans="18:18" ht="14.25">
      <c r="R3391" s="20">
        <v>3364</v>
      </c>
    </row>
    <row r="3392" spans="18:18" ht="14.25">
      <c r="R3392" s="20">
        <v>3365</v>
      </c>
    </row>
    <row r="3393" spans="18:18" ht="14.25">
      <c r="R3393" s="20">
        <v>3366</v>
      </c>
    </row>
    <row r="3394" spans="18:18" ht="14.25">
      <c r="R3394" s="20">
        <v>3367</v>
      </c>
    </row>
    <row r="3395" spans="18:18" ht="14.25">
      <c r="R3395" s="20">
        <v>3368</v>
      </c>
    </row>
    <row r="3396" spans="18:18" ht="14.25">
      <c r="R3396" s="20">
        <v>3369</v>
      </c>
    </row>
    <row r="3397" spans="18:18" ht="14.25">
      <c r="R3397" s="20">
        <v>3370</v>
      </c>
    </row>
    <row r="3398" spans="18:18" ht="14.25">
      <c r="R3398" s="20">
        <v>3371</v>
      </c>
    </row>
    <row r="3399" spans="18:18" ht="14.25">
      <c r="R3399" s="20">
        <v>3372</v>
      </c>
    </row>
    <row r="3400" spans="18:18" ht="14.25">
      <c r="R3400" s="20">
        <v>3373</v>
      </c>
    </row>
    <row r="3401" spans="18:18" ht="14.25">
      <c r="R3401" s="20">
        <v>3374</v>
      </c>
    </row>
    <row r="3402" spans="18:18" ht="14.25">
      <c r="R3402" s="20">
        <v>3375</v>
      </c>
    </row>
    <row r="3403" spans="18:18" ht="14.25">
      <c r="R3403" s="20">
        <v>3376</v>
      </c>
    </row>
    <row r="3404" spans="18:18" ht="14.25">
      <c r="R3404" s="20">
        <v>3377</v>
      </c>
    </row>
    <row r="3405" spans="18:18" ht="14.25">
      <c r="R3405" s="20">
        <v>3378</v>
      </c>
    </row>
    <row r="3406" spans="18:18" ht="14.25">
      <c r="R3406" s="20">
        <v>3379</v>
      </c>
    </row>
    <row r="3407" spans="18:18" ht="14.25">
      <c r="R3407" s="20">
        <v>3380</v>
      </c>
    </row>
    <row r="3408" spans="18:18" ht="14.25">
      <c r="R3408" s="20">
        <v>3381</v>
      </c>
    </row>
    <row r="3409" spans="18:18" ht="14.25">
      <c r="R3409" s="20">
        <v>3382</v>
      </c>
    </row>
    <row r="3410" spans="18:18" ht="14.25">
      <c r="R3410" s="20">
        <v>3383</v>
      </c>
    </row>
    <row r="3411" spans="18:18" ht="14.25">
      <c r="R3411" s="20">
        <v>3384</v>
      </c>
    </row>
    <row r="3412" spans="18:18" ht="14.25">
      <c r="R3412" s="20">
        <v>3385</v>
      </c>
    </row>
    <row r="3413" spans="18:18" ht="14.25">
      <c r="R3413" s="20">
        <v>3386</v>
      </c>
    </row>
    <row r="3414" spans="18:18" ht="14.25">
      <c r="R3414" s="20">
        <v>3387</v>
      </c>
    </row>
    <row r="3415" spans="18:18" ht="14.25">
      <c r="R3415" s="20">
        <v>3388</v>
      </c>
    </row>
    <row r="3416" spans="18:18" ht="14.25">
      <c r="R3416" s="20">
        <v>3389</v>
      </c>
    </row>
    <row r="3417" spans="18:18" ht="14.25">
      <c r="R3417" s="20">
        <v>3390</v>
      </c>
    </row>
    <row r="3418" spans="18:18" ht="14.25">
      <c r="R3418" s="20">
        <v>3391</v>
      </c>
    </row>
    <row r="3419" spans="18:18" ht="14.25">
      <c r="R3419" s="20">
        <v>3392</v>
      </c>
    </row>
    <row r="3420" spans="18:18" ht="14.25">
      <c r="R3420" s="20">
        <v>3393</v>
      </c>
    </row>
    <row r="3421" spans="18:18" ht="14.25">
      <c r="R3421" s="20">
        <v>3394</v>
      </c>
    </row>
    <row r="3422" spans="18:18" ht="14.25">
      <c r="R3422" s="20">
        <v>3395</v>
      </c>
    </row>
    <row r="3423" spans="18:18" ht="14.25">
      <c r="R3423" s="20">
        <v>3396</v>
      </c>
    </row>
    <row r="3424" spans="18:18" ht="14.25">
      <c r="R3424" s="20">
        <v>3397</v>
      </c>
    </row>
    <row r="3425" spans="18:18" ht="14.25">
      <c r="R3425" s="20">
        <v>3398</v>
      </c>
    </row>
    <row r="3426" spans="18:18" ht="14.25">
      <c r="R3426" s="20">
        <v>3399</v>
      </c>
    </row>
    <row r="3427" spans="18:18" ht="14.25">
      <c r="R3427" s="20">
        <v>3400</v>
      </c>
    </row>
    <row r="3428" spans="18:18" ht="14.25">
      <c r="R3428" s="20">
        <v>3401</v>
      </c>
    </row>
    <row r="3429" spans="18:18" ht="14.25">
      <c r="R3429" s="20">
        <v>3402</v>
      </c>
    </row>
    <row r="3430" spans="18:18" ht="14.25">
      <c r="R3430" s="20">
        <v>3403</v>
      </c>
    </row>
    <row r="3431" spans="18:18" ht="14.25">
      <c r="R3431" s="20">
        <v>3404</v>
      </c>
    </row>
    <row r="3432" spans="18:18" ht="14.25">
      <c r="R3432" s="20">
        <v>3405</v>
      </c>
    </row>
    <row r="3433" spans="18:18" ht="14.25">
      <c r="R3433" s="20">
        <v>3406</v>
      </c>
    </row>
    <row r="3434" spans="18:18" ht="14.25">
      <c r="R3434" s="20">
        <v>3407</v>
      </c>
    </row>
    <row r="3435" spans="18:18" ht="14.25">
      <c r="R3435" s="20">
        <v>3408</v>
      </c>
    </row>
    <row r="3436" spans="18:18" ht="14.25">
      <c r="R3436" s="20">
        <v>3409</v>
      </c>
    </row>
    <row r="3437" spans="18:18" ht="14.25">
      <c r="R3437" s="20">
        <v>3410</v>
      </c>
    </row>
    <row r="3438" spans="18:18" ht="14.25">
      <c r="R3438" s="20">
        <v>3411</v>
      </c>
    </row>
    <row r="3439" spans="18:18" ht="14.25">
      <c r="R3439" s="20">
        <v>3412</v>
      </c>
    </row>
    <row r="3440" spans="18:18" ht="14.25">
      <c r="R3440" s="20">
        <v>3413</v>
      </c>
    </row>
    <row r="3441" spans="18:18" ht="14.25">
      <c r="R3441" s="20">
        <v>3414</v>
      </c>
    </row>
    <row r="3442" spans="18:18" ht="14.25">
      <c r="R3442" s="20">
        <v>3415</v>
      </c>
    </row>
    <row r="3443" spans="18:18" ht="14.25">
      <c r="R3443" s="20">
        <v>3416</v>
      </c>
    </row>
    <row r="3444" spans="18:18" ht="14.25">
      <c r="R3444" s="20">
        <v>3417</v>
      </c>
    </row>
    <row r="3445" spans="18:18" ht="14.25">
      <c r="R3445" s="20">
        <v>3418</v>
      </c>
    </row>
    <row r="3446" spans="18:18" ht="14.25">
      <c r="R3446" s="20">
        <v>3419</v>
      </c>
    </row>
    <row r="3447" spans="18:18" ht="14.25">
      <c r="R3447" s="20">
        <v>3420</v>
      </c>
    </row>
    <row r="3448" spans="18:18" ht="14.25">
      <c r="R3448" s="20">
        <v>3421</v>
      </c>
    </row>
    <row r="3449" spans="18:18" ht="14.25">
      <c r="R3449" s="20">
        <v>3422</v>
      </c>
    </row>
    <row r="3450" spans="18:18" ht="14.25">
      <c r="R3450" s="20">
        <v>3423</v>
      </c>
    </row>
    <row r="3451" spans="18:18" ht="14.25">
      <c r="R3451" s="20">
        <v>3424</v>
      </c>
    </row>
    <row r="3452" spans="18:18" ht="14.25">
      <c r="R3452" s="20">
        <v>3425</v>
      </c>
    </row>
    <row r="3453" spans="18:18" ht="14.25">
      <c r="R3453" s="20">
        <v>3426</v>
      </c>
    </row>
    <row r="3454" spans="18:18" ht="14.25">
      <c r="R3454" s="20">
        <v>3427</v>
      </c>
    </row>
    <row r="3455" spans="18:18" ht="14.25">
      <c r="R3455" s="20">
        <v>3428</v>
      </c>
    </row>
    <row r="3456" spans="18:18" ht="14.25">
      <c r="R3456" s="20">
        <v>3429</v>
      </c>
    </row>
    <row r="3457" spans="18:18" ht="14.25">
      <c r="R3457" s="20">
        <v>3430</v>
      </c>
    </row>
    <row r="3458" spans="18:18" ht="14.25">
      <c r="R3458" s="20">
        <v>3431</v>
      </c>
    </row>
    <row r="3459" spans="18:18" ht="14.25">
      <c r="R3459" s="20">
        <v>3432</v>
      </c>
    </row>
    <row r="3460" spans="18:18" ht="14.25">
      <c r="R3460" s="20">
        <v>3433</v>
      </c>
    </row>
    <row r="3461" spans="18:18" ht="14.25">
      <c r="R3461" s="20">
        <v>3434</v>
      </c>
    </row>
    <row r="3462" spans="18:18" ht="14.25">
      <c r="R3462" s="20">
        <v>3435</v>
      </c>
    </row>
    <row r="3463" spans="18:18" ht="14.25">
      <c r="R3463" s="20">
        <v>3436</v>
      </c>
    </row>
    <row r="3464" spans="18:18" ht="14.25">
      <c r="R3464" s="20">
        <v>3437</v>
      </c>
    </row>
    <row r="3465" spans="18:18" ht="14.25">
      <c r="R3465" s="20">
        <v>3438</v>
      </c>
    </row>
    <row r="3466" spans="18:18" ht="14.25">
      <c r="R3466" s="20">
        <v>3439</v>
      </c>
    </row>
    <row r="3467" spans="18:18" ht="14.25">
      <c r="R3467" s="20">
        <v>3440</v>
      </c>
    </row>
    <row r="3468" spans="18:18" ht="14.25">
      <c r="R3468" s="20">
        <v>3441</v>
      </c>
    </row>
    <row r="3469" spans="18:18" ht="14.25">
      <c r="R3469" s="20">
        <v>3442</v>
      </c>
    </row>
    <row r="3470" spans="18:18" ht="14.25">
      <c r="R3470" s="20">
        <v>3443</v>
      </c>
    </row>
    <row r="3471" spans="18:18" ht="14.25">
      <c r="R3471" s="20">
        <v>3444</v>
      </c>
    </row>
    <row r="3472" spans="18:18" ht="14.25">
      <c r="R3472" s="20">
        <v>3445</v>
      </c>
    </row>
    <row r="3473" spans="18:18" ht="14.25">
      <c r="R3473" s="20">
        <v>3446</v>
      </c>
    </row>
    <row r="3474" spans="18:18" ht="14.25">
      <c r="R3474" s="20">
        <v>3447</v>
      </c>
    </row>
    <row r="3475" spans="18:18" ht="14.25">
      <c r="R3475" s="20">
        <v>3448</v>
      </c>
    </row>
    <row r="3476" spans="18:18" ht="14.25">
      <c r="R3476" s="20">
        <v>3449</v>
      </c>
    </row>
    <row r="3477" spans="18:18" ht="14.25">
      <c r="R3477" s="20">
        <v>3450</v>
      </c>
    </row>
    <row r="3478" spans="18:18" ht="14.25">
      <c r="R3478" s="20">
        <v>3451</v>
      </c>
    </row>
    <row r="3479" spans="18:18" ht="14.25">
      <c r="R3479" s="20">
        <v>3452</v>
      </c>
    </row>
    <row r="3480" spans="18:18" ht="14.25">
      <c r="R3480" s="20">
        <v>3453</v>
      </c>
    </row>
    <row r="3481" spans="18:18" ht="14.25">
      <c r="R3481" s="20">
        <v>3454</v>
      </c>
    </row>
    <row r="3482" spans="18:18" ht="14.25">
      <c r="R3482" s="20">
        <v>3455</v>
      </c>
    </row>
    <row r="3483" spans="18:18" ht="14.25">
      <c r="R3483" s="20">
        <v>3456</v>
      </c>
    </row>
    <row r="3484" spans="18:18" ht="14.25">
      <c r="R3484" s="20">
        <v>3457</v>
      </c>
    </row>
    <row r="3485" spans="18:18" ht="14.25">
      <c r="R3485" s="20">
        <v>3458</v>
      </c>
    </row>
    <row r="3486" spans="18:18" ht="14.25">
      <c r="R3486" s="20">
        <v>3459</v>
      </c>
    </row>
    <row r="3487" spans="18:18" ht="14.25">
      <c r="R3487" s="20">
        <v>3460</v>
      </c>
    </row>
    <row r="3488" spans="18:18" ht="14.25">
      <c r="R3488" s="20">
        <v>3461</v>
      </c>
    </row>
    <row r="3489" spans="18:18" ht="14.25">
      <c r="R3489" s="20">
        <v>3462</v>
      </c>
    </row>
    <row r="3490" spans="18:18" ht="14.25">
      <c r="R3490" s="20">
        <v>3463</v>
      </c>
    </row>
    <row r="3491" spans="18:18" ht="14.25">
      <c r="R3491" s="20">
        <v>3464</v>
      </c>
    </row>
    <row r="3492" spans="18:18" ht="14.25">
      <c r="R3492" s="20">
        <v>3465</v>
      </c>
    </row>
    <row r="3493" spans="18:18" ht="14.25">
      <c r="R3493" s="20">
        <v>3466</v>
      </c>
    </row>
    <row r="3494" spans="18:18" ht="14.25">
      <c r="R3494" s="20">
        <v>3467</v>
      </c>
    </row>
    <row r="3495" spans="18:18" ht="14.25">
      <c r="R3495" s="20">
        <v>3468</v>
      </c>
    </row>
    <row r="3496" spans="18:18" ht="14.25">
      <c r="R3496" s="20">
        <v>3469</v>
      </c>
    </row>
    <row r="3497" spans="18:18" ht="14.25">
      <c r="R3497" s="20">
        <v>3470</v>
      </c>
    </row>
    <row r="3498" spans="18:18" ht="14.25">
      <c r="R3498" s="20">
        <v>3471</v>
      </c>
    </row>
    <row r="3499" spans="18:18" ht="14.25">
      <c r="R3499" s="20">
        <v>3472</v>
      </c>
    </row>
    <row r="3500" spans="18:18" ht="14.25">
      <c r="R3500" s="20">
        <v>3473</v>
      </c>
    </row>
    <row r="3501" spans="18:18" ht="14.25">
      <c r="R3501" s="20">
        <v>3474</v>
      </c>
    </row>
    <row r="3502" spans="18:18" ht="14.25">
      <c r="R3502" s="20">
        <v>3475</v>
      </c>
    </row>
    <row r="3503" spans="18:18" ht="14.25">
      <c r="R3503" s="20">
        <v>3476</v>
      </c>
    </row>
    <row r="3504" spans="18:18" ht="14.25">
      <c r="R3504" s="20">
        <v>3477</v>
      </c>
    </row>
    <row r="3505" spans="18:18" ht="14.25">
      <c r="R3505" s="20">
        <v>3478</v>
      </c>
    </row>
    <row r="3506" spans="18:18" ht="14.25">
      <c r="R3506" s="20">
        <v>3479</v>
      </c>
    </row>
    <row r="3507" spans="18:18" ht="14.25">
      <c r="R3507" s="20">
        <v>3480</v>
      </c>
    </row>
    <row r="3508" spans="18:18" ht="14.25">
      <c r="R3508" s="20">
        <v>3481</v>
      </c>
    </row>
    <row r="3509" spans="18:18" ht="14.25">
      <c r="R3509" s="20">
        <v>3482</v>
      </c>
    </row>
    <row r="3510" spans="18:18" ht="14.25">
      <c r="R3510" s="20">
        <v>3483</v>
      </c>
    </row>
    <row r="3511" spans="18:18" ht="14.25">
      <c r="R3511" s="20">
        <v>3484</v>
      </c>
    </row>
    <row r="3512" spans="18:18" ht="14.25">
      <c r="R3512" s="20">
        <v>3485</v>
      </c>
    </row>
    <row r="3513" spans="18:18" ht="14.25">
      <c r="R3513" s="20">
        <v>3486</v>
      </c>
    </row>
    <row r="3514" spans="18:18" ht="14.25">
      <c r="R3514" s="20">
        <v>3487</v>
      </c>
    </row>
    <row r="3515" spans="18:18" ht="14.25">
      <c r="R3515" s="20">
        <v>3488</v>
      </c>
    </row>
    <row r="3516" spans="18:18" ht="14.25">
      <c r="R3516" s="20">
        <v>3489</v>
      </c>
    </row>
    <row r="3517" spans="18:18" ht="14.25">
      <c r="R3517" s="20">
        <v>3490</v>
      </c>
    </row>
    <row r="3518" spans="18:18" ht="14.25">
      <c r="R3518" s="20">
        <v>3491</v>
      </c>
    </row>
    <row r="3519" spans="18:18" ht="14.25">
      <c r="R3519" s="20">
        <v>3492</v>
      </c>
    </row>
    <row r="3520" spans="18:18" ht="14.25">
      <c r="R3520" s="20">
        <v>3493</v>
      </c>
    </row>
    <row r="3521" spans="18:18" ht="14.25">
      <c r="R3521" s="20">
        <v>3494</v>
      </c>
    </row>
    <row r="3522" spans="18:18" ht="14.25">
      <c r="R3522" s="20">
        <v>3495</v>
      </c>
    </row>
    <row r="3523" spans="18:18" ht="14.25">
      <c r="R3523" s="20">
        <v>3496</v>
      </c>
    </row>
    <row r="3524" spans="18:18" ht="14.25">
      <c r="R3524" s="20">
        <v>3497</v>
      </c>
    </row>
    <row r="3525" spans="18:18" ht="14.25">
      <c r="R3525" s="20">
        <v>3498</v>
      </c>
    </row>
    <row r="3526" spans="18:18" ht="14.25">
      <c r="R3526" s="20">
        <v>3499</v>
      </c>
    </row>
    <row r="3527" spans="18:18" ht="14.25">
      <c r="R3527" s="20">
        <v>3500</v>
      </c>
    </row>
    <row r="3528" spans="18:18" ht="14.25">
      <c r="R3528" s="20">
        <v>3501</v>
      </c>
    </row>
    <row r="3529" spans="18:18" ht="14.25">
      <c r="R3529" s="20">
        <v>3502</v>
      </c>
    </row>
    <row r="3530" spans="18:18" ht="14.25">
      <c r="R3530" s="20">
        <v>3503</v>
      </c>
    </row>
    <row r="3531" spans="18:18" ht="14.25">
      <c r="R3531" s="20">
        <v>3504</v>
      </c>
    </row>
    <row r="3532" spans="18:18" ht="14.25">
      <c r="R3532" s="20">
        <v>3505</v>
      </c>
    </row>
    <row r="3533" spans="18:18" ht="14.25">
      <c r="R3533" s="20">
        <v>3506</v>
      </c>
    </row>
    <row r="3534" spans="18:18" ht="14.25">
      <c r="R3534" s="20">
        <v>3507</v>
      </c>
    </row>
    <row r="3535" spans="18:18" ht="14.25">
      <c r="R3535" s="20">
        <v>3508</v>
      </c>
    </row>
    <row r="3536" spans="18:18" ht="14.25">
      <c r="R3536" s="20">
        <v>3509</v>
      </c>
    </row>
    <row r="3537" spans="18:18" ht="14.25">
      <c r="R3537" s="20">
        <v>3510</v>
      </c>
    </row>
    <row r="3538" spans="18:18" ht="14.25">
      <c r="R3538" s="20">
        <v>3511</v>
      </c>
    </row>
    <row r="3539" spans="18:18" ht="14.25">
      <c r="R3539" s="20">
        <v>3512</v>
      </c>
    </row>
    <row r="3540" spans="18:18" ht="14.25">
      <c r="R3540" s="20">
        <v>3513</v>
      </c>
    </row>
    <row r="3541" spans="18:18" ht="14.25">
      <c r="R3541" s="20">
        <v>3514</v>
      </c>
    </row>
    <row r="3542" spans="18:18" ht="14.25">
      <c r="R3542" s="20">
        <v>3515</v>
      </c>
    </row>
    <row r="3543" spans="18:18" ht="14.25">
      <c r="R3543" s="20">
        <v>3516</v>
      </c>
    </row>
    <row r="3544" spans="18:18" ht="14.25">
      <c r="R3544" s="20">
        <v>3517</v>
      </c>
    </row>
    <row r="3545" spans="18:18" ht="14.25">
      <c r="R3545" s="20">
        <v>3518</v>
      </c>
    </row>
    <row r="3546" spans="18:18" ht="14.25">
      <c r="R3546" s="20">
        <v>3519</v>
      </c>
    </row>
    <row r="3547" spans="18:18" ht="14.25">
      <c r="R3547" s="20">
        <v>3520</v>
      </c>
    </row>
    <row r="3548" spans="18:18" ht="14.25">
      <c r="R3548" s="20">
        <v>3521</v>
      </c>
    </row>
    <row r="3549" spans="18:18" ht="14.25">
      <c r="R3549" s="20">
        <v>3522</v>
      </c>
    </row>
    <row r="3550" spans="18:18" ht="14.25">
      <c r="R3550" s="20">
        <v>3523</v>
      </c>
    </row>
    <row r="3551" spans="18:18" ht="14.25">
      <c r="R3551" s="20">
        <v>3524</v>
      </c>
    </row>
    <row r="3552" spans="18:18" ht="14.25">
      <c r="R3552" s="20">
        <v>3525</v>
      </c>
    </row>
    <row r="3553" spans="18:18" ht="14.25">
      <c r="R3553" s="20">
        <v>3526</v>
      </c>
    </row>
    <row r="3554" spans="18:18" ht="14.25">
      <c r="R3554" s="20">
        <v>3527</v>
      </c>
    </row>
    <row r="3555" spans="18:18" ht="14.25">
      <c r="R3555" s="20">
        <v>3528</v>
      </c>
    </row>
    <row r="3556" spans="18:18" ht="14.25">
      <c r="R3556" s="20">
        <v>3529</v>
      </c>
    </row>
    <row r="3557" spans="18:18" ht="14.25">
      <c r="R3557" s="20">
        <v>3530</v>
      </c>
    </row>
    <row r="3558" spans="18:18" ht="14.25">
      <c r="R3558" s="20">
        <v>3531</v>
      </c>
    </row>
    <row r="3559" spans="18:18" ht="14.25">
      <c r="R3559" s="20">
        <v>3532</v>
      </c>
    </row>
    <row r="3560" spans="18:18" ht="14.25">
      <c r="R3560" s="20">
        <v>3533</v>
      </c>
    </row>
    <row r="3561" spans="18:18" ht="14.25">
      <c r="R3561" s="20">
        <v>3534</v>
      </c>
    </row>
    <row r="3562" spans="18:18" ht="14.25">
      <c r="R3562" s="20">
        <v>3535</v>
      </c>
    </row>
    <row r="3563" spans="18:18" ht="14.25">
      <c r="R3563" s="20">
        <v>3536</v>
      </c>
    </row>
    <row r="3564" spans="18:18" ht="14.25">
      <c r="R3564" s="20">
        <v>3537</v>
      </c>
    </row>
    <row r="3565" spans="18:18" ht="14.25">
      <c r="R3565" s="20">
        <v>3538</v>
      </c>
    </row>
    <row r="3566" spans="18:18" ht="14.25">
      <c r="R3566" s="20">
        <v>3539</v>
      </c>
    </row>
    <row r="3567" spans="18:18" ht="14.25">
      <c r="R3567" s="20">
        <v>3540</v>
      </c>
    </row>
    <row r="3568" spans="18:18" ht="14.25">
      <c r="R3568" s="20">
        <v>3541</v>
      </c>
    </row>
    <row r="3569" spans="18:18" ht="14.25">
      <c r="R3569" s="20">
        <v>3542</v>
      </c>
    </row>
    <row r="3570" spans="18:18" ht="14.25">
      <c r="R3570" s="20">
        <v>3543</v>
      </c>
    </row>
    <row r="3571" spans="18:18" ht="14.25">
      <c r="R3571" s="20">
        <v>3544</v>
      </c>
    </row>
    <row r="3572" spans="18:18" ht="14.25">
      <c r="R3572" s="20">
        <v>3545</v>
      </c>
    </row>
    <row r="3573" spans="18:18" ht="14.25">
      <c r="R3573" s="20">
        <v>3546</v>
      </c>
    </row>
    <row r="3574" spans="18:18" ht="14.25">
      <c r="R3574" s="20">
        <v>3547</v>
      </c>
    </row>
    <row r="3575" spans="18:18" ht="14.25">
      <c r="R3575" s="20">
        <v>3548</v>
      </c>
    </row>
    <row r="3576" spans="18:18" ht="14.25">
      <c r="R3576" s="20">
        <v>3549</v>
      </c>
    </row>
    <row r="3577" spans="18:18" ht="14.25">
      <c r="R3577" s="20">
        <v>3550</v>
      </c>
    </row>
    <row r="3578" spans="18:18" ht="14.25">
      <c r="R3578" s="20">
        <v>3551</v>
      </c>
    </row>
    <row r="3579" spans="18:18" ht="14.25">
      <c r="R3579" s="20">
        <v>3552</v>
      </c>
    </row>
    <row r="3580" spans="18:18" ht="14.25">
      <c r="R3580" s="20">
        <v>3553</v>
      </c>
    </row>
    <row r="3581" spans="18:18" ht="14.25">
      <c r="R3581" s="20">
        <v>3554</v>
      </c>
    </row>
    <row r="3582" spans="18:18" ht="14.25">
      <c r="R3582" s="20">
        <v>3555</v>
      </c>
    </row>
    <row r="3583" spans="18:18" ht="14.25">
      <c r="R3583" s="20">
        <v>3556</v>
      </c>
    </row>
    <row r="3584" spans="18:18" ht="14.25">
      <c r="R3584" s="20">
        <v>3557</v>
      </c>
    </row>
    <row r="3585" spans="18:18" ht="14.25">
      <c r="R3585" s="20">
        <v>3558</v>
      </c>
    </row>
    <row r="3586" spans="18:18" ht="14.25">
      <c r="R3586" s="20">
        <v>3559</v>
      </c>
    </row>
    <row r="3587" spans="18:18" ht="14.25">
      <c r="R3587" s="20">
        <v>3560</v>
      </c>
    </row>
    <row r="3588" spans="18:18" ht="14.25">
      <c r="R3588" s="20">
        <v>3561</v>
      </c>
    </row>
    <row r="3589" spans="18:18" ht="14.25">
      <c r="R3589" s="20">
        <v>3562</v>
      </c>
    </row>
    <row r="3590" spans="18:18" ht="14.25">
      <c r="R3590" s="20">
        <v>3563</v>
      </c>
    </row>
    <row r="3591" spans="18:18" ht="14.25">
      <c r="R3591" s="20">
        <v>3564</v>
      </c>
    </row>
    <row r="3592" spans="18:18" ht="14.25">
      <c r="R3592" s="20">
        <v>3565</v>
      </c>
    </row>
    <row r="3593" spans="18:18" ht="14.25">
      <c r="R3593" s="20">
        <v>3566</v>
      </c>
    </row>
    <row r="3594" spans="18:18" ht="14.25">
      <c r="R3594" s="20">
        <v>3567</v>
      </c>
    </row>
    <row r="3595" spans="18:18" ht="14.25">
      <c r="R3595" s="20">
        <v>3568</v>
      </c>
    </row>
    <row r="3596" spans="18:18" ht="14.25">
      <c r="R3596" s="20">
        <v>3569</v>
      </c>
    </row>
    <row r="3597" spans="18:18" ht="14.25">
      <c r="R3597" s="20">
        <v>3570</v>
      </c>
    </row>
    <row r="3598" spans="18:18" ht="14.25">
      <c r="R3598" s="20">
        <v>3571</v>
      </c>
    </row>
    <row r="3599" spans="18:18" ht="14.25">
      <c r="R3599" s="20">
        <v>3572</v>
      </c>
    </row>
    <row r="3600" spans="18:18" ht="14.25">
      <c r="R3600" s="20">
        <v>3573</v>
      </c>
    </row>
    <row r="3601" spans="18:18" ht="14.25">
      <c r="R3601" s="20">
        <v>3574</v>
      </c>
    </row>
    <row r="3602" spans="18:18" ht="14.25">
      <c r="R3602" s="20">
        <v>3575</v>
      </c>
    </row>
    <row r="3603" spans="18:18" ht="14.25">
      <c r="R3603" s="20">
        <v>3576</v>
      </c>
    </row>
    <row r="3604" spans="18:18" ht="14.25">
      <c r="R3604" s="20">
        <v>3577</v>
      </c>
    </row>
    <row r="3605" spans="18:18" ht="14.25">
      <c r="R3605" s="20">
        <v>3578</v>
      </c>
    </row>
    <row r="3606" spans="18:18" ht="14.25">
      <c r="R3606" s="20">
        <v>3579</v>
      </c>
    </row>
    <row r="3607" spans="18:18" ht="14.25">
      <c r="R3607" s="20">
        <v>3580</v>
      </c>
    </row>
    <row r="3608" spans="18:18" ht="14.25">
      <c r="R3608" s="20">
        <v>3581</v>
      </c>
    </row>
    <row r="3609" spans="18:18" ht="14.25">
      <c r="R3609" s="20">
        <v>3582</v>
      </c>
    </row>
    <row r="3610" spans="18:18" ht="14.25">
      <c r="R3610" s="20">
        <v>3583</v>
      </c>
    </row>
    <row r="3611" spans="18:18" ht="14.25">
      <c r="R3611" s="20">
        <v>3584</v>
      </c>
    </row>
    <row r="3612" spans="18:18" ht="14.25">
      <c r="R3612" s="20">
        <v>3585</v>
      </c>
    </row>
    <row r="3613" spans="18:18" ht="14.25">
      <c r="R3613" s="20">
        <v>3586</v>
      </c>
    </row>
    <row r="3614" spans="18:18" ht="14.25">
      <c r="R3614" s="20">
        <v>3587</v>
      </c>
    </row>
    <row r="3615" spans="18:18" ht="14.25">
      <c r="R3615" s="20">
        <v>3588</v>
      </c>
    </row>
    <row r="3616" spans="18:18" ht="14.25">
      <c r="R3616" s="20">
        <v>3589</v>
      </c>
    </row>
    <row r="3617" spans="18:18" ht="14.25">
      <c r="R3617" s="20">
        <v>3590</v>
      </c>
    </row>
    <row r="3618" spans="18:18" ht="14.25">
      <c r="R3618" s="20">
        <v>3591</v>
      </c>
    </row>
    <row r="3619" spans="18:18" ht="14.25">
      <c r="R3619" s="20">
        <v>3592</v>
      </c>
    </row>
    <row r="3620" spans="18:18" ht="14.25">
      <c r="R3620" s="20">
        <v>3593</v>
      </c>
    </row>
    <row r="3621" spans="18:18" ht="14.25">
      <c r="R3621" s="20">
        <v>3594</v>
      </c>
    </row>
    <row r="3622" spans="18:18" ht="14.25">
      <c r="R3622" s="20">
        <v>3595</v>
      </c>
    </row>
    <row r="3623" spans="18:18" ht="14.25">
      <c r="R3623" s="20">
        <v>3596</v>
      </c>
    </row>
    <row r="3624" spans="18:18" ht="14.25">
      <c r="R3624" s="20">
        <v>3597</v>
      </c>
    </row>
    <row r="3625" spans="18:18" ht="14.25">
      <c r="R3625" s="20">
        <v>3598</v>
      </c>
    </row>
    <row r="3626" spans="18:18" ht="14.25">
      <c r="R3626" s="20">
        <v>3599</v>
      </c>
    </row>
    <row r="3627" spans="18:18" ht="14.25">
      <c r="R3627" s="20">
        <v>3600</v>
      </c>
    </row>
    <row r="3628" spans="18:18" ht="14.25">
      <c r="R3628" s="20">
        <v>3601</v>
      </c>
    </row>
    <row r="3629" spans="18:18" ht="14.25">
      <c r="R3629" s="20">
        <v>3602</v>
      </c>
    </row>
    <row r="3630" spans="18:18" ht="14.25">
      <c r="R3630" s="20">
        <v>3603</v>
      </c>
    </row>
    <row r="3631" spans="18:18" ht="14.25">
      <c r="R3631" s="20">
        <v>3604</v>
      </c>
    </row>
    <row r="3632" spans="18:18" ht="14.25">
      <c r="R3632" s="20">
        <v>3605</v>
      </c>
    </row>
    <row r="3633" spans="18:18" ht="14.25">
      <c r="R3633" s="20">
        <v>3606</v>
      </c>
    </row>
    <row r="3634" spans="18:18" ht="14.25">
      <c r="R3634" s="20">
        <v>3607</v>
      </c>
    </row>
    <row r="3635" spans="18:18" ht="14.25">
      <c r="R3635" s="20">
        <v>3608</v>
      </c>
    </row>
    <row r="3636" spans="18:18" ht="14.25">
      <c r="R3636" s="20">
        <v>3609</v>
      </c>
    </row>
    <row r="3637" spans="18:18" ht="14.25">
      <c r="R3637" s="20">
        <v>3610</v>
      </c>
    </row>
    <row r="3638" spans="18:18" ht="14.25">
      <c r="R3638" s="20">
        <v>3611</v>
      </c>
    </row>
    <row r="3639" spans="18:18" ht="14.25">
      <c r="R3639" s="20">
        <v>3612</v>
      </c>
    </row>
    <row r="3640" spans="18:18" ht="14.25">
      <c r="R3640" s="20">
        <v>3613</v>
      </c>
    </row>
    <row r="3641" spans="18:18" ht="14.25">
      <c r="R3641" s="20">
        <v>3614</v>
      </c>
    </row>
    <row r="3642" spans="18:18" ht="14.25">
      <c r="R3642" s="20">
        <v>3615</v>
      </c>
    </row>
    <row r="3643" spans="18:18" ht="14.25">
      <c r="R3643" s="20">
        <v>3616</v>
      </c>
    </row>
    <row r="3644" spans="18:18" ht="14.25">
      <c r="R3644" s="20">
        <v>3617</v>
      </c>
    </row>
    <row r="3645" spans="18:18" ht="14.25">
      <c r="R3645" s="20">
        <v>3618</v>
      </c>
    </row>
    <row r="3646" spans="18:18" ht="14.25">
      <c r="R3646" s="20">
        <v>3619</v>
      </c>
    </row>
    <row r="3647" spans="18:18" ht="14.25">
      <c r="R3647" s="20">
        <v>3620</v>
      </c>
    </row>
    <row r="3648" spans="18:18" ht="14.25">
      <c r="R3648" s="20">
        <v>3621</v>
      </c>
    </row>
    <row r="3649" spans="18:18" ht="14.25">
      <c r="R3649" s="20">
        <v>3622</v>
      </c>
    </row>
    <row r="3650" spans="18:18" ht="14.25">
      <c r="R3650" s="20">
        <v>3623</v>
      </c>
    </row>
    <row r="3651" spans="18:18" ht="14.25">
      <c r="R3651" s="20">
        <v>3624</v>
      </c>
    </row>
    <row r="3652" spans="18:18" ht="14.25">
      <c r="R3652" s="20">
        <v>3625</v>
      </c>
    </row>
    <row r="3653" spans="18:18" ht="14.25">
      <c r="R3653" s="20">
        <v>3626</v>
      </c>
    </row>
    <row r="3654" spans="18:18" ht="14.25">
      <c r="R3654" s="20">
        <v>3627</v>
      </c>
    </row>
    <row r="3655" spans="18:18" ht="14.25">
      <c r="R3655" s="20">
        <v>3628</v>
      </c>
    </row>
    <row r="3656" spans="18:18" ht="14.25">
      <c r="R3656" s="20">
        <v>3629</v>
      </c>
    </row>
    <row r="3657" spans="18:18" ht="14.25">
      <c r="R3657" s="20">
        <v>3630</v>
      </c>
    </row>
    <row r="3658" spans="18:18" ht="14.25">
      <c r="R3658" s="20">
        <v>3631</v>
      </c>
    </row>
    <row r="3659" spans="18:18" ht="14.25">
      <c r="R3659" s="20">
        <v>3632</v>
      </c>
    </row>
    <row r="3660" spans="18:18" ht="14.25">
      <c r="R3660" s="20">
        <v>3633</v>
      </c>
    </row>
    <row r="3661" spans="18:18" ht="14.25">
      <c r="R3661" s="20">
        <v>3634</v>
      </c>
    </row>
    <row r="3662" spans="18:18" ht="14.25">
      <c r="R3662" s="20">
        <v>3635</v>
      </c>
    </row>
    <row r="3663" spans="18:18" ht="14.25">
      <c r="R3663" s="20">
        <v>3636</v>
      </c>
    </row>
    <row r="3664" spans="18:18" ht="14.25">
      <c r="R3664" s="20">
        <v>3637</v>
      </c>
    </row>
    <row r="3665" spans="18:18" ht="14.25">
      <c r="R3665" s="20">
        <v>3638</v>
      </c>
    </row>
    <row r="3666" spans="18:18" ht="14.25">
      <c r="R3666" s="20">
        <v>3639</v>
      </c>
    </row>
    <row r="3667" spans="18:18" ht="14.25">
      <c r="R3667" s="20">
        <v>3640</v>
      </c>
    </row>
    <row r="3668" spans="18:18" ht="14.25">
      <c r="R3668" s="20">
        <v>3641</v>
      </c>
    </row>
    <row r="3669" spans="18:18" ht="14.25">
      <c r="R3669" s="20">
        <v>3642</v>
      </c>
    </row>
    <row r="3670" spans="18:18" ht="14.25">
      <c r="R3670" s="20">
        <v>3643</v>
      </c>
    </row>
    <row r="3671" spans="18:18" ht="14.25">
      <c r="R3671" s="20">
        <v>3644</v>
      </c>
    </row>
    <row r="3672" spans="18:18" ht="14.25">
      <c r="R3672" s="20">
        <v>3645</v>
      </c>
    </row>
    <row r="3673" spans="18:18" ht="14.25">
      <c r="R3673" s="20">
        <v>3646</v>
      </c>
    </row>
    <row r="3674" spans="18:18" ht="14.25">
      <c r="R3674" s="20">
        <v>3647</v>
      </c>
    </row>
    <row r="3675" spans="18:18" ht="14.25">
      <c r="R3675" s="20">
        <v>3648</v>
      </c>
    </row>
    <row r="3676" spans="18:18" ht="14.25">
      <c r="R3676" s="20">
        <v>3649</v>
      </c>
    </row>
    <row r="3677" spans="18:18" ht="14.25">
      <c r="R3677" s="20">
        <v>3650</v>
      </c>
    </row>
    <row r="3678" spans="18:18" ht="14.25">
      <c r="R3678" s="20">
        <v>3651</v>
      </c>
    </row>
    <row r="3679" spans="18:18" ht="14.25">
      <c r="R3679" s="20">
        <v>3652</v>
      </c>
    </row>
    <row r="3680" spans="18:18" ht="14.25">
      <c r="R3680" s="20">
        <v>3653</v>
      </c>
    </row>
    <row r="3681" spans="18:18" ht="14.25">
      <c r="R3681" s="20">
        <v>3654</v>
      </c>
    </row>
    <row r="3682" spans="18:18" ht="14.25">
      <c r="R3682" s="20">
        <v>3655</v>
      </c>
    </row>
    <row r="3683" spans="18:18" ht="14.25">
      <c r="R3683" s="20">
        <v>3656</v>
      </c>
    </row>
    <row r="3684" spans="18:18" ht="14.25">
      <c r="R3684" s="20">
        <v>3657</v>
      </c>
    </row>
    <row r="3685" spans="18:18" ht="14.25">
      <c r="R3685" s="20">
        <v>3658</v>
      </c>
    </row>
    <row r="3686" spans="18:18" ht="14.25">
      <c r="R3686" s="20">
        <v>3659</v>
      </c>
    </row>
    <row r="3687" spans="18:18" ht="14.25">
      <c r="R3687" s="20">
        <v>3660</v>
      </c>
    </row>
    <row r="3688" spans="18:18" ht="14.25">
      <c r="R3688" s="20">
        <v>3661</v>
      </c>
    </row>
    <row r="3689" spans="18:18" ht="14.25">
      <c r="R3689" s="20">
        <v>3662</v>
      </c>
    </row>
    <row r="3690" spans="18:18" ht="14.25">
      <c r="R3690" s="20">
        <v>3663</v>
      </c>
    </row>
    <row r="3691" spans="18:18" ht="14.25">
      <c r="R3691" s="20">
        <v>3664</v>
      </c>
    </row>
    <row r="3692" spans="18:18" ht="14.25">
      <c r="R3692" s="20">
        <v>3665</v>
      </c>
    </row>
    <row r="3693" spans="18:18" ht="14.25">
      <c r="R3693" s="20">
        <v>3666</v>
      </c>
    </row>
    <row r="3694" spans="18:18" ht="14.25">
      <c r="R3694" s="20">
        <v>3667</v>
      </c>
    </row>
    <row r="3695" spans="18:18" ht="14.25">
      <c r="R3695" s="20">
        <v>3668</v>
      </c>
    </row>
    <row r="3696" spans="18:18" ht="14.25">
      <c r="R3696" s="20">
        <v>3669</v>
      </c>
    </row>
    <row r="3697" spans="18:18" ht="14.25">
      <c r="R3697" s="20">
        <v>3670</v>
      </c>
    </row>
    <row r="3698" spans="18:18" ht="14.25">
      <c r="R3698" s="20">
        <v>3671</v>
      </c>
    </row>
    <row r="3699" spans="18:18" ht="14.25">
      <c r="R3699" s="20">
        <v>3672</v>
      </c>
    </row>
    <row r="3700" spans="18:18" ht="14.25">
      <c r="R3700" s="20">
        <v>3673</v>
      </c>
    </row>
    <row r="3701" spans="18:18" ht="14.25">
      <c r="R3701" s="20">
        <v>3674</v>
      </c>
    </row>
    <row r="3702" spans="18:18" ht="14.25">
      <c r="R3702" s="20">
        <v>3675</v>
      </c>
    </row>
    <row r="3703" spans="18:18" ht="14.25">
      <c r="R3703" s="20">
        <v>3676</v>
      </c>
    </row>
    <row r="3704" spans="18:18" ht="14.25">
      <c r="R3704" s="20">
        <v>3677</v>
      </c>
    </row>
    <row r="3705" spans="18:18" ht="14.25">
      <c r="R3705" s="20">
        <v>3678</v>
      </c>
    </row>
    <row r="3706" spans="18:18" ht="14.25">
      <c r="R3706" s="20">
        <v>3679</v>
      </c>
    </row>
    <row r="3707" spans="18:18" ht="14.25">
      <c r="R3707" s="20">
        <v>3680</v>
      </c>
    </row>
    <row r="3708" spans="18:18" ht="14.25">
      <c r="R3708" s="20">
        <v>3681</v>
      </c>
    </row>
    <row r="3709" spans="18:18" ht="14.25">
      <c r="R3709" s="20">
        <v>3682</v>
      </c>
    </row>
    <row r="3710" spans="18:18" ht="14.25">
      <c r="R3710" s="20">
        <v>3683</v>
      </c>
    </row>
    <row r="3711" spans="18:18" ht="14.25">
      <c r="R3711" s="20">
        <v>3684</v>
      </c>
    </row>
    <row r="3712" spans="18:18" ht="14.25">
      <c r="R3712" s="20">
        <v>3685</v>
      </c>
    </row>
    <row r="3713" spans="18:18" ht="14.25">
      <c r="R3713" s="20">
        <v>3686</v>
      </c>
    </row>
    <row r="3714" spans="18:18" ht="14.25">
      <c r="R3714" s="20">
        <v>3687</v>
      </c>
    </row>
    <row r="3715" spans="18:18" ht="14.25">
      <c r="R3715" s="20">
        <v>3688</v>
      </c>
    </row>
    <row r="3716" spans="18:18" ht="14.25">
      <c r="R3716" s="20">
        <v>3689</v>
      </c>
    </row>
    <row r="3717" spans="18:18" ht="14.25">
      <c r="R3717" s="20">
        <v>3690</v>
      </c>
    </row>
    <row r="3718" spans="18:18" ht="14.25">
      <c r="R3718" s="20">
        <v>3691</v>
      </c>
    </row>
    <row r="3719" spans="18:18" ht="14.25">
      <c r="R3719" s="20">
        <v>3692</v>
      </c>
    </row>
    <row r="3720" spans="18:18" ht="14.25">
      <c r="R3720" s="20">
        <v>3693</v>
      </c>
    </row>
    <row r="3721" spans="18:18" ht="14.25">
      <c r="R3721" s="20">
        <v>3694</v>
      </c>
    </row>
    <row r="3722" spans="18:18" ht="14.25">
      <c r="R3722" s="20">
        <v>3695</v>
      </c>
    </row>
    <row r="3723" spans="18:18" ht="14.25">
      <c r="R3723" s="20">
        <v>3696</v>
      </c>
    </row>
    <row r="3724" spans="18:18" ht="14.25">
      <c r="R3724" s="20">
        <v>3697</v>
      </c>
    </row>
    <row r="3725" spans="18:18" ht="14.25">
      <c r="R3725" s="20">
        <v>3698</v>
      </c>
    </row>
    <row r="3726" spans="18:18" ht="14.25">
      <c r="R3726" s="20">
        <v>3699</v>
      </c>
    </row>
    <row r="3727" spans="18:18" ht="14.25">
      <c r="R3727" s="20">
        <v>3700</v>
      </c>
    </row>
    <row r="3728" spans="18:18" ht="14.25">
      <c r="R3728" s="20">
        <v>3701</v>
      </c>
    </row>
    <row r="3729" spans="18:18" ht="14.25">
      <c r="R3729" s="20">
        <v>3702</v>
      </c>
    </row>
    <row r="3730" spans="18:18" ht="14.25">
      <c r="R3730" s="20">
        <v>3703</v>
      </c>
    </row>
    <row r="3731" spans="18:18" ht="14.25">
      <c r="R3731" s="20">
        <v>3704</v>
      </c>
    </row>
    <row r="3732" spans="18:18" ht="14.25">
      <c r="R3732" s="20">
        <v>3705</v>
      </c>
    </row>
    <row r="3733" spans="18:18" ht="14.25">
      <c r="R3733" s="20">
        <v>3706</v>
      </c>
    </row>
    <row r="3734" spans="18:18" ht="14.25">
      <c r="R3734" s="20">
        <v>3707</v>
      </c>
    </row>
    <row r="3735" spans="18:18" ht="14.25">
      <c r="R3735" s="20">
        <v>3708</v>
      </c>
    </row>
    <row r="3736" spans="18:18" ht="14.25">
      <c r="R3736" s="20">
        <v>3709</v>
      </c>
    </row>
    <row r="3737" spans="18:18" ht="14.25">
      <c r="R3737" s="20">
        <v>3710</v>
      </c>
    </row>
    <row r="3738" spans="18:18" ht="14.25">
      <c r="R3738" s="20">
        <v>3711</v>
      </c>
    </row>
    <row r="3739" spans="18:18" ht="14.25">
      <c r="R3739" s="20">
        <v>3712</v>
      </c>
    </row>
    <row r="3740" spans="18:18" ht="14.25">
      <c r="R3740" s="20">
        <v>3713</v>
      </c>
    </row>
    <row r="3741" spans="18:18" ht="14.25">
      <c r="R3741" s="20">
        <v>3714</v>
      </c>
    </row>
    <row r="3742" spans="18:18" ht="14.25">
      <c r="R3742" s="20">
        <v>3715</v>
      </c>
    </row>
    <row r="3743" spans="18:18" ht="14.25">
      <c r="R3743" s="20">
        <v>3716</v>
      </c>
    </row>
    <row r="3744" spans="18:18" ht="14.25">
      <c r="R3744" s="20">
        <v>3717</v>
      </c>
    </row>
    <row r="3745" spans="18:18" ht="14.25">
      <c r="R3745" s="20">
        <v>3718</v>
      </c>
    </row>
    <row r="3746" spans="18:18" ht="14.25">
      <c r="R3746" s="20">
        <v>3719</v>
      </c>
    </row>
    <row r="3747" spans="18:18" ht="14.25">
      <c r="R3747" s="20">
        <v>3720</v>
      </c>
    </row>
    <row r="3748" spans="18:18" ht="14.25">
      <c r="R3748" s="20">
        <v>3721</v>
      </c>
    </row>
    <row r="3749" spans="18:18" ht="14.25">
      <c r="R3749" s="20">
        <v>3722</v>
      </c>
    </row>
    <row r="3750" spans="18:18" ht="14.25">
      <c r="R3750" s="20">
        <v>3723</v>
      </c>
    </row>
    <row r="3751" spans="18:18" ht="14.25">
      <c r="R3751" s="20">
        <v>3724</v>
      </c>
    </row>
    <row r="3752" spans="18:18" ht="14.25">
      <c r="R3752" s="20">
        <v>3725</v>
      </c>
    </row>
    <row r="3753" spans="18:18" ht="14.25">
      <c r="R3753" s="20">
        <v>3726</v>
      </c>
    </row>
    <row r="3754" spans="18:18" ht="14.25">
      <c r="R3754" s="20">
        <v>3727</v>
      </c>
    </row>
    <row r="3755" spans="18:18" ht="14.25">
      <c r="R3755" s="20">
        <v>3728</v>
      </c>
    </row>
    <row r="3756" spans="18:18" ht="14.25">
      <c r="R3756" s="20">
        <v>3729</v>
      </c>
    </row>
    <row r="3757" spans="18:18" ht="14.25">
      <c r="R3757" s="20">
        <v>3730</v>
      </c>
    </row>
    <row r="3758" spans="18:18" ht="14.25">
      <c r="R3758" s="20">
        <v>3731</v>
      </c>
    </row>
    <row r="3759" spans="18:18" ht="14.25">
      <c r="R3759" s="20">
        <v>3732</v>
      </c>
    </row>
    <row r="3760" spans="18:18" ht="14.25">
      <c r="R3760" s="20">
        <v>3733</v>
      </c>
    </row>
    <row r="3761" spans="18:18" ht="14.25">
      <c r="R3761" s="20">
        <v>3734</v>
      </c>
    </row>
    <row r="3762" spans="18:18" ht="14.25">
      <c r="R3762" s="20">
        <v>3735</v>
      </c>
    </row>
    <row r="3763" spans="18:18" ht="14.25">
      <c r="R3763" s="20">
        <v>3736</v>
      </c>
    </row>
    <row r="3764" spans="18:18" ht="14.25">
      <c r="R3764" s="20">
        <v>3737</v>
      </c>
    </row>
    <row r="3765" spans="18:18" ht="14.25">
      <c r="R3765" s="20">
        <v>3738</v>
      </c>
    </row>
    <row r="3766" spans="18:18" ht="14.25">
      <c r="R3766" s="20">
        <v>3739</v>
      </c>
    </row>
    <row r="3767" spans="18:18" ht="14.25">
      <c r="R3767" s="20">
        <v>3740</v>
      </c>
    </row>
    <row r="3768" spans="18:18" ht="14.25">
      <c r="R3768" s="20">
        <v>3741</v>
      </c>
    </row>
    <row r="3769" spans="18:18" ht="14.25">
      <c r="R3769" s="20">
        <v>3742</v>
      </c>
    </row>
    <row r="3770" spans="18:18" ht="14.25">
      <c r="R3770" s="20">
        <v>3743</v>
      </c>
    </row>
    <row r="3771" spans="18:18" ht="14.25">
      <c r="R3771" s="20">
        <v>3744</v>
      </c>
    </row>
    <row r="3772" spans="18:18" ht="14.25">
      <c r="R3772" s="20">
        <v>3745</v>
      </c>
    </row>
    <row r="3773" spans="18:18" ht="14.25">
      <c r="R3773" s="20">
        <v>3746</v>
      </c>
    </row>
    <row r="3774" spans="18:18" ht="14.25">
      <c r="R3774" s="20">
        <v>3747</v>
      </c>
    </row>
    <row r="3775" spans="18:18" ht="14.25">
      <c r="R3775" s="20">
        <v>3748</v>
      </c>
    </row>
    <row r="3776" spans="18:18" ht="14.25">
      <c r="R3776" s="20">
        <v>3749</v>
      </c>
    </row>
    <row r="3777" spans="18:18" ht="14.25">
      <c r="R3777" s="20">
        <v>3750</v>
      </c>
    </row>
    <row r="3778" spans="18:18" ht="14.25">
      <c r="R3778" s="20">
        <v>3751</v>
      </c>
    </row>
    <row r="3779" spans="18:18" ht="14.25">
      <c r="R3779" s="20">
        <v>3752</v>
      </c>
    </row>
    <row r="3780" spans="18:18" ht="14.25">
      <c r="R3780" s="20">
        <v>3753</v>
      </c>
    </row>
    <row r="3781" spans="18:18" ht="14.25">
      <c r="R3781" s="20">
        <v>3754</v>
      </c>
    </row>
    <row r="3782" spans="18:18" ht="14.25">
      <c r="R3782" s="20">
        <v>3755</v>
      </c>
    </row>
    <row r="3783" spans="18:18" ht="14.25">
      <c r="R3783" s="20">
        <v>3756</v>
      </c>
    </row>
    <row r="3784" spans="18:18" ht="14.25">
      <c r="R3784" s="20">
        <v>3757</v>
      </c>
    </row>
    <row r="3785" spans="18:18" ht="14.25">
      <c r="R3785" s="20">
        <v>3758</v>
      </c>
    </row>
    <row r="3786" spans="18:18" ht="14.25">
      <c r="R3786" s="20">
        <v>3759</v>
      </c>
    </row>
    <row r="3787" spans="18:18" ht="14.25">
      <c r="R3787" s="20">
        <v>3760</v>
      </c>
    </row>
    <row r="3788" spans="18:18" ht="14.25">
      <c r="R3788" s="20">
        <v>3761</v>
      </c>
    </row>
    <row r="3789" spans="18:18" ht="14.25">
      <c r="R3789" s="20">
        <v>3762</v>
      </c>
    </row>
    <row r="3790" spans="18:18" ht="14.25">
      <c r="R3790" s="20">
        <v>3763</v>
      </c>
    </row>
    <row r="3791" spans="18:18" ht="14.25">
      <c r="R3791" s="20">
        <v>3764</v>
      </c>
    </row>
    <row r="3792" spans="18:18" ht="14.25">
      <c r="R3792" s="20">
        <v>3765</v>
      </c>
    </row>
    <row r="3793" spans="18:18" ht="14.25">
      <c r="R3793" s="20">
        <v>3766</v>
      </c>
    </row>
    <row r="3794" spans="18:18" ht="14.25">
      <c r="R3794" s="20">
        <v>3767</v>
      </c>
    </row>
    <row r="3795" spans="18:18" ht="14.25">
      <c r="R3795" s="20">
        <v>3768</v>
      </c>
    </row>
    <row r="3796" spans="18:18" ht="14.25">
      <c r="R3796" s="20">
        <v>3769</v>
      </c>
    </row>
    <row r="3797" spans="18:18" ht="14.25">
      <c r="R3797" s="20">
        <v>3770</v>
      </c>
    </row>
    <row r="3798" spans="18:18" ht="14.25">
      <c r="R3798" s="20">
        <v>3771</v>
      </c>
    </row>
    <row r="3799" spans="18:18" ht="14.25">
      <c r="R3799" s="20">
        <v>3772</v>
      </c>
    </row>
    <row r="3800" spans="18:18" ht="14.25">
      <c r="R3800" s="20">
        <v>3773</v>
      </c>
    </row>
    <row r="3801" spans="18:18" ht="14.25">
      <c r="R3801" s="20">
        <v>3774</v>
      </c>
    </row>
    <row r="3802" spans="18:18" ht="14.25">
      <c r="R3802" s="20">
        <v>3775</v>
      </c>
    </row>
    <row r="3803" spans="18:18" ht="14.25">
      <c r="R3803" s="20">
        <v>3776</v>
      </c>
    </row>
    <row r="3804" spans="18:18" ht="14.25">
      <c r="R3804" s="20">
        <v>3777</v>
      </c>
    </row>
    <row r="3805" spans="18:18" ht="14.25">
      <c r="R3805" s="20">
        <v>3778</v>
      </c>
    </row>
    <row r="3806" spans="18:18" ht="14.25">
      <c r="R3806" s="20">
        <v>3779</v>
      </c>
    </row>
    <row r="3807" spans="18:18" ht="14.25">
      <c r="R3807" s="20">
        <v>3780</v>
      </c>
    </row>
    <row r="3808" spans="18:18" ht="14.25">
      <c r="R3808" s="20">
        <v>3781</v>
      </c>
    </row>
    <row r="3809" spans="18:18" ht="14.25">
      <c r="R3809" s="20">
        <v>3782</v>
      </c>
    </row>
    <row r="3810" spans="18:18" ht="14.25">
      <c r="R3810" s="20">
        <v>3783</v>
      </c>
    </row>
    <row r="3811" spans="18:18" ht="14.25">
      <c r="R3811" s="20">
        <v>3784</v>
      </c>
    </row>
    <row r="3812" spans="18:18" ht="14.25">
      <c r="R3812" s="20">
        <v>3785</v>
      </c>
    </row>
    <row r="3813" spans="18:18" ht="14.25">
      <c r="R3813" s="20">
        <v>3786</v>
      </c>
    </row>
    <row r="3814" spans="18:18" ht="14.25">
      <c r="R3814" s="20">
        <v>3787</v>
      </c>
    </row>
    <row r="3815" spans="18:18" ht="14.25">
      <c r="R3815" s="20">
        <v>3788</v>
      </c>
    </row>
    <row r="3816" spans="18:18" ht="14.25">
      <c r="R3816" s="20">
        <v>3789</v>
      </c>
    </row>
    <row r="3817" spans="18:18" ht="14.25">
      <c r="R3817" s="20">
        <v>3790</v>
      </c>
    </row>
    <row r="3818" spans="18:18" ht="14.25">
      <c r="R3818" s="20">
        <v>3791</v>
      </c>
    </row>
    <row r="3819" spans="18:18" ht="14.25">
      <c r="R3819" s="20">
        <v>3792</v>
      </c>
    </row>
    <row r="3820" spans="18:18" ht="14.25">
      <c r="R3820" s="20">
        <v>3793</v>
      </c>
    </row>
    <row r="3821" spans="18:18" ht="14.25">
      <c r="R3821" s="20">
        <v>3794</v>
      </c>
    </row>
    <row r="3822" spans="18:18" ht="14.25">
      <c r="R3822" s="20">
        <v>3795</v>
      </c>
    </row>
    <row r="3823" spans="18:18" ht="14.25">
      <c r="R3823" s="20">
        <v>3796</v>
      </c>
    </row>
    <row r="3824" spans="18:18" ht="14.25">
      <c r="R3824" s="20">
        <v>3797</v>
      </c>
    </row>
    <row r="3825" spans="18:18" ht="14.25">
      <c r="R3825" s="20">
        <v>3798</v>
      </c>
    </row>
    <row r="3826" spans="18:18" ht="14.25">
      <c r="R3826" s="20">
        <v>3799</v>
      </c>
    </row>
    <row r="3827" spans="18:18" ht="14.25">
      <c r="R3827" s="20">
        <v>3800</v>
      </c>
    </row>
    <row r="3828" spans="18:18" ht="14.25">
      <c r="R3828" s="20">
        <v>3801</v>
      </c>
    </row>
    <row r="3829" spans="18:18" ht="14.25">
      <c r="R3829" s="20">
        <v>3802</v>
      </c>
    </row>
    <row r="3830" spans="18:18" ht="14.25">
      <c r="R3830" s="20">
        <v>3803</v>
      </c>
    </row>
    <row r="3831" spans="18:18" ht="14.25">
      <c r="R3831" s="20">
        <v>3804</v>
      </c>
    </row>
    <row r="3832" spans="18:18" ht="14.25">
      <c r="R3832" s="20">
        <v>3805</v>
      </c>
    </row>
    <row r="3833" spans="18:18" ht="14.25">
      <c r="R3833" s="20">
        <v>3806</v>
      </c>
    </row>
    <row r="3834" spans="18:18" ht="14.25">
      <c r="R3834" s="20">
        <v>3807</v>
      </c>
    </row>
    <row r="3835" spans="18:18" ht="14.25">
      <c r="R3835" s="20">
        <v>3808</v>
      </c>
    </row>
    <row r="3836" spans="18:18" ht="14.25">
      <c r="R3836" s="20">
        <v>3809</v>
      </c>
    </row>
    <row r="3837" spans="18:18" ht="14.25">
      <c r="R3837" s="20">
        <v>3810</v>
      </c>
    </row>
    <row r="3838" spans="18:18" ht="14.25">
      <c r="R3838" s="20">
        <v>3811</v>
      </c>
    </row>
    <row r="3839" spans="18:18" ht="14.25">
      <c r="R3839" s="20">
        <v>3812</v>
      </c>
    </row>
    <row r="3840" spans="18:18" ht="14.25">
      <c r="R3840" s="20">
        <v>3813</v>
      </c>
    </row>
    <row r="3841" spans="18:18" ht="14.25">
      <c r="R3841" s="20">
        <v>3814</v>
      </c>
    </row>
    <row r="3842" spans="18:18" ht="14.25">
      <c r="R3842" s="20">
        <v>3815</v>
      </c>
    </row>
    <row r="3843" spans="18:18" ht="14.25">
      <c r="R3843" s="20">
        <v>3816</v>
      </c>
    </row>
    <row r="3844" spans="18:18" ht="14.25">
      <c r="R3844" s="20">
        <v>3817</v>
      </c>
    </row>
    <row r="3845" spans="18:18" ht="14.25">
      <c r="R3845" s="20">
        <v>3818</v>
      </c>
    </row>
    <row r="3846" spans="18:18" ht="14.25">
      <c r="R3846" s="20">
        <v>3819</v>
      </c>
    </row>
    <row r="3847" spans="18:18" ht="14.25">
      <c r="R3847" s="20">
        <v>3820</v>
      </c>
    </row>
    <row r="3848" spans="18:18" ht="14.25">
      <c r="R3848" s="20">
        <v>3821</v>
      </c>
    </row>
    <row r="3849" spans="18:18" ht="14.25">
      <c r="R3849" s="20">
        <v>3822</v>
      </c>
    </row>
    <row r="3850" spans="18:18" ht="14.25">
      <c r="R3850" s="20">
        <v>3823</v>
      </c>
    </row>
    <row r="3851" spans="18:18" ht="14.25">
      <c r="R3851" s="20">
        <v>3824</v>
      </c>
    </row>
    <row r="3852" spans="18:18" ht="14.25">
      <c r="R3852" s="20">
        <v>3825</v>
      </c>
    </row>
    <row r="3853" spans="18:18" ht="14.25">
      <c r="R3853" s="20">
        <v>3826</v>
      </c>
    </row>
    <row r="3854" spans="18:18" ht="14.25">
      <c r="R3854" s="20">
        <v>3827</v>
      </c>
    </row>
    <row r="3855" spans="18:18" ht="14.25">
      <c r="R3855" s="20">
        <v>3828</v>
      </c>
    </row>
    <row r="3856" spans="18:18" ht="14.25">
      <c r="R3856" s="20">
        <v>3829</v>
      </c>
    </row>
    <row r="3857" spans="18:18" ht="14.25">
      <c r="R3857" s="20">
        <v>3830</v>
      </c>
    </row>
    <row r="3858" spans="18:18" ht="14.25">
      <c r="R3858" s="20">
        <v>3831</v>
      </c>
    </row>
    <row r="3859" spans="18:18" ht="14.25">
      <c r="R3859" s="20">
        <v>3832</v>
      </c>
    </row>
    <row r="3860" spans="18:18" ht="14.25">
      <c r="R3860" s="20">
        <v>3833</v>
      </c>
    </row>
    <row r="3861" spans="18:18" ht="14.25">
      <c r="R3861" s="20">
        <v>3834</v>
      </c>
    </row>
    <row r="3862" spans="18:18" ht="14.25">
      <c r="R3862" s="20">
        <v>3835</v>
      </c>
    </row>
    <row r="3863" spans="18:18" ht="14.25">
      <c r="R3863" s="20">
        <v>3836</v>
      </c>
    </row>
    <row r="3864" spans="18:18" ht="14.25">
      <c r="R3864" s="20">
        <v>3837</v>
      </c>
    </row>
    <row r="3865" spans="18:18" ht="14.25">
      <c r="R3865" s="20">
        <v>3838</v>
      </c>
    </row>
    <row r="3866" spans="18:18" ht="14.25">
      <c r="R3866" s="20">
        <v>3839</v>
      </c>
    </row>
    <row r="3867" spans="18:18" ht="14.25">
      <c r="R3867" s="20">
        <v>3840</v>
      </c>
    </row>
    <row r="3868" spans="18:18" ht="14.25">
      <c r="R3868" s="20">
        <v>3841</v>
      </c>
    </row>
    <row r="3869" spans="18:18" ht="14.25">
      <c r="R3869" s="20">
        <v>3842</v>
      </c>
    </row>
    <row r="3870" spans="18:18" ht="14.25">
      <c r="R3870" s="20">
        <v>3843</v>
      </c>
    </row>
    <row r="3871" spans="18:18" ht="14.25">
      <c r="R3871" s="20">
        <v>3844</v>
      </c>
    </row>
    <row r="3872" spans="18:18" ht="14.25">
      <c r="R3872" s="20">
        <v>3845</v>
      </c>
    </row>
    <row r="3873" spans="18:18" ht="14.25">
      <c r="R3873" s="20">
        <v>3846</v>
      </c>
    </row>
    <row r="3874" spans="18:18" ht="14.25">
      <c r="R3874" s="20">
        <v>3847</v>
      </c>
    </row>
    <row r="3875" spans="18:18" ht="14.25">
      <c r="R3875" s="20">
        <v>3848</v>
      </c>
    </row>
    <row r="3876" spans="18:18" ht="14.25">
      <c r="R3876" s="20">
        <v>3849</v>
      </c>
    </row>
    <row r="3877" spans="18:18" ht="14.25">
      <c r="R3877" s="20">
        <v>3850</v>
      </c>
    </row>
    <row r="3878" spans="18:18" ht="14.25">
      <c r="R3878" s="20">
        <v>3851</v>
      </c>
    </row>
    <row r="3879" spans="18:18" ht="14.25">
      <c r="R3879" s="20">
        <v>3852</v>
      </c>
    </row>
    <row r="3880" spans="18:18" ht="14.25">
      <c r="R3880" s="20">
        <v>3853</v>
      </c>
    </row>
    <row r="3881" spans="18:18" ht="14.25">
      <c r="R3881" s="20">
        <v>3854</v>
      </c>
    </row>
    <row r="3882" spans="18:18" ht="14.25">
      <c r="R3882" s="20">
        <v>3855</v>
      </c>
    </row>
    <row r="3883" spans="18:18" ht="14.25">
      <c r="R3883" s="20">
        <v>3856</v>
      </c>
    </row>
    <row r="3884" spans="18:18" ht="14.25">
      <c r="R3884" s="20">
        <v>3857</v>
      </c>
    </row>
    <row r="3885" spans="18:18" ht="14.25">
      <c r="R3885" s="20">
        <v>3858</v>
      </c>
    </row>
    <row r="3886" spans="18:18" ht="14.25">
      <c r="R3886" s="20">
        <v>3859</v>
      </c>
    </row>
    <row r="3887" spans="18:18" ht="14.25">
      <c r="R3887" s="20">
        <v>3860</v>
      </c>
    </row>
    <row r="3888" spans="18:18" ht="14.25">
      <c r="R3888" s="20">
        <v>3861</v>
      </c>
    </row>
    <row r="3889" spans="18:18" ht="14.25">
      <c r="R3889" s="20">
        <v>3862</v>
      </c>
    </row>
    <row r="3890" spans="18:18" ht="14.25">
      <c r="R3890" s="20">
        <v>3863</v>
      </c>
    </row>
    <row r="3891" spans="18:18" ht="14.25">
      <c r="R3891" s="20">
        <v>3864</v>
      </c>
    </row>
    <row r="3892" spans="18:18" ht="14.25">
      <c r="R3892" s="20">
        <v>3865</v>
      </c>
    </row>
    <row r="3893" spans="18:18" ht="14.25">
      <c r="R3893" s="20">
        <v>3866</v>
      </c>
    </row>
    <row r="3894" spans="18:18" ht="14.25">
      <c r="R3894" s="20">
        <v>3867</v>
      </c>
    </row>
    <row r="3895" spans="18:18" ht="14.25">
      <c r="R3895" s="20">
        <v>3868</v>
      </c>
    </row>
    <row r="3896" spans="18:18" ht="14.25">
      <c r="R3896" s="20">
        <v>3869</v>
      </c>
    </row>
    <row r="3897" spans="18:18" ht="14.25">
      <c r="R3897" s="20">
        <v>3870</v>
      </c>
    </row>
    <row r="3898" spans="18:18" ht="14.25">
      <c r="R3898" s="20">
        <v>3871</v>
      </c>
    </row>
    <row r="3899" spans="18:18" ht="14.25">
      <c r="R3899" s="20">
        <v>3872</v>
      </c>
    </row>
    <row r="3900" spans="18:18" ht="14.25">
      <c r="R3900" s="20">
        <v>3873</v>
      </c>
    </row>
    <row r="3901" spans="18:18" ht="14.25">
      <c r="R3901" s="20">
        <v>3874</v>
      </c>
    </row>
    <row r="3902" spans="18:18" ht="14.25">
      <c r="R3902" s="20">
        <v>3875</v>
      </c>
    </row>
    <row r="3903" spans="18:18" ht="14.25">
      <c r="R3903" s="20">
        <v>3876</v>
      </c>
    </row>
    <row r="3904" spans="18:18" ht="14.25">
      <c r="R3904" s="20">
        <v>3877</v>
      </c>
    </row>
    <row r="3905" spans="18:18" ht="14.25">
      <c r="R3905" s="20">
        <v>3878</v>
      </c>
    </row>
    <row r="3906" spans="18:18" ht="14.25">
      <c r="R3906" s="20">
        <v>3879</v>
      </c>
    </row>
    <row r="3907" spans="18:18" ht="14.25">
      <c r="R3907" s="20">
        <v>3880</v>
      </c>
    </row>
    <row r="3908" spans="18:18" ht="14.25">
      <c r="R3908" s="20">
        <v>3881</v>
      </c>
    </row>
    <row r="3909" spans="18:18" ht="14.25">
      <c r="R3909" s="20">
        <v>3882</v>
      </c>
    </row>
    <row r="3910" spans="18:18" ht="14.25">
      <c r="R3910" s="20">
        <v>3883</v>
      </c>
    </row>
    <row r="3911" spans="18:18" ht="14.25">
      <c r="R3911" s="20">
        <v>3884</v>
      </c>
    </row>
    <row r="3912" spans="18:18" ht="14.25">
      <c r="R3912" s="20">
        <v>3885</v>
      </c>
    </row>
    <row r="3913" spans="18:18" ht="14.25">
      <c r="R3913" s="20">
        <v>3886</v>
      </c>
    </row>
    <row r="3914" spans="18:18" ht="14.25">
      <c r="R3914" s="20">
        <v>3887</v>
      </c>
    </row>
    <row r="3915" spans="18:18" ht="14.25">
      <c r="R3915" s="20">
        <v>3888</v>
      </c>
    </row>
    <row r="3916" spans="18:18" ht="14.25">
      <c r="R3916" s="20">
        <v>3889</v>
      </c>
    </row>
    <row r="3917" spans="18:18" ht="14.25">
      <c r="R3917" s="20">
        <v>3890</v>
      </c>
    </row>
    <row r="3918" spans="18:18" ht="14.25">
      <c r="R3918" s="20">
        <v>3891</v>
      </c>
    </row>
    <row r="3919" spans="18:18" ht="14.25">
      <c r="R3919" s="20">
        <v>3892</v>
      </c>
    </row>
    <row r="3920" spans="18:18" ht="14.25">
      <c r="R3920" s="20">
        <v>3893</v>
      </c>
    </row>
    <row r="3921" spans="18:18" ht="14.25">
      <c r="R3921" s="20">
        <v>3894</v>
      </c>
    </row>
    <row r="3922" spans="18:18" ht="14.25">
      <c r="R3922" s="20">
        <v>3895</v>
      </c>
    </row>
    <row r="3923" spans="18:18" ht="14.25">
      <c r="R3923" s="20">
        <v>3896</v>
      </c>
    </row>
    <row r="3924" spans="18:18" ht="14.25">
      <c r="R3924" s="20">
        <v>3897</v>
      </c>
    </row>
    <row r="3925" spans="18:18" ht="14.25">
      <c r="R3925" s="20">
        <v>3898</v>
      </c>
    </row>
    <row r="3926" spans="18:18" ht="14.25">
      <c r="R3926" s="20">
        <v>3899</v>
      </c>
    </row>
    <row r="3927" spans="18:18" ht="14.25">
      <c r="R3927" s="20">
        <v>3900</v>
      </c>
    </row>
    <row r="3928" spans="18:18" ht="14.25">
      <c r="R3928" s="20">
        <v>3901</v>
      </c>
    </row>
    <row r="3929" spans="18:18" ht="14.25">
      <c r="R3929" s="20">
        <v>3902</v>
      </c>
    </row>
    <row r="3930" spans="18:18" ht="14.25">
      <c r="R3930" s="20">
        <v>3903</v>
      </c>
    </row>
    <row r="3931" spans="18:18" ht="14.25">
      <c r="R3931" s="20">
        <v>3904</v>
      </c>
    </row>
    <row r="3932" spans="18:18" ht="14.25">
      <c r="R3932" s="20">
        <v>3905</v>
      </c>
    </row>
    <row r="3933" spans="18:18" ht="14.25">
      <c r="R3933" s="20">
        <v>3906</v>
      </c>
    </row>
    <row r="3934" spans="18:18" ht="14.25">
      <c r="R3934" s="20">
        <v>3907</v>
      </c>
    </row>
    <row r="3935" spans="18:18" ht="14.25">
      <c r="R3935" s="20">
        <v>3908</v>
      </c>
    </row>
    <row r="3936" spans="18:18" ht="14.25">
      <c r="R3936" s="20">
        <v>3909</v>
      </c>
    </row>
    <row r="3937" spans="18:18" ht="14.25">
      <c r="R3937" s="20">
        <v>3910</v>
      </c>
    </row>
    <row r="3938" spans="18:18" ht="14.25">
      <c r="R3938" s="20">
        <v>3911</v>
      </c>
    </row>
    <row r="3939" spans="18:18" ht="14.25">
      <c r="R3939" s="20">
        <v>3912</v>
      </c>
    </row>
    <row r="3940" spans="18:18" ht="14.25">
      <c r="R3940" s="20">
        <v>3913</v>
      </c>
    </row>
    <row r="3941" spans="18:18" ht="14.25">
      <c r="R3941" s="20">
        <v>3914</v>
      </c>
    </row>
    <row r="3942" spans="18:18" ht="14.25">
      <c r="R3942" s="20">
        <v>3915</v>
      </c>
    </row>
    <row r="3943" spans="18:18" ht="14.25">
      <c r="R3943" s="20">
        <v>3916</v>
      </c>
    </row>
    <row r="3944" spans="18:18" ht="14.25">
      <c r="R3944" s="20">
        <v>3917</v>
      </c>
    </row>
    <row r="3945" spans="18:18" ht="14.25">
      <c r="R3945" s="20">
        <v>3918</v>
      </c>
    </row>
    <row r="3946" spans="18:18" ht="14.25">
      <c r="R3946" s="20">
        <v>3919</v>
      </c>
    </row>
    <row r="3947" spans="18:18" ht="14.25">
      <c r="R3947" s="20">
        <v>3920</v>
      </c>
    </row>
    <row r="3948" spans="18:18" ht="14.25">
      <c r="R3948" s="20">
        <v>3921</v>
      </c>
    </row>
    <row r="3949" spans="18:18" ht="14.25">
      <c r="R3949" s="20">
        <v>3922</v>
      </c>
    </row>
    <row r="3950" spans="18:18" ht="14.25">
      <c r="R3950" s="20">
        <v>3923</v>
      </c>
    </row>
    <row r="3951" spans="18:18" ht="14.25">
      <c r="R3951" s="20">
        <v>3924</v>
      </c>
    </row>
    <row r="3952" spans="18:18" ht="14.25">
      <c r="R3952" s="20">
        <v>3925</v>
      </c>
    </row>
    <row r="3953" spans="18:18" ht="14.25">
      <c r="R3953" s="20">
        <v>3926</v>
      </c>
    </row>
    <row r="3954" spans="18:18" ht="14.25">
      <c r="R3954" s="20">
        <v>3927</v>
      </c>
    </row>
    <row r="3955" spans="18:18" ht="14.25">
      <c r="R3955" s="20">
        <v>3928</v>
      </c>
    </row>
    <row r="3956" spans="18:18" ht="14.25">
      <c r="R3956" s="20">
        <v>3929</v>
      </c>
    </row>
    <row r="3957" spans="18:18" ht="14.25">
      <c r="R3957" s="20">
        <v>3930</v>
      </c>
    </row>
    <row r="3958" spans="18:18" ht="14.25">
      <c r="R3958" s="20">
        <v>3931</v>
      </c>
    </row>
    <row r="3959" spans="18:18" ht="14.25">
      <c r="R3959" s="20">
        <v>3932</v>
      </c>
    </row>
    <row r="3960" spans="18:18" ht="14.25">
      <c r="R3960" s="20">
        <v>3933</v>
      </c>
    </row>
    <row r="3961" spans="18:18" ht="14.25">
      <c r="R3961" s="20">
        <v>3934</v>
      </c>
    </row>
    <row r="3962" spans="18:18" ht="14.25">
      <c r="R3962" s="20">
        <v>3935</v>
      </c>
    </row>
    <row r="3963" spans="18:18" ht="14.25">
      <c r="R3963" s="20">
        <v>3936</v>
      </c>
    </row>
    <row r="3964" spans="18:18" ht="14.25">
      <c r="R3964" s="20">
        <v>3937</v>
      </c>
    </row>
    <row r="3965" spans="18:18" ht="14.25">
      <c r="R3965" s="20">
        <v>3938</v>
      </c>
    </row>
    <row r="3966" spans="18:18" ht="14.25">
      <c r="R3966" s="20">
        <v>3939</v>
      </c>
    </row>
    <row r="3967" spans="18:18" ht="14.25">
      <c r="R3967" s="20">
        <v>3940</v>
      </c>
    </row>
    <row r="3968" spans="18:18" ht="14.25">
      <c r="R3968" s="20">
        <v>3941</v>
      </c>
    </row>
    <row r="3969" spans="18:18" ht="14.25">
      <c r="R3969" s="20">
        <v>3942</v>
      </c>
    </row>
    <row r="3970" spans="18:18" ht="14.25">
      <c r="R3970" s="20">
        <v>3943</v>
      </c>
    </row>
    <row r="3971" spans="18:18" ht="14.25">
      <c r="R3971" s="20">
        <v>3944</v>
      </c>
    </row>
    <row r="3972" spans="18:18" ht="14.25">
      <c r="R3972" s="20">
        <v>3945</v>
      </c>
    </row>
    <row r="3973" spans="18:18" ht="14.25">
      <c r="R3973" s="20">
        <v>3946</v>
      </c>
    </row>
    <row r="3974" spans="18:18" ht="14.25">
      <c r="R3974" s="20">
        <v>3947</v>
      </c>
    </row>
    <row r="3975" spans="18:18" ht="14.25">
      <c r="R3975" s="20">
        <v>3948</v>
      </c>
    </row>
    <row r="3976" spans="18:18" ht="14.25">
      <c r="R3976" s="20">
        <v>3949</v>
      </c>
    </row>
    <row r="3977" spans="18:18" ht="14.25">
      <c r="R3977" s="20">
        <v>3950</v>
      </c>
    </row>
    <row r="3978" spans="18:18" ht="14.25">
      <c r="R3978" s="20">
        <v>3951</v>
      </c>
    </row>
    <row r="3979" spans="18:18" ht="14.25">
      <c r="R3979" s="20">
        <v>3952</v>
      </c>
    </row>
    <row r="3980" spans="18:18" ht="14.25">
      <c r="R3980" s="20">
        <v>3953</v>
      </c>
    </row>
    <row r="3981" spans="18:18" ht="14.25">
      <c r="R3981" s="20">
        <v>3954</v>
      </c>
    </row>
    <row r="3982" spans="18:18" ht="14.25">
      <c r="R3982" s="20">
        <v>3955</v>
      </c>
    </row>
    <row r="3983" spans="18:18" ht="14.25">
      <c r="R3983" s="20">
        <v>3956</v>
      </c>
    </row>
    <row r="3984" spans="18:18" ht="14.25">
      <c r="R3984" s="20">
        <v>3957</v>
      </c>
    </row>
    <row r="3985" spans="18:18" ht="14.25">
      <c r="R3985" s="20">
        <v>3958</v>
      </c>
    </row>
    <row r="3986" spans="18:18" ht="14.25">
      <c r="R3986" s="20">
        <v>3959</v>
      </c>
    </row>
    <row r="3987" spans="18:18" ht="14.25">
      <c r="R3987" s="20">
        <v>3960</v>
      </c>
    </row>
    <row r="3988" spans="18:18" ht="14.25">
      <c r="R3988" s="20">
        <v>3961</v>
      </c>
    </row>
    <row r="3989" spans="18:18" ht="14.25">
      <c r="R3989" s="20">
        <v>3962</v>
      </c>
    </row>
    <row r="3990" spans="18:18" ht="14.25">
      <c r="R3990" s="20">
        <v>3963</v>
      </c>
    </row>
    <row r="3991" spans="18:18" ht="14.25">
      <c r="R3991" s="20">
        <v>3964</v>
      </c>
    </row>
    <row r="3992" spans="18:18" ht="14.25">
      <c r="R3992" s="20">
        <v>3965</v>
      </c>
    </row>
    <row r="3993" spans="18:18" ht="14.25">
      <c r="R3993" s="20">
        <v>3966</v>
      </c>
    </row>
    <row r="3994" spans="18:18" ht="14.25">
      <c r="R3994" s="20">
        <v>3967</v>
      </c>
    </row>
    <row r="3995" spans="18:18" ht="14.25">
      <c r="R3995" s="20">
        <v>3968</v>
      </c>
    </row>
    <row r="3996" spans="18:18" ht="14.25">
      <c r="R3996" s="20">
        <v>3969</v>
      </c>
    </row>
    <row r="3997" spans="18:18" ht="14.25">
      <c r="R3997" s="20">
        <v>3970</v>
      </c>
    </row>
    <row r="3998" spans="18:18" ht="14.25">
      <c r="R3998" s="20">
        <v>3971</v>
      </c>
    </row>
    <row r="3999" spans="18:18" ht="14.25">
      <c r="R3999" s="20">
        <v>3972</v>
      </c>
    </row>
    <row r="4000" spans="18:18" ht="14.25">
      <c r="R4000" s="20">
        <v>3973</v>
      </c>
    </row>
    <row r="4001" spans="18:18" ht="14.25">
      <c r="R4001" s="20">
        <v>3974</v>
      </c>
    </row>
    <row r="4002" spans="18:18" ht="14.25">
      <c r="R4002" s="20">
        <v>3975</v>
      </c>
    </row>
    <row r="4003" spans="18:18" ht="14.25">
      <c r="R4003" s="20">
        <v>3976</v>
      </c>
    </row>
    <row r="4004" spans="18:18" ht="14.25">
      <c r="R4004" s="20">
        <v>3977</v>
      </c>
    </row>
    <row r="4005" spans="18:18" ht="14.25">
      <c r="R4005" s="20">
        <v>3978</v>
      </c>
    </row>
    <row r="4006" spans="18:18" ht="14.25">
      <c r="R4006" s="20">
        <v>3979</v>
      </c>
    </row>
    <row r="4007" spans="18:18" ht="14.25">
      <c r="R4007" s="20">
        <v>3980</v>
      </c>
    </row>
    <row r="4008" spans="18:18" ht="14.25">
      <c r="R4008" s="20">
        <v>3981</v>
      </c>
    </row>
    <row r="4009" spans="18:18" ht="14.25">
      <c r="R4009" s="20">
        <v>3982</v>
      </c>
    </row>
    <row r="4010" spans="18:18" ht="14.25">
      <c r="R4010" s="20">
        <v>3983</v>
      </c>
    </row>
    <row r="4011" spans="18:18" ht="14.25">
      <c r="R4011" s="20">
        <v>3984</v>
      </c>
    </row>
    <row r="4012" spans="18:18" ht="14.25">
      <c r="R4012" s="20">
        <v>3985</v>
      </c>
    </row>
    <row r="4013" spans="18:18" ht="14.25">
      <c r="R4013" s="20">
        <v>3986</v>
      </c>
    </row>
    <row r="4014" spans="18:18" ht="14.25">
      <c r="R4014" s="20">
        <v>3987</v>
      </c>
    </row>
    <row r="4015" spans="18:18" ht="14.25">
      <c r="R4015" s="20">
        <v>3988</v>
      </c>
    </row>
    <row r="4016" spans="18:18" ht="14.25">
      <c r="R4016" s="20">
        <v>3989</v>
      </c>
    </row>
    <row r="4017" spans="18:18" ht="14.25">
      <c r="R4017" s="20">
        <v>3990</v>
      </c>
    </row>
    <row r="4018" spans="18:18" ht="14.25">
      <c r="R4018" s="20">
        <v>3991</v>
      </c>
    </row>
    <row r="4019" spans="18:18" ht="14.25">
      <c r="R4019" s="20">
        <v>3992</v>
      </c>
    </row>
    <row r="4020" spans="18:18" ht="14.25">
      <c r="R4020" s="20">
        <v>3993</v>
      </c>
    </row>
    <row r="4021" spans="18:18" ht="14.25">
      <c r="R4021" s="20">
        <v>3994</v>
      </c>
    </row>
    <row r="4022" spans="18:18" ht="14.25">
      <c r="R4022" s="20">
        <v>3995</v>
      </c>
    </row>
    <row r="4023" spans="18:18" ht="14.25">
      <c r="R4023" s="20">
        <v>3996</v>
      </c>
    </row>
    <row r="4024" spans="18:18" ht="14.25">
      <c r="R4024" s="20">
        <v>3997</v>
      </c>
    </row>
    <row r="4025" spans="18:18" ht="14.25">
      <c r="R4025" s="20">
        <v>3998</v>
      </c>
    </row>
    <row r="4026" spans="18:18" ht="14.25">
      <c r="R4026" s="20">
        <v>3999</v>
      </c>
    </row>
    <row r="4027" spans="18:18" ht="14.25">
      <c r="R4027" s="20">
        <v>4000</v>
      </c>
    </row>
    <row r="4028" spans="18:18" ht="14.25">
      <c r="R4028" s="20">
        <v>4001</v>
      </c>
    </row>
    <row r="4029" spans="18:18" ht="14.25">
      <c r="R4029" s="20">
        <v>4002</v>
      </c>
    </row>
    <row r="4030" spans="18:18" ht="14.25">
      <c r="R4030" s="20">
        <v>4003</v>
      </c>
    </row>
    <row r="4031" spans="18:18" ht="14.25">
      <c r="R4031" s="20">
        <v>4004</v>
      </c>
    </row>
    <row r="4032" spans="18:18" ht="14.25">
      <c r="R4032" s="20">
        <v>4005</v>
      </c>
    </row>
    <row r="4033" spans="18:18" ht="14.25">
      <c r="R4033" s="20">
        <v>4006</v>
      </c>
    </row>
    <row r="4034" spans="18:18" ht="14.25">
      <c r="R4034" s="20">
        <v>4007</v>
      </c>
    </row>
    <row r="4035" spans="18:18" ht="14.25">
      <c r="R4035" s="20">
        <v>4008</v>
      </c>
    </row>
    <row r="4036" spans="18:18" ht="14.25">
      <c r="R4036" s="20">
        <v>4009</v>
      </c>
    </row>
    <row r="4037" spans="18:18" ht="14.25">
      <c r="R4037" s="20">
        <v>4010</v>
      </c>
    </row>
    <row r="4038" spans="18:18" ht="14.25">
      <c r="R4038" s="20">
        <v>4011</v>
      </c>
    </row>
    <row r="4039" spans="18:18" ht="14.25">
      <c r="R4039" s="20">
        <v>4012</v>
      </c>
    </row>
    <row r="4040" spans="18:18" ht="14.25">
      <c r="R4040" s="20">
        <v>4013</v>
      </c>
    </row>
    <row r="4041" spans="18:18" ht="14.25">
      <c r="R4041" s="20">
        <v>4014</v>
      </c>
    </row>
    <row r="4042" spans="18:18" ht="14.25">
      <c r="R4042" s="20">
        <v>4015</v>
      </c>
    </row>
    <row r="4043" spans="18:18" ht="14.25">
      <c r="R4043" s="20">
        <v>4016</v>
      </c>
    </row>
    <row r="4044" spans="18:18" ht="14.25">
      <c r="R4044" s="20">
        <v>4017</v>
      </c>
    </row>
    <row r="4045" spans="18:18" ht="14.25">
      <c r="R4045" s="20">
        <v>4018</v>
      </c>
    </row>
    <row r="4046" spans="18:18" ht="14.25">
      <c r="R4046" s="20">
        <v>4019</v>
      </c>
    </row>
    <row r="4047" spans="18:18" ht="14.25">
      <c r="R4047" s="20">
        <v>4020</v>
      </c>
    </row>
    <row r="4048" spans="18:18" ht="14.25">
      <c r="R4048" s="20">
        <v>4021</v>
      </c>
    </row>
    <row r="4049" spans="18:18" ht="14.25">
      <c r="R4049" s="20">
        <v>4022</v>
      </c>
    </row>
    <row r="4050" spans="18:18" ht="14.25">
      <c r="R4050" s="20">
        <v>4023</v>
      </c>
    </row>
    <row r="4051" spans="18:18" ht="14.25">
      <c r="R4051" s="20">
        <v>4024</v>
      </c>
    </row>
    <row r="4052" spans="18:18" ht="14.25">
      <c r="R4052" s="20">
        <v>4025</v>
      </c>
    </row>
    <row r="4053" spans="18:18" ht="14.25">
      <c r="R4053" s="20">
        <v>4026</v>
      </c>
    </row>
    <row r="4054" spans="18:18" ht="14.25">
      <c r="R4054" s="20">
        <v>4027</v>
      </c>
    </row>
    <row r="4055" spans="18:18" ht="14.25">
      <c r="R4055" s="20">
        <v>4028</v>
      </c>
    </row>
    <row r="4056" spans="18:18" ht="14.25">
      <c r="R4056" s="20">
        <v>4029</v>
      </c>
    </row>
    <row r="4057" spans="18:18" ht="14.25">
      <c r="R4057" s="20">
        <v>4030</v>
      </c>
    </row>
    <row r="4058" spans="18:18" ht="14.25">
      <c r="R4058" s="20">
        <v>4031</v>
      </c>
    </row>
    <row r="4059" spans="18:18" ht="14.25">
      <c r="R4059" s="20">
        <v>4032</v>
      </c>
    </row>
    <row r="4060" spans="18:18" ht="14.25">
      <c r="R4060" s="20">
        <v>4033</v>
      </c>
    </row>
    <row r="4061" spans="18:18" ht="14.25">
      <c r="R4061" s="20">
        <v>4034</v>
      </c>
    </row>
    <row r="4062" spans="18:18" ht="14.25">
      <c r="R4062" s="20">
        <v>4035</v>
      </c>
    </row>
    <row r="4063" spans="18:18" ht="14.25">
      <c r="R4063" s="20">
        <v>4036</v>
      </c>
    </row>
    <row r="4064" spans="18:18" ht="14.25">
      <c r="R4064" s="20">
        <v>4037</v>
      </c>
    </row>
    <row r="4065" spans="18:18" ht="14.25">
      <c r="R4065" s="20">
        <v>4038</v>
      </c>
    </row>
    <row r="4066" spans="18:18" ht="14.25">
      <c r="R4066" s="20">
        <v>4039</v>
      </c>
    </row>
    <row r="4067" spans="18:18" ht="14.25">
      <c r="R4067" s="20">
        <v>4040</v>
      </c>
    </row>
    <row r="4068" spans="18:18" ht="14.25">
      <c r="R4068" s="20">
        <v>4041</v>
      </c>
    </row>
    <row r="4069" spans="18:18" ht="14.25">
      <c r="R4069" s="20">
        <v>4042</v>
      </c>
    </row>
    <row r="4070" spans="18:18" ht="14.25">
      <c r="R4070" s="20">
        <v>4043</v>
      </c>
    </row>
    <row r="4071" spans="18:18" ht="14.25">
      <c r="R4071" s="20">
        <v>4044</v>
      </c>
    </row>
    <row r="4072" spans="18:18" ht="14.25">
      <c r="R4072" s="20">
        <v>4045</v>
      </c>
    </row>
    <row r="4073" spans="18:18" ht="14.25">
      <c r="R4073" s="20">
        <v>4046</v>
      </c>
    </row>
    <row r="4074" spans="18:18" ht="14.25">
      <c r="R4074" s="20">
        <v>4047</v>
      </c>
    </row>
    <row r="4075" spans="18:18" ht="14.25">
      <c r="R4075" s="20">
        <v>4048</v>
      </c>
    </row>
    <row r="4076" spans="18:18" ht="14.25">
      <c r="R4076" s="20">
        <v>4049</v>
      </c>
    </row>
    <row r="4077" spans="18:18" ht="14.25">
      <c r="R4077" s="20">
        <v>4050</v>
      </c>
    </row>
    <row r="4078" spans="18:18" ht="14.25">
      <c r="R4078" s="20">
        <v>4051</v>
      </c>
    </row>
    <row r="4079" spans="18:18" ht="14.25">
      <c r="R4079" s="20">
        <v>4052</v>
      </c>
    </row>
    <row r="4080" spans="18:18" ht="14.25">
      <c r="R4080" s="20">
        <v>4053</v>
      </c>
    </row>
    <row r="4081" spans="18:18" ht="14.25">
      <c r="R4081" s="20">
        <v>4054</v>
      </c>
    </row>
    <row r="4082" spans="18:18" ht="14.25">
      <c r="R4082" s="20">
        <v>4055</v>
      </c>
    </row>
    <row r="4083" spans="18:18" ht="14.25">
      <c r="R4083" s="20">
        <v>4056</v>
      </c>
    </row>
    <row r="4084" spans="18:18" ht="14.25">
      <c r="R4084" s="20">
        <v>4057</v>
      </c>
    </row>
    <row r="4085" spans="18:18" ht="14.25">
      <c r="R4085" s="20">
        <v>4058</v>
      </c>
    </row>
    <row r="4086" spans="18:18" ht="14.25">
      <c r="R4086" s="20">
        <v>4059</v>
      </c>
    </row>
    <row r="4087" spans="18:18" ht="14.25">
      <c r="R4087" s="20">
        <v>4060</v>
      </c>
    </row>
    <row r="4088" spans="18:18" ht="14.25">
      <c r="R4088" s="20">
        <v>4061</v>
      </c>
    </row>
    <row r="4089" spans="18:18" ht="14.25">
      <c r="R4089" s="20">
        <v>4062</v>
      </c>
    </row>
    <row r="4090" spans="18:18" ht="14.25">
      <c r="R4090" s="20">
        <v>4063</v>
      </c>
    </row>
    <row r="4091" spans="18:18" ht="14.25">
      <c r="R4091" s="20">
        <v>4064</v>
      </c>
    </row>
    <row r="4092" spans="18:18" ht="14.25">
      <c r="R4092" s="20">
        <v>4065</v>
      </c>
    </row>
    <row r="4093" spans="18:18" ht="14.25">
      <c r="R4093" s="20">
        <v>4066</v>
      </c>
    </row>
    <row r="4094" spans="18:18" ht="14.25">
      <c r="R4094" s="20">
        <v>4067</v>
      </c>
    </row>
    <row r="4095" spans="18:18" ht="14.25">
      <c r="R4095" s="20">
        <v>4068</v>
      </c>
    </row>
    <row r="4096" spans="18:18" ht="14.25">
      <c r="R4096" s="20">
        <v>4069</v>
      </c>
    </row>
    <row r="4097" spans="18:18" ht="14.25">
      <c r="R4097" s="20">
        <v>4070</v>
      </c>
    </row>
    <row r="4098" spans="18:18" ht="14.25">
      <c r="R4098" s="20">
        <v>4071</v>
      </c>
    </row>
    <row r="4099" spans="18:18" ht="14.25">
      <c r="R4099" s="20">
        <v>4072</v>
      </c>
    </row>
    <row r="4100" spans="18:18" ht="14.25">
      <c r="R4100" s="20">
        <v>4073</v>
      </c>
    </row>
    <row r="4101" spans="18:18" ht="14.25">
      <c r="R4101" s="20">
        <v>4074</v>
      </c>
    </row>
    <row r="4102" spans="18:18" ht="14.25">
      <c r="R4102" s="20">
        <v>4075</v>
      </c>
    </row>
    <row r="4103" spans="18:18" ht="14.25">
      <c r="R4103" s="20">
        <v>4076</v>
      </c>
    </row>
    <row r="4104" spans="18:18" ht="14.25">
      <c r="R4104" s="20">
        <v>4077</v>
      </c>
    </row>
    <row r="4105" spans="18:18" ht="14.25">
      <c r="R4105" s="20">
        <v>4078</v>
      </c>
    </row>
    <row r="4106" spans="18:18" ht="14.25">
      <c r="R4106" s="20">
        <v>4079</v>
      </c>
    </row>
    <row r="4107" spans="18:18" ht="14.25">
      <c r="R4107" s="20">
        <v>4080</v>
      </c>
    </row>
    <row r="4108" spans="18:18" ht="14.25">
      <c r="R4108" s="20">
        <v>4081</v>
      </c>
    </row>
    <row r="4109" spans="18:18" ht="14.25">
      <c r="R4109" s="20">
        <v>4082</v>
      </c>
    </row>
    <row r="4110" spans="18:18" ht="14.25">
      <c r="R4110" s="20">
        <v>4083</v>
      </c>
    </row>
    <row r="4111" spans="18:18" ht="14.25">
      <c r="R4111" s="20">
        <v>4084</v>
      </c>
    </row>
    <row r="4112" spans="18:18" ht="14.25">
      <c r="R4112" s="20">
        <v>4085</v>
      </c>
    </row>
    <row r="4113" spans="18:18" ht="14.25">
      <c r="R4113" s="20">
        <v>4086</v>
      </c>
    </row>
    <row r="4114" spans="18:18" ht="14.25">
      <c r="R4114" s="20">
        <v>4087</v>
      </c>
    </row>
    <row r="4115" spans="18:18" ht="14.25">
      <c r="R4115" s="20">
        <v>4088</v>
      </c>
    </row>
    <row r="4116" spans="18:18" ht="14.25">
      <c r="R4116" s="20">
        <v>4089</v>
      </c>
    </row>
    <row r="4117" spans="18:18" ht="14.25">
      <c r="R4117" s="20">
        <v>4090</v>
      </c>
    </row>
    <row r="4118" spans="18:18" ht="14.25">
      <c r="R4118" s="20">
        <v>4091</v>
      </c>
    </row>
    <row r="4119" spans="18:18" ht="14.25">
      <c r="R4119" s="20">
        <v>4092</v>
      </c>
    </row>
    <row r="4120" spans="18:18" ht="14.25">
      <c r="R4120" s="20">
        <v>4093</v>
      </c>
    </row>
    <row r="4121" spans="18:18" ht="14.25">
      <c r="R4121" s="20">
        <v>4094</v>
      </c>
    </row>
    <row r="4122" spans="18:18" ht="14.25">
      <c r="R4122" s="20">
        <v>4095</v>
      </c>
    </row>
    <row r="4123" spans="18:18" ht="14.25">
      <c r="R4123" s="20">
        <v>4096</v>
      </c>
    </row>
    <row r="4124" spans="18:18" ht="14.25">
      <c r="R4124" s="20">
        <v>4097</v>
      </c>
    </row>
    <row r="4125" spans="18:18" ht="14.25">
      <c r="R4125" s="20">
        <v>4098</v>
      </c>
    </row>
    <row r="4126" spans="18:18" ht="14.25">
      <c r="R4126" s="20">
        <v>4099</v>
      </c>
    </row>
    <row r="4127" spans="18:18" ht="14.25">
      <c r="R4127" s="20">
        <v>4100</v>
      </c>
    </row>
    <row r="4128" spans="18:18" ht="14.25">
      <c r="R4128" s="20">
        <v>4101</v>
      </c>
    </row>
    <row r="4129" spans="18:18" ht="14.25">
      <c r="R4129" s="20">
        <v>4102</v>
      </c>
    </row>
    <row r="4130" spans="18:18" ht="14.25">
      <c r="R4130" s="20">
        <v>4103</v>
      </c>
    </row>
    <row r="4131" spans="18:18" ht="14.25">
      <c r="R4131" s="20">
        <v>4104</v>
      </c>
    </row>
    <row r="4132" spans="18:18" ht="14.25">
      <c r="R4132" s="20">
        <v>4105</v>
      </c>
    </row>
    <row r="4133" spans="18:18" ht="14.25">
      <c r="R4133" s="20">
        <v>4106</v>
      </c>
    </row>
    <row r="4134" spans="18:18" ht="14.25">
      <c r="R4134" s="20">
        <v>4107</v>
      </c>
    </row>
    <row r="4135" spans="18:18" ht="14.25">
      <c r="R4135" s="20">
        <v>4108</v>
      </c>
    </row>
    <row r="4136" spans="18:18" ht="14.25">
      <c r="R4136" s="20">
        <v>4109</v>
      </c>
    </row>
    <row r="4137" spans="18:18" ht="14.25">
      <c r="R4137" s="20">
        <v>4110</v>
      </c>
    </row>
    <row r="4138" spans="18:18" ht="14.25">
      <c r="R4138" s="20">
        <v>4111</v>
      </c>
    </row>
    <row r="4139" spans="18:18" ht="14.25">
      <c r="R4139" s="20">
        <v>4112</v>
      </c>
    </row>
    <row r="4140" spans="18:18" ht="14.25">
      <c r="R4140" s="20">
        <v>4113</v>
      </c>
    </row>
    <row r="4141" spans="18:18" ht="14.25">
      <c r="R4141" s="20">
        <v>4114</v>
      </c>
    </row>
    <row r="4142" spans="18:18" ht="14.25">
      <c r="R4142" s="20">
        <v>4115</v>
      </c>
    </row>
    <row r="4143" spans="18:18" ht="14.25">
      <c r="R4143" s="20">
        <v>4116</v>
      </c>
    </row>
    <row r="4144" spans="18:18" ht="14.25">
      <c r="R4144" s="20">
        <v>4117</v>
      </c>
    </row>
    <row r="4145" spans="18:18" ht="14.25">
      <c r="R4145" s="20">
        <v>4118</v>
      </c>
    </row>
    <row r="4146" spans="18:18" ht="14.25">
      <c r="R4146" s="20">
        <v>4119</v>
      </c>
    </row>
    <row r="4147" spans="18:18" ht="14.25">
      <c r="R4147" s="20">
        <v>4120</v>
      </c>
    </row>
    <row r="4148" spans="18:18" ht="14.25">
      <c r="R4148" s="20">
        <v>4121</v>
      </c>
    </row>
    <row r="4149" spans="18:18" ht="14.25">
      <c r="R4149" s="20">
        <v>4122</v>
      </c>
    </row>
    <row r="4150" spans="18:18" ht="14.25">
      <c r="R4150" s="20">
        <v>4123</v>
      </c>
    </row>
    <row r="4151" spans="18:18" ht="14.25">
      <c r="R4151" s="20">
        <v>4124</v>
      </c>
    </row>
    <row r="4152" spans="18:18" ht="14.25">
      <c r="R4152" s="20">
        <v>4125</v>
      </c>
    </row>
    <row r="4153" spans="18:18" ht="14.25">
      <c r="R4153" s="20">
        <v>4126</v>
      </c>
    </row>
    <row r="4154" spans="18:18" ht="14.25">
      <c r="R4154" s="20">
        <v>4127</v>
      </c>
    </row>
    <row r="4155" spans="18:18" ht="14.25">
      <c r="R4155" s="20">
        <v>4128</v>
      </c>
    </row>
    <row r="4156" spans="18:18" ht="14.25">
      <c r="R4156" s="20">
        <v>4129</v>
      </c>
    </row>
    <row r="4157" spans="18:18" ht="14.25">
      <c r="R4157" s="20">
        <v>4130</v>
      </c>
    </row>
    <row r="4158" spans="18:18" ht="14.25">
      <c r="R4158" s="20">
        <v>4131</v>
      </c>
    </row>
    <row r="4159" spans="18:18" ht="14.25">
      <c r="R4159" s="20">
        <v>4132</v>
      </c>
    </row>
    <row r="4160" spans="18:18" ht="14.25">
      <c r="R4160" s="20">
        <v>4133</v>
      </c>
    </row>
    <row r="4161" spans="18:18" ht="14.25">
      <c r="R4161" s="20">
        <v>4134</v>
      </c>
    </row>
    <row r="4162" spans="18:18" ht="14.25">
      <c r="R4162" s="20">
        <v>4135</v>
      </c>
    </row>
    <row r="4163" spans="18:18" ht="14.25">
      <c r="R4163" s="20">
        <v>4136</v>
      </c>
    </row>
    <row r="4164" spans="18:18" ht="14.25">
      <c r="R4164" s="20">
        <v>4137</v>
      </c>
    </row>
    <row r="4165" spans="18:18" ht="14.25">
      <c r="R4165" s="20">
        <v>4138</v>
      </c>
    </row>
    <row r="4166" spans="18:18" ht="14.25">
      <c r="R4166" s="20">
        <v>4139</v>
      </c>
    </row>
    <row r="4167" spans="18:18" ht="14.25">
      <c r="R4167" s="20">
        <v>4140</v>
      </c>
    </row>
    <row r="4168" spans="18:18" ht="14.25">
      <c r="R4168" s="20">
        <v>4141</v>
      </c>
    </row>
    <row r="4169" spans="18:18" ht="14.25">
      <c r="R4169" s="20">
        <v>4142</v>
      </c>
    </row>
    <row r="4170" spans="18:18" ht="14.25">
      <c r="R4170" s="20">
        <v>4143</v>
      </c>
    </row>
    <row r="4171" spans="18:18" ht="14.25">
      <c r="R4171" s="20">
        <v>4144</v>
      </c>
    </row>
    <row r="4172" spans="18:18" ht="14.25">
      <c r="R4172" s="20">
        <v>4145</v>
      </c>
    </row>
    <row r="4173" spans="18:18" ht="14.25">
      <c r="R4173" s="20">
        <v>4146</v>
      </c>
    </row>
    <row r="4174" spans="18:18" ht="14.25">
      <c r="R4174" s="20">
        <v>4147</v>
      </c>
    </row>
    <row r="4175" spans="18:18" ht="14.25">
      <c r="R4175" s="20">
        <v>4148</v>
      </c>
    </row>
    <row r="4176" spans="18:18" ht="14.25">
      <c r="R4176" s="20">
        <v>4149</v>
      </c>
    </row>
    <row r="4177" spans="18:18" ht="14.25">
      <c r="R4177" s="20">
        <v>4150</v>
      </c>
    </row>
    <row r="4178" spans="18:18" ht="14.25">
      <c r="R4178" s="20">
        <v>4151</v>
      </c>
    </row>
    <row r="4179" spans="18:18" ht="14.25">
      <c r="R4179" s="20">
        <v>4152</v>
      </c>
    </row>
    <row r="4180" spans="18:18" ht="14.25">
      <c r="R4180" s="20">
        <v>4153</v>
      </c>
    </row>
    <row r="4181" spans="18:18" ht="14.25">
      <c r="R4181" s="20">
        <v>4154</v>
      </c>
    </row>
    <row r="4182" spans="18:18" ht="14.25">
      <c r="R4182" s="20">
        <v>4155</v>
      </c>
    </row>
    <row r="4183" spans="18:18" ht="14.25">
      <c r="R4183" s="20">
        <v>4156</v>
      </c>
    </row>
    <row r="4184" spans="18:18" ht="14.25">
      <c r="R4184" s="20">
        <v>4157</v>
      </c>
    </row>
    <row r="4185" spans="18:18" ht="14.25">
      <c r="R4185" s="20">
        <v>4158</v>
      </c>
    </row>
    <row r="4186" spans="18:18" ht="14.25">
      <c r="R4186" s="20">
        <v>4159</v>
      </c>
    </row>
    <row r="4187" spans="18:18" ht="14.25">
      <c r="R4187" s="20">
        <v>4160</v>
      </c>
    </row>
    <row r="4188" spans="18:18" ht="14.25">
      <c r="R4188" s="20">
        <v>4161</v>
      </c>
    </row>
    <row r="4189" spans="18:18" ht="14.25">
      <c r="R4189" s="20">
        <v>4162</v>
      </c>
    </row>
    <row r="4190" spans="18:18" ht="14.25">
      <c r="R4190" s="20">
        <v>4163</v>
      </c>
    </row>
    <row r="4191" spans="18:18" ht="14.25">
      <c r="R4191" s="20">
        <v>4164</v>
      </c>
    </row>
    <row r="4192" spans="18:18" ht="14.25">
      <c r="R4192" s="20">
        <v>4165</v>
      </c>
    </row>
    <row r="4193" spans="18:18" ht="14.25">
      <c r="R4193" s="20">
        <v>4166</v>
      </c>
    </row>
    <row r="4194" spans="18:18" ht="14.25">
      <c r="R4194" s="20">
        <v>4167</v>
      </c>
    </row>
    <row r="4195" spans="18:18" ht="14.25">
      <c r="R4195" s="20">
        <v>4168</v>
      </c>
    </row>
    <row r="4196" spans="18:18" ht="14.25">
      <c r="R4196" s="20">
        <v>4169</v>
      </c>
    </row>
    <row r="4197" spans="18:18" ht="14.25">
      <c r="R4197" s="20">
        <v>4170</v>
      </c>
    </row>
    <row r="4198" spans="18:18" ht="14.25">
      <c r="R4198" s="20">
        <v>4171</v>
      </c>
    </row>
    <row r="4199" spans="18:18" ht="14.25">
      <c r="R4199" s="20">
        <v>4172</v>
      </c>
    </row>
    <row r="4200" spans="18:18" ht="14.25">
      <c r="R4200" s="20">
        <v>4173</v>
      </c>
    </row>
    <row r="4201" spans="18:18" ht="14.25">
      <c r="R4201" s="20">
        <v>4174</v>
      </c>
    </row>
    <row r="4202" spans="18:18" ht="14.25">
      <c r="R4202" s="20">
        <v>4175</v>
      </c>
    </row>
    <row r="4203" spans="18:18" ht="14.25">
      <c r="R4203" s="20">
        <v>4176</v>
      </c>
    </row>
    <row r="4204" spans="18:18" ht="14.25">
      <c r="R4204" s="20">
        <v>4177</v>
      </c>
    </row>
    <row r="4205" spans="18:18" ht="14.25">
      <c r="R4205" s="20">
        <v>4178</v>
      </c>
    </row>
    <row r="4206" spans="18:18" ht="14.25">
      <c r="R4206" s="20">
        <v>4179</v>
      </c>
    </row>
    <row r="4207" spans="18:18" ht="14.25">
      <c r="R4207" s="20">
        <v>4180</v>
      </c>
    </row>
    <row r="4208" spans="18:18" ht="14.25">
      <c r="R4208" s="20">
        <v>4181</v>
      </c>
    </row>
    <row r="4209" spans="18:18" ht="14.25">
      <c r="R4209" s="20">
        <v>4182</v>
      </c>
    </row>
    <row r="4210" spans="18:18" ht="14.25">
      <c r="R4210" s="20">
        <v>4183</v>
      </c>
    </row>
    <row r="4211" spans="18:18" ht="14.25">
      <c r="R4211" s="20">
        <v>4184</v>
      </c>
    </row>
    <row r="4212" spans="18:18" ht="14.25">
      <c r="R4212" s="20">
        <v>4185</v>
      </c>
    </row>
    <row r="4213" spans="18:18" ht="14.25">
      <c r="R4213" s="20">
        <v>4186</v>
      </c>
    </row>
    <row r="4214" spans="18:18" ht="14.25">
      <c r="R4214" s="20">
        <v>4187</v>
      </c>
    </row>
    <row r="4215" spans="18:18" ht="14.25">
      <c r="R4215" s="20">
        <v>4188</v>
      </c>
    </row>
    <row r="4216" spans="18:18" ht="14.25">
      <c r="R4216" s="20">
        <v>4189</v>
      </c>
    </row>
    <row r="4217" spans="18:18" ht="14.25">
      <c r="R4217" s="20">
        <v>4190</v>
      </c>
    </row>
    <row r="4218" spans="18:18" ht="14.25">
      <c r="R4218" s="20">
        <v>4191</v>
      </c>
    </row>
    <row r="4219" spans="18:18" ht="14.25">
      <c r="R4219" s="20">
        <v>4192</v>
      </c>
    </row>
    <row r="4220" spans="18:18" ht="14.25">
      <c r="R4220" s="20">
        <v>4193</v>
      </c>
    </row>
    <row r="4221" spans="18:18" ht="14.25">
      <c r="R4221" s="20">
        <v>4194</v>
      </c>
    </row>
    <row r="4222" spans="18:18" ht="14.25">
      <c r="R4222" s="20">
        <v>4195</v>
      </c>
    </row>
    <row r="4223" spans="18:18" ht="14.25">
      <c r="R4223" s="20">
        <v>4196</v>
      </c>
    </row>
    <row r="4224" spans="18:18" ht="14.25">
      <c r="R4224" s="20">
        <v>4197</v>
      </c>
    </row>
    <row r="4225" spans="18:18" ht="14.25">
      <c r="R4225" s="20">
        <v>4198</v>
      </c>
    </row>
    <row r="4226" spans="18:18" ht="14.25">
      <c r="R4226" s="20">
        <v>4199</v>
      </c>
    </row>
    <row r="4227" spans="18:18" ht="14.25">
      <c r="R4227" s="20">
        <v>4200</v>
      </c>
    </row>
    <row r="4228" spans="18:18" ht="14.25">
      <c r="R4228" s="20">
        <v>4201</v>
      </c>
    </row>
    <row r="4229" spans="18:18" ht="14.25">
      <c r="R4229" s="20">
        <v>4202</v>
      </c>
    </row>
    <row r="4230" spans="18:18" ht="14.25">
      <c r="R4230" s="20">
        <v>4203</v>
      </c>
    </row>
    <row r="4231" spans="18:18" ht="14.25">
      <c r="R4231" s="20">
        <v>4204</v>
      </c>
    </row>
    <row r="4232" spans="18:18" ht="14.25">
      <c r="R4232" s="20">
        <v>4205</v>
      </c>
    </row>
    <row r="4233" spans="18:18" ht="14.25">
      <c r="R4233" s="20">
        <v>4206</v>
      </c>
    </row>
    <row r="4234" spans="18:18" ht="14.25">
      <c r="R4234" s="20">
        <v>4207</v>
      </c>
    </row>
    <row r="4235" spans="18:18" ht="14.25">
      <c r="R4235" s="20">
        <v>4208</v>
      </c>
    </row>
    <row r="4236" spans="18:18" ht="14.25">
      <c r="R4236" s="20">
        <v>4209</v>
      </c>
    </row>
    <row r="4237" spans="18:18" ht="14.25">
      <c r="R4237" s="20">
        <v>4210</v>
      </c>
    </row>
    <row r="4238" spans="18:18" ht="14.25">
      <c r="R4238" s="20">
        <v>4211</v>
      </c>
    </row>
    <row r="4239" spans="18:18" ht="14.25">
      <c r="R4239" s="20">
        <v>4212</v>
      </c>
    </row>
    <row r="4240" spans="18:18" ht="14.25">
      <c r="R4240" s="20">
        <v>4213</v>
      </c>
    </row>
    <row r="4241" spans="18:18" ht="14.25">
      <c r="R4241" s="20">
        <v>4214</v>
      </c>
    </row>
    <row r="4242" spans="18:18" ht="14.25">
      <c r="R4242" s="20">
        <v>4215</v>
      </c>
    </row>
    <row r="4243" spans="18:18" ht="14.25">
      <c r="R4243" s="20">
        <v>4216</v>
      </c>
    </row>
    <row r="4244" spans="18:18" ht="14.25">
      <c r="R4244" s="20">
        <v>4217</v>
      </c>
    </row>
    <row r="4245" spans="18:18" ht="14.25">
      <c r="R4245" s="20">
        <v>4218</v>
      </c>
    </row>
    <row r="4246" spans="18:18" ht="14.25">
      <c r="R4246" s="20">
        <v>4219</v>
      </c>
    </row>
    <row r="4247" spans="18:18" ht="14.25">
      <c r="R4247" s="20">
        <v>4220</v>
      </c>
    </row>
    <row r="4248" spans="18:18" ht="14.25">
      <c r="R4248" s="20">
        <v>4221</v>
      </c>
    </row>
    <row r="4249" spans="18:18" ht="14.25">
      <c r="R4249" s="20">
        <v>4222</v>
      </c>
    </row>
    <row r="4250" spans="18:18" ht="14.25">
      <c r="R4250" s="20">
        <v>4223</v>
      </c>
    </row>
    <row r="4251" spans="18:18" ht="14.25">
      <c r="R4251" s="20">
        <v>4224</v>
      </c>
    </row>
    <row r="4252" spans="18:18" ht="14.25">
      <c r="R4252" s="20">
        <v>4225</v>
      </c>
    </row>
    <row r="4253" spans="18:18" ht="14.25">
      <c r="R4253" s="20">
        <v>4226</v>
      </c>
    </row>
    <row r="4254" spans="18:18" ht="14.25">
      <c r="R4254" s="20">
        <v>4227</v>
      </c>
    </row>
    <row r="4255" spans="18:18" ht="14.25">
      <c r="R4255" s="20">
        <v>4228</v>
      </c>
    </row>
    <row r="4256" spans="18:18" ht="14.25">
      <c r="R4256" s="20">
        <v>4229</v>
      </c>
    </row>
    <row r="4257" spans="18:18" ht="14.25">
      <c r="R4257" s="20">
        <v>4230</v>
      </c>
    </row>
    <row r="4258" spans="18:18" ht="14.25">
      <c r="R4258" s="20">
        <v>4231</v>
      </c>
    </row>
    <row r="4259" spans="18:18" ht="14.25">
      <c r="R4259" s="20">
        <v>4232</v>
      </c>
    </row>
    <row r="4260" spans="18:18" ht="14.25">
      <c r="R4260" s="20">
        <v>4233</v>
      </c>
    </row>
    <row r="4261" spans="18:18" ht="14.25">
      <c r="R4261" s="20">
        <v>4234</v>
      </c>
    </row>
    <row r="4262" spans="18:18" ht="14.25">
      <c r="R4262" s="20">
        <v>4235</v>
      </c>
    </row>
    <row r="4263" spans="18:18" ht="14.25">
      <c r="R4263" s="20">
        <v>4236</v>
      </c>
    </row>
    <row r="4264" spans="18:18" ht="14.25">
      <c r="R4264" s="20">
        <v>4237</v>
      </c>
    </row>
    <row r="4265" spans="18:18" ht="14.25">
      <c r="R4265" s="20">
        <v>4238</v>
      </c>
    </row>
    <row r="4266" spans="18:18" ht="14.25">
      <c r="R4266" s="20">
        <v>4239</v>
      </c>
    </row>
    <row r="4267" spans="18:18" ht="14.25">
      <c r="R4267" s="20">
        <v>4240</v>
      </c>
    </row>
    <row r="4268" spans="18:18" ht="14.25">
      <c r="R4268" s="20">
        <v>4241</v>
      </c>
    </row>
    <row r="4269" spans="18:18" ht="14.25">
      <c r="R4269" s="20">
        <v>4242</v>
      </c>
    </row>
    <row r="4270" spans="18:18" ht="14.25">
      <c r="R4270" s="20">
        <v>4243</v>
      </c>
    </row>
    <row r="4271" spans="18:18" ht="14.25">
      <c r="R4271" s="20">
        <v>4244</v>
      </c>
    </row>
    <row r="4272" spans="18:18" ht="14.25">
      <c r="R4272" s="20">
        <v>4245</v>
      </c>
    </row>
    <row r="4273" spans="18:18" ht="14.25">
      <c r="R4273" s="20">
        <v>4246</v>
      </c>
    </row>
    <row r="4274" spans="18:18" ht="14.25">
      <c r="R4274" s="20">
        <v>4247</v>
      </c>
    </row>
    <row r="4275" spans="18:18" ht="14.25">
      <c r="R4275" s="20">
        <v>4248</v>
      </c>
    </row>
    <row r="4276" spans="18:18" ht="14.25">
      <c r="R4276" s="20">
        <v>4249</v>
      </c>
    </row>
    <row r="4277" spans="18:18" ht="14.25">
      <c r="R4277" s="20">
        <v>4250</v>
      </c>
    </row>
    <row r="4278" spans="18:18" ht="14.25">
      <c r="R4278" s="20">
        <v>4251</v>
      </c>
    </row>
    <row r="4279" spans="18:18" ht="14.25">
      <c r="R4279" s="20">
        <v>4252</v>
      </c>
    </row>
    <row r="4280" spans="18:18" ht="14.25">
      <c r="R4280" s="20">
        <v>4253</v>
      </c>
    </row>
    <row r="4281" spans="18:18" ht="14.25">
      <c r="R4281" s="20">
        <v>4254</v>
      </c>
    </row>
    <row r="4282" spans="18:18" ht="14.25">
      <c r="R4282" s="20">
        <v>4255</v>
      </c>
    </row>
    <row r="4283" spans="18:18" ht="14.25">
      <c r="R4283" s="20">
        <v>4256</v>
      </c>
    </row>
    <row r="4284" spans="18:18" ht="14.25">
      <c r="R4284" s="20">
        <v>4257</v>
      </c>
    </row>
    <row r="4285" spans="18:18" ht="14.25">
      <c r="R4285" s="20">
        <v>4258</v>
      </c>
    </row>
    <row r="4286" spans="18:18" ht="14.25">
      <c r="R4286" s="20">
        <v>4259</v>
      </c>
    </row>
    <row r="4287" spans="18:18" ht="14.25">
      <c r="R4287" s="20">
        <v>4260</v>
      </c>
    </row>
    <row r="4288" spans="18:18" ht="14.25">
      <c r="R4288" s="20">
        <v>4261</v>
      </c>
    </row>
    <row r="4289" spans="18:18" ht="14.25">
      <c r="R4289" s="20">
        <v>4262</v>
      </c>
    </row>
    <row r="4290" spans="18:18" ht="14.25">
      <c r="R4290" s="20">
        <v>4263</v>
      </c>
    </row>
    <row r="4291" spans="18:18" ht="14.25">
      <c r="R4291" s="20">
        <v>4264</v>
      </c>
    </row>
    <row r="4292" spans="18:18" ht="14.25">
      <c r="R4292" s="20">
        <v>4265</v>
      </c>
    </row>
    <row r="4293" spans="18:18" ht="14.25">
      <c r="R4293" s="20">
        <v>4266</v>
      </c>
    </row>
    <row r="4294" spans="18:18" ht="14.25">
      <c r="R4294" s="20">
        <v>4267</v>
      </c>
    </row>
    <row r="4295" spans="18:18" ht="14.25">
      <c r="R4295" s="20">
        <v>4268</v>
      </c>
    </row>
    <row r="4296" spans="18:18" ht="14.25">
      <c r="R4296" s="20">
        <v>4269</v>
      </c>
    </row>
    <row r="4297" spans="18:18" ht="14.25">
      <c r="R4297" s="20">
        <v>4270</v>
      </c>
    </row>
    <row r="4298" spans="18:18" ht="14.25">
      <c r="R4298" s="20">
        <v>4271</v>
      </c>
    </row>
    <row r="4299" spans="18:18" ht="14.25">
      <c r="R4299" s="20">
        <v>4272</v>
      </c>
    </row>
    <row r="4300" spans="18:18" ht="14.25">
      <c r="R4300" s="20">
        <v>4273</v>
      </c>
    </row>
    <row r="4301" spans="18:18" ht="14.25">
      <c r="R4301" s="20">
        <v>4274</v>
      </c>
    </row>
    <row r="4302" spans="18:18" ht="14.25">
      <c r="R4302" s="20">
        <v>4275</v>
      </c>
    </row>
    <row r="4303" spans="18:18" ht="14.25">
      <c r="R4303" s="20">
        <v>4276</v>
      </c>
    </row>
    <row r="4304" spans="18:18" ht="14.25">
      <c r="R4304" s="20">
        <v>4277</v>
      </c>
    </row>
    <row r="4305" spans="18:18" ht="14.25">
      <c r="R4305" s="20">
        <v>4278</v>
      </c>
    </row>
    <row r="4306" spans="18:18" ht="14.25">
      <c r="R4306" s="20">
        <v>4279</v>
      </c>
    </row>
    <row r="4307" spans="18:18" ht="14.25">
      <c r="R4307" s="20">
        <v>4280</v>
      </c>
    </row>
    <row r="4308" spans="18:18" ht="14.25">
      <c r="R4308" s="20">
        <v>4281</v>
      </c>
    </row>
    <row r="4309" spans="18:18" ht="14.25">
      <c r="R4309" s="20">
        <v>4282</v>
      </c>
    </row>
    <row r="4310" spans="18:18" ht="14.25">
      <c r="R4310" s="20">
        <v>4283</v>
      </c>
    </row>
    <row r="4311" spans="18:18" ht="14.25">
      <c r="R4311" s="20">
        <v>4284</v>
      </c>
    </row>
    <row r="4312" spans="18:18" ht="14.25">
      <c r="R4312" s="20">
        <v>4285</v>
      </c>
    </row>
    <row r="4313" spans="18:18" ht="14.25">
      <c r="R4313" s="20">
        <v>4286</v>
      </c>
    </row>
    <row r="4314" spans="18:18" ht="14.25">
      <c r="R4314" s="20">
        <v>4287</v>
      </c>
    </row>
    <row r="4315" spans="18:18" ht="14.25">
      <c r="R4315" s="20">
        <v>4288</v>
      </c>
    </row>
    <row r="4316" spans="18:18" ht="14.25">
      <c r="R4316" s="20">
        <v>4289</v>
      </c>
    </row>
    <row r="4317" spans="18:18" ht="14.25">
      <c r="R4317" s="20">
        <v>4290</v>
      </c>
    </row>
    <row r="4318" spans="18:18" ht="14.25">
      <c r="R4318" s="20">
        <v>4291</v>
      </c>
    </row>
    <row r="4319" spans="18:18" ht="14.25">
      <c r="R4319" s="20">
        <v>4292</v>
      </c>
    </row>
    <row r="4320" spans="18:18" ht="14.25">
      <c r="R4320" s="20">
        <v>4293</v>
      </c>
    </row>
    <row r="4321" spans="18:18" ht="14.25">
      <c r="R4321" s="20">
        <v>4294</v>
      </c>
    </row>
    <row r="4322" spans="18:18" ht="14.25">
      <c r="R4322" s="20">
        <v>4295</v>
      </c>
    </row>
    <row r="4323" spans="18:18" ht="14.25">
      <c r="R4323" s="20">
        <v>4296</v>
      </c>
    </row>
    <row r="4324" spans="18:18" ht="14.25">
      <c r="R4324" s="20">
        <v>4297</v>
      </c>
    </row>
    <row r="4325" spans="18:18" ht="14.25">
      <c r="R4325" s="20">
        <v>4298</v>
      </c>
    </row>
    <row r="4326" spans="18:18" ht="14.25">
      <c r="R4326" s="20">
        <v>4299</v>
      </c>
    </row>
    <row r="4327" spans="18:18" ht="14.25">
      <c r="R4327" s="20">
        <v>4300</v>
      </c>
    </row>
    <row r="4328" spans="18:18" ht="14.25">
      <c r="R4328" s="20">
        <v>4301</v>
      </c>
    </row>
    <row r="4329" spans="18:18" ht="14.25">
      <c r="R4329" s="20">
        <v>4302</v>
      </c>
    </row>
    <row r="4330" spans="18:18" ht="14.25">
      <c r="R4330" s="20">
        <v>4303</v>
      </c>
    </row>
    <row r="4331" spans="18:18" ht="14.25">
      <c r="R4331" s="20">
        <v>4304</v>
      </c>
    </row>
    <row r="4332" spans="18:18" ht="14.25">
      <c r="R4332" s="20">
        <v>4305</v>
      </c>
    </row>
    <row r="4333" spans="18:18" ht="14.25">
      <c r="R4333" s="20">
        <v>4306</v>
      </c>
    </row>
    <row r="4334" spans="18:18" ht="14.25">
      <c r="R4334" s="20">
        <v>4307</v>
      </c>
    </row>
    <row r="4335" spans="18:18" ht="14.25">
      <c r="R4335" s="20">
        <v>4308</v>
      </c>
    </row>
    <row r="4336" spans="18:18" ht="14.25">
      <c r="R4336" s="20">
        <v>4309</v>
      </c>
    </row>
    <row r="4337" spans="18:18" ht="14.25">
      <c r="R4337" s="20">
        <v>4310</v>
      </c>
    </row>
    <row r="4338" spans="18:18" ht="14.25">
      <c r="R4338" s="20">
        <v>4311</v>
      </c>
    </row>
    <row r="4339" spans="18:18" ht="14.25">
      <c r="R4339" s="20">
        <v>4312</v>
      </c>
    </row>
    <row r="4340" spans="18:18" ht="14.25">
      <c r="R4340" s="20">
        <v>4313</v>
      </c>
    </row>
    <row r="4341" spans="18:18" ht="14.25">
      <c r="R4341" s="20">
        <v>4314</v>
      </c>
    </row>
    <row r="4342" spans="18:18" ht="14.25">
      <c r="R4342" s="20">
        <v>4315</v>
      </c>
    </row>
    <row r="4343" spans="18:18" ht="14.25">
      <c r="R4343" s="20">
        <v>4316</v>
      </c>
    </row>
    <row r="4344" spans="18:18" ht="14.25">
      <c r="R4344" s="20">
        <v>4317</v>
      </c>
    </row>
    <row r="4345" spans="18:18" ht="14.25">
      <c r="R4345" s="20">
        <v>4318</v>
      </c>
    </row>
    <row r="4346" spans="18:18" ht="14.25">
      <c r="R4346" s="20">
        <v>4319</v>
      </c>
    </row>
    <row r="4347" spans="18:18" ht="14.25">
      <c r="R4347" s="20">
        <v>4320</v>
      </c>
    </row>
    <row r="4348" spans="18:18" ht="14.25">
      <c r="R4348" s="20">
        <v>4321</v>
      </c>
    </row>
    <row r="4349" spans="18:18" ht="14.25">
      <c r="R4349" s="20">
        <v>4322</v>
      </c>
    </row>
    <row r="4350" spans="18:18" ht="14.25">
      <c r="R4350" s="20">
        <v>4323</v>
      </c>
    </row>
    <row r="4351" spans="18:18" ht="14.25">
      <c r="R4351" s="20">
        <v>4324</v>
      </c>
    </row>
    <row r="4352" spans="18:18" ht="14.25">
      <c r="R4352" s="20">
        <v>4325</v>
      </c>
    </row>
    <row r="4353" spans="18:18" ht="14.25">
      <c r="R4353" s="20">
        <v>4326</v>
      </c>
    </row>
    <row r="4354" spans="18:18" ht="14.25">
      <c r="R4354" s="20">
        <v>4327</v>
      </c>
    </row>
    <row r="4355" spans="18:18" ht="14.25">
      <c r="R4355" s="20">
        <v>4328</v>
      </c>
    </row>
    <row r="4356" spans="18:18" ht="14.25">
      <c r="R4356" s="20">
        <v>4329</v>
      </c>
    </row>
    <row r="4357" spans="18:18" ht="14.25">
      <c r="R4357" s="20">
        <v>4330</v>
      </c>
    </row>
    <row r="4358" spans="18:18" ht="14.25">
      <c r="R4358" s="20">
        <v>4331</v>
      </c>
    </row>
    <row r="4359" spans="18:18" ht="14.25">
      <c r="R4359" s="20">
        <v>4332</v>
      </c>
    </row>
    <row r="4360" spans="18:18" ht="14.25">
      <c r="R4360" s="20">
        <v>4333</v>
      </c>
    </row>
    <row r="4361" spans="18:18" ht="14.25">
      <c r="R4361" s="20">
        <v>4334</v>
      </c>
    </row>
    <row r="4362" spans="18:18" ht="14.25">
      <c r="R4362" s="20">
        <v>4335</v>
      </c>
    </row>
    <row r="4363" spans="18:18" ht="14.25">
      <c r="R4363" s="20">
        <v>4336</v>
      </c>
    </row>
    <row r="4364" spans="18:18" ht="14.25">
      <c r="R4364" s="20">
        <v>4337</v>
      </c>
    </row>
    <row r="4365" spans="18:18" ht="14.25">
      <c r="R4365" s="20">
        <v>4338</v>
      </c>
    </row>
    <row r="4366" spans="18:18" ht="14.25">
      <c r="R4366" s="20">
        <v>4339</v>
      </c>
    </row>
    <row r="4367" spans="18:18" ht="14.25">
      <c r="R4367" s="20">
        <v>4340</v>
      </c>
    </row>
    <row r="4368" spans="18:18" ht="14.25">
      <c r="R4368" s="20">
        <v>4341</v>
      </c>
    </row>
    <row r="4369" spans="18:18" ht="14.25">
      <c r="R4369" s="20">
        <v>4342</v>
      </c>
    </row>
    <row r="4370" spans="18:18" ht="14.25">
      <c r="R4370" s="20">
        <v>4343</v>
      </c>
    </row>
    <row r="4371" spans="18:18" ht="14.25">
      <c r="R4371" s="20">
        <v>4344</v>
      </c>
    </row>
    <row r="4372" spans="18:18" ht="14.25">
      <c r="R4372" s="20">
        <v>4345</v>
      </c>
    </row>
    <row r="4373" spans="18:18" ht="14.25">
      <c r="R4373" s="20">
        <v>4346</v>
      </c>
    </row>
    <row r="4374" spans="18:18" ht="14.25">
      <c r="R4374" s="20">
        <v>4347</v>
      </c>
    </row>
    <row r="4375" spans="18:18" ht="14.25">
      <c r="R4375" s="20">
        <v>4348</v>
      </c>
    </row>
    <row r="4376" spans="18:18" ht="14.25">
      <c r="R4376" s="20">
        <v>4349</v>
      </c>
    </row>
    <row r="4377" spans="18:18" ht="14.25">
      <c r="R4377" s="20">
        <v>4350</v>
      </c>
    </row>
    <row r="4378" spans="18:18" ht="14.25">
      <c r="R4378" s="20">
        <v>4351</v>
      </c>
    </row>
    <row r="4379" spans="18:18" ht="14.25">
      <c r="R4379" s="20">
        <v>4352</v>
      </c>
    </row>
    <row r="4380" spans="18:18" ht="14.25">
      <c r="R4380" s="20">
        <v>4353</v>
      </c>
    </row>
    <row r="4381" spans="18:18" ht="14.25">
      <c r="R4381" s="20">
        <v>4354</v>
      </c>
    </row>
    <row r="4382" spans="18:18" ht="14.25">
      <c r="R4382" s="20">
        <v>4355</v>
      </c>
    </row>
    <row r="4383" spans="18:18" ht="14.25">
      <c r="R4383" s="20">
        <v>4356</v>
      </c>
    </row>
    <row r="4384" spans="18:18" ht="14.25">
      <c r="R4384" s="20">
        <v>4357</v>
      </c>
    </row>
    <row r="4385" spans="18:18" ht="14.25">
      <c r="R4385" s="20">
        <v>4358</v>
      </c>
    </row>
    <row r="4386" spans="18:18" ht="14.25">
      <c r="R4386" s="20">
        <v>4359</v>
      </c>
    </row>
    <row r="4387" spans="18:18" ht="14.25">
      <c r="R4387" s="20">
        <v>4360</v>
      </c>
    </row>
    <row r="4388" spans="18:18" ht="14.25">
      <c r="R4388" s="20">
        <v>4361</v>
      </c>
    </row>
    <row r="4389" spans="18:18" ht="14.25">
      <c r="R4389" s="20">
        <v>4362</v>
      </c>
    </row>
    <row r="4390" spans="18:18" ht="14.25">
      <c r="R4390" s="20">
        <v>4363</v>
      </c>
    </row>
    <row r="4391" spans="18:18" ht="14.25">
      <c r="R4391" s="20">
        <v>4364</v>
      </c>
    </row>
    <row r="4392" spans="18:18" ht="14.25">
      <c r="R4392" s="20">
        <v>4365</v>
      </c>
    </row>
    <row r="4393" spans="18:18" ht="14.25">
      <c r="R4393" s="20">
        <v>4366</v>
      </c>
    </row>
    <row r="4394" spans="18:18" ht="14.25">
      <c r="R4394" s="20">
        <v>4367</v>
      </c>
    </row>
    <row r="4395" spans="18:18" ht="14.25">
      <c r="R4395" s="20">
        <v>4368</v>
      </c>
    </row>
    <row r="4396" spans="18:18" ht="14.25">
      <c r="R4396" s="20">
        <v>4369</v>
      </c>
    </row>
    <row r="4397" spans="18:18" ht="14.25">
      <c r="R4397" s="20">
        <v>4370</v>
      </c>
    </row>
    <row r="4398" spans="18:18" ht="14.25">
      <c r="R4398" s="20">
        <v>4371</v>
      </c>
    </row>
    <row r="4399" spans="18:18" ht="14.25">
      <c r="R4399" s="20">
        <v>4372</v>
      </c>
    </row>
    <row r="4400" spans="18:18" ht="14.25">
      <c r="R4400" s="20">
        <v>4373</v>
      </c>
    </row>
    <row r="4401" spans="18:18" ht="14.25">
      <c r="R4401" s="20">
        <v>4374</v>
      </c>
    </row>
    <row r="4402" spans="18:18" ht="14.25">
      <c r="R4402" s="20">
        <v>4375</v>
      </c>
    </row>
    <row r="4403" spans="18:18" ht="14.25">
      <c r="R4403" s="20">
        <v>4376</v>
      </c>
    </row>
    <row r="4404" spans="18:18" ht="14.25">
      <c r="R4404" s="20">
        <v>4377</v>
      </c>
    </row>
    <row r="4405" spans="18:18" ht="14.25">
      <c r="R4405" s="20">
        <v>4378</v>
      </c>
    </row>
    <row r="4406" spans="18:18" ht="14.25">
      <c r="R4406" s="20">
        <v>4379</v>
      </c>
    </row>
    <row r="4407" spans="18:18" ht="14.25">
      <c r="R4407" s="20">
        <v>4380</v>
      </c>
    </row>
    <row r="4408" spans="18:18" ht="14.25">
      <c r="R4408" s="20">
        <v>4381</v>
      </c>
    </row>
    <row r="4409" spans="18:18" ht="14.25">
      <c r="R4409" s="20">
        <v>4382</v>
      </c>
    </row>
    <row r="4410" spans="18:18" ht="14.25">
      <c r="R4410" s="20">
        <v>4383</v>
      </c>
    </row>
    <row r="4411" spans="18:18" ht="14.25">
      <c r="R4411" s="20">
        <v>4384</v>
      </c>
    </row>
    <row r="4412" spans="18:18" ht="14.25">
      <c r="R4412" s="20">
        <v>4385</v>
      </c>
    </row>
    <row r="4413" spans="18:18" ht="14.25">
      <c r="R4413" s="20">
        <v>4386</v>
      </c>
    </row>
    <row r="4414" spans="18:18" ht="14.25">
      <c r="R4414" s="20">
        <v>4387</v>
      </c>
    </row>
    <row r="4415" spans="18:18" ht="14.25">
      <c r="R4415" s="20">
        <v>4388</v>
      </c>
    </row>
    <row r="4416" spans="18:18" ht="14.25">
      <c r="R4416" s="20">
        <v>4389</v>
      </c>
    </row>
    <row r="4417" spans="18:18" ht="14.25">
      <c r="R4417" s="20">
        <v>4390</v>
      </c>
    </row>
    <row r="4418" spans="18:18" ht="14.25">
      <c r="R4418" s="20">
        <v>4391</v>
      </c>
    </row>
    <row r="4419" spans="18:18" ht="14.25">
      <c r="R4419" s="20">
        <v>4392</v>
      </c>
    </row>
    <row r="4420" spans="18:18" ht="14.25">
      <c r="R4420" s="20">
        <v>4393</v>
      </c>
    </row>
    <row r="4421" spans="18:18" ht="14.25">
      <c r="R4421" s="20">
        <v>4394</v>
      </c>
    </row>
    <row r="4422" spans="18:18" ht="14.25">
      <c r="R4422" s="20">
        <v>4395</v>
      </c>
    </row>
    <row r="4423" spans="18:18" ht="14.25">
      <c r="R4423" s="20">
        <v>4396</v>
      </c>
    </row>
    <row r="4424" spans="18:18" ht="14.25">
      <c r="R4424" s="20">
        <v>4397</v>
      </c>
    </row>
    <row r="4425" spans="18:18" ht="14.25">
      <c r="R4425" s="20">
        <v>4398</v>
      </c>
    </row>
    <row r="4426" spans="18:18" ht="14.25">
      <c r="R4426" s="20">
        <v>4399</v>
      </c>
    </row>
    <row r="4427" spans="18:18" ht="14.25">
      <c r="R4427" s="20">
        <v>4400</v>
      </c>
    </row>
    <row r="4428" spans="18:18" ht="14.25">
      <c r="R4428" s="20">
        <v>4401</v>
      </c>
    </row>
    <row r="4429" spans="18:18" ht="14.25">
      <c r="R4429" s="20">
        <v>4402</v>
      </c>
    </row>
    <row r="4430" spans="18:18" ht="14.25">
      <c r="R4430" s="20">
        <v>4403</v>
      </c>
    </row>
    <row r="4431" spans="18:18" ht="14.25">
      <c r="R4431" s="20">
        <v>4404</v>
      </c>
    </row>
    <row r="4432" spans="18:18" ht="14.25">
      <c r="R4432" s="20">
        <v>4405</v>
      </c>
    </row>
    <row r="4433" spans="18:18" ht="14.25">
      <c r="R4433" s="20">
        <v>4406</v>
      </c>
    </row>
    <row r="4434" spans="18:18" ht="14.25">
      <c r="R4434" s="20">
        <v>4407</v>
      </c>
    </row>
    <row r="4435" spans="18:18" ht="14.25">
      <c r="R4435" s="20">
        <v>4408</v>
      </c>
    </row>
    <row r="4436" spans="18:18" ht="14.25">
      <c r="R4436" s="20">
        <v>4409</v>
      </c>
    </row>
    <row r="4437" spans="18:18" ht="14.25">
      <c r="R4437" s="20">
        <v>4410</v>
      </c>
    </row>
    <row r="4438" spans="18:18" ht="14.25">
      <c r="R4438" s="20">
        <v>4411</v>
      </c>
    </row>
    <row r="4439" spans="18:18" ht="14.25">
      <c r="R4439" s="20">
        <v>4412</v>
      </c>
    </row>
    <row r="4440" spans="18:18" ht="14.25">
      <c r="R4440" s="20">
        <v>4413</v>
      </c>
    </row>
    <row r="4441" spans="18:18" ht="14.25">
      <c r="R4441" s="20">
        <v>4414</v>
      </c>
    </row>
    <row r="4442" spans="18:18" ht="14.25">
      <c r="R4442" s="20">
        <v>4415</v>
      </c>
    </row>
    <row r="4443" spans="18:18" ht="14.25">
      <c r="R4443" s="20">
        <v>4416</v>
      </c>
    </row>
    <row r="4444" spans="18:18" ht="14.25">
      <c r="R4444" s="20">
        <v>4417</v>
      </c>
    </row>
    <row r="4445" spans="18:18" ht="14.25">
      <c r="R4445" s="20">
        <v>4418</v>
      </c>
    </row>
    <row r="4446" spans="18:18" ht="14.25">
      <c r="R4446" s="20">
        <v>4419</v>
      </c>
    </row>
    <row r="4447" spans="18:18" ht="14.25">
      <c r="R4447" s="20">
        <v>4420</v>
      </c>
    </row>
    <row r="4448" spans="18:18" ht="14.25">
      <c r="R4448" s="20">
        <v>4421</v>
      </c>
    </row>
    <row r="4449" spans="18:18" ht="14.25">
      <c r="R4449" s="20">
        <v>4422</v>
      </c>
    </row>
    <row r="4450" spans="18:18" ht="14.25">
      <c r="R4450" s="20">
        <v>4423</v>
      </c>
    </row>
    <row r="4451" spans="18:18" ht="14.25">
      <c r="R4451" s="20">
        <v>4424</v>
      </c>
    </row>
    <row r="4452" spans="18:18" ht="14.25">
      <c r="R4452" s="20">
        <v>4425</v>
      </c>
    </row>
    <row r="4453" spans="18:18" ht="14.25">
      <c r="R4453" s="20">
        <v>4426</v>
      </c>
    </row>
    <row r="4454" spans="18:18" ht="14.25">
      <c r="R4454" s="20">
        <v>4427</v>
      </c>
    </row>
    <row r="4455" spans="18:18" ht="14.25">
      <c r="R4455" s="20">
        <v>4428</v>
      </c>
    </row>
    <row r="4456" spans="18:18" ht="14.25">
      <c r="R4456" s="20">
        <v>4429</v>
      </c>
    </row>
    <row r="4457" spans="18:18" ht="14.25">
      <c r="R4457" s="20">
        <v>4430</v>
      </c>
    </row>
    <row r="4458" spans="18:18" ht="14.25">
      <c r="R4458" s="20">
        <v>4431</v>
      </c>
    </row>
    <row r="4459" spans="18:18" ht="14.25">
      <c r="R4459" s="20">
        <v>4432</v>
      </c>
    </row>
    <row r="4460" spans="18:18" ht="14.25">
      <c r="R4460" s="20">
        <v>4433</v>
      </c>
    </row>
    <row r="4461" spans="18:18" ht="14.25">
      <c r="R4461" s="20">
        <v>4434</v>
      </c>
    </row>
    <row r="4462" spans="18:18" ht="14.25">
      <c r="R4462" s="20">
        <v>4435</v>
      </c>
    </row>
    <row r="4463" spans="18:18" ht="14.25">
      <c r="R4463" s="20">
        <v>4436</v>
      </c>
    </row>
    <row r="4464" spans="18:18" ht="14.25">
      <c r="R4464" s="20">
        <v>4437</v>
      </c>
    </row>
    <row r="4465" spans="18:18" ht="14.25">
      <c r="R4465" s="20">
        <v>4438</v>
      </c>
    </row>
    <row r="4466" spans="18:18" ht="14.25">
      <c r="R4466" s="20">
        <v>4439</v>
      </c>
    </row>
    <row r="4467" spans="18:18" ht="14.25">
      <c r="R4467" s="20">
        <v>4440</v>
      </c>
    </row>
    <row r="4468" spans="18:18" ht="14.25">
      <c r="R4468" s="20">
        <v>4441</v>
      </c>
    </row>
    <row r="4469" spans="18:18" ht="14.25">
      <c r="R4469" s="20">
        <v>4442</v>
      </c>
    </row>
    <row r="4470" spans="18:18" ht="14.25">
      <c r="R4470" s="20">
        <v>4443</v>
      </c>
    </row>
    <row r="4471" spans="18:18" ht="14.25">
      <c r="R4471" s="20">
        <v>4444</v>
      </c>
    </row>
    <row r="4472" spans="18:18" ht="14.25">
      <c r="R4472" s="20">
        <v>4445</v>
      </c>
    </row>
    <row r="4473" spans="18:18" ht="14.25">
      <c r="R4473" s="20">
        <v>4446</v>
      </c>
    </row>
    <row r="4474" spans="18:18" ht="14.25">
      <c r="R4474" s="20">
        <v>4447</v>
      </c>
    </row>
    <row r="4475" spans="18:18" ht="14.25">
      <c r="R4475" s="20">
        <v>4448</v>
      </c>
    </row>
    <row r="4476" spans="18:18" ht="14.25">
      <c r="R4476" s="20">
        <v>4449</v>
      </c>
    </row>
    <row r="4477" spans="18:18" ht="14.25">
      <c r="R4477" s="20">
        <v>4450</v>
      </c>
    </row>
    <row r="4478" spans="18:18" ht="14.25">
      <c r="R4478" s="20">
        <v>4451</v>
      </c>
    </row>
    <row r="4479" spans="18:18" ht="14.25">
      <c r="R4479" s="20">
        <v>4452</v>
      </c>
    </row>
    <row r="4480" spans="18:18" ht="14.25">
      <c r="R4480" s="20">
        <v>4453</v>
      </c>
    </row>
    <row r="4481" spans="18:18" ht="14.25">
      <c r="R4481" s="20">
        <v>4454</v>
      </c>
    </row>
    <row r="4482" spans="18:18" ht="14.25">
      <c r="R4482" s="20">
        <v>4455</v>
      </c>
    </row>
    <row r="4483" spans="18:18" ht="14.25">
      <c r="R4483" s="20">
        <v>4456</v>
      </c>
    </row>
    <row r="4484" spans="18:18" ht="14.25">
      <c r="R4484" s="20">
        <v>4457</v>
      </c>
    </row>
    <row r="4485" spans="18:18" ht="14.25">
      <c r="R4485" s="20">
        <v>4458</v>
      </c>
    </row>
    <row r="4486" spans="18:18" ht="14.25">
      <c r="R4486" s="20">
        <v>4459</v>
      </c>
    </row>
    <row r="4487" spans="18:18" ht="14.25">
      <c r="R4487" s="20">
        <v>4460</v>
      </c>
    </row>
    <row r="4488" spans="18:18" ht="14.25">
      <c r="R4488" s="20">
        <v>4461</v>
      </c>
    </row>
    <row r="4489" spans="18:18" ht="14.25">
      <c r="R4489" s="20">
        <v>4462</v>
      </c>
    </row>
    <row r="4490" spans="18:18" ht="14.25">
      <c r="R4490" s="20">
        <v>4463</v>
      </c>
    </row>
    <row r="4491" spans="18:18" ht="14.25">
      <c r="R4491" s="20">
        <v>4464</v>
      </c>
    </row>
    <row r="4492" spans="18:18" ht="14.25">
      <c r="R4492" s="20">
        <v>4465</v>
      </c>
    </row>
    <row r="4493" spans="18:18" ht="14.25">
      <c r="R4493" s="20">
        <v>4466</v>
      </c>
    </row>
    <row r="4494" spans="18:18" ht="14.25">
      <c r="R4494" s="20">
        <v>4467</v>
      </c>
    </row>
    <row r="4495" spans="18:18" ht="14.25">
      <c r="R4495" s="20">
        <v>4468</v>
      </c>
    </row>
    <row r="4496" spans="18:18" ht="14.25">
      <c r="R4496" s="20">
        <v>4469</v>
      </c>
    </row>
    <row r="4497" spans="18:18" ht="14.25">
      <c r="R4497" s="20">
        <v>4470</v>
      </c>
    </row>
    <row r="4498" spans="18:18" ht="14.25">
      <c r="R4498" s="20">
        <v>4471</v>
      </c>
    </row>
    <row r="4499" spans="18:18" ht="14.25">
      <c r="R4499" s="20">
        <v>4472</v>
      </c>
    </row>
    <row r="4500" spans="18:18" ht="14.25">
      <c r="R4500" s="20">
        <v>4473</v>
      </c>
    </row>
    <row r="4501" spans="18:18" ht="14.25">
      <c r="R4501" s="20">
        <v>4474</v>
      </c>
    </row>
    <row r="4502" spans="18:18" ht="14.25">
      <c r="R4502" s="20">
        <v>4475</v>
      </c>
    </row>
    <row r="4503" spans="18:18" ht="14.25">
      <c r="R4503" s="20">
        <v>4476</v>
      </c>
    </row>
    <row r="4504" spans="18:18" ht="14.25">
      <c r="R4504" s="20">
        <v>4477</v>
      </c>
    </row>
    <row r="4505" spans="18:18" ht="14.25">
      <c r="R4505" s="20">
        <v>4478</v>
      </c>
    </row>
    <row r="4506" spans="18:18" ht="14.25">
      <c r="R4506" s="20">
        <v>4479</v>
      </c>
    </row>
    <row r="4507" spans="18:18" ht="14.25">
      <c r="R4507" s="20">
        <v>4480</v>
      </c>
    </row>
    <row r="4508" spans="18:18" ht="14.25">
      <c r="R4508" s="20">
        <v>4481</v>
      </c>
    </row>
    <row r="4509" spans="18:18" ht="14.25">
      <c r="R4509" s="20">
        <v>4482</v>
      </c>
    </row>
    <row r="4510" spans="18:18" ht="14.25">
      <c r="R4510" s="20">
        <v>4483</v>
      </c>
    </row>
    <row r="4511" spans="18:18" ht="14.25">
      <c r="R4511" s="20">
        <v>4484</v>
      </c>
    </row>
    <row r="4512" spans="18:18" ht="14.25">
      <c r="R4512" s="20">
        <v>4485</v>
      </c>
    </row>
    <row r="4513" spans="18:18" ht="14.25">
      <c r="R4513" s="20">
        <v>4486</v>
      </c>
    </row>
    <row r="4514" spans="18:18" ht="14.25">
      <c r="R4514" s="20">
        <v>4487</v>
      </c>
    </row>
    <row r="4515" spans="18:18" ht="14.25">
      <c r="R4515" s="20">
        <v>4488</v>
      </c>
    </row>
    <row r="4516" spans="18:18" ht="14.25">
      <c r="R4516" s="20">
        <v>4489</v>
      </c>
    </row>
    <row r="4517" spans="18:18" ht="14.25">
      <c r="R4517" s="20">
        <v>4490</v>
      </c>
    </row>
    <row r="4518" spans="18:18" ht="14.25">
      <c r="R4518" s="20">
        <v>4491</v>
      </c>
    </row>
    <row r="4519" spans="18:18" ht="14.25">
      <c r="R4519" s="20">
        <v>4492</v>
      </c>
    </row>
    <row r="4520" spans="18:18" ht="14.25">
      <c r="R4520" s="20">
        <v>4493</v>
      </c>
    </row>
    <row r="4521" spans="18:18" ht="14.25">
      <c r="R4521" s="20">
        <v>4494</v>
      </c>
    </row>
    <row r="4522" spans="18:18" ht="14.25">
      <c r="R4522" s="20">
        <v>4495</v>
      </c>
    </row>
    <row r="4523" spans="18:18" ht="14.25">
      <c r="R4523" s="20">
        <v>4496</v>
      </c>
    </row>
    <row r="4524" spans="18:18" ht="14.25">
      <c r="R4524" s="20">
        <v>4497</v>
      </c>
    </row>
    <row r="4525" spans="18:18" ht="14.25">
      <c r="R4525" s="20">
        <v>4498</v>
      </c>
    </row>
    <row r="4526" spans="18:18" ht="14.25">
      <c r="R4526" s="20">
        <v>4499</v>
      </c>
    </row>
    <row r="4527" spans="18:18" ht="14.25">
      <c r="R4527" s="20">
        <v>4500</v>
      </c>
    </row>
    <row r="4528" spans="18:18" ht="14.25">
      <c r="R4528" s="20">
        <v>4501</v>
      </c>
    </row>
    <row r="4529" spans="18:18" ht="14.25">
      <c r="R4529" s="20">
        <v>4502</v>
      </c>
    </row>
    <row r="4530" spans="18:18" ht="14.25">
      <c r="R4530" s="20">
        <v>4503</v>
      </c>
    </row>
    <row r="4531" spans="18:18" ht="14.25">
      <c r="R4531" s="20">
        <v>4504</v>
      </c>
    </row>
    <row r="4532" spans="18:18" ht="14.25">
      <c r="R4532" s="20">
        <v>4505</v>
      </c>
    </row>
    <row r="4533" spans="18:18" ht="14.25">
      <c r="R4533" s="20">
        <v>4506</v>
      </c>
    </row>
    <row r="4534" spans="18:18" ht="14.25">
      <c r="R4534" s="20">
        <v>4507</v>
      </c>
    </row>
    <row r="4535" spans="18:18" ht="14.25">
      <c r="R4535" s="20">
        <v>4508</v>
      </c>
    </row>
    <row r="4536" spans="18:18" ht="14.25">
      <c r="R4536" s="20">
        <v>4509</v>
      </c>
    </row>
    <row r="4537" spans="18:18" ht="14.25">
      <c r="R4537" s="20">
        <v>4510</v>
      </c>
    </row>
    <row r="4538" spans="18:18" ht="14.25">
      <c r="R4538" s="20">
        <v>4511</v>
      </c>
    </row>
    <row r="4539" spans="18:18" ht="14.25">
      <c r="R4539" s="20">
        <v>4512</v>
      </c>
    </row>
    <row r="4540" spans="18:18" ht="14.25">
      <c r="R4540" s="20">
        <v>4513</v>
      </c>
    </row>
    <row r="4541" spans="18:18" ht="14.25">
      <c r="R4541" s="20">
        <v>4514</v>
      </c>
    </row>
    <row r="4542" spans="18:18" ht="14.25">
      <c r="R4542" s="20">
        <v>4515</v>
      </c>
    </row>
    <row r="4543" spans="18:18" ht="14.25">
      <c r="R4543" s="20">
        <v>4516</v>
      </c>
    </row>
    <row r="4544" spans="18:18" ht="14.25">
      <c r="R4544" s="20">
        <v>4517</v>
      </c>
    </row>
    <row r="4545" spans="18:18" ht="14.25">
      <c r="R4545" s="20">
        <v>4518</v>
      </c>
    </row>
    <row r="4546" spans="18:18" ht="14.25">
      <c r="R4546" s="20">
        <v>4519</v>
      </c>
    </row>
    <row r="4547" spans="18:18" ht="14.25">
      <c r="R4547" s="20">
        <v>4520</v>
      </c>
    </row>
    <row r="4548" spans="18:18" ht="14.25">
      <c r="R4548" s="20">
        <v>4521</v>
      </c>
    </row>
    <row r="4549" spans="18:18" ht="14.25">
      <c r="R4549" s="20">
        <v>4522</v>
      </c>
    </row>
    <row r="4550" spans="18:18" ht="14.25">
      <c r="R4550" s="20">
        <v>4523</v>
      </c>
    </row>
    <row r="4551" spans="18:18" ht="14.25">
      <c r="R4551" s="20">
        <v>4524</v>
      </c>
    </row>
    <row r="4552" spans="18:18" ht="14.25">
      <c r="R4552" s="20">
        <v>4525</v>
      </c>
    </row>
    <row r="4553" spans="18:18" ht="14.25">
      <c r="R4553" s="20">
        <v>4526</v>
      </c>
    </row>
    <row r="4554" spans="18:18" ht="14.25">
      <c r="R4554" s="20">
        <v>4527</v>
      </c>
    </row>
    <row r="4555" spans="18:18" ht="14.25">
      <c r="R4555" s="20">
        <v>4528</v>
      </c>
    </row>
    <row r="4556" spans="18:18" ht="14.25">
      <c r="R4556" s="20">
        <v>4529</v>
      </c>
    </row>
    <row r="4557" spans="18:18" ht="14.25">
      <c r="R4557" s="20">
        <v>4530</v>
      </c>
    </row>
    <row r="4558" spans="18:18" ht="14.25">
      <c r="R4558" s="20">
        <v>4531</v>
      </c>
    </row>
    <row r="4559" spans="18:18" ht="14.25">
      <c r="R4559" s="20">
        <v>4532</v>
      </c>
    </row>
    <row r="4560" spans="18:18" ht="14.25">
      <c r="R4560" s="20">
        <v>4533</v>
      </c>
    </row>
    <row r="4561" spans="18:18" ht="14.25">
      <c r="R4561" s="20">
        <v>4534</v>
      </c>
    </row>
    <row r="4562" spans="18:18" ht="14.25">
      <c r="R4562" s="20">
        <v>4535</v>
      </c>
    </row>
    <row r="4563" spans="18:18" ht="14.25">
      <c r="R4563" s="20">
        <v>4536</v>
      </c>
    </row>
    <row r="4564" spans="18:18" ht="14.25">
      <c r="R4564" s="20">
        <v>4537</v>
      </c>
    </row>
    <row r="4565" spans="18:18" ht="14.25">
      <c r="R4565" s="20">
        <v>4538</v>
      </c>
    </row>
    <row r="4566" spans="18:18" ht="14.25">
      <c r="R4566" s="20">
        <v>4539</v>
      </c>
    </row>
    <row r="4567" spans="18:18" ht="14.25">
      <c r="R4567" s="20">
        <v>4540</v>
      </c>
    </row>
    <row r="4568" spans="18:18" ht="14.25">
      <c r="R4568" s="20">
        <v>4541</v>
      </c>
    </row>
    <row r="4569" spans="18:18" ht="14.25">
      <c r="R4569" s="20">
        <v>4542</v>
      </c>
    </row>
    <row r="4570" spans="18:18" ht="14.25">
      <c r="R4570" s="20">
        <v>4543</v>
      </c>
    </row>
    <row r="4571" spans="18:18" ht="14.25">
      <c r="R4571" s="20">
        <v>4544</v>
      </c>
    </row>
    <row r="4572" spans="18:18" ht="14.25">
      <c r="R4572" s="20">
        <v>4545</v>
      </c>
    </row>
    <row r="4573" spans="18:18" ht="14.25">
      <c r="R4573" s="20">
        <v>4546</v>
      </c>
    </row>
    <row r="4574" spans="18:18" ht="14.25">
      <c r="R4574" s="20">
        <v>4547</v>
      </c>
    </row>
    <row r="4575" spans="18:18" ht="14.25">
      <c r="R4575" s="20">
        <v>4548</v>
      </c>
    </row>
    <row r="4576" spans="18:18" ht="14.25">
      <c r="R4576" s="20">
        <v>4549</v>
      </c>
    </row>
    <row r="4577" spans="18:18" ht="14.25">
      <c r="R4577" s="20">
        <v>4550</v>
      </c>
    </row>
    <row r="4578" spans="18:18" ht="14.25">
      <c r="R4578" s="20">
        <v>4551</v>
      </c>
    </row>
    <row r="4579" spans="18:18" ht="14.25">
      <c r="R4579" s="20">
        <v>4552</v>
      </c>
    </row>
    <row r="4580" spans="18:18" ht="14.25">
      <c r="R4580" s="20">
        <v>4553</v>
      </c>
    </row>
    <row r="4581" spans="18:18" ht="14.25">
      <c r="R4581" s="20">
        <v>4554</v>
      </c>
    </row>
    <row r="4582" spans="18:18" ht="14.25">
      <c r="R4582" s="20">
        <v>4555</v>
      </c>
    </row>
    <row r="4583" spans="18:18" ht="14.25">
      <c r="R4583" s="20">
        <v>4556</v>
      </c>
    </row>
    <row r="4584" spans="18:18" ht="14.25">
      <c r="R4584" s="20">
        <v>4557</v>
      </c>
    </row>
    <row r="4585" spans="18:18" ht="14.25">
      <c r="R4585" s="20">
        <v>4558</v>
      </c>
    </row>
    <row r="4586" spans="18:18" ht="14.25">
      <c r="R4586" s="20">
        <v>4559</v>
      </c>
    </row>
    <row r="4587" spans="18:18" ht="14.25">
      <c r="R4587" s="20">
        <v>4560</v>
      </c>
    </row>
    <row r="4588" spans="18:18" ht="14.25">
      <c r="R4588" s="20">
        <v>4561</v>
      </c>
    </row>
    <row r="4589" spans="18:18" ht="14.25">
      <c r="R4589" s="20">
        <v>4562</v>
      </c>
    </row>
    <row r="4590" spans="18:18" ht="14.25">
      <c r="R4590" s="20">
        <v>4563</v>
      </c>
    </row>
    <row r="4591" spans="18:18" ht="14.25">
      <c r="R4591" s="20">
        <v>4564</v>
      </c>
    </row>
    <row r="4592" spans="18:18" ht="14.25">
      <c r="R4592" s="20">
        <v>4565</v>
      </c>
    </row>
    <row r="4593" spans="18:18" ht="14.25">
      <c r="R4593" s="20">
        <v>4566</v>
      </c>
    </row>
    <row r="4594" spans="18:18" ht="14.25">
      <c r="R4594" s="20">
        <v>4567</v>
      </c>
    </row>
    <row r="4595" spans="18:18" ht="14.25">
      <c r="R4595" s="20">
        <v>4568</v>
      </c>
    </row>
    <row r="4596" spans="18:18" ht="14.25">
      <c r="R4596" s="20">
        <v>4569</v>
      </c>
    </row>
    <row r="4597" spans="18:18" ht="14.25">
      <c r="R4597" s="20">
        <v>4570</v>
      </c>
    </row>
    <row r="4598" spans="18:18" ht="14.25">
      <c r="R4598" s="20">
        <v>4571</v>
      </c>
    </row>
    <row r="4599" spans="18:18" ht="14.25">
      <c r="R4599" s="20">
        <v>4572</v>
      </c>
    </row>
    <row r="4600" spans="18:18" ht="14.25">
      <c r="R4600" s="20">
        <v>4573</v>
      </c>
    </row>
    <row r="4601" spans="18:18" ht="14.25">
      <c r="R4601" s="20">
        <v>4574</v>
      </c>
    </row>
    <row r="4602" spans="18:18" ht="14.25">
      <c r="R4602" s="20">
        <v>4575</v>
      </c>
    </row>
    <row r="4603" spans="18:18" ht="14.25">
      <c r="R4603" s="20">
        <v>4576</v>
      </c>
    </row>
    <row r="4604" spans="18:18" ht="14.25">
      <c r="R4604" s="20">
        <v>4577</v>
      </c>
    </row>
    <row r="4605" spans="18:18" ht="14.25">
      <c r="R4605" s="20">
        <v>4578</v>
      </c>
    </row>
    <row r="4606" spans="18:18" ht="14.25">
      <c r="R4606" s="20">
        <v>4579</v>
      </c>
    </row>
    <row r="4607" spans="18:18" ht="14.25">
      <c r="R4607" s="20">
        <v>4580</v>
      </c>
    </row>
    <row r="4608" spans="18:18" ht="14.25">
      <c r="R4608" s="20">
        <v>4581</v>
      </c>
    </row>
    <row r="4609" spans="18:18" ht="14.25">
      <c r="R4609" s="20">
        <v>4582</v>
      </c>
    </row>
    <row r="4610" spans="18:18" ht="14.25">
      <c r="R4610" s="20">
        <v>4583</v>
      </c>
    </row>
    <row r="4611" spans="18:18" ht="14.25">
      <c r="R4611" s="20">
        <v>4584</v>
      </c>
    </row>
    <row r="4612" spans="18:18" ht="14.25">
      <c r="R4612" s="20">
        <v>4585</v>
      </c>
    </row>
    <row r="4613" spans="18:18" ht="14.25">
      <c r="R4613" s="20">
        <v>4586</v>
      </c>
    </row>
    <row r="4614" spans="18:18" ht="14.25">
      <c r="R4614" s="20">
        <v>4587</v>
      </c>
    </row>
    <row r="4615" spans="18:18" ht="14.25">
      <c r="R4615" s="20">
        <v>4588</v>
      </c>
    </row>
    <row r="4616" spans="18:18" ht="14.25">
      <c r="R4616" s="20">
        <v>4589</v>
      </c>
    </row>
    <row r="4617" spans="18:18" ht="14.25">
      <c r="R4617" s="20">
        <v>4590</v>
      </c>
    </row>
    <row r="4618" spans="18:18" ht="14.25">
      <c r="R4618" s="20">
        <v>4591</v>
      </c>
    </row>
    <row r="4619" spans="18:18" ht="14.25">
      <c r="R4619" s="20">
        <v>4592</v>
      </c>
    </row>
    <row r="4620" spans="18:18" ht="14.25">
      <c r="R4620" s="20">
        <v>4593</v>
      </c>
    </row>
    <row r="4621" spans="18:18" ht="14.25">
      <c r="R4621" s="20">
        <v>4594</v>
      </c>
    </row>
    <row r="4622" spans="18:18" ht="14.25">
      <c r="R4622" s="20">
        <v>4595</v>
      </c>
    </row>
    <row r="4623" spans="18:18" ht="14.25">
      <c r="R4623" s="20">
        <v>4596</v>
      </c>
    </row>
    <row r="4624" spans="18:18" ht="14.25">
      <c r="R4624" s="20">
        <v>4597</v>
      </c>
    </row>
    <row r="4625" spans="18:18" ht="14.25">
      <c r="R4625" s="20">
        <v>4598</v>
      </c>
    </row>
    <row r="4626" spans="18:18" ht="14.25">
      <c r="R4626" s="20">
        <v>4599</v>
      </c>
    </row>
    <row r="4627" spans="18:18" ht="14.25">
      <c r="R4627" s="20">
        <v>4600</v>
      </c>
    </row>
    <row r="4628" spans="18:18" ht="14.25">
      <c r="R4628" s="20">
        <v>4601</v>
      </c>
    </row>
    <row r="4629" spans="18:18" ht="14.25">
      <c r="R4629" s="20">
        <v>4602</v>
      </c>
    </row>
    <row r="4630" spans="18:18" ht="14.25">
      <c r="R4630" s="20">
        <v>4603</v>
      </c>
    </row>
    <row r="4631" spans="18:18" ht="14.25">
      <c r="R4631" s="20">
        <v>4604</v>
      </c>
    </row>
    <row r="4632" spans="18:18" ht="14.25">
      <c r="R4632" s="20">
        <v>4605</v>
      </c>
    </row>
    <row r="4633" spans="18:18" ht="14.25">
      <c r="R4633" s="20">
        <v>4606</v>
      </c>
    </row>
    <row r="4634" spans="18:18" ht="14.25">
      <c r="R4634" s="20">
        <v>4607</v>
      </c>
    </row>
    <row r="4635" spans="18:18" ht="14.25">
      <c r="R4635" s="20">
        <v>4608</v>
      </c>
    </row>
    <row r="4636" spans="18:18" ht="14.25">
      <c r="R4636" s="20">
        <v>4609</v>
      </c>
    </row>
    <row r="4637" spans="18:18" ht="14.25">
      <c r="R4637" s="20">
        <v>4610</v>
      </c>
    </row>
    <row r="4638" spans="18:18" ht="14.25">
      <c r="R4638" s="20">
        <v>4611</v>
      </c>
    </row>
    <row r="4639" spans="18:18" ht="14.25">
      <c r="R4639" s="20">
        <v>4612</v>
      </c>
    </row>
    <row r="4640" spans="18:18" ht="14.25">
      <c r="R4640" s="20">
        <v>4613</v>
      </c>
    </row>
    <row r="4641" spans="18:18" ht="14.25">
      <c r="R4641" s="20">
        <v>4614</v>
      </c>
    </row>
    <row r="4642" spans="18:18" ht="14.25">
      <c r="R4642" s="20">
        <v>4615</v>
      </c>
    </row>
    <row r="4643" spans="18:18" ht="14.25">
      <c r="R4643" s="20">
        <v>4616</v>
      </c>
    </row>
    <row r="4644" spans="18:18" ht="14.25">
      <c r="R4644" s="20">
        <v>4617</v>
      </c>
    </row>
    <row r="4645" spans="18:18" ht="14.25">
      <c r="R4645" s="20">
        <v>4618</v>
      </c>
    </row>
    <row r="4646" spans="18:18" ht="14.25">
      <c r="R4646" s="20">
        <v>4619</v>
      </c>
    </row>
    <row r="4647" spans="18:18" ht="14.25">
      <c r="R4647" s="20">
        <v>4620</v>
      </c>
    </row>
    <row r="4648" spans="18:18" ht="14.25">
      <c r="R4648" s="20">
        <v>4621</v>
      </c>
    </row>
    <row r="4649" spans="18:18" ht="14.25">
      <c r="R4649" s="20">
        <v>4622</v>
      </c>
    </row>
    <row r="4650" spans="18:18" ht="14.25">
      <c r="R4650" s="20">
        <v>4623</v>
      </c>
    </row>
    <row r="4651" spans="18:18" ht="14.25">
      <c r="R4651" s="20">
        <v>4624</v>
      </c>
    </row>
    <row r="4652" spans="18:18" ht="14.25">
      <c r="R4652" s="20">
        <v>4625</v>
      </c>
    </row>
    <row r="4653" spans="18:18" ht="14.25">
      <c r="R4653" s="20">
        <v>4626</v>
      </c>
    </row>
    <row r="4654" spans="18:18" ht="14.25">
      <c r="R4654" s="20">
        <v>4627</v>
      </c>
    </row>
    <row r="4655" spans="18:18" ht="14.25">
      <c r="R4655" s="20">
        <v>4628</v>
      </c>
    </row>
    <row r="4656" spans="18:18" ht="14.25">
      <c r="R4656" s="20">
        <v>4629</v>
      </c>
    </row>
    <row r="4657" spans="18:18" ht="14.25">
      <c r="R4657" s="20">
        <v>4630</v>
      </c>
    </row>
    <row r="4658" spans="18:18" ht="14.25">
      <c r="R4658" s="20">
        <v>4631</v>
      </c>
    </row>
    <row r="4659" spans="18:18" ht="14.25">
      <c r="R4659" s="20">
        <v>4632</v>
      </c>
    </row>
    <row r="4660" spans="18:18" ht="14.25">
      <c r="R4660" s="20">
        <v>4633</v>
      </c>
    </row>
    <row r="4661" spans="18:18" ht="14.25">
      <c r="R4661" s="20">
        <v>4634</v>
      </c>
    </row>
    <row r="4662" spans="18:18" ht="14.25">
      <c r="R4662" s="20">
        <v>4635</v>
      </c>
    </row>
    <row r="4663" spans="18:18" ht="14.25">
      <c r="R4663" s="20">
        <v>4636</v>
      </c>
    </row>
    <row r="4664" spans="18:18" ht="14.25">
      <c r="R4664" s="20">
        <v>4637</v>
      </c>
    </row>
    <row r="4665" spans="18:18" ht="14.25">
      <c r="R4665" s="20">
        <v>4638</v>
      </c>
    </row>
    <row r="4666" spans="18:18" ht="14.25">
      <c r="R4666" s="20">
        <v>4639</v>
      </c>
    </row>
    <row r="4667" spans="18:18" ht="14.25">
      <c r="R4667" s="20">
        <v>4640</v>
      </c>
    </row>
    <row r="4668" spans="18:18" ht="14.25">
      <c r="R4668" s="20">
        <v>4641</v>
      </c>
    </row>
    <row r="4669" spans="18:18" ht="14.25">
      <c r="R4669" s="20">
        <v>4642</v>
      </c>
    </row>
    <row r="4670" spans="18:18" ht="14.25">
      <c r="R4670" s="20">
        <v>4643</v>
      </c>
    </row>
    <row r="4671" spans="18:18" ht="14.25">
      <c r="R4671" s="20">
        <v>4644</v>
      </c>
    </row>
    <row r="4672" spans="18:18" ht="14.25">
      <c r="R4672" s="20">
        <v>4645</v>
      </c>
    </row>
    <row r="4673" spans="18:18" ht="14.25">
      <c r="R4673" s="20">
        <v>4646</v>
      </c>
    </row>
    <row r="4674" spans="18:18" ht="14.25">
      <c r="R4674" s="20">
        <v>4647</v>
      </c>
    </row>
    <row r="4675" spans="18:18" ht="14.25">
      <c r="R4675" s="20">
        <v>4648</v>
      </c>
    </row>
    <row r="4676" spans="18:18" ht="14.25">
      <c r="R4676" s="20">
        <v>4649</v>
      </c>
    </row>
    <row r="4677" spans="18:18" ht="14.25">
      <c r="R4677" s="20">
        <v>4650</v>
      </c>
    </row>
    <row r="4678" spans="18:18" ht="14.25">
      <c r="R4678" s="20">
        <v>4651</v>
      </c>
    </row>
    <row r="4679" spans="18:18" ht="14.25">
      <c r="R4679" s="20">
        <v>4652</v>
      </c>
    </row>
    <row r="4680" spans="18:18" ht="14.25">
      <c r="R4680" s="20">
        <v>4653</v>
      </c>
    </row>
    <row r="4681" spans="18:18" ht="14.25">
      <c r="R4681" s="20">
        <v>4654</v>
      </c>
    </row>
    <row r="4682" spans="18:18" ht="14.25">
      <c r="R4682" s="20">
        <v>4655</v>
      </c>
    </row>
    <row r="4683" spans="18:18" ht="14.25">
      <c r="R4683" s="20">
        <v>4656</v>
      </c>
    </row>
    <row r="4684" spans="18:18" ht="14.25">
      <c r="R4684" s="20">
        <v>4657</v>
      </c>
    </row>
    <row r="4685" spans="18:18" ht="14.25">
      <c r="R4685" s="20">
        <v>4658</v>
      </c>
    </row>
    <row r="4686" spans="18:18" ht="14.25">
      <c r="R4686" s="20">
        <v>4659</v>
      </c>
    </row>
    <row r="4687" spans="18:18" ht="14.25">
      <c r="R4687" s="20">
        <v>4660</v>
      </c>
    </row>
    <row r="4688" spans="18:18" ht="14.25">
      <c r="R4688" s="20">
        <v>4661</v>
      </c>
    </row>
    <row r="4689" spans="18:18" ht="14.25">
      <c r="R4689" s="20">
        <v>4662</v>
      </c>
    </row>
    <row r="4690" spans="18:18" ht="14.25">
      <c r="R4690" s="20">
        <v>4663</v>
      </c>
    </row>
    <row r="4691" spans="18:18" ht="14.25">
      <c r="R4691" s="20">
        <v>4664</v>
      </c>
    </row>
    <row r="4692" spans="18:18" ht="14.25">
      <c r="R4692" s="20">
        <v>4665</v>
      </c>
    </row>
    <row r="4693" spans="18:18" ht="14.25">
      <c r="R4693" s="20">
        <v>4666</v>
      </c>
    </row>
    <row r="4694" spans="18:18" ht="14.25">
      <c r="R4694" s="20">
        <v>4667</v>
      </c>
    </row>
    <row r="4695" spans="18:18" ht="14.25">
      <c r="R4695" s="20">
        <v>4668</v>
      </c>
    </row>
    <row r="4696" spans="18:18" ht="14.25">
      <c r="R4696" s="20">
        <v>4669</v>
      </c>
    </row>
    <row r="4697" spans="18:18" ht="14.25">
      <c r="R4697" s="20">
        <v>4670</v>
      </c>
    </row>
    <row r="4698" spans="18:18" ht="14.25">
      <c r="R4698" s="20">
        <v>4671</v>
      </c>
    </row>
    <row r="4699" spans="18:18" ht="14.25">
      <c r="R4699" s="20">
        <v>4672</v>
      </c>
    </row>
    <row r="4700" spans="18:18" ht="14.25">
      <c r="R4700" s="20">
        <v>4673</v>
      </c>
    </row>
    <row r="4701" spans="18:18" ht="14.25">
      <c r="R4701" s="20">
        <v>4674</v>
      </c>
    </row>
    <row r="4702" spans="18:18" ht="14.25">
      <c r="R4702" s="20">
        <v>4675</v>
      </c>
    </row>
    <row r="4703" spans="18:18" ht="14.25">
      <c r="R4703" s="20">
        <v>4676</v>
      </c>
    </row>
    <row r="4704" spans="18:18" ht="14.25">
      <c r="R4704" s="20">
        <v>4677</v>
      </c>
    </row>
    <row r="4705" spans="18:18" ht="14.25">
      <c r="R4705" s="20">
        <v>4678</v>
      </c>
    </row>
    <row r="4706" spans="18:18" ht="14.25">
      <c r="R4706" s="20">
        <v>4679</v>
      </c>
    </row>
    <row r="4707" spans="18:18" ht="14.25">
      <c r="R4707" s="20">
        <v>4680</v>
      </c>
    </row>
    <row r="4708" spans="18:18" ht="14.25">
      <c r="R4708" s="20">
        <v>4681</v>
      </c>
    </row>
    <row r="4709" spans="18:18" ht="14.25">
      <c r="R4709" s="20">
        <v>4682</v>
      </c>
    </row>
    <row r="4710" spans="18:18" ht="14.25">
      <c r="R4710" s="20">
        <v>4683</v>
      </c>
    </row>
    <row r="4711" spans="18:18" ht="14.25">
      <c r="R4711" s="20">
        <v>4684</v>
      </c>
    </row>
    <row r="4712" spans="18:18" ht="14.25">
      <c r="R4712" s="20">
        <v>4685</v>
      </c>
    </row>
    <row r="4713" spans="18:18" ht="14.25">
      <c r="R4713" s="20">
        <v>4686</v>
      </c>
    </row>
    <row r="4714" spans="18:18" ht="14.25">
      <c r="R4714" s="20">
        <v>4687</v>
      </c>
    </row>
    <row r="4715" spans="18:18" ht="14.25">
      <c r="R4715" s="20">
        <v>4688</v>
      </c>
    </row>
    <row r="4716" spans="18:18" ht="14.25">
      <c r="R4716" s="20">
        <v>4689</v>
      </c>
    </row>
    <row r="4717" spans="18:18" ht="14.25">
      <c r="R4717" s="20">
        <v>4690</v>
      </c>
    </row>
    <row r="4718" spans="18:18" ht="14.25">
      <c r="R4718" s="20">
        <v>4691</v>
      </c>
    </row>
    <row r="4719" spans="18:18" ht="14.25">
      <c r="R4719" s="20">
        <v>4692</v>
      </c>
    </row>
    <row r="4720" spans="18:18" ht="14.25">
      <c r="R4720" s="20">
        <v>4693</v>
      </c>
    </row>
    <row r="4721" spans="18:18" ht="14.25">
      <c r="R4721" s="20">
        <v>4694</v>
      </c>
    </row>
    <row r="4722" spans="18:18" ht="14.25">
      <c r="R4722" s="20">
        <v>4695</v>
      </c>
    </row>
    <row r="4723" spans="18:18" ht="14.25">
      <c r="R4723" s="20">
        <v>4696</v>
      </c>
    </row>
    <row r="4724" spans="18:18" ht="14.25">
      <c r="R4724" s="20">
        <v>4697</v>
      </c>
    </row>
    <row r="4725" spans="18:18" ht="14.25">
      <c r="R4725" s="20">
        <v>4698</v>
      </c>
    </row>
    <row r="4726" spans="18:18" ht="14.25">
      <c r="R4726" s="20">
        <v>4699</v>
      </c>
    </row>
    <row r="4727" spans="18:18" ht="14.25">
      <c r="R4727" s="20">
        <v>4700</v>
      </c>
    </row>
    <row r="4728" spans="18:18" ht="14.25">
      <c r="R4728" s="20">
        <v>4701</v>
      </c>
    </row>
    <row r="4729" spans="18:18" ht="14.25">
      <c r="R4729" s="20">
        <v>4702</v>
      </c>
    </row>
    <row r="4730" spans="18:18" ht="14.25">
      <c r="R4730" s="20">
        <v>4703</v>
      </c>
    </row>
    <row r="4731" spans="18:18" ht="14.25">
      <c r="R4731" s="20">
        <v>4704</v>
      </c>
    </row>
    <row r="4732" spans="18:18" ht="14.25">
      <c r="R4732" s="20">
        <v>4705</v>
      </c>
    </row>
    <row r="4733" spans="18:18" ht="14.25">
      <c r="R4733" s="20">
        <v>4706</v>
      </c>
    </row>
    <row r="4734" spans="18:18" ht="14.25">
      <c r="R4734" s="20">
        <v>4707</v>
      </c>
    </row>
    <row r="4735" spans="18:18" ht="14.25">
      <c r="R4735" s="20">
        <v>4708</v>
      </c>
    </row>
    <row r="4736" spans="18:18" ht="14.25">
      <c r="R4736" s="20">
        <v>4709</v>
      </c>
    </row>
    <row r="4737" spans="18:18" ht="14.25">
      <c r="R4737" s="20">
        <v>4710</v>
      </c>
    </row>
    <row r="4738" spans="18:18" ht="14.25">
      <c r="R4738" s="20">
        <v>4711</v>
      </c>
    </row>
    <row r="4739" spans="18:18" ht="14.25">
      <c r="R4739" s="20">
        <v>4712</v>
      </c>
    </row>
    <row r="4740" spans="18:18" ht="14.25">
      <c r="R4740" s="20">
        <v>4713</v>
      </c>
    </row>
    <row r="4741" spans="18:18" ht="14.25">
      <c r="R4741" s="20">
        <v>4714</v>
      </c>
    </row>
    <row r="4742" spans="18:18" ht="14.25">
      <c r="R4742" s="20">
        <v>4715</v>
      </c>
    </row>
    <row r="4743" spans="18:18" ht="14.25">
      <c r="R4743" s="20">
        <v>4716</v>
      </c>
    </row>
    <row r="4744" spans="18:18" ht="14.25">
      <c r="R4744" s="20">
        <v>4717</v>
      </c>
    </row>
    <row r="4745" spans="18:18" ht="14.25">
      <c r="R4745" s="20">
        <v>4718</v>
      </c>
    </row>
    <row r="4746" spans="18:18" ht="14.25">
      <c r="R4746" s="20">
        <v>4719</v>
      </c>
    </row>
    <row r="4747" spans="18:18" ht="14.25">
      <c r="R4747" s="20">
        <v>4720</v>
      </c>
    </row>
    <row r="4748" spans="18:18" ht="14.25">
      <c r="R4748" s="20">
        <v>4721</v>
      </c>
    </row>
    <row r="4749" spans="18:18" ht="14.25">
      <c r="R4749" s="20">
        <v>4722</v>
      </c>
    </row>
    <row r="4750" spans="18:18" ht="14.25">
      <c r="R4750" s="20">
        <v>4723</v>
      </c>
    </row>
    <row r="4751" spans="18:18" ht="14.25">
      <c r="R4751" s="20">
        <v>4724</v>
      </c>
    </row>
    <row r="4752" spans="18:18" ht="14.25">
      <c r="R4752" s="20">
        <v>4725</v>
      </c>
    </row>
    <row r="4753" spans="18:18" ht="14.25">
      <c r="R4753" s="20">
        <v>4726</v>
      </c>
    </row>
    <row r="4754" spans="18:18" ht="14.25">
      <c r="R4754" s="20">
        <v>4727</v>
      </c>
    </row>
    <row r="4755" spans="18:18" ht="14.25">
      <c r="R4755" s="20">
        <v>4728</v>
      </c>
    </row>
    <row r="4756" spans="18:18" ht="14.25">
      <c r="R4756" s="20">
        <v>4729</v>
      </c>
    </row>
    <row r="4757" spans="18:18" ht="14.25">
      <c r="R4757" s="20">
        <v>4730</v>
      </c>
    </row>
    <row r="4758" spans="18:18" ht="14.25">
      <c r="R4758" s="20">
        <v>4731</v>
      </c>
    </row>
    <row r="4759" spans="18:18" ht="14.25">
      <c r="R4759" s="20">
        <v>4732</v>
      </c>
    </row>
    <row r="4760" spans="18:18" ht="14.25">
      <c r="R4760" s="20">
        <v>4733</v>
      </c>
    </row>
    <row r="4761" spans="18:18" ht="14.25">
      <c r="R4761" s="20">
        <v>4734</v>
      </c>
    </row>
    <row r="4762" spans="18:18" ht="14.25">
      <c r="R4762" s="20">
        <v>4735</v>
      </c>
    </row>
    <row r="4763" spans="18:18" ht="14.25">
      <c r="R4763" s="20">
        <v>4736</v>
      </c>
    </row>
    <row r="4764" spans="18:18" ht="14.25">
      <c r="R4764" s="20">
        <v>4737</v>
      </c>
    </row>
    <row r="4765" spans="18:18" ht="14.25">
      <c r="R4765" s="20">
        <v>4738</v>
      </c>
    </row>
    <row r="4766" spans="18:18" ht="14.25">
      <c r="R4766" s="20">
        <v>4739</v>
      </c>
    </row>
    <row r="4767" spans="18:18" ht="14.25">
      <c r="R4767" s="20">
        <v>4740</v>
      </c>
    </row>
    <row r="4768" spans="18:18" ht="14.25">
      <c r="R4768" s="20">
        <v>4741</v>
      </c>
    </row>
    <row r="4769" spans="18:18" ht="14.25">
      <c r="R4769" s="20">
        <v>4742</v>
      </c>
    </row>
    <row r="4770" spans="18:18" ht="14.25">
      <c r="R4770" s="20">
        <v>4743</v>
      </c>
    </row>
    <row r="4771" spans="18:18" ht="14.25">
      <c r="R4771" s="20">
        <v>4744</v>
      </c>
    </row>
    <row r="4772" spans="18:18" ht="14.25">
      <c r="R4772" s="20">
        <v>4745</v>
      </c>
    </row>
    <row r="4773" spans="18:18" ht="14.25">
      <c r="R4773" s="20">
        <v>4746</v>
      </c>
    </row>
    <row r="4774" spans="18:18" ht="14.25">
      <c r="R4774" s="20">
        <v>4747</v>
      </c>
    </row>
    <row r="4775" spans="18:18" ht="14.25">
      <c r="R4775" s="20">
        <v>4748</v>
      </c>
    </row>
    <row r="4776" spans="18:18" ht="14.25">
      <c r="R4776" s="20">
        <v>4749</v>
      </c>
    </row>
    <row r="4777" spans="18:18" ht="14.25">
      <c r="R4777" s="20">
        <v>4750</v>
      </c>
    </row>
    <row r="4778" spans="18:18" ht="14.25">
      <c r="R4778" s="20">
        <v>4751</v>
      </c>
    </row>
    <row r="4779" spans="18:18" ht="14.25">
      <c r="R4779" s="20">
        <v>4752</v>
      </c>
    </row>
    <row r="4780" spans="18:18" ht="14.25">
      <c r="R4780" s="20">
        <v>4753</v>
      </c>
    </row>
    <row r="4781" spans="18:18" ht="14.25">
      <c r="R4781" s="20">
        <v>4754</v>
      </c>
    </row>
    <row r="4782" spans="18:18" ht="14.25">
      <c r="R4782" s="20">
        <v>4755</v>
      </c>
    </row>
    <row r="4783" spans="18:18" ht="14.25">
      <c r="R4783" s="20">
        <v>4756</v>
      </c>
    </row>
    <row r="4784" spans="18:18" ht="14.25">
      <c r="R4784" s="20">
        <v>4757</v>
      </c>
    </row>
    <row r="4785" spans="18:18" ht="14.25">
      <c r="R4785" s="20">
        <v>4758</v>
      </c>
    </row>
    <row r="4786" spans="18:18" ht="14.25">
      <c r="R4786" s="20">
        <v>4759</v>
      </c>
    </row>
    <row r="4787" spans="18:18" ht="14.25">
      <c r="R4787" s="20">
        <v>4760</v>
      </c>
    </row>
    <row r="4788" spans="18:18" ht="14.25">
      <c r="R4788" s="20">
        <v>4761</v>
      </c>
    </row>
    <row r="4789" spans="18:18" ht="14.25">
      <c r="R4789" s="20">
        <v>4762</v>
      </c>
    </row>
    <row r="4790" spans="18:18" ht="14.25">
      <c r="R4790" s="20">
        <v>4763</v>
      </c>
    </row>
    <row r="4791" spans="18:18" ht="14.25">
      <c r="R4791" s="20">
        <v>4764</v>
      </c>
    </row>
    <row r="4792" spans="18:18" ht="14.25">
      <c r="R4792" s="20">
        <v>4765</v>
      </c>
    </row>
    <row r="4793" spans="18:18" ht="14.25">
      <c r="R4793" s="20">
        <v>4766</v>
      </c>
    </row>
    <row r="4794" spans="18:18" ht="14.25">
      <c r="R4794" s="20">
        <v>4767</v>
      </c>
    </row>
    <row r="4795" spans="18:18" ht="14.25">
      <c r="R4795" s="20">
        <v>4768</v>
      </c>
    </row>
    <row r="4796" spans="18:18" ht="14.25">
      <c r="R4796" s="20">
        <v>4769</v>
      </c>
    </row>
    <row r="4797" spans="18:18" ht="14.25">
      <c r="R4797" s="20">
        <v>4770</v>
      </c>
    </row>
    <row r="4798" spans="18:18" ht="14.25">
      <c r="R4798" s="20">
        <v>4771</v>
      </c>
    </row>
    <row r="4799" spans="18:18" ht="14.25">
      <c r="R4799" s="20">
        <v>4772</v>
      </c>
    </row>
    <row r="4800" spans="18:18" ht="14.25">
      <c r="R4800" s="20">
        <v>4773</v>
      </c>
    </row>
    <row r="4801" spans="18:18" ht="14.25">
      <c r="R4801" s="20">
        <v>4774</v>
      </c>
    </row>
    <row r="4802" spans="18:18" ht="14.25">
      <c r="R4802" s="20">
        <v>4775</v>
      </c>
    </row>
    <row r="4803" spans="18:18" ht="14.25">
      <c r="R4803" s="20">
        <v>4776</v>
      </c>
    </row>
    <row r="4804" spans="18:18" ht="14.25">
      <c r="R4804" s="20">
        <v>4777</v>
      </c>
    </row>
    <row r="4805" spans="18:18" ht="14.25">
      <c r="R4805" s="20">
        <v>4778</v>
      </c>
    </row>
    <row r="4806" spans="18:18" ht="14.25">
      <c r="R4806" s="20">
        <v>4779</v>
      </c>
    </row>
    <row r="4807" spans="18:18" ht="14.25">
      <c r="R4807" s="20">
        <v>4780</v>
      </c>
    </row>
    <row r="4808" spans="18:18" ht="14.25">
      <c r="R4808" s="20">
        <v>4781</v>
      </c>
    </row>
    <row r="4809" spans="18:18" ht="14.25">
      <c r="R4809" s="20">
        <v>4782</v>
      </c>
    </row>
    <row r="4810" spans="18:18" ht="14.25">
      <c r="R4810" s="20">
        <v>4783</v>
      </c>
    </row>
    <row r="4811" spans="18:18" ht="14.25">
      <c r="R4811" s="20">
        <v>4784</v>
      </c>
    </row>
    <row r="4812" spans="18:18" ht="14.25">
      <c r="R4812" s="20">
        <v>4785</v>
      </c>
    </row>
    <row r="4813" spans="18:18" ht="14.25">
      <c r="R4813" s="20">
        <v>4786</v>
      </c>
    </row>
    <row r="4814" spans="18:18" ht="14.25">
      <c r="R4814" s="20">
        <v>4787</v>
      </c>
    </row>
    <row r="4815" spans="18:18" ht="14.25">
      <c r="R4815" s="20">
        <v>4788</v>
      </c>
    </row>
    <row r="4816" spans="18:18" ht="14.25">
      <c r="R4816" s="20">
        <v>4789</v>
      </c>
    </row>
    <row r="4817" spans="18:18" ht="14.25">
      <c r="R4817" s="20">
        <v>4790</v>
      </c>
    </row>
    <row r="4818" spans="18:18" ht="14.25">
      <c r="R4818" s="20">
        <v>4791</v>
      </c>
    </row>
    <row r="4819" spans="18:18" ht="14.25">
      <c r="R4819" s="20">
        <v>4792</v>
      </c>
    </row>
    <row r="4820" spans="18:18" ht="14.25">
      <c r="R4820" s="20">
        <v>4793</v>
      </c>
    </row>
    <row r="4821" spans="18:18" ht="14.25">
      <c r="R4821" s="20">
        <v>4794</v>
      </c>
    </row>
    <row r="4822" spans="18:18" ht="14.25">
      <c r="R4822" s="20">
        <v>4795</v>
      </c>
    </row>
    <row r="4823" spans="18:18" ht="14.25">
      <c r="R4823" s="20">
        <v>4796</v>
      </c>
    </row>
    <row r="4824" spans="18:18" ht="14.25">
      <c r="R4824" s="20">
        <v>4797</v>
      </c>
    </row>
    <row r="4825" spans="18:18" ht="14.25">
      <c r="R4825" s="20">
        <v>4798</v>
      </c>
    </row>
    <row r="4826" spans="18:18" ht="14.25">
      <c r="R4826" s="20">
        <v>4799</v>
      </c>
    </row>
    <row r="4827" spans="18:18" ht="14.25">
      <c r="R4827" s="20">
        <v>4800</v>
      </c>
    </row>
    <row r="4828" spans="18:18" ht="14.25">
      <c r="R4828" s="20">
        <v>4801</v>
      </c>
    </row>
    <row r="4829" spans="18:18" ht="14.25">
      <c r="R4829" s="20">
        <v>4802</v>
      </c>
    </row>
    <row r="4830" spans="18:18" ht="14.25">
      <c r="R4830" s="20">
        <v>4803</v>
      </c>
    </row>
    <row r="4831" spans="18:18" ht="14.25">
      <c r="R4831" s="20">
        <v>4804</v>
      </c>
    </row>
    <row r="4832" spans="18:18" ht="14.25">
      <c r="R4832" s="20">
        <v>4805</v>
      </c>
    </row>
    <row r="4833" spans="18:18" ht="14.25">
      <c r="R4833" s="20">
        <v>4806</v>
      </c>
    </row>
    <row r="4834" spans="18:18" ht="14.25">
      <c r="R4834" s="20">
        <v>4807</v>
      </c>
    </row>
    <row r="4835" spans="18:18" ht="14.25">
      <c r="R4835" s="20">
        <v>4808</v>
      </c>
    </row>
    <row r="4836" spans="18:18" ht="14.25">
      <c r="R4836" s="20">
        <v>4809</v>
      </c>
    </row>
    <row r="4837" spans="18:18" ht="14.25">
      <c r="R4837" s="20">
        <v>4810</v>
      </c>
    </row>
    <row r="4838" spans="18:18" ht="14.25">
      <c r="R4838" s="20">
        <v>4811</v>
      </c>
    </row>
    <row r="4839" spans="18:18" ht="14.25">
      <c r="R4839" s="20">
        <v>4812</v>
      </c>
    </row>
    <row r="4840" spans="18:18" ht="14.25">
      <c r="R4840" s="20">
        <v>4813</v>
      </c>
    </row>
    <row r="4841" spans="18:18" ht="14.25">
      <c r="R4841" s="20">
        <v>4814</v>
      </c>
    </row>
    <row r="4842" spans="18:18" ht="14.25">
      <c r="R4842" s="20">
        <v>4815</v>
      </c>
    </row>
    <row r="4843" spans="18:18" ht="14.25">
      <c r="R4843" s="20">
        <v>4816</v>
      </c>
    </row>
    <row r="4844" spans="18:18" ht="14.25">
      <c r="R4844" s="20">
        <v>4817</v>
      </c>
    </row>
    <row r="4845" spans="18:18" ht="14.25">
      <c r="R4845" s="20">
        <v>4818</v>
      </c>
    </row>
    <row r="4846" spans="18:18" ht="14.25">
      <c r="R4846" s="20">
        <v>4819</v>
      </c>
    </row>
    <row r="4847" spans="18:18" ht="14.25">
      <c r="R4847" s="20">
        <v>4820</v>
      </c>
    </row>
    <row r="4848" spans="18:18" ht="14.25">
      <c r="R4848" s="20">
        <v>4821</v>
      </c>
    </row>
    <row r="4849" spans="18:18" ht="14.25">
      <c r="R4849" s="20">
        <v>4822</v>
      </c>
    </row>
    <row r="4850" spans="18:18" ht="14.25">
      <c r="R4850" s="20">
        <v>4823</v>
      </c>
    </row>
    <row r="4851" spans="18:18" ht="14.25">
      <c r="R4851" s="20">
        <v>4824</v>
      </c>
    </row>
    <row r="4852" spans="18:18" ht="14.25">
      <c r="R4852" s="20">
        <v>4825</v>
      </c>
    </row>
    <row r="4853" spans="18:18" ht="14.25">
      <c r="R4853" s="20">
        <v>4826</v>
      </c>
    </row>
    <row r="4854" spans="18:18" ht="14.25">
      <c r="R4854" s="20">
        <v>4827</v>
      </c>
    </row>
    <row r="4855" spans="18:18" ht="14.25">
      <c r="R4855" s="20">
        <v>4828</v>
      </c>
    </row>
    <row r="4856" spans="18:18" ht="14.25">
      <c r="R4856" s="20">
        <v>4829</v>
      </c>
    </row>
    <row r="4857" spans="18:18" ht="14.25">
      <c r="R4857" s="20">
        <v>4830</v>
      </c>
    </row>
    <row r="4858" spans="18:18" ht="14.25">
      <c r="R4858" s="20">
        <v>4831</v>
      </c>
    </row>
    <row r="4859" spans="18:18" ht="14.25">
      <c r="R4859" s="20">
        <v>4832</v>
      </c>
    </row>
    <row r="4860" spans="18:18" ht="14.25">
      <c r="R4860" s="20">
        <v>4833</v>
      </c>
    </row>
    <row r="4861" spans="18:18" ht="14.25">
      <c r="R4861" s="20">
        <v>4834</v>
      </c>
    </row>
    <row r="4862" spans="18:18" ht="14.25">
      <c r="R4862" s="20">
        <v>4835</v>
      </c>
    </row>
    <row r="4863" spans="18:18" ht="14.25">
      <c r="R4863" s="20">
        <v>4836</v>
      </c>
    </row>
    <row r="4864" spans="18:18" ht="14.25">
      <c r="R4864" s="20">
        <v>4837</v>
      </c>
    </row>
    <row r="4865" spans="18:18" ht="14.25">
      <c r="R4865" s="20">
        <v>4838</v>
      </c>
    </row>
    <row r="4866" spans="18:18" ht="14.25">
      <c r="R4866" s="20">
        <v>4839</v>
      </c>
    </row>
    <row r="4867" spans="18:18" ht="14.25">
      <c r="R4867" s="20">
        <v>4840</v>
      </c>
    </row>
    <row r="4868" spans="18:18" ht="14.25">
      <c r="R4868" s="20">
        <v>4841</v>
      </c>
    </row>
    <row r="4869" spans="18:18" ht="14.25">
      <c r="R4869" s="20">
        <v>4842</v>
      </c>
    </row>
    <row r="4870" spans="18:18" ht="14.25">
      <c r="R4870" s="20">
        <v>4843</v>
      </c>
    </row>
    <row r="4871" spans="18:18" ht="14.25">
      <c r="R4871" s="20">
        <v>4844</v>
      </c>
    </row>
    <row r="4872" spans="18:18" ht="14.25">
      <c r="R4872" s="20">
        <v>4845</v>
      </c>
    </row>
    <row r="4873" spans="18:18" ht="14.25">
      <c r="R4873" s="20">
        <v>4846</v>
      </c>
    </row>
    <row r="4874" spans="18:18" ht="14.25">
      <c r="R4874" s="20">
        <v>4847</v>
      </c>
    </row>
    <row r="4875" spans="18:18" ht="14.25">
      <c r="R4875" s="20">
        <v>4848</v>
      </c>
    </row>
    <row r="4876" spans="18:18" ht="14.25">
      <c r="R4876" s="20">
        <v>4849</v>
      </c>
    </row>
    <row r="4877" spans="18:18" ht="14.25">
      <c r="R4877" s="20">
        <v>4850</v>
      </c>
    </row>
    <row r="4878" spans="18:18" ht="14.25">
      <c r="R4878" s="20">
        <v>4851</v>
      </c>
    </row>
    <row r="4879" spans="18:18" ht="14.25">
      <c r="R4879" s="20">
        <v>4852</v>
      </c>
    </row>
    <row r="4880" spans="18:18" ht="14.25">
      <c r="R4880" s="20">
        <v>4853</v>
      </c>
    </row>
    <row r="4881" spans="18:18" ht="14.25">
      <c r="R4881" s="20">
        <v>4854</v>
      </c>
    </row>
    <row r="4882" spans="18:18" ht="14.25">
      <c r="R4882" s="20">
        <v>4855</v>
      </c>
    </row>
    <row r="4883" spans="18:18" ht="14.25">
      <c r="R4883" s="20">
        <v>4856</v>
      </c>
    </row>
    <row r="4884" spans="18:18" ht="14.25">
      <c r="R4884" s="20">
        <v>4857</v>
      </c>
    </row>
    <row r="4885" spans="18:18" ht="14.25">
      <c r="R4885" s="20">
        <v>4858</v>
      </c>
    </row>
    <row r="4886" spans="18:18" ht="14.25">
      <c r="R4886" s="20">
        <v>4859</v>
      </c>
    </row>
    <row r="4887" spans="18:18" ht="14.25">
      <c r="R4887" s="20">
        <v>4860</v>
      </c>
    </row>
    <row r="4888" spans="18:18" ht="14.25">
      <c r="R4888" s="20">
        <v>4861</v>
      </c>
    </row>
    <row r="4889" spans="18:18" ht="14.25">
      <c r="R4889" s="20">
        <v>4862</v>
      </c>
    </row>
    <row r="4890" spans="18:18" ht="14.25">
      <c r="R4890" s="20">
        <v>4863</v>
      </c>
    </row>
    <row r="4891" spans="18:18" ht="14.25">
      <c r="R4891" s="20">
        <v>4864</v>
      </c>
    </row>
    <row r="4892" spans="18:18" ht="14.25">
      <c r="R4892" s="20">
        <v>4865</v>
      </c>
    </row>
    <row r="4893" spans="18:18" ht="14.25">
      <c r="R4893" s="20">
        <v>4866</v>
      </c>
    </row>
    <row r="4894" spans="18:18" ht="14.25">
      <c r="R4894" s="20">
        <v>4867</v>
      </c>
    </row>
    <row r="4895" spans="18:18" ht="14.25">
      <c r="R4895" s="20">
        <v>4868</v>
      </c>
    </row>
    <row r="4896" spans="18:18" ht="14.25">
      <c r="R4896" s="20">
        <v>4869</v>
      </c>
    </row>
    <row r="4897" spans="18:18" ht="14.25">
      <c r="R4897" s="20">
        <v>4870</v>
      </c>
    </row>
    <row r="4898" spans="18:18" ht="14.25">
      <c r="R4898" s="20">
        <v>4871</v>
      </c>
    </row>
    <row r="4899" spans="18:18" ht="14.25">
      <c r="R4899" s="20">
        <v>4872</v>
      </c>
    </row>
    <row r="4900" spans="18:18" ht="14.25">
      <c r="R4900" s="20">
        <v>4873</v>
      </c>
    </row>
    <row r="4901" spans="18:18" ht="14.25">
      <c r="R4901" s="20">
        <v>4874</v>
      </c>
    </row>
    <row r="4902" spans="18:18" ht="14.25">
      <c r="R4902" s="20">
        <v>4875</v>
      </c>
    </row>
    <row r="4903" spans="18:18" ht="14.25">
      <c r="R4903" s="20">
        <v>4876</v>
      </c>
    </row>
    <row r="4904" spans="18:18" ht="14.25">
      <c r="R4904" s="20">
        <v>4877</v>
      </c>
    </row>
    <row r="4905" spans="18:18" ht="14.25">
      <c r="R4905" s="20">
        <v>4878</v>
      </c>
    </row>
    <row r="4906" spans="18:18" ht="14.25">
      <c r="R4906" s="20">
        <v>4879</v>
      </c>
    </row>
    <row r="4907" spans="18:18" ht="14.25">
      <c r="R4907" s="20">
        <v>4880</v>
      </c>
    </row>
    <row r="4908" spans="18:18" ht="14.25">
      <c r="R4908" s="20">
        <v>4881</v>
      </c>
    </row>
    <row r="4909" spans="18:18" ht="14.25">
      <c r="R4909" s="20">
        <v>4882</v>
      </c>
    </row>
    <row r="4910" spans="18:18" ht="14.25">
      <c r="R4910" s="20">
        <v>4883</v>
      </c>
    </row>
    <row r="4911" spans="18:18" ht="14.25">
      <c r="R4911" s="20">
        <v>4884</v>
      </c>
    </row>
    <row r="4912" spans="18:18" ht="14.25">
      <c r="R4912" s="20">
        <v>4885</v>
      </c>
    </row>
    <row r="4913" spans="18:18" ht="14.25">
      <c r="R4913" s="20">
        <v>4886</v>
      </c>
    </row>
    <row r="4914" spans="18:18" ht="14.25">
      <c r="R4914" s="20">
        <v>4887</v>
      </c>
    </row>
    <row r="4915" spans="18:18" ht="14.25">
      <c r="R4915" s="20">
        <v>4888</v>
      </c>
    </row>
    <row r="4916" spans="18:18" ht="14.25">
      <c r="R4916" s="20">
        <v>4889</v>
      </c>
    </row>
    <row r="4917" spans="18:18" ht="14.25">
      <c r="R4917" s="20">
        <v>4890</v>
      </c>
    </row>
    <row r="4918" spans="18:18" ht="14.25">
      <c r="R4918" s="20">
        <v>4891</v>
      </c>
    </row>
    <row r="4919" spans="18:18" ht="14.25">
      <c r="R4919" s="20">
        <v>4892</v>
      </c>
    </row>
    <row r="4920" spans="18:18" ht="14.25">
      <c r="R4920" s="20">
        <v>4893</v>
      </c>
    </row>
    <row r="4921" spans="18:18" ht="14.25">
      <c r="R4921" s="20">
        <v>4894</v>
      </c>
    </row>
    <row r="4922" spans="18:18" ht="14.25">
      <c r="R4922" s="20">
        <v>4895</v>
      </c>
    </row>
    <row r="4923" spans="18:18" ht="14.25">
      <c r="R4923" s="20">
        <v>4896</v>
      </c>
    </row>
    <row r="4924" spans="18:18" ht="14.25">
      <c r="R4924" s="20">
        <v>4897</v>
      </c>
    </row>
    <row r="4925" spans="18:18" ht="14.25">
      <c r="R4925" s="20">
        <v>4898</v>
      </c>
    </row>
    <row r="4926" spans="18:18" ht="14.25">
      <c r="R4926" s="20">
        <v>4899</v>
      </c>
    </row>
    <row r="4927" spans="18:18" ht="14.25">
      <c r="R4927" s="20">
        <v>4900</v>
      </c>
    </row>
    <row r="4928" spans="18:18" ht="14.25">
      <c r="R4928" s="20">
        <v>4901</v>
      </c>
    </row>
    <row r="4929" spans="18:18" ht="14.25">
      <c r="R4929" s="20">
        <v>4902</v>
      </c>
    </row>
    <row r="4930" spans="18:18" ht="14.25">
      <c r="R4930" s="20">
        <v>4903</v>
      </c>
    </row>
    <row r="4931" spans="18:18" ht="14.25">
      <c r="R4931" s="20">
        <v>4904</v>
      </c>
    </row>
    <row r="4932" spans="18:18" ht="14.25">
      <c r="R4932" s="20">
        <v>4905</v>
      </c>
    </row>
    <row r="4933" spans="18:18" ht="14.25">
      <c r="R4933" s="20">
        <v>4906</v>
      </c>
    </row>
    <row r="4934" spans="18:18" ht="14.25">
      <c r="R4934" s="20">
        <v>4907</v>
      </c>
    </row>
    <row r="4935" spans="18:18" ht="14.25">
      <c r="R4935" s="20">
        <v>4908</v>
      </c>
    </row>
    <row r="4936" spans="18:18" ht="14.25">
      <c r="R4936" s="20">
        <v>4909</v>
      </c>
    </row>
    <row r="4937" spans="18:18" ht="14.25">
      <c r="R4937" s="20">
        <v>4910</v>
      </c>
    </row>
    <row r="4938" spans="18:18" ht="14.25">
      <c r="R4938" s="20">
        <v>4911</v>
      </c>
    </row>
    <row r="4939" spans="18:18" ht="14.25">
      <c r="R4939" s="20">
        <v>4912</v>
      </c>
    </row>
    <row r="4940" spans="18:18" ht="14.25">
      <c r="R4940" s="20">
        <v>4913</v>
      </c>
    </row>
    <row r="4941" spans="18:18" ht="14.25">
      <c r="R4941" s="20">
        <v>4914</v>
      </c>
    </row>
    <row r="4942" spans="18:18" ht="14.25">
      <c r="R4942" s="20">
        <v>4915</v>
      </c>
    </row>
    <row r="4943" spans="18:18" ht="14.25">
      <c r="R4943" s="20">
        <v>4916</v>
      </c>
    </row>
    <row r="4944" spans="18:18" ht="14.25">
      <c r="R4944" s="20">
        <v>4917</v>
      </c>
    </row>
    <row r="4945" spans="18:18" ht="14.25">
      <c r="R4945" s="20">
        <v>4918</v>
      </c>
    </row>
    <row r="4946" spans="18:18" ht="14.25">
      <c r="R4946" s="20">
        <v>4919</v>
      </c>
    </row>
    <row r="4947" spans="18:18" ht="14.25">
      <c r="R4947" s="20">
        <v>4920</v>
      </c>
    </row>
    <row r="4948" spans="18:18" ht="14.25">
      <c r="R4948" s="20">
        <v>4921</v>
      </c>
    </row>
    <row r="4949" spans="18:18" ht="14.25">
      <c r="R4949" s="20">
        <v>4922</v>
      </c>
    </row>
    <row r="4950" spans="18:18" ht="14.25">
      <c r="R4950" s="20">
        <v>4923</v>
      </c>
    </row>
    <row r="4951" spans="18:18" ht="14.25">
      <c r="R4951" s="20">
        <v>4924</v>
      </c>
    </row>
    <row r="4952" spans="18:18" ht="14.25">
      <c r="R4952" s="20">
        <v>4925</v>
      </c>
    </row>
    <row r="4953" spans="18:18" ht="14.25">
      <c r="R4953" s="20">
        <v>4926</v>
      </c>
    </row>
    <row r="4954" spans="18:18" ht="14.25">
      <c r="R4954" s="20">
        <v>4927</v>
      </c>
    </row>
    <row r="4955" spans="18:18" ht="14.25">
      <c r="R4955" s="20">
        <v>4928</v>
      </c>
    </row>
    <row r="4956" spans="18:18" ht="14.25">
      <c r="R4956" s="20">
        <v>4929</v>
      </c>
    </row>
    <row r="4957" spans="18:18" ht="14.25">
      <c r="R4957" s="20">
        <v>4930</v>
      </c>
    </row>
    <row r="4958" spans="18:18" ht="14.25">
      <c r="R4958" s="20">
        <v>4931</v>
      </c>
    </row>
    <row r="4959" spans="18:18" ht="14.25">
      <c r="R4959" s="20">
        <v>4932</v>
      </c>
    </row>
    <row r="4960" spans="18:18" ht="14.25">
      <c r="R4960" s="20">
        <v>4933</v>
      </c>
    </row>
    <row r="4961" spans="18:18" ht="14.25">
      <c r="R4961" s="20">
        <v>4934</v>
      </c>
    </row>
    <row r="4962" spans="18:18" ht="14.25">
      <c r="R4962" s="20">
        <v>4935</v>
      </c>
    </row>
    <row r="4963" spans="18:18" ht="14.25">
      <c r="R4963" s="20">
        <v>4936</v>
      </c>
    </row>
    <row r="4964" spans="18:18" ht="14.25">
      <c r="R4964" s="20">
        <v>4937</v>
      </c>
    </row>
    <row r="4965" spans="18:18" ht="14.25">
      <c r="R4965" s="20">
        <v>4938</v>
      </c>
    </row>
    <row r="4966" spans="18:18" ht="14.25">
      <c r="R4966" s="20">
        <v>4939</v>
      </c>
    </row>
    <row r="4967" spans="18:18" ht="14.25">
      <c r="R4967" s="20">
        <v>4940</v>
      </c>
    </row>
    <row r="4968" spans="18:18" ht="14.25">
      <c r="R4968" s="20">
        <v>4941</v>
      </c>
    </row>
    <row r="4969" spans="18:18" ht="14.25">
      <c r="R4969" s="20">
        <v>4942</v>
      </c>
    </row>
    <row r="4970" spans="18:18" ht="14.25">
      <c r="R4970" s="20">
        <v>4943</v>
      </c>
    </row>
    <row r="4971" spans="18:18" ht="14.25">
      <c r="R4971" s="20">
        <v>4944</v>
      </c>
    </row>
    <row r="4972" spans="18:18" ht="14.25">
      <c r="R4972" s="20">
        <v>4945</v>
      </c>
    </row>
    <row r="4973" spans="18:18" ht="14.25">
      <c r="R4973" s="20">
        <v>4946</v>
      </c>
    </row>
    <row r="4974" spans="18:18" ht="14.25">
      <c r="R4974" s="20">
        <v>4947</v>
      </c>
    </row>
    <row r="4975" spans="18:18" ht="14.25">
      <c r="R4975" s="20">
        <v>4948</v>
      </c>
    </row>
    <row r="4976" spans="18:18" ht="14.25">
      <c r="R4976" s="20">
        <v>4949</v>
      </c>
    </row>
    <row r="4977" spans="18:18" ht="14.25">
      <c r="R4977" s="20">
        <v>4950</v>
      </c>
    </row>
    <row r="4978" spans="18:18" ht="14.25">
      <c r="R4978" s="20">
        <v>4951</v>
      </c>
    </row>
    <row r="4979" spans="18:18" ht="14.25">
      <c r="R4979" s="20">
        <v>4952</v>
      </c>
    </row>
    <row r="4980" spans="18:18" ht="14.25">
      <c r="R4980" s="20">
        <v>4953</v>
      </c>
    </row>
    <row r="4981" spans="18:18" ht="14.25">
      <c r="R4981" s="20">
        <v>4954</v>
      </c>
    </row>
    <row r="4982" spans="18:18" ht="14.25">
      <c r="R4982" s="20">
        <v>4955</v>
      </c>
    </row>
    <row r="4983" spans="18:18" ht="14.25">
      <c r="R4983" s="20">
        <v>4956</v>
      </c>
    </row>
    <row r="4984" spans="18:18" ht="14.25">
      <c r="R4984" s="20">
        <v>4957</v>
      </c>
    </row>
    <row r="4985" spans="18:18" ht="14.25">
      <c r="R4985" s="20">
        <v>4958</v>
      </c>
    </row>
    <row r="4986" spans="18:18" ht="14.25">
      <c r="R4986" s="20">
        <v>4959</v>
      </c>
    </row>
    <row r="4987" spans="18:18" ht="14.25">
      <c r="R4987" s="20">
        <v>4960</v>
      </c>
    </row>
    <row r="4988" spans="18:18" ht="14.25">
      <c r="R4988" s="20">
        <v>4961</v>
      </c>
    </row>
    <row r="4989" spans="18:18" ht="14.25">
      <c r="R4989" s="20">
        <v>4962</v>
      </c>
    </row>
    <row r="4990" spans="18:18" ht="14.25">
      <c r="R4990" s="20">
        <v>4963</v>
      </c>
    </row>
    <row r="4991" spans="18:18" ht="14.25">
      <c r="R4991" s="20">
        <v>4964</v>
      </c>
    </row>
    <row r="4992" spans="18:18" ht="14.25">
      <c r="R4992" s="20">
        <v>4965</v>
      </c>
    </row>
    <row r="4993" spans="18:18" ht="14.25">
      <c r="R4993" s="20">
        <v>4966</v>
      </c>
    </row>
    <row r="4994" spans="18:18" ht="14.25">
      <c r="R4994" s="20">
        <v>4967</v>
      </c>
    </row>
    <row r="4995" spans="18:18" ht="14.25">
      <c r="R4995" s="20">
        <v>4968</v>
      </c>
    </row>
    <row r="4996" spans="18:18" ht="14.25">
      <c r="R4996" s="20">
        <v>4969</v>
      </c>
    </row>
    <row r="4997" spans="18:18" ht="14.25">
      <c r="R4997" s="20">
        <v>4970</v>
      </c>
    </row>
    <row r="4998" spans="18:18" ht="14.25">
      <c r="R4998" s="20">
        <v>4971</v>
      </c>
    </row>
    <row r="4999" spans="18:18" ht="14.25">
      <c r="R4999" s="20">
        <v>4972</v>
      </c>
    </row>
    <row r="5000" spans="18:18" ht="14.25">
      <c r="R5000" s="20">
        <v>4973</v>
      </c>
    </row>
    <row r="5001" spans="18:18" ht="14.25">
      <c r="R5001" s="20">
        <v>4974</v>
      </c>
    </row>
    <row r="5002" spans="18:18" ht="14.25">
      <c r="R5002" s="20">
        <v>4975</v>
      </c>
    </row>
    <row r="5003" spans="18:18" ht="14.25">
      <c r="R5003" s="20">
        <v>4976</v>
      </c>
    </row>
    <row r="5004" spans="18:18" ht="14.25">
      <c r="R5004" s="20">
        <v>4977</v>
      </c>
    </row>
    <row r="5005" spans="18:18" ht="14.25">
      <c r="R5005" s="20">
        <v>4978</v>
      </c>
    </row>
    <row r="5006" spans="18:18" ht="14.25">
      <c r="R5006" s="20">
        <v>4979</v>
      </c>
    </row>
    <row r="5007" spans="18:18" ht="14.25">
      <c r="R5007" s="20">
        <v>4980</v>
      </c>
    </row>
    <row r="5008" spans="18:18" ht="14.25">
      <c r="R5008" s="20">
        <v>4981</v>
      </c>
    </row>
    <row r="5009" spans="18:18" ht="14.25">
      <c r="R5009" s="20">
        <v>4982</v>
      </c>
    </row>
    <row r="5010" spans="18:18" ht="14.25">
      <c r="R5010" s="20">
        <v>4983</v>
      </c>
    </row>
    <row r="5011" spans="18:18" ht="14.25">
      <c r="R5011" s="20">
        <v>4984</v>
      </c>
    </row>
    <row r="5012" spans="18:18" ht="14.25">
      <c r="R5012" s="20">
        <v>4985</v>
      </c>
    </row>
    <row r="5013" spans="18:18" ht="14.25">
      <c r="R5013" s="20">
        <v>4986</v>
      </c>
    </row>
    <row r="5014" spans="18:18" ht="14.25">
      <c r="R5014" s="20">
        <v>4987</v>
      </c>
    </row>
    <row r="5015" spans="18:18" ht="14.25">
      <c r="R5015" s="20">
        <v>4988</v>
      </c>
    </row>
    <row r="5016" spans="18:18" ht="14.25">
      <c r="R5016" s="20">
        <v>4989</v>
      </c>
    </row>
    <row r="5017" spans="18:18" ht="14.25">
      <c r="R5017" s="20">
        <v>4990</v>
      </c>
    </row>
    <row r="5018" spans="18:18" ht="14.25">
      <c r="R5018" s="20">
        <v>4991</v>
      </c>
    </row>
    <row r="5019" spans="18:18" ht="14.25">
      <c r="R5019" s="20">
        <v>4992</v>
      </c>
    </row>
    <row r="5020" spans="18:18" ht="14.25">
      <c r="R5020" s="20">
        <v>4993</v>
      </c>
    </row>
    <row r="5021" spans="18:18" ht="14.25">
      <c r="R5021" s="20">
        <v>4994</v>
      </c>
    </row>
    <row r="5022" spans="18:18" ht="14.25">
      <c r="R5022" s="20">
        <v>4995</v>
      </c>
    </row>
    <row r="5023" spans="18:18" ht="14.25">
      <c r="R5023" s="20">
        <v>4996</v>
      </c>
    </row>
    <row r="5024" spans="18:18" ht="14.25">
      <c r="R5024" s="20">
        <v>4997</v>
      </c>
    </row>
    <row r="5025" spans="18:18" ht="14.25">
      <c r="R5025" s="20">
        <v>4998</v>
      </c>
    </row>
    <row r="5026" spans="18:18" ht="14.25">
      <c r="R5026" s="20">
        <v>4999</v>
      </c>
    </row>
    <row r="5027" spans="18:18" ht="14.25">
      <c r="R5027" s="20">
        <v>5000</v>
      </c>
    </row>
    <row r="5028" spans="18:18" ht="14.25">
      <c r="R5028" s="20">
        <v>5001</v>
      </c>
    </row>
    <row r="5029" spans="18:18" ht="14.25">
      <c r="R5029" s="20">
        <v>5002</v>
      </c>
    </row>
    <row r="5030" spans="18:18" ht="14.25">
      <c r="R5030" s="20">
        <v>5003</v>
      </c>
    </row>
    <row r="5031" spans="18:18" ht="14.25">
      <c r="R5031" s="20">
        <v>5004</v>
      </c>
    </row>
    <row r="5032" spans="18:18" ht="14.25">
      <c r="R5032" s="20">
        <v>5005</v>
      </c>
    </row>
    <row r="5033" spans="18:18" ht="14.25">
      <c r="R5033" s="20">
        <v>5006</v>
      </c>
    </row>
    <row r="5034" spans="18:18" ht="14.25">
      <c r="R5034" s="20">
        <v>5007</v>
      </c>
    </row>
    <row r="5035" spans="18:18" ht="14.25">
      <c r="R5035" s="20">
        <v>5008</v>
      </c>
    </row>
    <row r="5036" spans="18:18" ht="14.25">
      <c r="R5036" s="20">
        <v>5009</v>
      </c>
    </row>
    <row r="5037" spans="18:18" ht="14.25">
      <c r="R5037" s="20">
        <v>5010</v>
      </c>
    </row>
    <row r="5038" spans="18:18" ht="14.25">
      <c r="R5038" s="20">
        <v>5011</v>
      </c>
    </row>
    <row r="5039" spans="18:18" ht="14.25">
      <c r="R5039" s="20">
        <v>5012</v>
      </c>
    </row>
    <row r="5040" spans="18:18" ht="14.25">
      <c r="R5040" s="20">
        <v>5013</v>
      </c>
    </row>
    <row r="5041" spans="18:18" ht="14.25">
      <c r="R5041" s="20">
        <v>5014</v>
      </c>
    </row>
    <row r="5042" spans="18:18" ht="14.25">
      <c r="R5042" s="20">
        <v>5015</v>
      </c>
    </row>
    <row r="5043" spans="18:18" ht="14.25">
      <c r="R5043" s="20">
        <v>5016</v>
      </c>
    </row>
    <row r="5044" spans="18:18" ht="14.25">
      <c r="R5044" s="20">
        <v>5017</v>
      </c>
    </row>
    <row r="5045" spans="18:18" ht="14.25">
      <c r="R5045" s="20">
        <v>5018</v>
      </c>
    </row>
    <row r="5046" spans="18:18" ht="14.25">
      <c r="R5046" s="20">
        <v>5019</v>
      </c>
    </row>
    <row r="5047" spans="18:18" ht="14.25">
      <c r="R5047" s="20">
        <v>5020</v>
      </c>
    </row>
    <row r="5048" spans="18:18" ht="14.25">
      <c r="R5048" s="20">
        <v>5021</v>
      </c>
    </row>
    <row r="5049" spans="18:18" ht="14.25">
      <c r="R5049" s="20">
        <v>5022</v>
      </c>
    </row>
    <row r="5050" spans="18:18" ht="14.25">
      <c r="R5050" s="20">
        <v>5023</v>
      </c>
    </row>
    <row r="5051" spans="18:18" ht="14.25">
      <c r="R5051" s="20">
        <v>5024</v>
      </c>
    </row>
    <row r="5052" spans="18:18" ht="14.25">
      <c r="R5052" s="20">
        <v>5025</v>
      </c>
    </row>
    <row r="5053" spans="18:18" ht="14.25">
      <c r="R5053" s="20">
        <v>5026</v>
      </c>
    </row>
    <row r="5054" spans="18:18" ht="14.25">
      <c r="R5054" s="20">
        <v>5027</v>
      </c>
    </row>
    <row r="5055" spans="18:18" ht="14.25">
      <c r="R5055" s="20">
        <v>5028</v>
      </c>
    </row>
    <row r="5056" spans="18:18" ht="14.25">
      <c r="R5056" s="20">
        <v>5029</v>
      </c>
    </row>
    <row r="5057" spans="18:18" ht="14.25">
      <c r="R5057" s="20">
        <v>5030</v>
      </c>
    </row>
    <row r="5058" spans="18:18" ht="14.25">
      <c r="R5058" s="20">
        <v>5031</v>
      </c>
    </row>
    <row r="5059" spans="18:18" ht="14.25">
      <c r="R5059" s="20">
        <v>5032</v>
      </c>
    </row>
    <row r="5060" spans="18:18" ht="14.25">
      <c r="R5060" s="20">
        <v>5033</v>
      </c>
    </row>
    <row r="5061" spans="18:18" ht="14.25">
      <c r="R5061" s="20">
        <v>5034</v>
      </c>
    </row>
    <row r="5062" spans="18:18" ht="14.25">
      <c r="R5062" s="20">
        <v>5035</v>
      </c>
    </row>
    <row r="5063" spans="18:18" ht="14.25">
      <c r="R5063" s="20">
        <v>5036</v>
      </c>
    </row>
    <row r="5064" spans="18:18" ht="14.25">
      <c r="R5064" s="20">
        <v>5037</v>
      </c>
    </row>
    <row r="5065" spans="18:18" ht="14.25">
      <c r="R5065" s="20">
        <v>5038</v>
      </c>
    </row>
    <row r="5066" spans="18:18" ht="14.25">
      <c r="R5066" s="20">
        <v>5039</v>
      </c>
    </row>
    <row r="5067" spans="18:18" ht="14.25">
      <c r="R5067" s="20">
        <v>5040</v>
      </c>
    </row>
    <row r="5068" spans="18:18" ht="14.25">
      <c r="R5068" s="20">
        <v>5041</v>
      </c>
    </row>
    <row r="5069" spans="18:18" ht="14.25">
      <c r="R5069" s="20">
        <v>5042</v>
      </c>
    </row>
    <row r="5070" spans="18:18" ht="14.25">
      <c r="R5070" s="20">
        <v>5043</v>
      </c>
    </row>
    <row r="5071" spans="18:18" ht="14.25">
      <c r="R5071" s="20">
        <v>5044</v>
      </c>
    </row>
    <row r="5072" spans="18:18" ht="14.25">
      <c r="R5072" s="20">
        <v>5045</v>
      </c>
    </row>
    <row r="5073" spans="18:18" ht="14.25">
      <c r="R5073" s="20">
        <v>5046</v>
      </c>
    </row>
    <row r="5074" spans="18:18" ht="14.25">
      <c r="R5074" s="20">
        <v>5047</v>
      </c>
    </row>
    <row r="5075" spans="18:18" ht="14.25">
      <c r="R5075" s="20">
        <v>5048</v>
      </c>
    </row>
    <row r="5076" spans="18:18" ht="14.25">
      <c r="R5076" s="20">
        <v>5049</v>
      </c>
    </row>
    <row r="5077" spans="18:18" ht="14.25">
      <c r="R5077" s="20">
        <v>5050</v>
      </c>
    </row>
    <row r="5078" spans="18:18" ht="14.25">
      <c r="R5078" s="20">
        <v>5051</v>
      </c>
    </row>
    <row r="5079" spans="18:18" ht="14.25">
      <c r="R5079" s="20">
        <v>5052</v>
      </c>
    </row>
    <row r="5080" spans="18:18" ht="14.25">
      <c r="R5080" s="20">
        <v>5053</v>
      </c>
    </row>
    <row r="5081" spans="18:18" ht="14.25">
      <c r="R5081" s="20">
        <v>5054</v>
      </c>
    </row>
    <row r="5082" spans="18:18" ht="14.25">
      <c r="R5082" s="20">
        <v>5055</v>
      </c>
    </row>
    <row r="5083" spans="18:18" ht="14.25">
      <c r="R5083" s="20">
        <v>5056</v>
      </c>
    </row>
    <row r="5084" spans="18:18" ht="14.25">
      <c r="R5084" s="20">
        <v>5057</v>
      </c>
    </row>
    <row r="5085" spans="18:18" ht="14.25">
      <c r="R5085" s="20">
        <v>5058</v>
      </c>
    </row>
    <row r="5086" spans="18:18" ht="14.25">
      <c r="R5086" s="20">
        <v>5059</v>
      </c>
    </row>
    <row r="5087" spans="18:18" ht="14.25">
      <c r="R5087" s="20">
        <v>5060</v>
      </c>
    </row>
    <row r="5088" spans="18:18" ht="14.25">
      <c r="R5088" s="20">
        <v>5061</v>
      </c>
    </row>
    <row r="5089" spans="18:18" ht="14.25">
      <c r="R5089" s="20">
        <v>5062</v>
      </c>
    </row>
    <row r="5090" spans="18:18" ht="14.25">
      <c r="R5090" s="20">
        <v>5063</v>
      </c>
    </row>
    <row r="5091" spans="18:18" ht="14.25">
      <c r="R5091" s="20">
        <v>5064</v>
      </c>
    </row>
    <row r="5092" spans="18:18" ht="14.25">
      <c r="R5092" s="20">
        <v>5065</v>
      </c>
    </row>
    <row r="5093" spans="18:18" ht="14.25">
      <c r="R5093" s="20">
        <v>5066</v>
      </c>
    </row>
    <row r="5094" spans="18:18" ht="14.25">
      <c r="R5094" s="20">
        <v>5067</v>
      </c>
    </row>
    <row r="5095" spans="18:18" ht="14.25">
      <c r="R5095" s="20">
        <v>5068</v>
      </c>
    </row>
    <row r="5096" spans="18:18" ht="14.25">
      <c r="R5096" s="20">
        <v>5069</v>
      </c>
    </row>
    <row r="5097" spans="18:18" ht="14.25">
      <c r="R5097" s="20">
        <v>5070</v>
      </c>
    </row>
    <row r="5098" spans="18:18" ht="14.25">
      <c r="R5098" s="20">
        <v>5071</v>
      </c>
    </row>
    <row r="5099" spans="18:18" ht="14.25">
      <c r="R5099" s="20">
        <v>5072</v>
      </c>
    </row>
    <row r="5100" spans="18:18" ht="14.25">
      <c r="R5100" s="20">
        <v>5073</v>
      </c>
    </row>
    <row r="5101" spans="18:18" ht="14.25">
      <c r="R5101" s="20">
        <v>5074</v>
      </c>
    </row>
    <row r="5102" spans="18:18" ht="14.25">
      <c r="R5102" s="20">
        <v>5075</v>
      </c>
    </row>
    <row r="5103" spans="18:18" ht="14.25">
      <c r="R5103" s="20">
        <v>5076</v>
      </c>
    </row>
    <row r="5104" spans="18:18" ht="14.25">
      <c r="R5104" s="20">
        <v>5077</v>
      </c>
    </row>
    <row r="5105" spans="18:18" ht="14.25">
      <c r="R5105" s="20">
        <v>5078</v>
      </c>
    </row>
    <row r="5106" spans="18:18" ht="14.25">
      <c r="R5106" s="20">
        <v>5079</v>
      </c>
    </row>
    <row r="5107" spans="18:18" ht="14.25">
      <c r="R5107" s="20">
        <v>5080</v>
      </c>
    </row>
    <row r="5108" spans="18:18" ht="14.25">
      <c r="R5108" s="20">
        <v>5081</v>
      </c>
    </row>
    <row r="5109" spans="18:18" ht="14.25">
      <c r="R5109" s="20">
        <v>5082</v>
      </c>
    </row>
    <row r="5110" spans="18:18" ht="14.25">
      <c r="R5110" s="20">
        <v>5083</v>
      </c>
    </row>
    <row r="5111" spans="18:18" ht="14.25">
      <c r="R5111" s="20">
        <v>5084</v>
      </c>
    </row>
    <row r="5112" spans="18:18" ht="14.25">
      <c r="R5112" s="20">
        <v>5085</v>
      </c>
    </row>
    <row r="5113" spans="18:18" ht="14.25">
      <c r="R5113" s="20">
        <v>5086</v>
      </c>
    </row>
    <row r="5114" spans="18:18" ht="14.25">
      <c r="R5114" s="20">
        <v>5087</v>
      </c>
    </row>
    <row r="5115" spans="18:18" ht="14.25">
      <c r="R5115" s="20">
        <v>5088</v>
      </c>
    </row>
    <row r="5116" spans="18:18" ht="14.25">
      <c r="R5116" s="20">
        <v>5089</v>
      </c>
    </row>
    <row r="5117" spans="18:18" ht="14.25">
      <c r="R5117" s="20">
        <v>5090</v>
      </c>
    </row>
    <row r="5118" spans="18:18" ht="14.25">
      <c r="R5118" s="20">
        <v>5091</v>
      </c>
    </row>
    <row r="5119" spans="18:18" ht="14.25">
      <c r="R5119" s="20">
        <v>5092</v>
      </c>
    </row>
    <row r="5120" spans="18:18" ht="14.25">
      <c r="R5120" s="20">
        <v>5093</v>
      </c>
    </row>
    <row r="5121" spans="18:18" ht="14.25">
      <c r="R5121" s="20">
        <v>5094</v>
      </c>
    </row>
    <row r="5122" spans="18:18" ht="14.25">
      <c r="R5122" s="20">
        <v>5095</v>
      </c>
    </row>
    <row r="5123" spans="18:18" ht="14.25">
      <c r="R5123" s="20">
        <v>5096</v>
      </c>
    </row>
    <row r="5124" spans="18:18" ht="14.25">
      <c r="R5124" s="20">
        <v>5097</v>
      </c>
    </row>
    <row r="5125" spans="18:18" ht="14.25">
      <c r="R5125" s="20">
        <v>5098</v>
      </c>
    </row>
    <row r="5126" spans="18:18" ht="14.25">
      <c r="R5126" s="20">
        <v>5099</v>
      </c>
    </row>
    <row r="5127" spans="18:18" ht="14.25">
      <c r="R5127" s="20">
        <v>5100</v>
      </c>
    </row>
    <row r="5128" spans="18:18" ht="14.25">
      <c r="R5128" s="20">
        <v>5101</v>
      </c>
    </row>
    <row r="5129" spans="18:18" ht="14.25">
      <c r="R5129" s="20">
        <v>5102</v>
      </c>
    </row>
    <row r="5130" spans="18:18" ht="14.25">
      <c r="R5130" s="20">
        <v>5103</v>
      </c>
    </row>
    <row r="5131" spans="18:18" ht="14.25">
      <c r="R5131" s="20">
        <v>5104</v>
      </c>
    </row>
    <row r="5132" spans="18:18" ht="14.25">
      <c r="R5132" s="20">
        <v>5105</v>
      </c>
    </row>
    <row r="5133" spans="18:18" ht="14.25">
      <c r="R5133" s="20">
        <v>5106</v>
      </c>
    </row>
    <row r="5134" spans="18:18" ht="14.25">
      <c r="R5134" s="20">
        <v>5107</v>
      </c>
    </row>
    <row r="5135" spans="18:18" ht="14.25">
      <c r="R5135" s="20">
        <v>5108</v>
      </c>
    </row>
    <row r="5136" spans="18:18" ht="14.25">
      <c r="R5136" s="20">
        <v>5109</v>
      </c>
    </row>
    <row r="5137" spans="18:18" ht="14.25">
      <c r="R5137" s="20">
        <v>5110</v>
      </c>
    </row>
    <row r="5138" spans="18:18" ht="14.25">
      <c r="R5138" s="20">
        <v>5111</v>
      </c>
    </row>
    <row r="5139" spans="18:18" ht="14.25">
      <c r="R5139" s="20">
        <v>5112</v>
      </c>
    </row>
    <row r="5140" spans="18:18" ht="14.25">
      <c r="R5140" s="20">
        <v>5113</v>
      </c>
    </row>
    <row r="5141" spans="18:18" ht="14.25">
      <c r="R5141" s="20">
        <v>5114</v>
      </c>
    </row>
    <row r="5142" spans="18:18" ht="14.25">
      <c r="R5142" s="20">
        <v>5115</v>
      </c>
    </row>
    <row r="5143" spans="18:18" ht="14.25">
      <c r="R5143" s="20">
        <v>5116</v>
      </c>
    </row>
    <row r="5144" spans="18:18" ht="14.25">
      <c r="R5144" s="20">
        <v>5117</v>
      </c>
    </row>
    <row r="5145" spans="18:18" ht="14.25">
      <c r="R5145" s="20">
        <v>5118</v>
      </c>
    </row>
    <row r="5146" spans="18:18" ht="14.25">
      <c r="R5146" s="20">
        <v>5119</v>
      </c>
    </row>
    <row r="5147" spans="18:18" ht="14.25">
      <c r="R5147" s="20">
        <v>5120</v>
      </c>
    </row>
    <row r="5148" spans="18:18" ht="14.25">
      <c r="R5148" s="20">
        <v>5121</v>
      </c>
    </row>
    <row r="5149" spans="18:18" ht="14.25">
      <c r="R5149" s="20">
        <v>5122</v>
      </c>
    </row>
    <row r="5150" spans="18:18" ht="14.25">
      <c r="R5150" s="20">
        <v>5123</v>
      </c>
    </row>
    <row r="5151" spans="18:18" ht="14.25">
      <c r="R5151" s="20">
        <v>5124</v>
      </c>
    </row>
    <row r="5152" spans="18:18" ht="14.25">
      <c r="R5152" s="20">
        <v>5125</v>
      </c>
    </row>
    <row r="5153" spans="18:18" ht="14.25">
      <c r="R5153" s="20">
        <v>5126</v>
      </c>
    </row>
    <row r="5154" spans="18:18" ht="14.25">
      <c r="R5154" s="20">
        <v>5127</v>
      </c>
    </row>
    <row r="5155" spans="18:18" ht="14.25">
      <c r="R5155" s="20">
        <v>5128</v>
      </c>
    </row>
    <row r="5156" spans="18:18" ht="14.25">
      <c r="R5156" s="20">
        <v>5129</v>
      </c>
    </row>
    <row r="5157" spans="18:18" ht="14.25">
      <c r="R5157" s="20">
        <v>5130</v>
      </c>
    </row>
    <row r="5158" spans="18:18" ht="14.25">
      <c r="R5158" s="20">
        <v>5131</v>
      </c>
    </row>
    <row r="5159" spans="18:18" ht="14.25">
      <c r="R5159" s="20">
        <v>5132</v>
      </c>
    </row>
    <row r="5160" spans="18:18" ht="14.25">
      <c r="R5160" s="20">
        <v>5133</v>
      </c>
    </row>
    <row r="5161" spans="18:18" ht="14.25">
      <c r="R5161" s="20">
        <v>5134</v>
      </c>
    </row>
    <row r="5162" spans="18:18" ht="14.25">
      <c r="R5162" s="20">
        <v>5135</v>
      </c>
    </row>
    <row r="5163" spans="18:18" ht="14.25">
      <c r="R5163" s="20">
        <v>5136</v>
      </c>
    </row>
    <row r="5164" spans="18:18" ht="14.25">
      <c r="R5164" s="20">
        <v>5137</v>
      </c>
    </row>
    <row r="5165" spans="18:18" ht="14.25">
      <c r="R5165" s="20">
        <v>5138</v>
      </c>
    </row>
    <row r="5166" spans="18:18" ht="14.25">
      <c r="R5166" s="20">
        <v>5139</v>
      </c>
    </row>
    <row r="5167" spans="18:18" ht="14.25">
      <c r="R5167" s="20">
        <v>5140</v>
      </c>
    </row>
    <row r="5168" spans="18:18" ht="14.25">
      <c r="R5168" s="20">
        <v>5141</v>
      </c>
    </row>
    <row r="5169" spans="18:18" ht="14.25">
      <c r="R5169" s="20">
        <v>5142</v>
      </c>
    </row>
    <row r="5170" spans="18:18" ht="14.25">
      <c r="R5170" s="20">
        <v>5143</v>
      </c>
    </row>
    <row r="5171" spans="18:18" ht="14.25">
      <c r="R5171" s="20">
        <v>5144</v>
      </c>
    </row>
    <row r="5172" spans="18:18" ht="14.25">
      <c r="R5172" s="20">
        <v>5145</v>
      </c>
    </row>
    <row r="5173" spans="18:18" ht="14.25">
      <c r="R5173" s="20">
        <v>5146</v>
      </c>
    </row>
    <row r="5174" spans="18:18" ht="14.25">
      <c r="R5174" s="20">
        <v>5147</v>
      </c>
    </row>
    <row r="5175" spans="18:18" ht="14.25">
      <c r="R5175" s="20">
        <v>5148</v>
      </c>
    </row>
    <row r="5176" spans="18:18" ht="14.25">
      <c r="R5176" s="20">
        <v>5149</v>
      </c>
    </row>
    <row r="5177" spans="18:18" ht="14.25">
      <c r="R5177" s="20">
        <v>5150</v>
      </c>
    </row>
    <row r="5178" spans="18:18" ht="14.25">
      <c r="R5178" s="20">
        <v>5151</v>
      </c>
    </row>
    <row r="5179" spans="18:18" ht="14.25">
      <c r="R5179" s="20">
        <v>5152</v>
      </c>
    </row>
    <row r="5180" spans="18:18" ht="14.25">
      <c r="R5180" s="20">
        <v>5153</v>
      </c>
    </row>
    <row r="5181" spans="18:18" ht="14.25">
      <c r="R5181" s="20">
        <v>5154</v>
      </c>
    </row>
    <row r="5182" spans="18:18" ht="14.25">
      <c r="R5182" s="20">
        <v>5155</v>
      </c>
    </row>
    <row r="5183" spans="18:18" ht="14.25">
      <c r="R5183" s="20">
        <v>5156</v>
      </c>
    </row>
    <row r="5184" spans="18:18" ht="14.25">
      <c r="R5184" s="20">
        <v>5157</v>
      </c>
    </row>
    <row r="5185" spans="18:18" ht="14.25">
      <c r="R5185" s="20">
        <v>5158</v>
      </c>
    </row>
    <row r="5186" spans="18:18" ht="14.25">
      <c r="R5186" s="20">
        <v>5159</v>
      </c>
    </row>
    <row r="5187" spans="18:18" ht="14.25">
      <c r="R5187" s="20">
        <v>5160</v>
      </c>
    </row>
    <row r="5188" spans="18:18" ht="14.25">
      <c r="R5188" s="20">
        <v>5161</v>
      </c>
    </row>
    <row r="5189" spans="18:18" ht="14.25">
      <c r="R5189" s="20">
        <v>5162</v>
      </c>
    </row>
    <row r="5190" spans="18:18" ht="14.25">
      <c r="R5190" s="20">
        <v>5163</v>
      </c>
    </row>
    <row r="5191" spans="18:18" ht="14.25">
      <c r="R5191" s="20">
        <v>5164</v>
      </c>
    </row>
    <row r="5192" spans="18:18" ht="14.25">
      <c r="R5192" s="20">
        <v>5165</v>
      </c>
    </row>
    <row r="5193" spans="18:18" ht="14.25">
      <c r="R5193" s="20">
        <v>5166</v>
      </c>
    </row>
    <row r="5194" spans="18:18" ht="14.25">
      <c r="R5194" s="20">
        <v>5167</v>
      </c>
    </row>
    <row r="5195" spans="18:18" ht="14.25">
      <c r="R5195" s="20">
        <v>5168</v>
      </c>
    </row>
    <row r="5196" spans="18:18" ht="14.25">
      <c r="R5196" s="20">
        <v>5169</v>
      </c>
    </row>
    <row r="5197" spans="18:18" ht="14.25">
      <c r="R5197" s="20">
        <v>5170</v>
      </c>
    </row>
    <row r="5198" spans="18:18" ht="14.25">
      <c r="R5198" s="20">
        <v>5171</v>
      </c>
    </row>
    <row r="5199" spans="18:18" ht="14.25">
      <c r="R5199" s="20">
        <v>5172</v>
      </c>
    </row>
    <row r="5200" spans="18:18" ht="14.25">
      <c r="R5200" s="20">
        <v>5173</v>
      </c>
    </row>
    <row r="5201" spans="18:18" ht="14.25">
      <c r="R5201" s="20">
        <v>5174</v>
      </c>
    </row>
    <row r="5202" spans="18:18" ht="14.25">
      <c r="R5202" s="20">
        <v>5175</v>
      </c>
    </row>
    <row r="5203" spans="18:18" ht="14.25">
      <c r="R5203" s="20">
        <v>5176</v>
      </c>
    </row>
    <row r="5204" spans="18:18" ht="14.25">
      <c r="R5204" s="20">
        <v>5177</v>
      </c>
    </row>
    <row r="5205" spans="18:18" ht="14.25">
      <c r="R5205" s="20">
        <v>5178</v>
      </c>
    </row>
    <row r="5206" spans="18:18" ht="14.25">
      <c r="R5206" s="20">
        <v>5179</v>
      </c>
    </row>
    <row r="5207" spans="18:18" ht="14.25">
      <c r="R5207" s="20">
        <v>5180</v>
      </c>
    </row>
    <row r="5208" spans="18:18" ht="14.25">
      <c r="R5208" s="20">
        <v>5181</v>
      </c>
    </row>
    <row r="5209" spans="18:18" ht="14.25">
      <c r="R5209" s="20">
        <v>5182</v>
      </c>
    </row>
    <row r="5210" spans="18:18" ht="14.25">
      <c r="R5210" s="20">
        <v>5183</v>
      </c>
    </row>
    <row r="5211" spans="18:18" ht="14.25">
      <c r="R5211" s="20">
        <v>5184</v>
      </c>
    </row>
    <row r="5212" spans="18:18" ht="14.25">
      <c r="R5212" s="20">
        <v>5185</v>
      </c>
    </row>
    <row r="5213" spans="18:18" ht="14.25">
      <c r="R5213" s="20">
        <v>5186</v>
      </c>
    </row>
    <row r="5214" spans="18:18" ht="14.25">
      <c r="R5214" s="20">
        <v>5187</v>
      </c>
    </row>
    <row r="5215" spans="18:18" ht="14.25">
      <c r="R5215" s="20">
        <v>5188</v>
      </c>
    </row>
    <row r="5216" spans="18:18" ht="14.25">
      <c r="R5216" s="20">
        <v>5189</v>
      </c>
    </row>
    <row r="5217" spans="18:18" ht="14.25">
      <c r="R5217" s="20">
        <v>5190</v>
      </c>
    </row>
    <row r="5218" spans="18:18" ht="14.25">
      <c r="R5218" s="20">
        <v>5191</v>
      </c>
    </row>
    <row r="5219" spans="18:18" ht="14.25">
      <c r="R5219" s="20">
        <v>5192</v>
      </c>
    </row>
    <row r="5220" spans="18:18" ht="14.25">
      <c r="R5220" s="20">
        <v>5193</v>
      </c>
    </row>
    <row r="5221" spans="18:18" ht="14.25">
      <c r="R5221" s="20">
        <v>5194</v>
      </c>
    </row>
    <row r="5222" spans="18:18" ht="14.25">
      <c r="R5222" s="20">
        <v>5195</v>
      </c>
    </row>
    <row r="5223" spans="18:18" ht="14.25">
      <c r="R5223" s="20">
        <v>5196</v>
      </c>
    </row>
    <row r="5224" spans="18:18" ht="14.25">
      <c r="R5224" s="20">
        <v>5197</v>
      </c>
    </row>
    <row r="5225" spans="18:18" ht="14.25">
      <c r="R5225" s="20">
        <v>5198</v>
      </c>
    </row>
    <row r="5226" spans="18:18" ht="14.25">
      <c r="R5226" s="20">
        <v>5199</v>
      </c>
    </row>
    <row r="5227" spans="18:18" ht="14.25">
      <c r="R5227" s="20">
        <v>5200</v>
      </c>
    </row>
    <row r="5228" spans="18:18" ht="14.25">
      <c r="R5228" s="20">
        <v>5201</v>
      </c>
    </row>
    <row r="5229" spans="18:18" ht="14.25">
      <c r="R5229" s="20">
        <v>5202</v>
      </c>
    </row>
    <row r="5230" spans="18:18" ht="14.25">
      <c r="R5230" s="20">
        <v>5203</v>
      </c>
    </row>
    <row r="5231" spans="18:18" ht="14.25">
      <c r="R5231" s="20">
        <v>5204</v>
      </c>
    </row>
    <row r="5232" spans="18:18" ht="14.25">
      <c r="R5232" s="20">
        <v>5205</v>
      </c>
    </row>
    <row r="5233" spans="18:18" ht="14.25">
      <c r="R5233" s="20">
        <v>5206</v>
      </c>
    </row>
    <row r="5234" spans="18:18" ht="14.25">
      <c r="R5234" s="20">
        <v>5207</v>
      </c>
    </row>
    <row r="5235" spans="18:18" ht="14.25">
      <c r="R5235" s="20">
        <v>5208</v>
      </c>
    </row>
    <row r="5236" spans="18:18" ht="14.25">
      <c r="R5236" s="20">
        <v>5209</v>
      </c>
    </row>
    <row r="5237" spans="18:18" ht="14.25">
      <c r="R5237" s="20">
        <v>5210</v>
      </c>
    </row>
    <row r="5238" spans="18:18" ht="14.25">
      <c r="R5238" s="20">
        <v>5211</v>
      </c>
    </row>
    <row r="5239" spans="18:18" ht="14.25">
      <c r="R5239" s="20">
        <v>5212</v>
      </c>
    </row>
    <row r="5240" spans="18:18" ht="14.25">
      <c r="R5240" s="20">
        <v>5213</v>
      </c>
    </row>
    <row r="5241" spans="18:18" ht="14.25">
      <c r="R5241" s="20">
        <v>5214</v>
      </c>
    </row>
    <row r="5242" spans="18:18" ht="14.25">
      <c r="R5242" s="20">
        <v>5215</v>
      </c>
    </row>
    <row r="5243" spans="18:18" ht="14.25">
      <c r="R5243" s="20">
        <v>5216</v>
      </c>
    </row>
    <row r="5244" spans="18:18" ht="14.25">
      <c r="R5244" s="20">
        <v>5217</v>
      </c>
    </row>
    <row r="5245" spans="18:18" ht="14.25">
      <c r="R5245" s="20">
        <v>5218</v>
      </c>
    </row>
    <row r="5246" spans="18:18" ht="14.25">
      <c r="R5246" s="20">
        <v>5219</v>
      </c>
    </row>
    <row r="5247" spans="18:18" ht="14.25">
      <c r="R5247" s="20">
        <v>5220</v>
      </c>
    </row>
    <row r="5248" spans="18:18" ht="14.25">
      <c r="R5248" s="20">
        <v>5221</v>
      </c>
    </row>
    <row r="5249" spans="18:18" ht="14.25">
      <c r="R5249" s="20">
        <v>5222</v>
      </c>
    </row>
    <row r="5250" spans="18:18" ht="14.25">
      <c r="R5250" s="20">
        <v>5223</v>
      </c>
    </row>
    <row r="5251" spans="18:18" ht="14.25">
      <c r="R5251" s="20">
        <v>5224</v>
      </c>
    </row>
    <row r="5252" spans="18:18" ht="14.25">
      <c r="R5252" s="20">
        <v>5225</v>
      </c>
    </row>
    <row r="5253" spans="18:18" ht="14.25">
      <c r="R5253" s="20">
        <v>5226</v>
      </c>
    </row>
    <row r="5254" spans="18:18" ht="14.25">
      <c r="R5254" s="20">
        <v>5227</v>
      </c>
    </row>
    <row r="5255" spans="18:18" ht="14.25">
      <c r="R5255" s="20">
        <v>5228</v>
      </c>
    </row>
    <row r="5256" spans="18:18" ht="14.25">
      <c r="R5256" s="20">
        <v>5229</v>
      </c>
    </row>
    <row r="5257" spans="18:18" ht="14.25">
      <c r="R5257" s="20">
        <v>5230</v>
      </c>
    </row>
    <row r="5258" spans="18:18" ht="14.25">
      <c r="R5258" s="20">
        <v>5231</v>
      </c>
    </row>
    <row r="5259" spans="18:18" ht="14.25">
      <c r="R5259" s="20">
        <v>5232</v>
      </c>
    </row>
    <row r="5260" spans="18:18" ht="14.25">
      <c r="R5260" s="20">
        <v>5233</v>
      </c>
    </row>
    <row r="5261" spans="18:18" ht="14.25">
      <c r="R5261" s="20">
        <v>5234</v>
      </c>
    </row>
    <row r="5262" spans="18:18" ht="14.25">
      <c r="R5262" s="20">
        <v>5235</v>
      </c>
    </row>
    <row r="5263" spans="18:18" ht="14.25">
      <c r="R5263" s="20">
        <v>5236</v>
      </c>
    </row>
    <row r="5264" spans="18:18" ht="14.25">
      <c r="R5264" s="20">
        <v>5237</v>
      </c>
    </row>
    <row r="5265" spans="18:18" ht="14.25">
      <c r="R5265" s="20">
        <v>5238</v>
      </c>
    </row>
    <row r="5266" spans="18:18" ht="14.25">
      <c r="R5266" s="20">
        <v>5239</v>
      </c>
    </row>
    <row r="5267" spans="18:18" ht="14.25">
      <c r="R5267" s="20">
        <v>5240</v>
      </c>
    </row>
    <row r="5268" spans="18:18" ht="14.25">
      <c r="R5268" s="20">
        <v>5241</v>
      </c>
    </row>
    <row r="5269" spans="18:18" ht="14.25">
      <c r="R5269" s="20">
        <v>5242</v>
      </c>
    </row>
    <row r="5270" spans="18:18" ht="14.25">
      <c r="R5270" s="20">
        <v>5243</v>
      </c>
    </row>
    <row r="5271" spans="18:18" ht="14.25">
      <c r="R5271" s="20">
        <v>5244</v>
      </c>
    </row>
    <row r="5272" spans="18:18" ht="14.25">
      <c r="R5272" s="20">
        <v>5245</v>
      </c>
    </row>
    <row r="5273" spans="18:18" ht="14.25">
      <c r="R5273" s="20">
        <v>5246</v>
      </c>
    </row>
    <row r="5274" spans="18:18" ht="14.25">
      <c r="R5274" s="20">
        <v>5247</v>
      </c>
    </row>
    <row r="5275" spans="18:18" ht="14.25">
      <c r="R5275" s="20">
        <v>5248</v>
      </c>
    </row>
    <row r="5276" spans="18:18" ht="14.25">
      <c r="R5276" s="20">
        <v>5249</v>
      </c>
    </row>
    <row r="5277" spans="18:18" ht="14.25">
      <c r="R5277" s="20">
        <v>5250</v>
      </c>
    </row>
    <row r="5278" spans="18:18" ht="14.25">
      <c r="R5278" s="20">
        <v>5251</v>
      </c>
    </row>
    <row r="5279" spans="18:18" ht="14.25">
      <c r="R5279" s="20">
        <v>5252</v>
      </c>
    </row>
    <row r="5280" spans="18:18" ht="14.25">
      <c r="R5280" s="20">
        <v>5253</v>
      </c>
    </row>
    <row r="5281" spans="18:18" ht="14.25">
      <c r="R5281" s="20">
        <v>5254</v>
      </c>
    </row>
    <row r="5282" spans="18:18" ht="14.25">
      <c r="R5282" s="20">
        <v>5255</v>
      </c>
    </row>
    <row r="5283" spans="18:18" ht="14.25">
      <c r="R5283" s="20">
        <v>5256</v>
      </c>
    </row>
    <row r="5284" spans="18:18" ht="14.25">
      <c r="R5284" s="20">
        <v>5257</v>
      </c>
    </row>
    <row r="5285" spans="18:18" ht="14.25">
      <c r="R5285" s="20">
        <v>5258</v>
      </c>
    </row>
    <row r="5286" spans="18:18" ht="14.25">
      <c r="R5286" s="20">
        <v>5259</v>
      </c>
    </row>
    <row r="5287" spans="18:18" ht="14.25">
      <c r="R5287" s="20">
        <v>5260</v>
      </c>
    </row>
    <row r="5288" spans="18:18" ht="14.25">
      <c r="R5288" s="20">
        <v>5261</v>
      </c>
    </row>
    <row r="5289" spans="18:18" ht="14.25">
      <c r="R5289" s="20">
        <v>5262</v>
      </c>
    </row>
    <row r="5290" spans="18:18" ht="14.25">
      <c r="R5290" s="20">
        <v>5263</v>
      </c>
    </row>
    <row r="5291" spans="18:18" ht="14.25">
      <c r="R5291" s="20">
        <v>5264</v>
      </c>
    </row>
    <row r="5292" spans="18:18" ht="14.25">
      <c r="R5292" s="20">
        <v>5265</v>
      </c>
    </row>
    <row r="5293" spans="18:18" ht="14.25">
      <c r="R5293" s="20">
        <v>5266</v>
      </c>
    </row>
    <row r="5294" spans="18:18" ht="14.25">
      <c r="R5294" s="20">
        <v>5267</v>
      </c>
    </row>
    <row r="5295" spans="18:18" ht="14.25">
      <c r="R5295" s="20">
        <v>5268</v>
      </c>
    </row>
    <row r="5296" spans="18:18" ht="14.25">
      <c r="R5296" s="20">
        <v>5269</v>
      </c>
    </row>
    <row r="5297" spans="18:18" ht="14.25">
      <c r="R5297" s="20">
        <v>5270</v>
      </c>
    </row>
    <row r="5298" spans="18:18" ht="14.25">
      <c r="R5298" s="20">
        <v>5271</v>
      </c>
    </row>
    <row r="5299" spans="18:18" ht="14.25">
      <c r="R5299" s="20">
        <v>5272</v>
      </c>
    </row>
    <row r="5300" spans="18:18" ht="14.25">
      <c r="R5300" s="20">
        <v>5273</v>
      </c>
    </row>
    <row r="5301" spans="18:18" ht="14.25">
      <c r="R5301" s="20">
        <v>5274</v>
      </c>
    </row>
    <row r="5302" spans="18:18" ht="14.25">
      <c r="R5302" s="20">
        <v>5275</v>
      </c>
    </row>
    <row r="5303" spans="18:18" ht="14.25">
      <c r="R5303" s="20">
        <v>5276</v>
      </c>
    </row>
    <row r="5304" spans="18:18" ht="14.25">
      <c r="R5304" s="20">
        <v>5277</v>
      </c>
    </row>
    <row r="5305" spans="18:18" ht="14.25">
      <c r="R5305" s="20">
        <v>5278</v>
      </c>
    </row>
    <row r="5306" spans="18:18" ht="14.25">
      <c r="R5306" s="20">
        <v>5279</v>
      </c>
    </row>
    <row r="5307" spans="18:18" ht="14.25">
      <c r="R5307" s="20">
        <v>5280</v>
      </c>
    </row>
    <row r="5308" spans="18:18" ht="14.25">
      <c r="R5308" s="20">
        <v>5281</v>
      </c>
    </row>
    <row r="5309" spans="18:18" ht="14.25">
      <c r="R5309" s="20">
        <v>5282</v>
      </c>
    </row>
    <row r="5310" spans="18:18" ht="14.25">
      <c r="R5310" s="20">
        <v>5283</v>
      </c>
    </row>
    <row r="5311" spans="18:18" ht="14.25">
      <c r="R5311" s="20">
        <v>5284</v>
      </c>
    </row>
    <row r="5312" spans="18:18" ht="14.25">
      <c r="R5312" s="20">
        <v>5285</v>
      </c>
    </row>
    <row r="5313" spans="18:18" ht="14.25">
      <c r="R5313" s="20">
        <v>5286</v>
      </c>
    </row>
    <row r="5314" spans="18:18" ht="14.25">
      <c r="R5314" s="20">
        <v>5287</v>
      </c>
    </row>
    <row r="5315" spans="18:18" ht="14.25">
      <c r="R5315" s="20">
        <v>5288</v>
      </c>
    </row>
    <row r="5316" spans="18:18" ht="14.25">
      <c r="R5316" s="20">
        <v>5289</v>
      </c>
    </row>
    <row r="5317" spans="18:18" ht="14.25">
      <c r="R5317" s="20">
        <v>5290</v>
      </c>
    </row>
    <row r="5318" spans="18:18" ht="14.25">
      <c r="R5318" s="20">
        <v>5291</v>
      </c>
    </row>
    <row r="5319" spans="18:18" ht="14.25">
      <c r="R5319" s="20">
        <v>5292</v>
      </c>
    </row>
    <row r="5320" spans="18:18" ht="14.25">
      <c r="R5320" s="20">
        <v>5293</v>
      </c>
    </row>
    <row r="5321" spans="18:18" ht="14.25">
      <c r="R5321" s="20">
        <v>5294</v>
      </c>
    </row>
    <row r="5322" spans="18:18" ht="14.25">
      <c r="R5322" s="20">
        <v>5295</v>
      </c>
    </row>
    <row r="5323" spans="18:18" ht="14.25">
      <c r="R5323" s="20">
        <v>5296</v>
      </c>
    </row>
    <row r="5324" spans="18:18" ht="14.25">
      <c r="R5324" s="20">
        <v>5297</v>
      </c>
    </row>
    <row r="5325" spans="18:18" ht="14.25">
      <c r="R5325" s="20">
        <v>5298</v>
      </c>
    </row>
    <row r="5326" spans="18:18" ht="14.25">
      <c r="R5326" s="20">
        <v>5299</v>
      </c>
    </row>
    <row r="5327" spans="18:18" ht="14.25">
      <c r="R5327" s="20">
        <v>5300</v>
      </c>
    </row>
    <row r="5328" spans="18:18" ht="14.25">
      <c r="R5328" s="20">
        <v>5301</v>
      </c>
    </row>
    <row r="5329" spans="18:18" ht="14.25">
      <c r="R5329" s="20">
        <v>5302</v>
      </c>
    </row>
    <row r="5330" spans="18:18" ht="14.25">
      <c r="R5330" s="20">
        <v>5303</v>
      </c>
    </row>
    <row r="5331" spans="18:18" ht="14.25">
      <c r="R5331" s="20">
        <v>5304</v>
      </c>
    </row>
    <row r="5332" spans="18:18" ht="14.25">
      <c r="R5332" s="20">
        <v>5305</v>
      </c>
    </row>
    <row r="5333" spans="18:18" ht="14.25">
      <c r="R5333" s="20">
        <v>5306</v>
      </c>
    </row>
    <row r="5334" spans="18:18" ht="14.25">
      <c r="R5334" s="20">
        <v>5307</v>
      </c>
    </row>
    <row r="5335" spans="18:18" ht="14.25">
      <c r="R5335" s="20">
        <v>5308</v>
      </c>
    </row>
    <row r="5336" spans="18:18" ht="14.25">
      <c r="R5336" s="20">
        <v>5309</v>
      </c>
    </row>
    <row r="5337" spans="18:18" ht="14.25">
      <c r="R5337" s="20">
        <v>5310</v>
      </c>
    </row>
    <row r="5338" spans="18:18" ht="14.25">
      <c r="R5338" s="20">
        <v>5311</v>
      </c>
    </row>
    <row r="5339" spans="18:18" ht="14.25">
      <c r="R5339" s="20">
        <v>5312</v>
      </c>
    </row>
    <row r="5340" spans="18:18" ht="14.25">
      <c r="R5340" s="20">
        <v>5313</v>
      </c>
    </row>
    <row r="5341" spans="18:18" ht="14.25">
      <c r="R5341" s="20">
        <v>5314</v>
      </c>
    </row>
    <row r="5342" spans="18:18" ht="14.25">
      <c r="R5342" s="20">
        <v>5315</v>
      </c>
    </row>
    <row r="5343" spans="18:18" ht="14.25">
      <c r="R5343" s="20">
        <v>5316</v>
      </c>
    </row>
    <row r="5344" spans="18:18" ht="14.25">
      <c r="R5344" s="20">
        <v>5317</v>
      </c>
    </row>
    <row r="5345" spans="18:18" ht="14.25">
      <c r="R5345" s="20">
        <v>5318</v>
      </c>
    </row>
    <row r="5346" spans="18:18" ht="14.25">
      <c r="R5346" s="20">
        <v>5319</v>
      </c>
    </row>
    <row r="5347" spans="18:18" ht="14.25">
      <c r="R5347" s="20">
        <v>5320</v>
      </c>
    </row>
    <row r="5348" spans="18:18" ht="14.25">
      <c r="R5348" s="20">
        <v>5321</v>
      </c>
    </row>
    <row r="5349" spans="18:18" ht="14.25">
      <c r="R5349" s="20">
        <v>5322</v>
      </c>
    </row>
    <row r="5350" spans="18:18" ht="14.25">
      <c r="R5350" s="20">
        <v>5323</v>
      </c>
    </row>
    <row r="5351" spans="18:18" ht="14.25">
      <c r="R5351" s="20">
        <v>5324</v>
      </c>
    </row>
    <row r="5352" spans="18:18" ht="14.25">
      <c r="R5352" s="20">
        <v>5325</v>
      </c>
    </row>
    <row r="5353" spans="18:18" ht="14.25">
      <c r="R5353" s="20">
        <v>5326</v>
      </c>
    </row>
    <row r="5354" spans="18:18" ht="14.25">
      <c r="R5354" s="20">
        <v>5327</v>
      </c>
    </row>
    <row r="5355" spans="18:18" ht="14.25">
      <c r="R5355" s="20">
        <v>5328</v>
      </c>
    </row>
    <row r="5356" spans="18:18" ht="14.25">
      <c r="R5356" s="20">
        <v>5329</v>
      </c>
    </row>
    <row r="5357" spans="18:18" ht="14.25">
      <c r="R5357" s="20">
        <v>5330</v>
      </c>
    </row>
    <row r="5358" spans="18:18" ht="14.25">
      <c r="R5358" s="20">
        <v>5331</v>
      </c>
    </row>
    <row r="5359" spans="18:18" ht="14.25">
      <c r="R5359" s="20">
        <v>5332</v>
      </c>
    </row>
    <row r="5360" spans="18:18" ht="14.25">
      <c r="R5360" s="20">
        <v>5333</v>
      </c>
    </row>
    <row r="5361" spans="18:18" ht="14.25">
      <c r="R5361" s="20">
        <v>5334</v>
      </c>
    </row>
    <row r="5362" spans="18:18" ht="14.25">
      <c r="R5362" s="20">
        <v>5335</v>
      </c>
    </row>
    <row r="5363" spans="18:18" ht="14.25">
      <c r="R5363" s="20">
        <v>5336</v>
      </c>
    </row>
    <row r="5364" spans="18:18" ht="14.25">
      <c r="R5364" s="20">
        <v>5337</v>
      </c>
    </row>
    <row r="5365" spans="18:18" ht="14.25">
      <c r="R5365" s="20">
        <v>5338</v>
      </c>
    </row>
    <row r="5366" spans="18:18" ht="14.25">
      <c r="R5366" s="20">
        <v>5339</v>
      </c>
    </row>
    <row r="5367" spans="18:18" ht="14.25">
      <c r="R5367" s="20">
        <v>5340</v>
      </c>
    </row>
    <row r="5368" spans="18:18" ht="14.25">
      <c r="R5368" s="20">
        <v>5341</v>
      </c>
    </row>
    <row r="5369" spans="18:18" ht="14.25">
      <c r="R5369" s="20">
        <v>5342</v>
      </c>
    </row>
    <row r="5370" spans="18:18" ht="14.25">
      <c r="R5370" s="20">
        <v>5343</v>
      </c>
    </row>
    <row r="5371" spans="18:18" ht="14.25">
      <c r="R5371" s="20">
        <v>5344</v>
      </c>
    </row>
    <row r="5372" spans="18:18" ht="14.25">
      <c r="R5372" s="20">
        <v>5345</v>
      </c>
    </row>
    <row r="5373" spans="18:18" ht="14.25">
      <c r="R5373" s="20">
        <v>5346</v>
      </c>
    </row>
    <row r="5374" spans="18:18" ht="14.25">
      <c r="R5374" s="20">
        <v>5347</v>
      </c>
    </row>
    <row r="5375" spans="18:18" ht="14.25">
      <c r="R5375" s="20">
        <v>5348</v>
      </c>
    </row>
    <row r="5376" spans="18:18" ht="14.25">
      <c r="R5376" s="20">
        <v>5349</v>
      </c>
    </row>
    <row r="5377" spans="18:18" ht="14.25">
      <c r="R5377" s="20">
        <v>5350</v>
      </c>
    </row>
    <row r="5378" spans="18:18" ht="14.25">
      <c r="R5378" s="20">
        <v>5351</v>
      </c>
    </row>
    <row r="5379" spans="18:18" ht="14.25">
      <c r="R5379" s="20">
        <v>5352</v>
      </c>
    </row>
    <row r="5380" spans="18:18" ht="14.25">
      <c r="R5380" s="20">
        <v>5353</v>
      </c>
    </row>
    <row r="5381" spans="18:18" ht="14.25">
      <c r="R5381" s="20">
        <v>5354</v>
      </c>
    </row>
    <row r="5382" spans="18:18" ht="14.25">
      <c r="R5382" s="20">
        <v>5355</v>
      </c>
    </row>
    <row r="5383" spans="18:18" ht="14.25">
      <c r="R5383" s="20">
        <v>5356</v>
      </c>
    </row>
    <row r="5384" spans="18:18" ht="14.25">
      <c r="R5384" s="20">
        <v>5357</v>
      </c>
    </row>
    <row r="5385" spans="18:18" ht="14.25">
      <c r="R5385" s="20">
        <v>5358</v>
      </c>
    </row>
    <row r="5386" spans="18:18" ht="14.25">
      <c r="R5386" s="20">
        <v>5359</v>
      </c>
    </row>
    <row r="5387" spans="18:18" ht="14.25">
      <c r="R5387" s="20">
        <v>5360</v>
      </c>
    </row>
    <row r="5388" spans="18:18" ht="14.25">
      <c r="R5388" s="20">
        <v>5361</v>
      </c>
    </row>
    <row r="5389" spans="18:18" ht="14.25">
      <c r="R5389" s="20">
        <v>5362</v>
      </c>
    </row>
    <row r="5390" spans="18:18" ht="14.25">
      <c r="R5390" s="20">
        <v>5363</v>
      </c>
    </row>
    <row r="5391" spans="18:18" ht="14.25">
      <c r="R5391" s="20">
        <v>5364</v>
      </c>
    </row>
    <row r="5392" spans="18:18" ht="14.25">
      <c r="R5392" s="20">
        <v>5365</v>
      </c>
    </row>
    <row r="5393" spans="18:18" ht="14.25">
      <c r="R5393" s="20">
        <v>5366</v>
      </c>
    </row>
    <row r="5394" spans="18:18" ht="14.25">
      <c r="R5394" s="20">
        <v>5367</v>
      </c>
    </row>
    <row r="5395" spans="18:18" ht="14.25">
      <c r="R5395" s="20">
        <v>5368</v>
      </c>
    </row>
    <row r="5396" spans="18:18" ht="14.25">
      <c r="R5396" s="20">
        <v>5369</v>
      </c>
    </row>
    <row r="5397" spans="18:18" ht="14.25">
      <c r="R5397" s="20">
        <v>5370</v>
      </c>
    </row>
    <row r="5398" spans="18:18" ht="14.25">
      <c r="R5398" s="20">
        <v>5371</v>
      </c>
    </row>
    <row r="5399" spans="18:18" ht="14.25">
      <c r="R5399" s="20">
        <v>5372</v>
      </c>
    </row>
    <row r="5400" spans="18:18" ht="14.25">
      <c r="R5400" s="20">
        <v>5373</v>
      </c>
    </row>
    <row r="5401" spans="18:18" ht="14.25">
      <c r="R5401" s="20">
        <v>5374</v>
      </c>
    </row>
    <row r="5402" spans="18:18" ht="14.25">
      <c r="R5402" s="20">
        <v>5375</v>
      </c>
    </row>
    <row r="5403" spans="18:18" ht="14.25">
      <c r="R5403" s="20">
        <v>5376</v>
      </c>
    </row>
    <row r="5404" spans="18:18" ht="14.25">
      <c r="R5404" s="20">
        <v>5377</v>
      </c>
    </row>
    <row r="5405" spans="18:18" ht="14.25">
      <c r="R5405" s="20">
        <v>5378</v>
      </c>
    </row>
    <row r="5406" spans="18:18" ht="14.25">
      <c r="R5406" s="20">
        <v>5379</v>
      </c>
    </row>
    <row r="5407" spans="18:18" ht="14.25">
      <c r="R5407" s="20">
        <v>5380</v>
      </c>
    </row>
    <row r="5408" spans="18:18" ht="14.25">
      <c r="R5408" s="20">
        <v>5381</v>
      </c>
    </row>
    <row r="5409" spans="18:18" ht="14.25">
      <c r="R5409" s="20">
        <v>5382</v>
      </c>
    </row>
    <row r="5410" spans="18:18" ht="14.25">
      <c r="R5410" s="20">
        <v>5383</v>
      </c>
    </row>
    <row r="5411" spans="18:18" ht="14.25">
      <c r="R5411" s="20">
        <v>5384</v>
      </c>
    </row>
    <row r="5412" spans="18:18" ht="14.25">
      <c r="R5412" s="20">
        <v>5385</v>
      </c>
    </row>
    <row r="5413" spans="18:18" ht="14.25">
      <c r="R5413" s="20">
        <v>5386</v>
      </c>
    </row>
    <row r="5414" spans="18:18" ht="14.25">
      <c r="R5414" s="20">
        <v>5387</v>
      </c>
    </row>
    <row r="5415" spans="18:18" ht="14.25">
      <c r="R5415" s="20">
        <v>5388</v>
      </c>
    </row>
    <row r="5416" spans="18:18" ht="14.25">
      <c r="R5416" s="20">
        <v>5389</v>
      </c>
    </row>
    <row r="5417" spans="18:18" ht="14.25">
      <c r="R5417" s="20">
        <v>5390</v>
      </c>
    </row>
    <row r="5418" spans="18:18" ht="14.25">
      <c r="R5418" s="20">
        <v>5391</v>
      </c>
    </row>
    <row r="5419" spans="18:18" ht="14.25">
      <c r="R5419" s="20">
        <v>5392</v>
      </c>
    </row>
    <row r="5420" spans="18:18" ht="14.25">
      <c r="R5420" s="20">
        <v>5393</v>
      </c>
    </row>
    <row r="5421" spans="18:18" ht="14.25">
      <c r="R5421" s="20">
        <v>5394</v>
      </c>
    </row>
    <row r="5422" spans="18:18" ht="14.25">
      <c r="R5422" s="20">
        <v>5395</v>
      </c>
    </row>
    <row r="5423" spans="18:18" ht="14.25">
      <c r="R5423" s="20">
        <v>5396</v>
      </c>
    </row>
    <row r="5424" spans="18:18" ht="14.25">
      <c r="R5424" s="20">
        <v>5397</v>
      </c>
    </row>
    <row r="5425" spans="18:18" ht="14.25">
      <c r="R5425" s="20">
        <v>5398</v>
      </c>
    </row>
    <row r="5426" spans="18:18" ht="14.25">
      <c r="R5426" s="20">
        <v>5399</v>
      </c>
    </row>
    <row r="5427" spans="18:18" ht="14.25">
      <c r="R5427" s="20">
        <v>5400</v>
      </c>
    </row>
    <row r="5428" spans="18:18" ht="14.25">
      <c r="R5428" s="20">
        <v>5401</v>
      </c>
    </row>
    <row r="5429" spans="18:18" ht="14.25">
      <c r="R5429" s="20">
        <v>5402</v>
      </c>
    </row>
    <row r="5430" spans="18:18" ht="14.25">
      <c r="R5430" s="20">
        <v>5403</v>
      </c>
    </row>
    <row r="5431" spans="18:18" ht="14.25">
      <c r="R5431" s="20">
        <v>5404</v>
      </c>
    </row>
    <row r="5432" spans="18:18" ht="14.25">
      <c r="R5432" s="20">
        <v>5405</v>
      </c>
    </row>
    <row r="5433" spans="18:18" ht="14.25">
      <c r="R5433" s="20">
        <v>5406</v>
      </c>
    </row>
    <row r="5434" spans="18:18" ht="14.25">
      <c r="R5434" s="20">
        <v>5407</v>
      </c>
    </row>
    <row r="5435" spans="18:18" ht="14.25">
      <c r="R5435" s="20">
        <v>5408</v>
      </c>
    </row>
    <row r="5436" spans="18:18" ht="14.25">
      <c r="R5436" s="20">
        <v>5409</v>
      </c>
    </row>
    <row r="5437" spans="18:18" ht="14.25">
      <c r="R5437" s="20">
        <v>5410</v>
      </c>
    </row>
    <row r="5438" spans="18:18" ht="14.25">
      <c r="R5438" s="20">
        <v>5411</v>
      </c>
    </row>
    <row r="5439" spans="18:18" ht="14.25">
      <c r="R5439" s="20">
        <v>5412</v>
      </c>
    </row>
    <row r="5440" spans="18:18" ht="14.25">
      <c r="R5440" s="20">
        <v>5413</v>
      </c>
    </row>
    <row r="5441" spans="18:18" ht="14.25">
      <c r="R5441" s="20">
        <v>5414</v>
      </c>
    </row>
    <row r="5442" spans="18:18" ht="14.25">
      <c r="R5442" s="20">
        <v>5415</v>
      </c>
    </row>
    <row r="5443" spans="18:18" ht="14.25">
      <c r="R5443" s="20">
        <v>5416</v>
      </c>
    </row>
    <row r="5444" spans="18:18" ht="14.25">
      <c r="R5444" s="20">
        <v>5417</v>
      </c>
    </row>
    <row r="5445" spans="18:18" ht="14.25">
      <c r="R5445" s="20">
        <v>5418</v>
      </c>
    </row>
    <row r="5446" spans="18:18" ht="14.25">
      <c r="R5446" s="20">
        <v>5419</v>
      </c>
    </row>
    <row r="5447" spans="18:18" ht="14.25">
      <c r="R5447" s="20">
        <v>5420</v>
      </c>
    </row>
    <row r="5448" spans="18:18" ht="14.25">
      <c r="R5448" s="20">
        <v>5421</v>
      </c>
    </row>
    <row r="5449" spans="18:18" ht="14.25">
      <c r="R5449" s="20">
        <v>5422</v>
      </c>
    </row>
    <row r="5450" spans="18:18" ht="14.25">
      <c r="R5450" s="20">
        <v>5423</v>
      </c>
    </row>
    <row r="5451" spans="18:18" ht="14.25">
      <c r="R5451" s="20">
        <v>5424</v>
      </c>
    </row>
    <row r="5452" spans="18:18" ht="14.25">
      <c r="R5452" s="20">
        <v>5425</v>
      </c>
    </row>
    <row r="5453" spans="18:18" ht="14.25">
      <c r="R5453" s="20">
        <v>5426</v>
      </c>
    </row>
    <row r="5454" spans="18:18" ht="14.25">
      <c r="R5454" s="20">
        <v>5427</v>
      </c>
    </row>
    <row r="5455" spans="18:18" ht="14.25">
      <c r="R5455" s="20">
        <v>5428</v>
      </c>
    </row>
    <row r="5456" spans="18:18" ht="14.25">
      <c r="R5456" s="20">
        <v>5429</v>
      </c>
    </row>
    <row r="5457" spans="18:18" ht="14.25">
      <c r="R5457" s="20">
        <v>5430</v>
      </c>
    </row>
    <row r="5458" spans="18:18" ht="14.25">
      <c r="R5458" s="20">
        <v>5431</v>
      </c>
    </row>
    <row r="5459" spans="18:18" ht="14.25">
      <c r="R5459" s="20">
        <v>5432</v>
      </c>
    </row>
    <row r="5460" spans="18:18" ht="14.25">
      <c r="R5460" s="20">
        <v>5433</v>
      </c>
    </row>
    <row r="5461" spans="18:18" ht="14.25">
      <c r="R5461" s="20">
        <v>5434</v>
      </c>
    </row>
    <row r="5462" spans="18:18" ht="14.25">
      <c r="R5462" s="20">
        <v>5435</v>
      </c>
    </row>
    <row r="5463" spans="18:18" ht="14.25">
      <c r="R5463" s="20">
        <v>5436</v>
      </c>
    </row>
    <row r="5464" spans="18:18" ht="14.25">
      <c r="R5464" s="20">
        <v>5437</v>
      </c>
    </row>
    <row r="5465" spans="18:18" ht="14.25">
      <c r="R5465" s="20">
        <v>5438</v>
      </c>
    </row>
    <row r="5466" spans="18:18" ht="14.25">
      <c r="R5466" s="20">
        <v>5439</v>
      </c>
    </row>
    <row r="5467" spans="18:18" ht="14.25">
      <c r="R5467" s="20">
        <v>5440</v>
      </c>
    </row>
    <row r="5468" spans="18:18" ht="14.25">
      <c r="R5468" s="20">
        <v>5441</v>
      </c>
    </row>
    <row r="5469" spans="18:18" ht="14.25">
      <c r="R5469" s="20">
        <v>5442</v>
      </c>
    </row>
    <row r="5470" spans="18:18" ht="14.25">
      <c r="R5470" s="20">
        <v>5443</v>
      </c>
    </row>
    <row r="5471" spans="18:18" ht="14.25">
      <c r="R5471" s="20">
        <v>5444</v>
      </c>
    </row>
    <row r="5472" spans="18:18" ht="14.25">
      <c r="R5472" s="20">
        <v>5445</v>
      </c>
    </row>
    <row r="5473" spans="18:18" ht="14.25">
      <c r="R5473" s="20">
        <v>5446</v>
      </c>
    </row>
    <row r="5474" spans="18:18" ht="14.25">
      <c r="R5474" s="20">
        <v>5447</v>
      </c>
    </row>
    <row r="5475" spans="18:18" ht="14.25">
      <c r="R5475" s="20">
        <v>5448</v>
      </c>
    </row>
    <row r="5476" spans="18:18" ht="14.25">
      <c r="R5476" s="20">
        <v>5449</v>
      </c>
    </row>
    <row r="5477" spans="18:18" ht="14.25">
      <c r="R5477" s="20">
        <v>5450</v>
      </c>
    </row>
    <row r="5478" spans="18:18" ht="14.25">
      <c r="R5478" s="20">
        <v>5451</v>
      </c>
    </row>
    <row r="5479" spans="18:18" ht="14.25">
      <c r="R5479" s="20">
        <v>5452</v>
      </c>
    </row>
    <row r="5480" spans="18:18" ht="14.25">
      <c r="R5480" s="20">
        <v>5453</v>
      </c>
    </row>
    <row r="5481" spans="18:18" ht="14.25">
      <c r="R5481" s="20">
        <v>5454</v>
      </c>
    </row>
    <row r="5482" spans="18:18" ht="14.25">
      <c r="R5482" s="20">
        <v>5455</v>
      </c>
    </row>
    <row r="5483" spans="18:18" ht="14.25">
      <c r="R5483" s="20">
        <v>5456</v>
      </c>
    </row>
    <row r="5484" spans="18:18" ht="14.25">
      <c r="R5484" s="20">
        <v>5457</v>
      </c>
    </row>
    <row r="5485" spans="18:18" ht="14.25">
      <c r="R5485" s="20">
        <v>5458</v>
      </c>
    </row>
    <row r="5486" spans="18:18" ht="14.25">
      <c r="R5486" s="20">
        <v>5459</v>
      </c>
    </row>
    <row r="5487" spans="18:18" ht="14.25">
      <c r="R5487" s="20">
        <v>5460</v>
      </c>
    </row>
    <row r="5488" spans="18:18" ht="14.25">
      <c r="R5488" s="20">
        <v>5461</v>
      </c>
    </row>
    <row r="5489" spans="18:18" ht="14.25">
      <c r="R5489" s="20">
        <v>5462</v>
      </c>
    </row>
    <row r="5490" spans="18:18" ht="14.25">
      <c r="R5490" s="20">
        <v>5463</v>
      </c>
    </row>
    <row r="5491" spans="18:18" ht="14.25">
      <c r="R5491" s="20">
        <v>5464</v>
      </c>
    </row>
    <row r="5492" spans="18:18" ht="14.25">
      <c r="R5492" s="20">
        <v>5465</v>
      </c>
    </row>
    <row r="5493" spans="18:18" ht="14.25">
      <c r="R5493" s="20">
        <v>5466</v>
      </c>
    </row>
    <row r="5494" spans="18:18" ht="14.25">
      <c r="R5494" s="20">
        <v>5467</v>
      </c>
    </row>
    <row r="5495" spans="18:18" ht="14.25">
      <c r="R5495" s="20">
        <v>5468</v>
      </c>
    </row>
    <row r="5496" spans="18:18" ht="14.25">
      <c r="R5496" s="20">
        <v>5469</v>
      </c>
    </row>
    <row r="5497" spans="18:18" ht="14.25">
      <c r="R5497" s="20">
        <v>5470</v>
      </c>
    </row>
    <row r="5498" spans="18:18" ht="14.25">
      <c r="R5498" s="20">
        <v>5471</v>
      </c>
    </row>
    <row r="5499" spans="18:18" ht="14.25">
      <c r="R5499" s="20">
        <v>5472</v>
      </c>
    </row>
    <row r="5500" spans="18:18" ht="14.25">
      <c r="R5500" s="20">
        <v>5473</v>
      </c>
    </row>
    <row r="5501" spans="18:18" ht="14.25">
      <c r="R5501" s="20">
        <v>5474</v>
      </c>
    </row>
    <row r="5502" spans="18:18" ht="14.25">
      <c r="R5502" s="20">
        <v>5475</v>
      </c>
    </row>
    <row r="5503" spans="18:18" ht="14.25">
      <c r="R5503" s="20">
        <v>5476</v>
      </c>
    </row>
    <row r="5504" spans="18:18" ht="14.25">
      <c r="R5504" s="20">
        <v>5477</v>
      </c>
    </row>
    <row r="5505" spans="18:18" ht="14.25">
      <c r="R5505" s="20">
        <v>5478</v>
      </c>
    </row>
    <row r="5506" spans="18:18" ht="14.25">
      <c r="R5506" s="20">
        <v>5479</v>
      </c>
    </row>
    <row r="5507" spans="18:18" ht="14.25">
      <c r="R5507" s="20">
        <v>5480</v>
      </c>
    </row>
    <row r="5508" spans="18:18" ht="14.25">
      <c r="R5508" s="20">
        <v>5481</v>
      </c>
    </row>
    <row r="5509" spans="18:18" ht="14.25">
      <c r="R5509" s="20">
        <v>5482</v>
      </c>
    </row>
    <row r="5510" spans="18:18" ht="14.25">
      <c r="R5510" s="20">
        <v>5483</v>
      </c>
    </row>
    <row r="5511" spans="18:18" ht="14.25">
      <c r="R5511" s="20">
        <v>5484</v>
      </c>
    </row>
    <row r="5512" spans="18:18" ht="14.25">
      <c r="R5512" s="20">
        <v>5485</v>
      </c>
    </row>
    <row r="5513" spans="18:18" ht="14.25">
      <c r="R5513" s="20">
        <v>5486</v>
      </c>
    </row>
    <row r="5514" spans="18:18" ht="14.25">
      <c r="R5514" s="20">
        <v>5487</v>
      </c>
    </row>
    <row r="5515" spans="18:18" ht="14.25">
      <c r="R5515" s="20">
        <v>5488</v>
      </c>
    </row>
    <row r="5516" spans="18:18" ht="14.25">
      <c r="R5516" s="20">
        <v>5489</v>
      </c>
    </row>
    <row r="5517" spans="18:18" ht="14.25">
      <c r="R5517" s="20">
        <v>5490</v>
      </c>
    </row>
    <row r="5518" spans="18:18" ht="14.25">
      <c r="R5518" s="20">
        <v>5491</v>
      </c>
    </row>
    <row r="5519" spans="18:18" ht="14.25">
      <c r="R5519" s="20">
        <v>5492</v>
      </c>
    </row>
    <row r="5520" spans="18:18" ht="14.25">
      <c r="R5520" s="20">
        <v>5493</v>
      </c>
    </row>
    <row r="5521" spans="18:18" ht="14.25">
      <c r="R5521" s="20">
        <v>5494</v>
      </c>
    </row>
    <row r="5522" spans="18:18" ht="14.25">
      <c r="R5522" s="20">
        <v>5495</v>
      </c>
    </row>
    <row r="5523" spans="18:18" ht="14.25">
      <c r="R5523" s="20">
        <v>5496</v>
      </c>
    </row>
    <row r="5524" spans="18:18" ht="14.25">
      <c r="R5524" s="20">
        <v>5497</v>
      </c>
    </row>
    <row r="5525" spans="18:18" ht="14.25">
      <c r="R5525" s="20">
        <v>5498</v>
      </c>
    </row>
    <row r="5526" spans="18:18" ht="14.25">
      <c r="R5526" s="20">
        <v>5499</v>
      </c>
    </row>
    <row r="5527" spans="18:18" ht="14.25">
      <c r="R5527" s="20">
        <v>5500</v>
      </c>
    </row>
    <row r="5528" spans="18:18" ht="14.25">
      <c r="R5528" s="20">
        <v>5501</v>
      </c>
    </row>
    <row r="5529" spans="18:18" ht="14.25">
      <c r="R5529" s="20">
        <v>5502</v>
      </c>
    </row>
    <row r="5530" spans="18:18" ht="14.25">
      <c r="R5530" s="20">
        <v>5503</v>
      </c>
    </row>
    <row r="5531" spans="18:18" ht="14.25">
      <c r="R5531" s="20">
        <v>5504</v>
      </c>
    </row>
    <row r="5532" spans="18:18" ht="14.25">
      <c r="R5532" s="20">
        <v>5505</v>
      </c>
    </row>
    <row r="5533" spans="18:18" ht="14.25">
      <c r="R5533" s="20">
        <v>5506</v>
      </c>
    </row>
    <row r="5534" spans="18:18" ht="14.25">
      <c r="R5534" s="20">
        <v>5507</v>
      </c>
    </row>
    <row r="5535" spans="18:18" ht="14.25">
      <c r="R5535" s="20">
        <v>5508</v>
      </c>
    </row>
    <row r="5536" spans="18:18" ht="14.25">
      <c r="R5536" s="20">
        <v>5509</v>
      </c>
    </row>
    <row r="5537" spans="18:18" ht="14.25">
      <c r="R5537" s="20">
        <v>5510</v>
      </c>
    </row>
    <row r="5538" spans="18:18" ht="14.25">
      <c r="R5538" s="20">
        <v>5511</v>
      </c>
    </row>
    <row r="5539" spans="18:18" ht="14.25">
      <c r="R5539" s="20">
        <v>5512</v>
      </c>
    </row>
    <row r="5540" spans="18:18" ht="14.25">
      <c r="R5540" s="20">
        <v>5513</v>
      </c>
    </row>
    <row r="5541" spans="18:18" ht="14.25">
      <c r="R5541" s="20">
        <v>5514</v>
      </c>
    </row>
    <row r="5542" spans="18:18" ht="14.25">
      <c r="R5542" s="20">
        <v>5515</v>
      </c>
    </row>
    <row r="5543" spans="18:18" ht="14.25">
      <c r="R5543" s="20">
        <v>5516</v>
      </c>
    </row>
    <row r="5544" spans="18:18" ht="14.25">
      <c r="R5544" s="20">
        <v>5517</v>
      </c>
    </row>
    <row r="5545" spans="18:18" ht="14.25">
      <c r="R5545" s="20">
        <v>5518</v>
      </c>
    </row>
    <row r="5546" spans="18:18" ht="14.25">
      <c r="R5546" s="20">
        <v>5519</v>
      </c>
    </row>
    <row r="5547" spans="18:18" ht="14.25">
      <c r="R5547" s="20">
        <v>5520</v>
      </c>
    </row>
    <row r="5548" spans="18:18" ht="14.25">
      <c r="R5548" s="20">
        <v>5521</v>
      </c>
    </row>
    <row r="5549" spans="18:18" ht="14.25">
      <c r="R5549" s="20">
        <v>5522</v>
      </c>
    </row>
    <row r="5550" spans="18:18" ht="14.25">
      <c r="R5550" s="20">
        <v>5523</v>
      </c>
    </row>
    <row r="5551" spans="18:18" ht="14.25">
      <c r="R5551" s="20">
        <v>5524</v>
      </c>
    </row>
    <row r="5552" spans="18:18" ht="14.25">
      <c r="R5552" s="20">
        <v>5525</v>
      </c>
    </row>
    <row r="5553" spans="18:18" ht="14.25">
      <c r="R5553" s="20">
        <v>5526</v>
      </c>
    </row>
    <row r="5554" spans="18:18" ht="14.25">
      <c r="R5554" s="20">
        <v>5527</v>
      </c>
    </row>
    <row r="5555" spans="18:18" ht="14.25">
      <c r="R5555" s="20">
        <v>5528</v>
      </c>
    </row>
    <row r="5556" spans="18:18" ht="14.25">
      <c r="R5556" s="20">
        <v>5529</v>
      </c>
    </row>
    <row r="5557" spans="18:18" ht="14.25">
      <c r="R5557" s="20">
        <v>5530</v>
      </c>
    </row>
    <row r="5558" spans="18:18" ht="14.25">
      <c r="R5558" s="20">
        <v>5531</v>
      </c>
    </row>
    <row r="5559" spans="18:18" ht="14.25">
      <c r="R5559" s="20">
        <v>5532</v>
      </c>
    </row>
    <row r="5560" spans="18:18" ht="14.25">
      <c r="R5560" s="20">
        <v>5533</v>
      </c>
    </row>
    <row r="5561" spans="18:18" ht="14.25">
      <c r="R5561" s="20">
        <v>5534</v>
      </c>
    </row>
    <row r="5562" spans="18:18" ht="14.25">
      <c r="R5562" s="20">
        <v>5535</v>
      </c>
    </row>
    <row r="5563" spans="18:18" ht="14.25">
      <c r="R5563" s="20">
        <v>5536</v>
      </c>
    </row>
    <row r="5564" spans="18:18" ht="14.25">
      <c r="R5564" s="20">
        <v>5537</v>
      </c>
    </row>
    <row r="5565" spans="18:18" ht="14.25">
      <c r="R5565" s="20">
        <v>5538</v>
      </c>
    </row>
    <row r="5566" spans="18:18" ht="14.25">
      <c r="R5566" s="20">
        <v>5539</v>
      </c>
    </row>
    <row r="5567" spans="18:18" ht="14.25">
      <c r="R5567" s="20">
        <v>5540</v>
      </c>
    </row>
    <row r="5568" spans="18:18" ht="14.25">
      <c r="R5568" s="20">
        <v>5541</v>
      </c>
    </row>
    <row r="5569" spans="18:18" ht="14.25">
      <c r="R5569" s="20">
        <v>5542</v>
      </c>
    </row>
    <row r="5570" spans="18:18" ht="14.25">
      <c r="R5570" s="20">
        <v>5543</v>
      </c>
    </row>
    <row r="5571" spans="18:18" ht="14.25">
      <c r="R5571" s="20">
        <v>5544</v>
      </c>
    </row>
    <row r="5572" spans="18:18" ht="14.25">
      <c r="R5572" s="20">
        <v>5545</v>
      </c>
    </row>
    <row r="5573" spans="18:18" ht="14.25">
      <c r="R5573" s="20">
        <v>5546</v>
      </c>
    </row>
    <row r="5574" spans="18:18" ht="14.25">
      <c r="R5574" s="20">
        <v>5547</v>
      </c>
    </row>
    <row r="5575" spans="18:18" ht="14.25">
      <c r="R5575" s="20">
        <v>5548</v>
      </c>
    </row>
    <row r="5576" spans="18:18" ht="14.25">
      <c r="R5576" s="20">
        <v>5549</v>
      </c>
    </row>
    <row r="5577" spans="18:18" ht="14.25">
      <c r="R5577" s="20">
        <v>5550</v>
      </c>
    </row>
    <row r="5578" spans="18:18" ht="14.25">
      <c r="R5578" s="20">
        <v>5551</v>
      </c>
    </row>
    <row r="5579" spans="18:18" ht="14.25">
      <c r="R5579" s="20">
        <v>5552</v>
      </c>
    </row>
    <row r="5580" spans="18:18" ht="14.25">
      <c r="R5580" s="20">
        <v>5553</v>
      </c>
    </row>
    <row r="5581" spans="18:18" ht="14.25">
      <c r="R5581" s="20">
        <v>5554</v>
      </c>
    </row>
    <row r="5582" spans="18:18" ht="14.25">
      <c r="R5582" s="20">
        <v>5555</v>
      </c>
    </row>
    <row r="5583" spans="18:18" ht="14.25">
      <c r="R5583" s="20">
        <v>5556</v>
      </c>
    </row>
    <row r="5584" spans="18:18" ht="14.25">
      <c r="R5584" s="20">
        <v>5557</v>
      </c>
    </row>
    <row r="5585" spans="18:18" ht="14.25">
      <c r="R5585" s="20">
        <v>5558</v>
      </c>
    </row>
    <row r="5586" spans="18:18" ht="14.25">
      <c r="R5586" s="20">
        <v>5559</v>
      </c>
    </row>
    <row r="5587" spans="18:18" ht="14.25">
      <c r="R5587" s="20">
        <v>5560</v>
      </c>
    </row>
    <row r="5588" spans="18:18" ht="14.25">
      <c r="R5588" s="20">
        <v>5561</v>
      </c>
    </row>
    <row r="5589" spans="18:18" ht="14.25">
      <c r="R5589" s="20">
        <v>5562</v>
      </c>
    </row>
    <row r="5590" spans="18:18" ht="14.25">
      <c r="R5590" s="20">
        <v>5563</v>
      </c>
    </row>
    <row r="5591" spans="18:18" ht="14.25">
      <c r="R5591" s="20">
        <v>5564</v>
      </c>
    </row>
    <row r="5592" spans="18:18" ht="14.25">
      <c r="R5592" s="20">
        <v>5565</v>
      </c>
    </row>
    <row r="5593" spans="18:18" ht="14.25">
      <c r="R5593" s="20">
        <v>5566</v>
      </c>
    </row>
    <row r="5594" spans="18:18" ht="14.25">
      <c r="R5594" s="20">
        <v>5567</v>
      </c>
    </row>
    <row r="5595" spans="18:18" ht="14.25">
      <c r="R5595" s="20">
        <v>5568</v>
      </c>
    </row>
    <row r="5596" spans="18:18" ht="14.25">
      <c r="R5596" s="20">
        <v>5569</v>
      </c>
    </row>
    <row r="5597" spans="18:18" ht="14.25">
      <c r="R5597" s="20">
        <v>5570</v>
      </c>
    </row>
    <row r="5598" spans="18:18" ht="14.25">
      <c r="R5598" s="20">
        <v>5571</v>
      </c>
    </row>
    <row r="5599" spans="18:18" ht="14.25">
      <c r="R5599" s="20">
        <v>5572</v>
      </c>
    </row>
    <row r="5600" spans="18:18" ht="14.25">
      <c r="R5600" s="20">
        <v>5573</v>
      </c>
    </row>
    <row r="5601" spans="18:18" ht="14.25">
      <c r="R5601" s="20">
        <v>5574</v>
      </c>
    </row>
    <row r="5602" spans="18:18" ht="14.25">
      <c r="R5602" s="20">
        <v>5575</v>
      </c>
    </row>
    <row r="5603" spans="18:18" ht="14.25">
      <c r="R5603" s="20">
        <v>5576</v>
      </c>
    </row>
    <row r="5604" spans="18:18" ht="14.25">
      <c r="R5604" s="20">
        <v>5577</v>
      </c>
    </row>
    <row r="5605" spans="18:18" ht="14.25">
      <c r="R5605" s="20">
        <v>5578</v>
      </c>
    </row>
    <row r="5606" spans="18:18" ht="14.25">
      <c r="R5606" s="20">
        <v>5579</v>
      </c>
    </row>
    <row r="5607" spans="18:18" ht="14.25">
      <c r="R5607" s="20">
        <v>5580</v>
      </c>
    </row>
    <row r="5608" spans="18:18" ht="14.25">
      <c r="R5608" s="20">
        <v>5581</v>
      </c>
    </row>
    <row r="5609" spans="18:18" ht="14.25">
      <c r="R5609" s="20">
        <v>5582</v>
      </c>
    </row>
    <row r="5610" spans="18:18" ht="14.25">
      <c r="R5610" s="20">
        <v>5583</v>
      </c>
    </row>
    <row r="5611" spans="18:18" ht="14.25">
      <c r="R5611" s="20">
        <v>5584</v>
      </c>
    </row>
    <row r="5612" spans="18:18" ht="14.25">
      <c r="R5612" s="20">
        <v>5585</v>
      </c>
    </row>
    <row r="5613" spans="18:18" ht="14.25">
      <c r="R5613" s="20">
        <v>5586</v>
      </c>
    </row>
    <row r="5614" spans="18:18" ht="14.25">
      <c r="R5614" s="20">
        <v>5587</v>
      </c>
    </row>
    <row r="5615" spans="18:18" ht="14.25">
      <c r="R5615" s="20">
        <v>5588</v>
      </c>
    </row>
    <row r="5616" spans="18:18" ht="14.25">
      <c r="R5616" s="20">
        <v>5589</v>
      </c>
    </row>
    <row r="5617" spans="18:18" ht="14.25">
      <c r="R5617" s="20">
        <v>5590</v>
      </c>
    </row>
    <row r="5618" spans="18:18" ht="14.25">
      <c r="R5618" s="20">
        <v>5591</v>
      </c>
    </row>
    <row r="5619" spans="18:18" ht="14.25">
      <c r="R5619" s="20">
        <v>5592</v>
      </c>
    </row>
    <row r="5620" spans="18:18" ht="14.25">
      <c r="R5620" s="20">
        <v>5593</v>
      </c>
    </row>
    <row r="5621" spans="18:18" ht="14.25">
      <c r="R5621" s="20">
        <v>5594</v>
      </c>
    </row>
    <row r="5622" spans="18:18" ht="14.25">
      <c r="R5622" s="20">
        <v>5595</v>
      </c>
    </row>
    <row r="5623" spans="18:18" ht="14.25">
      <c r="R5623" s="20">
        <v>5596</v>
      </c>
    </row>
    <row r="5624" spans="18:18" ht="14.25">
      <c r="R5624" s="20">
        <v>5597</v>
      </c>
    </row>
    <row r="5625" spans="18:18" ht="14.25">
      <c r="R5625" s="20">
        <v>5598</v>
      </c>
    </row>
    <row r="5626" spans="18:18" ht="14.25">
      <c r="R5626" s="20">
        <v>5599</v>
      </c>
    </row>
    <row r="5627" spans="18:18" ht="14.25">
      <c r="R5627" s="20">
        <v>5600</v>
      </c>
    </row>
    <row r="5628" spans="18:18" ht="14.25">
      <c r="R5628" s="20">
        <v>5601</v>
      </c>
    </row>
    <row r="5629" spans="18:18" ht="14.25">
      <c r="R5629" s="20">
        <v>5602</v>
      </c>
    </row>
    <row r="5630" spans="18:18" ht="14.25">
      <c r="R5630" s="20">
        <v>5603</v>
      </c>
    </row>
    <row r="5631" spans="18:18" ht="14.25">
      <c r="R5631" s="20">
        <v>5604</v>
      </c>
    </row>
    <row r="5632" spans="18:18" ht="14.25">
      <c r="R5632" s="20">
        <v>5605</v>
      </c>
    </row>
    <row r="5633" spans="18:18" ht="14.25">
      <c r="R5633" s="20">
        <v>5606</v>
      </c>
    </row>
    <row r="5634" spans="18:18" ht="14.25">
      <c r="R5634" s="20">
        <v>5607</v>
      </c>
    </row>
    <row r="5635" spans="18:18" ht="14.25">
      <c r="R5635" s="20">
        <v>5608</v>
      </c>
    </row>
    <row r="5636" spans="18:18" ht="14.25">
      <c r="R5636" s="20">
        <v>5609</v>
      </c>
    </row>
    <row r="5637" spans="18:18" ht="14.25">
      <c r="R5637" s="20">
        <v>5610</v>
      </c>
    </row>
    <row r="5638" spans="18:18" ht="14.25">
      <c r="R5638" s="20">
        <v>5611</v>
      </c>
    </row>
    <row r="5639" spans="18:18" ht="14.25">
      <c r="R5639" s="20">
        <v>5612</v>
      </c>
    </row>
    <row r="5640" spans="18:18" ht="14.25">
      <c r="R5640" s="20">
        <v>5613</v>
      </c>
    </row>
    <row r="5641" spans="18:18" ht="14.25">
      <c r="R5641" s="20">
        <v>5614</v>
      </c>
    </row>
    <row r="5642" spans="18:18" ht="14.25">
      <c r="R5642" s="20">
        <v>5615</v>
      </c>
    </row>
    <row r="5643" spans="18:18" ht="14.25">
      <c r="R5643" s="20">
        <v>5616</v>
      </c>
    </row>
    <row r="5644" spans="18:18" ht="14.25">
      <c r="R5644" s="20">
        <v>5617</v>
      </c>
    </row>
    <row r="5645" spans="18:18" ht="14.25">
      <c r="R5645" s="20">
        <v>5618</v>
      </c>
    </row>
    <row r="5646" spans="18:18" ht="14.25">
      <c r="R5646" s="20">
        <v>5619</v>
      </c>
    </row>
    <row r="5647" spans="18:18" ht="14.25">
      <c r="R5647" s="20">
        <v>5620</v>
      </c>
    </row>
    <row r="5648" spans="18:18" ht="14.25">
      <c r="R5648" s="20">
        <v>5621</v>
      </c>
    </row>
    <row r="5649" spans="18:18" ht="14.25">
      <c r="R5649" s="20">
        <v>5622</v>
      </c>
    </row>
    <row r="5650" spans="18:18" ht="14.25">
      <c r="R5650" s="20">
        <v>5623</v>
      </c>
    </row>
    <row r="5651" spans="18:18" ht="14.25">
      <c r="R5651" s="20">
        <v>5624</v>
      </c>
    </row>
    <row r="5652" spans="18:18" ht="14.25">
      <c r="R5652" s="20">
        <v>5625</v>
      </c>
    </row>
    <row r="5653" spans="18:18" ht="14.25">
      <c r="R5653" s="20">
        <v>5626</v>
      </c>
    </row>
    <row r="5654" spans="18:18" ht="14.25">
      <c r="R5654" s="20">
        <v>5627</v>
      </c>
    </row>
    <row r="5655" spans="18:18" ht="14.25">
      <c r="R5655" s="20">
        <v>5628</v>
      </c>
    </row>
    <row r="5656" spans="18:18" ht="14.25">
      <c r="R5656" s="20">
        <v>5629</v>
      </c>
    </row>
    <row r="5657" spans="18:18" ht="14.25">
      <c r="R5657" s="20">
        <v>5630</v>
      </c>
    </row>
    <row r="5658" spans="18:18" ht="14.25">
      <c r="R5658" s="20">
        <v>5631</v>
      </c>
    </row>
    <row r="5659" spans="18:18" ht="14.25">
      <c r="R5659" s="20">
        <v>5632</v>
      </c>
    </row>
    <row r="5660" spans="18:18" ht="14.25">
      <c r="R5660" s="20">
        <v>5633</v>
      </c>
    </row>
    <row r="5661" spans="18:18" ht="14.25">
      <c r="R5661" s="20">
        <v>5634</v>
      </c>
    </row>
    <row r="5662" spans="18:18" ht="14.25">
      <c r="R5662" s="20">
        <v>5635</v>
      </c>
    </row>
    <row r="5663" spans="18:18" ht="14.25">
      <c r="R5663" s="20">
        <v>5636</v>
      </c>
    </row>
    <row r="5664" spans="18:18" ht="14.25">
      <c r="R5664" s="20">
        <v>5637</v>
      </c>
    </row>
    <row r="5665" spans="18:18" ht="14.25">
      <c r="R5665" s="20">
        <v>5638</v>
      </c>
    </row>
    <row r="5666" spans="18:18" ht="14.25">
      <c r="R5666" s="20">
        <v>5639</v>
      </c>
    </row>
    <row r="5667" spans="18:18" ht="14.25">
      <c r="R5667" s="20">
        <v>5640</v>
      </c>
    </row>
    <row r="5668" spans="18:18" ht="14.25">
      <c r="R5668" s="20">
        <v>5641</v>
      </c>
    </row>
    <row r="5669" spans="18:18" ht="14.25">
      <c r="R5669" s="20">
        <v>5642</v>
      </c>
    </row>
    <row r="5670" spans="18:18" ht="14.25">
      <c r="R5670" s="20">
        <v>5643</v>
      </c>
    </row>
    <row r="5671" spans="18:18" ht="14.25">
      <c r="R5671" s="20">
        <v>5644</v>
      </c>
    </row>
    <row r="5672" spans="18:18" ht="14.25">
      <c r="R5672" s="20">
        <v>5645</v>
      </c>
    </row>
    <row r="5673" spans="18:18" ht="14.25">
      <c r="R5673" s="20">
        <v>5646</v>
      </c>
    </row>
    <row r="5674" spans="18:18" ht="14.25">
      <c r="R5674" s="20">
        <v>5647</v>
      </c>
    </row>
    <row r="5675" spans="18:18" ht="14.25">
      <c r="R5675" s="20">
        <v>5648</v>
      </c>
    </row>
    <row r="5676" spans="18:18" ht="14.25">
      <c r="R5676" s="20">
        <v>5649</v>
      </c>
    </row>
    <row r="5677" spans="18:18" ht="14.25">
      <c r="R5677" s="20">
        <v>5650</v>
      </c>
    </row>
    <row r="5678" spans="18:18" ht="14.25">
      <c r="R5678" s="20">
        <v>5651</v>
      </c>
    </row>
    <row r="5679" spans="18:18" ht="14.25">
      <c r="R5679" s="20">
        <v>5652</v>
      </c>
    </row>
    <row r="5680" spans="18:18" ht="14.25">
      <c r="R5680" s="20">
        <v>5653</v>
      </c>
    </row>
    <row r="5681" spans="18:18" ht="14.25">
      <c r="R5681" s="20">
        <v>5654</v>
      </c>
    </row>
    <row r="5682" spans="18:18" ht="14.25">
      <c r="R5682" s="20">
        <v>5655</v>
      </c>
    </row>
    <row r="5683" spans="18:18" ht="14.25">
      <c r="R5683" s="20">
        <v>5656</v>
      </c>
    </row>
    <row r="5684" spans="18:18" ht="14.25">
      <c r="R5684" s="20">
        <v>5657</v>
      </c>
    </row>
    <row r="5685" spans="18:18" ht="14.25">
      <c r="R5685" s="20">
        <v>5658</v>
      </c>
    </row>
    <row r="5686" spans="18:18" ht="14.25">
      <c r="R5686" s="20">
        <v>5659</v>
      </c>
    </row>
    <row r="5687" spans="18:18" ht="14.25">
      <c r="R5687" s="20">
        <v>5660</v>
      </c>
    </row>
    <row r="5688" spans="18:18" ht="14.25">
      <c r="R5688" s="20">
        <v>5661</v>
      </c>
    </row>
    <row r="5689" spans="18:18" ht="14.25">
      <c r="R5689" s="20">
        <v>5662</v>
      </c>
    </row>
    <row r="5690" spans="18:18" ht="14.25">
      <c r="R5690" s="20">
        <v>5663</v>
      </c>
    </row>
    <row r="5691" spans="18:18" ht="14.25">
      <c r="R5691" s="20">
        <v>5664</v>
      </c>
    </row>
    <row r="5692" spans="18:18" ht="14.25">
      <c r="R5692" s="20">
        <v>5665</v>
      </c>
    </row>
    <row r="5693" spans="18:18" ht="14.25">
      <c r="R5693" s="20">
        <v>5666</v>
      </c>
    </row>
    <row r="5694" spans="18:18" ht="14.25">
      <c r="R5694" s="20">
        <v>5667</v>
      </c>
    </row>
    <row r="5695" spans="18:18" ht="14.25">
      <c r="R5695" s="20">
        <v>5668</v>
      </c>
    </row>
    <row r="5696" spans="18:18" ht="14.25">
      <c r="R5696" s="20">
        <v>5669</v>
      </c>
    </row>
    <row r="5697" spans="18:18" ht="14.25">
      <c r="R5697" s="20">
        <v>5670</v>
      </c>
    </row>
    <row r="5698" spans="18:18" ht="14.25">
      <c r="R5698" s="20">
        <v>5671</v>
      </c>
    </row>
    <row r="5699" spans="18:18" ht="14.25">
      <c r="R5699" s="20">
        <v>5672</v>
      </c>
    </row>
    <row r="5700" spans="18:18" ht="14.25">
      <c r="R5700" s="20">
        <v>5673</v>
      </c>
    </row>
    <row r="5701" spans="18:18" ht="14.25">
      <c r="R5701" s="20">
        <v>5674</v>
      </c>
    </row>
    <row r="5702" spans="18:18" ht="14.25">
      <c r="R5702" s="20">
        <v>5675</v>
      </c>
    </row>
    <row r="5703" spans="18:18" ht="14.25">
      <c r="R5703" s="20">
        <v>5676</v>
      </c>
    </row>
    <row r="5704" spans="18:18" ht="14.25">
      <c r="R5704" s="20">
        <v>5677</v>
      </c>
    </row>
    <row r="5705" spans="18:18" ht="14.25">
      <c r="R5705" s="20">
        <v>5678</v>
      </c>
    </row>
    <row r="5706" spans="18:18" ht="14.25">
      <c r="R5706" s="20">
        <v>5679</v>
      </c>
    </row>
    <row r="5707" spans="18:18" ht="14.25">
      <c r="R5707" s="20">
        <v>5680</v>
      </c>
    </row>
    <row r="5708" spans="18:18" ht="14.25">
      <c r="R5708" s="20">
        <v>5681</v>
      </c>
    </row>
    <row r="5709" spans="18:18" ht="14.25">
      <c r="R5709" s="20">
        <v>5682</v>
      </c>
    </row>
    <row r="5710" spans="18:18" ht="14.25">
      <c r="R5710" s="20">
        <v>5683</v>
      </c>
    </row>
    <row r="5711" spans="18:18" ht="14.25">
      <c r="R5711" s="20">
        <v>5684</v>
      </c>
    </row>
    <row r="5712" spans="18:18" ht="14.25">
      <c r="R5712" s="20">
        <v>5685</v>
      </c>
    </row>
    <row r="5713" spans="18:18" ht="14.25">
      <c r="R5713" s="20">
        <v>5686</v>
      </c>
    </row>
    <row r="5714" spans="18:18" ht="14.25">
      <c r="R5714" s="20">
        <v>5687</v>
      </c>
    </row>
    <row r="5715" spans="18:18" ht="14.25">
      <c r="R5715" s="20">
        <v>5688</v>
      </c>
    </row>
    <row r="5716" spans="18:18" ht="14.25">
      <c r="R5716" s="20">
        <v>5689</v>
      </c>
    </row>
    <row r="5717" spans="18:18" ht="14.25">
      <c r="R5717" s="20">
        <v>5690</v>
      </c>
    </row>
    <row r="5718" spans="18:18" ht="14.25">
      <c r="R5718" s="20">
        <v>5691</v>
      </c>
    </row>
    <row r="5719" spans="18:18" ht="14.25">
      <c r="R5719" s="20">
        <v>5692</v>
      </c>
    </row>
    <row r="5720" spans="18:18" ht="14.25">
      <c r="R5720" s="20">
        <v>5693</v>
      </c>
    </row>
    <row r="5721" spans="18:18" ht="14.25">
      <c r="R5721" s="20">
        <v>5694</v>
      </c>
    </row>
    <row r="5722" spans="18:18" ht="14.25">
      <c r="R5722" s="20">
        <v>5695</v>
      </c>
    </row>
    <row r="5723" spans="18:18" ht="14.25">
      <c r="R5723" s="20">
        <v>5696</v>
      </c>
    </row>
    <row r="5724" spans="18:18" ht="14.25">
      <c r="R5724" s="20">
        <v>5697</v>
      </c>
    </row>
    <row r="5725" spans="18:18" ht="14.25">
      <c r="R5725" s="20">
        <v>5698</v>
      </c>
    </row>
    <row r="5726" spans="18:18" ht="14.25">
      <c r="R5726" s="20">
        <v>5699</v>
      </c>
    </row>
    <row r="5727" spans="18:18" ht="14.25">
      <c r="R5727" s="20">
        <v>5700</v>
      </c>
    </row>
    <row r="5728" spans="18:18" ht="14.25">
      <c r="R5728" s="20">
        <v>5701</v>
      </c>
    </row>
    <row r="5729" spans="18:18" ht="14.25">
      <c r="R5729" s="20">
        <v>5702</v>
      </c>
    </row>
    <row r="5730" spans="18:18" ht="14.25">
      <c r="R5730" s="20">
        <v>5703</v>
      </c>
    </row>
    <row r="5731" spans="18:18" ht="14.25">
      <c r="R5731" s="20">
        <v>5704</v>
      </c>
    </row>
    <row r="5732" spans="18:18" ht="14.25">
      <c r="R5732" s="20">
        <v>5705</v>
      </c>
    </row>
    <row r="5733" spans="18:18" ht="14.25">
      <c r="R5733" s="20">
        <v>5706</v>
      </c>
    </row>
    <row r="5734" spans="18:18" ht="14.25">
      <c r="R5734" s="20">
        <v>5707</v>
      </c>
    </row>
    <row r="5735" spans="18:18" ht="14.25">
      <c r="R5735" s="20">
        <v>5708</v>
      </c>
    </row>
    <row r="5736" spans="18:18" ht="14.25">
      <c r="R5736" s="20">
        <v>5709</v>
      </c>
    </row>
    <row r="5737" spans="18:18" ht="14.25">
      <c r="R5737" s="20">
        <v>5710</v>
      </c>
    </row>
    <row r="5738" spans="18:18" ht="14.25">
      <c r="R5738" s="20">
        <v>5711</v>
      </c>
    </row>
    <row r="5739" spans="18:18" ht="14.25">
      <c r="R5739" s="20">
        <v>5712</v>
      </c>
    </row>
    <row r="5740" spans="18:18" ht="14.25">
      <c r="R5740" s="20">
        <v>5713</v>
      </c>
    </row>
    <row r="5741" spans="18:18" ht="14.25">
      <c r="R5741" s="20">
        <v>5714</v>
      </c>
    </row>
    <row r="5742" spans="18:18" ht="14.25">
      <c r="R5742" s="20">
        <v>5715</v>
      </c>
    </row>
    <row r="5743" spans="18:18" ht="14.25">
      <c r="R5743" s="20">
        <v>5716</v>
      </c>
    </row>
    <row r="5744" spans="18:18" ht="14.25">
      <c r="R5744" s="20">
        <v>5717</v>
      </c>
    </row>
    <row r="5745" spans="18:18" ht="14.25">
      <c r="R5745" s="20">
        <v>5718</v>
      </c>
    </row>
    <row r="5746" spans="18:18" ht="14.25">
      <c r="R5746" s="20">
        <v>5719</v>
      </c>
    </row>
    <row r="5747" spans="18:18" ht="14.25">
      <c r="R5747" s="20">
        <v>5720</v>
      </c>
    </row>
    <row r="5748" spans="18:18" ht="14.25">
      <c r="R5748" s="20">
        <v>5721</v>
      </c>
    </row>
    <row r="5749" spans="18:18" ht="14.25">
      <c r="R5749" s="20">
        <v>5722</v>
      </c>
    </row>
    <row r="5750" spans="18:18" ht="14.25">
      <c r="R5750" s="20">
        <v>5723</v>
      </c>
    </row>
    <row r="5751" spans="18:18" ht="14.25">
      <c r="R5751" s="20">
        <v>5724</v>
      </c>
    </row>
    <row r="5752" spans="18:18" ht="14.25">
      <c r="R5752" s="20">
        <v>5725</v>
      </c>
    </row>
    <row r="5753" spans="18:18" ht="14.25">
      <c r="R5753" s="20">
        <v>5726</v>
      </c>
    </row>
    <row r="5754" spans="18:18" ht="14.25">
      <c r="R5754" s="20">
        <v>5727</v>
      </c>
    </row>
    <row r="5755" spans="18:18" ht="14.25">
      <c r="R5755" s="20">
        <v>5728</v>
      </c>
    </row>
    <row r="5756" spans="18:18" ht="14.25">
      <c r="R5756" s="20">
        <v>5729</v>
      </c>
    </row>
    <row r="5757" spans="18:18" ht="14.25">
      <c r="R5757" s="20">
        <v>5730</v>
      </c>
    </row>
    <row r="5758" spans="18:18" ht="14.25">
      <c r="R5758" s="20">
        <v>5731</v>
      </c>
    </row>
    <row r="5759" spans="18:18" ht="14.25">
      <c r="R5759" s="20">
        <v>5732</v>
      </c>
    </row>
    <row r="5760" spans="18:18" ht="14.25">
      <c r="R5760" s="20">
        <v>5733</v>
      </c>
    </row>
    <row r="5761" spans="18:18" ht="14.25">
      <c r="R5761" s="20">
        <v>5734</v>
      </c>
    </row>
    <row r="5762" spans="18:18" ht="14.25">
      <c r="R5762" s="20">
        <v>5735</v>
      </c>
    </row>
    <row r="5763" spans="18:18" ht="14.25">
      <c r="R5763" s="20">
        <v>5736</v>
      </c>
    </row>
    <row r="5764" spans="18:18" ht="14.25">
      <c r="R5764" s="20">
        <v>5737</v>
      </c>
    </row>
    <row r="5765" spans="18:18" ht="14.25">
      <c r="R5765" s="20">
        <v>5738</v>
      </c>
    </row>
    <row r="5766" spans="18:18" ht="14.25">
      <c r="R5766" s="20">
        <v>5739</v>
      </c>
    </row>
    <row r="5767" spans="18:18" ht="14.25">
      <c r="R5767" s="20">
        <v>5740</v>
      </c>
    </row>
    <row r="5768" spans="18:18" ht="14.25">
      <c r="R5768" s="20">
        <v>5741</v>
      </c>
    </row>
    <row r="5769" spans="18:18" ht="14.25">
      <c r="R5769" s="20">
        <v>5742</v>
      </c>
    </row>
    <row r="5770" spans="18:18" ht="14.25">
      <c r="R5770" s="20">
        <v>5743</v>
      </c>
    </row>
    <row r="5771" spans="18:18" ht="14.25">
      <c r="R5771" s="20">
        <v>5744</v>
      </c>
    </row>
    <row r="5772" spans="18:18" ht="14.25">
      <c r="R5772" s="20">
        <v>5745</v>
      </c>
    </row>
    <row r="5773" spans="18:18" ht="14.25">
      <c r="R5773" s="20">
        <v>5746</v>
      </c>
    </row>
    <row r="5774" spans="18:18" ht="14.25">
      <c r="R5774" s="20">
        <v>5747</v>
      </c>
    </row>
    <row r="5775" spans="18:18" ht="14.25">
      <c r="R5775" s="20">
        <v>5748</v>
      </c>
    </row>
    <row r="5776" spans="18:18" ht="14.25">
      <c r="R5776" s="20">
        <v>5749</v>
      </c>
    </row>
    <row r="5777" spans="18:18" ht="14.25">
      <c r="R5777" s="20">
        <v>5750</v>
      </c>
    </row>
    <row r="5778" spans="18:18" ht="14.25">
      <c r="R5778" s="20">
        <v>5751</v>
      </c>
    </row>
    <row r="5779" spans="18:18" ht="14.25">
      <c r="R5779" s="20">
        <v>5752</v>
      </c>
    </row>
    <row r="5780" spans="18:18" ht="14.25">
      <c r="R5780" s="20">
        <v>5753</v>
      </c>
    </row>
    <row r="5781" spans="18:18" ht="14.25">
      <c r="R5781" s="20">
        <v>5754</v>
      </c>
    </row>
    <row r="5782" spans="18:18" ht="14.25">
      <c r="R5782" s="20">
        <v>5755</v>
      </c>
    </row>
    <row r="5783" spans="18:18" ht="14.25">
      <c r="R5783" s="20">
        <v>5756</v>
      </c>
    </row>
    <row r="5784" spans="18:18" ht="14.25">
      <c r="R5784" s="20">
        <v>5757</v>
      </c>
    </row>
    <row r="5785" spans="18:18" ht="14.25">
      <c r="R5785" s="20">
        <v>5758</v>
      </c>
    </row>
    <row r="5786" spans="18:18" ht="14.25">
      <c r="R5786" s="20">
        <v>5759</v>
      </c>
    </row>
    <row r="5787" spans="18:18" ht="14.25">
      <c r="R5787" s="20">
        <v>5760</v>
      </c>
    </row>
    <row r="5788" spans="18:18" ht="14.25">
      <c r="R5788" s="20">
        <v>5761</v>
      </c>
    </row>
    <row r="5789" spans="18:18" ht="14.25">
      <c r="R5789" s="20">
        <v>5762</v>
      </c>
    </row>
    <row r="5790" spans="18:18" ht="14.25">
      <c r="R5790" s="20">
        <v>5763</v>
      </c>
    </row>
    <row r="5791" spans="18:18" ht="14.25">
      <c r="R5791" s="20">
        <v>5764</v>
      </c>
    </row>
    <row r="5792" spans="18:18" ht="14.25">
      <c r="R5792" s="20">
        <v>5765</v>
      </c>
    </row>
    <row r="5793" spans="18:18" ht="14.25">
      <c r="R5793" s="20">
        <v>5766</v>
      </c>
    </row>
    <row r="5794" spans="18:18" ht="14.25">
      <c r="R5794" s="20">
        <v>5767</v>
      </c>
    </row>
    <row r="5795" spans="18:18" ht="14.25">
      <c r="R5795" s="20">
        <v>5768</v>
      </c>
    </row>
    <row r="5796" spans="18:18" ht="14.25">
      <c r="R5796" s="20">
        <v>5769</v>
      </c>
    </row>
    <row r="5797" spans="18:18" ht="14.25">
      <c r="R5797" s="20">
        <v>5770</v>
      </c>
    </row>
    <row r="5798" spans="18:18" ht="14.25">
      <c r="R5798" s="20">
        <v>5771</v>
      </c>
    </row>
    <row r="5799" spans="18:18" ht="14.25">
      <c r="R5799" s="20">
        <v>5772</v>
      </c>
    </row>
    <row r="5800" spans="18:18" ht="14.25">
      <c r="R5800" s="20">
        <v>5773</v>
      </c>
    </row>
    <row r="5801" spans="18:18" ht="14.25">
      <c r="R5801" s="20">
        <v>5774</v>
      </c>
    </row>
    <row r="5802" spans="18:18" ht="14.25">
      <c r="R5802" s="20">
        <v>5775</v>
      </c>
    </row>
    <row r="5803" spans="18:18" ht="14.25">
      <c r="R5803" s="20">
        <v>5776</v>
      </c>
    </row>
    <row r="5804" spans="18:18" ht="14.25">
      <c r="R5804" s="20">
        <v>5777</v>
      </c>
    </row>
    <row r="5805" spans="18:18" ht="14.25">
      <c r="R5805" s="20">
        <v>5778</v>
      </c>
    </row>
    <row r="5806" spans="18:18" ht="14.25">
      <c r="R5806" s="20">
        <v>5779</v>
      </c>
    </row>
    <row r="5807" spans="18:18" ht="14.25">
      <c r="R5807" s="20">
        <v>5780</v>
      </c>
    </row>
    <row r="5808" spans="18:18" ht="14.25">
      <c r="R5808" s="20">
        <v>5781</v>
      </c>
    </row>
    <row r="5809" spans="18:18" ht="14.25">
      <c r="R5809" s="20">
        <v>5782</v>
      </c>
    </row>
    <row r="5810" spans="18:18" ht="14.25">
      <c r="R5810" s="20">
        <v>5783</v>
      </c>
    </row>
    <row r="5811" spans="18:18" ht="14.25">
      <c r="R5811" s="20">
        <v>5784</v>
      </c>
    </row>
    <row r="5812" spans="18:18" ht="14.25">
      <c r="R5812" s="20">
        <v>5785</v>
      </c>
    </row>
    <row r="5813" spans="18:18" ht="14.25">
      <c r="R5813" s="20">
        <v>5786</v>
      </c>
    </row>
    <row r="5814" spans="18:18" ht="14.25">
      <c r="R5814" s="20">
        <v>5787</v>
      </c>
    </row>
    <row r="5815" spans="18:18" ht="14.25">
      <c r="R5815" s="20">
        <v>5788</v>
      </c>
    </row>
    <row r="5816" spans="18:18" ht="14.25">
      <c r="R5816" s="20">
        <v>5789</v>
      </c>
    </row>
    <row r="5817" spans="18:18" ht="14.25">
      <c r="R5817" s="20">
        <v>5790</v>
      </c>
    </row>
    <row r="5818" spans="18:18" ht="14.25">
      <c r="R5818" s="20">
        <v>5791</v>
      </c>
    </row>
    <row r="5819" spans="18:18" ht="14.25">
      <c r="R5819" s="20">
        <v>5792</v>
      </c>
    </row>
    <row r="5820" spans="18:18" ht="14.25">
      <c r="R5820" s="20">
        <v>5793</v>
      </c>
    </row>
    <row r="5821" spans="18:18" ht="14.25">
      <c r="R5821" s="20">
        <v>5794</v>
      </c>
    </row>
    <row r="5822" spans="18:18" ht="14.25">
      <c r="R5822" s="20">
        <v>5795</v>
      </c>
    </row>
    <row r="5823" spans="18:18" ht="14.25">
      <c r="R5823" s="20">
        <v>5796</v>
      </c>
    </row>
    <row r="5824" spans="18:18" ht="14.25">
      <c r="R5824" s="20">
        <v>5797</v>
      </c>
    </row>
    <row r="5825" spans="18:18" ht="14.25">
      <c r="R5825" s="20">
        <v>5798</v>
      </c>
    </row>
    <row r="5826" spans="18:18" ht="14.25">
      <c r="R5826" s="20">
        <v>5799</v>
      </c>
    </row>
    <row r="5827" spans="18:18" ht="14.25">
      <c r="R5827" s="20">
        <v>5800</v>
      </c>
    </row>
    <row r="5828" spans="18:18" ht="14.25">
      <c r="R5828" s="20">
        <v>5801</v>
      </c>
    </row>
    <row r="5829" spans="18:18" ht="14.25">
      <c r="R5829" s="20">
        <v>5802</v>
      </c>
    </row>
    <row r="5830" spans="18:18" ht="14.25">
      <c r="R5830" s="20">
        <v>5803</v>
      </c>
    </row>
    <row r="5831" spans="18:18" ht="14.25">
      <c r="R5831" s="20">
        <v>5804</v>
      </c>
    </row>
    <row r="5832" spans="18:18" ht="14.25">
      <c r="R5832" s="20">
        <v>5805</v>
      </c>
    </row>
    <row r="5833" spans="18:18" ht="14.25">
      <c r="R5833" s="20">
        <v>5806</v>
      </c>
    </row>
    <row r="5834" spans="18:18" ht="14.25">
      <c r="R5834" s="20">
        <v>5807</v>
      </c>
    </row>
    <row r="5835" spans="18:18" ht="14.25">
      <c r="R5835" s="20">
        <v>5808</v>
      </c>
    </row>
    <row r="5836" spans="18:18" ht="14.25">
      <c r="R5836" s="20">
        <v>5809</v>
      </c>
    </row>
    <row r="5837" spans="18:18" ht="14.25">
      <c r="R5837" s="20">
        <v>5810</v>
      </c>
    </row>
    <row r="5838" spans="18:18" ht="14.25">
      <c r="R5838" s="20">
        <v>5811</v>
      </c>
    </row>
    <row r="5839" spans="18:18" ht="14.25">
      <c r="R5839" s="20">
        <v>5812</v>
      </c>
    </row>
    <row r="5840" spans="18:18" ht="14.25">
      <c r="R5840" s="20">
        <v>5813</v>
      </c>
    </row>
    <row r="5841" spans="18:18" ht="14.25">
      <c r="R5841" s="20">
        <v>5814</v>
      </c>
    </row>
    <row r="5842" spans="18:18" ht="14.25">
      <c r="R5842" s="20">
        <v>5815</v>
      </c>
    </row>
    <row r="5843" spans="18:18" ht="14.25">
      <c r="R5843" s="20">
        <v>5816</v>
      </c>
    </row>
    <row r="5844" spans="18:18" ht="14.25">
      <c r="R5844" s="20">
        <v>5817</v>
      </c>
    </row>
    <row r="5845" spans="18:18" ht="14.25">
      <c r="R5845" s="20">
        <v>5818</v>
      </c>
    </row>
    <row r="5846" spans="18:18" ht="14.25">
      <c r="R5846" s="20">
        <v>5819</v>
      </c>
    </row>
    <row r="5847" spans="18:18" ht="14.25">
      <c r="R5847" s="20">
        <v>5820</v>
      </c>
    </row>
    <row r="5848" spans="18:18" ht="14.25">
      <c r="R5848" s="20">
        <v>5821</v>
      </c>
    </row>
    <row r="5849" spans="18:18" ht="14.25">
      <c r="R5849" s="20">
        <v>5822</v>
      </c>
    </row>
    <row r="5850" spans="18:18" ht="14.25">
      <c r="R5850" s="20">
        <v>5823</v>
      </c>
    </row>
    <row r="5851" spans="18:18" ht="14.25">
      <c r="R5851" s="20">
        <v>5824</v>
      </c>
    </row>
    <row r="5852" spans="18:18" ht="14.25">
      <c r="R5852" s="20">
        <v>5825</v>
      </c>
    </row>
    <row r="5853" spans="18:18" ht="14.25">
      <c r="R5853" s="20">
        <v>5826</v>
      </c>
    </row>
    <row r="5854" spans="18:18" ht="14.25">
      <c r="R5854" s="20">
        <v>5827</v>
      </c>
    </row>
    <row r="5855" spans="18:18" ht="14.25">
      <c r="R5855" s="20">
        <v>5828</v>
      </c>
    </row>
    <row r="5856" spans="18:18" ht="14.25">
      <c r="R5856" s="20">
        <v>5829</v>
      </c>
    </row>
    <row r="5857" spans="18:18" ht="14.25">
      <c r="R5857" s="20">
        <v>5830</v>
      </c>
    </row>
    <row r="5858" spans="18:18" ht="14.25">
      <c r="R5858" s="20">
        <v>5831</v>
      </c>
    </row>
    <row r="5859" spans="18:18" ht="14.25">
      <c r="R5859" s="20">
        <v>5832</v>
      </c>
    </row>
    <row r="5860" spans="18:18" ht="14.25">
      <c r="R5860" s="20">
        <v>5833</v>
      </c>
    </row>
    <row r="5861" spans="18:18" ht="14.25">
      <c r="R5861" s="20">
        <v>5834</v>
      </c>
    </row>
    <row r="5862" spans="18:18" ht="14.25">
      <c r="R5862" s="20">
        <v>5835</v>
      </c>
    </row>
    <row r="5863" spans="18:18" ht="14.25">
      <c r="R5863" s="20">
        <v>5836</v>
      </c>
    </row>
    <row r="5864" spans="18:18" ht="14.25">
      <c r="R5864" s="20">
        <v>5837</v>
      </c>
    </row>
    <row r="5865" spans="18:18" ht="14.25">
      <c r="R5865" s="20">
        <v>5838</v>
      </c>
    </row>
    <row r="5866" spans="18:18" ht="14.25">
      <c r="R5866" s="20">
        <v>5839</v>
      </c>
    </row>
    <row r="5867" spans="18:18" ht="14.25">
      <c r="R5867" s="20">
        <v>5840</v>
      </c>
    </row>
    <row r="5868" spans="18:18" ht="14.25">
      <c r="R5868" s="20">
        <v>5841</v>
      </c>
    </row>
    <row r="5869" spans="18:18" ht="14.25">
      <c r="R5869" s="20">
        <v>5842</v>
      </c>
    </row>
    <row r="5870" spans="18:18" ht="14.25">
      <c r="R5870" s="20">
        <v>5843</v>
      </c>
    </row>
    <row r="5871" spans="18:18" ht="14.25">
      <c r="R5871" s="20">
        <v>5844</v>
      </c>
    </row>
    <row r="5872" spans="18:18" ht="14.25">
      <c r="R5872" s="20">
        <v>5845</v>
      </c>
    </row>
    <row r="5873" spans="18:18" ht="14.25">
      <c r="R5873" s="20">
        <v>5846</v>
      </c>
    </row>
    <row r="5874" spans="18:18" ht="14.25">
      <c r="R5874" s="20">
        <v>5847</v>
      </c>
    </row>
    <row r="5875" spans="18:18" ht="14.25">
      <c r="R5875" s="20">
        <v>5848</v>
      </c>
    </row>
    <row r="5876" spans="18:18" ht="14.25">
      <c r="R5876" s="20">
        <v>5849</v>
      </c>
    </row>
    <row r="5877" spans="18:18" ht="14.25">
      <c r="R5877" s="20">
        <v>5850</v>
      </c>
    </row>
    <row r="5878" spans="18:18" ht="14.25">
      <c r="R5878" s="20">
        <v>5851</v>
      </c>
    </row>
    <row r="5879" spans="18:18" ht="14.25">
      <c r="R5879" s="20">
        <v>5852</v>
      </c>
    </row>
    <row r="5880" spans="18:18" ht="14.25">
      <c r="R5880" s="20">
        <v>5853</v>
      </c>
    </row>
    <row r="5881" spans="18:18" ht="14.25">
      <c r="R5881" s="20">
        <v>5854</v>
      </c>
    </row>
    <row r="5882" spans="18:18" ht="14.25">
      <c r="R5882" s="20">
        <v>5855</v>
      </c>
    </row>
    <row r="5883" spans="18:18" ht="14.25">
      <c r="R5883" s="20">
        <v>5856</v>
      </c>
    </row>
    <row r="5884" spans="18:18" ht="14.25">
      <c r="R5884" s="20">
        <v>5857</v>
      </c>
    </row>
    <row r="5885" spans="18:18" ht="14.25">
      <c r="R5885" s="20">
        <v>5858</v>
      </c>
    </row>
    <row r="5886" spans="18:18" ht="14.25">
      <c r="R5886" s="20">
        <v>5859</v>
      </c>
    </row>
    <row r="5887" spans="18:18" ht="14.25">
      <c r="R5887" s="20">
        <v>5860</v>
      </c>
    </row>
    <row r="5888" spans="18:18" ht="14.25">
      <c r="R5888" s="20">
        <v>5861</v>
      </c>
    </row>
    <row r="5889" spans="18:18" ht="14.25">
      <c r="R5889" s="20">
        <v>5862</v>
      </c>
    </row>
    <row r="5890" spans="18:18" ht="14.25">
      <c r="R5890" s="20">
        <v>5863</v>
      </c>
    </row>
    <row r="5891" spans="18:18" ht="14.25">
      <c r="R5891" s="20">
        <v>5864</v>
      </c>
    </row>
    <row r="5892" spans="18:18" ht="14.25">
      <c r="R5892" s="20">
        <v>5865</v>
      </c>
    </row>
    <row r="5893" spans="18:18" ht="14.25">
      <c r="R5893" s="20">
        <v>5866</v>
      </c>
    </row>
    <row r="5894" spans="18:18" ht="14.25">
      <c r="R5894" s="20">
        <v>5867</v>
      </c>
    </row>
    <row r="5895" spans="18:18" ht="14.25">
      <c r="R5895" s="20">
        <v>5868</v>
      </c>
    </row>
    <row r="5896" spans="18:18" ht="14.25">
      <c r="R5896" s="20">
        <v>5869</v>
      </c>
    </row>
    <row r="5897" spans="18:18" ht="14.25">
      <c r="R5897" s="20">
        <v>5870</v>
      </c>
    </row>
    <row r="5898" spans="18:18" ht="14.25">
      <c r="R5898" s="20">
        <v>5871</v>
      </c>
    </row>
    <row r="5899" spans="18:18" ht="14.25">
      <c r="R5899" s="20">
        <v>5872</v>
      </c>
    </row>
    <row r="5900" spans="18:18" ht="14.25">
      <c r="R5900" s="20">
        <v>5873</v>
      </c>
    </row>
    <row r="5901" spans="18:18" ht="14.25">
      <c r="R5901" s="20">
        <v>5874</v>
      </c>
    </row>
    <row r="5902" spans="18:18" ht="14.25">
      <c r="R5902" s="20">
        <v>5875</v>
      </c>
    </row>
    <row r="5903" spans="18:18" ht="14.25">
      <c r="R5903" s="20">
        <v>5876</v>
      </c>
    </row>
    <row r="5904" spans="18:18" ht="14.25">
      <c r="R5904" s="20">
        <v>5877</v>
      </c>
    </row>
    <row r="5905" spans="18:18" ht="14.25">
      <c r="R5905" s="20">
        <v>5878</v>
      </c>
    </row>
    <row r="5906" spans="18:18" ht="14.25">
      <c r="R5906" s="20">
        <v>5879</v>
      </c>
    </row>
    <row r="5907" spans="18:18" ht="14.25">
      <c r="R5907" s="20">
        <v>5880</v>
      </c>
    </row>
    <row r="5908" spans="18:18" ht="14.25">
      <c r="R5908" s="20">
        <v>5881</v>
      </c>
    </row>
    <row r="5909" spans="18:18" ht="14.25">
      <c r="R5909" s="20">
        <v>5882</v>
      </c>
    </row>
    <row r="5910" spans="18:18" ht="14.25">
      <c r="R5910" s="20">
        <v>5883</v>
      </c>
    </row>
    <row r="5911" spans="18:18" ht="14.25">
      <c r="R5911" s="20">
        <v>5884</v>
      </c>
    </row>
    <row r="5912" spans="18:18" ht="14.25">
      <c r="R5912" s="20">
        <v>5885</v>
      </c>
    </row>
    <row r="5913" spans="18:18" ht="14.25">
      <c r="R5913" s="20">
        <v>5886</v>
      </c>
    </row>
    <row r="5914" spans="18:18" ht="14.25">
      <c r="R5914" s="20">
        <v>5887</v>
      </c>
    </row>
    <row r="5915" spans="18:18" ht="14.25">
      <c r="R5915" s="20">
        <v>5888</v>
      </c>
    </row>
    <row r="5916" spans="18:18" ht="14.25">
      <c r="R5916" s="20">
        <v>5889</v>
      </c>
    </row>
    <row r="5917" spans="18:18" ht="14.25">
      <c r="R5917" s="20">
        <v>5890</v>
      </c>
    </row>
    <row r="5918" spans="18:18" ht="14.25">
      <c r="R5918" s="20">
        <v>5891</v>
      </c>
    </row>
    <row r="5919" spans="18:18" ht="14.25">
      <c r="R5919" s="20">
        <v>5892</v>
      </c>
    </row>
    <row r="5920" spans="18:18" ht="14.25">
      <c r="R5920" s="20">
        <v>5893</v>
      </c>
    </row>
    <row r="5921" spans="18:18" ht="14.25">
      <c r="R5921" s="20">
        <v>5894</v>
      </c>
    </row>
    <row r="5922" spans="18:18" ht="14.25">
      <c r="R5922" s="20">
        <v>5895</v>
      </c>
    </row>
    <row r="5923" spans="18:18" ht="14.25">
      <c r="R5923" s="20">
        <v>5896</v>
      </c>
    </row>
    <row r="5924" spans="18:18" ht="14.25">
      <c r="R5924" s="20">
        <v>5897</v>
      </c>
    </row>
    <row r="5925" spans="18:18" ht="14.25">
      <c r="R5925" s="20">
        <v>5898</v>
      </c>
    </row>
    <row r="5926" spans="18:18" ht="14.25">
      <c r="R5926" s="20">
        <v>5899</v>
      </c>
    </row>
    <row r="5927" spans="18:18" ht="14.25">
      <c r="R5927" s="20">
        <v>5900</v>
      </c>
    </row>
    <row r="5928" spans="18:18" ht="14.25">
      <c r="R5928" s="20">
        <v>5901</v>
      </c>
    </row>
    <row r="5929" spans="18:18" ht="14.25">
      <c r="R5929" s="20">
        <v>5902</v>
      </c>
    </row>
    <row r="5930" spans="18:18" ht="14.25">
      <c r="R5930" s="20">
        <v>5903</v>
      </c>
    </row>
    <row r="5931" spans="18:18" ht="14.25">
      <c r="R5931" s="20">
        <v>5904</v>
      </c>
    </row>
    <row r="5932" spans="18:18" ht="14.25">
      <c r="R5932" s="20">
        <v>5905</v>
      </c>
    </row>
    <row r="5933" spans="18:18" ht="14.25">
      <c r="R5933" s="20">
        <v>5906</v>
      </c>
    </row>
    <row r="5934" spans="18:18" ht="14.25">
      <c r="R5934" s="20">
        <v>5907</v>
      </c>
    </row>
    <row r="5935" spans="18:18" ht="14.25">
      <c r="R5935" s="20">
        <v>5908</v>
      </c>
    </row>
    <row r="5936" spans="18:18" ht="14.25">
      <c r="R5936" s="20">
        <v>5909</v>
      </c>
    </row>
    <row r="5937" spans="18:18" ht="14.25">
      <c r="R5937" s="20">
        <v>5910</v>
      </c>
    </row>
    <row r="5938" spans="18:18" ht="14.25">
      <c r="R5938" s="20">
        <v>5911</v>
      </c>
    </row>
    <row r="5939" spans="18:18" ht="14.25">
      <c r="R5939" s="20">
        <v>5912</v>
      </c>
    </row>
    <row r="5940" spans="18:18" ht="14.25">
      <c r="R5940" s="20">
        <v>5913</v>
      </c>
    </row>
    <row r="5941" spans="18:18" ht="14.25">
      <c r="R5941" s="20">
        <v>5914</v>
      </c>
    </row>
    <row r="5942" spans="18:18" ht="14.25">
      <c r="R5942" s="20">
        <v>5915</v>
      </c>
    </row>
    <row r="5943" spans="18:18" ht="14.25">
      <c r="R5943" s="20">
        <v>5916</v>
      </c>
    </row>
    <row r="5944" spans="18:18" ht="14.25">
      <c r="R5944" s="20">
        <v>5917</v>
      </c>
    </row>
    <row r="5945" spans="18:18" ht="14.25">
      <c r="R5945" s="20">
        <v>5918</v>
      </c>
    </row>
    <row r="5946" spans="18:18" ht="14.25">
      <c r="R5946" s="20">
        <v>5919</v>
      </c>
    </row>
    <row r="5947" spans="18:18" ht="14.25">
      <c r="R5947" s="20">
        <v>5920</v>
      </c>
    </row>
    <row r="5948" spans="18:18" ht="14.25">
      <c r="R5948" s="20">
        <v>5921</v>
      </c>
    </row>
    <row r="5949" spans="18:18" ht="14.25">
      <c r="R5949" s="20">
        <v>5922</v>
      </c>
    </row>
    <row r="5950" spans="18:18" ht="14.25">
      <c r="R5950" s="20">
        <v>5923</v>
      </c>
    </row>
    <row r="5951" spans="18:18" ht="14.25">
      <c r="R5951" s="20">
        <v>5924</v>
      </c>
    </row>
    <row r="5952" spans="18:18" ht="14.25">
      <c r="R5952" s="20">
        <v>5925</v>
      </c>
    </row>
    <row r="5953" spans="18:18" ht="14.25">
      <c r="R5953" s="20">
        <v>5926</v>
      </c>
    </row>
    <row r="5954" spans="18:18" ht="14.25">
      <c r="R5954" s="20">
        <v>5927</v>
      </c>
    </row>
    <row r="5955" spans="18:18" ht="14.25">
      <c r="R5955" s="20">
        <v>5928</v>
      </c>
    </row>
    <row r="5956" spans="18:18" ht="14.25">
      <c r="R5956" s="20">
        <v>5929</v>
      </c>
    </row>
    <row r="5957" spans="18:18" ht="14.25">
      <c r="R5957" s="20">
        <v>5930</v>
      </c>
    </row>
    <row r="5958" spans="18:18" ht="14.25">
      <c r="R5958" s="20">
        <v>5931</v>
      </c>
    </row>
    <row r="5959" spans="18:18" ht="14.25">
      <c r="R5959" s="20">
        <v>5932</v>
      </c>
    </row>
    <row r="5960" spans="18:18" ht="14.25">
      <c r="R5960" s="20">
        <v>5933</v>
      </c>
    </row>
    <row r="5961" spans="18:18" ht="14.25">
      <c r="R5961" s="20">
        <v>5934</v>
      </c>
    </row>
    <row r="5962" spans="18:18" ht="14.25">
      <c r="R5962" s="20">
        <v>5935</v>
      </c>
    </row>
    <row r="5963" spans="18:18" ht="14.25">
      <c r="R5963" s="20">
        <v>5936</v>
      </c>
    </row>
    <row r="5964" spans="18:18" ht="14.25">
      <c r="R5964" s="20">
        <v>5937</v>
      </c>
    </row>
    <row r="5965" spans="18:18" ht="14.25">
      <c r="R5965" s="20">
        <v>5938</v>
      </c>
    </row>
    <row r="5966" spans="18:18" ht="14.25">
      <c r="R5966" s="20">
        <v>5939</v>
      </c>
    </row>
    <row r="5967" spans="18:18" ht="14.25">
      <c r="R5967" s="20">
        <v>5940</v>
      </c>
    </row>
    <row r="5968" spans="18:18" ht="14.25">
      <c r="R5968" s="20">
        <v>5941</v>
      </c>
    </row>
    <row r="5969" spans="18:18" ht="14.25">
      <c r="R5969" s="20">
        <v>5942</v>
      </c>
    </row>
    <row r="5970" spans="18:18" ht="14.25">
      <c r="R5970" s="20">
        <v>5943</v>
      </c>
    </row>
    <row r="5971" spans="18:18" ht="14.25">
      <c r="R5971" s="20">
        <v>5944</v>
      </c>
    </row>
    <row r="5972" spans="18:18" ht="14.25">
      <c r="R5972" s="20">
        <v>5945</v>
      </c>
    </row>
    <row r="5973" spans="18:18" ht="14.25">
      <c r="R5973" s="20">
        <v>5946</v>
      </c>
    </row>
    <row r="5974" spans="18:18" ht="14.25">
      <c r="R5974" s="20">
        <v>5947</v>
      </c>
    </row>
    <row r="5975" spans="18:18" ht="14.25">
      <c r="R5975" s="20">
        <v>5948</v>
      </c>
    </row>
    <row r="5976" spans="18:18" ht="14.25">
      <c r="R5976" s="20">
        <v>5949</v>
      </c>
    </row>
    <row r="5977" spans="18:18" ht="14.25">
      <c r="R5977" s="20">
        <v>5950</v>
      </c>
    </row>
    <row r="5978" spans="18:18" ht="14.25">
      <c r="R5978" s="20">
        <v>5951</v>
      </c>
    </row>
    <row r="5979" spans="18:18" ht="14.25">
      <c r="R5979" s="20">
        <v>5952</v>
      </c>
    </row>
    <row r="5980" spans="18:18" ht="14.25">
      <c r="R5980" s="20">
        <v>5953</v>
      </c>
    </row>
    <row r="5981" spans="18:18" ht="14.25">
      <c r="R5981" s="20">
        <v>5954</v>
      </c>
    </row>
    <row r="5982" spans="18:18" ht="14.25">
      <c r="R5982" s="20">
        <v>5955</v>
      </c>
    </row>
    <row r="5983" spans="18:18" ht="14.25">
      <c r="R5983" s="20">
        <v>5956</v>
      </c>
    </row>
    <row r="5984" spans="18:18" ht="14.25">
      <c r="R5984" s="20">
        <v>5957</v>
      </c>
    </row>
    <row r="5985" spans="18:18" ht="14.25">
      <c r="R5985" s="20">
        <v>5958</v>
      </c>
    </row>
    <row r="5986" spans="18:18" ht="14.25">
      <c r="R5986" s="20">
        <v>5959</v>
      </c>
    </row>
    <row r="5987" spans="18:18" ht="14.25">
      <c r="R5987" s="20">
        <v>5960</v>
      </c>
    </row>
    <row r="5988" spans="18:18" ht="14.25">
      <c r="R5988" s="20">
        <v>5961</v>
      </c>
    </row>
    <row r="5989" spans="18:18" ht="14.25">
      <c r="R5989" s="20">
        <v>5962</v>
      </c>
    </row>
    <row r="5990" spans="18:18" ht="14.25">
      <c r="R5990" s="20">
        <v>5963</v>
      </c>
    </row>
    <row r="5991" spans="18:18" ht="14.25">
      <c r="R5991" s="20">
        <v>5964</v>
      </c>
    </row>
    <row r="5992" spans="18:18" ht="14.25">
      <c r="R5992" s="20">
        <v>5965</v>
      </c>
    </row>
    <row r="5993" spans="18:18" ht="14.25">
      <c r="R5993" s="20">
        <v>5966</v>
      </c>
    </row>
    <row r="5994" spans="18:18" ht="14.25">
      <c r="R5994" s="20">
        <v>5967</v>
      </c>
    </row>
    <row r="5995" spans="18:18" ht="14.25">
      <c r="R5995" s="20">
        <v>5968</v>
      </c>
    </row>
    <row r="5996" spans="18:18" ht="14.25">
      <c r="R5996" s="20">
        <v>5969</v>
      </c>
    </row>
    <row r="5997" spans="18:18" ht="14.25">
      <c r="R5997" s="20">
        <v>5970</v>
      </c>
    </row>
    <row r="5998" spans="18:18" ht="14.25">
      <c r="R5998" s="20">
        <v>5971</v>
      </c>
    </row>
    <row r="5999" spans="18:18" ht="14.25">
      <c r="R5999" s="20">
        <v>5972</v>
      </c>
    </row>
    <row r="6000" spans="18:18" ht="14.25">
      <c r="R6000" s="20">
        <v>5973</v>
      </c>
    </row>
    <row r="6001" spans="18:18" ht="14.25">
      <c r="R6001" s="20">
        <v>5974</v>
      </c>
    </row>
    <row r="6002" spans="18:18" ht="14.25">
      <c r="R6002" s="20">
        <v>5975</v>
      </c>
    </row>
    <row r="6003" spans="18:18" ht="14.25">
      <c r="R6003" s="20">
        <v>5976</v>
      </c>
    </row>
    <row r="6004" spans="18:18" ht="14.25">
      <c r="R6004" s="20">
        <v>5977</v>
      </c>
    </row>
    <row r="6005" spans="18:18" ht="14.25">
      <c r="R6005" s="20">
        <v>5978</v>
      </c>
    </row>
    <row r="6006" spans="18:18" ht="14.25">
      <c r="R6006" s="20">
        <v>5979</v>
      </c>
    </row>
    <row r="6007" spans="18:18" ht="14.25">
      <c r="R6007" s="20">
        <v>5980</v>
      </c>
    </row>
    <row r="6008" spans="18:18" ht="14.25">
      <c r="R6008" s="20">
        <v>5981</v>
      </c>
    </row>
    <row r="6009" spans="18:18" ht="14.25">
      <c r="R6009" s="20">
        <v>5982</v>
      </c>
    </row>
    <row r="6010" spans="18:18" ht="14.25">
      <c r="R6010" s="20">
        <v>5983</v>
      </c>
    </row>
    <row r="6011" spans="18:18" ht="14.25">
      <c r="R6011" s="20">
        <v>5984</v>
      </c>
    </row>
    <row r="6012" spans="18:18" ht="14.25">
      <c r="R6012" s="20">
        <v>5985</v>
      </c>
    </row>
    <row r="6013" spans="18:18" ht="14.25">
      <c r="R6013" s="20">
        <v>5986</v>
      </c>
    </row>
    <row r="6014" spans="18:18" ht="14.25">
      <c r="R6014" s="20">
        <v>5987</v>
      </c>
    </row>
    <row r="6015" spans="18:18" ht="14.25">
      <c r="R6015" s="20">
        <v>5988</v>
      </c>
    </row>
    <row r="6016" spans="18:18" ht="14.25">
      <c r="R6016" s="20">
        <v>5989</v>
      </c>
    </row>
    <row r="6017" spans="18:18" ht="14.25">
      <c r="R6017" s="20">
        <v>5990</v>
      </c>
    </row>
    <row r="6018" spans="18:18" ht="14.25">
      <c r="R6018" s="20">
        <v>5991</v>
      </c>
    </row>
    <row r="6019" spans="18:18" ht="14.25">
      <c r="R6019" s="20">
        <v>5992</v>
      </c>
    </row>
    <row r="6020" spans="18:18" ht="14.25">
      <c r="R6020" s="20">
        <v>5993</v>
      </c>
    </row>
    <row r="6021" spans="18:18" ht="14.25">
      <c r="R6021" s="20">
        <v>5994</v>
      </c>
    </row>
    <row r="6022" spans="18:18" ht="14.25">
      <c r="R6022" s="20">
        <v>5995</v>
      </c>
    </row>
    <row r="6023" spans="18:18" ht="14.25">
      <c r="R6023" s="20">
        <v>5996</v>
      </c>
    </row>
    <row r="6024" spans="18:18" ht="14.25">
      <c r="R6024" s="20">
        <v>5997</v>
      </c>
    </row>
    <row r="6025" spans="18:18" ht="14.25">
      <c r="R6025" s="20">
        <v>5998</v>
      </c>
    </row>
    <row r="6026" spans="18:18" ht="14.25">
      <c r="R6026" s="20">
        <v>5999</v>
      </c>
    </row>
    <row r="6027" spans="18:18" ht="14.25">
      <c r="R6027" s="20">
        <v>6000</v>
      </c>
    </row>
    <row r="6028" spans="18:18" ht="14.25">
      <c r="R6028" s="20">
        <v>6001</v>
      </c>
    </row>
    <row r="6029" spans="18:18" ht="14.25">
      <c r="R6029" s="20">
        <v>6002</v>
      </c>
    </row>
    <row r="6030" spans="18:18" ht="14.25">
      <c r="R6030" s="20">
        <v>6003</v>
      </c>
    </row>
    <row r="6031" spans="18:18" ht="14.25">
      <c r="R6031" s="20">
        <v>6004</v>
      </c>
    </row>
    <row r="6032" spans="18:18" ht="14.25">
      <c r="R6032" s="20">
        <v>6005</v>
      </c>
    </row>
    <row r="6033" spans="18:18" ht="14.25">
      <c r="R6033" s="20">
        <v>6006</v>
      </c>
    </row>
    <row r="6034" spans="18:18" ht="14.25">
      <c r="R6034" s="20">
        <v>6007</v>
      </c>
    </row>
    <row r="6035" spans="18:18" ht="14.25">
      <c r="R6035" s="20">
        <v>6008</v>
      </c>
    </row>
    <row r="6036" spans="18:18" ht="14.25">
      <c r="R6036" s="20">
        <v>6009</v>
      </c>
    </row>
    <row r="6037" spans="18:18" ht="14.25">
      <c r="R6037" s="20">
        <v>6010</v>
      </c>
    </row>
    <row r="6038" spans="18:18" ht="14.25">
      <c r="R6038" s="20">
        <v>6011</v>
      </c>
    </row>
    <row r="6039" spans="18:18" ht="14.25">
      <c r="R6039" s="20">
        <v>6012</v>
      </c>
    </row>
    <row r="6040" spans="18:18" ht="14.25">
      <c r="R6040" s="20">
        <v>6013</v>
      </c>
    </row>
    <row r="6041" spans="18:18" ht="14.25">
      <c r="R6041" s="20">
        <v>6014</v>
      </c>
    </row>
    <row r="6042" spans="18:18" ht="14.25">
      <c r="R6042" s="20">
        <v>6015</v>
      </c>
    </row>
    <row r="6043" spans="18:18" ht="14.25">
      <c r="R6043" s="20">
        <v>6016</v>
      </c>
    </row>
    <row r="6044" spans="18:18" ht="14.25">
      <c r="R6044" s="20">
        <v>6017</v>
      </c>
    </row>
    <row r="6045" spans="18:18" ht="14.25">
      <c r="R6045" s="20">
        <v>6018</v>
      </c>
    </row>
    <row r="6046" spans="18:18" ht="14.25">
      <c r="R6046" s="20">
        <v>6019</v>
      </c>
    </row>
    <row r="6047" spans="18:18" ht="14.25">
      <c r="R6047" s="20">
        <v>6020</v>
      </c>
    </row>
    <row r="6048" spans="18:18" ht="14.25">
      <c r="R6048" s="20">
        <v>6021</v>
      </c>
    </row>
    <row r="6049" spans="18:18" ht="14.25">
      <c r="R6049" s="20">
        <v>6022</v>
      </c>
    </row>
    <row r="6050" spans="18:18" ht="14.25">
      <c r="R6050" s="20">
        <v>6023</v>
      </c>
    </row>
    <row r="6051" spans="18:18" ht="14.25">
      <c r="R6051" s="20">
        <v>6024</v>
      </c>
    </row>
    <row r="6052" spans="18:18" ht="14.25">
      <c r="R6052" s="20">
        <v>6025</v>
      </c>
    </row>
    <row r="6053" spans="18:18" ht="14.25">
      <c r="R6053" s="20">
        <v>6026</v>
      </c>
    </row>
    <row r="6054" spans="18:18" ht="14.25">
      <c r="R6054" s="20">
        <v>6027</v>
      </c>
    </row>
    <row r="6055" spans="18:18" ht="14.25">
      <c r="R6055" s="20">
        <v>6028</v>
      </c>
    </row>
    <row r="6056" spans="18:18" ht="14.25">
      <c r="R6056" s="20">
        <v>6029</v>
      </c>
    </row>
    <row r="6057" spans="18:18" ht="14.25">
      <c r="R6057" s="20">
        <v>6030</v>
      </c>
    </row>
    <row r="6058" spans="18:18" ht="14.25">
      <c r="R6058" s="20">
        <v>6031</v>
      </c>
    </row>
    <row r="6059" spans="18:18" ht="14.25">
      <c r="R6059" s="20">
        <v>6032</v>
      </c>
    </row>
    <row r="6060" spans="18:18" ht="14.25">
      <c r="R6060" s="20">
        <v>6033</v>
      </c>
    </row>
    <row r="6061" spans="18:18" ht="14.25">
      <c r="R6061" s="20">
        <v>6034</v>
      </c>
    </row>
    <row r="6062" spans="18:18" ht="14.25">
      <c r="R6062" s="20">
        <v>6035</v>
      </c>
    </row>
    <row r="6063" spans="18:18" ht="14.25">
      <c r="R6063" s="20">
        <v>6036</v>
      </c>
    </row>
    <row r="6064" spans="18:18" ht="14.25">
      <c r="R6064" s="20">
        <v>6037</v>
      </c>
    </row>
    <row r="6065" spans="18:18" ht="14.25">
      <c r="R6065" s="20">
        <v>6038</v>
      </c>
    </row>
    <row r="6066" spans="18:18" ht="14.25">
      <c r="R6066" s="20">
        <v>6039</v>
      </c>
    </row>
    <row r="6067" spans="18:18" ht="14.25">
      <c r="R6067" s="20">
        <v>6040</v>
      </c>
    </row>
    <row r="6068" spans="18:18" ht="14.25">
      <c r="R6068" s="20">
        <v>6041</v>
      </c>
    </row>
    <row r="6069" spans="18:18" ht="14.25">
      <c r="R6069" s="20">
        <v>6042</v>
      </c>
    </row>
    <row r="6070" spans="18:18" ht="14.25">
      <c r="R6070" s="20">
        <v>6043</v>
      </c>
    </row>
    <row r="6071" spans="18:18" ht="14.25">
      <c r="R6071" s="20">
        <v>6044</v>
      </c>
    </row>
    <row r="6072" spans="18:18" ht="14.25">
      <c r="R6072" s="20">
        <v>6045</v>
      </c>
    </row>
    <row r="6073" spans="18:18" ht="14.25">
      <c r="R6073" s="20">
        <v>6046</v>
      </c>
    </row>
    <row r="6074" spans="18:18" ht="14.25">
      <c r="R6074" s="20">
        <v>6047</v>
      </c>
    </row>
    <row r="6075" spans="18:18" ht="14.25">
      <c r="R6075" s="20">
        <v>6048</v>
      </c>
    </row>
    <row r="6076" spans="18:18" ht="14.25">
      <c r="R6076" s="20">
        <v>6049</v>
      </c>
    </row>
    <row r="6077" spans="18:18" ht="14.25">
      <c r="R6077" s="20">
        <v>6050</v>
      </c>
    </row>
    <row r="6078" spans="18:18" ht="14.25">
      <c r="R6078" s="20">
        <v>6051</v>
      </c>
    </row>
    <row r="6079" spans="18:18" ht="14.25">
      <c r="R6079" s="20">
        <v>6052</v>
      </c>
    </row>
    <row r="6080" spans="18:18" ht="14.25">
      <c r="R6080" s="20">
        <v>6053</v>
      </c>
    </row>
    <row r="6081" spans="18:18" ht="14.25">
      <c r="R6081" s="20">
        <v>6054</v>
      </c>
    </row>
    <row r="6082" spans="18:18" ht="14.25">
      <c r="R6082" s="20">
        <v>6055</v>
      </c>
    </row>
    <row r="6083" spans="18:18" ht="14.25">
      <c r="R6083" s="20">
        <v>6056</v>
      </c>
    </row>
    <row r="6084" spans="18:18" ht="14.25">
      <c r="R6084" s="20">
        <v>6057</v>
      </c>
    </row>
    <row r="6085" spans="18:18" ht="14.25">
      <c r="R6085" s="20">
        <v>6058</v>
      </c>
    </row>
    <row r="6086" spans="18:18" ht="14.25">
      <c r="R6086" s="20">
        <v>6059</v>
      </c>
    </row>
    <row r="6087" spans="18:18" ht="14.25">
      <c r="R6087" s="20">
        <v>6060</v>
      </c>
    </row>
    <row r="6088" spans="18:18" ht="14.25">
      <c r="R6088" s="20">
        <v>6061</v>
      </c>
    </row>
    <row r="6089" spans="18:18" ht="14.25">
      <c r="R6089" s="20">
        <v>6062</v>
      </c>
    </row>
    <row r="6090" spans="18:18" ht="14.25">
      <c r="R6090" s="20">
        <v>6063</v>
      </c>
    </row>
    <row r="6091" spans="18:18" ht="14.25">
      <c r="R6091" s="20">
        <v>6064</v>
      </c>
    </row>
    <row r="6092" spans="18:18" ht="14.25">
      <c r="R6092" s="20">
        <v>6065</v>
      </c>
    </row>
    <row r="6093" spans="18:18" ht="14.25">
      <c r="R6093" s="20">
        <v>6066</v>
      </c>
    </row>
    <row r="6094" spans="18:18" ht="14.25">
      <c r="R6094" s="20">
        <v>6067</v>
      </c>
    </row>
    <row r="6095" spans="18:18" ht="14.25">
      <c r="R6095" s="20">
        <v>6068</v>
      </c>
    </row>
    <row r="6096" spans="18:18" ht="14.25">
      <c r="R6096" s="20">
        <v>6069</v>
      </c>
    </row>
    <row r="6097" spans="18:18" ht="14.25">
      <c r="R6097" s="20">
        <v>6070</v>
      </c>
    </row>
    <row r="6098" spans="18:18" ht="14.25">
      <c r="R6098" s="20">
        <v>6071</v>
      </c>
    </row>
    <row r="6099" spans="18:18" ht="14.25">
      <c r="R6099" s="20">
        <v>6072</v>
      </c>
    </row>
    <row r="6100" spans="18:18" ht="14.25">
      <c r="R6100" s="20">
        <v>6073</v>
      </c>
    </row>
    <row r="6101" spans="18:18" ht="14.25">
      <c r="R6101" s="20">
        <v>6074</v>
      </c>
    </row>
    <row r="6102" spans="18:18" ht="14.25">
      <c r="R6102" s="20">
        <v>6075</v>
      </c>
    </row>
    <row r="6103" spans="18:18" ht="14.25">
      <c r="R6103" s="20">
        <v>6076</v>
      </c>
    </row>
    <row r="6104" spans="18:18" ht="14.25">
      <c r="R6104" s="20">
        <v>6077</v>
      </c>
    </row>
    <row r="6105" spans="18:18" ht="14.25">
      <c r="R6105" s="20">
        <v>6078</v>
      </c>
    </row>
    <row r="6106" spans="18:18" ht="14.25">
      <c r="R6106" s="20">
        <v>6079</v>
      </c>
    </row>
    <row r="6107" spans="18:18" ht="14.25">
      <c r="R6107" s="20">
        <v>6080</v>
      </c>
    </row>
    <row r="6108" spans="18:18" ht="14.25">
      <c r="R6108" s="20">
        <v>6081</v>
      </c>
    </row>
    <row r="6109" spans="18:18" ht="14.25">
      <c r="R6109" s="20">
        <v>6082</v>
      </c>
    </row>
    <row r="6110" spans="18:18" ht="14.25">
      <c r="R6110" s="20">
        <v>6083</v>
      </c>
    </row>
    <row r="6111" spans="18:18" ht="14.25">
      <c r="R6111" s="20">
        <v>6084</v>
      </c>
    </row>
    <row r="6112" spans="18:18" ht="14.25">
      <c r="R6112" s="20">
        <v>6085</v>
      </c>
    </row>
    <row r="6113" spans="18:18" ht="14.25">
      <c r="R6113" s="20">
        <v>6086</v>
      </c>
    </row>
    <row r="6114" spans="18:18" ht="14.25">
      <c r="R6114" s="20">
        <v>6087</v>
      </c>
    </row>
    <row r="6115" spans="18:18" ht="14.25">
      <c r="R6115" s="20">
        <v>6088</v>
      </c>
    </row>
    <row r="6116" spans="18:18" ht="14.25">
      <c r="R6116" s="20">
        <v>6089</v>
      </c>
    </row>
    <row r="6117" spans="18:18" ht="14.25">
      <c r="R6117" s="20">
        <v>6090</v>
      </c>
    </row>
    <row r="6118" spans="18:18" ht="14.25">
      <c r="R6118" s="20">
        <v>6091</v>
      </c>
    </row>
    <row r="6119" spans="18:18" ht="14.25">
      <c r="R6119" s="20">
        <v>6092</v>
      </c>
    </row>
    <row r="6120" spans="18:18" ht="14.25">
      <c r="R6120" s="20">
        <v>6093</v>
      </c>
    </row>
    <row r="6121" spans="18:18" ht="14.25">
      <c r="R6121" s="20">
        <v>6094</v>
      </c>
    </row>
    <row r="6122" spans="18:18" ht="14.25">
      <c r="R6122" s="20">
        <v>6095</v>
      </c>
    </row>
    <row r="6123" spans="18:18" ht="14.25">
      <c r="R6123" s="20">
        <v>6096</v>
      </c>
    </row>
    <row r="6124" spans="18:18" ht="14.25">
      <c r="R6124" s="20">
        <v>6097</v>
      </c>
    </row>
    <row r="6125" spans="18:18" ht="14.25">
      <c r="R6125" s="20">
        <v>6098</v>
      </c>
    </row>
    <row r="6126" spans="18:18" ht="14.25">
      <c r="R6126" s="20">
        <v>6099</v>
      </c>
    </row>
    <row r="6127" spans="18:18" ht="14.25">
      <c r="R6127" s="20">
        <v>6100</v>
      </c>
    </row>
    <row r="6128" spans="18:18" ht="14.25">
      <c r="R6128" s="20">
        <v>6101</v>
      </c>
    </row>
    <row r="6129" spans="18:18" ht="14.25">
      <c r="R6129" s="20">
        <v>6102</v>
      </c>
    </row>
    <row r="6130" spans="18:18" ht="14.25">
      <c r="R6130" s="20">
        <v>6103</v>
      </c>
    </row>
    <row r="6131" spans="18:18" ht="14.25">
      <c r="R6131" s="20">
        <v>6104</v>
      </c>
    </row>
    <row r="6132" spans="18:18" ht="14.25">
      <c r="R6132" s="20">
        <v>6105</v>
      </c>
    </row>
    <row r="6133" spans="18:18" ht="14.25">
      <c r="R6133" s="20">
        <v>6106</v>
      </c>
    </row>
    <row r="6134" spans="18:18" ht="14.25">
      <c r="R6134" s="20">
        <v>6107</v>
      </c>
    </row>
    <row r="6135" spans="18:18" ht="14.25">
      <c r="R6135" s="20">
        <v>6108</v>
      </c>
    </row>
    <row r="6136" spans="18:18" ht="14.25">
      <c r="R6136" s="20">
        <v>6109</v>
      </c>
    </row>
    <row r="6137" spans="18:18" ht="14.25">
      <c r="R6137" s="20">
        <v>6110</v>
      </c>
    </row>
    <row r="6138" spans="18:18" ht="14.25">
      <c r="R6138" s="20">
        <v>6111</v>
      </c>
    </row>
    <row r="6139" spans="18:18" ht="14.25">
      <c r="R6139" s="20">
        <v>6112</v>
      </c>
    </row>
    <row r="6140" spans="18:18" ht="14.25">
      <c r="R6140" s="20">
        <v>6113</v>
      </c>
    </row>
    <row r="6141" spans="18:18" ht="14.25">
      <c r="R6141" s="20">
        <v>6114</v>
      </c>
    </row>
    <row r="6142" spans="18:18" ht="14.25">
      <c r="R6142" s="20">
        <v>6115</v>
      </c>
    </row>
    <row r="6143" spans="18:18" ht="14.25">
      <c r="R6143" s="20">
        <v>6116</v>
      </c>
    </row>
    <row r="6144" spans="18:18" ht="14.25">
      <c r="R6144" s="20">
        <v>6117</v>
      </c>
    </row>
    <row r="6145" spans="18:18" ht="14.25">
      <c r="R6145" s="20">
        <v>6118</v>
      </c>
    </row>
    <row r="6146" spans="18:18" ht="14.25">
      <c r="R6146" s="20">
        <v>6119</v>
      </c>
    </row>
    <row r="6147" spans="18:18" ht="14.25">
      <c r="R6147" s="20">
        <v>6120</v>
      </c>
    </row>
    <row r="6148" spans="18:18" ht="14.25">
      <c r="R6148" s="20">
        <v>6121</v>
      </c>
    </row>
    <row r="6149" spans="18:18" ht="14.25">
      <c r="R6149" s="20">
        <v>6122</v>
      </c>
    </row>
    <row r="6150" spans="18:18" ht="14.25">
      <c r="R6150" s="20">
        <v>6123</v>
      </c>
    </row>
    <row r="6151" spans="18:18" ht="14.25">
      <c r="R6151" s="20">
        <v>6124</v>
      </c>
    </row>
    <row r="6152" spans="18:18" ht="14.25">
      <c r="R6152" s="20">
        <v>6125</v>
      </c>
    </row>
    <row r="6153" spans="18:18" ht="14.25">
      <c r="R6153" s="20">
        <v>6126</v>
      </c>
    </row>
    <row r="6154" spans="18:18" ht="14.25">
      <c r="R6154" s="20">
        <v>6127</v>
      </c>
    </row>
    <row r="6155" spans="18:18" ht="14.25">
      <c r="R6155" s="20">
        <v>6128</v>
      </c>
    </row>
    <row r="6156" spans="18:18" ht="14.25">
      <c r="R6156" s="20">
        <v>6129</v>
      </c>
    </row>
    <row r="6157" spans="18:18" ht="14.25">
      <c r="R6157" s="20">
        <v>6130</v>
      </c>
    </row>
    <row r="6158" spans="18:18" ht="14.25">
      <c r="R6158" s="20">
        <v>6131</v>
      </c>
    </row>
    <row r="6159" spans="18:18" ht="14.25">
      <c r="R6159" s="20">
        <v>6132</v>
      </c>
    </row>
    <row r="6160" spans="18:18" ht="14.25">
      <c r="R6160" s="20">
        <v>6133</v>
      </c>
    </row>
    <row r="6161" spans="18:18" ht="14.25">
      <c r="R6161" s="20">
        <v>6134</v>
      </c>
    </row>
    <row r="6162" spans="18:18" ht="14.25">
      <c r="R6162" s="20">
        <v>6135</v>
      </c>
    </row>
    <row r="6163" spans="18:18" ht="14.25">
      <c r="R6163" s="20">
        <v>6136</v>
      </c>
    </row>
    <row r="6164" spans="18:18" ht="14.25">
      <c r="R6164" s="20">
        <v>6137</v>
      </c>
    </row>
    <row r="6165" spans="18:18" ht="14.25">
      <c r="R6165" s="20">
        <v>6138</v>
      </c>
    </row>
    <row r="6166" spans="18:18" ht="14.25">
      <c r="R6166" s="20">
        <v>6139</v>
      </c>
    </row>
    <row r="6167" spans="18:18" ht="14.25">
      <c r="R6167" s="20">
        <v>6140</v>
      </c>
    </row>
    <row r="6168" spans="18:18" ht="14.25">
      <c r="R6168" s="20">
        <v>6141</v>
      </c>
    </row>
    <row r="6169" spans="18:18" ht="14.25">
      <c r="R6169" s="20">
        <v>6142</v>
      </c>
    </row>
    <row r="6170" spans="18:18" ht="14.25">
      <c r="R6170" s="20">
        <v>6143</v>
      </c>
    </row>
    <row r="6171" spans="18:18" ht="14.25">
      <c r="R6171" s="20">
        <v>6144</v>
      </c>
    </row>
    <row r="6172" spans="18:18" ht="14.25">
      <c r="R6172" s="20">
        <v>6145</v>
      </c>
    </row>
    <row r="6173" spans="18:18" ht="14.25">
      <c r="R6173" s="20">
        <v>6146</v>
      </c>
    </row>
    <row r="6174" spans="18:18" ht="14.25">
      <c r="R6174" s="20">
        <v>6147</v>
      </c>
    </row>
    <row r="6175" spans="18:18" ht="14.25">
      <c r="R6175" s="20">
        <v>6148</v>
      </c>
    </row>
    <row r="6176" spans="18:18" ht="14.25">
      <c r="R6176" s="20">
        <v>6149</v>
      </c>
    </row>
    <row r="6177" spans="18:18" ht="14.25">
      <c r="R6177" s="20">
        <v>6150</v>
      </c>
    </row>
    <row r="6178" spans="18:18" ht="14.25">
      <c r="R6178" s="20">
        <v>6151</v>
      </c>
    </row>
    <row r="6179" spans="18:18" ht="14.25">
      <c r="R6179" s="20">
        <v>6152</v>
      </c>
    </row>
    <row r="6180" spans="18:18" ht="14.25">
      <c r="R6180" s="20">
        <v>6153</v>
      </c>
    </row>
    <row r="6181" spans="18:18" ht="14.25">
      <c r="R6181" s="20">
        <v>6154</v>
      </c>
    </row>
    <row r="6182" spans="18:18" ht="14.25">
      <c r="R6182" s="20">
        <v>6155</v>
      </c>
    </row>
    <row r="6183" spans="18:18" ht="14.25">
      <c r="R6183" s="20">
        <v>6156</v>
      </c>
    </row>
    <row r="6184" spans="18:18" ht="14.25">
      <c r="R6184" s="20">
        <v>6157</v>
      </c>
    </row>
    <row r="6185" spans="18:18" ht="14.25">
      <c r="R6185" s="20">
        <v>6158</v>
      </c>
    </row>
    <row r="6186" spans="18:18" ht="14.25">
      <c r="R6186" s="20">
        <v>6159</v>
      </c>
    </row>
    <row r="6187" spans="18:18" ht="14.25">
      <c r="R6187" s="20">
        <v>6160</v>
      </c>
    </row>
    <row r="6188" spans="18:18" ht="14.25">
      <c r="R6188" s="20">
        <v>6161</v>
      </c>
    </row>
    <row r="6189" spans="18:18" ht="14.25">
      <c r="R6189" s="20">
        <v>6162</v>
      </c>
    </row>
    <row r="6190" spans="18:18" ht="14.25">
      <c r="R6190" s="20">
        <v>6163</v>
      </c>
    </row>
    <row r="6191" spans="18:18" ht="14.25">
      <c r="R6191" s="20">
        <v>6164</v>
      </c>
    </row>
    <row r="6192" spans="18:18" ht="14.25">
      <c r="R6192" s="20">
        <v>6165</v>
      </c>
    </row>
    <row r="6193" spans="18:18" ht="14.25">
      <c r="R6193" s="20">
        <v>6166</v>
      </c>
    </row>
    <row r="6194" spans="18:18" ht="14.25">
      <c r="R6194" s="20">
        <v>6167</v>
      </c>
    </row>
    <row r="6195" spans="18:18" ht="14.25">
      <c r="R6195" s="20">
        <v>6168</v>
      </c>
    </row>
    <row r="6196" spans="18:18" ht="14.25">
      <c r="R6196" s="20">
        <v>6169</v>
      </c>
    </row>
    <row r="6197" spans="18:18" ht="14.25">
      <c r="R6197" s="20">
        <v>6170</v>
      </c>
    </row>
    <row r="6198" spans="18:18" ht="14.25">
      <c r="R6198" s="20">
        <v>6171</v>
      </c>
    </row>
    <row r="6199" spans="18:18" ht="14.25">
      <c r="R6199" s="20">
        <v>6172</v>
      </c>
    </row>
    <row r="6200" spans="18:18" ht="14.25">
      <c r="R6200" s="20">
        <v>6173</v>
      </c>
    </row>
    <row r="6201" spans="18:18" ht="14.25">
      <c r="R6201" s="20">
        <v>6174</v>
      </c>
    </row>
    <row r="6202" spans="18:18" ht="14.25">
      <c r="R6202" s="20">
        <v>6175</v>
      </c>
    </row>
    <row r="6203" spans="18:18" ht="14.25">
      <c r="R6203" s="20">
        <v>6176</v>
      </c>
    </row>
    <row r="6204" spans="18:18" ht="14.25">
      <c r="R6204" s="20">
        <v>6177</v>
      </c>
    </row>
    <row r="6205" spans="18:18" ht="14.25">
      <c r="R6205" s="20">
        <v>6178</v>
      </c>
    </row>
    <row r="6206" spans="18:18" ht="14.25">
      <c r="R6206" s="20">
        <v>6179</v>
      </c>
    </row>
    <row r="6207" spans="18:18" ht="14.25">
      <c r="R6207" s="20">
        <v>6180</v>
      </c>
    </row>
    <row r="6208" spans="18:18" ht="14.25">
      <c r="R6208" s="20">
        <v>6181</v>
      </c>
    </row>
    <row r="6209" spans="18:18" ht="14.25">
      <c r="R6209" s="20">
        <v>6182</v>
      </c>
    </row>
    <row r="6210" spans="18:18" ht="14.25">
      <c r="R6210" s="20">
        <v>6183</v>
      </c>
    </row>
    <row r="6211" spans="18:18" ht="14.25">
      <c r="R6211" s="20">
        <v>6184</v>
      </c>
    </row>
    <row r="6212" spans="18:18" ht="14.25">
      <c r="R6212" s="20">
        <v>6185</v>
      </c>
    </row>
    <row r="6213" spans="18:18" ht="14.25">
      <c r="R6213" s="20">
        <v>6186</v>
      </c>
    </row>
    <row r="6214" spans="18:18" ht="14.25">
      <c r="R6214" s="20">
        <v>6187</v>
      </c>
    </row>
    <row r="6215" spans="18:18" ht="14.25">
      <c r="R6215" s="20">
        <v>6188</v>
      </c>
    </row>
    <row r="6216" spans="18:18" ht="14.25">
      <c r="R6216" s="20">
        <v>6189</v>
      </c>
    </row>
    <row r="6217" spans="18:18" ht="14.25">
      <c r="R6217" s="20">
        <v>6190</v>
      </c>
    </row>
    <row r="6218" spans="18:18" ht="14.25">
      <c r="R6218" s="20">
        <v>6191</v>
      </c>
    </row>
    <row r="6219" spans="18:18" ht="14.25">
      <c r="R6219" s="20">
        <v>6192</v>
      </c>
    </row>
    <row r="6220" spans="18:18" ht="14.25">
      <c r="R6220" s="20">
        <v>6193</v>
      </c>
    </row>
    <row r="6221" spans="18:18" ht="14.25">
      <c r="R6221" s="20">
        <v>6194</v>
      </c>
    </row>
    <row r="6222" spans="18:18" ht="14.25">
      <c r="R6222" s="20">
        <v>6195</v>
      </c>
    </row>
    <row r="6223" spans="18:18" ht="14.25">
      <c r="R6223" s="20">
        <v>6196</v>
      </c>
    </row>
    <row r="6224" spans="18:18" ht="14.25">
      <c r="R6224" s="20">
        <v>6197</v>
      </c>
    </row>
    <row r="6225" spans="18:18" ht="14.25">
      <c r="R6225" s="20">
        <v>6198</v>
      </c>
    </row>
    <row r="6226" spans="18:18" ht="14.25">
      <c r="R6226" s="20">
        <v>6199</v>
      </c>
    </row>
    <row r="6227" spans="18:18" ht="14.25">
      <c r="R6227" s="20">
        <v>6200</v>
      </c>
    </row>
    <row r="6228" spans="18:18" ht="14.25">
      <c r="R6228" s="20">
        <v>6201</v>
      </c>
    </row>
    <row r="6229" spans="18:18" ht="14.25">
      <c r="R6229" s="20">
        <v>6202</v>
      </c>
    </row>
    <row r="6230" spans="18:18" ht="14.25">
      <c r="R6230" s="20">
        <v>6203</v>
      </c>
    </row>
    <row r="6231" spans="18:18" ht="14.25">
      <c r="R6231" s="20">
        <v>6204</v>
      </c>
    </row>
    <row r="6232" spans="18:18" ht="14.25">
      <c r="R6232" s="20">
        <v>6205</v>
      </c>
    </row>
    <row r="6233" spans="18:18" ht="14.25">
      <c r="R6233" s="20">
        <v>6206</v>
      </c>
    </row>
    <row r="6234" spans="18:18" ht="14.25">
      <c r="R6234" s="20">
        <v>6207</v>
      </c>
    </row>
    <row r="6235" spans="18:18" ht="14.25">
      <c r="R6235" s="20">
        <v>6208</v>
      </c>
    </row>
    <row r="6236" spans="18:18" ht="14.25">
      <c r="R6236" s="20">
        <v>6209</v>
      </c>
    </row>
    <row r="6237" spans="18:18" ht="14.25">
      <c r="R6237" s="20">
        <v>6210</v>
      </c>
    </row>
    <row r="6238" spans="18:18" ht="14.25">
      <c r="R6238" s="20">
        <v>6211</v>
      </c>
    </row>
    <row r="6239" spans="18:18" ht="14.25">
      <c r="R6239" s="20">
        <v>6212</v>
      </c>
    </row>
    <row r="6240" spans="18:18" ht="14.25">
      <c r="R6240" s="20">
        <v>6213</v>
      </c>
    </row>
    <row r="6241" spans="18:18" ht="14.25">
      <c r="R6241" s="20">
        <v>6214</v>
      </c>
    </row>
    <row r="6242" spans="18:18" ht="14.25">
      <c r="R6242" s="20">
        <v>6215</v>
      </c>
    </row>
    <row r="6243" spans="18:18" ht="14.25">
      <c r="R6243" s="20">
        <v>6216</v>
      </c>
    </row>
    <row r="6244" spans="18:18" ht="14.25">
      <c r="R6244" s="20">
        <v>6217</v>
      </c>
    </row>
    <row r="6245" spans="18:18" ht="14.25">
      <c r="R6245" s="20">
        <v>6218</v>
      </c>
    </row>
    <row r="6246" spans="18:18" ht="14.25">
      <c r="R6246" s="20">
        <v>6219</v>
      </c>
    </row>
    <row r="6247" spans="18:18" ht="14.25">
      <c r="R6247" s="20">
        <v>6220</v>
      </c>
    </row>
    <row r="6248" spans="18:18" ht="14.25">
      <c r="R6248" s="20">
        <v>6221</v>
      </c>
    </row>
    <row r="6249" spans="18:18" ht="14.25">
      <c r="R6249" s="20">
        <v>6222</v>
      </c>
    </row>
    <row r="6250" spans="18:18" ht="14.25">
      <c r="R6250" s="20">
        <v>6223</v>
      </c>
    </row>
    <row r="6251" spans="18:18" ht="14.25">
      <c r="R6251" s="20">
        <v>6224</v>
      </c>
    </row>
    <row r="6252" spans="18:18" ht="14.25">
      <c r="R6252" s="20">
        <v>6225</v>
      </c>
    </row>
    <row r="6253" spans="18:18" ht="14.25">
      <c r="R6253" s="20">
        <v>6226</v>
      </c>
    </row>
    <row r="6254" spans="18:18" ht="14.25">
      <c r="R6254" s="20">
        <v>6227</v>
      </c>
    </row>
    <row r="6255" spans="18:18" ht="14.25">
      <c r="R6255" s="20">
        <v>6228</v>
      </c>
    </row>
    <row r="6256" spans="18:18" ht="14.25">
      <c r="R6256" s="20">
        <v>6229</v>
      </c>
    </row>
    <row r="6257" spans="18:18" ht="14.25">
      <c r="R6257" s="20">
        <v>6230</v>
      </c>
    </row>
    <row r="6258" spans="18:18" ht="14.25">
      <c r="R6258" s="20">
        <v>6231</v>
      </c>
    </row>
    <row r="6259" spans="18:18" ht="14.25">
      <c r="R6259" s="20">
        <v>6232</v>
      </c>
    </row>
    <row r="6260" spans="18:18" ht="14.25">
      <c r="R6260" s="20">
        <v>6233</v>
      </c>
    </row>
    <row r="6261" spans="18:18" ht="14.25">
      <c r="R6261" s="20">
        <v>6234</v>
      </c>
    </row>
    <row r="6262" spans="18:18" ht="14.25">
      <c r="R6262" s="20">
        <v>6235</v>
      </c>
    </row>
    <row r="6263" spans="18:18" ht="14.25">
      <c r="R6263" s="20">
        <v>6236</v>
      </c>
    </row>
    <row r="6264" spans="18:18" ht="14.25">
      <c r="R6264" s="20">
        <v>6237</v>
      </c>
    </row>
    <row r="6265" spans="18:18" ht="14.25">
      <c r="R6265" s="20">
        <v>6238</v>
      </c>
    </row>
    <row r="6266" spans="18:18" ht="14.25">
      <c r="R6266" s="20">
        <v>6239</v>
      </c>
    </row>
    <row r="6267" spans="18:18" ht="14.25">
      <c r="R6267" s="20">
        <v>6240</v>
      </c>
    </row>
    <row r="6268" spans="18:18" ht="14.25">
      <c r="R6268" s="20">
        <v>6241</v>
      </c>
    </row>
    <row r="6269" spans="18:18" ht="14.25">
      <c r="R6269" s="20">
        <v>6242</v>
      </c>
    </row>
    <row r="6270" spans="18:18" ht="14.25">
      <c r="R6270" s="20">
        <v>6243</v>
      </c>
    </row>
    <row r="6271" spans="18:18" ht="14.25">
      <c r="R6271" s="20">
        <v>6244</v>
      </c>
    </row>
    <row r="6272" spans="18:18" ht="14.25">
      <c r="R6272" s="20">
        <v>6245</v>
      </c>
    </row>
    <row r="6273" spans="18:18" ht="14.25">
      <c r="R6273" s="20">
        <v>6246</v>
      </c>
    </row>
    <row r="6274" spans="18:18" ht="14.25">
      <c r="R6274" s="20">
        <v>6247</v>
      </c>
    </row>
    <row r="6275" spans="18:18" ht="14.25">
      <c r="R6275" s="20">
        <v>6248</v>
      </c>
    </row>
    <row r="6276" spans="18:18" ht="14.25">
      <c r="R6276" s="20">
        <v>6249</v>
      </c>
    </row>
    <row r="6277" spans="18:18" ht="14.25">
      <c r="R6277" s="20">
        <v>6250</v>
      </c>
    </row>
    <row r="6278" spans="18:18" ht="14.25">
      <c r="R6278" s="20">
        <v>6251</v>
      </c>
    </row>
    <row r="6279" spans="18:18" ht="14.25">
      <c r="R6279" s="20">
        <v>6252</v>
      </c>
    </row>
    <row r="6280" spans="18:18" ht="14.25">
      <c r="R6280" s="20">
        <v>6253</v>
      </c>
    </row>
    <row r="6281" spans="18:18" ht="14.25">
      <c r="R6281" s="20">
        <v>6254</v>
      </c>
    </row>
    <row r="6282" spans="18:18" ht="14.25">
      <c r="R6282" s="20">
        <v>6255</v>
      </c>
    </row>
    <row r="6283" spans="18:18" ht="14.25">
      <c r="R6283" s="20">
        <v>6256</v>
      </c>
    </row>
    <row r="6284" spans="18:18" ht="14.25">
      <c r="R6284" s="20">
        <v>6257</v>
      </c>
    </row>
    <row r="6285" spans="18:18" ht="14.25">
      <c r="R6285" s="20">
        <v>6258</v>
      </c>
    </row>
    <row r="6286" spans="18:18" ht="14.25">
      <c r="R6286" s="20">
        <v>6259</v>
      </c>
    </row>
    <row r="6287" spans="18:18" ht="14.25">
      <c r="R6287" s="20">
        <v>6260</v>
      </c>
    </row>
    <row r="6288" spans="18:18" ht="14.25">
      <c r="R6288" s="20">
        <v>6261</v>
      </c>
    </row>
    <row r="6289" spans="18:18" ht="14.25">
      <c r="R6289" s="20">
        <v>6262</v>
      </c>
    </row>
    <row r="6290" spans="18:18" ht="14.25">
      <c r="R6290" s="20">
        <v>6263</v>
      </c>
    </row>
    <row r="6291" spans="18:18" ht="14.25">
      <c r="R6291" s="20">
        <v>6264</v>
      </c>
    </row>
    <row r="6292" spans="18:18" ht="14.25">
      <c r="R6292" s="20">
        <v>6265</v>
      </c>
    </row>
    <row r="6293" spans="18:18" ht="14.25">
      <c r="R6293" s="20">
        <v>6266</v>
      </c>
    </row>
    <row r="6294" spans="18:18" ht="14.25">
      <c r="R6294" s="20">
        <v>6267</v>
      </c>
    </row>
    <row r="6295" spans="18:18" ht="14.25">
      <c r="R6295" s="20">
        <v>6268</v>
      </c>
    </row>
    <row r="6296" spans="18:18" ht="14.25">
      <c r="R6296" s="20">
        <v>6269</v>
      </c>
    </row>
    <row r="6297" spans="18:18" ht="14.25">
      <c r="R6297" s="20">
        <v>6270</v>
      </c>
    </row>
    <row r="6298" spans="18:18" ht="14.25">
      <c r="R6298" s="20">
        <v>6271</v>
      </c>
    </row>
    <row r="6299" spans="18:18" ht="14.25">
      <c r="R6299" s="20">
        <v>6272</v>
      </c>
    </row>
    <row r="6300" spans="18:18" ht="14.25">
      <c r="R6300" s="20">
        <v>6273</v>
      </c>
    </row>
    <row r="6301" spans="18:18" ht="14.25">
      <c r="R6301" s="20">
        <v>6274</v>
      </c>
    </row>
    <row r="6302" spans="18:18" ht="14.25">
      <c r="R6302" s="20">
        <v>6275</v>
      </c>
    </row>
    <row r="6303" spans="18:18" ht="14.25">
      <c r="R6303" s="20">
        <v>6276</v>
      </c>
    </row>
    <row r="6304" spans="18:18" ht="14.25">
      <c r="R6304" s="20">
        <v>6277</v>
      </c>
    </row>
    <row r="6305" spans="18:18" ht="14.25">
      <c r="R6305" s="20">
        <v>6278</v>
      </c>
    </row>
    <row r="6306" spans="18:18" ht="14.25">
      <c r="R6306" s="20">
        <v>6279</v>
      </c>
    </row>
    <row r="6307" spans="18:18" ht="14.25">
      <c r="R6307" s="20">
        <v>6280</v>
      </c>
    </row>
    <row r="6308" spans="18:18" ht="14.25">
      <c r="R6308" s="20">
        <v>6281</v>
      </c>
    </row>
    <row r="6309" spans="18:18" ht="14.25">
      <c r="R6309" s="20">
        <v>6282</v>
      </c>
    </row>
    <row r="6310" spans="18:18" ht="14.25">
      <c r="R6310" s="20">
        <v>6283</v>
      </c>
    </row>
    <row r="6311" spans="18:18" ht="14.25">
      <c r="R6311" s="20">
        <v>6284</v>
      </c>
    </row>
    <row r="6312" spans="18:18" ht="14.25">
      <c r="R6312" s="20">
        <v>6285</v>
      </c>
    </row>
    <row r="6313" spans="18:18" ht="14.25">
      <c r="R6313" s="20">
        <v>6286</v>
      </c>
    </row>
    <row r="6314" spans="18:18" ht="14.25">
      <c r="R6314" s="20">
        <v>6287</v>
      </c>
    </row>
    <row r="6315" spans="18:18" ht="14.25">
      <c r="R6315" s="20">
        <v>6288</v>
      </c>
    </row>
    <row r="6316" spans="18:18" ht="14.25">
      <c r="R6316" s="20">
        <v>6289</v>
      </c>
    </row>
    <row r="6317" spans="18:18" ht="14.25">
      <c r="R6317" s="20">
        <v>6290</v>
      </c>
    </row>
    <row r="6318" spans="18:18" ht="14.25">
      <c r="R6318" s="20">
        <v>6291</v>
      </c>
    </row>
    <row r="6319" spans="18:18" ht="14.25">
      <c r="R6319" s="20">
        <v>6292</v>
      </c>
    </row>
    <row r="6320" spans="18:18" ht="14.25">
      <c r="R6320" s="20">
        <v>6293</v>
      </c>
    </row>
    <row r="6321" spans="18:18" ht="14.25">
      <c r="R6321" s="20">
        <v>6294</v>
      </c>
    </row>
    <row r="6322" spans="18:18" ht="14.25">
      <c r="R6322" s="20">
        <v>6295</v>
      </c>
    </row>
    <row r="6323" spans="18:18" ht="14.25">
      <c r="R6323" s="20">
        <v>6296</v>
      </c>
    </row>
    <row r="6324" spans="18:18" ht="14.25">
      <c r="R6324" s="20">
        <v>6297</v>
      </c>
    </row>
    <row r="6325" spans="18:18" ht="14.25">
      <c r="R6325" s="20">
        <v>6298</v>
      </c>
    </row>
    <row r="6326" spans="18:18" ht="14.25">
      <c r="R6326" s="20">
        <v>6299</v>
      </c>
    </row>
    <row r="6327" spans="18:18" ht="14.25">
      <c r="R6327" s="20">
        <v>6300</v>
      </c>
    </row>
    <row r="6328" spans="18:18" ht="14.25">
      <c r="R6328" s="20">
        <v>6301</v>
      </c>
    </row>
    <row r="6329" spans="18:18" ht="14.25">
      <c r="R6329" s="20">
        <v>6302</v>
      </c>
    </row>
    <row r="6330" spans="18:18" ht="14.25">
      <c r="R6330" s="20">
        <v>6303</v>
      </c>
    </row>
    <row r="6331" spans="18:18" ht="14.25">
      <c r="R6331" s="20">
        <v>6304</v>
      </c>
    </row>
    <row r="6332" spans="18:18" ht="14.25">
      <c r="R6332" s="20">
        <v>6305</v>
      </c>
    </row>
    <row r="6333" spans="18:18" ht="14.25">
      <c r="R6333" s="20">
        <v>6306</v>
      </c>
    </row>
    <row r="6334" spans="18:18" ht="14.25">
      <c r="R6334" s="20">
        <v>6307</v>
      </c>
    </row>
    <row r="6335" spans="18:18" ht="14.25">
      <c r="R6335" s="20">
        <v>6308</v>
      </c>
    </row>
    <row r="6336" spans="18:18" ht="14.25">
      <c r="R6336" s="20">
        <v>6309</v>
      </c>
    </row>
    <row r="6337" spans="18:18" ht="14.25">
      <c r="R6337" s="20">
        <v>6310</v>
      </c>
    </row>
    <row r="6338" spans="18:18" ht="14.25">
      <c r="R6338" s="20">
        <v>6311</v>
      </c>
    </row>
    <row r="6339" spans="18:18" ht="14.25">
      <c r="R6339" s="20">
        <v>6312</v>
      </c>
    </row>
    <row r="6340" spans="18:18" ht="14.25">
      <c r="R6340" s="20">
        <v>6313</v>
      </c>
    </row>
    <row r="6341" spans="18:18" ht="14.25">
      <c r="R6341" s="20">
        <v>6314</v>
      </c>
    </row>
    <row r="6342" spans="18:18" ht="14.25">
      <c r="R6342" s="20">
        <v>6315</v>
      </c>
    </row>
    <row r="6343" spans="18:18" ht="14.25">
      <c r="R6343" s="20">
        <v>6316</v>
      </c>
    </row>
    <row r="6344" spans="18:18" ht="14.25">
      <c r="R6344" s="20">
        <v>6317</v>
      </c>
    </row>
    <row r="6345" spans="18:18" ht="14.25">
      <c r="R6345" s="20">
        <v>6318</v>
      </c>
    </row>
    <row r="6346" spans="18:18" ht="14.25">
      <c r="R6346" s="20">
        <v>6319</v>
      </c>
    </row>
    <row r="6347" spans="18:18" ht="14.25">
      <c r="R6347" s="20">
        <v>6320</v>
      </c>
    </row>
    <row r="6348" spans="18:18" ht="14.25">
      <c r="R6348" s="20">
        <v>6321</v>
      </c>
    </row>
    <row r="6349" spans="18:18" ht="14.25">
      <c r="R6349" s="20">
        <v>6322</v>
      </c>
    </row>
    <row r="6350" spans="18:18" ht="14.25">
      <c r="R6350" s="20">
        <v>6323</v>
      </c>
    </row>
    <row r="6351" spans="18:18" ht="14.25">
      <c r="R6351" s="20">
        <v>6324</v>
      </c>
    </row>
    <row r="6352" spans="18:18" ht="14.25">
      <c r="R6352" s="20">
        <v>6325</v>
      </c>
    </row>
    <row r="6353" spans="18:18" ht="14.25">
      <c r="R6353" s="20">
        <v>6326</v>
      </c>
    </row>
    <row r="6354" spans="18:18" ht="14.25">
      <c r="R6354" s="20">
        <v>6327</v>
      </c>
    </row>
    <row r="6355" spans="18:18" ht="14.25">
      <c r="R6355" s="20">
        <v>6328</v>
      </c>
    </row>
    <row r="6356" spans="18:18" ht="14.25">
      <c r="R6356" s="20">
        <v>6329</v>
      </c>
    </row>
    <row r="6357" spans="18:18" ht="14.25">
      <c r="R6357" s="20">
        <v>6330</v>
      </c>
    </row>
    <row r="6358" spans="18:18" ht="14.25">
      <c r="R6358" s="20">
        <v>6331</v>
      </c>
    </row>
    <row r="6359" spans="18:18" ht="14.25">
      <c r="R6359" s="20">
        <v>6332</v>
      </c>
    </row>
    <row r="6360" spans="18:18" ht="14.25">
      <c r="R6360" s="20">
        <v>6333</v>
      </c>
    </row>
    <row r="6361" spans="18:18" ht="14.25">
      <c r="R6361" s="20">
        <v>6334</v>
      </c>
    </row>
    <row r="6362" spans="18:18" ht="14.25">
      <c r="R6362" s="20">
        <v>6335</v>
      </c>
    </row>
    <row r="6363" spans="18:18" ht="14.25">
      <c r="R6363" s="20">
        <v>6336</v>
      </c>
    </row>
    <row r="6364" spans="18:18" ht="14.25">
      <c r="R6364" s="20">
        <v>6337</v>
      </c>
    </row>
    <row r="6365" spans="18:18" ht="14.25">
      <c r="R6365" s="20">
        <v>6338</v>
      </c>
    </row>
    <row r="6366" spans="18:18" ht="14.25">
      <c r="R6366" s="20">
        <v>6339</v>
      </c>
    </row>
    <row r="6367" spans="18:18" ht="14.25">
      <c r="R6367" s="20">
        <v>6340</v>
      </c>
    </row>
    <row r="6368" spans="18:18" ht="14.25">
      <c r="R6368" s="20">
        <v>6341</v>
      </c>
    </row>
    <row r="6369" spans="18:18" ht="14.25">
      <c r="R6369" s="20">
        <v>6342</v>
      </c>
    </row>
    <row r="6370" spans="18:18" ht="14.25">
      <c r="R6370" s="20">
        <v>6343</v>
      </c>
    </row>
    <row r="6371" spans="18:18" ht="14.25">
      <c r="R6371" s="20">
        <v>6344</v>
      </c>
    </row>
    <row r="6372" spans="18:18" ht="14.25">
      <c r="R6372" s="20">
        <v>6345</v>
      </c>
    </row>
    <row r="6373" spans="18:18" ht="14.25">
      <c r="R6373" s="20">
        <v>6346</v>
      </c>
    </row>
    <row r="6374" spans="18:18" ht="14.25">
      <c r="R6374" s="20">
        <v>6347</v>
      </c>
    </row>
    <row r="6375" spans="18:18" ht="14.25">
      <c r="R6375" s="20">
        <v>6348</v>
      </c>
    </row>
    <row r="6376" spans="18:18" ht="14.25">
      <c r="R6376" s="20">
        <v>6349</v>
      </c>
    </row>
    <row r="6377" spans="18:18" ht="14.25">
      <c r="R6377" s="20">
        <v>6350</v>
      </c>
    </row>
    <row r="6378" spans="18:18" ht="14.25">
      <c r="R6378" s="20">
        <v>6351</v>
      </c>
    </row>
    <row r="6379" spans="18:18" ht="14.25">
      <c r="R6379" s="20">
        <v>6352</v>
      </c>
    </row>
    <row r="6380" spans="18:18" ht="14.25">
      <c r="R6380" s="20">
        <v>6353</v>
      </c>
    </row>
    <row r="6381" spans="18:18" ht="14.25">
      <c r="R6381" s="20">
        <v>6354</v>
      </c>
    </row>
    <row r="6382" spans="18:18" ht="14.25">
      <c r="R6382" s="20">
        <v>6355</v>
      </c>
    </row>
    <row r="6383" spans="18:18" ht="14.25">
      <c r="R6383" s="20">
        <v>6356</v>
      </c>
    </row>
    <row r="6384" spans="18:18" ht="14.25">
      <c r="R6384" s="20">
        <v>6357</v>
      </c>
    </row>
    <row r="6385" spans="18:18" ht="14.25">
      <c r="R6385" s="20">
        <v>6358</v>
      </c>
    </row>
    <row r="6386" spans="18:18" ht="14.25">
      <c r="R6386" s="20">
        <v>6359</v>
      </c>
    </row>
    <row r="6387" spans="18:18" ht="14.25">
      <c r="R6387" s="20">
        <v>6360</v>
      </c>
    </row>
    <row r="6388" spans="18:18" ht="14.25">
      <c r="R6388" s="20">
        <v>6361</v>
      </c>
    </row>
    <row r="6389" spans="18:18" ht="14.25">
      <c r="R6389" s="20">
        <v>6362</v>
      </c>
    </row>
    <row r="6390" spans="18:18" ht="14.25">
      <c r="R6390" s="20">
        <v>6363</v>
      </c>
    </row>
    <row r="6391" spans="18:18" ht="14.25">
      <c r="R6391" s="20">
        <v>6364</v>
      </c>
    </row>
    <row r="6392" spans="18:18" ht="14.25">
      <c r="R6392" s="20">
        <v>6365</v>
      </c>
    </row>
    <row r="6393" spans="18:18" ht="14.25">
      <c r="R6393" s="20">
        <v>6366</v>
      </c>
    </row>
    <row r="6394" spans="18:18" ht="14.25">
      <c r="R6394" s="20">
        <v>6367</v>
      </c>
    </row>
    <row r="6395" spans="18:18" ht="14.25">
      <c r="R6395" s="20">
        <v>6368</v>
      </c>
    </row>
    <row r="6396" spans="18:18" ht="14.25">
      <c r="R6396" s="20">
        <v>6369</v>
      </c>
    </row>
    <row r="6397" spans="18:18" ht="14.25">
      <c r="R6397" s="20">
        <v>6370</v>
      </c>
    </row>
    <row r="6398" spans="18:18" ht="14.25">
      <c r="R6398" s="20">
        <v>6371</v>
      </c>
    </row>
    <row r="6399" spans="18:18" ht="14.25">
      <c r="R6399" s="20">
        <v>6372</v>
      </c>
    </row>
    <row r="6400" spans="18:18" ht="14.25">
      <c r="R6400" s="20">
        <v>6373</v>
      </c>
    </row>
    <row r="6401" spans="18:18" ht="14.25">
      <c r="R6401" s="20">
        <v>6374</v>
      </c>
    </row>
    <row r="6402" spans="18:18" ht="14.25">
      <c r="R6402" s="20">
        <v>6375</v>
      </c>
    </row>
    <row r="6403" spans="18:18" ht="14.25">
      <c r="R6403" s="20">
        <v>6376</v>
      </c>
    </row>
    <row r="6404" spans="18:18" ht="14.25">
      <c r="R6404" s="20">
        <v>6377</v>
      </c>
    </row>
    <row r="6405" spans="18:18" ht="14.25">
      <c r="R6405" s="20">
        <v>6378</v>
      </c>
    </row>
    <row r="6406" spans="18:18" ht="14.25">
      <c r="R6406" s="20">
        <v>6379</v>
      </c>
    </row>
    <row r="6407" spans="18:18" ht="14.25">
      <c r="R6407" s="20">
        <v>6380</v>
      </c>
    </row>
    <row r="6408" spans="18:18" ht="14.25">
      <c r="R6408" s="20">
        <v>6381</v>
      </c>
    </row>
    <row r="6409" spans="18:18" ht="14.25">
      <c r="R6409" s="20">
        <v>6382</v>
      </c>
    </row>
    <row r="6410" spans="18:18" ht="14.25">
      <c r="R6410" s="20">
        <v>6383</v>
      </c>
    </row>
    <row r="6411" spans="18:18" ht="14.25">
      <c r="R6411" s="20">
        <v>6384</v>
      </c>
    </row>
    <row r="6412" spans="18:18" ht="14.25">
      <c r="R6412" s="20">
        <v>6385</v>
      </c>
    </row>
    <row r="6413" spans="18:18" ht="14.25">
      <c r="R6413" s="20">
        <v>6386</v>
      </c>
    </row>
    <row r="6414" spans="18:18" ht="14.25">
      <c r="R6414" s="20">
        <v>6387</v>
      </c>
    </row>
    <row r="6415" spans="18:18" ht="14.25">
      <c r="R6415" s="20">
        <v>6388</v>
      </c>
    </row>
    <row r="6416" spans="18:18" ht="14.25">
      <c r="R6416" s="20">
        <v>6389</v>
      </c>
    </row>
    <row r="6417" spans="18:18" ht="14.25">
      <c r="R6417" s="20">
        <v>6390</v>
      </c>
    </row>
    <row r="6418" spans="18:18" ht="14.25">
      <c r="R6418" s="20">
        <v>6391</v>
      </c>
    </row>
    <row r="6419" spans="18:18" ht="14.25">
      <c r="R6419" s="20">
        <v>6392</v>
      </c>
    </row>
    <row r="6420" spans="18:18" ht="14.25">
      <c r="R6420" s="20">
        <v>6393</v>
      </c>
    </row>
    <row r="6421" spans="18:18" ht="14.25">
      <c r="R6421" s="20">
        <v>6394</v>
      </c>
    </row>
    <row r="6422" spans="18:18" ht="14.25">
      <c r="R6422" s="20">
        <v>6395</v>
      </c>
    </row>
    <row r="6423" spans="18:18" ht="14.25">
      <c r="R6423" s="20">
        <v>6396</v>
      </c>
    </row>
    <row r="6424" spans="18:18" ht="14.25">
      <c r="R6424" s="20">
        <v>6397</v>
      </c>
    </row>
    <row r="6425" spans="18:18" ht="14.25">
      <c r="R6425" s="20">
        <v>6398</v>
      </c>
    </row>
    <row r="6426" spans="18:18" ht="14.25">
      <c r="R6426" s="20">
        <v>6399</v>
      </c>
    </row>
    <row r="6427" spans="18:18" ht="14.25">
      <c r="R6427" s="20">
        <v>6400</v>
      </c>
    </row>
    <row r="6428" spans="18:18" ht="14.25">
      <c r="R6428" s="20">
        <v>6401</v>
      </c>
    </row>
    <row r="6429" spans="18:18" ht="14.25">
      <c r="R6429" s="20">
        <v>6402</v>
      </c>
    </row>
    <row r="6430" spans="18:18" ht="14.25">
      <c r="R6430" s="20">
        <v>6403</v>
      </c>
    </row>
    <row r="6431" spans="18:18" ht="14.25">
      <c r="R6431" s="20">
        <v>6404</v>
      </c>
    </row>
    <row r="6432" spans="18:18" ht="14.25">
      <c r="R6432" s="20">
        <v>6405</v>
      </c>
    </row>
    <row r="6433" spans="18:18" ht="14.25">
      <c r="R6433" s="20">
        <v>6406</v>
      </c>
    </row>
    <row r="6434" spans="18:18" ht="14.25">
      <c r="R6434" s="20">
        <v>6407</v>
      </c>
    </row>
    <row r="6435" spans="18:18" ht="14.25">
      <c r="R6435" s="20">
        <v>6408</v>
      </c>
    </row>
    <row r="6436" spans="18:18" ht="14.25">
      <c r="R6436" s="20">
        <v>6409</v>
      </c>
    </row>
    <row r="6437" spans="18:18" ht="14.25">
      <c r="R6437" s="20">
        <v>6410</v>
      </c>
    </row>
    <row r="6438" spans="18:18" ht="14.25">
      <c r="R6438" s="20">
        <v>6411</v>
      </c>
    </row>
    <row r="6439" spans="18:18" ht="14.25">
      <c r="R6439" s="20">
        <v>6412</v>
      </c>
    </row>
    <row r="6440" spans="18:18" ht="14.25">
      <c r="R6440" s="20">
        <v>6413</v>
      </c>
    </row>
    <row r="6441" spans="18:18" ht="14.25">
      <c r="R6441" s="20">
        <v>6414</v>
      </c>
    </row>
    <row r="6442" spans="18:18" ht="14.25">
      <c r="R6442" s="20">
        <v>6415</v>
      </c>
    </row>
    <row r="6443" spans="18:18" ht="14.25">
      <c r="R6443" s="20">
        <v>6416</v>
      </c>
    </row>
    <row r="6444" spans="18:18" ht="14.25">
      <c r="R6444" s="20">
        <v>6417</v>
      </c>
    </row>
    <row r="6445" spans="18:18" ht="14.25">
      <c r="R6445" s="20">
        <v>6418</v>
      </c>
    </row>
    <row r="6446" spans="18:18" ht="14.25">
      <c r="R6446" s="20">
        <v>6419</v>
      </c>
    </row>
    <row r="6447" spans="18:18" ht="14.25">
      <c r="R6447" s="20">
        <v>6420</v>
      </c>
    </row>
    <row r="6448" spans="18:18" ht="14.25">
      <c r="R6448" s="20">
        <v>6421</v>
      </c>
    </row>
    <row r="6449" spans="18:18" ht="14.25">
      <c r="R6449" s="20">
        <v>6422</v>
      </c>
    </row>
    <row r="6450" spans="18:18" ht="14.25">
      <c r="R6450" s="20">
        <v>6423</v>
      </c>
    </row>
    <row r="6451" spans="18:18" ht="14.25">
      <c r="R6451" s="20">
        <v>6424</v>
      </c>
    </row>
    <row r="6452" spans="18:18" ht="14.25">
      <c r="R6452" s="20">
        <v>6425</v>
      </c>
    </row>
    <row r="6453" spans="18:18" ht="14.25">
      <c r="R6453" s="20">
        <v>6426</v>
      </c>
    </row>
    <row r="6454" spans="18:18" ht="14.25">
      <c r="R6454" s="20">
        <v>6427</v>
      </c>
    </row>
    <row r="6455" spans="18:18" ht="14.25">
      <c r="R6455" s="20">
        <v>6428</v>
      </c>
    </row>
    <row r="6456" spans="18:18" ht="14.25">
      <c r="R6456" s="20">
        <v>6429</v>
      </c>
    </row>
    <row r="6457" spans="18:18" ht="14.25">
      <c r="R6457" s="20">
        <v>6430</v>
      </c>
    </row>
    <row r="6458" spans="18:18" ht="14.25">
      <c r="R6458" s="20">
        <v>6431</v>
      </c>
    </row>
    <row r="6459" spans="18:18" ht="14.25">
      <c r="R6459" s="20">
        <v>6432</v>
      </c>
    </row>
    <row r="6460" spans="18:18" ht="14.25">
      <c r="R6460" s="20">
        <v>6433</v>
      </c>
    </row>
    <row r="6461" spans="18:18" ht="14.25">
      <c r="R6461" s="20">
        <v>6434</v>
      </c>
    </row>
    <row r="6462" spans="18:18" ht="14.25">
      <c r="R6462" s="20">
        <v>6435</v>
      </c>
    </row>
    <row r="6463" spans="18:18" ht="14.25">
      <c r="R6463" s="20">
        <v>6436</v>
      </c>
    </row>
    <row r="6464" spans="18:18" ht="14.25">
      <c r="R6464" s="20">
        <v>6437</v>
      </c>
    </row>
    <row r="6465" spans="18:18" ht="14.25">
      <c r="R6465" s="20">
        <v>6438</v>
      </c>
    </row>
    <row r="6466" spans="18:18" ht="14.25">
      <c r="R6466" s="20">
        <v>6439</v>
      </c>
    </row>
    <row r="6467" spans="18:18" ht="14.25">
      <c r="R6467" s="20">
        <v>6440</v>
      </c>
    </row>
    <row r="6468" spans="18:18" ht="14.25">
      <c r="R6468" s="20">
        <v>6441</v>
      </c>
    </row>
    <row r="6469" spans="18:18" ht="14.25">
      <c r="R6469" s="20">
        <v>6442</v>
      </c>
    </row>
    <row r="6470" spans="18:18" ht="14.25">
      <c r="R6470" s="20">
        <v>6443</v>
      </c>
    </row>
    <row r="6471" spans="18:18" ht="14.25">
      <c r="R6471" s="20">
        <v>6444</v>
      </c>
    </row>
    <row r="6472" spans="18:18" ht="14.25">
      <c r="R6472" s="20">
        <v>6445</v>
      </c>
    </row>
    <row r="6473" spans="18:18" ht="14.25">
      <c r="R6473" s="20">
        <v>6446</v>
      </c>
    </row>
    <row r="6474" spans="18:18" ht="14.25">
      <c r="R6474" s="20">
        <v>6447</v>
      </c>
    </row>
    <row r="6475" spans="18:18" ht="14.25">
      <c r="R6475" s="20">
        <v>6448</v>
      </c>
    </row>
    <row r="6476" spans="18:18" ht="14.25">
      <c r="R6476" s="20">
        <v>6449</v>
      </c>
    </row>
    <row r="6477" spans="18:18" ht="14.25">
      <c r="R6477" s="20">
        <v>6450</v>
      </c>
    </row>
    <row r="6478" spans="18:18" ht="14.25">
      <c r="R6478" s="20">
        <v>6451</v>
      </c>
    </row>
    <row r="6479" spans="18:18" ht="14.25">
      <c r="R6479" s="20">
        <v>6452</v>
      </c>
    </row>
    <row r="6480" spans="18:18" ht="14.25">
      <c r="R6480" s="20">
        <v>6453</v>
      </c>
    </row>
    <row r="6481" spans="18:18" ht="14.25">
      <c r="R6481" s="20">
        <v>6454</v>
      </c>
    </row>
    <row r="6482" spans="18:18" ht="14.25">
      <c r="R6482" s="20">
        <v>6455</v>
      </c>
    </row>
    <row r="6483" spans="18:18" ht="14.25">
      <c r="R6483" s="20">
        <v>6456</v>
      </c>
    </row>
    <row r="6484" spans="18:18" ht="14.25">
      <c r="R6484" s="20">
        <v>6457</v>
      </c>
    </row>
    <row r="6485" spans="18:18" ht="14.25">
      <c r="R6485" s="20">
        <v>6458</v>
      </c>
    </row>
    <row r="6486" spans="18:18" ht="14.25">
      <c r="R6486" s="20">
        <v>6459</v>
      </c>
    </row>
    <row r="6487" spans="18:18" ht="14.25">
      <c r="R6487" s="20">
        <v>6460</v>
      </c>
    </row>
    <row r="6488" spans="18:18" ht="14.25">
      <c r="R6488" s="20">
        <v>6461</v>
      </c>
    </row>
    <row r="6489" spans="18:18" ht="14.25">
      <c r="R6489" s="20">
        <v>6462</v>
      </c>
    </row>
    <row r="6490" spans="18:18" ht="14.25">
      <c r="R6490" s="20">
        <v>6463</v>
      </c>
    </row>
    <row r="6491" spans="18:18" ht="14.25">
      <c r="R6491" s="20">
        <v>6464</v>
      </c>
    </row>
    <row r="6492" spans="18:18" ht="14.25">
      <c r="R6492" s="20">
        <v>6465</v>
      </c>
    </row>
    <row r="6493" spans="18:18" ht="14.25">
      <c r="R6493" s="20">
        <v>6466</v>
      </c>
    </row>
    <row r="6494" spans="18:18" ht="14.25">
      <c r="R6494" s="20">
        <v>6467</v>
      </c>
    </row>
    <row r="6495" spans="18:18" ht="14.25">
      <c r="R6495" s="20">
        <v>6468</v>
      </c>
    </row>
    <row r="6496" spans="18:18" ht="14.25">
      <c r="R6496" s="20">
        <v>6469</v>
      </c>
    </row>
    <row r="6497" spans="18:18" ht="14.25">
      <c r="R6497" s="20">
        <v>6470</v>
      </c>
    </row>
    <row r="6498" spans="18:18" ht="14.25">
      <c r="R6498" s="20">
        <v>6471</v>
      </c>
    </row>
    <row r="6499" spans="18:18" ht="14.25">
      <c r="R6499" s="20">
        <v>6472</v>
      </c>
    </row>
    <row r="6500" spans="18:18" ht="14.25">
      <c r="R6500" s="20">
        <v>6473</v>
      </c>
    </row>
    <row r="6501" spans="18:18" ht="14.25">
      <c r="R6501" s="20">
        <v>6474</v>
      </c>
    </row>
    <row r="6502" spans="18:18" ht="14.25">
      <c r="R6502" s="20">
        <v>6475</v>
      </c>
    </row>
    <row r="6503" spans="18:18" ht="14.25">
      <c r="R6503" s="20">
        <v>6476</v>
      </c>
    </row>
    <row r="6504" spans="18:18" ht="14.25">
      <c r="R6504" s="20">
        <v>6477</v>
      </c>
    </row>
    <row r="6505" spans="18:18" ht="14.25">
      <c r="R6505" s="20">
        <v>6478</v>
      </c>
    </row>
    <row r="6506" spans="18:18" ht="14.25">
      <c r="R6506" s="20">
        <v>6479</v>
      </c>
    </row>
    <row r="6507" spans="18:18" ht="14.25">
      <c r="R6507" s="20">
        <v>6480</v>
      </c>
    </row>
    <row r="6508" spans="18:18" ht="14.25">
      <c r="R6508" s="20">
        <v>6481</v>
      </c>
    </row>
    <row r="6509" spans="18:18" ht="14.25">
      <c r="R6509" s="20">
        <v>6482</v>
      </c>
    </row>
    <row r="6510" spans="18:18" ht="14.25">
      <c r="R6510" s="20">
        <v>6483</v>
      </c>
    </row>
    <row r="6511" spans="18:18" ht="14.25">
      <c r="R6511" s="20">
        <v>6484</v>
      </c>
    </row>
    <row r="6512" spans="18:18" ht="14.25">
      <c r="R6512" s="20">
        <v>6485</v>
      </c>
    </row>
    <row r="6513" spans="18:18" ht="14.25">
      <c r="R6513" s="20">
        <v>6486</v>
      </c>
    </row>
    <row r="6514" spans="18:18" ht="14.25">
      <c r="R6514" s="20">
        <v>6487</v>
      </c>
    </row>
    <row r="6515" spans="18:18" ht="14.25">
      <c r="R6515" s="20">
        <v>6488</v>
      </c>
    </row>
    <row r="6516" spans="18:18" ht="14.25">
      <c r="R6516" s="20">
        <v>6489</v>
      </c>
    </row>
    <row r="6517" spans="18:18" ht="14.25">
      <c r="R6517" s="20">
        <v>6490</v>
      </c>
    </row>
    <row r="6518" spans="18:18" ht="14.25">
      <c r="R6518" s="20">
        <v>6491</v>
      </c>
    </row>
    <row r="6519" spans="18:18" ht="14.25">
      <c r="R6519" s="20">
        <v>6492</v>
      </c>
    </row>
    <row r="6520" spans="18:18" ht="14.25">
      <c r="R6520" s="20">
        <v>6493</v>
      </c>
    </row>
    <row r="6521" spans="18:18" ht="14.25">
      <c r="R6521" s="20">
        <v>6494</v>
      </c>
    </row>
    <row r="6522" spans="18:18" ht="14.25">
      <c r="R6522" s="20">
        <v>6495</v>
      </c>
    </row>
    <row r="6523" spans="18:18" ht="14.25">
      <c r="R6523" s="20">
        <v>6496</v>
      </c>
    </row>
    <row r="6524" spans="18:18" ht="14.25">
      <c r="R6524" s="20">
        <v>6497</v>
      </c>
    </row>
    <row r="6525" spans="18:18" ht="14.25">
      <c r="R6525" s="20">
        <v>6498</v>
      </c>
    </row>
    <row r="6526" spans="18:18" ht="14.25">
      <c r="R6526" s="20">
        <v>6499</v>
      </c>
    </row>
    <row r="6527" spans="18:18" ht="14.25">
      <c r="R6527" s="20">
        <v>6500</v>
      </c>
    </row>
    <row r="6528" spans="18:18" ht="14.25">
      <c r="R6528" s="20">
        <v>6501</v>
      </c>
    </row>
    <row r="6529" spans="18:18" ht="14.25">
      <c r="R6529" s="20">
        <v>6502</v>
      </c>
    </row>
    <row r="6530" spans="18:18" ht="14.25">
      <c r="R6530" s="20">
        <v>6503</v>
      </c>
    </row>
    <row r="6531" spans="18:18" ht="14.25">
      <c r="R6531" s="20">
        <v>6504</v>
      </c>
    </row>
    <row r="6532" spans="18:18" ht="14.25">
      <c r="R6532" s="20">
        <v>6505</v>
      </c>
    </row>
    <row r="6533" spans="18:18" ht="14.25">
      <c r="R6533" s="20">
        <v>6506</v>
      </c>
    </row>
    <row r="6534" spans="18:18" ht="14.25">
      <c r="R6534" s="20">
        <v>6507</v>
      </c>
    </row>
    <row r="6535" spans="18:18" ht="14.25">
      <c r="R6535" s="20">
        <v>6508</v>
      </c>
    </row>
    <row r="6536" spans="18:18" ht="14.25">
      <c r="R6536" s="20">
        <v>6509</v>
      </c>
    </row>
    <row r="6537" spans="18:18" ht="14.25">
      <c r="R6537" s="20">
        <v>6510</v>
      </c>
    </row>
    <row r="6538" spans="18:18" ht="14.25">
      <c r="R6538" s="20">
        <v>6511</v>
      </c>
    </row>
    <row r="6539" spans="18:18" ht="14.25">
      <c r="R6539" s="20">
        <v>6512</v>
      </c>
    </row>
    <row r="6540" spans="18:18" ht="14.25">
      <c r="R6540" s="20">
        <v>6513</v>
      </c>
    </row>
    <row r="6541" spans="18:18" ht="14.25">
      <c r="R6541" s="20">
        <v>6514</v>
      </c>
    </row>
    <row r="6542" spans="18:18" ht="14.25">
      <c r="R6542" s="20">
        <v>6515</v>
      </c>
    </row>
    <row r="6543" spans="18:18" ht="14.25">
      <c r="R6543" s="20">
        <v>6516</v>
      </c>
    </row>
    <row r="6544" spans="18:18" ht="14.25">
      <c r="R6544" s="20">
        <v>6517</v>
      </c>
    </row>
    <row r="6545" spans="18:18" ht="14.25">
      <c r="R6545" s="20">
        <v>6518</v>
      </c>
    </row>
    <row r="6546" spans="18:18" ht="14.25">
      <c r="R6546" s="20">
        <v>6519</v>
      </c>
    </row>
    <row r="6547" spans="18:18" ht="14.25">
      <c r="R6547" s="20">
        <v>6520</v>
      </c>
    </row>
    <row r="6548" spans="18:18" ht="14.25">
      <c r="R6548" s="20">
        <v>6521</v>
      </c>
    </row>
    <row r="6549" spans="18:18" ht="14.25">
      <c r="R6549" s="20">
        <v>6522</v>
      </c>
    </row>
    <row r="6550" spans="18:18" ht="14.25">
      <c r="R6550" s="20">
        <v>6523</v>
      </c>
    </row>
    <row r="6551" spans="18:18" ht="14.25">
      <c r="R6551" s="20">
        <v>6524</v>
      </c>
    </row>
    <row r="6552" spans="18:18" ht="14.25">
      <c r="R6552" s="20">
        <v>6525</v>
      </c>
    </row>
    <row r="6553" spans="18:18" ht="14.25">
      <c r="R6553" s="20">
        <v>6526</v>
      </c>
    </row>
    <row r="6554" spans="18:18" ht="14.25">
      <c r="R6554" s="20">
        <v>6527</v>
      </c>
    </row>
    <row r="6555" spans="18:18" ht="14.25">
      <c r="R6555" s="20">
        <v>6528</v>
      </c>
    </row>
    <row r="6556" spans="18:18" ht="14.25">
      <c r="R6556" s="20">
        <v>6529</v>
      </c>
    </row>
    <row r="6557" spans="18:18" ht="14.25">
      <c r="R6557" s="20">
        <v>6530</v>
      </c>
    </row>
    <row r="6558" spans="18:18" ht="14.25">
      <c r="R6558" s="20">
        <v>6531</v>
      </c>
    </row>
    <row r="6559" spans="18:18" ht="14.25">
      <c r="R6559" s="20">
        <v>6532</v>
      </c>
    </row>
    <row r="6560" spans="18:18" ht="14.25">
      <c r="R6560" s="20">
        <v>6533</v>
      </c>
    </row>
    <row r="6561" spans="18:18" ht="14.25">
      <c r="R6561" s="20">
        <v>6534</v>
      </c>
    </row>
    <row r="6562" spans="18:18" ht="14.25">
      <c r="R6562" s="20">
        <v>6535</v>
      </c>
    </row>
    <row r="6563" spans="18:18" ht="14.25">
      <c r="R6563" s="20">
        <v>6536</v>
      </c>
    </row>
    <row r="6564" spans="18:18" ht="14.25">
      <c r="R6564" s="20">
        <v>6537</v>
      </c>
    </row>
    <row r="6565" spans="18:18" ht="14.25">
      <c r="R6565" s="20">
        <v>6538</v>
      </c>
    </row>
    <row r="6566" spans="18:18" ht="14.25">
      <c r="R6566" s="20">
        <v>6539</v>
      </c>
    </row>
    <row r="6567" spans="18:18" ht="14.25">
      <c r="R6567" s="20">
        <v>6540</v>
      </c>
    </row>
    <row r="6568" spans="18:18" ht="14.25">
      <c r="R6568" s="20">
        <v>6541</v>
      </c>
    </row>
    <row r="6569" spans="18:18" ht="14.25">
      <c r="R6569" s="20">
        <v>6542</v>
      </c>
    </row>
    <row r="6570" spans="18:18" ht="14.25">
      <c r="R6570" s="20">
        <v>6543</v>
      </c>
    </row>
    <row r="6571" spans="18:18" ht="14.25">
      <c r="R6571" s="20">
        <v>6544</v>
      </c>
    </row>
    <row r="6572" spans="18:18" ht="14.25">
      <c r="R6572" s="20">
        <v>6545</v>
      </c>
    </row>
    <row r="6573" spans="18:18" ht="14.25">
      <c r="R6573" s="20">
        <v>6546</v>
      </c>
    </row>
    <row r="6574" spans="18:18" ht="14.25">
      <c r="R6574" s="20">
        <v>6547</v>
      </c>
    </row>
    <row r="6575" spans="18:18" ht="14.25">
      <c r="R6575" s="20">
        <v>6548</v>
      </c>
    </row>
    <row r="6576" spans="18:18" ht="14.25">
      <c r="R6576" s="20">
        <v>6549</v>
      </c>
    </row>
    <row r="6577" spans="18:18" ht="14.25">
      <c r="R6577" s="20">
        <v>6550</v>
      </c>
    </row>
    <row r="6578" spans="18:18" ht="14.25">
      <c r="R6578" s="20">
        <v>6551</v>
      </c>
    </row>
    <row r="6579" spans="18:18" ht="14.25">
      <c r="R6579" s="20">
        <v>6552</v>
      </c>
    </row>
    <row r="6580" spans="18:18" ht="14.25">
      <c r="R6580" s="20">
        <v>6553</v>
      </c>
    </row>
    <row r="6581" spans="18:18" ht="14.25">
      <c r="R6581" s="20">
        <v>6554</v>
      </c>
    </row>
    <row r="6582" spans="18:18" ht="14.25">
      <c r="R6582" s="20">
        <v>6555</v>
      </c>
    </row>
    <row r="6583" spans="18:18" ht="14.25">
      <c r="R6583" s="20">
        <v>6556</v>
      </c>
    </row>
    <row r="6584" spans="18:18" ht="14.25">
      <c r="R6584" s="20">
        <v>6557</v>
      </c>
    </row>
    <row r="6585" spans="18:18" ht="14.25">
      <c r="R6585" s="20">
        <v>6558</v>
      </c>
    </row>
    <row r="6586" spans="18:18" ht="14.25">
      <c r="R6586" s="20">
        <v>6559</v>
      </c>
    </row>
    <row r="6587" spans="18:18" ht="14.25">
      <c r="R6587" s="20">
        <v>6560</v>
      </c>
    </row>
    <row r="6588" spans="18:18" ht="14.25">
      <c r="R6588" s="20">
        <v>6561</v>
      </c>
    </row>
    <row r="6589" spans="18:18" ht="14.25">
      <c r="R6589" s="20">
        <v>6562</v>
      </c>
    </row>
    <row r="6590" spans="18:18" ht="14.25">
      <c r="R6590" s="20">
        <v>6563</v>
      </c>
    </row>
    <row r="6591" spans="18:18" ht="14.25">
      <c r="R6591" s="20">
        <v>6564</v>
      </c>
    </row>
    <row r="6592" spans="18:18" ht="14.25">
      <c r="R6592" s="20">
        <v>6565</v>
      </c>
    </row>
    <row r="6593" spans="18:18" ht="14.25">
      <c r="R6593" s="20">
        <v>6566</v>
      </c>
    </row>
    <row r="6594" spans="18:18" ht="14.25">
      <c r="R6594" s="20">
        <v>6567</v>
      </c>
    </row>
    <row r="6595" spans="18:18" ht="14.25">
      <c r="R6595" s="20">
        <v>6568</v>
      </c>
    </row>
    <row r="6596" spans="18:18" ht="14.25">
      <c r="R6596" s="20">
        <v>6569</v>
      </c>
    </row>
    <row r="6597" spans="18:18" ht="14.25">
      <c r="R6597" s="20">
        <v>6570</v>
      </c>
    </row>
    <row r="6598" spans="18:18" ht="14.25">
      <c r="R6598" s="20">
        <v>6571</v>
      </c>
    </row>
    <row r="6599" spans="18:18" ht="14.25">
      <c r="R6599" s="20">
        <v>6572</v>
      </c>
    </row>
    <row r="6600" spans="18:18" ht="14.25">
      <c r="R6600" s="20">
        <v>6573</v>
      </c>
    </row>
    <row r="6601" spans="18:18" ht="14.25">
      <c r="R6601" s="20">
        <v>6574</v>
      </c>
    </row>
    <row r="6602" spans="18:18" ht="14.25">
      <c r="R6602" s="20">
        <v>6575</v>
      </c>
    </row>
    <row r="6603" spans="18:18" ht="14.25">
      <c r="R6603" s="20">
        <v>6576</v>
      </c>
    </row>
    <row r="6604" spans="18:18" ht="14.25">
      <c r="R6604" s="20">
        <v>6577</v>
      </c>
    </row>
    <row r="6605" spans="18:18" ht="14.25">
      <c r="R6605" s="20">
        <v>6578</v>
      </c>
    </row>
    <row r="6606" spans="18:18" ht="14.25">
      <c r="R6606" s="20">
        <v>6579</v>
      </c>
    </row>
    <row r="6607" spans="18:18" ht="14.25">
      <c r="R6607" s="20">
        <v>6580</v>
      </c>
    </row>
    <row r="6608" spans="18:18" ht="14.25">
      <c r="R6608" s="20">
        <v>6581</v>
      </c>
    </row>
    <row r="6609" spans="18:18" ht="14.25">
      <c r="R6609" s="20">
        <v>6582</v>
      </c>
    </row>
    <row r="6610" spans="18:18" ht="14.25">
      <c r="R6610" s="20">
        <v>6583</v>
      </c>
    </row>
    <row r="6611" spans="18:18" ht="14.25">
      <c r="R6611" s="20">
        <v>6584</v>
      </c>
    </row>
    <row r="6612" spans="18:18" ht="14.25">
      <c r="R6612" s="20">
        <v>6585</v>
      </c>
    </row>
    <row r="6613" spans="18:18" ht="14.25">
      <c r="R6613" s="20">
        <v>6586</v>
      </c>
    </row>
    <row r="6614" spans="18:18" ht="14.25">
      <c r="R6614" s="20">
        <v>6587</v>
      </c>
    </row>
    <row r="6615" spans="18:18" ht="14.25">
      <c r="R6615" s="20">
        <v>6588</v>
      </c>
    </row>
    <row r="6616" spans="18:18" ht="14.25">
      <c r="R6616" s="20">
        <v>6589</v>
      </c>
    </row>
    <row r="6617" spans="18:18" ht="14.25">
      <c r="R6617" s="20">
        <v>6590</v>
      </c>
    </row>
    <row r="6618" spans="18:18" ht="14.25">
      <c r="R6618" s="20">
        <v>6591</v>
      </c>
    </row>
    <row r="6619" spans="18:18" ht="14.25">
      <c r="R6619" s="20">
        <v>6592</v>
      </c>
    </row>
    <row r="6620" spans="18:18" ht="14.25">
      <c r="R6620" s="20">
        <v>6593</v>
      </c>
    </row>
    <row r="6621" spans="18:18" ht="14.25">
      <c r="R6621" s="20">
        <v>6594</v>
      </c>
    </row>
    <row r="6622" spans="18:18" ht="14.25">
      <c r="R6622" s="20">
        <v>6595</v>
      </c>
    </row>
    <row r="6623" spans="18:18" ht="14.25">
      <c r="R6623" s="20">
        <v>6596</v>
      </c>
    </row>
    <row r="6624" spans="18:18" ht="14.25">
      <c r="R6624" s="20">
        <v>6597</v>
      </c>
    </row>
    <row r="6625" spans="18:18" ht="14.25">
      <c r="R6625" s="20">
        <v>6598</v>
      </c>
    </row>
    <row r="6626" spans="18:18" ht="14.25">
      <c r="R6626" s="20">
        <v>6599</v>
      </c>
    </row>
    <row r="6627" spans="18:18" ht="14.25">
      <c r="R6627" s="20">
        <v>6600</v>
      </c>
    </row>
    <row r="6628" spans="18:18" ht="14.25">
      <c r="R6628" s="20">
        <v>6601</v>
      </c>
    </row>
    <row r="6629" spans="18:18" ht="14.25">
      <c r="R6629" s="20">
        <v>6602</v>
      </c>
    </row>
    <row r="6630" spans="18:18" ht="14.25">
      <c r="R6630" s="20">
        <v>6603</v>
      </c>
    </row>
    <row r="6631" spans="18:18" ht="14.25">
      <c r="R6631" s="20">
        <v>6604</v>
      </c>
    </row>
    <row r="6632" spans="18:18" ht="14.25">
      <c r="R6632" s="20">
        <v>6605</v>
      </c>
    </row>
    <row r="6633" spans="18:18" ht="14.25">
      <c r="R6633" s="20">
        <v>6606</v>
      </c>
    </row>
    <row r="6634" spans="18:18" ht="14.25">
      <c r="R6634" s="20">
        <v>6607</v>
      </c>
    </row>
    <row r="6635" spans="18:18" ht="14.25">
      <c r="R6635" s="20">
        <v>6608</v>
      </c>
    </row>
    <row r="6636" spans="18:18" ht="14.25">
      <c r="R6636" s="20">
        <v>6609</v>
      </c>
    </row>
    <row r="6637" spans="18:18" ht="14.25">
      <c r="R6637" s="20">
        <v>6610</v>
      </c>
    </row>
    <row r="6638" spans="18:18" ht="14.25">
      <c r="R6638" s="20">
        <v>6611</v>
      </c>
    </row>
    <row r="6639" spans="18:18" ht="14.25">
      <c r="R6639" s="20">
        <v>6612</v>
      </c>
    </row>
    <row r="6640" spans="18:18" ht="14.25">
      <c r="R6640" s="20">
        <v>6613</v>
      </c>
    </row>
    <row r="6641" spans="18:18" ht="14.25">
      <c r="R6641" s="20">
        <v>6614</v>
      </c>
    </row>
    <row r="6642" spans="18:18" ht="14.25">
      <c r="R6642" s="20">
        <v>6615</v>
      </c>
    </row>
    <row r="6643" spans="18:18" ht="14.25">
      <c r="R6643" s="20">
        <v>6616</v>
      </c>
    </row>
    <row r="6644" spans="18:18" ht="14.25">
      <c r="R6644" s="20">
        <v>6617</v>
      </c>
    </row>
    <row r="6645" spans="18:18" ht="14.25">
      <c r="R6645" s="20">
        <v>6618</v>
      </c>
    </row>
    <row r="6646" spans="18:18" ht="14.25">
      <c r="R6646" s="20">
        <v>6619</v>
      </c>
    </row>
    <row r="6647" spans="18:18" ht="14.25">
      <c r="R6647" s="20">
        <v>6620</v>
      </c>
    </row>
    <row r="6648" spans="18:18" ht="14.25">
      <c r="R6648" s="20">
        <v>6621</v>
      </c>
    </row>
    <row r="6649" spans="18:18" ht="14.25">
      <c r="R6649" s="20">
        <v>6622</v>
      </c>
    </row>
    <row r="6650" spans="18:18" ht="14.25">
      <c r="R6650" s="20">
        <v>6623</v>
      </c>
    </row>
    <row r="6651" spans="18:18" ht="14.25">
      <c r="R6651" s="20">
        <v>6624</v>
      </c>
    </row>
    <row r="6652" spans="18:18" ht="14.25">
      <c r="R6652" s="20">
        <v>6625</v>
      </c>
    </row>
    <row r="6653" spans="18:18" ht="14.25">
      <c r="R6653" s="20">
        <v>6626</v>
      </c>
    </row>
    <row r="6654" spans="18:18" ht="14.25">
      <c r="R6654" s="20">
        <v>6627</v>
      </c>
    </row>
    <row r="6655" spans="18:18" ht="14.25">
      <c r="R6655" s="20">
        <v>6628</v>
      </c>
    </row>
    <row r="6656" spans="18:18" ht="14.25">
      <c r="R6656" s="20">
        <v>6629</v>
      </c>
    </row>
    <row r="6657" spans="18:18" ht="14.25">
      <c r="R6657" s="20">
        <v>6630</v>
      </c>
    </row>
    <row r="6658" spans="18:18" ht="14.25">
      <c r="R6658" s="20">
        <v>6631</v>
      </c>
    </row>
    <row r="6659" spans="18:18" ht="14.25">
      <c r="R6659" s="20">
        <v>6632</v>
      </c>
    </row>
    <row r="6660" spans="18:18" ht="14.25">
      <c r="R6660" s="20">
        <v>6633</v>
      </c>
    </row>
    <row r="6661" spans="18:18" ht="14.25">
      <c r="R6661" s="20">
        <v>6634</v>
      </c>
    </row>
    <row r="6662" spans="18:18" ht="14.25">
      <c r="R6662" s="20">
        <v>6635</v>
      </c>
    </row>
    <row r="6663" spans="18:18" ht="14.25">
      <c r="R6663" s="20">
        <v>6636</v>
      </c>
    </row>
    <row r="6664" spans="18:18" ht="14.25">
      <c r="R6664" s="20">
        <v>6637</v>
      </c>
    </row>
    <row r="6665" spans="18:18" ht="14.25">
      <c r="R6665" s="20">
        <v>6638</v>
      </c>
    </row>
    <row r="6666" spans="18:18" ht="14.25">
      <c r="R6666" s="20">
        <v>6639</v>
      </c>
    </row>
    <row r="6667" spans="18:18" ht="14.25">
      <c r="R6667" s="20">
        <v>6640</v>
      </c>
    </row>
    <row r="6668" spans="18:18" ht="14.25">
      <c r="R6668" s="20">
        <v>6641</v>
      </c>
    </row>
    <row r="6669" spans="18:18" ht="14.25">
      <c r="R6669" s="20">
        <v>6642</v>
      </c>
    </row>
    <row r="6670" spans="18:18" ht="14.25">
      <c r="R6670" s="20">
        <v>6643</v>
      </c>
    </row>
    <row r="6671" spans="18:18" ht="14.25">
      <c r="R6671" s="20">
        <v>6644</v>
      </c>
    </row>
    <row r="6672" spans="18:18" ht="14.25">
      <c r="R6672" s="20">
        <v>6645</v>
      </c>
    </row>
    <row r="6673" spans="18:18" ht="14.25">
      <c r="R6673" s="20">
        <v>6646</v>
      </c>
    </row>
    <row r="6674" spans="18:18" ht="14.25">
      <c r="R6674" s="20">
        <v>6647</v>
      </c>
    </row>
    <row r="6675" spans="18:18" ht="14.25">
      <c r="R6675" s="20">
        <v>6648</v>
      </c>
    </row>
    <row r="6676" spans="18:18" ht="14.25">
      <c r="R6676" s="20">
        <v>6649</v>
      </c>
    </row>
    <row r="6677" spans="18:18" ht="14.25">
      <c r="R6677" s="20">
        <v>6650</v>
      </c>
    </row>
    <row r="6678" spans="18:18" ht="14.25">
      <c r="R6678" s="20">
        <v>6651</v>
      </c>
    </row>
    <row r="6679" spans="18:18" ht="14.25">
      <c r="R6679" s="20">
        <v>6652</v>
      </c>
    </row>
    <row r="6680" spans="18:18" ht="14.25">
      <c r="R6680" s="20">
        <v>6653</v>
      </c>
    </row>
    <row r="6681" spans="18:18" ht="14.25">
      <c r="R6681" s="20">
        <v>6654</v>
      </c>
    </row>
    <row r="6682" spans="18:18" ht="14.25">
      <c r="R6682" s="20">
        <v>6655</v>
      </c>
    </row>
    <row r="6683" spans="18:18" ht="14.25">
      <c r="R6683" s="20">
        <v>6656</v>
      </c>
    </row>
    <row r="6684" spans="18:18" ht="14.25">
      <c r="R6684" s="20">
        <v>6657</v>
      </c>
    </row>
    <row r="6685" spans="18:18" ht="14.25">
      <c r="R6685" s="20">
        <v>6658</v>
      </c>
    </row>
    <row r="6686" spans="18:18" ht="14.25">
      <c r="R6686" s="20">
        <v>6659</v>
      </c>
    </row>
    <row r="6687" spans="18:18" ht="14.25">
      <c r="R6687" s="20">
        <v>6660</v>
      </c>
    </row>
    <row r="6688" spans="18:18" ht="14.25">
      <c r="R6688" s="20">
        <v>6661</v>
      </c>
    </row>
    <row r="6689" spans="18:18" ht="14.25">
      <c r="R6689" s="20">
        <v>6662</v>
      </c>
    </row>
    <row r="6690" spans="18:18" ht="14.25">
      <c r="R6690" s="20">
        <v>6663</v>
      </c>
    </row>
    <row r="6691" spans="18:18" ht="14.25">
      <c r="R6691" s="20">
        <v>6664</v>
      </c>
    </row>
    <row r="6692" spans="18:18" ht="14.25">
      <c r="R6692" s="20">
        <v>6665</v>
      </c>
    </row>
    <row r="6693" spans="18:18" ht="14.25">
      <c r="R6693" s="20">
        <v>6666</v>
      </c>
    </row>
    <row r="6694" spans="18:18" ht="14.25">
      <c r="R6694" s="20">
        <v>6667</v>
      </c>
    </row>
    <row r="6695" spans="18:18" ht="14.25">
      <c r="R6695" s="20">
        <v>6668</v>
      </c>
    </row>
    <row r="6696" spans="18:18" ht="14.25">
      <c r="R6696" s="20">
        <v>6669</v>
      </c>
    </row>
    <row r="6697" spans="18:18" ht="14.25">
      <c r="R6697" s="20">
        <v>6670</v>
      </c>
    </row>
    <row r="6698" spans="18:18" ht="14.25">
      <c r="R6698" s="20">
        <v>6671</v>
      </c>
    </row>
    <row r="6699" spans="18:18" ht="14.25">
      <c r="R6699" s="20">
        <v>6672</v>
      </c>
    </row>
    <row r="6700" spans="18:18" ht="14.25">
      <c r="R6700" s="20">
        <v>6673</v>
      </c>
    </row>
    <row r="6701" spans="18:18" ht="14.25">
      <c r="R6701" s="20">
        <v>6674</v>
      </c>
    </row>
    <row r="6702" spans="18:18" ht="14.25">
      <c r="R6702" s="20">
        <v>6675</v>
      </c>
    </row>
    <row r="6703" spans="18:18" ht="14.25">
      <c r="R6703" s="20">
        <v>6676</v>
      </c>
    </row>
    <row r="6704" spans="18:18" ht="14.25">
      <c r="R6704" s="20">
        <v>6677</v>
      </c>
    </row>
    <row r="6705" spans="18:18" ht="14.25">
      <c r="R6705" s="20">
        <v>6678</v>
      </c>
    </row>
    <row r="6706" spans="18:18" ht="14.25">
      <c r="R6706" s="20">
        <v>6679</v>
      </c>
    </row>
    <row r="6707" spans="18:18" ht="14.25">
      <c r="R6707" s="20">
        <v>6680</v>
      </c>
    </row>
    <row r="6708" spans="18:18" ht="14.25">
      <c r="R6708" s="20">
        <v>6681</v>
      </c>
    </row>
    <row r="6709" spans="18:18" ht="14.25">
      <c r="R6709" s="20">
        <v>6682</v>
      </c>
    </row>
    <row r="6710" spans="18:18" ht="14.25">
      <c r="R6710" s="20">
        <v>6683</v>
      </c>
    </row>
    <row r="6711" spans="18:18" ht="14.25">
      <c r="R6711" s="20">
        <v>6684</v>
      </c>
    </row>
    <row r="6712" spans="18:18" ht="14.25">
      <c r="R6712" s="20">
        <v>6685</v>
      </c>
    </row>
    <row r="6713" spans="18:18" ht="14.25">
      <c r="R6713" s="20">
        <v>6686</v>
      </c>
    </row>
    <row r="6714" spans="18:18" ht="14.25">
      <c r="R6714" s="20">
        <v>6687</v>
      </c>
    </row>
    <row r="6715" spans="18:18" ht="14.25">
      <c r="R6715" s="20">
        <v>6688</v>
      </c>
    </row>
    <row r="6716" spans="18:18" ht="14.25">
      <c r="R6716" s="20">
        <v>6689</v>
      </c>
    </row>
    <row r="6717" spans="18:18" ht="14.25">
      <c r="R6717" s="20">
        <v>6690</v>
      </c>
    </row>
    <row r="6718" spans="18:18" ht="14.25">
      <c r="R6718" s="20">
        <v>6691</v>
      </c>
    </row>
    <row r="6719" spans="18:18" ht="14.25">
      <c r="R6719" s="20">
        <v>6692</v>
      </c>
    </row>
    <row r="6720" spans="18:18" ht="14.25">
      <c r="R6720" s="20">
        <v>6693</v>
      </c>
    </row>
    <row r="6721" spans="18:18" ht="14.25">
      <c r="R6721" s="20">
        <v>6694</v>
      </c>
    </row>
    <row r="6722" spans="18:18" ht="14.25">
      <c r="R6722" s="20">
        <v>6695</v>
      </c>
    </row>
    <row r="6723" spans="18:18" ht="14.25">
      <c r="R6723" s="20">
        <v>6696</v>
      </c>
    </row>
    <row r="6724" spans="18:18" ht="14.25">
      <c r="R6724" s="20">
        <v>6697</v>
      </c>
    </row>
    <row r="6725" spans="18:18" ht="14.25">
      <c r="R6725" s="20">
        <v>6698</v>
      </c>
    </row>
    <row r="6726" spans="18:18" ht="14.25">
      <c r="R6726" s="20">
        <v>6699</v>
      </c>
    </row>
    <row r="6727" spans="18:18" ht="14.25">
      <c r="R6727" s="20">
        <v>6700</v>
      </c>
    </row>
    <row r="6728" spans="18:18" ht="14.25">
      <c r="R6728" s="20">
        <v>6701</v>
      </c>
    </row>
    <row r="6729" spans="18:18" ht="14.25">
      <c r="R6729" s="20">
        <v>6702</v>
      </c>
    </row>
    <row r="6730" spans="18:18" ht="14.25">
      <c r="R6730" s="20">
        <v>6703</v>
      </c>
    </row>
    <row r="6731" spans="18:18" ht="14.25">
      <c r="R6731" s="20">
        <v>6704</v>
      </c>
    </row>
    <row r="6732" spans="18:18" ht="14.25">
      <c r="R6732" s="20">
        <v>6705</v>
      </c>
    </row>
    <row r="6733" spans="18:18" ht="14.25">
      <c r="R6733" s="20">
        <v>6706</v>
      </c>
    </row>
    <row r="6734" spans="18:18" ht="14.25">
      <c r="R6734" s="20">
        <v>6707</v>
      </c>
    </row>
    <row r="6735" spans="18:18" ht="14.25">
      <c r="R6735" s="20">
        <v>6708</v>
      </c>
    </row>
    <row r="6736" spans="18:18" ht="14.25">
      <c r="R6736" s="20">
        <v>6709</v>
      </c>
    </row>
    <row r="6737" spans="18:18" ht="14.25">
      <c r="R6737" s="20">
        <v>6710</v>
      </c>
    </row>
    <row r="6738" spans="18:18" ht="14.25">
      <c r="R6738" s="20">
        <v>6711</v>
      </c>
    </row>
    <row r="6739" spans="18:18" ht="14.25">
      <c r="R6739" s="20">
        <v>6712</v>
      </c>
    </row>
    <row r="6740" spans="18:18" ht="14.25">
      <c r="R6740" s="20">
        <v>6713</v>
      </c>
    </row>
    <row r="6741" spans="18:18" ht="14.25">
      <c r="R6741" s="20">
        <v>6714</v>
      </c>
    </row>
    <row r="6742" spans="18:18" ht="14.25">
      <c r="R6742" s="20">
        <v>6715</v>
      </c>
    </row>
    <row r="6743" spans="18:18" ht="14.25">
      <c r="R6743" s="20">
        <v>6716</v>
      </c>
    </row>
    <row r="6744" spans="18:18" ht="14.25">
      <c r="R6744" s="20">
        <v>6717</v>
      </c>
    </row>
    <row r="6745" spans="18:18" ht="14.25">
      <c r="R6745" s="20">
        <v>6718</v>
      </c>
    </row>
    <row r="6746" spans="18:18" ht="14.25">
      <c r="R6746" s="20">
        <v>6719</v>
      </c>
    </row>
    <row r="6747" spans="18:18" ht="14.25">
      <c r="R6747" s="20">
        <v>6720</v>
      </c>
    </row>
    <row r="6748" spans="18:18" ht="14.25">
      <c r="R6748" s="20">
        <v>6721</v>
      </c>
    </row>
    <row r="6749" spans="18:18" ht="14.25">
      <c r="R6749" s="20">
        <v>6722</v>
      </c>
    </row>
    <row r="6750" spans="18:18" ht="14.25">
      <c r="R6750" s="20">
        <v>6723</v>
      </c>
    </row>
    <row r="6751" spans="18:18" ht="14.25">
      <c r="R6751" s="20">
        <v>6724</v>
      </c>
    </row>
    <row r="6752" spans="18:18" ht="14.25">
      <c r="R6752" s="20">
        <v>6725</v>
      </c>
    </row>
    <row r="6753" spans="18:18" ht="14.25">
      <c r="R6753" s="20">
        <v>6726</v>
      </c>
    </row>
    <row r="6754" spans="18:18" ht="14.25">
      <c r="R6754" s="20">
        <v>6727</v>
      </c>
    </row>
    <row r="6755" spans="18:18" ht="14.25">
      <c r="R6755" s="20">
        <v>6728</v>
      </c>
    </row>
    <row r="6756" spans="18:18" ht="14.25">
      <c r="R6756" s="20">
        <v>6729</v>
      </c>
    </row>
    <row r="6757" spans="18:18" ht="14.25">
      <c r="R6757" s="20">
        <v>6730</v>
      </c>
    </row>
    <row r="6758" spans="18:18" ht="14.25">
      <c r="R6758" s="20">
        <v>6731</v>
      </c>
    </row>
    <row r="6759" spans="18:18" ht="14.25">
      <c r="R6759" s="20">
        <v>6732</v>
      </c>
    </row>
    <row r="6760" spans="18:18" ht="14.25">
      <c r="R6760" s="20">
        <v>6733</v>
      </c>
    </row>
    <row r="6761" spans="18:18" ht="14.25">
      <c r="R6761" s="20">
        <v>6734</v>
      </c>
    </row>
    <row r="6762" spans="18:18" ht="14.25">
      <c r="R6762" s="20">
        <v>6735</v>
      </c>
    </row>
    <row r="6763" spans="18:18" ht="14.25">
      <c r="R6763" s="20">
        <v>6736</v>
      </c>
    </row>
    <row r="6764" spans="18:18" ht="14.25">
      <c r="R6764" s="20">
        <v>6737</v>
      </c>
    </row>
    <row r="6765" spans="18:18" ht="14.25">
      <c r="R6765" s="20">
        <v>6738</v>
      </c>
    </row>
    <row r="6766" spans="18:18" ht="14.25">
      <c r="R6766" s="20">
        <v>6739</v>
      </c>
    </row>
    <row r="6767" spans="18:18" ht="14.25">
      <c r="R6767" s="20">
        <v>6740</v>
      </c>
    </row>
    <row r="6768" spans="18:18" ht="14.25">
      <c r="R6768" s="20">
        <v>6741</v>
      </c>
    </row>
    <row r="6769" spans="18:18" ht="14.25">
      <c r="R6769" s="20">
        <v>6742</v>
      </c>
    </row>
    <row r="6770" spans="18:18" ht="14.25">
      <c r="R6770" s="20">
        <v>6743</v>
      </c>
    </row>
    <row r="6771" spans="18:18" ht="14.25">
      <c r="R6771" s="20">
        <v>6744</v>
      </c>
    </row>
    <row r="6772" spans="18:18" ht="14.25">
      <c r="R6772" s="20">
        <v>6745</v>
      </c>
    </row>
    <row r="6773" spans="18:18" ht="14.25">
      <c r="R6773" s="20">
        <v>6746</v>
      </c>
    </row>
    <row r="6774" spans="18:18" ht="14.25">
      <c r="R6774" s="20">
        <v>6747</v>
      </c>
    </row>
    <row r="6775" spans="18:18" ht="14.25">
      <c r="R6775" s="20">
        <v>6748</v>
      </c>
    </row>
    <row r="6776" spans="18:18" ht="14.25">
      <c r="R6776" s="20">
        <v>6749</v>
      </c>
    </row>
    <row r="6777" spans="18:18" ht="14.25">
      <c r="R6777" s="20">
        <v>6750</v>
      </c>
    </row>
    <row r="6778" spans="18:18" ht="14.25">
      <c r="R6778" s="20">
        <v>6751</v>
      </c>
    </row>
    <row r="6779" spans="18:18" ht="14.25">
      <c r="R6779" s="20">
        <v>6752</v>
      </c>
    </row>
    <row r="6780" spans="18:18" ht="14.25">
      <c r="R6780" s="20">
        <v>6753</v>
      </c>
    </row>
    <row r="6781" spans="18:18" ht="14.25">
      <c r="R6781" s="20">
        <v>6754</v>
      </c>
    </row>
    <row r="6782" spans="18:18" ht="14.25">
      <c r="R6782" s="20">
        <v>6755</v>
      </c>
    </row>
    <row r="6783" spans="18:18" ht="14.25">
      <c r="R6783" s="20">
        <v>6756</v>
      </c>
    </row>
    <row r="6784" spans="18:18" ht="14.25">
      <c r="R6784" s="20">
        <v>6757</v>
      </c>
    </row>
    <row r="6785" spans="18:18" ht="14.25">
      <c r="R6785" s="20">
        <v>6758</v>
      </c>
    </row>
    <row r="6786" spans="18:18" ht="14.25">
      <c r="R6786" s="20">
        <v>6759</v>
      </c>
    </row>
    <row r="6787" spans="18:18" ht="14.25">
      <c r="R6787" s="20">
        <v>6760</v>
      </c>
    </row>
    <row r="6788" spans="18:18" ht="14.25">
      <c r="R6788" s="20">
        <v>6761</v>
      </c>
    </row>
    <row r="6789" spans="18:18" ht="14.25">
      <c r="R6789" s="20">
        <v>6762</v>
      </c>
    </row>
    <row r="6790" spans="18:18" ht="14.25">
      <c r="R6790" s="20">
        <v>6763</v>
      </c>
    </row>
    <row r="6791" spans="18:18" ht="14.25">
      <c r="R6791" s="20">
        <v>6764</v>
      </c>
    </row>
    <row r="6792" spans="18:18" ht="14.25">
      <c r="R6792" s="20">
        <v>6765</v>
      </c>
    </row>
    <row r="6793" spans="18:18" ht="14.25">
      <c r="R6793" s="20">
        <v>6766</v>
      </c>
    </row>
    <row r="6794" spans="18:18" ht="14.25">
      <c r="R6794" s="20">
        <v>6767</v>
      </c>
    </row>
    <row r="6795" spans="18:18" ht="14.25">
      <c r="R6795" s="20">
        <v>6768</v>
      </c>
    </row>
    <row r="6796" spans="18:18" ht="14.25">
      <c r="R6796" s="20">
        <v>6769</v>
      </c>
    </row>
    <row r="6797" spans="18:18" ht="14.25">
      <c r="R6797" s="20">
        <v>6770</v>
      </c>
    </row>
    <row r="6798" spans="18:18" ht="14.25">
      <c r="R6798" s="20">
        <v>6771</v>
      </c>
    </row>
    <row r="6799" spans="18:18" ht="14.25">
      <c r="R6799" s="20">
        <v>6772</v>
      </c>
    </row>
    <row r="6800" spans="18:18" ht="14.25">
      <c r="R6800" s="20">
        <v>6773</v>
      </c>
    </row>
    <row r="6801" spans="18:18" ht="14.25">
      <c r="R6801" s="20">
        <v>6774</v>
      </c>
    </row>
    <row r="6802" spans="18:18" ht="14.25">
      <c r="R6802" s="20">
        <v>6775</v>
      </c>
    </row>
    <row r="6803" spans="18:18" ht="14.25">
      <c r="R6803" s="20">
        <v>6776</v>
      </c>
    </row>
    <row r="6804" spans="18:18" ht="14.25">
      <c r="R6804" s="20">
        <v>6777</v>
      </c>
    </row>
    <row r="6805" spans="18:18" ht="14.25">
      <c r="R6805" s="20">
        <v>6778</v>
      </c>
    </row>
    <row r="6806" spans="18:18" ht="14.25">
      <c r="R6806" s="20">
        <v>6779</v>
      </c>
    </row>
    <row r="6807" spans="18:18" ht="14.25">
      <c r="R6807" s="20">
        <v>6780</v>
      </c>
    </row>
    <row r="6808" spans="18:18" ht="14.25">
      <c r="R6808" s="20">
        <v>6781</v>
      </c>
    </row>
    <row r="6809" spans="18:18" ht="14.25">
      <c r="R6809" s="20">
        <v>6782</v>
      </c>
    </row>
    <row r="6810" spans="18:18" ht="14.25">
      <c r="R6810" s="20">
        <v>6783</v>
      </c>
    </row>
    <row r="6811" spans="18:18" ht="14.25">
      <c r="R6811" s="20">
        <v>6784</v>
      </c>
    </row>
    <row r="6812" spans="18:18" ht="14.25">
      <c r="R6812" s="20">
        <v>6785</v>
      </c>
    </row>
    <row r="6813" spans="18:18" ht="14.25">
      <c r="R6813" s="20">
        <v>6786</v>
      </c>
    </row>
    <row r="6814" spans="18:18" ht="14.25">
      <c r="R6814" s="20">
        <v>6787</v>
      </c>
    </row>
    <row r="6815" spans="18:18" ht="14.25">
      <c r="R6815" s="20">
        <v>6788</v>
      </c>
    </row>
    <row r="6816" spans="18:18" ht="14.25">
      <c r="R6816" s="20">
        <v>6789</v>
      </c>
    </row>
    <row r="6817" spans="18:18" ht="14.25">
      <c r="R6817" s="20">
        <v>6790</v>
      </c>
    </row>
    <row r="6818" spans="18:18" ht="14.25">
      <c r="R6818" s="20">
        <v>6791</v>
      </c>
    </row>
    <row r="6819" spans="18:18" ht="14.25">
      <c r="R6819" s="20">
        <v>6792</v>
      </c>
    </row>
    <row r="6820" spans="18:18" ht="14.25">
      <c r="R6820" s="20">
        <v>6793</v>
      </c>
    </row>
    <row r="6821" spans="18:18" ht="14.25">
      <c r="R6821" s="20">
        <v>6794</v>
      </c>
    </row>
    <row r="6822" spans="18:18" ht="14.25">
      <c r="R6822" s="20">
        <v>6795</v>
      </c>
    </row>
    <row r="6823" spans="18:18" ht="14.25">
      <c r="R6823" s="20">
        <v>6796</v>
      </c>
    </row>
    <row r="6824" spans="18:18" ht="14.25">
      <c r="R6824" s="20">
        <v>6797</v>
      </c>
    </row>
    <row r="6825" spans="18:18" ht="14.25">
      <c r="R6825" s="20">
        <v>6798</v>
      </c>
    </row>
    <row r="6826" spans="18:18" ht="14.25">
      <c r="R6826" s="20">
        <v>6799</v>
      </c>
    </row>
    <row r="6827" spans="18:18" ht="14.25">
      <c r="R6827" s="20">
        <v>6800</v>
      </c>
    </row>
    <row r="6828" spans="18:18" ht="14.25">
      <c r="R6828" s="20">
        <v>6801</v>
      </c>
    </row>
    <row r="6829" spans="18:18" ht="14.25">
      <c r="R6829" s="20">
        <v>6802</v>
      </c>
    </row>
    <row r="6830" spans="18:18" ht="14.25">
      <c r="R6830" s="20">
        <v>6803</v>
      </c>
    </row>
    <row r="6831" spans="18:18" ht="14.25">
      <c r="R6831" s="20">
        <v>6804</v>
      </c>
    </row>
    <row r="6832" spans="18:18" ht="14.25">
      <c r="R6832" s="20">
        <v>6805</v>
      </c>
    </row>
    <row r="6833" spans="18:18" ht="14.25">
      <c r="R6833" s="20">
        <v>6806</v>
      </c>
    </row>
    <row r="6834" spans="18:18" ht="14.25">
      <c r="R6834" s="20">
        <v>6807</v>
      </c>
    </row>
    <row r="6835" spans="18:18" ht="14.25">
      <c r="R6835" s="20">
        <v>6808</v>
      </c>
    </row>
    <row r="6836" spans="18:18" ht="14.25">
      <c r="R6836" s="20">
        <v>6809</v>
      </c>
    </row>
    <row r="6837" spans="18:18" ht="14.25">
      <c r="R6837" s="20">
        <v>6810</v>
      </c>
    </row>
    <row r="6838" spans="18:18" ht="14.25">
      <c r="R6838" s="20">
        <v>6811</v>
      </c>
    </row>
    <row r="6839" spans="18:18" ht="14.25">
      <c r="R6839" s="20">
        <v>6812</v>
      </c>
    </row>
    <row r="6840" spans="18:18" ht="14.25">
      <c r="R6840" s="20">
        <v>6813</v>
      </c>
    </row>
    <row r="6841" spans="18:18" ht="14.25">
      <c r="R6841" s="20">
        <v>6814</v>
      </c>
    </row>
    <row r="6842" spans="18:18" ht="14.25">
      <c r="R6842" s="20">
        <v>6815</v>
      </c>
    </row>
    <row r="6843" spans="18:18" ht="14.25">
      <c r="R6843" s="20">
        <v>6816</v>
      </c>
    </row>
    <row r="6844" spans="18:18" ht="14.25">
      <c r="R6844" s="20">
        <v>6817</v>
      </c>
    </row>
    <row r="6845" spans="18:18" ht="14.25">
      <c r="R6845" s="20">
        <v>6818</v>
      </c>
    </row>
    <row r="6846" spans="18:18" ht="14.25">
      <c r="R6846" s="20">
        <v>6819</v>
      </c>
    </row>
    <row r="6847" spans="18:18" ht="14.25">
      <c r="R6847" s="20">
        <v>6820</v>
      </c>
    </row>
    <row r="6848" spans="18:18" ht="14.25">
      <c r="R6848" s="20">
        <v>6821</v>
      </c>
    </row>
    <row r="6849" spans="18:18" ht="14.25">
      <c r="R6849" s="20">
        <v>6822</v>
      </c>
    </row>
    <row r="6850" spans="18:18" ht="14.25">
      <c r="R6850" s="20">
        <v>6823</v>
      </c>
    </row>
    <row r="6851" spans="18:18" ht="14.25">
      <c r="R6851" s="20">
        <v>6824</v>
      </c>
    </row>
    <row r="6852" spans="18:18" ht="14.25">
      <c r="R6852" s="20">
        <v>6825</v>
      </c>
    </row>
    <row r="6853" spans="18:18" ht="14.25">
      <c r="R6853" s="20">
        <v>6826</v>
      </c>
    </row>
    <row r="6854" spans="18:18" ht="14.25">
      <c r="R6854" s="20">
        <v>6827</v>
      </c>
    </row>
    <row r="6855" spans="18:18" ht="14.25">
      <c r="R6855" s="20">
        <v>6828</v>
      </c>
    </row>
    <row r="6856" spans="18:18" ht="14.25">
      <c r="R6856" s="20">
        <v>6829</v>
      </c>
    </row>
    <row r="6857" spans="18:18" ht="14.25">
      <c r="R6857" s="20">
        <v>6830</v>
      </c>
    </row>
    <row r="6858" spans="18:18" ht="14.25">
      <c r="R6858" s="20">
        <v>6831</v>
      </c>
    </row>
    <row r="6859" spans="18:18" ht="14.25">
      <c r="R6859" s="20">
        <v>6832</v>
      </c>
    </row>
    <row r="6860" spans="18:18" ht="14.25">
      <c r="R6860" s="20">
        <v>6833</v>
      </c>
    </row>
    <row r="6861" spans="18:18" ht="14.25">
      <c r="R6861" s="20">
        <v>6834</v>
      </c>
    </row>
    <row r="6862" spans="18:18" ht="14.25">
      <c r="R6862" s="20">
        <v>6835</v>
      </c>
    </row>
    <row r="6863" spans="18:18" ht="14.25">
      <c r="R6863" s="20">
        <v>6836</v>
      </c>
    </row>
    <row r="6864" spans="18:18" ht="14.25">
      <c r="R6864" s="20">
        <v>6837</v>
      </c>
    </row>
    <row r="6865" spans="18:18" ht="14.25">
      <c r="R6865" s="20">
        <v>6838</v>
      </c>
    </row>
    <row r="6866" spans="18:18" ht="14.25">
      <c r="R6866" s="20">
        <v>6839</v>
      </c>
    </row>
    <row r="6867" spans="18:18" ht="14.25">
      <c r="R6867" s="20">
        <v>6840</v>
      </c>
    </row>
    <row r="6868" spans="18:18" ht="14.25">
      <c r="R6868" s="20">
        <v>6841</v>
      </c>
    </row>
    <row r="6869" spans="18:18" ht="14.25">
      <c r="R6869" s="20">
        <v>6842</v>
      </c>
    </row>
    <row r="6870" spans="18:18" ht="14.25">
      <c r="R6870" s="20">
        <v>6843</v>
      </c>
    </row>
    <row r="6871" spans="18:18" ht="14.25">
      <c r="R6871" s="20">
        <v>6844</v>
      </c>
    </row>
    <row r="6872" spans="18:18" ht="14.25">
      <c r="R6872" s="20">
        <v>6845</v>
      </c>
    </row>
    <row r="6873" spans="18:18" ht="14.25">
      <c r="R6873" s="20">
        <v>6846</v>
      </c>
    </row>
    <row r="6874" spans="18:18" ht="14.25">
      <c r="R6874" s="20">
        <v>6847</v>
      </c>
    </row>
    <row r="6875" spans="18:18" ht="14.25">
      <c r="R6875" s="20">
        <v>6848</v>
      </c>
    </row>
    <row r="6876" spans="18:18" ht="14.25">
      <c r="R6876" s="20">
        <v>6849</v>
      </c>
    </row>
    <row r="6877" spans="18:18" ht="14.25">
      <c r="R6877" s="20">
        <v>6850</v>
      </c>
    </row>
    <row r="6878" spans="18:18" ht="14.25">
      <c r="R6878" s="20">
        <v>6851</v>
      </c>
    </row>
    <row r="6879" spans="18:18" ht="14.25">
      <c r="R6879" s="20">
        <v>6852</v>
      </c>
    </row>
    <row r="6880" spans="18:18" ht="14.25">
      <c r="R6880" s="20">
        <v>6853</v>
      </c>
    </row>
    <row r="6881" spans="18:18" ht="14.25">
      <c r="R6881" s="20">
        <v>6854</v>
      </c>
    </row>
    <row r="6882" spans="18:18" ht="14.25">
      <c r="R6882" s="20">
        <v>6855</v>
      </c>
    </row>
    <row r="6883" spans="18:18" ht="14.25">
      <c r="R6883" s="20">
        <v>6856</v>
      </c>
    </row>
    <row r="6884" spans="18:18" ht="14.25">
      <c r="R6884" s="20">
        <v>6857</v>
      </c>
    </row>
    <row r="6885" spans="18:18" ht="14.25">
      <c r="R6885" s="20">
        <v>6858</v>
      </c>
    </row>
    <row r="6886" spans="18:18" ht="14.25">
      <c r="R6886" s="20">
        <v>6859</v>
      </c>
    </row>
    <row r="6887" spans="18:18" ht="14.25">
      <c r="R6887" s="20">
        <v>6860</v>
      </c>
    </row>
    <row r="6888" spans="18:18" ht="14.25">
      <c r="R6888" s="20">
        <v>6861</v>
      </c>
    </row>
    <row r="6889" spans="18:18" ht="14.25">
      <c r="R6889" s="20">
        <v>6862</v>
      </c>
    </row>
    <row r="6890" spans="18:18" ht="14.25">
      <c r="R6890" s="20">
        <v>6863</v>
      </c>
    </row>
    <row r="6891" spans="18:18" ht="14.25">
      <c r="R6891" s="20">
        <v>6864</v>
      </c>
    </row>
    <row r="6892" spans="18:18" ht="14.25">
      <c r="R6892" s="20">
        <v>6865</v>
      </c>
    </row>
    <row r="6893" spans="18:18" ht="14.25">
      <c r="R6893" s="20">
        <v>6866</v>
      </c>
    </row>
    <row r="6894" spans="18:18" ht="14.25">
      <c r="R6894" s="20">
        <v>6867</v>
      </c>
    </row>
    <row r="6895" spans="18:18" ht="14.25">
      <c r="R6895" s="20">
        <v>6868</v>
      </c>
    </row>
    <row r="6896" spans="18:18" ht="14.25">
      <c r="R6896" s="20">
        <v>6869</v>
      </c>
    </row>
    <row r="6897" spans="18:18" ht="14.25">
      <c r="R6897" s="20">
        <v>6870</v>
      </c>
    </row>
    <row r="6898" spans="18:18" ht="14.25">
      <c r="R6898" s="20">
        <v>6871</v>
      </c>
    </row>
    <row r="6899" spans="18:18" ht="14.25">
      <c r="R6899" s="20">
        <v>6872</v>
      </c>
    </row>
    <row r="6900" spans="18:18" ht="14.25">
      <c r="R6900" s="20">
        <v>6873</v>
      </c>
    </row>
    <row r="6901" spans="18:18" ht="14.25">
      <c r="R6901" s="20">
        <v>6874</v>
      </c>
    </row>
    <row r="6902" spans="18:18" ht="14.25">
      <c r="R6902" s="20">
        <v>6875</v>
      </c>
    </row>
    <row r="6903" spans="18:18" ht="14.25">
      <c r="R6903" s="20">
        <v>6876</v>
      </c>
    </row>
    <row r="6904" spans="18:18" ht="14.25">
      <c r="R6904" s="20">
        <v>6877</v>
      </c>
    </row>
    <row r="6905" spans="18:18" ht="14.25">
      <c r="R6905" s="20">
        <v>6878</v>
      </c>
    </row>
    <row r="6906" spans="18:18" ht="14.25">
      <c r="R6906" s="20">
        <v>6879</v>
      </c>
    </row>
    <row r="6907" spans="18:18" ht="14.25">
      <c r="R6907" s="20">
        <v>6880</v>
      </c>
    </row>
    <row r="6908" spans="18:18" ht="14.25">
      <c r="R6908" s="20">
        <v>6881</v>
      </c>
    </row>
    <row r="6909" spans="18:18" ht="14.25">
      <c r="R6909" s="20">
        <v>6882</v>
      </c>
    </row>
    <row r="6910" spans="18:18" ht="14.25">
      <c r="R6910" s="20">
        <v>6883</v>
      </c>
    </row>
    <row r="6911" spans="18:18" ht="14.25">
      <c r="R6911" s="20">
        <v>6884</v>
      </c>
    </row>
    <row r="6912" spans="18:18" ht="14.25">
      <c r="R6912" s="20">
        <v>6885</v>
      </c>
    </row>
    <row r="6913" spans="18:18" ht="14.25">
      <c r="R6913" s="20">
        <v>6886</v>
      </c>
    </row>
    <row r="6914" spans="18:18" ht="14.25">
      <c r="R6914" s="20">
        <v>6887</v>
      </c>
    </row>
    <row r="6915" spans="18:18" ht="14.25">
      <c r="R6915" s="20">
        <v>6888</v>
      </c>
    </row>
    <row r="6916" spans="18:18" ht="14.25">
      <c r="R6916" s="20">
        <v>6889</v>
      </c>
    </row>
    <row r="6917" spans="18:18" ht="14.25">
      <c r="R6917" s="20">
        <v>6890</v>
      </c>
    </row>
    <row r="6918" spans="18:18" ht="14.25">
      <c r="R6918" s="20">
        <v>6891</v>
      </c>
    </row>
    <row r="6919" spans="18:18" ht="14.25">
      <c r="R6919" s="20">
        <v>6892</v>
      </c>
    </row>
    <row r="6920" spans="18:18" ht="14.25">
      <c r="R6920" s="20">
        <v>6893</v>
      </c>
    </row>
    <row r="6921" spans="18:18" ht="14.25">
      <c r="R6921" s="20">
        <v>6894</v>
      </c>
    </row>
    <row r="6922" spans="18:18" ht="14.25">
      <c r="R6922" s="20">
        <v>6895</v>
      </c>
    </row>
    <row r="6923" spans="18:18" ht="14.25">
      <c r="R6923" s="20">
        <v>6896</v>
      </c>
    </row>
    <row r="6924" spans="18:18" ht="14.25">
      <c r="R6924" s="20">
        <v>6897</v>
      </c>
    </row>
    <row r="6925" spans="18:18" ht="14.25">
      <c r="R6925" s="20">
        <v>6898</v>
      </c>
    </row>
    <row r="6926" spans="18:18" ht="14.25">
      <c r="R6926" s="20">
        <v>6899</v>
      </c>
    </row>
    <row r="6927" spans="18:18" ht="14.25">
      <c r="R6927" s="20">
        <v>6900</v>
      </c>
    </row>
    <row r="6928" spans="18:18" ht="14.25">
      <c r="R6928" s="20">
        <v>6901</v>
      </c>
    </row>
    <row r="6929" spans="18:18" ht="14.25">
      <c r="R6929" s="20">
        <v>6902</v>
      </c>
    </row>
    <row r="6930" spans="18:18" ht="14.25">
      <c r="R6930" s="20">
        <v>6903</v>
      </c>
    </row>
    <row r="6931" spans="18:18" ht="14.25">
      <c r="R6931" s="20">
        <v>6904</v>
      </c>
    </row>
    <row r="6932" spans="18:18" ht="14.25">
      <c r="R6932" s="20">
        <v>6905</v>
      </c>
    </row>
    <row r="6933" spans="18:18" ht="14.25">
      <c r="R6933" s="20">
        <v>6906</v>
      </c>
    </row>
    <row r="6934" spans="18:18" ht="14.25">
      <c r="R6934" s="20">
        <v>6907</v>
      </c>
    </row>
    <row r="6935" spans="18:18" ht="14.25">
      <c r="R6935" s="20">
        <v>6908</v>
      </c>
    </row>
    <row r="6936" spans="18:18" ht="14.25">
      <c r="R6936" s="20">
        <v>6909</v>
      </c>
    </row>
    <row r="6937" spans="18:18" ht="14.25">
      <c r="R6937" s="20">
        <v>6910</v>
      </c>
    </row>
    <row r="6938" spans="18:18" ht="14.25">
      <c r="R6938" s="20">
        <v>6911</v>
      </c>
    </row>
    <row r="6939" spans="18:18" ht="14.25">
      <c r="R6939" s="20">
        <v>6912</v>
      </c>
    </row>
    <row r="6940" spans="18:18" ht="14.25">
      <c r="R6940" s="20">
        <v>6913</v>
      </c>
    </row>
    <row r="6941" spans="18:18" ht="14.25">
      <c r="R6941" s="20">
        <v>6914</v>
      </c>
    </row>
    <row r="6942" spans="18:18" ht="14.25">
      <c r="R6942" s="20">
        <v>6915</v>
      </c>
    </row>
    <row r="6943" spans="18:18" ht="14.25">
      <c r="R6943" s="20">
        <v>6916</v>
      </c>
    </row>
    <row r="6944" spans="18:18" ht="14.25">
      <c r="R6944" s="20">
        <v>6917</v>
      </c>
    </row>
    <row r="6945" spans="18:18" ht="14.25">
      <c r="R6945" s="20">
        <v>6918</v>
      </c>
    </row>
    <row r="6946" spans="18:18" ht="14.25">
      <c r="R6946" s="20">
        <v>6919</v>
      </c>
    </row>
    <row r="6947" spans="18:18" ht="14.25">
      <c r="R6947" s="20">
        <v>6920</v>
      </c>
    </row>
    <row r="6948" spans="18:18" ht="14.25">
      <c r="R6948" s="20">
        <v>6921</v>
      </c>
    </row>
    <row r="6949" spans="18:18" ht="14.25">
      <c r="R6949" s="20">
        <v>6922</v>
      </c>
    </row>
    <row r="6950" spans="18:18" ht="14.25">
      <c r="R6950" s="20">
        <v>6923</v>
      </c>
    </row>
    <row r="6951" spans="18:18" ht="14.25">
      <c r="R6951" s="20">
        <v>6924</v>
      </c>
    </row>
    <row r="6952" spans="18:18" ht="14.25">
      <c r="R6952" s="20">
        <v>6925</v>
      </c>
    </row>
    <row r="6953" spans="18:18" ht="14.25">
      <c r="R6953" s="20">
        <v>6926</v>
      </c>
    </row>
    <row r="6954" spans="18:18" ht="14.25">
      <c r="R6954" s="20">
        <v>6927</v>
      </c>
    </row>
    <row r="6955" spans="18:18" ht="14.25">
      <c r="R6955" s="20">
        <v>6928</v>
      </c>
    </row>
    <row r="6956" spans="18:18" ht="14.25">
      <c r="R6956" s="20">
        <v>6929</v>
      </c>
    </row>
    <row r="6957" spans="18:18" ht="14.25">
      <c r="R6957" s="20">
        <v>6930</v>
      </c>
    </row>
    <row r="6958" spans="18:18" ht="14.25">
      <c r="R6958" s="20">
        <v>6931</v>
      </c>
    </row>
    <row r="6959" spans="18:18" ht="14.25">
      <c r="R6959" s="20">
        <v>6932</v>
      </c>
    </row>
    <row r="6960" spans="18:18" ht="14.25">
      <c r="R6960" s="20">
        <v>6933</v>
      </c>
    </row>
    <row r="6961" spans="18:18" ht="14.25">
      <c r="R6961" s="20">
        <v>6934</v>
      </c>
    </row>
    <row r="6962" spans="18:18" ht="14.25">
      <c r="R6962" s="20">
        <v>6935</v>
      </c>
    </row>
    <row r="6963" spans="18:18" ht="14.25">
      <c r="R6963" s="20">
        <v>6936</v>
      </c>
    </row>
    <row r="6964" spans="18:18" ht="14.25">
      <c r="R6964" s="20">
        <v>6937</v>
      </c>
    </row>
    <row r="6965" spans="18:18" ht="14.25">
      <c r="R6965" s="20">
        <v>6938</v>
      </c>
    </row>
    <row r="6966" spans="18:18" ht="14.25">
      <c r="R6966" s="20">
        <v>6939</v>
      </c>
    </row>
    <row r="6967" spans="18:18" ht="14.25">
      <c r="R6967" s="20">
        <v>6940</v>
      </c>
    </row>
    <row r="6968" spans="18:18" ht="14.25">
      <c r="R6968" s="20">
        <v>6941</v>
      </c>
    </row>
    <row r="6969" spans="18:18" ht="14.25">
      <c r="R6969" s="20">
        <v>6942</v>
      </c>
    </row>
    <row r="6970" spans="18:18" ht="14.25">
      <c r="R6970" s="20">
        <v>6943</v>
      </c>
    </row>
    <row r="6971" spans="18:18" ht="14.25">
      <c r="R6971" s="20">
        <v>6944</v>
      </c>
    </row>
    <row r="6972" spans="18:18" ht="14.25">
      <c r="R6972" s="20">
        <v>6945</v>
      </c>
    </row>
    <row r="6973" spans="18:18" ht="14.25">
      <c r="R6973" s="20">
        <v>6946</v>
      </c>
    </row>
    <row r="6974" spans="18:18" ht="14.25">
      <c r="R6974" s="20">
        <v>6947</v>
      </c>
    </row>
    <row r="6975" spans="18:18" ht="14.25">
      <c r="R6975" s="20">
        <v>6948</v>
      </c>
    </row>
    <row r="6976" spans="18:18" ht="14.25">
      <c r="R6976" s="20">
        <v>6949</v>
      </c>
    </row>
    <row r="6977" spans="18:18" ht="14.25">
      <c r="R6977" s="20">
        <v>6950</v>
      </c>
    </row>
    <row r="6978" spans="18:18" ht="14.25">
      <c r="R6978" s="20">
        <v>6951</v>
      </c>
    </row>
    <row r="6979" spans="18:18" ht="14.25">
      <c r="R6979" s="20">
        <v>6952</v>
      </c>
    </row>
    <row r="6980" spans="18:18" ht="14.25">
      <c r="R6980" s="20">
        <v>6953</v>
      </c>
    </row>
    <row r="6981" spans="18:18" ht="14.25">
      <c r="R6981" s="20">
        <v>6954</v>
      </c>
    </row>
    <row r="6982" spans="18:18" ht="14.25">
      <c r="R6982" s="20">
        <v>6955</v>
      </c>
    </row>
    <row r="6983" spans="18:18" ht="14.25">
      <c r="R6983" s="20">
        <v>6956</v>
      </c>
    </row>
    <row r="6984" spans="18:18" ht="14.25">
      <c r="R6984" s="20">
        <v>6957</v>
      </c>
    </row>
    <row r="6985" spans="18:18" ht="14.25">
      <c r="R6985" s="20">
        <v>6958</v>
      </c>
    </row>
    <row r="6986" spans="18:18" ht="14.25">
      <c r="R6986" s="20">
        <v>6959</v>
      </c>
    </row>
    <row r="6987" spans="18:18" ht="14.25">
      <c r="R6987" s="20">
        <v>6960</v>
      </c>
    </row>
    <row r="6988" spans="18:18" ht="14.25">
      <c r="R6988" s="20">
        <v>6961</v>
      </c>
    </row>
    <row r="6989" spans="18:18" ht="14.25">
      <c r="R6989" s="20">
        <v>6962</v>
      </c>
    </row>
    <row r="6990" spans="18:18" ht="14.25">
      <c r="R6990" s="20">
        <v>6963</v>
      </c>
    </row>
    <row r="6991" spans="18:18" ht="14.25">
      <c r="R6991" s="20">
        <v>6964</v>
      </c>
    </row>
    <row r="6992" spans="18:18" ht="14.25">
      <c r="R6992" s="20">
        <v>6965</v>
      </c>
    </row>
    <row r="6993" spans="18:18" ht="14.25">
      <c r="R6993" s="20">
        <v>6966</v>
      </c>
    </row>
    <row r="6994" spans="18:18" ht="14.25">
      <c r="R6994" s="20">
        <v>6967</v>
      </c>
    </row>
    <row r="6995" spans="18:18" ht="14.25">
      <c r="R6995" s="20">
        <v>6968</v>
      </c>
    </row>
    <row r="6996" spans="18:18" ht="14.25">
      <c r="R6996" s="20">
        <v>6969</v>
      </c>
    </row>
    <row r="6997" spans="18:18" ht="14.25">
      <c r="R6997" s="20">
        <v>6970</v>
      </c>
    </row>
    <row r="6998" spans="18:18" ht="14.25">
      <c r="R6998" s="20">
        <v>6971</v>
      </c>
    </row>
    <row r="6999" spans="18:18" ht="14.25">
      <c r="R6999" s="20">
        <v>6972</v>
      </c>
    </row>
    <row r="7000" spans="18:18" ht="14.25">
      <c r="R7000" s="20">
        <v>6973</v>
      </c>
    </row>
    <row r="7001" spans="18:18" ht="14.25">
      <c r="R7001" s="20">
        <v>6974</v>
      </c>
    </row>
    <row r="7002" spans="18:18" ht="14.25">
      <c r="R7002" s="20">
        <v>6975</v>
      </c>
    </row>
    <row r="7003" spans="18:18" ht="14.25">
      <c r="R7003" s="20">
        <v>6976</v>
      </c>
    </row>
    <row r="7004" spans="18:18" ht="14.25">
      <c r="R7004" s="20">
        <v>6977</v>
      </c>
    </row>
    <row r="7005" spans="18:18" ht="14.25">
      <c r="R7005" s="20">
        <v>6978</v>
      </c>
    </row>
    <row r="7006" spans="18:18" ht="14.25">
      <c r="R7006" s="20">
        <v>6979</v>
      </c>
    </row>
    <row r="7007" spans="18:18" ht="14.25">
      <c r="R7007" s="20">
        <v>6980</v>
      </c>
    </row>
    <row r="7008" spans="18:18" ht="14.25">
      <c r="R7008" s="20">
        <v>6981</v>
      </c>
    </row>
    <row r="7009" spans="18:18" ht="14.25">
      <c r="R7009" s="20">
        <v>6982</v>
      </c>
    </row>
    <row r="7010" spans="18:18" ht="14.25">
      <c r="R7010" s="20">
        <v>6983</v>
      </c>
    </row>
    <row r="7011" spans="18:18" ht="14.25">
      <c r="R7011" s="20">
        <v>6984</v>
      </c>
    </row>
    <row r="7012" spans="18:18" ht="14.25">
      <c r="R7012" s="20">
        <v>6985</v>
      </c>
    </row>
    <row r="7013" spans="18:18" ht="14.25">
      <c r="R7013" s="20">
        <v>6986</v>
      </c>
    </row>
    <row r="7014" spans="18:18" ht="14.25">
      <c r="R7014" s="20">
        <v>6987</v>
      </c>
    </row>
    <row r="7015" spans="18:18" ht="14.25">
      <c r="R7015" s="20">
        <v>6988</v>
      </c>
    </row>
    <row r="7016" spans="18:18" ht="14.25">
      <c r="R7016" s="20">
        <v>6989</v>
      </c>
    </row>
    <row r="7017" spans="18:18" ht="14.25">
      <c r="R7017" s="20">
        <v>6990</v>
      </c>
    </row>
    <row r="7018" spans="18:18" ht="14.25">
      <c r="R7018" s="20">
        <v>6991</v>
      </c>
    </row>
    <row r="7019" spans="18:18" ht="14.25">
      <c r="R7019" s="20">
        <v>6992</v>
      </c>
    </row>
    <row r="7020" spans="18:18" ht="14.25">
      <c r="R7020" s="20">
        <v>6993</v>
      </c>
    </row>
    <row r="7021" spans="18:18" ht="14.25">
      <c r="R7021" s="20">
        <v>6994</v>
      </c>
    </row>
    <row r="7022" spans="18:18" ht="14.25">
      <c r="R7022" s="20">
        <v>6995</v>
      </c>
    </row>
    <row r="7023" spans="18:18" ht="14.25">
      <c r="R7023" s="20">
        <v>6996</v>
      </c>
    </row>
    <row r="7024" spans="18:18" ht="14.25">
      <c r="R7024" s="20">
        <v>6997</v>
      </c>
    </row>
    <row r="7025" spans="18:18" ht="14.25">
      <c r="R7025" s="20">
        <v>6998</v>
      </c>
    </row>
    <row r="7026" spans="18:18" ht="14.25">
      <c r="R7026" s="20">
        <v>6999</v>
      </c>
    </row>
    <row r="7027" spans="18:18" ht="14.25">
      <c r="R7027" s="20">
        <v>7000</v>
      </c>
    </row>
    <row r="7028" spans="18:18" ht="14.25">
      <c r="R7028" s="20">
        <v>7001</v>
      </c>
    </row>
    <row r="7029" spans="18:18" ht="14.25">
      <c r="R7029" s="20">
        <v>7002</v>
      </c>
    </row>
    <row r="7030" spans="18:18" ht="14.25">
      <c r="R7030" s="20">
        <v>7003</v>
      </c>
    </row>
    <row r="7031" spans="18:18" ht="14.25">
      <c r="R7031" s="20">
        <v>7004</v>
      </c>
    </row>
    <row r="7032" spans="18:18" ht="14.25">
      <c r="R7032" s="20">
        <v>7005</v>
      </c>
    </row>
    <row r="7033" spans="18:18" ht="14.25">
      <c r="R7033" s="20">
        <v>7006</v>
      </c>
    </row>
    <row r="7034" spans="18:18" ht="14.25">
      <c r="R7034" s="20">
        <v>7007</v>
      </c>
    </row>
    <row r="7035" spans="18:18" ht="14.25">
      <c r="R7035" s="20">
        <v>7008</v>
      </c>
    </row>
    <row r="7036" spans="18:18" ht="14.25">
      <c r="R7036" s="20">
        <v>7009</v>
      </c>
    </row>
    <row r="7037" spans="18:18" ht="14.25">
      <c r="R7037" s="20">
        <v>7010</v>
      </c>
    </row>
    <row r="7038" spans="18:18" ht="14.25">
      <c r="R7038" s="20">
        <v>7011</v>
      </c>
    </row>
    <row r="7039" spans="18:18" ht="14.25">
      <c r="R7039" s="20">
        <v>7012</v>
      </c>
    </row>
    <row r="7040" spans="18:18" ht="14.25">
      <c r="R7040" s="20">
        <v>7013</v>
      </c>
    </row>
    <row r="7041" spans="18:18" ht="14.25">
      <c r="R7041" s="20">
        <v>7014</v>
      </c>
    </row>
    <row r="7042" spans="18:18" ht="14.25">
      <c r="R7042" s="20">
        <v>7015</v>
      </c>
    </row>
    <row r="7043" spans="18:18" ht="14.25">
      <c r="R7043" s="20">
        <v>7016</v>
      </c>
    </row>
    <row r="7044" spans="18:18" ht="14.25">
      <c r="R7044" s="20">
        <v>7017</v>
      </c>
    </row>
    <row r="7045" spans="18:18" ht="14.25">
      <c r="R7045" s="20">
        <v>7018</v>
      </c>
    </row>
    <row r="7046" spans="18:18" ht="14.25">
      <c r="R7046" s="20">
        <v>7019</v>
      </c>
    </row>
    <row r="7047" spans="18:18" ht="14.25">
      <c r="R7047" s="20">
        <v>7020</v>
      </c>
    </row>
    <row r="7048" spans="18:18" ht="14.25">
      <c r="R7048" s="20">
        <v>7021</v>
      </c>
    </row>
    <row r="7049" spans="18:18" ht="14.25">
      <c r="R7049" s="20">
        <v>7022</v>
      </c>
    </row>
    <row r="7050" spans="18:18" ht="14.25">
      <c r="R7050" s="20">
        <v>7023</v>
      </c>
    </row>
    <row r="7051" spans="18:18" ht="14.25">
      <c r="R7051" s="20">
        <v>7024</v>
      </c>
    </row>
    <row r="7052" spans="18:18" ht="14.25">
      <c r="R7052" s="20">
        <v>7025</v>
      </c>
    </row>
    <row r="7053" spans="18:18" ht="14.25">
      <c r="R7053" s="20">
        <v>7026</v>
      </c>
    </row>
    <row r="7054" spans="18:18" ht="14.25">
      <c r="R7054" s="20">
        <v>7027</v>
      </c>
    </row>
    <row r="7055" spans="18:18" ht="14.25">
      <c r="R7055" s="20">
        <v>7028</v>
      </c>
    </row>
    <row r="7056" spans="18:18" ht="14.25">
      <c r="R7056" s="20">
        <v>7029</v>
      </c>
    </row>
    <row r="7057" spans="18:18" ht="14.25">
      <c r="R7057" s="20">
        <v>7030</v>
      </c>
    </row>
    <row r="7058" spans="18:18" ht="14.25">
      <c r="R7058" s="20">
        <v>7031</v>
      </c>
    </row>
    <row r="7059" spans="18:18" ht="14.25">
      <c r="R7059" s="20">
        <v>7032</v>
      </c>
    </row>
    <row r="7060" spans="18:18" ht="14.25">
      <c r="R7060" s="20">
        <v>7033</v>
      </c>
    </row>
    <row r="7061" spans="18:18" ht="14.25">
      <c r="R7061" s="20">
        <v>7034</v>
      </c>
    </row>
    <row r="7062" spans="18:18" ht="14.25">
      <c r="R7062" s="20">
        <v>7035</v>
      </c>
    </row>
    <row r="7063" spans="18:18" ht="14.25">
      <c r="R7063" s="20">
        <v>7036</v>
      </c>
    </row>
    <row r="7064" spans="18:18" ht="14.25">
      <c r="R7064" s="20">
        <v>7037</v>
      </c>
    </row>
    <row r="7065" spans="18:18" ht="14.25">
      <c r="R7065" s="20">
        <v>7038</v>
      </c>
    </row>
    <row r="7066" spans="18:18" ht="14.25">
      <c r="R7066" s="20">
        <v>7039</v>
      </c>
    </row>
    <row r="7067" spans="18:18" ht="14.25">
      <c r="R7067" s="20">
        <v>7040</v>
      </c>
    </row>
    <row r="7068" spans="18:18" ht="14.25">
      <c r="R7068" s="20">
        <v>7041</v>
      </c>
    </row>
    <row r="7069" spans="18:18" ht="14.25">
      <c r="R7069" s="20">
        <v>7042</v>
      </c>
    </row>
    <row r="7070" spans="18:18" ht="14.25">
      <c r="R7070" s="20">
        <v>7043</v>
      </c>
    </row>
    <row r="7071" spans="18:18" ht="14.25">
      <c r="R7071" s="20">
        <v>7044</v>
      </c>
    </row>
    <row r="7072" spans="18:18" ht="14.25">
      <c r="R7072" s="20">
        <v>7045</v>
      </c>
    </row>
    <row r="7073" spans="18:18" ht="14.25">
      <c r="R7073" s="20">
        <v>7046</v>
      </c>
    </row>
    <row r="7074" spans="18:18" ht="14.25">
      <c r="R7074" s="20">
        <v>7047</v>
      </c>
    </row>
    <row r="7075" spans="18:18" ht="14.25">
      <c r="R7075" s="20">
        <v>7048</v>
      </c>
    </row>
    <row r="7076" spans="18:18" ht="14.25">
      <c r="R7076" s="20">
        <v>7049</v>
      </c>
    </row>
    <row r="7077" spans="18:18" ht="14.25">
      <c r="R7077" s="20">
        <v>7050</v>
      </c>
    </row>
    <row r="7078" spans="18:18" ht="14.25">
      <c r="R7078" s="20">
        <v>7051</v>
      </c>
    </row>
    <row r="7079" spans="18:18" ht="14.25">
      <c r="R7079" s="20">
        <v>7052</v>
      </c>
    </row>
    <row r="7080" spans="18:18" ht="14.25">
      <c r="R7080" s="20">
        <v>7053</v>
      </c>
    </row>
    <row r="7081" spans="18:18" ht="14.25">
      <c r="R7081" s="20">
        <v>7054</v>
      </c>
    </row>
    <row r="7082" spans="18:18" ht="14.25">
      <c r="R7082" s="20">
        <v>7055</v>
      </c>
    </row>
    <row r="7083" spans="18:18" ht="14.25">
      <c r="R7083" s="20">
        <v>7056</v>
      </c>
    </row>
    <row r="7084" spans="18:18" ht="14.25">
      <c r="R7084" s="20">
        <v>7057</v>
      </c>
    </row>
    <row r="7085" spans="18:18" ht="14.25">
      <c r="R7085" s="20">
        <v>7058</v>
      </c>
    </row>
    <row r="7086" spans="18:18" ht="14.25">
      <c r="R7086" s="20">
        <v>7059</v>
      </c>
    </row>
    <row r="7087" spans="18:18" ht="14.25">
      <c r="R7087" s="20">
        <v>7060</v>
      </c>
    </row>
    <row r="7088" spans="18:18" ht="14.25">
      <c r="R7088" s="20">
        <v>7061</v>
      </c>
    </row>
    <row r="7089" spans="18:18" ht="14.25">
      <c r="R7089" s="20">
        <v>7062</v>
      </c>
    </row>
    <row r="7090" spans="18:18" ht="14.25">
      <c r="R7090" s="20">
        <v>7063</v>
      </c>
    </row>
    <row r="7091" spans="18:18" ht="14.25">
      <c r="R7091" s="20">
        <v>7064</v>
      </c>
    </row>
    <row r="7092" spans="18:18" ht="14.25">
      <c r="R7092" s="20">
        <v>7065</v>
      </c>
    </row>
    <row r="7093" spans="18:18" ht="14.25">
      <c r="R7093" s="20">
        <v>7066</v>
      </c>
    </row>
    <row r="7094" spans="18:18" ht="14.25">
      <c r="R7094" s="20">
        <v>7067</v>
      </c>
    </row>
    <row r="7095" spans="18:18" ht="14.25">
      <c r="R7095" s="20">
        <v>7068</v>
      </c>
    </row>
    <row r="7096" spans="18:18" ht="14.25">
      <c r="R7096" s="20">
        <v>7069</v>
      </c>
    </row>
    <row r="7097" spans="18:18" ht="14.25">
      <c r="R7097" s="20">
        <v>7070</v>
      </c>
    </row>
    <row r="7098" spans="18:18" ht="14.25">
      <c r="R7098" s="20">
        <v>7071</v>
      </c>
    </row>
    <row r="7099" spans="18:18" ht="14.25">
      <c r="R7099" s="20">
        <v>7072</v>
      </c>
    </row>
    <row r="7100" spans="18:18" ht="14.25">
      <c r="R7100" s="20">
        <v>7073</v>
      </c>
    </row>
    <row r="7101" spans="18:18" ht="14.25">
      <c r="R7101" s="20">
        <v>7074</v>
      </c>
    </row>
    <row r="7102" spans="18:18" ht="14.25">
      <c r="R7102" s="20">
        <v>7075</v>
      </c>
    </row>
    <row r="7103" spans="18:18" ht="14.25">
      <c r="R7103" s="20">
        <v>7076</v>
      </c>
    </row>
    <row r="7104" spans="18:18" ht="14.25">
      <c r="R7104" s="20">
        <v>7077</v>
      </c>
    </row>
    <row r="7105" spans="18:18" ht="14.25">
      <c r="R7105" s="20">
        <v>7078</v>
      </c>
    </row>
    <row r="7106" spans="18:18" ht="14.25">
      <c r="R7106" s="20">
        <v>7079</v>
      </c>
    </row>
    <row r="7107" spans="18:18" ht="14.25">
      <c r="R7107" s="20">
        <v>7080</v>
      </c>
    </row>
    <row r="7108" spans="18:18" ht="14.25">
      <c r="R7108" s="20">
        <v>7081</v>
      </c>
    </row>
    <row r="7109" spans="18:18" ht="14.25">
      <c r="R7109" s="20">
        <v>7082</v>
      </c>
    </row>
    <row r="7110" spans="18:18" ht="14.25">
      <c r="R7110" s="20">
        <v>7083</v>
      </c>
    </row>
    <row r="7111" spans="18:18" ht="14.25">
      <c r="R7111" s="20">
        <v>7084</v>
      </c>
    </row>
    <row r="7112" spans="18:18" ht="14.25">
      <c r="R7112" s="20">
        <v>7085</v>
      </c>
    </row>
    <row r="7113" spans="18:18" ht="14.25">
      <c r="R7113" s="20">
        <v>7086</v>
      </c>
    </row>
    <row r="7114" spans="18:18" ht="14.25">
      <c r="R7114" s="20">
        <v>7087</v>
      </c>
    </row>
    <row r="7115" spans="18:18" ht="14.25">
      <c r="R7115" s="20">
        <v>7088</v>
      </c>
    </row>
    <row r="7116" spans="18:18" ht="14.25">
      <c r="R7116" s="20">
        <v>7089</v>
      </c>
    </row>
    <row r="7117" spans="18:18" ht="14.25">
      <c r="R7117" s="20">
        <v>7090</v>
      </c>
    </row>
    <row r="7118" spans="18:18" ht="14.25">
      <c r="R7118" s="20">
        <v>7091</v>
      </c>
    </row>
    <row r="7119" spans="18:18" ht="14.25">
      <c r="R7119" s="20">
        <v>7092</v>
      </c>
    </row>
    <row r="7120" spans="18:18" ht="14.25">
      <c r="R7120" s="20">
        <v>7093</v>
      </c>
    </row>
    <row r="7121" spans="18:18" ht="14.25">
      <c r="R7121" s="20">
        <v>7094</v>
      </c>
    </row>
    <row r="7122" spans="18:18" ht="14.25">
      <c r="R7122" s="20">
        <v>7095</v>
      </c>
    </row>
    <row r="7123" spans="18:18" ht="14.25">
      <c r="R7123" s="20">
        <v>7096</v>
      </c>
    </row>
    <row r="7124" spans="18:18" ht="14.25">
      <c r="R7124" s="20">
        <v>7097</v>
      </c>
    </row>
    <row r="7125" spans="18:18" ht="14.25">
      <c r="R7125" s="20">
        <v>7098</v>
      </c>
    </row>
    <row r="7126" spans="18:18" ht="14.25">
      <c r="R7126" s="20">
        <v>7099</v>
      </c>
    </row>
    <row r="7127" spans="18:18" ht="14.25">
      <c r="R7127" s="20">
        <v>7100</v>
      </c>
    </row>
    <row r="7128" spans="18:18" ht="14.25">
      <c r="R7128" s="20">
        <v>7101</v>
      </c>
    </row>
    <row r="7129" spans="18:18" ht="14.25">
      <c r="R7129" s="20">
        <v>7102</v>
      </c>
    </row>
    <row r="7130" spans="18:18" ht="14.25">
      <c r="R7130" s="20">
        <v>7103</v>
      </c>
    </row>
    <row r="7131" spans="18:18" ht="14.25">
      <c r="R7131" s="20">
        <v>7104</v>
      </c>
    </row>
    <row r="7132" spans="18:18" ht="14.25">
      <c r="R7132" s="20">
        <v>7105</v>
      </c>
    </row>
    <row r="7133" spans="18:18" ht="14.25">
      <c r="R7133" s="20">
        <v>7106</v>
      </c>
    </row>
    <row r="7134" spans="18:18" ht="14.25">
      <c r="R7134" s="20">
        <v>7107</v>
      </c>
    </row>
    <row r="7135" spans="18:18" ht="14.25">
      <c r="R7135" s="20">
        <v>7108</v>
      </c>
    </row>
    <row r="7136" spans="18:18" ht="14.25">
      <c r="R7136" s="20">
        <v>7109</v>
      </c>
    </row>
    <row r="7137" spans="18:18" ht="14.25">
      <c r="R7137" s="20">
        <v>7110</v>
      </c>
    </row>
    <row r="7138" spans="18:18" ht="14.25">
      <c r="R7138" s="20">
        <v>7111</v>
      </c>
    </row>
    <row r="7139" spans="18:18" ht="14.25">
      <c r="R7139" s="20">
        <v>7112</v>
      </c>
    </row>
    <row r="7140" spans="18:18" ht="14.25">
      <c r="R7140" s="20">
        <v>7113</v>
      </c>
    </row>
    <row r="7141" spans="18:18" ht="14.25">
      <c r="R7141" s="20">
        <v>7114</v>
      </c>
    </row>
    <row r="7142" spans="18:18" ht="14.25">
      <c r="R7142" s="20">
        <v>7115</v>
      </c>
    </row>
    <row r="7143" spans="18:18" ht="14.25">
      <c r="R7143" s="20">
        <v>7116</v>
      </c>
    </row>
    <row r="7144" spans="18:18" ht="14.25">
      <c r="R7144" s="20">
        <v>7117</v>
      </c>
    </row>
    <row r="7145" spans="18:18" ht="14.25">
      <c r="R7145" s="20">
        <v>7118</v>
      </c>
    </row>
    <row r="7146" spans="18:18" ht="14.25">
      <c r="R7146" s="20">
        <v>7119</v>
      </c>
    </row>
    <row r="7147" spans="18:18" ht="14.25">
      <c r="R7147" s="20">
        <v>7120</v>
      </c>
    </row>
    <row r="7148" spans="18:18" ht="14.25">
      <c r="R7148" s="20">
        <v>7121</v>
      </c>
    </row>
    <row r="7149" spans="18:18" ht="14.25">
      <c r="R7149" s="20">
        <v>7122</v>
      </c>
    </row>
    <row r="7150" spans="18:18" ht="14.25">
      <c r="R7150" s="20">
        <v>7123</v>
      </c>
    </row>
    <row r="7151" spans="18:18" ht="14.25">
      <c r="R7151" s="20">
        <v>7124</v>
      </c>
    </row>
    <row r="7152" spans="18:18" ht="14.25">
      <c r="R7152" s="20">
        <v>7125</v>
      </c>
    </row>
    <row r="7153" spans="18:18" ht="14.25">
      <c r="R7153" s="20">
        <v>7126</v>
      </c>
    </row>
    <row r="7154" spans="18:18" ht="14.25">
      <c r="R7154" s="20">
        <v>7127</v>
      </c>
    </row>
    <row r="7155" spans="18:18" ht="14.25">
      <c r="R7155" s="20">
        <v>7128</v>
      </c>
    </row>
    <row r="7156" spans="18:18" ht="14.25">
      <c r="R7156" s="20">
        <v>7129</v>
      </c>
    </row>
    <row r="7157" spans="18:18" ht="14.25">
      <c r="R7157" s="20">
        <v>7130</v>
      </c>
    </row>
    <row r="7158" spans="18:18" ht="14.25">
      <c r="R7158" s="20">
        <v>7131</v>
      </c>
    </row>
    <row r="7159" spans="18:18" ht="14.25">
      <c r="R7159" s="20">
        <v>7132</v>
      </c>
    </row>
    <row r="7160" spans="18:18" ht="14.25">
      <c r="R7160" s="20">
        <v>7133</v>
      </c>
    </row>
    <row r="7161" spans="18:18" ht="14.25">
      <c r="R7161" s="20">
        <v>7134</v>
      </c>
    </row>
    <row r="7162" spans="18:18" ht="14.25">
      <c r="R7162" s="20">
        <v>7135</v>
      </c>
    </row>
    <row r="7163" spans="18:18" ht="14.25">
      <c r="R7163" s="20">
        <v>7136</v>
      </c>
    </row>
    <row r="7164" spans="18:18" ht="14.25">
      <c r="R7164" s="20">
        <v>7137</v>
      </c>
    </row>
    <row r="7165" spans="18:18" ht="14.25">
      <c r="R7165" s="20">
        <v>7138</v>
      </c>
    </row>
    <row r="7166" spans="18:18" ht="14.25">
      <c r="R7166" s="20">
        <v>7139</v>
      </c>
    </row>
    <row r="7167" spans="18:18" ht="14.25">
      <c r="R7167" s="20">
        <v>7140</v>
      </c>
    </row>
    <row r="7168" spans="18:18" ht="14.25">
      <c r="R7168" s="20">
        <v>7141</v>
      </c>
    </row>
    <row r="7169" spans="18:18" ht="14.25">
      <c r="R7169" s="20">
        <v>7142</v>
      </c>
    </row>
    <row r="7170" spans="18:18" ht="14.25">
      <c r="R7170" s="20">
        <v>7143</v>
      </c>
    </row>
    <row r="7171" spans="18:18" ht="14.25">
      <c r="R7171" s="20">
        <v>7144</v>
      </c>
    </row>
    <row r="7172" spans="18:18" ht="14.25">
      <c r="R7172" s="20">
        <v>7145</v>
      </c>
    </row>
    <row r="7173" spans="18:18" ht="14.25">
      <c r="R7173" s="20">
        <v>7146</v>
      </c>
    </row>
    <row r="7174" spans="18:18" ht="14.25">
      <c r="R7174" s="20">
        <v>7147</v>
      </c>
    </row>
    <row r="7175" spans="18:18" ht="14.25">
      <c r="R7175" s="20">
        <v>7148</v>
      </c>
    </row>
    <row r="7176" spans="18:18" ht="14.25">
      <c r="R7176" s="20">
        <v>7149</v>
      </c>
    </row>
    <row r="7177" spans="18:18" ht="14.25">
      <c r="R7177" s="20">
        <v>7150</v>
      </c>
    </row>
    <row r="7178" spans="18:18" ht="14.25">
      <c r="R7178" s="20">
        <v>7151</v>
      </c>
    </row>
    <row r="7179" spans="18:18" ht="14.25">
      <c r="R7179" s="20">
        <v>7152</v>
      </c>
    </row>
    <row r="7180" spans="18:18" ht="14.25">
      <c r="R7180" s="20">
        <v>7153</v>
      </c>
    </row>
    <row r="7181" spans="18:18" ht="14.25">
      <c r="R7181" s="20">
        <v>7154</v>
      </c>
    </row>
    <row r="7182" spans="18:18" ht="14.25">
      <c r="R7182" s="20">
        <v>7155</v>
      </c>
    </row>
    <row r="7183" spans="18:18" ht="14.25">
      <c r="R7183" s="20">
        <v>7156</v>
      </c>
    </row>
    <row r="7184" spans="18:18" ht="14.25">
      <c r="R7184" s="20">
        <v>7157</v>
      </c>
    </row>
    <row r="7185" spans="18:18" ht="14.25">
      <c r="R7185" s="20">
        <v>7158</v>
      </c>
    </row>
    <row r="7186" spans="18:18" ht="14.25">
      <c r="R7186" s="20">
        <v>7159</v>
      </c>
    </row>
    <row r="7187" spans="18:18" ht="14.25">
      <c r="R7187" s="20">
        <v>7160</v>
      </c>
    </row>
    <row r="7188" spans="18:18" ht="14.25">
      <c r="R7188" s="20">
        <v>7161</v>
      </c>
    </row>
    <row r="7189" spans="18:18" ht="14.25">
      <c r="R7189" s="20">
        <v>7162</v>
      </c>
    </row>
    <row r="7190" spans="18:18" ht="14.25">
      <c r="R7190" s="20">
        <v>7163</v>
      </c>
    </row>
    <row r="7191" spans="18:18" ht="14.25">
      <c r="R7191" s="20">
        <v>7164</v>
      </c>
    </row>
    <row r="7192" spans="18:18" ht="14.25">
      <c r="R7192" s="20">
        <v>7165</v>
      </c>
    </row>
    <row r="7193" spans="18:18" ht="14.25">
      <c r="R7193" s="20">
        <v>7166</v>
      </c>
    </row>
    <row r="7194" spans="18:18" ht="14.25">
      <c r="R7194" s="20">
        <v>7167</v>
      </c>
    </row>
    <row r="7195" spans="18:18" ht="14.25">
      <c r="R7195" s="20">
        <v>7168</v>
      </c>
    </row>
    <row r="7196" spans="18:18" ht="14.25">
      <c r="R7196" s="20">
        <v>7169</v>
      </c>
    </row>
    <row r="7197" spans="18:18" ht="14.25">
      <c r="R7197" s="20">
        <v>7170</v>
      </c>
    </row>
    <row r="7198" spans="18:18" ht="14.25">
      <c r="R7198" s="20">
        <v>7171</v>
      </c>
    </row>
    <row r="7199" spans="18:18" ht="14.25">
      <c r="R7199" s="20">
        <v>7172</v>
      </c>
    </row>
    <row r="7200" spans="18:18" ht="14.25">
      <c r="R7200" s="20">
        <v>7173</v>
      </c>
    </row>
    <row r="7201" spans="18:18" ht="14.25">
      <c r="R7201" s="20">
        <v>7174</v>
      </c>
    </row>
    <row r="7202" spans="18:18" ht="14.25">
      <c r="R7202" s="20">
        <v>7175</v>
      </c>
    </row>
    <row r="7203" spans="18:18" ht="14.25">
      <c r="R7203" s="20">
        <v>7176</v>
      </c>
    </row>
    <row r="7204" spans="18:18" ht="14.25">
      <c r="R7204" s="20">
        <v>7177</v>
      </c>
    </row>
    <row r="7205" spans="18:18" ht="14.25">
      <c r="R7205" s="20">
        <v>7178</v>
      </c>
    </row>
    <row r="7206" spans="18:18" ht="14.25">
      <c r="R7206" s="20">
        <v>7179</v>
      </c>
    </row>
    <row r="7207" spans="18:18" ht="14.25">
      <c r="R7207" s="20">
        <v>7180</v>
      </c>
    </row>
    <row r="7208" spans="18:18" ht="14.25">
      <c r="R7208" s="20">
        <v>7181</v>
      </c>
    </row>
    <row r="7209" spans="18:18" ht="14.25">
      <c r="R7209" s="20">
        <v>7182</v>
      </c>
    </row>
    <row r="7210" spans="18:18" ht="14.25">
      <c r="R7210" s="20">
        <v>7183</v>
      </c>
    </row>
    <row r="7211" spans="18:18" ht="14.25">
      <c r="R7211" s="20">
        <v>7184</v>
      </c>
    </row>
    <row r="7212" spans="18:18" ht="14.25">
      <c r="R7212" s="20">
        <v>7185</v>
      </c>
    </row>
    <row r="7213" spans="18:18" ht="14.25">
      <c r="R7213" s="20">
        <v>7186</v>
      </c>
    </row>
    <row r="7214" spans="18:18" ht="14.25">
      <c r="R7214" s="20">
        <v>7187</v>
      </c>
    </row>
    <row r="7215" spans="18:18" ht="14.25">
      <c r="R7215" s="20">
        <v>7188</v>
      </c>
    </row>
    <row r="7216" spans="18:18" ht="14.25">
      <c r="R7216" s="20">
        <v>7189</v>
      </c>
    </row>
    <row r="7217" spans="18:18" ht="14.25">
      <c r="R7217" s="20">
        <v>7190</v>
      </c>
    </row>
    <row r="7218" spans="18:18" ht="14.25">
      <c r="R7218" s="20">
        <v>7191</v>
      </c>
    </row>
    <row r="7219" spans="18:18" ht="14.25">
      <c r="R7219" s="20">
        <v>7192</v>
      </c>
    </row>
    <row r="7220" spans="18:18" ht="14.25">
      <c r="R7220" s="20">
        <v>7193</v>
      </c>
    </row>
    <row r="7221" spans="18:18" ht="14.25">
      <c r="R7221" s="20">
        <v>7194</v>
      </c>
    </row>
    <row r="7222" spans="18:18" ht="14.25">
      <c r="R7222" s="20">
        <v>7195</v>
      </c>
    </row>
    <row r="7223" spans="18:18" ht="14.25">
      <c r="R7223" s="20">
        <v>7196</v>
      </c>
    </row>
    <row r="7224" spans="18:18" ht="14.25">
      <c r="R7224" s="20">
        <v>7197</v>
      </c>
    </row>
    <row r="7225" spans="18:18" ht="14.25">
      <c r="R7225" s="20">
        <v>7198</v>
      </c>
    </row>
    <row r="7226" spans="18:18" ht="14.25">
      <c r="R7226" s="20">
        <v>7199</v>
      </c>
    </row>
    <row r="7227" spans="18:18" ht="14.25">
      <c r="R7227" s="20">
        <v>7200</v>
      </c>
    </row>
    <row r="7228" spans="18:18" ht="14.25">
      <c r="R7228" s="20">
        <v>7201</v>
      </c>
    </row>
    <row r="7229" spans="18:18" ht="14.25">
      <c r="R7229" s="20">
        <v>7202</v>
      </c>
    </row>
    <row r="7230" spans="18:18" ht="14.25">
      <c r="R7230" s="20">
        <v>7203</v>
      </c>
    </row>
    <row r="7231" spans="18:18" ht="14.25">
      <c r="R7231" s="20">
        <v>7204</v>
      </c>
    </row>
    <row r="7232" spans="18:18" ht="14.25">
      <c r="R7232" s="20">
        <v>7205</v>
      </c>
    </row>
    <row r="7233" spans="18:18" ht="14.25">
      <c r="R7233" s="20">
        <v>7206</v>
      </c>
    </row>
    <row r="7234" spans="18:18" ht="14.25">
      <c r="R7234" s="20">
        <v>7207</v>
      </c>
    </row>
    <row r="7235" spans="18:18" ht="14.25">
      <c r="R7235" s="20">
        <v>7208</v>
      </c>
    </row>
    <row r="7236" spans="18:18" ht="14.25">
      <c r="R7236" s="20">
        <v>7209</v>
      </c>
    </row>
    <row r="7237" spans="18:18" ht="14.25">
      <c r="R7237" s="20">
        <v>7210</v>
      </c>
    </row>
    <row r="7238" spans="18:18" ht="14.25">
      <c r="R7238" s="20">
        <v>7211</v>
      </c>
    </row>
    <row r="7239" spans="18:18" ht="14.25">
      <c r="R7239" s="20">
        <v>7212</v>
      </c>
    </row>
    <row r="7240" spans="18:18" ht="14.25">
      <c r="R7240" s="20">
        <v>7213</v>
      </c>
    </row>
    <row r="7241" spans="18:18" ht="14.25">
      <c r="R7241" s="20">
        <v>7214</v>
      </c>
    </row>
    <row r="7242" spans="18:18" ht="14.25">
      <c r="R7242" s="20">
        <v>7215</v>
      </c>
    </row>
    <row r="7243" spans="18:18" ht="14.25">
      <c r="R7243" s="20">
        <v>7216</v>
      </c>
    </row>
    <row r="7244" spans="18:18" ht="14.25">
      <c r="R7244" s="20">
        <v>7217</v>
      </c>
    </row>
    <row r="7245" spans="18:18" ht="14.25">
      <c r="R7245" s="20">
        <v>7218</v>
      </c>
    </row>
    <row r="7246" spans="18:18" ht="14.25">
      <c r="R7246" s="20">
        <v>7219</v>
      </c>
    </row>
    <row r="7247" spans="18:18" ht="14.25">
      <c r="R7247" s="20">
        <v>7220</v>
      </c>
    </row>
    <row r="7248" spans="18:18" ht="14.25">
      <c r="R7248" s="20">
        <v>7221</v>
      </c>
    </row>
    <row r="7249" spans="18:18" ht="14.25">
      <c r="R7249" s="20">
        <v>7222</v>
      </c>
    </row>
    <row r="7250" spans="18:18" ht="14.25">
      <c r="R7250" s="20">
        <v>7223</v>
      </c>
    </row>
    <row r="7251" spans="18:18" ht="14.25">
      <c r="R7251" s="20">
        <v>7224</v>
      </c>
    </row>
    <row r="7252" spans="18:18" ht="14.25">
      <c r="R7252" s="20">
        <v>7225</v>
      </c>
    </row>
    <row r="7253" spans="18:18" ht="14.25">
      <c r="R7253" s="20">
        <v>7226</v>
      </c>
    </row>
    <row r="7254" spans="18:18" ht="14.25">
      <c r="R7254" s="20">
        <v>7227</v>
      </c>
    </row>
    <row r="7255" spans="18:18" ht="14.25">
      <c r="R7255" s="20">
        <v>7228</v>
      </c>
    </row>
    <row r="7256" spans="18:18" ht="14.25">
      <c r="R7256" s="20">
        <v>7229</v>
      </c>
    </row>
    <row r="7257" spans="18:18" ht="14.25">
      <c r="R7257" s="20">
        <v>7230</v>
      </c>
    </row>
    <row r="7258" spans="18:18" ht="14.25">
      <c r="R7258" s="20">
        <v>7231</v>
      </c>
    </row>
    <row r="7259" spans="18:18" ht="14.25">
      <c r="R7259" s="20">
        <v>7232</v>
      </c>
    </row>
    <row r="7260" spans="18:18" ht="14.25">
      <c r="R7260" s="20">
        <v>7233</v>
      </c>
    </row>
    <row r="7261" spans="18:18" ht="14.25">
      <c r="R7261" s="20">
        <v>7234</v>
      </c>
    </row>
    <row r="7262" spans="18:18" ht="14.25">
      <c r="R7262" s="20">
        <v>7235</v>
      </c>
    </row>
    <row r="7263" spans="18:18" ht="14.25">
      <c r="R7263" s="20">
        <v>7236</v>
      </c>
    </row>
    <row r="7264" spans="18:18" ht="14.25">
      <c r="R7264" s="20">
        <v>7237</v>
      </c>
    </row>
    <row r="7265" spans="18:18" ht="14.25">
      <c r="R7265" s="20">
        <v>7238</v>
      </c>
    </row>
    <row r="7266" spans="18:18" ht="14.25">
      <c r="R7266" s="20">
        <v>7239</v>
      </c>
    </row>
    <row r="7267" spans="18:18" ht="14.25">
      <c r="R7267" s="20">
        <v>7240</v>
      </c>
    </row>
    <row r="7268" spans="18:18" ht="14.25">
      <c r="R7268" s="20">
        <v>7241</v>
      </c>
    </row>
    <row r="7269" spans="18:18" ht="14.25">
      <c r="R7269" s="20">
        <v>7242</v>
      </c>
    </row>
    <row r="7270" spans="18:18" ht="14.25">
      <c r="R7270" s="20">
        <v>7243</v>
      </c>
    </row>
    <row r="7271" spans="18:18" ht="14.25">
      <c r="R7271" s="20">
        <v>7244</v>
      </c>
    </row>
    <row r="7272" spans="18:18" ht="14.25">
      <c r="R7272" s="20">
        <v>7245</v>
      </c>
    </row>
    <row r="7273" spans="18:18" ht="14.25">
      <c r="R7273" s="20">
        <v>7246</v>
      </c>
    </row>
    <row r="7274" spans="18:18" ht="14.25">
      <c r="R7274" s="20">
        <v>7247</v>
      </c>
    </row>
    <row r="7275" spans="18:18" ht="14.25">
      <c r="R7275" s="20">
        <v>7248</v>
      </c>
    </row>
    <row r="7276" spans="18:18" ht="14.25">
      <c r="R7276" s="20">
        <v>7249</v>
      </c>
    </row>
    <row r="7277" spans="18:18" ht="14.25">
      <c r="R7277" s="20">
        <v>7250</v>
      </c>
    </row>
    <row r="7278" spans="18:18" ht="14.25">
      <c r="R7278" s="20">
        <v>7251</v>
      </c>
    </row>
    <row r="7279" spans="18:18" ht="14.25">
      <c r="R7279" s="20">
        <v>7252</v>
      </c>
    </row>
    <row r="7280" spans="18:18" ht="14.25">
      <c r="R7280" s="20">
        <v>7253</v>
      </c>
    </row>
    <row r="7281" spans="18:18" ht="14.25">
      <c r="R7281" s="20">
        <v>7254</v>
      </c>
    </row>
    <row r="7282" spans="18:18" ht="14.25">
      <c r="R7282" s="20">
        <v>7255</v>
      </c>
    </row>
    <row r="7283" spans="18:18" ht="14.25">
      <c r="R7283" s="20">
        <v>7256</v>
      </c>
    </row>
    <row r="7284" spans="18:18" ht="14.25">
      <c r="R7284" s="20">
        <v>7257</v>
      </c>
    </row>
    <row r="7285" spans="18:18" ht="14.25">
      <c r="R7285" s="20">
        <v>7258</v>
      </c>
    </row>
    <row r="7286" spans="18:18" ht="14.25">
      <c r="R7286" s="20">
        <v>7259</v>
      </c>
    </row>
    <row r="7287" spans="18:18" ht="14.25">
      <c r="R7287" s="20">
        <v>7260</v>
      </c>
    </row>
    <row r="7288" spans="18:18" ht="14.25">
      <c r="R7288" s="20">
        <v>7261</v>
      </c>
    </row>
    <row r="7289" spans="18:18" ht="14.25">
      <c r="R7289" s="20">
        <v>7262</v>
      </c>
    </row>
    <row r="7290" spans="18:18" ht="14.25">
      <c r="R7290" s="20">
        <v>7263</v>
      </c>
    </row>
    <row r="7291" spans="18:18" ht="14.25">
      <c r="R7291" s="20">
        <v>7264</v>
      </c>
    </row>
    <row r="7292" spans="18:18" ht="14.25">
      <c r="R7292" s="20">
        <v>7265</v>
      </c>
    </row>
    <row r="7293" spans="18:18" ht="14.25">
      <c r="R7293" s="20">
        <v>7266</v>
      </c>
    </row>
    <row r="7294" spans="18:18" ht="14.25">
      <c r="R7294" s="20">
        <v>7267</v>
      </c>
    </row>
    <row r="7295" spans="18:18" ht="14.25">
      <c r="R7295" s="20">
        <v>7268</v>
      </c>
    </row>
    <row r="7296" spans="18:18" ht="14.25">
      <c r="R7296" s="20">
        <v>7269</v>
      </c>
    </row>
    <row r="7297" spans="18:18" ht="14.25">
      <c r="R7297" s="20">
        <v>7270</v>
      </c>
    </row>
    <row r="7298" spans="18:18" ht="14.25">
      <c r="R7298" s="20">
        <v>7271</v>
      </c>
    </row>
    <row r="7299" spans="18:18" ht="14.25">
      <c r="R7299" s="20">
        <v>7272</v>
      </c>
    </row>
    <row r="7300" spans="18:18" ht="14.25">
      <c r="R7300" s="20">
        <v>7273</v>
      </c>
    </row>
    <row r="7301" spans="18:18" ht="14.25">
      <c r="R7301" s="20">
        <v>7274</v>
      </c>
    </row>
    <row r="7302" spans="18:18" ht="14.25">
      <c r="R7302" s="20">
        <v>7275</v>
      </c>
    </row>
    <row r="7303" spans="18:18" ht="14.25">
      <c r="R7303" s="20">
        <v>7276</v>
      </c>
    </row>
    <row r="7304" spans="18:18" ht="14.25">
      <c r="R7304" s="20">
        <v>7277</v>
      </c>
    </row>
    <row r="7305" spans="18:18" ht="14.25">
      <c r="R7305" s="20">
        <v>7278</v>
      </c>
    </row>
    <row r="7306" spans="18:18" ht="14.25">
      <c r="R7306" s="20">
        <v>7279</v>
      </c>
    </row>
    <row r="7307" spans="18:18" ht="14.25">
      <c r="R7307" s="20">
        <v>7280</v>
      </c>
    </row>
    <row r="7308" spans="18:18" ht="14.25">
      <c r="R7308" s="20">
        <v>7281</v>
      </c>
    </row>
    <row r="7309" spans="18:18" ht="14.25">
      <c r="R7309" s="20">
        <v>7282</v>
      </c>
    </row>
    <row r="7310" spans="18:18" ht="14.25">
      <c r="R7310" s="20">
        <v>7283</v>
      </c>
    </row>
    <row r="7311" spans="18:18" ht="14.25">
      <c r="R7311" s="20">
        <v>7284</v>
      </c>
    </row>
    <row r="7312" spans="18:18" ht="14.25">
      <c r="R7312" s="20">
        <v>7285</v>
      </c>
    </row>
    <row r="7313" spans="18:18" ht="14.25">
      <c r="R7313" s="20">
        <v>7286</v>
      </c>
    </row>
    <row r="7314" spans="18:18" ht="14.25">
      <c r="R7314" s="20">
        <v>7287</v>
      </c>
    </row>
    <row r="7315" spans="18:18" ht="14.25">
      <c r="R7315" s="20">
        <v>7288</v>
      </c>
    </row>
    <row r="7316" spans="18:18" ht="14.25">
      <c r="R7316" s="20">
        <v>7289</v>
      </c>
    </row>
    <row r="7317" spans="18:18" ht="14.25">
      <c r="R7317" s="20">
        <v>7290</v>
      </c>
    </row>
    <row r="7318" spans="18:18" ht="14.25">
      <c r="R7318" s="20">
        <v>7291</v>
      </c>
    </row>
    <row r="7319" spans="18:18" ht="14.25">
      <c r="R7319" s="20">
        <v>7292</v>
      </c>
    </row>
    <row r="7320" spans="18:18" ht="14.25">
      <c r="R7320" s="20">
        <v>7293</v>
      </c>
    </row>
    <row r="7321" spans="18:18" ht="14.25">
      <c r="R7321" s="20">
        <v>7294</v>
      </c>
    </row>
    <row r="7322" spans="18:18" ht="14.25">
      <c r="R7322" s="20">
        <v>7295</v>
      </c>
    </row>
    <row r="7323" spans="18:18" ht="14.25">
      <c r="R7323" s="20">
        <v>7296</v>
      </c>
    </row>
    <row r="7324" spans="18:18" ht="14.25">
      <c r="R7324" s="20">
        <v>7297</v>
      </c>
    </row>
    <row r="7325" spans="18:18" ht="14.25">
      <c r="R7325" s="20">
        <v>7298</v>
      </c>
    </row>
    <row r="7326" spans="18:18" ht="14.25">
      <c r="R7326" s="20">
        <v>7299</v>
      </c>
    </row>
    <row r="7327" spans="18:18" ht="14.25">
      <c r="R7327" s="20">
        <v>7300</v>
      </c>
    </row>
    <row r="7328" spans="18:18" ht="14.25">
      <c r="R7328" s="20">
        <v>7301</v>
      </c>
    </row>
    <row r="7329" spans="18:18" ht="14.25">
      <c r="R7329" s="20">
        <v>7302</v>
      </c>
    </row>
    <row r="7330" spans="18:18" ht="14.25">
      <c r="R7330" s="20">
        <v>7303</v>
      </c>
    </row>
    <row r="7331" spans="18:18" ht="14.25">
      <c r="R7331" s="20">
        <v>7304</v>
      </c>
    </row>
    <row r="7332" spans="18:18" ht="14.25">
      <c r="R7332" s="20">
        <v>7305</v>
      </c>
    </row>
    <row r="7333" spans="18:18" ht="14.25">
      <c r="R7333" s="20">
        <v>7306</v>
      </c>
    </row>
    <row r="7334" spans="18:18" ht="14.25">
      <c r="R7334" s="20">
        <v>7307</v>
      </c>
    </row>
    <row r="7335" spans="18:18" ht="14.25">
      <c r="R7335" s="20">
        <v>7308</v>
      </c>
    </row>
    <row r="7336" spans="18:18" ht="14.25">
      <c r="R7336" s="20">
        <v>7309</v>
      </c>
    </row>
    <row r="7337" spans="18:18" ht="14.25">
      <c r="R7337" s="20">
        <v>7310</v>
      </c>
    </row>
    <row r="7338" spans="18:18" ht="14.25">
      <c r="R7338" s="20">
        <v>7311</v>
      </c>
    </row>
    <row r="7339" spans="18:18" ht="14.25">
      <c r="R7339" s="20">
        <v>7312</v>
      </c>
    </row>
    <row r="7340" spans="18:18" ht="14.25">
      <c r="R7340" s="20">
        <v>7313</v>
      </c>
    </row>
    <row r="7341" spans="18:18" ht="14.25">
      <c r="R7341" s="20">
        <v>7314</v>
      </c>
    </row>
    <row r="7342" spans="18:18" ht="14.25">
      <c r="R7342" s="20">
        <v>7315</v>
      </c>
    </row>
    <row r="7343" spans="18:18" ht="14.25">
      <c r="R7343" s="20">
        <v>7316</v>
      </c>
    </row>
    <row r="7344" spans="18:18" ht="14.25">
      <c r="R7344" s="20">
        <v>7317</v>
      </c>
    </row>
    <row r="7345" spans="18:18" ht="14.25">
      <c r="R7345" s="20">
        <v>7318</v>
      </c>
    </row>
    <row r="7346" spans="18:18" ht="14.25">
      <c r="R7346" s="20">
        <v>7319</v>
      </c>
    </row>
    <row r="7347" spans="18:18" ht="14.25">
      <c r="R7347" s="20">
        <v>7320</v>
      </c>
    </row>
    <row r="7348" spans="18:18" ht="14.25">
      <c r="R7348" s="20">
        <v>7321</v>
      </c>
    </row>
    <row r="7349" spans="18:18" ht="14.25">
      <c r="R7349" s="20">
        <v>7322</v>
      </c>
    </row>
    <row r="7350" spans="18:18" ht="14.25">
      <c r="R7350" s="20">
        <v>7323</v>
      </c>
    </row>
    <row r="7351" spans="18:18" ht="14.25">
      <c r="R7351" s="20">
        <v>7324</v>
      </c>
    </row>
    <row r="7352" spans="18:18" ht="14.25">
      <c r="R7352" s="20">
        <v>7325</v>
      </c>
    </row>
    <row r="7353" spans="18:18" ht="14.25">
      <c r="R7353" s="20">
        <v>7326</v>
      </c>
    </row>
    <row r="7354" spans="18:18" ht="14.25">
      <c r="R7354" s="20">
        <v>7327</v>
      </c>
    </row>
    <row r="7355" spans="18:18" ht="14.25">
      <c r="R7355" s="20">
        <v>7328</v>
      </c>
    </row>
    <row r="7356" spans="18:18" ht="14.25">
      <c r="R7356" s="20">
        <v>7329</v>
      </c>
    </row>
    <row r="7357" spans="18:18" ht="14.25">
      <c r="R7357" s="20">
        <v>7330</v>
      </c>
    </row>
    <row r="7358" spans="18:18" ht="14.25">
      <c r="R7358" s="20">
        <v>7331</v>
      </c>
    </row>
    <row r="7359" spans="18:18" ht="14.25">
      <c r="R7359" s="20">
        <v>7332</v>
      </c>
    </row>
    <row r="7360" spans="18:18" ht="14.25">
      <c r="R7360" s="20">
        <v>7333</v>
      </c>
    </row>
    <row r="7361" spans="18:18" ht="14.25">
      <c r="R7361" s="20">
        <v>7334</v>
      </c>
    </row>
    <row r="7362" spans="18:18" ht="14.25">
      <c r="R7362" s="20">
        <v>7335</v>
      </c>
    </row>
    <row r="7363" spans="18:18" ht="14.25">
      <c r="R7363" s="20">
        <v>7336</v>
      </c>
    </row>
    <row r="7364" spans="18:18" ht="14.25">
      <c r="R7364" s="20">
        <v>7337</v>
      </c>
    </row>
    <row r="7365" spans="18:18" ht="14.25">
      <c r="R7365" s="20">
        <v>7338</v>
      </c>
    </row>
    <row r="7366" spans="18:18" ht="14.25">
      <c r="R7366" s="20">
        <v>7339</v>
      </c>
    </row>
    <row r="7367" spans="18:18" ht="14.25">
      <c r="R7367" s="20">
        <v>7340</v>
      </c>
    </row>
    <row r="7368" spans="18:18" ht="14.25">
      <c r="R7368" s="20">
        <v>7341</v>
      </c>
    </row>
    <row r="7369" spans="18:18" ht="14.25">
      <c r="R7369" s="20">
        <v>7342</v>
      </c>
    </row>
    <row r="7370" spans="18:18" ht="14.25">
      <c r="R7370" s="20">
        <v>7343</v>
      </c>
    </row>
    <row r="7371" spans="18:18" ht="14.25">
      <c r="R7371" s="20">
        <v>7344</v>
      </c>
    </row>
    <row r="7372" spans="18:18" ht="14.25">
      <c r="R7372" s="20">
        <v>7345</v>
      </c>
    </row>
    <row r="7373" spans="18:18" ht="14.25">
      <c r="R7373" s="20">
        <v>7346</v>
      </c>
    </row>
    <row r="7374" spans="18:18" ht="14.25">
      <c r="R7374" s="20">
        <v>7347</v>
      </c>
    </row>
    <row r="7375" spans="18:18" ht="14.25">
      <c r="R7375" s="20">
        <v>7348</v>
      </c>
    </row>
    <row r="7376" spans="18:18" ht="14.25">
      <c r="R7376" s="20">
        <v>7349</v>
      </c>
    </row>
    <row r="7377" spans="18:18" ht="14.25">
      <c r="R7377" s="20">
        <v>7350</v>
      </c>
    </row>
    <row r="7378" spans="18:18" ht="14.25">
      <c r="R7378" s="20">
        <v>7351</v>
      </c>
    </row>
    <row r="7379" spans="18:18" ht="14.25">
      <c r="R7379" s="20">
        <v>7352</v>
      </c>
    </row>
    <row r="7380" spans="18:18" ht="14.25">
      <c r="R7380" s="20">
        <v>7353</v>
      </c>
    </row>
    <row r="7381" spans="18:18" ht="14.25">
      <c r="R7381" s="20">
        <v>7354</v>
      </c>
    </row>
    <row r="7382" spans="18:18" ht="14.25">
      <c r="R7382" s="20">
        <v>7355</v>
      </c>
    </row>
    <row r="7383" spans="18:18" ht="14.25">
      <c r="R7383" s="20">
        <v>7356</v>
      </c>
    </row>
    <row r="7384" spans="18:18" ht="14.25">
      <c r="R7384" s="20">
        <v>7357</v>
      </c>
    </row>
    <row r="7385" spans="18:18" ht="14.25">
      <c r="R7385" s="20">
        <v>7358</v>
      </c>
    </row>
    <row r="7386" spans="18:18" ht="14.25">
      <c r="R7386" s="20">
        <v>7359</v>
      </c>
    </row>
    <row r="7387" spans="18:18" ht="14.25">
      <c r="R7387" s="20">
        <v>7360</v>
      </c>
    </row>
    <row r="7388" spans="18:18" ht="14.25">
      <c r="R7388" s="20">
        <v>7361</v>
      </c>
    </row>
    <row r="7389" spans="18:18" ht="14.25">
      <c r="R7389" s="20">
        <v>7362</v>
      </c>
    </row>
    <row r="7390" spans="18:18" ht="14.25">
      <c r="R7390" s="20">
        <v>7363</v>
      </c>
    </row>
    <row r="7391" spans="18:18" ht="14.25">
      <c r="R7391" s="20">
        <v>7364</v>
      </c>
    </row>
    <row r="7392" spans="18:18" ht="14.25">
      <c r="R7392" s="20">
        <v>7365</v>
      </c>
    </row>
    <row r="7393" spans="18:18" ht="14.25">
      <c r="R7393" s="20">
        <v>7366</v>
      </c>
    </row>
    <row r="7394" spans="18:18" ht="14.25">
      <c r="R7394" s="20">
        <v>7367</v>
      </c>
    </row>
    <row r="7395" spans="18:18" ht="14.25">
      <c r="R7395" s="20">
        <v>7368</v>
      </c>
    </row>
    <row r="7396" spans="18:18" ht="14.25">
      <c r="R7396" s="20">
        <v>7369</v>
      </c>
    </row>
    <row r="7397" spans="18:18" ht="14.25">
      <c r="R7397" s="20">
        <v>7370</v>
      </c>
    </row>
    <row r="7398" spans="18:18" ht="14.25">
      <c r="R7398" s="20">
        <v>7371</v>
      </c>
    </row>
    <row r="7399" spans="18:18" ht="14.25">
      <c r="R7399" s="20">
        <v>7372</v>
      </c>
    </row>
    <row r="7400" spans="18:18" ht="14.25">
      <c r="R7400" s="20">
        <v>7373</v>
      </c>
    </row>
    <row r="7401" spans="18:18" ht="14.25">
      <c r="R7401" s="20">
        <v>7374</v>
      </c>
    </row>
    <row r="7402" spans="18:18" ht="14.25">
      <c r="R7402" s="20">
        <v>7375</v>
      </c>
    </row>
    <row r="7403" spans="18:18" ht="14.25">
      <c r="R7403" s="20">
        <v>7376</v>
      </c>
    </row>
    <row r="7404" spans="18:18" ht="14.25">
      <c r="R7404" s="20">
        <v>7377</v>
      </c>
    </row>
    <row r="7405" spans="18:18" ht="14.25">
      <c r="R7405" s="20">
        <v>7378</v>
      </c>
    </row>
    <row r="7406" spans="18:18" ht="14.25">
      <c r="R7406" s="20">
        <v>7379</v>
      </c>
    </row>
    <row r="7407" spans="18:18" ht="14.25">
      <c r="R7407" s="20">
        <v>7380</v>
      </c>
    </row>
    <row r="7408" spans="18:18" ht="14.25">
      <c r="R7408" s="20">
        <v>7381</v>
      </c>
    </row>
    <row r="7409" spans="18:18" ht="14.25">
      <c r="R7409" s="20">
        <v>7382</v>
      </c>
    </row>
    <row r="7410" spans="18:18" ht="14.25">
      <c r="R7410" s="20">
        <v>7383</v>
      </c>
    </row>
    <row r="7411" spans="18:18" ht="14.25">
      <c r="R7411" s="20">
        <v>7384</v>
      </c>
    </row>
    <row r="7412" spans="18:18" ht="14.25">
      <c r="R7412" s="20">
        <v>7385</v>
      </c>
    </row>
    <row r="7413" spans="18:18" ht="14.25">
      <c r="R7413" s="20">
        <v>7386</v>
      </c>
    </row>
    <row r="7414" spans="18:18" ht="14.25">
      <c r="R7414" s="20">
        <v>7387</v>
      </c>
    </row>
    <row r="7415" spans="18:18" ht="14.25">
      <c r="R7415" s="20">
        <v>7388</v>
      </c>
    </row>
    <row r="7416" spans="18:18" ht="14.25">
      <c r="R7416" s="20">
        <v>7389</v>
      </c>
    </row>
    <row r="7417" spans="18:18" ht="14.25">
      <c r="R7417" s="20">
        <v>7390</v>
      </c>
    </row>
    <row r="7418" spans="18:18" ht="14.25">
      <c r="R7418" s="20">
        <v>7391</v>
      </c>
    </row>
    <row r="7419" spans="18:18" ht="14.25">
      <c r="R7419" s="20">
        <v>7392</v>
      </c>
    </row>
    <row r="7420" spans="18:18" ht="14.25">
      <c r="R7420" s="20">
        <v>7393</v>
      </c>
    </row>
    <row r="7421" spans="18:18" ht="14.25">
      <c r="R7421" s="20">
        <v>7394</v>
      </c>
    </row>
    <row r="7422" spans="18:18" ht="14.25">
      <c r="R7422" s="20">
        <v>7395</v>
      </c>
    </row>
    <row r="7423" spans="18:18" ht="14.25">
      <c r="R7423" s="20">
        <v>7396</v>
      </c>
    </row>
    <row r="7424" spans="18:18" ht="14.25">
      <c r="R7424" s="20">
        <v>7397</v>
      </c>
    </row>
    <row r="7425" spans="18:18" ht="14.25">
      <c r="R7425" s="20">
        <v>7398</v>
      </c>
    </row>
    <row r="7426" spans="18:18" ht="14.25">
      <c r="R7426" s="20">
        <v>7399</v>
      </c>
    </row>
    <row r="7427" spans="18:18" ht="14.25">
      <c r="R7427" s="20">
        <v>7400</v>
      </c>
    </row>
    <row r="7428" spans="18:18" ht="14.25">
      <c r="R7428" s="20">
        <v>7401</v>
      </c>
    </row>
    <row r="7429" spans="18:18" ht="14.25">
      <c r="R7429" s="20">
        <v>7402</v>
      </c>
    </row>
    <row r="7430" spans="18:18" ht="14.25">
      <c r="R7430" s="20">
        <v>7403</v>
      </c>
    </row>
    <row r="7431" spans="18:18" ht="14.25">
      <c r="R7431" s="20">
        <v>7404</v>
      </c>
    </row>
    <row r="7432" spans="18:18" ht="14.25">
      <c r="R7432" s="20">
        <v>7405</v>
      </c>
    </row>
    <row r="7433" spans="18:18" ht="14.25">
      <c r="R7433" s="20">
        <v>7406</v>
      </c>
    </row>
    <row r="7434" spans="18:18" ht="14.25">
      <c r="R7434" s="20">
        <v>7407</v>
      </c>
    </row>
    <row r="7435" spans="18:18" ht="14.25">
      <c r="R7435" s="20">
        <v>7408</v>
      </c>
    </row>
    <row r="7436" spans="18:18" ht="14.25">
      <c r="R7436" s="20">
        <v>7409</v>
      </c>
    </row>
    <row r="7437" spans="18:18" ht="14.25">
      <c r="R7437" s="20">
        <v>7410</v>
      </c>
    </row>
    <row r="7438" spans="18:18" ht="14.25">
      <c r="R7438" s="20">
        <v>7411</v>
      </c>
    </row>
    <row r="7439" spans="18:18" ht="14.25">
      <c r="R7439" s="20">
        <v>7412</v>
      </c>
    </row>
    <row r="7440" spans="18:18" ht="14.25">
      <c r="R7440" s="20">
        <v>7413</v>
      </c>
    </row>
    <row r="7441" spans="18:18" ht="14.25">
      <c r="R7441" s="20">
        <v>7414</v>
      </c>
    </row>
    <row r="7442" spans="18:18" ht="14.25">
      <c r="R7442" s="20">
        <v>7415</v>
      </c>
    </row>
    <row r="7443" spans="18:18" ht="14.25">
      <c r="R7443" s="20">
        <v>7416</v>
      </c>
    </row>
    <row r="7444" spans="18:18" ht="14.25">
      <c r="R7444" s="20">
        <v>7417</v>
      </c>
    </row>
    <row r="7445" spans="18:18" ht="14.25">
      <c r="R7445" s="20">
        <v>7418</v>
      </c>
    </row>
    <row r="7446" spans="18:18" ht="14.25">
      <c r="R7446" s="20">
        <v>7419</v>
      </c>
    </row>
    <row r="7447" spans="18:18" ht="14.25">
      <c r="R7447" s="20">
        <v>7420</v>
      </c>
    </row>
    <row r="7448" spans="18:18" ht="14.25">
      <c r="R7448" s="20">
        <v>7421</v>
      </c>
    </row>
    <row r="7449" spans="18:18" ht="14.25">
      <c r="R7449" s="20">
        <v>7422</v>
      </c>
    </row>
    <row r="7450" spans="18:18" ht="14.25">
      <c r="R7450" s="20">
        <v>7423</v>
      </c>
    </row>
    <row r="7451" spans="18:18" ht="14.25">
      <c r="R7451" s="20">
        <v>7424</v>
      </c>
    </row>
    <row r="7452" spans="18:18" ht="14.25">
      <c r="R7452" s="20">
        <v>7425</v>
      </c>
    </row>
    <row r="7453" spans="18:18" ht="14.25">
      <c r="R7453" s="20">
        <v>7426</v>
      </c>
    </row>
    <row r="7454" spans="18:18" ht="14.25">
      <c r="R7454" s="20">
        <v>7427</v>
      </c>
    </row>
    <row r="7455" spans="18:18" ht="14.25">
      <c r="R7455" s="20">
        <v>7428</v>
      </c>
    </row>
    <row r="7456" spans="18:18" ht="14.25">
      <c r="R7456" s="20">
        <v>7429</v>
      </c>
    </row>
    <row r="7457" spans="18:18" ht="14.25">
      <c r="R7457" s="20">
        <v>7430</v>
      </c>
    </row>
    <row r="7458" spans="18:18" ht="14.25">
      <c r="R7458" s="20">
        <v>7431</v>
      </c>
    </row>
    <row r="7459" spans="18:18" ht="14.25">
      <c r="R7459" s="20">
        <v>7432</v>
      </c>
    </row>
    <row r="7460" spans="18:18" ht="14.25">
      <c r="R7460" s="20">
        <v>7433</v>
      </c>
    </row>
    <row r="7461" spans="18:18" ht="14.25">
      <c r="R7461" s="20">
        <v>7434</v>
      </c>
    </row>
    <row r="7462" spans="18:18" ht="14.25">
      <c r="R7462" s="20">
        <v>7435</v>
      </c>
    </row>
    <row r="7463" spans="18:18" ht="14.25">
      <c r="R7463" s="20">
        <v>7436</v>
      </c>
    </row>
    <row r="7464" spans="18:18" ht="14.25">
      <c r="R7464" s="20">
        <v>7437</v>
      </c>
    </row>
    <row r="7465" spans="18:18" ht="14.25">
      <c r="R7465" s="20">
        <v>7438</v>
      </c>
    </row>
    <row r="7466" spans="18:18" ht="14.25">
      <c r="R7466" s="20">
        <v>7439</v>
      </c>
    </row>
    <row r="7467" spans="18:18" ht="14.25">
      <c r="R7467" s="20">
        <v>7440</v>
      </c>
    </row>
    <row r="7468" spans="18:18" ht="14.25">
      <c r="R7468" s="20">
        <v>7441</v>
      </c>
    </row>
    <row r="7469" spans="18:18" ht="14.25">
      <c r="R7469" s="20">
        <v>7442</v>
      </c>
    </row>
    <row r="7470" spans="18:18" ht="14.25">
      <c r="R7470" s="20">
        <v>7443</v>
      </c>
    </row>
    <row r="7471" spans="18:18" ht="14.25">
      <c r="R7471" s="20">
        <v>7444</v>
      </c>
    </row>
    <row r="7472" spans="18:18" ht="14.25">
      <c r="R7472" s="20">
        <v>7445</v>
      </c>
    </row>
    <row r="7473" spans="18:18" ht="14.25">
      <c r="R7473" s="20">
        <v>7446</v>
      </c>
    </row>
    <row r="7474" spans="18:18" ht="14.25">
      <c r="R7474" s="20">
        <v>7447</v>
      </c>
    </row>
    <row r="7475" spans="18:18" ht="14.25">
      <c r="R7475" s="20">
        <v>7448</v>
      </c>
    </row>
    <row r="7476" spans="18:18" ht="14.25">
      <c r="R7476" s="20">
        <v>7449</v>
      </c>
    </row>
    <row r="7477" spans="18:18" ht="14.25">
      <c r="R7477" s="20">
        <v>7450</v>
      </c>
    </row>
    <row r="7478" spans="18:18" ht="14.25">
      <c r="R7478" s="20">
        <v>7451</v>
      </c>
    </row>
    <row r="7479" spans="18:18" ht="14.25">
      <c r="R7479" s="20">
        <v>7452</v>
      </c>
    </row>
    <row r="7480" spans="18:18" ht="14.25">
      <c r="R7480" s="20">
        <v>7453</v>
      </c>
    </row>
    <row r="7481" spans="18:18" ht="14.25">
      <c r="R7481" s="20">
        <v>7454</v>
      </c>
    </row>
    <row r="7482" spans="18:18" ht="14.25">
      <c r="R7482" s="20">
        <v>7455</v>
      </c>
    </row>
    <row r="7483" spans="18:18" ht="14.25">
      <c r="R7483" s="20">
        <v>7456</v>
      </c>
    </row>
    <row r="7484" spans="18:18" ht="14.25">
      <c r="R7484" s="20">
        <v>7457</v>
      </c>
    </row>
    <row r="7485" spans="18:18" ht="14.25">
      <c r="R7485" s="20">
        <v>7458</v>
      </c>
    </row>
    <row r="7486" spans="18:18" ht="14.25">
      <c r="R7486" s="20">
        <v>7459</v>
      </c>
    </row>
    <row r="7487" spans="18:18" ht="14.25">
      <c r="R7487" s="20">
        <v>7460</v>
      </c>
    </row>
    <row r="7488" spans="18:18" ht="14.25">
      <c r="R7488" s="20">
        <v>7461</v>
      </c>
    </row>
    <row r="7489" spans="18:18" ht="14.25">
      <c r="R7489" s="20">
        <v>7462</v>
      </c>
    </row>
    <row r="7490" spans="18:18" ht="14.25">
      <c r="R7490" s="20">
        <v>7463</v>
      </c>
    </row>
    <row r="7491" spans="18:18" ht="14.25">
      <c r="R7491" s="20">
        <v>7464</v>
      </c>
    </row>
    <row r="7492" spans="18:18" ht="14.25">
      <c r="R7492" s="20">
        <v>7465</v>
      </c>
    </row>
    <row r="7493" spans="18:18" ht="14.25">
      <c r="R7493" s="20">
        <v>7466</v>
      </c>
    </row>
    <row r="7494" spans="18:18" ht="14.25">
      <c r="R7494" s="20">
        <v>7467</v>
      </c>
    </row>
    <row r="7495" spans="18:18" ht="14.25">
      <c r="R7495" s="20">
        <v>7468</v>
      </c>
    </row>
    <row r="7496" spans="18:18" ht="14.25">
      <c r="R7496" s="20">
        <v>7469</v>
      </c>
    </row>
    <row r="7497" spans="18:18" ht="14.25">
      <c r="R7497" s="20">
        <v>7470</v>
      </c>
    </row>
    <row r="7498" spans="18:18" ht="14.25">
      <c r="R7498" s="20">
        <v>7471</v>
      </c>
    </row>
    <row r="7499" spans="18:18" ht="14.25">
      <c r="R7499" s="20">
        <v>7472</v>
      </c>
    </row>
    <row r="7500" spans="18:18" ht="14.25">
      <c r="R7500" s="20">
        <v>7473</v>
      </c>
    </row>
    <row r="7501" spans="18:18" ht="14.25">
      <c r="R7501" s="20">
        <v>7474</v>
      </c>
    </row>
    <row r="7502" spans="18:18" ht="14.25">
      <c r="R7502" s="20">
        <v>7475</v>
      </c>
    </row>
    <row r="7503" spans="18:18" ht="14.25">
      <c r="R7503" s="20">
        <v>7476</v>
      </c>
    </row>
    <row r="7504" spans="18:18" ht="14.25">
      <c r="R7504" s="20">
        <v>7477</v>
      </c>
    </row>
    <row r="7505" spans="18:18" ht="14.25">
      <c r="R7505" s="20">
        <v>7478</v>
      </c>
    </row>
    <row r="7506" spans="18:18" ht="14.25">
      <c r="R7506" s="20">
        <v>7479</v>
      </c>
    </row>
    <row r="7507" spans="18:18" ht="14.25">
      <c r="R7507" s="20">
        <v>7480</v>
      </c>
    </row>
    <row r="7508" spans="18:18" ht="14.25">
      <c r="R7508" s="20">
        <v>7481</v>
      </c>
    </row>
    <row r="7509" spans="18:18" ht="14.25">
      <c r="R7509" s="20">
        <v>7482</v>
      </c>
    </row>
    <row r="7510" spans="18:18" ht="14.25">
      <c r="R7510" s="20">
        <v>7483</v>
      </c>
    </row>
    <row r="7511" spans="18:18" ht="14.25">
      <c r="R7511" s="20">
        <v>7484</v>
      </c>
    </row>
    <row r="7512" spans="18:18" ht="14.25">
      <c r="R7512" s="20">
        <v>7485</v>
      </c>
    </row>
    <row r="7513" spans="18:18" ht="14.25">
      <c r="R7513" s="20">
        <v>7486</v>
      </c>
    </row>
    <row r="7514" spans="18:18" ht="14.25">
      <c r="R7514" s="20">
        <v>7487</v>
      </c>
    </row>
    <row r="7515" spans="18:18" ht="14.25">
      <c r="R7515" s="20">
        <v>7488</v>
      </c>
    </row>
    <row r="7516" spans="18:18" ht="14.25">
      <c r="R7516" s="20">
        <v>7489</v>
      </c>
    </row>
    <row r="7517" spans="18:18" ht="14.25">
      <c r="R7517" s="20">
        <v>7490</v>
      </c>
    </row>
    <row r="7518" spans="18:18" ht="14.25">
      <c r="R7518" s="20">
        <v>7491</v>
      </c>
    </row>
    <row r="7519" spans="18:18" ht="14.25">
      <c r="R7519" s="20">
        <v>7492</v>
      </c>
    </row>
    <row r="7520" spans="18:18" ht="14.25">
      <c r="R7520" s="20">
        <v>7493</v>
      </c>
    </row>
    <row r="7521" spans="18:18" ht="14.25">
      <c r="R7521" s="20">
        <v>7494</v>
      </c>
    </row>
    <row r="7522" spans="18:18" ht="14.25">
      <c r="R7522" s="20">
        <v>7495</v>
      </c>
    </row>
    <row r="7523" spans="18:18" ht="14.25">
      <c r="R7523" s="20">
        <v>7496</v>
      </c>
    </row>
    <row r="7524" spans="18:18" ht="14.25">
      <c r="R7524" s="20">
        <v>7497</v>
      </c>
    </row>
    <row r="7525" spans="18:18" ht="14.25">
      <c r="R7525" s="20">
        <v>7498</v>
      </c>
    </row>
    <row r="7526" spans="18:18" ht="14.25">
      <c r="R7526" s="20">
        <v>7499</v>
      </c>
    </row>
    <row r="7527" spans="18:18" ht="14.25">
      <c r="R7527" s="20">
        <v>7500</v>
      </c>
    </row>
    <row r="7528" spans="18:18" ht="14.25">
      <c r="R7528" s="20">
        <v>7501</v>
      </c>
    </row>
    <row r="7529" spans="18:18" ht="14.25">
      <c r="R7529" s="20">
        <v>7502</v>
      </c>
    </row>
    <row r="7530" spans="18:18" ht="14.25">
      <c r="R7530" s="20">
        <v>7503</v>
      </c>
    </row>
    <row r="7531" spans="18:18" ht="14.25">
      <c r="R7531" s="20">
        <v>7504</v>
      </c>
    </row>
    <row r="7532" spans="18:18" ht="14.25">
      <c r="R7532" s="20">
        <v>7505</v>
      </c>
    </row>
    <row r="7533" spans="18:18" ht="14.25">
      <c r="R7533" s="20">
        <v>7506</v>
      </c>
    </row>
    <row r="7534" spans="18:18" ht="14.25">
      <c r="R7534" s="20">
        <v>7507</v>
      </c>
    </row>
    <row r="7535" spans="18:18" ht="14.25">
      <c r="R7535" s="20">
        <v>7508</v>
      </c>
    </row>
    <row r="7536" spans="18:18" ht="14.25">
      <c r="R7536" s="20">
        <v>7509</v>
      </c>
    </row>
    <row r="7537" spans="18:18" ht="14.25">
      <c r="R7537" s="20">
        <v>7510</v>
      </c>
    </row>
    <row r="7538" spans="18:18" ht="14.25">
      <c r="R7538" s="20">
        <v>7511</v>
      </c>
    </row>
    <row r="7539" spans="18:18" ht="14.25">
      <c r="R7539" s="20">
        <v>7512</v>
      </c>
    </row>
    <row r="7540" spans="18:18" ht="14.25">
      <c r="R7540" s="20">
        <v>7513</v>
      </c>
    </row>
    <row r="7541" spans="18:18" ht="14.25">
      <c r="R7541" s="20">
        <v>7514</v>
      </c>
    </row>
    <row r="7542" spans="18:18" ht="14.25">
      <c r="R7542" s="20">
        <v>7515</v>
      </c>
    </row>
    <row r="7543" spans="18:18" ht="14.25">
      <c r="R7543" s="20">
        <v>7516</v>
      </c>
    </row>
    <row r="7544" spans="18:18" ht="14.25">
      <c r="R7544" s="20">
        <v>7517</v>
      </c>
    </row>
    <row r="7545" spans="18:18" ht="14.25">
      <c r="R7545" s="20">
        <v>7518</v>
      </c>
    </row>
    <row r="7546" spans="18:18" ht="14.25">
      <c r="R7546" s="20">
        <v>7519</v>
      </c>
    </row>
    <row r="7547" spans="18:18" ht="14.25">
      <c r="R7547" s="20">
        <v>7520</v>
      </c>
    </row>
    <row r="7548" spans="18:18" ht="14.25">
      <c r="R7548" s="20">
        <v>7521</v>
      </c>
    </row>
    <row r="7549" spans="18:18" ht="14.25">
      <c r="R7549" s="20">
        <v>7522</v>
      </c>
    </row>
    <row r="7550" spans="18:18" ht="14.25">
      <c r="R7550" s="20">
        <v>7523</v>
      </c>
    </row>
    <row r="7551" spans="18:18" ht="14.25">
      <c r="R7551" s="20">
        <v>7524</v>
      </c>
    </row>
    <row r="7552" spans="18:18" ht="14.25">
      <c r="R7552" s="20">
        <v>7525</v>
      </c>
    </row>
    <row r="7553" spans="18:18" ht="14.25">
      <c r="R7553" s="20">
        <v>7526</v>
      </c>
    </row>
    <row r="7554" spans="18:18" ht="14.25">
      <c r="R7554" s="20">
        <v>7527</v>
      </c>
    </row>
    <row r="7555" spans="18:18" ht="14.25">
      <c r="R7555" s="20">
        <v>7528</v>
      </c>
    </row>
    <row r="7556" spans="18:18" ht="14.25">
      <c r="R7556" s="20">
        <v>7529</v>
      </c>
    </row>
    <row r="7557" spans="18:18" ht="14.25">
      <c r="R7557" s="20">
        <v>7530</v>
      </c>
    </row>
    <row r="7558" spans="18:18" ht="14.25">
      <c r="R7558" s="20">
        <v>7531</v>
      </c>
    </row>
    <row r="7559" spans="18:18" ht="14.25">
      <c r="R7559" s="20">
        <v>7532</v>
      </c>
    </row>
    <row r="7560" spans="18:18" ht="14.25">
      <c r="R7560" s="20">
        <v>7533</v>
      </c>
    </row>
    <row r="7561" spans="18:18" ht="14.25">
      <c r="R7561" s="20">
        <v>7534</v>
      </c>
    </row>
    <row r="7562" spans="18:18" ht="14.25">
      <c r="R7562" s="20">
        <v>7535</v>
      </c>
    </row>
    <row r="7563" spans="18:18" ht="14.25">
      <c r="R7563" s="20">
        <v>7536</v>
      </c>
    </row>
    <row r="7564" spans="18:18" ht="14.25">
      <c r="R7564" s="20">
        <v>7537</v>
      </c>
    </row>
    <row r="7565" spans="18:18" ht="14.25">
      <c r="R7565" s="20">
        <v>7538</v>
      </c>
    </row>
    <row r="7566" spans="18:18" ht="14.25">
      <c r="R7566" s="20">
        <v>7539</v>
      </c>
    </row>
    <row r="7567" spans="18:18" ht="14.25">
      <c r="R7567" s="20">
        <v>7540</v>
      </c>
    </row>
    <row r="7568" spans="18:18" ht="14.25">
      <c r="R7568" s="20">
        <v>7541</v>
      </c>
    </row>
    <row r="7569" spans="18:18" ht="14.25">
      <c r="R7569" s="20">
        <v>7542</v>
      </c>
    </row>
    <row r="7570" spans="18:18" ht="14.25">
      <c r="R7570" s="20">
        <v>7543</v>
      </c>
    </row>
    <row r="7571" spans="18:18" ht="14.25">
      <c r="R7571" s="20">
        <v>7544</v>
      </c>
    </row>
    <row r="7572" spans="18:18" ht="14.25">
      <c r="R7572" s="20">
        <v>7545</v>
      </c>
    </row>
    <row r="7573" spans="18:18" ht="14.25">
      <c r="R7573" s="20">
        <v>7546</v>
      </c>
    </row>
    <row r="7574" spans="18:18" ht="14.25">
      <c r="R7574" s="20">
        <v>7547</v>
      </c>
    </row>
    <row r="7575" spans="18:18" ht="14.25">
      <c r="R7575" s="20">
        <v>7548</v>
      </c>
    </row>
    <row r="7576" spans="18:18" ht="14.25">
      <c r="R7576" s="20">
        <v>7549</v>
      </c>
    </row>
    <row r="7577" spans="18:18" ht="14.25">
      <c r="R7577" s="20">
        <v>7550</v>
      </c>
    </row>
    <row r="7578" spans="18:18" ht="14.25">
      <c r="R7578" s="20">
        <v>7551</v>
      </c>
    </row>
    <row r="7579" spans="18:18" ht="14.25">
      <c r="R7579" s="20">
        <v>7552</v>
      </c>
    </row>
    <row r="7580" spans="18:18" ht="14.25">
      <c r="R7580" s="20">
        <v>7553</v>
      </c>
    </row>
    <row r="7581" spans="18:18" ht="14.25">
      <c r="R7581" s="20">
        <v>7554</v>
      </c>
    </row>
    <row r="7582" spans="18:18" ht="14.25">
      <c r="R7582" s="20">
        <v>7555</v>
      </c>
    </row>
    <row r="7583" spans="18:18" ht="14.25">
      <c r="R7583" s="20">
        <v>7556</v>
      </c>
    </row>
    <row r="7584" spans="18:18" ht="14.25">
      <c r="R7584" s="20">
        <v>7557</v>
      </c>
    </row>
    <row r="7585" spans="18:18" ht="14.25">
      <c r="R7585" s="20">
        <v>7558</v>
      </c>
    </row>
    <row r="7586" spans="18:18" ht="14.25">
      <c r="R7586" s="20">
        <v>7559</v>
      </c>
    </row>
    <row r="7587" spans="18:18" ht="14.25">
      <c r="R7587" s="20">
        <v>7560</v>
      </c>
    </row>
    <row r="7588" spans="18:18" ht="14.25">
      <c r="R7588" s="20">
        <v>7561</v>
      </c>
    </row>
    <row r="7589" spans="18:18" ht="14.25">
      <c r="R7589" s="20">
        <v>7562</v>
      </c>
    </row>
    <row r="7590" spans="18:18" ht="14.25">
      <c r="R7590" s="20">
        <v>7563</v>
      </c>
    </row>
    <row r="7591" spans="18:18" ht="14.25">
      <c r="R7591" s="20">
        <v>7564</v>
      </c>
    </row>
    <row r="7592" spans="18:18" ht="14.25">
      <c r="R7592" s="20">
        <v>7565</v>
      </c>
    </row>
    <row r="7593" spans="18:18" ht="14.25">
      <c r="R7593" s="20">
        <v>7566</v>
      </c>
    </row>
    <row r="7594" spans="18:18" ht="14.25">
      <c r="R7594" s="20">
        <v>7567</v>
      </c>
    </row>
    <row r="7595" spans="18:18" ht="14.25">
      <c r="R7595" s="20">
        <v>7568</v>
      </c>
    </row>
    <row r="7596" spans="18:18" ht="14.25">
      <c r="R7596" s="20">
        <v>7569</v>
      </c>
    </row>
    <row r="7597" spans="18:18" ht="14.25">
      <c r="R7597" s="20">
        <v>7570</v>
      </c>
    </row>
    <row r="7598" spans="18:18" ht="14.25">
      <c r="R7598" s="20">
        <v>7571</v>
      </c>
    </row>
    <row r="7599" spans="18:18" ht="14.25">
      <c r="R7599" s="20">
        <v>7572</v>
      </c>
    </row>
    <row r="7600" spans="18:18" ht="14.25">
      <c r="R7600" s="20">
        <v>7573</v>
      </c>
    </row>
    <row r="7601" spans="18:18" ht="14.25">
      <c r="R7601" s="20">
        <v>7574</v>
      </c>
    </row>
    <row r="7602" spans="18:18" ht="14.25">
      <c r="R7602" s="20">
        <v>7575</v>
      </c>
    </row>
    <row r="7603" spans="18:18" ht="14.25">
      <c r="R7603" s="20">
        <v>7576</v>
      </c>
    </row>
    <row r="7604" spans="18:18" ht="14.25">
      <c r="R7604" s="20">
        <v>7577</v>
      </c>
    </row>
    <row r="7605" spans="18:18" ht="14.25">
      <c r="R7605" s="20">
        <v>7578</v>
      </c>
    </row>
    <row r="7606" spans="18:18" ht="14.25">
      <c r="R7606" s="20">
        <v>7579</v>
      </c>
    </row>
    <row r="7607" spans="18:18" ht="14.25">
      <c r="R7607" s="20">
        <v>7580</v>
      </c>
    </row>
    <row r="7608" spans="18:18" ht="14.25">
      <c r="R7608" s="20">
        <v>7581</v>
      </c>
    </row>
    <row r="7609" spans="18:18" ht="14.25">
      <c r="R7609" s="20">
        <v>7582</v>
      </c>
    </row>
    <row r="7610" spans="18:18" ht="14.25">
      <c r="R7610" s="20">
        <v>7583</v>
      </c>
    </row>
    <row r="7611" spans="18:18" ht="14.25">
      <c r="R7611" s="20">
        <v>7584</v>
      </c>
    </row>
    <row r="7612" spans="18:18" ht="14.25">
      <c r="R7612" s="20">
        <v>7585</v>
      </c>
    </row>
    <row r="7613" spans="18:18" ht="14.25">
      <c r="R7613" s="20">
        <v>7586</v>
      </c>
    </row>
    <row r="7614" spans="18:18" ht="14.25">
      <c r="R7614" s="20">
        <v>7587</v>
      </c>
    </row>
    <row r="7615" spans="18:18" ht="14.25">
      <c r="R7615" s="20">
        <v>7588</v>
      </c>
    </row>
    <row r="7616" spans="18:18" ht="14.25">
      <c r="R7616" s="20">
        <v>7589</v>
      </c>
    </row>
    <row r="7617" spans="18:18" ht="14.25">
      <c r="R7617" s="20">
        <v>7590</v>
      </c>
    </row>
    <row r="7618" spans="18:18" ht="14.25">
      <c r="R7618" s="20">
        <v>7591</v>
      </c>
    </row>
    <row r="7619" spans="18:18" ht="14.25">
      <c r="R7619" s="20">
        <v>7592</v>
      </c>
    </row>
    <row r="7620" spans="18:18" ht="14.25">
      <c r="R7620" s="20">
        <v>7593</v>
      </c>
    </row>
    <row r="7621" spans="18:18" ht="14.25">
      <c r="R7621" s="20">
        <v>7594</v>
      </c>
    </row>
    <row r="7622" spans="18:18" ht="14.25">
      <c r="R7622" s="20">
        <v>7595</v>
      </c>
    </row>
    <row r="7623" spans="18:18" ht="14.25">
      <c r="R7623" s="20">
        <v>7596</v>
      </c>
    </row>
    <row r="7624" spans="18:18" ht="14.25">
      <c r="R7624" s="20">
        <v>7597</v>
      </c>
    </row>
    <row r="7625" spans="18:18" ht="14.25">
      <c r="R7625" s="20">
        <v>7598</v>
      </c>
    </row>
    <row r="7626" spans="18:18" ht="14.25">
      <c r="R7626" s="20">
        <v>7599</v>
      </c>
    </row>
    <row r="7627" spans="18:18" ht="14.25">
      <c r="R7627" s="20">
        <v>7600</v>
      </c>
    </row>
    <row r="7628" spans="18:18" ht="14.25">
      <c r="R7628" s="20">
        <v>7601</v>
      </c>
    </row>
    <row r="7629" spans="18:18" ht="14.25">
      <c r="R7629" s="20">
        <v>7602</v>
      </c>
    </row>
    <row r="7630" spans="18:18" ht="14.25">
      <c r="R7630" s="20">
        <v>7603</v>
      </c>
    </row>
    <row r="7631" spans="18:18" ht="14.25">
      <c r="R7631" s="20">
        <v>7604</v>
      </c>
    </row>
    <row r="7632" spans="18:18" ht="14.25">
      <c r="R7632" s="20">
        <v>7605</v>
      </c>
    </row>
    <row r="7633" spans="18:18" ht="14.25">
      <c r="R7633" s="20">
        <v>7606</v>
      </c>
    </row>
    <row r="7634" spans="18:18" ht="14.25">
      <c r="R7634" s="20">
        <v>7607</v>
      </c>
    </row>
    <row r="7635" spans="18:18" ht="14.25">
      <c r="R7635" s="20">
        <v>7608</v>
      </c>
    </row>
    <row r="7636" spans="18:18" ht="14.25">
      <c r="R7636" s="20">
        <v>7609</v>
      </c>
    </row>
    <row r="7637" spans="18:18" ht="14.25">
      <c r="R7637" s="20">
        <v>7610</v>
      </c>
    </row>
    <row r="7638" spans="18:18" ht="14.25">
      <c r="R7638" s="20">
        <v>7611</v>
      </c>
    </row>
    <row r="7639" spans="18:18" ht="14.25">
      <c r="R7639" s="20">
        <v>7612</v>
      </c>
    </row>
    <row r="7640" spans="18:18" ht="14.25">
      <c r="R7640" s="20">
        <v>7613</v>
      </c>
    </row>
    <row r="7641" spans="18:18" ht="14.25">
      <c r="R7641" s="20">
        <v>7614</v>
      </c>
    </row>
    <row r="7642" spans="18:18" ht="14.25">
      <c r="R7642" s="20">
        <v>7615</v>
      </c>
    </row>
    <row r="7643" spans="18:18" ht="14.25">
      <c r="R7643" s="20">
        <v>7616</v>
      </c>
    </row>
    <row r="7644" spans="18:18" ht="14.25">
      <c r="R7644" s="20">
        <v>7617</v>
      </c>
    </row>
    <row r="7645" spans="18:18" ht="14.25">
      <c r="R7645" s="20">
        <v>7618</v>
      </c>
    </row>
    <row r="7646" spans="18:18" ht="14.25">
      <c r="R7646" s="20">
        <v>7619</v>
      </c>
    </row>
    <row r="7647" spans="18:18" ht="14.25">
      <c r="R7647" s="20">
        <v>7620</v>
      </c>
    </row>
    <row r="7648" spans="18:18" ht="14.25">
      <c r="R7648" s="20">
        <v>7621</v>
      </c>
    </row>
    <row r="7649" spans="18:18" ht="14.25">
      <c r="R7649" s="20">
        <v>7622</v>
      </c>
    </row>
    <row r="7650" spans="18:18" ht="14.25">
      <c r="R7650" s="20">
        <v>7623</v>
      </c>
    </row>
    <row r="7651" spans="18:18" ht="14.25">
      <c r="R7651" s="20">
        <v>7624</v>
      </c>
    </row>
    <row r="7652" spans="18:18" ht="14.25">
      <c r="R7652" s="20">
        <v>7625</v>
      </c>
    </row>
    <row r="7653" spans="18:18" ht="14.25">
      <c r="R7653" s="20">
        <v>7626</v>
      </c>
    </row>
    <row r="7654" spans="18:18" ht="14.25">
      <c r="R7654" s="20">
        <v>7627</v>
      </c>
    </row>
    <row r="7655" spans="18:18" ht="14.25">
      <c r="R7655" s="20">
        <v>7628</v>
      </c>
    </row>
    <row r="7656" spans="18:18" ht="14.25">
      <c r="R7656" s="20">
        <v>7629</v>
      </c>
    </row>
    <row r="7657" spans="18:18" ht="14.25">
      <c r="R7657" s="20">
        <v>7630</v>
      </c>
    </row>
    <row r="7658" spans="18:18" ht="14.25">
      <c r="R7658" s="20">
        <v>7631</v>
      </c>
    </row>
    <row r="7659" spans="18:18" ht="14.25">
      <c r="R7659" s="20">
        <v>7632</v>
      </c>
    </row>
    <row r="7660" spans="18:18" ht="14.25">
      <c r="R7660" s="20">
        <v>7633</v>
      </c>
    </row>
    <row r="7661" spans="18:18" ht="14.25">
      <c r="R7661" s="20">
        <v>7634</v>
      </c>
    </row>
    <row r="7662" spans="18:18" ht="14.25">
      <c r="R7662" s="20">
        <v>7635</v>
      </c>
    </row>
    <row r="7663" spans="18:18" ht="14.25">
      <c r="R7663" s="20">
        <v>7636</v>
      </c>
    </row>
    <row r="7664" spans="18:18" ht="14.25">
      <c r="R7664" s="20">
        <v>7637</v>
      </c>
    </row>
    <row r="7665" spans="18:18" ht="14.25">
      <c r="R7665" s="20">
        <v>7638</v>
      </c>
    </row>
    <row r="7666" spans="18:18" ht="14.25">
      <c r="R7666" s="20">
        <v>7639</v>
      </c>
    </row>
    <row r="7667" spans="18:18" ht="14.25">
      <c r="R7667" s="20">
        <v>7640</v>
      </c>
    </row>
    <row r="7668" spans="18:18" ht="14.25">
      <c r="R7668" s="20">
        <v>7641</v>
      </c>
    </row>
    <row r="7669" spans="18:18" ht="14.25">
      <c r="R7669" s="20">
        <v>7642</v>
      </c>
    </row>
    <row r="7670" spans="18:18" ht="14.25">
      <c r="R7670" s="20">
        <v>7643</v>
      </c>
    </row>
    <row r="7671" spans="18:18" ht="14.25">
      <c r="R7671" s="20">
        <v>7644</v>
      </c>
    </row>
    <row r="7672" spans="18:18" ht="14.25">
      <c r="R7672" s="20">
        <v>7645</v>
      </c>
    </row>
    <row r="7673" spans="18:18" ht="14.25">
      <c r="R7673" s="20">
        <v>7646</v>
      </c>
    </row>
    <row r="7674" spans="18:18" ht="14.25">
      <c r="R7674" s="20">
        <v>7647</v>
      </c>
    </row>
    <row r="7675" spans="18:18" ht="14.25">
      <c r="R7675" s="20">
        <v>7648</v>
      </c>
    </row>
    <row r="7676" spans="18:18" ht="14.25">
      <c r="R7676" s="20">
        <v>7649</v>
      </c>
    </row>
    <row r="7677" spans="18:18" ht="14.25">
      <c r="R7677" s="20">
        <v>7650</v>
      </c>
    </row>
    <row r="7678" spans="18:18" ht="14.25">
      <c r="R7678" s="20">
        <v>7651</v>
      </c>
    </row>
    <row r="7679" spans="18:18" ht="14.25">
      <c r="R7679" s="20">
        <v>7652</v>
      </c>
    </row>
    <row r="7680" spans="18:18" ht="14.25">
      <c r="R7680" s="20">
        <v>7653</v>
      </c>
    </row>
    <row r="7681" spans="18:18" ht="14.25">
      <c r="R7681" s="20">
        <v>7654</v>
      </c>
    </row>
    <row r="7682" spans="18:18" ht="14.25">
      <c r="R7682" s="20">
        <v>7655</v>
      </c>
    </row>
    <row r="7683" spans="18:18" ht="14.25">
      <c r="R7683" s="20">
        <v>7656</v>
      </c>
    </row>
    <row r="7684" spans="18:18" ht="14.25">
      <c r="R7684" s="20">
        <v>7657</v>
      </c>
    </row>
    <row r="7685" spans="18:18" ht="14.25">
      <c r="R7685" s="20">
        <v>7658</v>
      </c>
    </row>
    <row r="7686" spans="18:18" ht="14.25">
      <c r="R7686" s="20">
        <v>7659</v>
      </c>
    </row>
    <row r="7687" spans="18:18" ht="14.25">
      <c r="R7687" s="20">
        <v>7660</v>
      </c>
    </row>
    <row r="7688" spans="18:18" ht="14.25">
      <c r="R7688" s="20">
        <v>7661</v>
      </c>
    </row>
    <row r="7689" spans="18:18" ht="14.25">
      <c r="R7689" s="20">
        <v>7662</v>
      </c>
    </row>
    <row r="7690" spans="18:18" ht="14.25">
      <c r="R7690" s="20">
        <v>7663</v>
      </c>
    </row>
    <row r="7691" spans="18:18" ht="14.25">
      <c r="R7691" s="20">
        <v>7664</v>
      </c>
    </row>
    <row r="7692" spans="18:18" ht="14.25">
      <c r="R7692" s="20">
        <v>7665</v>
      </c>
    </row>
    <row r="7693" spans="18:18" ht="14.25">
      <c r="R7693" s="20">
        <v>7666</v>
      </c>
    </row>
    <row r="7694" spans="18:18" ht="14.25">
      <c r="R7694" s="20">
        <v>7667</v>
      </c>
    </row>
    <row r="7695" spans="18:18" ht="14.25">
      <c r="R7695" s="20">
        <v>7668</v>
      </c>
    </row>
    <row r="7696" spans="18:18" ht="14.25">
      <c r="R7696" s="20">
        <v>7669</v>
      </c>
    </row>
    <row r="7697" spans="18:18" ht="14.25">
      <c r="R7697" s="20">
        <v>7670</v>
      </c>
    </row>
    <row r="7698" spans="18:18" ht="14.25">
      <c r="R7698" s="20">
        <v>7671</v>
      </c>
    </row>
    <row r="7699" spans="18:18" ht="14.25">
      <c r="R7699" s="20">
        <v>7672</v>
      </c>
    </row>
    <row r="7700" spans="18:18" ht="14.25">
      <c r="R7700" s="20">
        <v>7673</v>
      </c>
    </row>
    <row r="7701" spans="18:18" ht="14.25">
      <c r="R7701" s="20">
        <v>7674</v>
      </c>
    </row>
    <row r="7702" spans="18:18" ht="14.25">
      <c r="R7702" s="20">
        <v>7675</v>
      </c>
    </row>
    <row r="7703" spans="18:18" ht="14.25">
      <c r="R7703" s="20">
        <v>7676</v>
      </c>
    </row>
    <row r="7704" spans="18:18" ht="14.25">
      <c r="R7704" s="20">
        <v>7677</v>
      </c>
    </row>
    <row r="7705" spans="18:18" ht="14.25">
      <c r="R7705" s="20">
        <v>7678</v>
      </c>
    </row>
    <row r="7706" spans="18:18" ht="14.25">
      <c r="R7706" s="20">
        <v>7679</v>
      </c>
    </row>
    <row r="7707" spans="18:18" ht="14.25">
      <c r="R7707" s="20">
        <v>7680</v>
      </c>
    </row>
    <row r="7708" spans="18:18" ht="14.25">
      <c r="R7708" s="20">
        <v>7681</v>
      </c>
    </row>
    <row r="7709" spans="18:18" ht="14.25">
      <c r="R7709" s="20">
        <v>7682</v>
      </c>
    </row>
    <row r="7710" spans="18:18" ht="14.25">
      <c r="R7710" s="20">
        <v>7683</v>
      </c>
    </row>
    <row r="7711" spans="18:18" ht="14.25">
      <c r="R7711" s="20">
        <v>7684</v>
      </c>
    </row>
    <row r="7712" spans="18:18" ht="14.25">
      <c r="R7712" s="20">
        <v>7685</v>
      </c>
    </row>
    <row r="7713" spans="18:18" ht="14.25">
      <c r="R7713" s="20">
        <v>7686</v>
      </c>
    </row>
    <row r="7714" spans="18:18" ht="14.25">
      <c r="R7714" s="20">
        <v>7687</v>
      </c>
    </row>
    <row r="7715" spans="18:18" ht="14.25">
      <c r="R7715" s="20">
        <v>7688</v>
      </c>
    </row>
    <row r="7716" spans="18:18" ht="14.25">
      <c r="R7716" s="20">
        <v>7689</v>
      </c>
    </row>
    <row r="7717" spans="18:18" ht="14.25">
      <c r="R7717" s="20">
        <v>7690</v>
      </c>
    </row>
    <row r="7718" spans="18:18" ht="14.25">
      <c r="R7718" s="20">
        <v>7691</v>
      </c>
    </row>
    <row r="7719" spans="18:18" ht="14.25">
      <c r="R7719" s="20">
        <v>7692</v>
      </c>
    </row>
    <row r="7720" spans="18:18" ht="14.25">
      <c r="R7720" s="20">
        <v>7693</v>
      </c>
    </row>
    <row r="7721" spans="18:18" ht="14.25">
      <c r="R7721" s="20">
        <v>7694</v>
      </c>
    </row>
    <row r="7722" spans="18:18" ht="14.25">
      <c r="R7722" s="20">
        <v>7695</v>
      </c>
    </row>
    <row r="7723" spans="18:18" ht="14.25">
      <c r="R7723" s="20">
        <v>7696</v>
      </c>
    </row>
    <row r="7724" spans="18:18" ht="14.25">
      <c r="R7724" s="20">
        <v>7697</v>
      </c>
    </row>
    <row r="7725" spans="18:18" ht="14.25">
      <c r="R7725" s="20">
        <v>7698</v>
      </c>
    </row>
    <row r="7726" spans="18:18" ht="14.25">
      <c r="R7726" s="20">
        <v>7699</v>
      </c>
    </row>
    <row r="7727" spans="18:18" ht="14.25">
      <c r="R7727" s="20">
        <v>7700</v>
      </c>
    </row>
    <row r="7728" spans="18:18" ht="14.25">
      <c r="R7728" s="20">
        <v>7701</v>
      </c>
    </row>
    <row r="7729" spans="18:18" ht="14.25">
      <c r="R7729" s="20">
        <v>7702</v>
      </c>
    </row>
    <row r="7730" spans="18:18" ht="14.25">
      <c r="R7730" s="20">
        <v>7703</v>
      </c>
    </row>
    <row r="7731" spans="18:18" ht="14.25">
      <c r="R7731" s="20">
        <v>7704</v>
      </c>
    </row>
    <row r="7732" spans="18:18" ht="14.25">
      <c r="R7732" s="20">
        <v>7705</v>
      </c>
    </row>
    <row r="7733" spans="18:18" ht="14.25">
      <c r="R7733" s="20">
        <v>7706</v>
      </c>
    </row>
    <row r="7734" spans="18:18" ht="14.25">
      <c r="R7734" s="20">
        <v>7707</v>
      </c>
    </row>
    <row r="7735" spans="18:18" ht="14.25">
      <c r="R7735" s="20">
        <v>7708</v>
      </c>
    </row>
    <row r="7736" spans="18:18" ht="14.25">
      <c r="R7736" s="20">
        <v>7709</v>
      </c>
    </row>
    <row r="7737" spans="18:18" ht="14.25">
      <c r="R7737" s="20">
        <v>7710</v>
      </c>
    </row>
    <row r="7738" spans="18:18" ht="14.25">
      <c r="R7738" s="20">
        <v>7711</v>
      </c>
    </row>
    <row r="7739" spans="18:18" ht="14.25">
      <c r="R7739" s="20">
        <v>7712</v>
      </c>
    </row>
    <row r="7740" spans="18:18" ht="14.25">
      <c r="R7740" s="20">
        <v>7713</v>
      </c>
    </row>
    <row r="7741" spans="18:18" ht="14.25">
      <c r="R7741" s="20">
        <v>7714</v>
      </c>
    </row>
    <row r="7742" spans="18:18" ht="14.25">
      <c r="R7742" s="20">
        <v>7715</v>
      </c>
    </row>
    <row r="7743" spans="18:18" ht="14.25">
      <c r="R7743" s="20">
        <v>7716</v>
      </c>
    </row>
    <row r="7744" spans="18:18" ht="14.25">
      <c r="R7744" s="20">
        <v>7717</v>
      </c>
    </row>
    <row r="7745" spans="18:18" ht="14.25">
      <c r="R7745" s="20">
        <v>7718</v>
      </c>
    </row>
    <row r="7746" spans="18:18" ht="14.25">
      <c r="R7746" s="20">
        <v>7719</v>
      </c>
    </row>
    <row r="7747" spans="18:18" ht="14.25">
      <c r="R7747" s="20">
        <v>7720</v>
      </c>
    </row>
    <row r="7748" spans="18:18" ht="14.25">
      <c r="R7748" s="20">
        <v>7721</v>
      </c>
    </row>
    <row r="7749" spans="18:18" ht="14.25">
      <c r="R7749" s="20">
        <v>7722</v>
      </c>
    </row>
    <row r="7750" spans="18:18" ht="14.25">
      <c r="R7750" s="20">
        <v>7723</v>
      </c>
    </row>
    <row r="7751" spans="18:18" ht="14.25">
      <c r="R7751" s="20">
        <v>7724</v>
      </c>
    </row>
    <row r="7752" spans="18:18" ht="14.25">
      <c r="R7752" s="20">
        <v>7725</v>
      </c>
    </row>
    <row r="7753" spans="18:18" ht="14.25">
      <c r="R7753" s="20">
        <v>7726</v>
      </c>
    </row>
    <row r="7754" spans="18:18" ht="14.25">
      <c r="R7754" s="20">
        <v>7727</v>
      </c>
    </row>
    <row r="7755" spans="18:18" ht="14.25">
      <c r="R7755" s="20">
        <v>7728</v>
      </c>
    </row>
    <row r="7756" spans="18:18" ht="14.25">
      <c r="R7756" s="20">
        <v>7729</v>
      </c>
    </row>
    <row r="7757" spans="18:18" ht="14.25">
      <c r="R7757" s="20">
        <v>7730</v>
      </c>
    </row>
    <row r="7758" spans="18:18" ht="14.25">
      <c r="R7758" s="20">
        <v>7731</v>
      </c>
    </row>
    <row r="7759" spans="18:18" ht="14.25">
      <c r="R7759" s="20">
        <v>7732</v>
      </c>
    </row>
    <row r="7760" spans="18:18" ht="14.25">
      <c r="R7760" s="20">
        <v>7733</v>
      </c>
    </row>
    <row r="7761" spans="18:18" ht="14.25">
      <c r="R7761" s="20">
        <v>7734</v>
      </c>
    </row>
    <row r="7762" spans="18:18" ht="14.25">
      <c r="R7762" s="20">
        <v>7735</v>
      </c>
    </row>
    <row r="7763" spans="18:18" ht="14.25">
      <c r="R7763" s="20">
        <v>7736</v>
      </c>
    </row>
    <row r="7764" spans="18:18" ht="14.25">
      <c r="R7764" s="20">
        <v>7737</v>
      </c>
    </row>
    <row r="7765" spans="18:18" ht="14.25">
      <c r="R7765" s="20">
        <v>7738</v>
      </c>
    </row>
    <row r="7766" spans="18:18" ht="14.25">
      <c r="R7766" s="20">
        <v>7739</v>
      </c>
    </row>
    <row r="7767" spans="18:18" ht="14.25">
      <c r="R7767" s="20">
        <v>7740</v>
      </c>
    </row>
    <row r="7768" spans="18:18" ht="14.25">
      <c r="R7768" s="20">
        <v>7741</v>
      </c>
    </row>
    <row r="7769" spans="18:18" ht="14.25">
      <c r="R7769" s="20">
        <v>7742</v>
      </c>
    </row>
    <row r="7770" spans="18:18" ht="14.25">
      <c r="R7770" s="20">
        <v>7743</v>
      </c>
    </row>
    <row r="7771" spans="18:18" ht="14.25">
      <c r="R7771" s="20">
        <v>7744</v>
      </c>
    </row>
    <row r="7772" spans="18:18" ht="14.25">
      <c r="R7772" s="20">
        <v>7745</v>
      </c>
    </row>
    <row r="7773" spans="18:18" ht="14.25">
      <c r="R7773" s="20">
        <v>7746</v>
      </c>
    </row>
    <row r="7774" spans="18:18" ht="14.25">
      <c r="R7774" s="20">
        <v>7747</v>
      </c>
    </row>
    <row r="7775" spans="18:18" ht="14.25">
      <c r="R7775" s="20">
        <v>7748</v>
      </c>
    </row>
    <row r="7776" spans="18:18" ht="14.25">
      <c r="R7776" s="20">
        <v>7749</v>
      </c>
    </row>
    <row r="7777" spans="18:18" ht="14.25">
      <c r="R7777" s="20">
        <v>7750</v>
      </c>
    </row>
    <row r="7778" spans="18:18" ht="14.25">
      <c r="R7778" s="20">
        <v>7751</v>
      </c>
    </row>
    <row r="7779" spans="18:18" ht="14.25">
      <c r="R7779" s="20">
        <v>7752</v>
      </c>
    </row>
    <row r="7780" spans="18:18" ht="14.25">
      <c r="R7780" s="20">
        <v>7753</v>
      </c>
    </row>
    <row r="7781" spans="18:18" ht="14.25">
      <c r="R7781" s="20">
        <v>7754</v>
      </c>
    </row>
    <row r="7782" spans="18:18" ht="14.25">
      <c r="R7782" s="20">
        <v>7755</v>
      </c>
    </row>
    <row r="7783" spans="18:18" ht="14.25">
      <c r="R7783" s="20">
        <v>7756</v>
      </c>
    </row>
    <row r="7784" spans="18:18" ht="14.25">
      <c r="R7784" s="20">
        <v>7757</v>
      </c>
    </row>
    <row r="7785" spans="18:18" ht="14.25">
      <c r="R7785" s="20">
        <v>7758</v>
      </c>
    </row>
    <row r="7786" spans="18:18" ht="14.25">
      <c r="R7786" s="20">
        <v>7759</v>
      </c>
    </row>
    <row r="7787" spans="18:18" ht="14.25">
      <c r="R7787" s="20">
        <v>7760</v>
      </c>
    </row>
    <row r="7788" spans="18:18" ht="14.25">
      <c r="R7788" s="20">
        <v>7761</v>
      </c>
    </row>
    <row r="7789" spans="18:18" ht="14.25">
      <c r="R7789" s="20">
        <v>7762</v>
      </c>
    </row>
    <row r="7790" spans="18:18" ht="14.25">
      <c r="R7790" s="20">
        <v>7763</v>
      </c>
    </row>
    <row r="7791" spans="18:18" ht="14.25">
      <c r="R7791" s="20">
        <v>7764</v>
      </c>
    </row>
    <row r="7792" spans="18:18" ht="14.25">
      <c r="R7792" s="20">
        <v>7765</v>
      </c>
    </row>
    <row r="7793" spans="18:18" ht="14.25">
      <c r="R7793" s="20">
        <v>7766</v>
      </c>
    </row>
    <row r="7794" spans="18:18" ht="14.25">
      <c r="R7794" s="20">
        <v>7767</v>
      </c>
    </row>
    <row r="7795" spans="18:18" ht="14.25">
      <c r="R7795" s="20">
        <v>7768</v>
      </c>
    </row>
    <row r="7796" spans="18:18" ht="14.25">
      <c r="R7796" s="20">
        <v>7769</v>
      </c>
    </row>
    <row r="7797" spans="18:18" ht="14.25">
      <c r="R7797" s="20">
        <v>7770</v>
      </c>
    </row>
    <row r="7798" spans="18:18" ht="14.25">
      <c r="R7798" s="20">
        <v>7771</v>
      </c>
    </row>
    <row r="7799" spans="18:18" ht="14.25">
      <c r="R7799" s="20">
        <v>7772</v>
      </c>
    </row>
    <row r="7800" spans="18:18" ht="14.25">
      <c r="R7800" s="20">
        <v>7773</v>
      </c>
    </row>
    <row r="7801" spans="18:18" ht="14.25">
      <c r="R7801" s="20">
        <v>7774</v>
      </c>
    </row>
    <row r="7802" spans="18:18" ht="14.25">
      <c r="R7802" s="20">
        <v>7775</v>
      </c>
    </row>
    <row r="7803" spans="18:18" ht="14.25">
      <c r="R7803" s="20">
        <v>7776</v>
      </c>
    </row>
    <row r="7804" spans="18:18" ht="14.25">
      <c r="R7804" s="20">
        <v>7777</v>
      </c>
    </row>
    <row r="7805" spans="18:18" ht="14.25">
      <c r="R7805" s="20">
        <v>7778</v>
      </c>
    </row>
    <row r="7806" spans="18:18" ht="14.25">
      <c r="R7806" s="20">
        <v>7779</v>
      </c>
    </row>
    <row r="7807" spans="18:18" ht="14.25">
      <c r="R7807" s="20">
        <v>7780</v>
      </c>
    </row>
    <row r="7808" spans="18:18" ht="14.25">
      <c r="R7808" s="20">
        <v>7781</v>
      </c>
    </row>
    <row r="7809" spans="18:18" ht="14.25">
      <c r="R7809" s="20">
        <v>7782</v>
      </c>
    </row>
    <row r="7810" spans="18:18" ht="14.25">
      <c r="R7810" s="20">
        <v>7783</v>
      </c>
    </row>
    <row r="7811" spans="18:18" ht="14.25">
      <c r="R7811" s="20">
        <v>7784</v>
      </c>
    </row>
    <row r="7812" spans="18:18" ht="14.25">
      <c r="R7812" s="20">
        <v>7785</v>
      </c>
    </row>
    <row r="7813" spans="18:18" ht="14.25">
      <c r="R7813" s="20">
        <v>7786</v>
      </c>
    </row>
    <row r="7814" spans="18:18" ht="14.25">
      <c r="R7814" s="20">
        <v>7787</v>
      </c>
    </row>
    <row r="7815" spans="18:18" ht="14.25">
      <c r="R7815" s="20">
        <v>7788</v>
      </c>
    </row>
    <row r="7816" spans="18:18" ht="14.25">
      <c r="R7816" s="20">
        <v>7789</v>
      </c>
    </row>
    <row r="7817" spans="18:18" ht="14.25">
      <c r="R7817" s="20">
        <v>7790</v>
      </c>
    </row>
    <row r="7818" spans="18:18" ht="14.25">
      <c r="R7818" s="20">
        <v>7791</v>
      </c>
    </row>
    <row r="7819" spans="18:18" ht="14.25">
      <c r="R7819" s="20">
        <v>7792</v>
      </c>
    </row>
    <row r="7820" spans="18:18" ht="14.25">
      <c r="R7820" s="20">
        <v>7793</v>
      </c>
    </row>
    <row r="7821" spans="18:18" ht="14.25">
      <c r="R7821" s="20">
        <v>7794</v>
      </c>
    </row>
    <row r="7822" spans="18:18" ht="14.25">
      <c r="R7822" s="20">
        <v>7795</v>
      </c>
    </row>
    <row r="7823" spans="18:18" ht="14.25">
      <c r="R7823" s="20">
        <v>7796</v>
      </c>
    </row>
    <row r="7824" spans="18:18" ht="14.25">
      <c r="R7824" s="20">
        <v>7797</v>
      </c>
    </row>
    <row r="7825" spans="18:18" ht="14.25">
      <c r="R7825" s="20">
        <v>7798</v>
      </c>
    </row>
    <row r="7826" spans="18:18" ht="14.25">
      <c r="R7826" s="20">
        <v>7799</v>
      </c>
    </row>
    <row r="7827" spans="18:18" ht="14.25">
      <c r="R7827" s="20">
        <v>7800</v>
      </c>
    </row>
    <row r="7828" spans="18:18" ht="14.25">
      <c r="R7828" s="20">
        <v>7801</v>
      </c>
    </row>
    <row r="7829" spans="18:18" ht="14.25">
      <c r="R7829" s="20">
        <v>7802</v>
      </c>
    </row>
    <row r="7830" spans="18:18" ht="14.25">
      <c r="R7830" s="20">
        <v>7803</v>
      </c>
    </row>
    <row r="7831" spans="18:18" ht="14.25">
      <c r="R7831" s="20">
        <v>7804</v>
      </c>
    </row>
    <row r="7832" spans="18:18" ht="14.25">
      <c r="R7832" s="20">
        <v>7805</v>
      </c>
    </row>
    <row r="7833" spans="18:18" ht="14.25">
      <c r="R7833" s="20">
        <v>7806</v>
      </c>
    </row>
    <row r="7834" spans="18:18" ht="14.25">
      <c r="R7834" s="20">
        <v>7807</v>
      </c>
    </row>
    <row r="7835" spans="18:18" ht="14.25">
      <c r="R7835" s="20">
        <v>7808</v>
      </c>
    </row>
    <row r="7836" spans="18:18" ht="14.25">
      <c r="R7836" s="20">
        <v>7809</v>
      </c>
    </row>
    <row r="7837" spans="18:18" ht="14.25">
      <c r="R7837" s="20">
        <v>7810</v>
      </c>
    </row>
    <row r="7838" spans="18:18" ht="14.25">
      <c r="R7838" s="20">
        <v>7811</v>
      </c>
    </row>
    <row r="7839" spans="18:18" ht="14.25">
      <c r="R7839" s="20">
        <v>7812</v>
      </c>
    </row>
    <row r="7840" spans="18:18" ht="14.25">
      <c r="R7840" s="20">
        <v>7813</v>
      </c>
    </row>
    <row r="7841" spans="18:18" ht="14.25">
      <c r="R7841" s="20">
        <v>7814</v>
      </c>
    </row>
    <row r="7842" spans="18:18" ht="14.25">
      <c r="R7842" s="20">
        <v>7815</v>
      </c>
    </row>
    <row r="7843" spans="18:18" ht="14.25">
      <c r="R7843" s="20">
        <v>7816</v>
      </c>
    </row>
    <row r="7844" spans="18:18" ht="14.25">
      <c r="R7844" s="20">
        <v>7817</v>
      </c>
    </row>
    <row r="7845" spans="18:18" ht="14.25">
      <c r="R7845" s="20">
        <v>7818</v>
      </c>
    </row>
    <row r="7846" spans="18:18" ht="14.25">
      <c r="R7846" s="20">
        <v>7819</v>
      </c>
    </row>
    <row r="7847" spans="18:18" ht="14.25">
      <c r="R7847" s="20">
        <v>7820</v>
      </c>
    </row>
    <row r="7848" spans="18:18" ht="14.25">
      <c r="R7848" s="20">
        <v>7821</v>
      </c>
    </row>
    <row r="7849" spans="18:18" ht="14.25">
      <c r="R7849" s="20">
        <v>7822</v>
      </c>
    </row>
    <row r="7850" spans="18:18" ht="14.25">
      <c r="R7850" s="20">
        <v>7823</v>
      </c>
    </row>
    <row r="7851" spans="18:18" ht="14.25">
      <c r="R7851" s="20">
        <v>7824</v>
      </c>
    </row>
    <row r="7852" spans="18:18" ht="14.25">
      <c r="R7852" s="20">
        <v>7825</v>
      </c>
    </row>
    <row r="7853" spans="18:18" ht="14.25">
      <c r="R7853" s="20">
        <v>7826</v>
      </c>
    </row>
    <row r="7854" spans="18:18" ht="14.25">
      <c r="R7854" s="20">
        <v>7827</v>
      </c>
    </row>
    <row r="7855" spans="18:18" ht="14.25">
      <c r="R7855" s="20">
        <v>7828</v>
      </c>
    </row>
    <row r="7856" spans="18:18" ht="14.25">
      <c r="R7856" s="20">
        <v>7829</v>
      </c>
    </row>
    <row r="7857" spans="18:18" ht="14.25">
      <c r="R7857" s="20">
        <v>7830</v>
      </c>
    </row>
    <row r="7858" spans="18:18" ht="14.25">
      <c r="R7858" s="20">
        <v>7831</v>
      </c>
    </row>
    <row r="7859" spans="18:18" ht="14.25">
      <c r="R7859" s="20">
        <v>7832</v>
      </c>
    </row>
    <row r="7860" spans="18:18" ht="14.25">
      <c r="R7860" s="20">
        <v>7833</v>
      </c>
    </row>
    <row r="7861" spans="18:18" ht="14.25">
      <c r="R7861" s="20">
        <v>7834</v>
      </c>
    </row>
    <row r="7862" spans="18:18" ht="14.25">
      <c r="R7862" s="20">
        <v>7835</v>
      </c>
    </row>
    <row r="7863" spans="18:18" ht="14.25">
      <c r="R7863" s="20">
        <v>7836</v>
      </c>
    </row>
    <row r="7864" spans="18:18" ht="14.25">
      <c r="R7864" s="20">
        <v>7837</v>
      </c>
    </row>
    <row r="7865" spans="18:18" ht="14.25">
      <c r="R7865" s="20">
        <v>7838</v>
      </c>
    </row>
    <row r="7866" spans="18:18" ht="14.25">
      <c r="R7866" s="20">
        <v>7839</v>
      </c>
    </row>
    <row r="7867" spans="18:18" ht="14.25">
      <c r="R7867" s="20">
        <v>7840</v>
      </c>
    </row>
    <row r="7868" spans="18:18" ht="14.25">
      <c r="R7868" s="20">
        <v>7841</v>
      </c>
    </row>
    <row r="7869" spans="18:18" ht="14.25">
      <c r="R7869" s="20">
        <v>7842</v>
      </c>
    </row>
    <row r="7870" spans="18:18" ht="14.25">
      <c r="R7870" s="20">
        <v>7843</v>
      </c>
    </row>
    <row r="7871" spans="18:18" ht="14.25">
      <c r="R7871" s="20">
        <v>7844</v>
      </c>
    </row>
    <row r="7872" spans="18:18" ht="14.25">
      <c r="R7872" s="20">
        <v>7845</v>
      </c>
    </row>
    <row r="7873" spans="18:18" ht="14.25">
      <c r="R7873" s="20">
        <v>7846</v>
      </c>
    </row>
    <row r="7874" spans="18:18" ht="14.25">
      <c r="R7874" s="20">
        <v>7847</v>
      </c>
    </row>
    <row r="7875" spans="18:18" ht="14.25">
      <c r="R7875" s="20">
        <v>7848</v>
      </c>
    </row>
    <row r="7876" spans="18:18" ht="14.25">
      <c r="R7876" s="20">
        <v>7849</v>
      </c>
    </row>
    <row r="7877" spans="18:18" ht="14.25">
      <c r="R7877" s="20">
        <v>7850</v>
      </c>
    </row>
    <row r="7878" spans="18:18" ht="14.25">
      <c r="R7878" s="20">
        <v>7851</v>
      </c>
    </row>
    <row r="7879" spans="18:18" ht="14.25">
      <c r="R7879" s="20">
        <v>7852</v>
      </c>
    </row>
    <row r="7880" spans="18:18" ht="14.25">
      <c r="R7880" s="20">
        <v>7853</v>
      </c>
    </row>
    <row r="7881" spans="18:18" ht="14.25">
      <c r="R7881" s="20">
        <v>7854</v>
      </c>
    </row>
    <row r="7882" spans="18:18" ht="14.25">
      <c r="R7882" s="20">
        <v>7855</v>
      </c>
    </row>
    <row r="7883" spans="18:18" ht="14.25">
      <c r="R7883" s="20">
        <v>7856</v>
      </c>
    </row>
    <row r="7884" spans="18:18" ht="14.25">
      <c r="R7884" s="20">
        <v>7857</v>
      </c>
    </row>
    <row r="7885" spans="18:18" ht="14.25">
      <c r="R7885" s="20">
        <v>7858</v>
      </c>
    </row>
    <row r="7886" spans="18:18" ht="14.25">
      <c r="R7886" s="20">
        <v>7859</v>
      </c>
    </row>
    <row r="7887" spans="18:18" ht="14.25">
      <c r="R7887" s="20">
        <v>7860</v>
      </c>
    </row>
    <row r="7888" spans="18:18" ht="14.25">
      <c r="R7888" s="20">
        <v>7861</v>
      </c>
    </row>
    <row r="7889" spans="18:18" ht="14.25">
      <c r="R7889" s="20">
        <v>7862</v>
      </c>
    </row>
    <row r="7890" spans="18:18" ht="14.25">
      <c r="R7890" s="20">
        <v>7863</v>
      </c>
    </row>
    <row r="7891" spans="18:18" ht="14.25">
      <c r="R7891" s="20">
        <v>7864</v>
      </c>
    </row>
    <row r="7892" spans="18:18" ht="14.25">
      <c r="R7892" s="20">
        <v>7865</v>
      </c>
    </row>
    <row r="7893" spans="18:18" ht="14.25">
      <c r="R7893" s="20">
        <v>7866</v>
      </c>
    </row>
    <row r="7894" spans="18:18" ht="14.25">
      <c r="R7894" s="20">
        <v>7867</v>
      </c>
    </row>
    <row r="7895" spans="18:18" ht="14.25">
      <c r="R7895" s="20">
        <v>7868</v>
      </c>
    </row>
    <row r="7896" spans="18:18" ht="14.25">
      <c r="R7896" s="20">
        <v>7869</v>
      </c>
    </row>
    <row r="7897" spans="18:18" ht="14.25">
      <c r="R7897" s="20">
        <v>7870</v>
      </c>
    </row>
    <row r="7898" spans="18:18" ht="14.25">
      <c r="R7898" s="20">
        <v>7871</v>
      </c>
    </row>
    <row r="7899" spans="18:18" ht="14.25">
      <c r="R7899" s="20">
        <v>7872</v>
      </c>
    </row>
    <row r="7900" spans="18:18" ht="14.25">
      <c r="R7900" s="20">
        <v>7873</v>
      </c>
    </row>
    <row r="7901" spans="18:18" ht="14.25">
      <c r="R7901" s="20">
        <v>7874</v>
      </c>
    </row>
    <row r="7902" spans="18:18" ht="14.25">
      <c r="R7902" s="20">
        <v>7875</v>
      </c>
    </row>
    <row r="7903" spans="18:18" ht="14.25">
      <c r="R7903" s="20">
        <v>7876</v>
      </c>
    </row>
    <row r="7904" spans="18:18" ht="14.25">
      <c r="R7904" s="20">
        <v>7877</v>
      </c>
    </row>
    <row r="7905" spans="18:18" ht="14.25">
      <c r="R7905" s="20">
        <v>7878</v>
      </c>
    </row>
    <row r="7906" spans="18:18" ht="14.25">
      <c r="R7906" s="20">
        <v>7879</v>
      </c>
    </row>
    <row r="7907" spans="18:18" ht="14.25">
      <c r="R7907" s="20">
        <v>7880</v>
      </c>
    </row>
    <row r="7908" spans="18:18" ht="14.25">
      <c r="R7908" s="20">
        <v>7881</v>
      </c>
    </row>
    <row r="7909" spans="18:18" ht="14.25">
      <c r="R7909" s="20">
        <v>7882</v>
      </c>
    </row>
    <row r="7910" spans="18:18" ht="14.25">
      <c r="R7910" s="20">
        <v>7883</v>
      </c>
    </row>
    <row r="7911" spans="18:18" ht="14.25">
      <c r="R7911" s="20">
        <v>7884</v>
      </c>
    </row>
    <row r="7912" spans="18:18" ht="14.25">
      <c r="R7912" s="20">
        <v>7885</v>
      </c>
    </row>
    <row r="7913" spans="18:18" ht="14.25">
      <c r="R7913" s="20">
        <v>7886</v>
      </c>
    </row>
    <row r="7914" spans="18:18" ht="14.25">
      <c r="R7914" s="20">
        <v>7887</v>
      </c>
    </row>
    <row r="7915" spans="18:18" ht="14.25">
      <c r="R7915" s="20">
        <v>7888</v>
      </c>
    </row>
    <row r="7916" spans="18:18" ht="14.25">
      <c r="R7916" s="20">
        <v>7889</v>
      </c>
    </row>
    <row r="7917" spans="18:18" ht="14.25">
      <c r="R7917" s="20">
        <v>7890</v>
      </c>
    </row>
    <row r="7918" spans="18:18" ht="14.25">
      <c r="R7918" s="20">
        <v>7891</v>
      </c>
    </row>
    <row r="7919" spans="18:18" ht="14.25">
      <c r="R7919" s="20">
        <v>7892</v>
      </c>
    </row>
    <row r="7920" spans="18:18" ht="14.25">
      <c r="R7920" s="20">
        <v>7893</v>
      </c>
    </row>
    <row r="7921" spans="18:18" ht="14.25">
      <c r="R7921" s="20">
        <v>7894</v>
      </c>
    </row>
    <row r="7922" spans="18:18" ht="14.25">
      <c r="R7922" s="20">
        <v>7895</v>
      </c>
    </row>
    <row r="7923" spans="18:18" ht="14.25">
      <c r="R7923" s="20">
        <v>7896</v>
      </c>
    </row>
    <row r="7924" spans="18:18" ht="14.25">
      <c r="R7924" s="20">
        <v>7897</v>
      </c>
    </row>
    <row r="7925" spans="18:18" ht="14.25">
      <c r="R7925" s="20">
        <v>7898</v>
      </c>
    </row>
    <row r="7926" spans="18:18" ht="14.25">
      <c r="R7926" s="20">
        <v>7899</v>
      </c>
    </row>
    <row r="7927" spans="18:18" ht="14.25">
      <c r="R7927" s="20">
        <v>7900</v>
      </c>
    </row>
    <row r="7928" spans="18:18" ht="14.25">
      <c r="R7928" s="20">
        <v>7901</v>
      </c>
    </row>
    <row r="7929" spans="18:18" ht="14.25">
      <c r="R7929" s="20">
        <v>7902</v>
      </c>
    </row>
    <row r="7930" spans="18:18" ht="14.25">
      <c r="R7930" s="20">
        <v>7903</v>
      </c>
    </row>
    <row r="7931" spans="18:18" ht="14.25">
      <c r="R7931" s="20">
        <v>7904</v>
      </c>
    </row>
    <row r="7932" spans="18:18" ht="14.25">
      <c r="R7932" s="20">
        <v>7905</v>
      </c>
    </row>
    <row r="7933" spans="18:18" ht="14.25">
      <c r="R7933" s="20">
        <v>7906</v>
      </c>
    </row>
    <row r="7934" spans="18:18" ht="14.25">
      <c r="R7934" s="20">
        <v>7907</v>
      </c>
    </row>
    <row r="7935" spans="18:18" ht="14.25">
      <c r="R7935" s="20">
        <v>7908</v>
      </c>
    </row>
    <row r="7936" spans="18:18" ht="14.25">
      <c r="R7936" s="20">
        <v>7909</v>
      </c>
    </row>
    <row r="7937" spans="18:18" ht="14.25">
      <c r="R7937" s="20">
        <v>7910</v>
      </c>
    </row>
    <row r="7938" spans="18:18" ht="14.25">
      <c r="R7938" s="20">
        <v>7911</v>
      </c>
    </row>
    <row r="7939" spans="18:18" ht="14.25">
      <c r="R7939" s="20">
        <v>7912</v>
      </c>
    </row>
    <row r="7940" spans="18:18" ht="14.25">
      <c r="R7940" s="20">
        <v>7913</v>
      </c>
    </row>
    <row r="7941" spans="18:18" ht="14.25">
      <c r="R7941" s="20">
        <v>7914</v>
      </c>
    </row>
    <row r="7942" spans="18:18" ht="14.25">
      <c r="R7942" s="20">
        <v>7915</v>
      </c>
    </row>
    <row r="7943" spans="18:18" ht="14.25">
      <c r="R7943" s="20">
        <v>7916</v>
      </c>
    </row>
    <row r="7944" spans="18:18" ht="14.25">
      <c r="R7944" s="20">
        <v>7917</v>
      </c>
    </row>
    <row r="7945" spans="18:18" ht="14.25">
      <c r="R7945" s="20">
        <v>7918</v>
      </c>
    </row>
    <row r="7946" spans="18:18" ht="14.25">
      <c r="R7946" s="20">
        <v>7919</v>
      </c>
    </row>
    <row r="7947" spans="18:18" ht="14.25">
      <c r="R7947" s="20">
        <v>7920</v>
      </c>
    </row>
    <row r="7948" spans="18:18" ht="14.25">
      <c r="R7948" s="20">
        <v>7921</v>
      </c>
    </row>
    <row r="7949" spans="18:18" ht="14.25">
      <c r="R7949" s="20">
        <v>7922</v>
      </c>
    </row>
    <row r="7950" spans="18:18" ht="14.25">
      <c r="R7950" s="20">
        <v>7923</v>
      </c>
    </row>
    <row r="7951" spans="18:18" ht="14.25">
      <c r="R7951" s="20">
        <v>7924</v>
      </c>
    </row>
    <row r="7952" spans="18:18" ht="14.25">
      <c r="R7952" s="20">
        <v>7925</v>
      </c>
    </row>
    <row r="7953" spans="18:18" ht="14.25">
      <c r="R7953" s="20">
        <v>7926</v>
      </c>
    </row>
    <row r="7954" spans="18:18" ht="14.25">
      <c r="R7954" s="20">
        <v>7927</v>
      </c>
    </row>
    <row r="7955" spans="18:18" ht="14.25">
      <c r="R7955" s="20">
        <v>7928</v>
      </c>
    </row>
    <row r="7956" spans="18:18" ht="14.25">
      <c r="R7956" s="20">
        <v>7929</v>
      </c>
    </row>
    <row r="7957" spans="18:18" ht="14.25">
      <c r="R7957" s="20">
        <v>7930</v>
      </c>
    </row>
    <row r="7958" spans="18:18" ht="14.25">
      <c r="R7958" s="20">
        <v>7931</v>
      </c>
    </row>
    <row r="7959" spans="18:18" ht="14.25">
      <c r="R7959" s="20">
        <v>7932</v>
      </c>
    </row>
    <row r="7960" spans="18:18" ht="14.25">
      <c r="R7960" s="20">
        <v>7933</v>
      </c>
    </row>
    <row r="7961" spans="18:18" ht="14.25">
      <c r="R7961" s="20">
        <v>7934</v>
      </c>
    </row>
    <row r="7962" spans="18:18" ht="14.25">
      <c r="R7962" s="20">
        <v>7935</v>
      </c>
    </row>
    <row r="7963" spans="18:18" ht="14.25">
      <c r="R7963" s="20">
        <v>7936</v>
      </c>
    </row>
    <row r="7964" spans="18:18" ht="14.25">
      <c r="R7964" s="20">
        <v>7937</v>
      </c>
    </row>
    <row r="7965" spans="18:18" ht="14.25">
      <c r="R7965" s="20">
        <v>7938</v>
      </c>
    </row>
    <row r="7966" spans="18:18" ht="14.25">
      <c r="R7966" s="20">
        <v>7939</v>
      </c>
    </row>
    <row r="7967" spans="18:18" ht="14.25">
      <c r="R7967" s="20">
        <v>7940</v>
      </c>
    </row>
    <row r="7968" spans="18:18" ht="14.25">
      <c r="R7968" s="20">
        <v>7941</v>
      </c>
    </row>
    <row r="7969" spans="18:18" ht="14.25">
      <c r="R7969" s="20">
        <v>7942</v>
      </c>
    </row>
    <row r="7970" spans="18:18" ht="14.25">
      <c r="R7970" s="20">
        <v>7943</v>
      </c>
    </row>
    <row r="7971" spans="18:18" ht="14.25">
      <c r="R7971" s="20">
        <v>7944</v>
      </c>
    </row>
    <row r="7972" spans="18:18" ht="14.25">
      <c r="R7972" s="20">
        <v>7945</v>
      </c>
    </row>
    <row r="7973" spans="18:18" ht="14.25">
      <c r="R7973" s="20">
        <v>7946</v>
      </c>
    </row>
    <row r="7974" spans="18:18" ht="14.25">
      <c r="R7974" s="20">
        <v>7947</v>
      </c>
    </row>
    <row r="7975" spans="18:18" ht="14.25">
      <c r="R7975" s="20">
        <v>7948</v>
      </c>
    </row>
    <row r="7976" spans="18:18" ht="14.25">
      <c r="R7976" s="20">
        <v>7949</v>
      </c>
    </row>
    <row r="7977" spans="18:18" ht="14.25">
      <c r="R7977" s="20">
        <v>7950</v>
      </c>
    </row>
    <row r="7978" spans="18:18" ht="14.25">
      <c r="R7978" s="20">
        <v>7951</v>
      </c>
    </row>
    <row r="7979" spans="18:18" ht="14.25">
      <c r="R7979" s="20">
        <v>7952</v>
      </c>
    </row>
    <row r="7980" spans="18:18" ht="14.25">
      <c r="R7980" s="20">
        <v>7953</v>
      </c>
    </row>
    <row r="7981" spans="18:18" ht="14.25">
      <c r="R7981" s="20">
        <v>7954</v>
      </c>
    </row>
    <row r="7982" spans="18:18" ht="14.25">
      <c r="R7982" s="20">
        <v>7955</v>
      </c>
    </row>
    <row r="7983" spans="18:18" ht="14.25">
      <c r="R7983" s="20">
        <v>7956</v>
      </c>
    </row>
    <row r="7984" spans="18:18" ht="14.25">
      <c r="R7984" s="20">
        <v>7957</v>
      </c>
    </row>
    <row r="7985" spans="18:18" ht="14.25">
      <c r="R7985" s="20">
        <v>7958</v>
      </c>
    </row>
    <row r="7986" spans="18:18" ht="14.25">
      <c r="R7986" s="20">
        <v>7959</v>
      </c>
    </row>
    <row r="7987" spans="18:18" ht="14.25">
      <c r="R7987" s="20">
        <v>7960</v>
      </c>
    </row>
    <row r="7988" spans="18:18" ht="14.25">
      <c r="R7988" s="20">
        <v>7961</v>
      </c>
    </row>
    <row r="7989" spans="18:18" ht="14.25">
      <c r="R7989" s="20">
        <v>7962</v>
      </c>
    </row>
    <row r="7990" spans="18:18" ht="14.25">
      <c r="R7990" s="20">
        <v>7963</v>
      </c>
    </row>
    <row r="7991" spans="18:18" ht="14.25">
      <c r="R7991" s="20">
        <v>7964</v>
      </c>
    </row>
    <row r="7992" spans="18:18" ht="14.25">
      <c r="R7992" s="20">
        <v>7965</v>
      </c>
    </row>
    <row r="7993" spans="18:18" ht="14.25">
      <c r="R7993" s="20">
        <v>7966</v>
      </c>
    </row>
    <row r="7994" spans="18:18" ht="14.25">
      <c r="R7994" s="20">
        <v>7967</v>
      </c>
    </row>
    <row r="7995" spans="18:18" ht="14.25">
      <c r="R7995" s="20">
        <v>7968</v>
      </c>
    </row>
    <row r="7996" spans="18:18" ht="14.25">
      <c r="R7996" s="20">
        <v>7969</v>
      </c>
    </row>
    <row r="7997" spans="18:18" ht="14.25">
      <c r="R7997" s="20">
        <v>7970</v>
      </c>
    </row>
    <row r="7998" spans="18:18" ht="14.25">
      <c r="R7998" s="20">
        <v>7971</v>
      </c>
    </row>
    <row r="7999" spans="18:18" ht="14.25">
      <c r="R7999" s="20">
        <v>7972</v>
      </c>
    </row>
    <row r="8000" spans="18:18" ht="14.25">
      <c r="R8000" s="20">
        <v>7973</v>
      </c>
    </row>
    <row r="8001" spans="18:18" ht="14.25">
      <c r="R8001" s="20">
        <v>7974</v>
      </c>
    </row>
    <row r="8002" spans="18:18" ht="14.25">
      <c r="R8002" s="20">
        <v>7975</v>
      </c>
    </row>
    <row r="8003" spans="18:18" ht="14.25">
      <c r="R8003" s="20">
        <v>7976</v>
      </c>
    </row>
    <row r="8004" spans="18:18" ht="14.25">
      <c r="R8004" s="20">
        <v>7977</v>
      </c>
    </row>
    <row r="8005" spans="18:18" ht="14.25">
      <c r="R8005" s="20">
        <v>7978</v>
      </c>
    </row>
    <row r="8006" spans="18:18" ht="14.25">
      <c r="R8006" s="20">
        <v>7979</v>
      </c>
    </row>
    <row r="8007" spans="18:18" ht="14.25">
      <c r="R8007" s="20">
        <v>7980</v>
      </c>
    </row>
    <row r="8008" spans="18:18" ht="14.25">
      <c r="R8008" s="20">
        <v>7981</v>
      </c>
    </row>
    <row r="8009" spans="18:18" ht="14.25">
      <c r="R8009" s="20">
        <v>7982</v>
      </c>
    </row>
    <row r="8010" spans="18:18" ht="14.25">
      <c r="R8010" s="20">
        <v>7983</v>
      </c>
    </row>
    <row r="8011" spans="18:18" ht="14.25">
      <c r="R8011" s="20">
        <v>7984</v>
      </c>
    </row>
    <row r="8012" spans="18:18" ht="14.25">
      <c r="R8012" s="20">
        <v>7985</v>
      </c>
    </row>
    <row r="8013" spans="18:18" ht="14.25">
      <c r="R8013" s="20">
        <v>7986</v>
      </c>
    </row>
    <row r="8014" spans="18:18" ht="14.25">
      <c r="R8014" s="20">
        <v>7987</v>
      </c>
    </row>
    <row r="8015" spans="18:18" ht="14.25">
      <c r="R8015" s="20">
        <v>7988</v>
      </c>
    </row>
    <row r="8016" spans="18:18" ht="14.25">
      <c r="R8016" s="20">
        <v>7989</v>
      </c>
    </row>
    <row r="8017" spans="18:18" ht="14.25">
      <c r="R8017" s="20">
        <v>7990</v>
      </c>
    </row>
    <row r="8018" spans="18:18" ht="14.25">
      <c r="R8018" s="20">
        <v>7991</v>
      </c>
    </row>
    <row r="8019" spans="18:18" ht="14.25">
      <c r="R8019" s="20">
        <v>7992</v>
      </c>
    </row>
    <row r="8020" spans="18:18" ht="14.25">
      <c r="R8020" s="20">
        <v>7993</v>
      </c>
    </row>
    <row r="8021" spans="18:18" ht="14.25">
      <c r="R8021" s="20">
        <v>7994</v>
      </c>
    </row>
    <row r="8022" spans="18:18" ht="14.25">
      <c r="R8022" s="20">
        <v>7995</v>
      </c>
    </row>
    <row r="8023" spans="18:18" ht="14.25">
      <c r="R8023" s="20">
        <v>7996</v>
      </c>
    </row>
    <row r="8024" spans="18:18" ht="14.25">
      <c r="R8024" s="20">
        <v>7997</v>
      </c>
    </row>
    <row r="8025" spans="18:18" ht="14.25">
      <c r="R8025" s="20">
        <v>7998</v>
      </c>
    </row>
    <row r="8026" spans="18:18" ht="14.25">
      <c r="R8026" s="20">
        <v>7999</v>
      </c>
    </row>
    <row r="8027" spans="18:18" ht="14.25">
      <c r="R8027" s="20">
        <v>8000</v>
      </c>
    </row>
    <row r="8028" spans="18:18" ht="14.25">
      <c r="R8028" s="20">
        <v>8001</v>
      </c>
    </row>
    <row r="8029" spans="18:18" ht="14.25">
      <c r="R8029" s="20">
        <v>8002</v>
      </c>
    </row>
    <row r="8030" spans="18:18" ht="14.25">
      <c r="R8030" s="20">
        <v>8003</v>
      </c>
    </row>
    <row r="8031" spans="18:18" ht="14.25">
      <c r="R8031" s="20">
        <v>8004</v>
      </c>
    </row>
    <row r="8032" spans="18:18" ht="14.25">
      <c r="R8032" s="20">
        <v>8005</v>
      </c>
    </row>
    <row r="8033" spans="18:18" ht="14.25">
      <c r="R8033" s="20">
        <v>8006</v>
      </c>
    </row>
    <row r="8034" spans="18:18" ht="14.25">
      <c r="R8034" s="20">
        <v>8007</v>
      </c>
    </row>
    <row r="8035" spans="18:18" ht="14.25">
      <c r="R8035" s="20">
        <v>8008</v>
      </c>
    </row>
    <row r="8036" spans="18:18" ht="14.25">
      <c r="R8036" s="20">
        <v>8009</v>
      </c>
    </row>
    <row r="8037" spans="18:18" ht="14.25">
      <c r="R8037" s="20">
        <v>8010</v>
      </c>
    </row>
    <row r="8038" spans="18:18" ht="14.25">
      <c r="R8038" s="20">
        <v>8011</v>
      </c>
    </row>
    <row r="8039" spans="18:18" ht="14.25">
      <c r="R8039" s="20">
        <v>8012</v>
      </c>
    </row>
    <row r="8040" spans="18:18" ht="14.25">
      <c r="R8040" s="20">
        <v>8013</v>
      </c>
    </row>
    <row r="8041" spans="18:18" ht="14.25">
      <c r="R8041" s="20">
        <v>8014</v>
      </c>
    </row>
    <row r="8042" spans="18:18" ht="14.25">
      <c r="R8042" s="20">
        <v>8015</v>
      </c>
    </row>
    <row r="8043" spans="18:18" ht="14.25">
      <c r="R8043" s="20">
        <v>8016</v>
      </c>
    </row>
    <row r="8044" spans="18:18" ht="14.25">
      <c r="R8044" s="20">
        <v>8017</v>
      </c>
    </row>
    <row r="8045" spans="18:18" ht="14.25">
      <c r="R8045" s="20">
        <v>8018</v>
      </c>
    </row>
    <row r="8046" spans="18:18" ht="14.25">
      <c r="R8046" s="20">
        <v>8019</v>
      </c>
    </row>
    <row r="8047" spans="18:18" ht="14.25">
      <c r="R8047" s="20">
        <v>8020</v>
      </c>
    </row>
    <row r="8048" spans="18:18" ht="14.25">
      <c r="R8048" s="20">
        <v>8021</v>
      </c>
    </row>
    <row r="8049" spans="18:18" ht="14.25">
      <c r="R8049" s="20">
        <v>8022</v>
      </c>
    </row>
    <row r="8050" spans="18:18" ht="14.25">
      <c r="R8050" s="20">
        <v>8023</v>
      </c>
    </row>
    <row r="8051" spans="18:18" ht="14.25">
      <c r="R8051" s="20">
        <v>8024</v>
      </c>
    </row>
    <row r="8052" spans="18:18" ht="14.25">
      <c r="R8052" s="20">
        <v>8025</v>
      </c>
    </row>
    <row r="8053" spans="18:18" ht="14.25">
      <c r="R8053" s="20">
        <v>8026</v>
      </c>
    </row>
    <row r="8054" spans="18:18" ht="14.25">
      <c r="R8054" s="20">
        <v>8027</v>
      </c>
    </row>
    <row r="8055" spans="18:18" ht="14.25">
      <c r="R8055" s="20">
        <v>8028</v>
      </c>
    </row>
    <row r="8056" spans="18:18" ht="14.25">
      <c r="R8056" s="20">
        <v>8029</v>
      </c>
    </row>
    <row r="8057" spans="18:18" ht="14.25">
      <c r="R8057" s="20">
        <v>8030</v>
      </c>
    </row>
    <row r="8058" spans="18:18" ht="14.25">
      <c r="R8058" s="20">
        <v>8031</v>
      </c>
    </row>
    <row r="8059" spans="18:18" ht="14.25">
      <c r="R8059" s="20">
        <v>8032</v>
      </c>
    </row>
    <row r="8060" spans="18:18" ht="14.25">
      <c r="R8060" s="20">
        <v>8033</v>
      </c>
    </row>
    <row r="8061" spans="18:18" ht="14.25">
      <c r="R8061" s="20">
        <v>8034</v>
      </c>
    </row>
    <row r="8062" spans="18:18" ht="14.25">
      <c r="R8062" s="20">
        <v>8035</v>
      </c>
    </row>
    <row r="8063" spans="18:18" ht="14.25">
      <c r="R8063" s="20">
        <v>8036</v>
      </c>
    </row>
    <row r="8064" spans="18:18" ht="14.25">
      <c r="R8064" s="20">
        <v>8037</v>
      </c>
    </row>
    <row r="8065" spans="18:18" ht="14.25">
      <c r="R8065" s="20">
        <v>8038</v>
      </c>
    </row>
    <row r="8066" spans="18:18" ht="14.25">
      <c r="R8066" s="20">
        <v>8039</v>
      </c>
    </row>
    <row r="8067" spans="18:18" ht="14.25">
      <c r="R8067" s="20">
        <v>8040</v>
      </c>
    </row>
    <row r="8068" spans="18:18" ht="14.25">
      <c r="R8068" s="20">
        <v>8041</v>
      </c>
    </row>
    <row r="8069" spans="18:18" ht="14.25">
      <c r="R8069" s="20">
        <v>8042</v>
      </c>
    </row>
    <row r="8070" spans="18:18" ht="14.25">
      <c r="R8070" s="20">
        <v>8043</v>
      </c>
    </row>
    <row r="8071" spans="18:18" ht="14.25">
      <c r="R8071" s="20">
        <v>8044</v>
      </c>
    </row>
    <row r="8072" spans="18:18" ht="14.25">
      <c r="R8072" s="20">
        <v>8045</v>
      </c>
    </row>
    <row r="8073" spans="18:18" ht="14.25">
      <c r="R8073" s="20">
        <v>8046</v>
      </c>
    </row>
    <row r="8074" spans="18:18" ht="14.25">
      <c r="R8074" s="20">
        <v>8047</v>
      </c>
    </row>
    <row r="8075" spans="18:18" ht="14.25">
      <c r="R8075" s="20">
        <v>8048</v>
      </c>
    </row>
    <row r="8076" spans="18:18" ht="14.25">
      <c r="R8076" s="20">
        <v>8049</v>
      </c>
    </row>
    <row r="8077" spans="18:18" ht="14.25">
      <c r="R8077" s="20">
        <v>8050</v>
      </c>
    </row>
    <row r="8078" spans="18:18" ht="14.25">
      <c r="R8078" s="20">
        <v>8051</v>
      </c>
    </row>
    <row r="8079" spans="18:18" ht="14.25">
      <c r="R8079" s="20">
        <v>8052</v>
      </c>
    </row>
    <row r="8080" spans="18:18" ht="14.25">
      <c r="R8080" s="20">
        <v>8053</v>
      </c>
    </row>
    <row r="8081" spans="18:18" ht="14.25">
      <c r="R8081" s="20">
        <v>8054</v>
      </c>
    </row>
    <row r="8082" spans="18:18" ht="14.25">
      <c r="R8082" s="20">
        <v>8055</v>
      </c>
    </row>
    <row r="8083" spans="18:18" ht="14.25">
      <c r="R8083" s="20">
        <v>8056</v>
      </c>
    </row>
    <row r="8084" spans="18:18" ht="14.25">
      <c r="R8084" s="20">
        <v>8057</v>
      </c>
    </row>
    <row r="8085" spans="18:18" ht="14.25">
      <c r="R8085" s="20">
        <v>8058</v>
      </c>
    </row>
    <row r="8086" spans="18:18" ht="14.25">
      <c r="R8086" s="20">
        <v>8059</v>
      </c>
    </row>
    <row r="8087" spans="18:18" ht="14.25">
      <c r="R8087" s="20">
        <v>8060</v>
      </c>
    </row>
    <row r="8088" spans="18:18" ht="14.25">
      <c r="R8088" s="20">
        <v>8061</v>
      </c>
    </row>
    <row r="8089" spans="18:18" ht="14.25">
      <c r="R8089" s="20">
        <v>8062</v>
      </c>
    </row>
    <row r="8090" spans="18:18" ht="14.25">
      <c r="R8090" s="20">
        <v>8063</v>
      </c>
    </row>
    <row r="8091" spans="18:18" ht="14.25">
      <c r="R8091" s="20">
        <v>8064</v>
      </c>
    </row>
    <row r="8092" spans="18:18" ht="14.25">
      <c r="R8092" s="20">
        <v>8065</v>
      </c>
    </row>
    <row r="8093" spans="18:18" ht="14.25">
      <c r="R8093" s="20">
        <v>8066</v>
      </c>
    </row>
    <row r="8094" spans="18:18" ht="14.25">
      <c r="R8094" s="20">
        <v>8067</v>
      </c>
    </row>
    <row r="8095" spans="18:18" ht="14.25">
      <c r="R8095" s="20">
        <v>8068</v>
      </c>
    </row>
    <row r="8096" spans="18:18" ht="14.25">
      <c r="R8096" s="20">
        <v>8069</v>
      </c>
    </row>
    <row r="8097" spans="18:18" ht="14.25">
      <c r="R8097" s="20">
        <v>8070</v>
      </c>
    </row>
    <row r="8098" spans="18:18" ht="14.25">
      <c r="R8098" s="20">
        <v>8071</v>
      </c>
    </row>
    <row r="8099" spans="18:18" ht="14.25">
      <c r="R8099" s="20">
        <v>8072</v>
      </c>
    </row>
    <row r="8100" spans="18:18" ht="14.25">
      <c r="R8100" s="20">
        <v>8073</v>
      </c>
    </row>
    <row r="8101" spans="18:18" ht="14.25">
      <c r="R8101" s="20">
        <v>8074</v>
      </c>
    </row>
    <row r="8102" spans="18:18" ht="14.25">
      <c r="R8102" s="20">
        <v>8075</v>
      </c>
    </row>
    <row r="8103" spans="18:18" ht="14.25">
      <c r="R8103" s="20">
        <v>8076</v>
      </c>
    </row>
    <row r="8104" spans="18:18" ht="14.25">
      <c r="R8104" s="20">
        <v>8077</v>
      </c>
    </row>
    <row r="8105" spans="18:18" ht="14.25">
      <c r="R8105" s="20">
        <v>8078</v>
      </c>
    </row>
    <row r="8106" spans="18:18" ht="14.25">
      <c r="R8106" s="20">
        <v>8079</v>
      </c>
    </row>
    <row r="8107" spans="18:18" ht="14.25">
      <c r="R8107" s="20">
        <v>8080</v>
      </c>
    </row>
    <row r="8108" spans="18:18" ht="14.25">
      <c r="R8108" s="20">
        <v>8081</v>
      </c>
    </row>
    <row r="8109" spans="18:18" ht="14.25">
      <c r="R8109" s="20">
        <v>8082</v>
      </c>
    </row>
    <row r="8110" spans="18:18" ht="14.25">
      <c r="R8110" s="20">
        <v>8083</v>
      </c>
    </row>
    <row r="8111" spans="18:18" ht="14.25">
      <c r="R8111" s="20">
        <v>8084</v>
      </c>
    </row>
    <row r="8112" spans="18:18" ht="14.25">
      <c r="R8112" s="20">
        <v>8085</v>
      </c>
    </row>
    <row r="8113" spans="18:18" ht="14.25">
      <c r="R8113" s="20">
        <v>8086</v>
      </c>
    </row>
    <row r="8114" spans="18:18" ht="14.25">
      <c r="R8114" s="20">
        <v>8087</v>
      </c>
    </row>
    <row r="8115" spans="18:18" ht="14.25">
      <c r="R8115" s="20">
        <v>8088</v>
      </c>
    </row>
    <row r="8116" spans="18:18" ht="14.25">
      <c r="R8116" s="20">
        <v>8089</v>
      </c>
    </row>
    <row r="8117" spans="18:18" ht="14.25">
      <c r="R8117" s="20">
        <v>8090</v>
      </c>
    </row>
    <row r="8118" spans="18:18" ht="14.25">
      <c r="R8118" s="20">
        <v>8091</v>
      </c>
    </row>
    <row r="8119" spans="18:18" ht="14.25">
      <c r="R8119" s="20">
        <v>8092</v>
      </c>
    </row>
    <row r="8120" spans="18:18" ht="14.25">
      <c r="R8120" s="20">
        <v>8093</v>
      </c>
    </row>
    <row r="8121" spans="18:18" ht="14.25">
      <c r="R8121" s="20">
        <v>8094</v>
      </c>
    </row>
    <row r="8122" spans="18:18" ht="14.25">
      <c r="R8122" s="20">
        <v>8095</v>
      </c>
    </row>
    <row r="8123" spans="18:18" ht="14.25">
      <c r="R8123" s="20">
        <v>8096</v>
      </c>
    </row>
    <row r="8124" spans="18:18" ht="14.25">
      <c r="R8124" s="20">
        <v>8097</v>
      </c>
    </row>
    <row r="8125" spans="18:18" ht="14.25">
      <c r="R8125" s="20">
        <v>8098</v>
      </c>
    </row>
    <row r="8126" spans="18:18" ht="14.25">
      <c r="R8126" s="20">
        <v>8099</v>
      </c>
    </row>
    <row r="8127" spans="18:18" ht="14.25">
      <c r="R8127" s="20">
        <v>8100</v>
      </c>
    </row>
    <row r="8128" spans="18:18" ht="14.25">
      <c r="R8128" s="20">
        <v>8101</v>
      </c>
    </row>
    <row r="8129" spans="18:18" ht="14.25">
      <c r="R8129" s="20">
        <v>8102</v>
      </c>
    </row>
    <row r="8130" spans="18:18" ht="14.25">
      <c r="R8130" s="20">
        <v>8103</v>
      </c>
    </row>
    <row r="8131" spans="18:18" ht="14.25">
      <c r="R8131" s="20">
        <v>8104</v>
      </c>
    </row>
    <row r="8132" spans="18:18" ht="14.25">
      <c r="R8132" s="20">
        <v>8105</v>
      </c>
    </row>
    <row r="8133" spans="18:18" ht="14.25">
      <c r="R8133" s="20">
        <v>8106</v>
      </c>
    </row>
    <row r="8134" spans="18:18" ht="14.25">
      <c r="R8134" s="20">
        <v>8107</v>
      </c>
    </row>
    <row r="8135" spans="18:18" ht="14.25">
      <c r="R8135" s="20">
        <v>8108</v>
      </c>
    </row>
    <row r="8136" spans="18:18" ht="14.25">
      <c r="R8136" s="20">
        <v>8109</v>
      </c>
    </row>
    <row r="8137" spans="18:18" ht="14.25">
      <c r="R8137" s="20">
        <v>8110</v>
      </c>
    </row>
    <row r="8138" spans="18:18" ht="14.25">
      <c r="R8138" s="20">
        <v>8111</v>
      </c>
    </row>
    <row r="8139" spans="18:18" ht="14.25">
      <c r="R8139" s="20">
        <v>8112</v>
      </c>
    </row>
    <row r="8140" spans="18:18" ht="14.25">
      <c r="R8140" s="20">
        <v>8113</v>
      </c>
    </row>
    <row r="8141" spans="18:18" ht="14.25">
      <c r="R8141" s="20">
        <v>8114</v>
      </c>
    </row>
    <row r="8142" spans="18:18" ht="14.25">
      <c r="R8142" s="20">
        <v>8115</v>
      </c>
    </row>
    <row r="8143" spans="18:18" ht="14.25">
      <c r="R8143" s="20">
        <v>8116</v>
      </c>
    </row>
    <row r="8144" spans="18:18" ht="14.25">
      <c r="R8144" s="20">
        <v>8117</v>
      </c>
    </row>
    <row r="8145" spans="18:18" ht="14.25">
      <c r="R8145" s="20">
        <v>8118</v>
      </c>
    </row>
    <row r="8146" spans="18:18" ht="14.25">
      <c r="R8146" s="20">
        <v>8119</v>
      </c>
    </row>
    <row r="8147" spans="18:18" ht="14.25">
      <c r="R8147" s="20">
        <v>8120</v>
      </c>
    </row>
    <row r="8148" spans="18:18" ht="14.25">
      <c r="R8148" s="20">
        <v>8121</v>
      </c>
    </row>
    <row r="8149" spans="18:18" ht="14.25">
      <c r="R8149" s="20">
        <v>8122</v>
      </c>
    </row>
    <row r="8150" spans="18:18" ht="14.25">
      <c r="R8150" s="20">
        <v>8123</v>
      </c>
    </row>
    <row r="8151" spans="18:18" ht="14.25">
      <c r="R8151" s="20">
        <v>8124</v>
      </c>
    </row>
    <row r="8152" spans="18:18" ht="14.25">
      <c r="R8152" s="20">
        <v>8125</v>
      </c>
    </row>
    <row r="8153" spans="18:18" ht="14.25">
      <c r="R8153" s="20">
        <v>8126</v>
      </c>
    </row>
    <row r="8154" spans="18:18" ht="14.25">
      <c r="R8154" s="20">
        <v>8127</v>
      </c>
    </row>
    <row r="8155" spans="18:18" ht="14.25">
      <c r="R8155" s="20">
        <v>8128</v>
      </c>
    </row>
    <row r="8156" spans="18:18" ht="14.25">
      <c r="R8156" s="20">
        <v>8129</v>
      </c>
    </row>
    <row r="8157" spans="18:18" ht="14.25">
      <c r="R8157" s="20">
        <v>8130</v>
      </c>
    </row>
    <row r="8158" spans="18:18" ht="14.25">
      <c r="R8158" s="20">
        <v>8131</v>
      </c>
    </row>
    <row r="8159" spans="18:18" ht="14.25">
      <c r="R8159" s="20">
        <v>8132</v>
      </c>
    </row>
    <row r="8160" spans="18:18" ht="14.25">
      <c r="R8160" s="20">
        <v>8133</v>
      </c>
    </row>
    <row r="8161" spans="18:18" ht="14.25">
      <c r="R8161" s="20">
        <v>8134</v>
      </c>
    </row>
    <row r="8162" spans="18:18" ht="14.25">
      <c r="R8162" s="20">
        <v>8135</v>
      </c>
    </row>
    <row r="8163" spans="18:18" ht="14.25">
      <c r="R8163" s="20">
        <v>8136</v>
      </c>
    </row>
    <row r="8164" spans="18:18" ht="14.25">
      <c r="R8164" s="20">
        <v>8137</v>
      </c>
    </row>
    <row r="8165" spans="18:18" ht="14.25">
      <c r="R8165" s="20">
        <v>8138</v>
      </c>
    </row>
    <row r="8166" spans="18:18" ht="14.25">
      <c r="R8166" s="20">
        <v>8139</v>
      </c>
    </row>
    <row r="8167" spans="18:18" ht="14.25">
      <c r="R8167" s="20">
        <v>8140</v>
      </c>
    </row>
    <row r="8168" spans="18:18" ht="14.25">
      <c r="R8168" s="20">
        <v>8141</v>
      </c>
    </row>
    <row r="8169" spans="18:18" ht="14.25">
      <c r="R8169" s="20">
        <v>8142</v>
      </c>
    </row>
    <row r="8170" spans="18:18" ht="14.25">
      <c r="R8170" s="20">
        <v>8143</v>
      </c>
    </row>
    <row r="8171" spans="18:18" ht="14.25">
      <c r="R8171" s="20">
        <v>8144</v>
      </c>
    </row>
    <row r="8172" spans="18:18" ht="14.25">
      <c r="R8172" s="20">
        <v>8145</v>
      </c>
    </row>
    <row r="8173" spans="18:18" ht="14.25">
      <c r="R8173" s="20">
        <v>8146</v>
      </c>
    </row>
    <row r="8174" spans="18:18" ht="14.25">
      <c r="R8174" s="20">
        <v>8147</v>
      </c>
    </row>
    <row r="8175" spans="18:18" ht="14.25">
      <c r="R8175" s="20">
        <v>8148</v>
      </c>
    </row>
    <row r="8176" spans="18:18" ht="14.25">
      <c r="R8176" s="20">
        <v>8149</v>
      </c>
    </row>
    <row r="8177" spans="18:18" ht="14.25">
      <c r="R8177" s="20">
        <v>8150</v>
      </c>
    </row>
    <row r="8178" spans="18:18" ht="14.25">
      <c r="R8178" s="20">
        <v>8151</v>
      </c>
    </row>
    <row r="8179" spans="18:18" ht="14.25">
      <c r="R8179" s="20">
        <v>8152</v>
      </c>
    </row>
    <row r="8180" spans="18:18" ht="14.25">
      <c r="R8180" s="20">
        <v>8153</v>
      </c>
    </row>
    <row r="8181" spans="18:18" ht="14.25">
      <c r="R8181" s="20">
        <v>8154</v>
      </c>
    </row>
    <row r="8182" spans="18:18" ht="14.25">
      <c r="R8182" s="20">
        <v>8155</v>
      </c>
    </row>
    <row r="8183" spans="18:18" ht="14.25">
      <c r="R8183" s="20">
        <v>8156</v>
      </c>
    </row>
    <row r="8184" spans="18:18" ht="14.25">
      <c r="R8184" s="20">
        <v>8157</v>
      </c>
    </row>
    <row r="8185" spans="18:18" ht="14.25">
      <c r="R8185" s="20">
        <v>8158</v>
      </c>
    </row>
    <row r="8186" spans="18:18" ht="14.25">
      <c r="R8186" s="20">
        <v>8159</v>
      </c>
    </row>
    <row r="8187" spans="18:18" ht="14.25">
      <c r="R8187" s="20">
        <v>8160</v>
      </c>
    </row>
    <row r="8188" spans="18:18" ht="14.25">
      <c r="R8188" s="20">
        <v>8161</v>
      </c>
    </row>
    <row r="8189" spans="18:18" ht="14.25">
      <c r="R8189" s="20">
        <v>8162</v>
      </c>
    </row>
    <row r="8190" spans="18:18" ht="14.25">
      <c r="R8190" s="20">
        <v>8163</v>
      </c>
    </row>
    <row r="8191" spans="18:18" ht="14.25">
      <c r="R8191" s="20">
        <v>8164</v>
      </c>
    </row>
    <row r="8192" spans="18:18" ht="14.25">
      <c r="R8192" s="20">
        <v>8165</v>
      </c>
    </row>
    <row r="8193" spans="18:18" ht="14.25">
      <c r="R8193" s="20">
        <v>8166</v>
      </c>
    </row>
    <row r="8194" spans="18:18" ht="14.25">
      <c r="R8194" s="20">
        <v>8167</v>
      </c>
    </row>
    <row r="8195" spans="18:18" ht="14.25">
      <c r="R8195" s="20">
        <v>8168</v>
      </c>
    </row>
    <row r="8196" spans="18:18" ht="14.25">
      <c r="R8196" s="20">
        <v>8169</v>
      </c>
    </row>
    <row r="8197" spans="18:18" ht="14.25">
      <c r="R8197" s="20">
        <v>8170</v>
      </c>
    </row>
    <row r="8198" spans="18:18" ht="14.25">
      <c r="R8198" s="20">
        <v>8171</v>
      </c>
    </row>
    <row r="8199" spans="18:18" ht="14.25">
      <c r="R8199" s="20">
        <v>8172</v>
      </c>
    </row>
    <row r="8200" spans="18:18" ht="14.25">
      <c r="R8200" s="20">
        <v>8173</v>
      </c>
    </row>
    <row r="8201" spans="18:18" ht="14.25">
      <c r="R8201" s="20">
        <v>8174</v>
      </c>
    </row>
    <row r="8202" spans="18:18" ht="14.25">
      <c r="R8202" s="20">
        <v>8175</v>
      </c>
    </row>
    <row r="8203" spans="18:18" ht="14.25">
      <c r="R8203" s="20">
        <v>8176</v>
      </c>
    </row>
    <row r="8204" spans="18:18" ht="14.25">
      <c r="R8204" s="20">
        <v>8177</v>
      </c>
    </row>
    <row r="8205" spans="18:18" ht="14.25">
      <c r="R8205" s="20">
        <v>8178</v>
      </c>
    </row>
    <row r="8206" spans="18:18" ht="14.25">
      <c r="R8206" s="20">
        <v>8179</v>
      </c>
    </row>
    <row r="8207" spans="18:18" ht="14.25">
      <c r="R8207" s="20">
        <v>8180</v>
      </c>
    </row>
    <row r="8208" spans="18:18" ht="14.25">
      <c r="R8208" s="20">
        <v>8181</v>
      </c>
    </row>
    <row r="8209" spans="18:18" ht="14.25">
      <c r="R8209" s="20">
        <v>8182</v>
      </c>
    </row>
    <row r="8210" spans="18:18" ht="14.25">
      <c r="R8210" s="20">
        <v>8183</v>
      </c>
    </row>
    <row r="8211" spans="18:18" ht="14.25">
      <c r="R8211" s="20">
        <v>8184</v>
      </c>
    </row>
    <row r="8212" spans="18:18" ht="14.25">
      <c r="R8212" s="20">
        <v>8185</v>
      </c>
    </row>
    <row r="8213" spans="18:18" ht="14.25">
      <c r="R8213" s="20">
        <v>8186</v>
      </c>
    </row>
    <row r="8214" spans="18:18" ht="14.25">
      <c r="R8214" s="20">
        <v>8187</v>
      </c>
    </row>
    <row r="8215" spans="18:18" ht="14.25">
      <c r="R8215" s="20">
        <v>8188</v>
      </c>
    </row>
    <row r="8216" spans="18:18" ht="14.25">
      <c r="R8216" s="20">
        <v>8189</v>
      </c>
    </row>
    <row r="8217" spans="18:18" ht="14.25">
      <c r="R8217" s="20">
        <v>8190</v>
      </c>
    </row>
    <row r="8218" spans="18:18" ht="14.25">
      <c r="R8218" s="20">
        <v>8191</v>
      </c>
    </row>
    <row r="8219" spans="18:18" ht="14.25">
      <c r="R8219" s="20">
        <v>8192</v>
      </c>
    </row>
    <row r="8220" spans="18:18" ht="14.25">
      <c r="R8220" s="20">
        <v>8193</v>
      </c>
    </row>
    <row r="8221" spans="18:18" ht="14.25">
      <c r="R8221" s="20">
        <v>8194</v>
      </c>
    </row>
    <row r="8222" spans="18:18" ht="14.25">
      <c r="R8222" s="20">
        <v>8195</v>
      </c>
    </row>
    <row r="8223" spans="18:18" ht="14.25">
      <c r="R8223" s="20">
        <v>8196</v>
      </c>
    </row>
    <row r="8224" spans="18:18" ht="14.25">
      <c r="R8224" s="20">
        <v>8197</v>
      </c>
    </row>
    <row r="8225" spans="18:18" ht="14.25">
      <c r="R8225" s="20">
        <v>8198</v>
      </c>
    </row>
    <row r="8226" spans="18:18" ht="14.25">
      <c r="R8226" s="20">
        <v>8199</v>
      </c>
    </row>
    <row r="8227" spans="18:18" ht="14.25">
      <c r="R8227" s="20">
        <v>8200</v>
      </c>
    </row>
    <row r="8228" spans="18:18" ht="14.25">
      <c r="R8228" s="20">
        <v>8201</v>
      </c>
    </row>
    <row r="8229" spans="18:18" ht="14.25">
      <c r="R8229" s="20">
        <v>8202</v>
      </c>
    </row>
    <row r="8230" spans="18:18" ht="14.25">
      <c r="R8230" s="20">
        <v>8203</v>
      </c>
    </row>
    <row r="8231" spans="18:18" ht="14.25">
      <c r="R8231" s="20">
        <v>8204</v>
      </c>
    </row>
    <row r="8232" spans="18:18" ht="14.25">
      <c r="R8232" s="20">
        <v>8205</v>
      </c>
    </row>
    <row r="8233" spans="18:18" ht="14.25">
      <c r="R8233" s="20">
        <v>8206</v>
      </c>
    </row>
    <row r="8234" spans="18:18" ht="14.25">
      <c r="R8234" s="20">
        <v>8207</v>
      </c>
    </row>
    <row r="8235" spans="18:18" ht="14.25">
      <c r="R8235" s="20">
        <v>8208</v>
      </c>
    </row>
    <row r="8236" spans="18:18" ht="14.25">
      <c r="R8236" s="20">
        <v>8209</v>
      </c>
    </row>
    <row r="8237" spans="18:18" ht="14.25">
      <c r="R8237" s="20">
        <v>8210</v>
      </c>
    </row>
    <row r="8238" spans="18:18" ht="14.25">
      <c r="R8238" s="20">
        <v>8211</v>
      </c>
    </row>
    <row r="8239" spans="18:18" ht="14.25">
      <c r="R8239" s="20">
        <v>8212</v>
      </c>
    </row>
    <row r="8240" spans="18:18" ht="14.25">
      <c r="R8240" s="20">
        <v>8213</v>
      </c>
    </row>
    <row r="8241" spans="18:18" ht="14.25">
      <c r="R8241" s="20">
        <v>8214</v>
      </c>
    </row>
    <row r="8242" spans="18:18" ht="14.25">
      <c r="R8242" s="20">
        <v>8215</v>
      </c>
    </row>
    <row r="8243" spans="18:18" ht="14.25">
      <c r="R8243" s="20">
        <v>8216</v>
      </c>
    </row>
    <row r="8244" spans="18:18" ht="14.25">
      <c r="R8244" s="20">
        <v>8217</v>
      </c>
    </row>
    <row r="8245" spans="18:18" ht="14.25">
      <c r="R8245" s="20">
        <v>8218</v>
      </c>
    </row>
    <row r="8246" spans="18:18" ht="14.25">
      <c r="R8246" s="20">
        <v>8219</v>
      </c>
    </row>
    <row r="8247" spans="18:18" ht="14.25">
      <c r="R8247" s="20">
        <v>8220</v>
      </c>
    </row>
    <row r="8248" spans="18:18" ht="14.25">
      <c r="R8248" s="20">
        <v>8221</v>
      </c>
    </row>
    <row r="8249" spans="18:18" ht="14.25">
      <c r="R8249" s="20">
        <v>8222</v>
      </c>
    </row>
    <row r="8250" spans="18:18" ht="14.25">
      <c r="R8250" s="20">
        <v>8223</v>
      </c>
    </row>
    <row r="8251" spans="18:18" ht="14.25">
      <c r="R8251" s="20">
        <v>8224</v>
      </c>
    </row>
    <row r="8252" spans="18:18" ht="14.25">
      <c r="R8252" s="20">
        <v>8225</v>
      </c>
    </row>
    <row r="8253" spans="18:18" ht="14.25">
      <c r="R8253" s="20">
        <v>8226</v>
      </c>
    </row>
    <row r="8254" spans="18:18" ht="14.25">
      <c r="R8254" s="20">
        <v>8227</v>
      </c>
    </row>
    <row r="8255" spans="18:18" ht="14.25">
      <c r="R8255" s="20">
        <v>8228</v>
      </c>
    </row>
    <row r="8256" spans="18:18" ht="14.25">
      <c r="R8256" s="20">
        <v>8229</v>
      </c>
    </row>
    <row r="8257" spans="18:18" ht="14.25">
      <c r="R8257" s="20">
        <v>8230</v>
      </c>
    </row>
    <row r="8258" spans="18:18" ht="14.25">
      <c r="R8258" s="20">
        <v>8231</v>
      </c>
    </row>
    <row r="8259" spans="18:18" ht="14.25">
      <c r="R8259" s="20">
        <v>8232</v>
      </c>
    </row>
    <row r="8260" spans="18:18" ht="14.25">
      <c r="R8260" s="20">
        <v>8233</v>
      </c>
    </row>
    <row r="8261" spans="18:18" ht="14.25">
      <c r="R8261" s="20">
        <v>8234</v>
      </c>
    </row>
    <row r="8262" spans="18:18" ht="14.25">
      <c r="R8262" s="20">
        <v>8235</v>
      </c>
    </row>
    <row r="8263" spans="18:18" ht="14.25">
      <c r="R8263" s="20">
        <v>8236</v>
      </c>
    </row>
    <row r="8264" spans="18:18" ht="14.25">
      <c r="R8264" s="20">
        <v>8237</v>
      </c>
    </row>
    <row r="8265" spans="18:18" ht="14.25">
      <c r="R8265" s="20">
        <v>8238</v>
      </c>
    </row>
    <row r="8266" spans="18:18" ht="14.25">
      <c r="R8266" s="20">
        <v>8239</v>
      </c>
    </row>
    <row r="8267" spans="18:18" ht="14.25">
      <c r="R8267" s="20">
        <v>8240</v>
      </c>
    </row>
    <row r="8268" spans="18:18" ht="14.25">
      <c r="R8268" s="20">
        <v>8241</v>
      </c>
    </row>
    <row r="8269" spans="18:18" ht="14.25">
      <c r="R8269" s="20">
        <v>8242</v>
      </c>
    </row>
    <row r="8270" spans="18:18" ht="14.25">
      <c r="R8270" s="20">
        <v>8243</v>
      </c>
    </row>
    <row r="8271" spans="18:18" ht="14.25">
      <c r="R8271" s="20">
        <v>8244</v>
      </c>
    </row>
    <row r="8272" spans="18:18" ht="14.25">
      <c r="R8272" s="20">
        <v>8245</v>
      </c>
    </row>
    <row r="8273" spans="18:18" ht="14.25">
      <c r="R8273" s="20">
        <v>8246</v>
      </c>
    </row>
    <row r="8274" spans="18:18" ht="14.25">
      <c r="R8274" s="20">
        <v>8247</v>
      </c>
    </row>
    <row r="8275" spans="18:18" ht="14.25">
      <c r="R8275" s="20">
        <v>8248</v>
      </c>
    </row>
    <row r="8276" spans="18:18" ht="14.25">
      <c r="R8276" s="20">
        <v>8249</v>
      </c>
    </row>
    <row r="8277" spans="18:18" ht="14.25">
      <c r="R8277" s="20">
        <v>8250</v>
      </c>
    </row>
    <row r="8278" spans="18:18" ht="14.25">
      <c r="R8278" s="20">
        <v>8251</v>
      </c>
    </row>
    <row r="8279" spans="18:18" ht="14.25">
      <c r="R8279" s="20">
        <v>8252</v>
      </c>
    </row>
    <row r="8280" spans="18:18" ht="14.25">
      <c r="R8280" s="20">
        <v>8253</v>
      </c>
    </row>
    <row r="8281" spans="18:18" ht="14.25">
      <c r="R8281" s="20">
        <v>8254</v>
      </c>
    </row>
    <row r="8282" spans="18:18" ht="14.25">
      <c r="R8282" s="20">
        <v>8255</v>
      </c>
    </row>
    <row r="8283" spans="18:18" ht="14.25">
      <c r="R8283" s="20">
        <v>8256</v>
      </c>
    </row>
    <row r="8284" spans="18:18" ht="14.25">
      <c r="R8284" s="20">
        <v>8257</v>
      </c>
    </row>
    <row r="8285" spans="18:18" ht="14.25">
      <c r="R8285" s="20">
        <v>8258</v>
      </c>
    </row>
    <row r="8286" spans="18:18" ht="14.25">
      <c r="R8286" s="20">
        <v>8259</v>
      </c>
    </row>
    <row r="8287" spans="18:18" ht="14.25">
      <c r="R8287" s="20">
        <v>8260</v>
      </c>
    </row>
    <row r="8288" spans="18:18" ht="14.25">
      <c r="R8288" s="20">
        <v>8261</v>
      </c>
    </row>
    <row r="8289" spans="18:18" ht="14.25">
      <c r="R8289" s="20">
        <v>8262</v>
      </c>
    </row>
    <row r="8290" spans="18:18" ht="14.25">
      <c r="R8290" s="20">
        <v>8263</v>
      </c>
    </row>
    <row r="8291" spans="18:18" ht="14.25">
      <c r="R8291" s="20">
        <v>8264</v>
      </c>
    </row>
    <row r="8292" spans="18:18" ht="14.25">
      <c r="R8292" s="20">
        <v>8265</v>
      </c>
    </row>
    <row r="8293" spans="18:18" ht="14.25">
      <c r="R8293" s="20">
        <v>8266</v>
      </c>
    </row>
    <row r="8294" spans="18:18" ht="14.25">
      <c r="R8294" s="20">
        <v>8267</v>
      </c>
    </row>
    <row r="8295" spans="18:18" ht="14.25">
      <c r="R8295" s="20">
        <v>8268</v>
      </c>
    </row>
    <row r="8296" spans="18:18" ht="14.25">
      <c r="R8296" s="20">
        <v>8269</v>
      </c>
    </row>
    <row r="8297" spans="18:18" ht="14.25">
      <c r="R8297" s="20">
        <v>8270</v>
      </c>
    </row>
    <row r="8298" spans="18:18" ht="14.25">
      <c r="R8298" s="20">
        <v>8271</v>
      </c>
    </row>
    <row r="8299" spans="18:18" ht="14.25">
      <c r="R8299" s="20">
        <v>8272</v>
      </c>
    </row>
    <row r="8300" spans="18:18" ht="14.25">
      <c r="R8300" s="20">
        <v>8273</v>
      </c>
    </row>
    <row r="8301" spans="18:18" ht="14.25">
      <c r="R8301" s="20">
        <v>8274</v>
      </c>
    </row>
    <row r="8302" spans="18:18" ht="14.25">
      <c r="R8302" s="20">
        <v>8275</v>
      </c>
    </row>
    <row r="8303" spans="18:18" ht="14.25">
      <c r="R8303" s="20">
        <v>8276</v>
      </c>
    </row>
    <row r="8304" spans="18:18" ht="14.25">
      <c r="R8304" s="20">
        <v>8277</v>
      </c>
    </row>
    <row r="8305" spans="18:18" ht="14.25">
      <c r="R8305" s="20">
        <v>8278</v>
      </c>
    </row>
    <row r="8306" spans="18:18" ht="14.25">
      <c r="R8306" s="20">
        <v>8279</v>
      </c>
    </row>
    <row r="8307" spans="18:18" ht="14.25">
      <c r="R8307" s="20">
        <v>8280</v>
      </c>
    </row>
    <row r="8308" spans="18:18" ht="14.25">
      <c r="R8308" s="20">
        <v>8281</v>
      </c>
    </row>
    <row r="8309" spans="18:18" ht="14.25">
      <c r="R8309" s="20">
        <v>8282</v>
      </c>
    </row>
    <row r="8310" spans="18:18" ht="14.25">
      <c r="R8310" s="20">
        <v>8283</v>
      </c>
    </row>
    <row r="8311" spans="18:18" ht="14.25">
      <c r="R8311" s="20">
        <v>8284</v>
      </c>
    </row>
    <row r="8312" spans="18:18" ht="14.25">
      <c r="R8312" s="20">
        <v>8285</v>
      </c>
    </row>
    <row r="8313" spans="18:18" ht="14.25">
      <c r="R8313" s="20">
        <v>8286</v>
      </c>
    </row>
    <row r="8314" spans="18:18" ht="14.25">
      <c r="R8314" s="20">
        <v>8287</v>
      </c>
    </row>
    <row r="8315" spans="18:18" ht="14.25">
      <c r="R8315" s="20">
        <v>8288</v>
      </c>
    </row>
    <row r="8316" spans="18:18" ht="14.25">
      <c r="R8316" s="20">
        <v>8289</v>
      </c>
    </row>
    <row r="8317" spans="18:18" ht="14.25">
      <c r="R8317" s="20">
        <v>8290</v>
      </c>
    </row>
    <row r="8318" spans="18:18" ht="14.25">
      <c r="R8318" s="20">
        <v>8291</v>
      </c>
    </row>
    <row r="8319" spans="18:18" ht="14.25">
      <c r="R8319" s="20">
        <v>8292</v>
      </c>
    </row>
    <row r="8320" spans="18:18" ht="14.25">
      <c r="R8320" s="20">
        <v>8293</v>
      </c>
    </row>
    <row r="8321" spans="18:18" ht="14.25">
      <c r="R8321" s="20">
        <v>8294</v>
      </c>
    </row>
    <row r="8322" spans="18:18" ht="14.25">
      <c r="R8322" s="20">
        <v>8295</v>
      </c>
    </row>
    <row r="8323" spans="18:18" ht="14.25">
      <c r="R8323" s="20">
        <v>8296</v>
      </c>
    </row>
    <row r="8324" spans="18:18" ht="14.25">
      <c r="R8324" s="20">
        <v>8297</v>
      </c>
    </row>
    <row r="8325" spans="18:18" ht="14.25">
      <c r="R8325" s="20">
        <v>8298</v>
      </c>
    </row>
    <row r="8326" spans="18:18" ht="14.25">
      <c r="R8326" s="20">
        <v>8299</v>
      </c>
    </row>
    <row r="8327" spans="18:18" ht="14.25">
      <c r="R8327" s="20">
        <v>8300</v>
      </c>
    </row>
    <row r="8328" spans="18:18" ht="14.25">
      <c r="R8328" s="20">
        <v>8301</v>
      </c>
    </row>
    <row r="8329" spans="18:18" ht="14.25">
      <c r="R8329" s="20">
        <v>8302</v>
      </c>
    </row>
    <row r="8330" spans="18:18" ht="14.25">
      <c r="R8330" s="20">
        <v>8303</v>
      </c>
    </row>
    <row r="8331" spans="18:18" ht="14.25">
      <c r="R8331" s="20">
        <v>8304</v>
      </c>
    </row>
    <row r="8332" spans="18:18" ht="14.25">
      <c r="R8332" s="20">
        <v>8305</v>
      </c>
    </row>
    <row r="8333" spans="18:18" ht="14.25">
      <c r="R8333" s="20">
        <v>8306</v>
      </c>
    </row>
    <row r="8334" spans="18:18" ht="14.25">
      <c r="R8334" s="20">
        <v>8307</v>
      </c>
    </row>
    <row r="8335" spans="18:18" ht="14.25">
      <c r="R8335" s="20">
        <v>8308</v>
      </c>
    </row>
    <row r="8336" spans="18:18" ht="14.25">
      <c r="R8336" s="20">
        <v>8309</v>
      </c>
    </row>
    <row r="8337" spans="18:18" ht="14.25">
      <c r="R8337" s="20">
        <v>8310</v>
      </c>
    </row>
    <row r="8338" spans="18:18" ht="14.25">
      <c r="R8338" s="20">
        <v>8311</v>
      </c>
    </row>
    <row r="8339" spans="18:18" ht="14.25">
      <c r="R8339" s="20">
        <v>8312</v>
      </c>
    </row>
    <row r="8340" spans="18:18" ht="14.25">
      <c r="R8340" s="20">
        <v>8313</v>
      </c>
    </row>
    <row r="8341" spans="18:18" ht="14.25">
      <c r="R8341" s="20">
        <v>8314</v>
      </c>
    </row>
    <row r="8342" spans="18:18" ht="14.25">
      <c r="R8342" s="20">
        <v>8315</v>
      </c>
    </row>
    <row r="8343" spans="18:18" ht="14.25">
      <c r="R8343" s="20">
        <v>8316</v>
      </c>
    </row>
    <row r="8344" spans="18:18" ht="14.25">
      <c r="R8344" s="20">
        <v>8317</v>
      </c>
    </row>
    <row r="8345" spans="18:18" ht="14.25">
      <c r="R8345" s="20">
        <v>8318</v>
      </c>
    </row>
    <row r="8346" spans="18:18" ht="14.25">
      <c r="R8346" s="20">
        <v>8319</v>
      </c>
    </row>
    <row r="8347" spans="18:18" ht="14.25">
      <c r="R8347" s="20">
        <v>8320</v>
      </c>
    </row>
    <row r="8348" spans="18:18" ht="14.25">
      <c r="R8348" s="20">
        <v>8321</v>
      </c>
    </row>
    <row r="8349" spans="18:18" ht="14.25">
      <c r="R8349" s="20">
        <v>8322</v>
      </c>
    </row>
    <row r="8350" spans="18:18" ht="14.25">
      <c r="R8350" s="20">
        <v>8323</v>
      </c>
    </row>
    <row r="8351" spans="18:18" ht="14.25">
      <c r="R8351" s="20">
        <v>8324</v>
      </c>
    </row>
    <row r="8352" spans="18:18" ht="14.25">
      <c r="R8352" s="20">
        <v>8325</v>
      </c>
    </row>
    <row r="8353" spans="18:18" ht="14.25">
      <c r="R8353" s="20">
        <v>8326</v>
      </c>
    </row>
    <row r="8354" spans="18:18" ht="14.25">
      <c r="R8354" s="20">
        <v>8327</v>
      </c>
    </row>
    <row r="8355" spans="18:18" ht="14.25">
      <c r="R8355" s="20">
        <v>8328</v>
      </c>
    </row>
    <row r="8356" spans="18:18" ht="14.25">
      <c r="R8356" s="20">
        <v>8329</v>
      </c>
    </row>
    <row r="8357" spans="18:18" ht="14.25">
      <c r="R8357" s="20">
        <v>8330</v>
      </c>
    </row>
    <row r="8358" spans="18:18" ht="14.25">
      <c r="R8358" s="20">
        <v>8331</v>
      </c>
    </row>
    <row r="8359" spans="18:18" ht="14.25">
      <c r="R8359" s="20">
        <v>8332</v>
      </c>
    </row>
    <row r="8360" spans="18:18" ht="14.25">
      <c r="R8360" s="20">
        <v>8333</v>
      </c>
    </row>
    <row r="8361" spans="18:18" ht="14.25">
      <c r="R8361" s="20">
        <v>8334</v>
      </c>
    </row>
    <row r="8362" spans="18:18" ht="14.25">
      <c r="R8362" s="20">
        <v>8335</v>
      </c>
    </row>
    <row r="8363" spans="18:18" ht="14.25">
      <c r="R8363" s="20">
        <v>8336</v>
      </c>
    </row>
    <row r="8364" spans="18:18" ht="14.25">
      <c r="R8364" s="20">
        <v>8337</v>
      </c>
    </row>
    <row r="8365" spans="18:18" ht="14.25">
      <c r="R8365" s="20">
        <v>8338</v>
      </c>
    </row>
    <row r="8366" spans="18:18" ht="14.25">
      <c r="R8366" s="20">
        <v>8339</v>
      </c>
    </row>
    <row r="8367" spans="18:18" ht="14.25">
      <c r="R8367" s="20">
        <v>8340</v>
      </c>
    </row>
    <row r="8368" spans="18:18" ht="14.25">
      <c r="R8368" s="20">
        <v>8341</v>
      </c>
    </row>
    <row r="8369" spans="18:18" ht="14.25">
      <c r="R8369" s="20">
        <v>8342</v>
      </c>
    </row>
    <row r="8370" spans="18:18" ht="14.25">
      <c r="R8370" s="20">
        <v>8343</v>
      </c>
    </row>
    <row r="8371" spans="18:18" ht="14.25">
      <c r="R8371" s="20">
        <v>8344</v>
      </c>
    </row>
    <row r="8372" spans="18:18" ht="14.25">
      <c r="R8372" s="20">
        <v>8345</v>
      </c>
    </row>
    <row r="8373" spans="18:18" ht="14.25">
      <c r="R8373" s="20">
        <v>8346</v>
      </c>
    </row>
    <row r="8374" spans="18:18" ht="14.25">
      <c r="R8374" s="20">
        <v>8347</v>
      </c>
    </row>
    <row r="8375" spans="18:18" ht="14.25">
      <c r="R8375" s="20">
        <v>8348</v>
      </c>
    </row>
    <row r="8376" spans="18:18" ht="14.25">
      <c r="R8376" s="20">
        <v>8349</v>
      </c>
    </row>
    <row r="8377" spans="18:18" ht="14.25">
      <c r="R8377" s="20">
        <v>8350</v>
      </c>
    </row>
    <row r="8378" spans="18:18" ht="14.25">
      <c r="R8378" s="20">
        <v>8351</v>
      </c>
    </row>
    <row r="8379" spans="18:18" ht="14.25">
      <c r="R8379" s="20">
        <v>8352</v>
      </c>
    </row>
    <row r="8380" spans="18:18" ht="14.25">
      <c r="R8380" s="20">
        <v>8353</v>
      </c>
    </row>
    <row r="8381" spans="18:18" ht="14.25">
      <c r="R8381" s="20">
        <v>8354</v>
      </c>
    </row>
    <row r="8382" spans="18:18" ht="14.25">
      <c r="R8382" s="20">
        <v>8355</v>
      </c>
    </row>
    <row r="8383" spans="18:18" ht="14.25">
      <c r="R8383" s="20">
        <v>8356</v>
      </c>
    </row>
    <row r="8384" spans="18:18" ht="14.25">
      <c r="R8384" s="20">
        <v>8357</v>
      </c>
    </row>
    <row r="8385" spans="18:18" ht="14.25">
      <c r="R8385" s="20">
        <v>8358</v>
      </c>
    </row>
    <row r="8386" spans="18:18" ht="14.25">
      <c r="R8386" s="20">
        <v>8359</v>
      </c>
    </row>
    <row r="8387" spans="18:18" ht="14.25">
      <c r="R8387" s="20">
        <v>8360</v>
      </c>
    </row>
    <row r="8388" spans="18:18" ht="14.25">
      <c r="R8388" s="20">
        <v>8361</v>
      </c>
    </row>
    <row r="8389" spans="18:18" ht="14.25">
      <c r="R8389" s="20">
        <v>8362</v>
      </c>
    </row>
    <row r="8390" spans="18:18" ht="14.25">
      <c r="R8390" s="20">
        <v>8363</v>
      </c>
    </row>
    <row r="8391" spans="18:18" ht="14.25">
      <c r="R8391" s="20">
        <v>8364</v>
      </c>
    </row>
    <row r="8392" spans="18:18" ht="14.25">
      <c r="R8392" s="20">
        <v>8365</v>
      </c>
    </row>
    <row r="8393" spans="18:18" ht="14.25">
      <c r="R8393" s="20">
        <v>8366</v>
      </c>
    </row>
    <row r="8394" spans="18:18" ht="14.25">
      <c r="R8394" s="20">
        <v>8367</v>
      </c>
    </row>
    <row r="8395" spans="18:18" ht="14.25">
      <c r="R8395" s="20">
        <v>8368</v>
      </c>
    </row>
    <row r="8396" spans="18:18" ht="14.25">
      <c r="R8396" s="20">
        <v>8369</v>
      </c>
    </row>
    <row r="8397" spans="18:18" ht="14.25">
      <c r="R8397" s="20">
        <v>8370</v>
      </c>
    </row>
    <row r="8398" spans="18:18" ht="14.25">
      <c r="R8398" s="20">
        <v>8371</v>
      </c>
    </row>
    <row r="8399" spans="18:18" ht="14.25">
      <c r="R8399" s="20">
        <v>8372</v>
      </c>
    </row>
    <row r="8400" spans="18:18" ht="14.25">
      <c r="R8400" s="20">
        <v>8373</v>
      </c>
    </row>
    <row r="8401" spans="18:18" ht="14.25">
      <c r="R8401" s="20">
        <v>8374</v>
      </c>
    </row>
    <row r="8402" spans="18:18" ht="14.25">
      <c r="R8402" s="20">
        <v>8375</v>
      </c>
    </row>
    <row r="8403" spans="18:18" ht="14.25">
      <c r="R8403" s="20">
        <v>8376</v>
      </c>
    </row>
    <row r="8404" spans="18:18" ht="14.25">
      <c r="R8404" s="20">
        <v>8377</v>
      </c>
    </row>
    <row r="8405" spans="18:18" ht="14.25">
      <c r="R8405" s="20">
        <v>8378</v>
      </c>
    </row>
    <row r="8406" spans="18:18" ht="14.25">
      <c r="R8406" s="20">
        <v>8379</v>
      </c>
    </row>
    <row r="8407" spans="18:18" ht="14.25">
      <c r="R8407" s="20">
        <v>8380</v>
      </c>
    </row>
    <row r="8408" spans="18:18" ht="14.25">
      <c r="R8408" s="20">
        <v>8381</v>
      </c>
    </row>
    <row r="8409" spans="18:18" ht="14.25">
      <c r="R8409" s="20">
        <v>8382</v>
      </c>
    </row>
    <row r="8410" spans="18:18" ht="14.25">
      <c r="R8410" s="20">
        <v>8383</v>
      </c>
    </row>
    <row r="8411" spans="18:18" ht="14.25">
      <c r="R8411" s="20">
        <v>8384</v>
      </c>
    </row>
    <row r="8412" spans="18:18" ht="14.25">
      <c r="R8412" s="20">
        <v>8385</v>
      </c>
    </row>
    <row r="8413" spans="18:18" ht="14.25">
      <c r="R8413" s="20">
        <v>8386</v>
      </c>
    </row>
    <row r="8414" spans="18:18" ht="14.25">
      <c r="R8414" s="20">
        <v>8387</v>
      </c>
    </row>
    <row r="8415" spans="18:18" ht="14.25">
      <c r="R8415" s="20">
        <v>8388</v>
      </c>
    </row>
    <row r="8416" spans="18:18" ht="14.25">
      <c r="R8416" s="20">
        <v>8389</v>
      </c>
    </row>
    <row r="8417" spans="18:18" ht="14.25">
      <c r="R8417" s="20">
        <v>8390</v>
      </c>
    </row>
    <row r="8418" spans="18:18" ht="14.25">
      <c r="R8418" s="20">
        <v>8391</v>
      </c>
    </row>
    <row r="8419" spans="18:18" ht="14.25">
      <c r="R8419" s="20">
        <v>8392</v>
      </c>
    </row>
    <row r="8420" spans="18:18" ht="14.25">
      <c r="R8420" s="20">
        <v>8393</v>
      </c>
    </row>
    <row r="8421" spans="18:18" ht="14.25">
      <c r="R8421" s="20">
        <v>8394</v>
      </c>
    </row>
    <row r="8422" spans="18:18" ht="14.25">
      <c r="R8422" s="20">
        <v>8395</v>
      </c>
    </row>
    <row r="8423" spans="18:18" ht="14.25">
      <c r="R8423" s="20">
        <v>8396</v>
      </c>
    </row>
    <row r="8424" spans="18:18" ht="14.25">
      <c r="R8424" s="20">
        <v>8397</v>
      </c>
    </row>
    <row r="8425" spans="18:18" ht="14.25">
      <c r="R8425" s="20">
        <v>8398</v>
      </c>
    </row>
    <row r="8426" spans="18:18" ht="14.25">
      <c r="R8426" s="20">
        <v>8399</v>
      </c>
    </row>
    <row r="8427" spans="18:18" ht="14.25">
      <c r="R8427" s="20">
        <v>8400</v>
      </c>
    </row>
    <row r="8428" spans="18:18" ht="14.25">
      <c r="R8428" s="20">
        <v>8401</v>
      </c>
    </row>
    <row r="8429" spans="18:18" ht="14.25">
      <c r="R8429" s="20">
        <v>8402</v>
      </c>
    </row>
    <row r="8430" spans="18:18" ht="14.25">
      <c r="R8430" s="20">
        <v>8403</v>
      </c>
    </row>
    <row r="8431" spans="18:18" ht="14.25">
      <c r="R8431" s="20">
        <v>8404</v>
      </c>
    </row>
    <row r="8432" spans="18:18" ht="14.25">
      <c r="R8432" s="20">
        <v>8405</v>
      </c>
    </row>
    <row r="8433" spans="18:18" ht="14.25">
      <c r="R8433" s="20">
        <v>8406</v>
      </c>
    </row>
    <row r="8434" spans="18:18" ht="14.25">
      <c r="R8434" s="20">
        <v>8407</v>
      </c>
    </row>
    <row r="8435" spans="18:18" ht="14.25">
      <c r="R8435" s="20">
        <v>8408</v>
      </c>
    </row>
    <row r="8436" spans="18:18" ht="14.25">
      <c r="R8436" s="20">
        <v>8409</v>
      </c>
    </row>
    <row r="8437" spans="18:18" ht="14.25">
      <c r="R8437" s="20">
        <v>8410</v>
      </c>
    </row>
    <row r="8438" spans="18:18" ht="14.25">
      <c r="R8438" s="20">
        <v>8411</v>
      </c>
    </row>
    <row r="8439" spans="18:18" ht="14.25">
      <c r="R8439" s="20">
        <v>8412</v>
      </c>
    </row>
    <row r="8440" spans="18:18" ht="14.25">
      <c r="R8440" s="20">
        <v>8413</v>
      </c>
    </row>
    <row r="8441" spans="18:18" ht="14.25">
      <c r="R8441" s="20">
        <v>8414</v>
      </c>
    </row>
    <row r="8442" spans="18:18" ht="14.25">
      <c r="R8442" s="20">
        <v>8415</v>
      </c>
    </row>
    <row r="8443" spans="18:18" ht="14.25">
      <c r="R8443" s="20">
        <v>8416</v>
      </c>
    </row>
    <row r="8444" spans="18:18" ht="14.25">
      <c r="R8444" s="20">
        <v>8417</v>
      </c>
    </row>
    <row r="8445" spans="18:18" ht="14.25">
      <c r="R8445" s="20">
        <v>8418</v>
      </c>
    </row>
    <row r="8446" spans="18:18" ht="14.25">
      <c r="R8446" s="20">
        <v>8419</v>
      </c>
    </row>
    <row r="8447" spans="18:18" ht="14.25">
      <c r="R8447" s="20">
        <v>8420</v>
      </c>
    </row>
    <row r="8448" spans="18:18" ht="14.25">
      <c r="R8448" s="20">
        <v>8421</v>
      </c>
    </row>
    <row r="8449" spans="18:18" ht="14.25">
      <c r="R8449" s="20">
        <v>8422</v>
      </c>
    </row>
    <row r="8450" spans="18:18" ht="14.25">
      <c r="R8450" s="20">
        <v>8423</v>
      </c>
    </row>
    <row r="8451" spans="18:18" ht="14.25">
      <c r="R8451" s="20">
        <v>8424</v>
      </c>
    </row>
    <row r="8452" spans="18:18" ht="14.25">
      <c r="R8452" s="20">
        <v>8425</v>
      </c>
    </row>
    <row r="8453" spans="18:18" ht="14.25">
      <c r="R8453" s="20">
        <v>8426</v>
      </c>
    </row>
    <row r="8454" spans="18:18" ht="14.25">
      <c r="R8454" s="20">
        <v>8427</v>
      </c>
    </row>
    <row r="8455" spans="18:18" ht="14.25">
      <c r="R8455" s="20">
        <v>8428</v>
      </c>
    </row>
    <row r="8456" spans="18:18" ht="14.25">
      <c r="R8456" s="20">
        <v>8429</v>
      </c>
    </row>
    <row r="8457" spans="18:18" ht="14.25">
      <c r="R8457" s="20">
        <v>8430</v>
      </c>
    </row>
    <row r="8458" spans="18:18" ht="14.25">
      <c r="R8458" s="20">
        <v>8431</v>
      </c>
    </row>
    <row r="8459" spans="18:18" ht="14.25">
      <c r="R8459" s="20">
        <v>8432</v>
      </c>
    </row>
    <row r="8460" spans="18:18" ht="14.25">
      <c r="R8460" s="20">
        <v>8433</v>
      </c>
    </row>
    <row r="8461" spans="18:18" ht="14.25">
      <c r="R8461" s="20">
        <v>8434</v>
      </c>
    </row>
    <row r="8462" spans="18:18" ht="14.25">
      <c r="R8462" s="20">
        <v>8435</v>
      </c>
    </row>
    <row r="8463" spans="18:18" ht="14.25">
      <c r="R8463" s="20">
        <v>8436</v>
      </c>
    </row>
    <row r="8464" spans="18:18" ht="14.25">
      <c r="R8464" s="20">
        <v>8437</v>
      </c>
    </row>
    <row r="8465" spans="18:18" ht="14.25">
      <c r="R8465" s="20">
        <v>8438</v>
      </c>
    </row>
    <row r="8466" spans="18:18" ht="14.25">
      <c r="R8466" s="20">
        <v>8439</v>
      </c>
    </row>
    <row r="8467" spans="18:18" ht="14.25">
      <c r="R8467" s="20">
        <v>8440</v>
      </c>
    </row>
    <row r="8468" spans="18:18" ht="14.25">
      <c r="R8468" s="20">
        <v>8441</v>
      </c>
    </row>
    <row r="8469" spans="18:18" ht="14.25">
      <c r="R8469" s="20">
        <v>8442</v>
      </c>
    </row>
    <row r="8470" spans="18:18" ht="14.25">
      <c r="R8470" s="20">
        <v>8443</v>
      </c>
    </row>
    <row r="8471" spans="18:18" ht="14.25">
      <c r="R8471" s="20">
        <v>8444</v>
      </c>
    </row>
    <row r="8472" spans="18:18" ht="14.25">
      <c r="R8472" s="20">
        <v>8445</v>
      </c>
    </row>
    <row r="8473" spans="18:18" ht="14.25">
      <c r="R8473" s="20">
        <v>8446</v>
      </c>
    </row>
    <row r="8474" spans="18:18" ht="14.25">
      <c r="R8474" s="20">
        <v>8447</v>
      </c>
    </row>
    <row r="8475" spans="18:18" ht="14.25">
      <c r="R8475" s="20">
        <v>8448</v>
      </c>
    </row>
    <row r="8476" spans="18:18" ht="14.25">
      <c r="R8476" s="20">
        <v>8449</v>
      </c>
    </row>
    <row r="8477" spans="18:18" ht="14.25">
      <c r="R8477" s="20">
        <v>8450</v>
      </c>
    </row>
    <row r="8478" spans="18:18" ht="14.25">
      <c r="R8478" s="20">
        <v>8451</v>
      </c>
    </row>
    <row r="8479" spans="18:18" ht="14.25">
      <c r="R8479" s="20">
        <v>8452</v>
      </c>
    </row>
    <row r="8480" spans="18:18" ht="14.25">
      <c r="R8480" s="20">
        <v>8453</v>
      </c>
    </row>
    <row r="8481" spans="18:18" ht="14.25">
      <c r="R8481" s="20">
        <v>8454</v>
      </c>
    </row>
    <row r="8482" spans="18:18" ht="14.25">
      <c r="R8482" s="20">
        <v>8455</v>
      </c>
    </row>
    <row r="8483" spans="18:18" ht="14.25">
      <c r="R8483" s="20">
        <v>8456</v>
      </c>
    </row>
    <row r="8484" spans="18:18" ht="14.25">
      <c r="R8484" s="20">
        <v>8457</v>
      </c>
    </row>
    <row r="8485" spans="18:18" ht="14.25">
      <c r="R8485" s="20">
        <v>8458</v>
      </c>
    </row>
    <row r="8486" spans="18:18" ht="14.25">
      <c r="R8486" s="20">
        <v>8459</v>
      </c>
    </row>
    <row r="8487" spans="18:18" ht="14.25">
      <c r="R8487" s="20">
        <v>8460</v>
      </c>
    </row>
    <row r="8488" spans="18:18" ht="14.25">
      <c r="R8488" s="20">
        <v>8461</v>
      </c>
    </row>
    <row r="8489" spans="18:18" ht="14.25">
      <c r="R8489" s="20">
        <v>8462</v>
      </c>
    </row>
    <row r="8490" spans="18:18" ht="14.25">
      <c r="R8490" s="20">
        <v>8463</v>
      </c>
    </row>
    <row r="8491" spans="18:18" ht="14.25">
      <c r="R8491" s="20">
        <v>8464</v>
      </c>
    </row>
    <row r="8492" spans="18:18" ht="14.25">
      <c r="R8492" s="20">
        <v>8465</v>
      </c>
    </row>
    <row r="8493" spans="18:18" ht="14.25">
      <c r="R8493" s="20">
        <v>8466</v>
      </c>
    </row>
    <row r="8494" spans="18:18" ht="14.25">
      <c r="R8494" s="20">
        <v>8467</v>
      </c>
    </row>
    <row r="8495" spans="18:18" ht="14.25">
      <c r="R8495" s="20">
        <v>8468</v>
      </c>
    </row>
    <row r="8496" spans="18:18" ht="14.25">
      <c r="R8496" s="20">
        <v>8469</v>
      </c>
    </row>
    <row r="8497" spans="18:18" ht="14.25">
      <c r="R8497" s="20">
        <v>8470</v>
      </c>
    </row>
    <row r="8498" spans="18:18" ht="14.25">
      <c r="R8498" s="20">
        <v>8471</v>
      </c>
    </row>
    <row r="8499" spans="18:18" ht="14.25">
      <c r="R8499" s="20">
        <v>8472</v>
      </c>
    </row>
    <row r="8500" spans="18:18" ht="14.25">
      <c r="R8500" s="20">
        <v>8473</v>
      </c>
    </row>
    <row r="8501" spans="18:18" ht="14.25">
      <c r="R8501" s="20">
        <v>8474</v>
      </c>
    </row>
    <row r="8502" spans="18:18" ht="14.25">
      <c r="R8502" s="20">
        <v>8475</v>
      </c>
    </row>
    <row r="8503" spans="18:18" ht="14.25">
      <c r="R8503" s="20">
        <v>8476</v>
      </c>
    </row>
    <row r="8504" spans="18:18" ht="14.25">
      <c r="R8504" s="20">
        <v>8477</v>
      </c>
    </row>
    <row r="8505" spans="18:18" ht="14.25">
      <c r="R8505" s="20">
        <v>8478</v>
      </c>
    </row>
    <row r="8506" spans="18:18" ht="14.25">
      <c r="R8506" s="20">
        <v>8479</v>
      </c>
    </row>
    <row r="8507" spans="18:18" ht="14.25">
      <c r="R8507" s="20">
        <v>8480</v>
      </c>
    </row>
    <row r="8508" spans="18:18" ht="14.25">
      <c r="R8508" s="20">
        <v>8481</v>
      </c>
    </row>
    <row r="8509" spans="18:18" ht="14.25">
      <c r="R8509" s="20">
        <v>8482</v>
      </c>
    </row>
    <row r="8510" spans="18:18" ht="14.25">
      <c r="R8510" s="20">
        <v>8483</v>
      </c>
    </row>
    <row r="8511" spans="18:18" ht="14.25">
      <c r="R8511" s="20">
        <v>8484</v>
      </c>
    </row>
    <row r="8512" spans="18:18" ht="14.25">
      <c r="R8512" s="20">
        <v>8485</v>
      </c>
    </row>
    <row r="8513" spans="18:18" ht="14.25">
      <c r="R8513" s="20">
        <v>8486</v>
      </c>
    </row>
    <row r="8514" spans="18:18" ht="14.25">
      <c r="R8514" s="20">
        <v>8487</v>
      </c>
    </row>
    <row r="8515" spans="18:18" ht="14.25">
      <c r="R8515" s="20">
        <v>8488</v>
      </c>
    </row>
    <row r="8516" spans="18:18" ht="14.25">
      <c r="R8516" s="20">
        <v>8489</v>
      </c>
    </row>
    <row r="8517" spans="18:18" ht="14.25">
      <c r="R8517" s="20">
        <v>8490</v>
      </c>
    </row>
    <row r="8518" spans="18:18" ht="14.25">
      <c r="R8518" s="20">
        <v>8491</v>
      </c>
    </row>
    <row r="8519" spans="18:18" ht="14.25">
      <c r="R8519" s="20">
        <v>8492</v>
      </c>
    </row>
    <row r="8520" spans="18:18" ht="14.25">
      <c r="R8520" s="20">
        <v>8493</v>
      </c>
    </row>
    <row r="8521" spans="18:18" ht="14.25">
      <c r="R8521" s="20">
        <v>8494</v>
      </c>
    </row>
    <row r="8522" spans="18:18" ht="14.25">
      <c r="R8522" s="20">
        <v>8495</v>
      </c>
    </row>
    <row r="8523" spans="18:18" ht="14.25">
      <c r="R8523" s="20">
        <v>8496</v>
      </c>
    </row>
    <row r="8524" spans="18:18" ht="14.25">
      <c r="R8524" s="20">
        <v>8497</v>
      </c>
    </row>
    <row r="8525" spans="18:18" ht="14.25">
      <c r="R8525" s="20">
        <v>8498</v>
      </c>
    </row>
    <row r="8526" spans="18:18" ht="14.25">
      <c r="R8526" s="20">
        <v>8499</v>
      </c>
    </row>
    <row r="8527" spans="18:18" ht="14.25">
      <c r="R8527" s="20">
        <v>8500</v>
      </c>
    </row>
    <row r="8528" spans="18:18" ht="14.25">
      <c r="R8528" s="20">
        <v>8501</v>
      </c>
    </row>
    <row r="8529" spans="18:18" ht="14.25">
      <c r="R8529" s="20">
        <v>8502</v>
      </c>
    </row>
    <row r="8530" spans="18:18" ht="14.25">
      <c r="R8530" s="20">
        <v>8503</v>
      </c>
    </row>
    <row r="8531" spans="18:18" ht="14.25">
      <c r="R8531" s="20">
        <v>8504</v>
      </c>
    </row>
    <row r="8532" spans="18:18" ht="14.25">
      <c r="R8532" s="20">
        <v>8505</v>
      </c>
    </row>
    <row r="8533" spans="18:18" ht="14.25">
      <c r="R8533" s="20">
        <v>8506</v>
      </c>
    </row>
    <row r="8534" spans="18:18" ht="14.25">
      <c r="R8534" s="20">
        <v>8507</v>
      </c>
    </row>
    <row r="8535" spans="18:18" ht="14.25">
      <c r="R8535" s="20">
        <v>8508</v>
      </c>
    </row>
    <row r="8536" spans="18:18" ht="14.25">
      <c r="R8536" s="20">
        <v>8509</v>
      </c>
    </row>
    <row r="8537" spans="18:18" ht="14.25">
      <c r="R8537" s="20">
        <v>8510</v>
      </c>
    </row>
    <row r="8538" spans="18:18" ht="14.25">
      <c r="R8538" s="20">
        <v>8511</v>
      </c>
    </row>
    <row r="8539" spans="18:18" ht="14.25">
      <c r="R8539" s="20">
        <v>8512</v>
      </c>
    </row>
    <row r="8540" spans="18:18" ht="14.25">
      <c r="R8540" s="20">
        <v>8513</v>
      </c>
    </row>
    <row r="8541" spans="18:18" ht="14.25">
      <c r="R8541" s="20">
        <v>8514</v>
      </c>
    </row>
    <row r="8542" spans="18:18" ht="14.25">
      <c r="R8542" s="20">
        <v>8515</v>
      </c>
    </row>
    <row r="8543" spans="18:18" ht="14.25">
      <c r="R8543" s="20">
        <v>8516</v>
      </c>
    </row>
    <row r="8544" spans="18:18" ht="14.25">
      <c r="R8544" s="20">
        <v>8517</v>
      </c>
    </row>
    <row r="8545" spans="18:18" ht="14.25">
      <c r="R8545" s="20">
        <v>8518</v>
      </c>
    </row>
    <row r="8546" spans="18:18" ht="14.25">
      <c r="R8546" s="20">
        <v>8519</v>
      </c>
    </row>
    <row r="8547" spans="18:18" ht="14.25">
      <c r="R8547" s="20">
        <v>8520</v>
      </c>
    </row>
    <row r="8548" spans="18:18" ht="14.25">
      <c r="R8548" s="20">
        <v>8521</v>
      </c>
    </row>
    <row r="8549" spans="18:18" ht="14.25">
      <c r="R8549" s="20">
        <v>8522</v>
      </c>
    </row>
    <row r="8550" spans="18:18" ht="14.25">
      <c r="R8550" s="20">
        <v>8523</v>
      </c>
    </row>
    <row r="8551" spans="18:18" ht="14.25">
      <c r="R8551" s="20">
        <v>8524</v>
      </c>
    </row>
    <row r="8552" spans="18:18" ht="14.25">
      <c r="R8552" s="20">
        <v>8525</v>
      </c>
    </row>
    <row r="8553" spans="18:18" ht="14.25">
      <c r="R8553" s="20">
        <v>8526</v>
      </c>
    </row>
    <row r="8554" spans="18:18" ht="14.25">
      <c r="R8554" s="20">
        <v>8527</v>
      </c>
    </row>
    <row r="8555" spans="18:18" ht="14.25">
      <c r="R8555" s="20">
        <v>8528</v>
      </c>
    </row>
    <row r="8556" spans="18:18" ht="14.25">
      <c r="R8556" s="20">
        <v>8529</v>
      </c>
    </row>
    <row r="8557" spans="18:18" ht="14.25">
      <c r="R8557" s="20">
        <v>8530</v>
      </c>
    </row>
    <row r="8558" spans="18:18" ht="14.25">
      <c r="R8558" s="20">
        <v>8531</v>
      </c>
    </row>
    <row r="8559" spans="18:18" ht="14.25">
      <c r="R8559" s="20">
        <v>8532</v>
      </c>
    </row>
    <row r="8560" spans="18:18" ht="14.25">
      <c r="R8560" s="20">
        <v>8533</v>
      </c>
    </row>
    <row r="8561" spans="18:18" ht="14.25">
      <c r="R8561" s="20">
        <v>8534</v>
      </c>
    </row>
    <row r="8562" spans="18:18" ht="14.25">
      <c r="R8562" s="20">
        <v>8535</v>
      </c>
    </row>
    <row r="8563" spans="18:18" ht="14.25">
      <c r="R8563" s="20">
        <v>8536</v>
      </c>
    </row>
    <row r="8564" spans="18:18" ht="14.25">
      <c r="R8564" s="20">
        <v>8537</v>
      </c>
    </row>
    <row r="8565" spans="18:18" ht="14.25">
      <c r="R8565" s="20">
        <v>8538</v>
      </c>
    </row>
    <row r="8566" spans="18:18" ht="14.25">
      <c r="R8566" s="20">
        <v>8539</v>
      </c>
    </row>
    <row r="8567" spans="18:18" ht="14.25">
      <c r="R8567" s="20">
        <v>8540</v>
      </c>
    </row>
    <row r="8568" spans="18:18" ht="14.25">
      <c r="R8568" s="20">
        <v>8541</v>
      </c>
    </row>
    <row r="8569" spans="18:18" ht="14.25">
      <c r="R8569" s="20">
        <v>8542</v>
      </c>
    </row>
    <row r="8570" spans="18:18" ht="14.25">
      <c r="R8570" s="20">
        <v>8543</v>
      </c>
    </row>
    <row r="8571" spans="18:18" ht="14.25">
      <c r="R8571" s="20">
        <v>8544</v>
      </c>
    </row>
    <row r="8572" spans="18:18" ht="14.25">
      <c r="R8572" s="20">
        <v>8545</v>
      </c>
    </row>
    <row r="8573" spans="18:18" ht="14.25">
      <c r="R8573" s="20">
        <v>8546</v>
      </c>
    </row>
    <row r="8574" spans="18:18" ht="14.25">
      <c r="R8574" s="20">
        <v>8547</v>
      </c>
    </row>
    <row r="8575" spans="18:18" ht="14.25">
      <c r="R8575" s="20">
        <v>8548</v>
      </c>
    </row>
    <row r="8576" spans="18:18" ht="14.25">
      <c r="R8576" s="20">
        <v>8549</v>
      </c>
    </row>
    <row r="8577" spans="18:18" ht="14.25">
      <c r="R8577" s="20">
        <v>8550</v>
      </c>
    </row>
    <row r="8578" spans="18:18" ht="14.25">
      <c r="R8578" s="20">
        <v>8551</v>
      </c>
    </row>
    <row r="8579" spans="18:18" ht="14.25">
      <c r="R8579" s="20">
        <v>8552</v>
      </c>
    </row>
    <row r="8580" spans="18:18" ht="14.25">
      <c r="R8580" s="20">
        <v>8553</v>
      </c>
    </row>
    <row r="8581" spans="18:18" ht="14.25">
      <c r="R8581" s="20">
        <v>8554</v>
      </c>
    </row>
    <row r="8582" spans="18:18" ht="14.25">
      <c r="R8582" s="20">
        <v>8555</v>
      </c>
    </row>
    <row r="8583" spans="18:18" ht="14.25">
      <c r="R8583" s="20">
        <v>8556</v>
      </c>
    </row>
    <row r="8584" spans="18:18" ht="14.25">
      <c r="R8584" s="20">
        <v>8557</v>
      </c>
    </row>
    <row r="8585" spans="18:18" ht="14.25">
      <c r="R8585" s="20">
        <v>8558</v>
      </c>
    </row>
    <row r="8586" spans="18:18" ht="14.25">
      <c r="R8586" s="20">
        <v>8559</v>
      </c>
    </row>
    <row r="8587" spans="18:18" ht="14.25">
      <c r="R8587" s="20">
        <v>8560</v>
      </c>
    </row>
    <row r="8588" spans="18:18" ht="14.25">
      <c r="R8588" s="20">
        <v>8561</v>
      </c>
    </row>
    <row r="8589" spans="18:18" ht="14.25">
      <c r="R8589" s="20">
        <v>8562</v>
      </c>
    </row>
    <row r="8590" spans="18:18" ht="14.25">
      <c r="R8590" s="20">
        <v>8563</v>
      </c>
    </row>
    <row r="8591" spans="18:18" ht="14.25">
      <c r="R8591" s="20">
        <v>8564</v>
      </c>
    </row>
    <row r="8592" spans="18:18" ht="14.25">
      <c r="R8592" s="20">
        <v>8565</v>
      </c>
    </row>
    <row r="8593" spans="18:18" ht="14.25">
      <c r="R8593" s="20">
        <v>8566</v>
      </c>
    </row>
    <row r="8594" spans="18:18" ht="14.25">
      <c r="R8594" s="20">
        <v>8567</v>
      </c>
    </row>
    <row r="8595" spans="18:18" ht="14.25">
      <c r="R8595" s="20">
        <v>8568</v>
      </c>
    </row>
    <row r="8596" spans="18:18" ht="14.25">
      <c r="R8596" s="20">
        <v>8569</v>
      </c>
    </row>
    <row r="8597" spans="18:18" ht="14.25">
      <c r="R8597" s="20">
        <v>8570</v>
      </c>
    </row>
    <row r="8598" spans="18:18" ht="14.25">
      <c r="R8598" s="20">
        <v>8571</v>
      </c>
    </row>
    <row r="8599" spans="18:18" ht="14.25">
      <c r="R8599" s="20">
        <v>8572</v>
      </c>
    </row>
    <row r="8600" spans="18:18" ht="14.25">
      <c r="R8600" s="20">
        <v>8573</v>
      </c>
    </row>
    <row r="8601" spans="18:18" ht="14.25">
      <c r="R8601" s="20">
        <v>8574</v>
      </c>
    </row>
    <row r="8602" spans="18:18" ht="14.25">
      <c r="R8602" s="20">
        <v>8575</v>
      </c>
    </row>
    <row r="8603" spans="18:18" ht="14.25">
      <c r="R8603" s="20">
        <v>8576</v>
      </c>
    </row>
    <row r="8604" spans="18:18" ht="14.25">
      <c r="R8604" s="20">
        <v>8577</v>
      </c>
    </row>
    <row r="8605" spans="18:18" ht="14.25">
      <c r="R8605" s="20">
        <v>8578</v>
      </c>
    </row>
    <row r="8606" spans="18:18" ht="14.25">
      <c r="R8606" s="20">
        <v>8579</v>
      </c>
    </row>
    <row r="8607" spans="18:18" ht="14.25">
      <c r="R8607" s="20">
        <v>8580</v>
      </c>
    </row>
    <row r="8608" spans="18:18" ht="14.25">
      <c r="R8608" s="20">
        <v>8581</v>
      </c>
    </row>
    <row r="8609" spans="18:18" ht="14.25">
      <c r="R8609" s="20">
        <v>8582</v>
      </c>
    </row>
    <row r="8610" spans="18:18" ht="14.25">
      <c r="R8610" s="20">
        <v>8583</v>
      </c>
    </row>
    <row r="8611" spans="18:18" ht="14.25">
      <c r="R8611" s="20">
        <v>8584</v>
      </c>
    </row>
    <row r="8612" spans="18:18" ht="14.25">
      <c r="R8612" s="20">
        <v>8585</v>
      </c>
    </row>
    <row r="8613" spans="18:18" ht="14.25">
      <c r="R8613" s="20">
        <v>8586</v>
      </c>
    </row>
    <row r="8614" spans="18:18" ht="14.25">
      <c r="R8614" s="20">
        <v>8587</v>
      </c>
    </row>
    <row r="8615" spans="18:18" ht="14.25">
      <c r="R8615" s="20">
        <v>8588</v>
      </c>
    </row>
    <row r="8616" spans="18:18" ht="14.25">
      <c r="R8616" s="20">
        <v>8589</v>
      </c>
    </row>
    <row r="8617" spans="18:18" ht="14.25">
      <c r="R8617" s="20">
        <v>8590</v>
      </c>
    </row>
    <row r="8618" spans="18:18" ht="14.25">
      <c r="R8618" s="20">
        <v>8591</v>
      </c>
    </row>
    <row r="8619" spans="18:18" ht="14.25">
      <c r="R8619" s="20">
        <v>8592</v>
      </c>
    </row>
    <row r="8620" spans="18:18" ht="14.25">
      <c r="R8620" s="20">
        <v>8593</v>
      </c>
    </row>
    <row r="8621" spans="18:18" ht="14.25">
      <c r="R8621" s="20">
        <v>8594</v>
      </c>
    </row>
    <row r="8622" spans="18:18" ht="14.25">
      <c r="R8622" s="20">
        <v>8595</v>
      </c>
    </row>
    <row r="8623" spans="18:18" ht="14.25">
      <c r="R8623" s="20">
        <v>8596</v>
      </c>
    </row>
    <row r="8624" spans="18:18" ht="14.25">
      <c r="R8624" s="20">
        <v>8597</v>
      </c>
    </row>
    <row r="8625" spans="18:18" ht="14.25">
      <c r="R8625" s="20">
        <v>8598</v>
      </c>
    </row>
    <row r="8626" spans="18:18" ht="14.25">
      <c r="R8626" s="20">
        <v>8599</v>
      </c>
    </row>
    <row r="8627" spans="18:18" ht="14.25">
      <c r="R8627" s="20">
        <v>8600</v>
      </c>
    </row>
    <row r="8628" spans="18:18" ht="14.25">
      <c r="R8628" s="20">
        <v>8601</v>
      </c>
    </row>
    <row r="8629" spans="18:18" ht="14.25">
      <c r="R8629" s="20">
        <v>8602</v>
      </c>
    </row>
    <row r="8630" spans="18:18" ht="14.25">
      <c r="R8630" s="20">
        <v>8603</v>
      </c>
    </row>
    <row r="8631" spans="18:18" ht="14.25">
      <c r="R8631" s="20">
        <v>8604</v>
      </c>
    </row>
    <row r="8632" spans="18:18" ht="14.25">
      <c r="R8632" s="20">
        <v>8605</v>
      </c>
    </row>
    <row r="8633" spans="18:18" ht="14.25">
      <c r="R8633" s="20">
        <v>8606</v>
      </c>
    </row>
    <row r="8634" spans="18:18" ht="14.25">
      <c r="R8634" s="20">
        <v>8607</v>
      </c>
    </row>
    <row r="8635" spans="18:18" ht="14.25">
      <c r="R8635" s="20">
        <v>8608</v>
      </c>
    </row>
    <row r="8636" spans="18:18" ht="14.25">
      <c r="R8636" s="20">
        <v>8609</v>
      </c>
    </row>
    <row r="8637" spans="18:18" ht="14.25">
      <c r="R8637" s="20">
        <v>8610</v>
      </c>
    </row>
    <row r="8638" spans="18:18" ht="14.25">
      <c r="R8638" s="20">
        <v>8611</v>
      </c>
    </row>
    <row r="8639" spans="18:18" ht="14.25">
      <c r="R8639" s="20">
        <v>8612</v>
      </c>
    </row>
    <row r="8640" spans="18:18" ht="14.25">
      <c r="R8640" s="20">
        <v>8613</v>
      </c>
    </row>
    <row r="8641" spans="18:18" ht="14.25">
      <c r="R8641" s="20">
        <v>8614</v>
      </c>
    </row>
    <row r="8642" spans="18:18" ht="14.25">
      <c r="R8642" s="20">
        <v>8615</v>
      </c>
    </row>
    <row r="8643" spans="18:18" ht="14.25">
      <c r="R8643" s="20">
        <v>8616</v>
      </c>
    </row>
    <row r="8644" spans="18:18" ht="14.25">
      <c r="R8644" s="20">
        <v>8617</v>
      </c>
    </row>
    <row r="8645" spans="18:18" ht="14.25">
      <c r="R8645" s="20">
        <v>8618</v>
      </c>
    </row>
    <row r="8646" spans="18:18" ht="14.25">
      <c r="R8646" s="20">
        <v>8619</v>
      </c>
    </row>
    <row r="8647" spans="18:18" ht="14.25">
      <c r="R8647" s="20">
        <v>8620</v>
      </c>
    </row>
    <row r="8648" spans="18:18" ht="14.25">
      <c r="R8648" s="20">
        <v>8621</v>
      </c>
    </row>
    <row r="8649" spans="18:18" ht="14.25">
      <c r="R8649" s="20">
        <v>8622</v>
      </c>
    </row>
    <row r="8650" spans="18:18" ht="14.25">
      <c r="R8650" s="20">
        <v>8623</v>
      </c>
    </row>
    <row r="8651" spans="18:18" ht="14.25">
      <c r="R8651" s="20">
        <v>8624</v>
      </c>
    </row>
    <row r="8652" spans="18:18" ht="14.25">
      <c r="R8652" s="20">
        <v>8625</v>
      </c>
    </row>
    <row r="8653" spans="18:18" ht="14.25">
      <c r="R8653" s="20">
        <v>8626</v>
      </c>
    </row>
    <row r="8654" spans="18:18" ht="14.25">
      <c r="R8654" s="20">
        <v>8627</v>
      </c>
    </row>
    <row r="8655" spans="18:18" ht="14.25">
      <c r="R8655" s="20">
        <v>8628</v>
      </c>
    </row>
    <row r="8656" spans="18:18" ht="14.25">
      <c r="R8656" s="20">
        <v>8629</v>
      </c>
    </row>
    <row r="8657" spans="18:18" ht="14.25">
      <c r="R8657" s="20">
        <v>8630</v>
      </c>
    </row>
    <row r="8658" spans="18:18" ht="14.25">
      <c r="R8658" s="20">
        <v>8631</v>
      </c>
    </row>
    <row r="8659" spans="18:18" ht="14.25">
      <c r="R8659" s="20">
        <v>8632</v>
      </c>
    </row>
    <row r="8660" spans="18:18" ht="14.25">
      <c r="R8660" s="20">
        <v>8633</v>
      </c>
    </row>
    <row r="8661" spans="18:18" ht="14.25">
      <c r="R8661" s="20">
        <v>8634</v>
      </c>
    </row>
    <row r="8662" spans="18:18" ht="14.25">
      <c r="R8662" s="20">
        <v>8635</v>
      </c>
    </row>
    <row r="8663" spans="18:18" ht="14.25">
      <c r="R8663" s="20">
        <v>8636</v>
      </c>
    </row>
    <row r="8664" spans="18:18" ht="14.25">
      <c r="R8664" s="20">
        <v>8637</v>
      </c>
    </row>
    <row r="8665" spans="18:18" ht="14.25">
      <c r="R8665" s="20">
        <v>8638</v>
      </c>
    </row>
    <row r="8666" spans="18:18" ht="14.25">
      <c r="R8666" s="20">
        <v>8639</v>
      </c>
    </row>
    <row r="8667" spans="18:18" ht="14.25">
      <c r="R8667" s="20">
        <v>8640</v>
      </c>
    </row>
    <row r="8668" spans="18:18" ht="14.25">
      <c r="R8668" s="20">
        <v>8641</v>
      </c>
    </row>
    <row r="8669" spans="18:18" ht="14.25">
      <c r="R8669" s="20">
        <v>8642</v>
      </c>
    </row>
    <row r="8670" spans="18:18" ht="14.25">
      <c r="R8670" s="20">
        <v>8643</v>
      </c>
    </row>
    <row r="8671" spans="18:18" ht="14.25">
      <c r="R8671" s="20">
        <v>8644</v>
      </c>
    </row>
    <row r="8672" spans="18:18" ht="14.25">
      <c r="R8672" s="20">
        <v>8645</v>
      </c>
    </row>
    <row r="8673" spans="18:18" ht="14.25">
      <c r="R8673" s="20">
        <v>8646</v>
      </c>
    </row>
    <row r="8674" spans="18:18" ht="14.25">
      <c r="R8674" s="20">
        <v>8647</v>
      </c>
    </row>
    <row r="8675" spans="18:18" ht="14.25">
      <c r="R8675" s="20">
        <v>8648</v>
      </c>
    </row>
    <row r="8676" spans="18:18" ht="14.25">
      <c r="R8676" s="20">
        <v>8649</v>
      </c>
    </row>
    <row r="8677" spans="18:18" ht="14.25">
      <c r="R8677" s="20">
        <v>8650</v>
      </c>
    </row>
    <row r="8678" spans="18:18" ht="14.25">
      <c r="R8678" s="20">
        <v>8651</v>
      </c>
    </row>
    <row r="8679" spans="18:18" ht="14.25">
      <c r="R8679" s="20">
        <v>8652</v>
      </c>
    </row>
    <row r="8680" spans="18:18" ht="14.25">
      <c r="R8680" s="20">
        <v>8653</v>
      </c>
    </row>
    <row r="8681" spans="18:18" ht="14.25">
      <c r="R8681" s="20">
        <v>8654</v>
      </c>
    </row>
    <row r="8682" spans="18:18" ht="14.25">
      <c r="R8682" s="20">
        <v>8655</v>
      </c>
    </row>
    <row r="8683" spans="18:18" ht="14.25">
      <c r="R8683" s="20">
        <v>8656</v>
      </c>
    </row>
    <row r="8684" spans="18:18" ht="14.25">
      <c r="R8684" s="20">
        <v>8657</v>
      </c>
    </row>
    <row r="8685" spans="18:18" ht="14.25">
      <c r="R8685" s="20">
        <v>8658</v>
      </c>
    </row>
    <row r="8686" spans="18:18" ht="14.25">
      <c r="R8686" s="20">
        <v>8659</v>
      </c>
    </row>
    <row r="8687" spans="18:18" ht="14.25">
      <c r="R8687" s="20">
        <v>8660</v>
      </c>
    </row>
    <row r="8688" spans="18:18" ht="14.25">
      <c r="R8688" s="20">
        <v>8661</v>
      </c>
    </row>
    <row r="8689" spans="18:18" ht="14.25">
      <c r="R8689" s="20">
        <v>8662</v>
      </c>
    </row>
    <row r="8690" spans="18:18" ht="14.25">
      <c r="R8690" s="20">
        <v>8663</v>
      </c>
    </row>
    <row r="8691" spans="18:18" ht="14.25">
      <c r="R8691" s="20">
        <v>8664</v>
      </c>
    </row>
    <row r="8692" spans="18:18" ht="14.25">
      <c r="R8692" s="20">
        <v>8665</v>
      </c>
    </row>
    <row r="8693" spans="18:18" ht="14.25">
      <c r="R8693" s="20">
        <v>8666</v>
      </c>
    </row>
    <row r="8694" spans="18:18" ht="14.25">
      <c r="R8694" s="20">
        <v>8667</v>
      </c>
    </row>
    <row r="8695" spans="18:18" ht="14.25">
      <c r="R8695" s="20">
        <v>8668</v>
      </c>
    </row>
    <row r="8696" spans="18:18" ht="14.25">
      <c r="R8696" s="20">
        <v>8669</v>
      </c>
    </row>
    <row r="8697" spans="18:18" ht="14.25">
      <c r="R8697" s="20">
        <v>8670</v>
      </c>
    </row>
    <row r="8698" spans="18:18" ht="14.25">
      <c r="R8698" s="20">
        <v>8671</v>
      </c>
    </row>
    <row r="8699" spans="18:18" ht="14.25">
      <c r="R8699" s="20">
        <v>8672</v>
      </c>
    </row>
    <row r="8700" spans="18:18" ht="14.25">
      <c r="R8700" s="20">
        <v>8673</v>
      </c>
    </row>
    <row r="8701" spans="18:18" ht="14.25">
      <c r="R8701" s="20">
        <v>8674</v>
      </c>
    </row>
    <row r="8702" spans="18:18" ht="14.25">
      <c r="R8702" s="20">
        <v>8675</v>
      </c>
    </row>
    <row r="8703" spans="18:18" ht="14.25">
      <c r="R8703" s="20">
        <v>8676</v>
      </c>
    </row>
    <row r="8704" spans="18:18" ht="14.25">
      <c r="R8704" s="20">
        <v>8677</v>
      </c>
    </row>
    <row r="8705" spans="18:18" ht="14.25">
      <c r="R8705" s="20">
        <v>8678</v>
      </c>
    </row>
    <row r="8706" spans="18:18" ht="14.25">
      <c r="R8706" s="20">
        <v>8679</v>
      </c>
    </row>
    <row r="8707" spans="18:18" ht="14.25">
      <c r="R8707" s="20">
        <v>8680</v>
      </c>
    </row>
    <row r="8708" spans="18:18" ht="14.25">
      <c r="R8708" s="20">
        <v>8681</v>
      </c>
    </row>
    <row r="8709" spans="18:18" ht="14.25">
      <c r="R8709" s="20">
        <v>8682</v>
      </c>
    </row>
    <row r="8710" spans="18:18" ht="14.25">
      <c r="R8710" s="20">
        <v>8683</v>
      </c>
    </row>
    <row r="8711" spans="18:18" ht="14.25">
      <c r="R8711" s="20">
        <v>8684</v>
      </c>
    </row>
    <row r="8712" spans="18:18" ht="14.25">
      <c r="R8712" s="20">
        <v>8685</v>
      </c>
    </row>
    <row r="8713" spans="18:18" ht="14.25">
      <c r="R8713" s="20">
        <v>8686</v>
      </c>
    </row>
    <row r="8714" spans="18:18" ht="14.25">
      <c r="R8714" s="20">
        <v>8687</v>
      </c>
    </row>
    <row r="8715" spans="18:18" ht="14.25">
      <c r="R8715" s="20">
        <v>8688</v>
      </c>
    </row>
    <row r="8716" spans="18:18" ht="14.25">
      <c r="R8716" s="20">
        <v>8689</v>
      </c>
    </row>
    <row r="8717" spans="18:18" ht="14.25">
      <c r="R8717" s="20">
        <v>8690</v>
      </c>
    </row>
    <row r="8718" spans="18:18" ht="14.25">
      <c r="R8718" s="20">
        <v>8691</v>
      </c>
    </row>
    <row r="8719" spans="18:18" ht="14.25">
      <c r="R8719" s="20">
        <v>8692</v>
      </c>
    </row>
    <row r="8720" spans="18:18" ht="14.25">
      <c r="R8720" s="20">
        <v>8693</v>
      </c>
    </row>
    <row r="8721" spans="18:18" ht="14.25">
      <c r="R8721" s="20">
        <v>8694</v>
      </c>
    </row>
    <row r="8722" spans="18:18" ht="14.25">
      <c r="R8722" s="20">
        <v>8695</v>
      </c>
    </row>
    <row r="8723" spans="18:18" ht="14.25">
      <c r="R8723" s="20">
        <v>8696</v>
      </c>
    </row>
    <row r="8724" spans="18:18" ht="14.25">
      <c r="R8724" s="20">
        <v>8697</v>
      </c>
    </row>
    <row r="8725" spans="18:18" ht="14.25">
      <c r="R8725" s="20">
        <v>8698</v>
      </c>
    </row>
    <row r="8726" spans="18:18" ht="14.25">
      <c r="R8726" s="20">
        <v>8699</v>
      </c>
    </row>
    <row r="8727" spans="18:18" ht="14.25">
      <c r="R8727" s="20">
        <v>8700</v>
      </c>
    </row>
    <row r="8728" spans="18:18" ht="14.25">
      <c r="R8728" s="20">
        <v>8701</v>
      </c>
    </row>
    <row r="8729" spans="18:18" ht="14.25">
      <c r="R8729" s="20">
        <v>8702</v>
      </c>
    </row>
    <row r="8730" spans="18:18" ht="14.25">
      <c r="R8730" s="20">
        <v>8703</v>
      </c>
    </row>
    <row r="8731" spans="18:18" ht="14.25">
      <c r="R8731" s="20">
        <v>8704</v>
      </c>
    </row>
    <row r="8732" spans="18:18" ht="14.25">
      <c r="R8732" s="20">
        <v>8705</v>
      </c>
    </row>
    <row r="8733" spans="18:18" ht="14.25">
      <c r="R8733" s="20">
        <v>8706</v>
      </c>
    </row>
    <row r="8734" spans="18:18" ht="14.25">
      <c r="R8734" s="20">
        <v>8707</v>
      </c>
    </row>
    <row r="8735" spans="18:18" ht="14.25">
      <c r="R8735" s="20">
        <v>8708</v>
      </c>
    </row>
    <row r="8736" spans="18:18" ht="14.25">
      <c r="R8736" s="20">
        <v>8709</v>
      </c>
    </row>
    <row r="8737" spans="18:18" ht="14.25">
      <c r="R8737" s="20">
        <v>8710</v>
      </c>
    </row>
    <row r="8738" spans="18:18" ht="14.25">
      <c r="R8738" s="20">
        <v>8711</v>
      </c>
    </row>
    <row r="8739" spans="18:18" ht="14.25">
      <c r="R8739" s="20">
        <v>8712</v>
      </c>
    </row>
    <row r="8740" spans="18:18" ht="14.25">
      <c r="R8740" s="20">
        <v>8713</v>
      </c>
    </row>
    <row r="8741" spans="18:18" ht="14.25">
      <c r="R8741" s="20">
        <v>8714</v>
      </c>
    </row>
    <row r="8742" spans="18:18" ht="14.25">
      <c r="R8742" s="20">
        <v>8715</v>
      </c>
    </row>
    <row r="8743" spans="18:18" ht="14.25">
      <c r="R8743" s="20">
        <v>8716</v>
      </c>
    </row>
    <row r="8744" spans="18:18" ht="14.25">
      <c r="R8744" s="20">
        <v>8717</v>
      </c>
    </row>
    <row r="8745" spans="18:18" ht="14.25">
      <c r="R8745" s="20">
        <v>8718</v>
      </c>
    </row>
    <row r="8746" spans="18:18" ht="14.25">
      <c r="R8746" s="20">
        <v>8719</v>
      </c>
    </row>
    <row r="8747" spans="18:18" ht="14.25">
      <c r="R8747" s="20">
        <v>8720</v>
      </c>
    </row>
    <row r="8748" spans="18:18" ht="14.25">
      <c r="R8748" s="20">
        <v>8721</v>
      </c>
    </row>
    <row r="8749" spans="18:18" ht="14.25">
      <c r="R8749" s="20">
        <v>8722</v>
      </c>
    </row>
    <row r="8750" spans="18:18" ht="14.25">
      <c r="R8750" s="20">
        <v>8723</v>
      </c>
    </row>
    <row r="8751" spans="18:18" ht="14.25">
      <c r="R8751" s="20">
        <v>8724</v>
      </c>
    </row>
    <row r="8752" spans="18:18" ht="14.25">
      <c r="R8752" s="20">
        <v>8725</v>
      </c>
    </row>
    <row r="8753" spans="18:18" ht="14.25">
      <c r="R8753" s="20">
        <v>8726</v>
      </c>
    </row>
    <row r="8754" spans="18:18" ht="14.25">
      <c r="R8754" s="20">
        <v>8727</v>
      </c>
    </row>
    <row r="8755" spans="18:18" ht="14.25">
      <c r="R8755" s="20">
        <v>8728</v>
      </c>
    </row>
    <row r="8756" spans="18:18" ht="14.25">
      <c r="R8756" s="20">
        <v>8729</v>
      </c>
    </row>
    <row r="8757" spans="18:18" ht="14.25">
      <c r="R8757" s="20">
        <v>8730</v>
      </c>
    </row>
    <row r="8758" spans="18:18" ht="14.25">
      <c r="R8758" s="20">
        <v>8731</v>
      </c>
    </row>
    <row r="8759" spans="18:18" ht="14.25">
      <c r="R8759" s="20">
        <v>8732</v>
      </c>
    </row>
    <row r="8760" spans="18:18" ht="14.25">
      <c r="R8760" s="20">
        <v>8733</v>
      </c>
    </row>
    <row r="8761" spans="18:18" ht="14.25">
      <c r="R8761" s="20">
        <v>8734</v>
      </c>
    </row>
    <row r="8762" spans="18:18" ht="14.25">
      <c r="R8762" s="20">
        <v>8735</v>
      </c>
    </row>
    <row r="8763" spans="18:18" ht="14.25">
      <c r="R8763" s="20">
        <v>8736</v>
      </c>
    </row>
    <row r="8764" spans="18:18" ht="14.25">
      <c r="R8764" s="20">
        <v>8737</v>
      </c>
    </row>
    <row r="8765" spans="18:18" ht="14.25">
      <c r="R8765" s="20">
        <v>8738</v>
      </c>
    </row>
    <row r="8766" spans="18:18" ht="14.25">
      <c r="R8766" s="20">
        <v>8739</v>
      </c>
    </row>
    <row r="8767" spans="18:18" ht="14.25">
      <c r="R8767" s="20">
        <v>8740</v>
      </c>
    </row>
    <row r="8768" spans="18:18" ht="14.25">
      <c r="R8768" s="20">
        <v>8741</v>
      </c>
    </row>
    <row r="8769" spans="18:18" ht="14.25">
      <c r="R8769" s="20">
        <v>8742</v>
      </c>
    </row>
    <row r="8770" spans="18:18" ht="14.25">
      <c r="R8770" s="20">
        <v>8743</v>
      </c>
    </row>
    <row r="8771" spans="18:18" ht="14.25">
      <c r="R8771" s="20">
        <v>8744</v>
      </c>
    </row>
    <row r="8772" spans="18:18" ht="14.25">
      <c r="R8772" s="20">
        <v>8745</v>
      </c>
    </row>
    <row r="8773" spans="18:18" ht="14.25">
      <c r="R8773" s="20">
        <v>8746</v>
      </c>
    </row>
    <row r="8774" spans="18:18" ht="14.25">
      <c r="R8774" s="20">
        <v>8747</v>
      </c>
    </row>
    <row r="8775" spans="18:18" ht="14.25">
      <c r="R8775" s="20">
        <v>8748</v>
      </c>
    </row>
    <row r="8776" spans="18:18" ht="14.25">
      <c r="R8776" s="20">
        <v>8749</v>
      </c>
    </row>
    <row r="8777" spans="18:18" ht="14.25">
      <c r="R8777" s="20">
        <v>8750</v>
      </c>
    </row>
    <row r="8778" spans="18:18" ht="14.25">
      <c r="R8778" s="20">
        <v>8751</v>
      </c>
    </row>
    <row r="8779" spans="18:18" ht="14.25">
      <c r="R8779" s="20">
        <v>8752</v>
      </c>
    </row>
    <row r="8780" spans="18:18" ht="14.25">
      <c r="R8780" s="20">
        <v>8753</v>
      </c>
    </row>
    <row r="8781" spans="18:18" ht="14.25">
      <c r="R8781" s="20">
        <v>8754</v>
      </c>
    </row>
    <row r="8782" spans="18:18" ht="14.25">
      <c r="R8782" s="20">
        <v>8755</v>
      </c>
    </row>
    <row r="8783" spans="18:18" ht="14.25">
      <c r="R8783" s="20">
        <v>8756</v>
      </c>
    </row>
    <row r="8784" spans="18:18" ht="14.25">
      <c r="R8784" s="20">
        <v>8757</v>
      </c>
    </row>
    <row r="8785" spans="18:18" ht="14.25">
      <c r="R8785" s="20">
        <v>8758</v>
      </c>
    </row>
    <row r="8786" spans="18:18" ht="14.25">
      <c r="R8786" s="20">
        <v>8759</v>
      </c>
    </row>
    <row r="8787" spans="18:18" ht="14.25">
      <c r="R8787" s="20">
        <v>8760</v>
      </c>
    </row>
    <row r="8788" spans="18:18" ht="14.25">
      <c r="R8788" s="20">
        <v>8761</v>
      </c>
    </row>
    <row r="8789" spans="18:18" ht="14.25">
      <c r="R8789" s="20">
        <v>8762</v>
      </c>
    </row>
    <row r="8790" spans="18:18" ht="14.25">
      <c r="R8790" s="20">
        <v>8763</v>
      </c>
    </row>
    <row r="8791" spans="18:18" ht="14.25">
      <c r="R8791" s="20">
        <v>8764</v>
      </c>
    </row>
    <row r="8792" spans="18:18" ht="14.25">
      <c r="R8792" s="20">
        <v>8765</v>
      </c>
    </row>
    <row r="8793" spans="18:18" ht="14.25">
      <c r="R8793" s="20">
        <v>8766</v>
      </c>
    </row>
    <row r="8794" spans="18:18" ht="14.25">
      <c r="R8794" s="20">
        <v>8767</v>
      </c>
    </row>
    <row r="8795" spans="18:18" ht="14.25">
      <c r="R8795" s="20">
        <v>8768</v>
      </c>
    </row>
    <row r="8796" spans="18:18" ht="14.25">
      <c r="R8796" s="20">
        <v>8769</v>
      </c>
    </row>
    <row r="8797" spans="18:18" ht="14.25">
      <c r="R8797" s="20">
        <v>8770</v>
      </c>
    </row>
    <row r="8798" spans="18:18" ht="14.25">
      <c r="R8798" s="20">
        <v>8771</v>
      </c>
    </row>
    <row r="8799" spans="18:18" ht="14.25">
      <c r="R8799" s="20">
        <v>8772</v>
      </c>
    </row>
    <row r="8800" spans="18:18" ht="14.25">
      <c r="R8800" s="20">
        <v>8773</v>
      </c>
    </row>
    <row r="8801" spans="18:18" ht="14.25">
      <c r="R8801" s="20">
        <v>8774</v>
      </c>
    </row>
    <row r="8802" spans="18:18" ht="14.25">
      <c r="R8802" s="20">
        <v>8775</v>
      </c>
    </row>
    <row r="8803" spans="18:18" ht="14.25">
      <c r="R8803" s="20">
        <v>8776</v>
      </c>
    </row>
    <row r="8804" spans="18:18" ht="14.25">
      <c r="R8804" s="20">
        <v>8777</v>
      </c>
    </row>
    <row r="8805" spans="18:18" ht="14.25">
      <c r="R8805" s="20">
        <v>8778</v>
      </c>
    </row>
    <row r="8806" spans="18:18" ht="14.25">
      <c r="R8806" s="20">
        <v>8779</v>
      </c>
    </row>
    <row r="8807" spans="18:18" ht="14.25">
      <c r="R8807" s="20">
        <v>8780</v>
      </c>
    </row>
    <row r="8808" spans="18:18" ht="14.25">
      <c r="R8808" s="20">
        <v>8781</v>
      </c>
    </row>
    <row r="8809" spans="18:18" ht="14.25">
      <c r="R8809" s="20">
        <v>8782</v>
      </c>
    </row>
    <row r="8810" spans="18:18" ht="14.25">
      <c r="R8810" s="20">
        <v>8783</v>
      </c>
    </row>
    <row r="8811" spans="18:18" ht="14.25">
      <c r="R8811" s="20">
        <v>8784</v>
      </c>
    </row>
    <row r="8812" spans="18:18" ht="14.25">
      <c r="R8812" s="20">
        <v>8785</v>
      </c>
    </row>
    <row r="8813" spans="18:18" ht="14.25">
      <c r="R8813" s="20">
        <v>8786</v>
      </c>
    </row>
    <row r="8814" spans="18:18" ht="14.25">
      <c r="R8814" s="20">
        <v>8787</v>
      </c>
    </row>
    <row r="8815" spans="18:18" ht="14.25">
      <c r="R8815" s="20">
        <v>8788</v>
      </c>
    </row>
    <row r="8816" spans="18:18" ht="14.25">
      <c r="R8816" s="20">
        <v>8789</v>
      </c>
    </row>
    <row r="8817" spans="18:18" ht="14.25">
      <c r="R8817" s="20">
        <v>8790</v>
      </c>
    </row>
    <row r="8818" spans="18:18" ht="14.25">
      <c r="R8818" s="20">
        <v>8791</v>
      </c>
    </row>
    <row r="8819" spans="18:18" ht="14.25">
      <c r="R8819" s="20">
        <v>8792</v>
      </c>
    </row>
    <row r="8820" spans="18:18" ht="14.25">
      <c r="R8820" s="20">
        <v>8793</v>
      </c>
    </row>
    <row r="8821" spans="18:18" ht="14.25">
      <c r="R8821" s="20">
        <v>8794</v>
      </c>
    </row>
    <row r="8822" spans="18:18" ht="14.25">
      <c r="R8822" s="20">
        <v>8795</v>
      </c>
    </row>
    <row r="8823" spans="18:18" ht="14.25">
      <c r="R8823" s="20">
        <v>8796</v>
      </c>
    </row>
    <row r="8824" spans="18:18" ht="14.25">
      <c r="R8824" s="20">
        <v>8797</v>
      </c>
    </row>
    <row r="8825" spans="18:18" ht="14.25">
      <c r="R8825" s="20">
        <v>8798</v>
      </c>
    </row>
    <row r="8826" spans="18:18" ht="14.25">
      <c r="R8826" s="20">
        <v>8799</v>
      </c>
    </row>
    <row r="8827" spans="18:18" ht="14.25">
      <c r="R8827" s="20">
        <v>8800</v>
      </c>
    </row>
    <row r="8828" spans="18:18" ht="14.25">
      <c r="R8828" s="20">
        <v>8801</v>
      </c>
    </row>
    <row r="8829" spans="18:18" ht="14.25">
      <c r="R8829" s="20">
        <v>8802</v>
      </c>
    </row>
    <row r="8830" spans="18:18" ht="14.25">
      <c r="R8830" s="20">
        <v>8803</v>
      </c>
    </row>
    <row r="8831" spans="18:18" ht="14.25">
      <c r="R8831" s="20">
        <v>8804</v>
      </c>
    </row>
    <row r="8832" spans="18:18" ht="14.25">
      <c r="R8832" s="20">
        <v>8805</v>
      </c>
    </row>
    <row r="8833" spans="18:18" ht="14.25">
      <c r="R8833" s="20">
        <v>8806</v>
      </c>
    </row>
    <row r="8834" spans="18:18" ht="14.25">
      <c r="R8834" s="20">
        <v>8807</v>
      </c>
    </row>
    <row r="8835" spans="18:18" ht="14.25">
      <c r="R8835" s="20">
        <v>8808</v>
      </c>
    </row>
    <row r="8836" spans="18:18" ht="14.25">
      <c r="R8836" s="20">
        <v>8809</v>
      </c>
    </row>
    <row r="8837" spans="18:18" ht="14.25">
      <c r="R8837" s="20">
        <v>8810</v>
      </c>
    </row>
    <row r="8838" spans="18:18" ht="14.25">
      <c r="R8838" s="20">
        <v>8811</v>
      </c>
    </row>
    <row r="8839" spans="18:18" ht="14.25">
      <c r="R8839" s="20">
        <v>8812</v>
      </c>
    </row>
    <row r="8840" spans="18:18" ht="14.25">
      <c r="R8840" s="20">
        <v>8813</v>
      </c>
    </row>
    <row r="8841" spans="18:18" ht="14.25">
      <c r="R8841" s="20">
        <v>8814</v>
      </c>
    </row>
    <row r="8842" spans="18:18" ht="14.25">
      <c r="R8842" s="20">
        <v>8815</v>
      </c>
    </row>
    <row r="8843" spans="18:18" ht="14.25">
      <c r="R8843" s="20">
        <v>8816</v>
      </c>
    </row>
    <row r="8844" spans="18:18" ht="14.25">
      <c r="R8844" s="20">
        <v>8817</v>
      </c>
    </row>
    <row r="8845" spans="18:18" ht="14.25">
      <c r="R8845" s="20">
        <v>8818</v>
      </c>
    </row>
    <row r="8846" spans="18:18" ht="14.25">
      <c r="R8846" s="20">
        <v>8819</v>
      </c>
    </row>
    <row r="8847" spans="18:18" ht="14.25">
      <c r="R8847" s="20">
        <v>8820</v>
      </c>
    </row>
    <row r="8848" spans="18:18" ht="14.25">
      <c r="R8848" s="20">
        <v>8821</v>
      </c>
    </row>
    <row r="8849" spans="18:18" ht="14.25">
      <c r="R8849" s="20">
        <v>8822</v>
      </c>
    </row>
    <row r="8850" spans="18:18" ht="14.25">
      <c r="R8850" s="20">
        <v>8823</v>
      </c>
    </row>
    <row r="8851" spans="18:18" ht="14.25">
      <c r="R8851" s="20">
        <v>8824</v>
      </c>
    </row>
    <row r="8852" spans="18:18" ht="14.25">
      <c r="R8852" s="20">
        <v>8825</v>
      </c>
    </row>
    <row r="8853" spans="18:18" ht="14.25">
      <c r="R8853" s="20">
        <v>8826</v>
      </c>
    </row>
    <row r="8854" spans="18:18" ht="14.25">
      <c r="R8854" s="20">
        <v>8827</v>
      </c>
    </row>
    <row r="8855" spans="18:18" ht="14.25">
      <c r="R8855" s="20">
        <v>8828</v>
      </c>
    </row>
    <row r="8856" spans="18:18" ht="14.25">
      <c r="R8856" s="20">
        <v>8829</v>
      </c>
    </row>
    <row r="8857" spans="18:18" ht="14.25">
      <c r="R8857" s="20">
        <v>8830</v>
      </c>
    </row>
    <row r="8858" spans="18:18" ht="14.25">
      <c r="R8858" s="20">
        <v>8831</v>
      </c>
    </row>
    <row r="8859" spans="18:18" ht="14.25">
      <c r="R8859" s="20">
        <v>8832</v>
      </c>
    </row>
    <row r="8860" spans="18:18" ht="14.25">
      <c r="R8860" s="20">
        <v>8833</v>
      </c>
    </row>
    <row r="8861" spans="18:18" ht="14.25">
      <c r="R8861" s="20">
        <v>8834</v>
      </c>
    </row>
    <row r="8862" spans="18:18" ht="14.25">
      <c r="R8862" s="20">
        <v>8835</v>
      </c>
    </row>
    <row r="8863" spans="18:18" ht="14.25">
      <c r="R8863" s="20">
        <v>8836</v>
      </c>
    </row>
    <row r="8864" spans="18:18" ht="14.25">
      <c r="R8864" s="20">
        <v>8837</v>
      </c>
    </row>
    <row r="8865" spans="18:18" ht="14.25">
      <c r="R8865" s="20">
        <v>8838</v>
      </c>
    </row>
    <row r="8866" spans="18:18" ht="14.25">
      <c r="R8866" s="20">
        <v>8839</v>
      </c>
    </row>
    <row r="8867" spans="18:18" ht="14.25">
      <c r="R8867" s="20">
        <v>8840</v>
      </c>
    </row>
    <row r="8868" spans="18:18" ht="14.25">
      <c r="R8868" s="20">
        <v>8841</v>
      </c>
    </row>
    <row r="8869" spans="18:18" ht="14.25">
      <c r="R8869" s="20">
        <v>8842</v>
      </c>
    </row>
    <row r="8870" spans="18:18" ht="14.25">
      <c r="R8870" s="20">
        <v>8843</v>
      </c>
    </row>
    <row r="8871" spans="18:18" ht="14.25">
      <c r="R8871" s="20">
        <v>8844</v>
      </c>
    </row>
    <row r="8872" spans="18:18" ht="14.25">
      <c r="R8872" s="20">
        <v>8845</v>
      </c>
    </row>
    <row r="8873" spans="18:18" ht="14.25">
      <c r="R8873" s="20">
        <v>8846</v>
      </c>
    </row>
    <row r="8874" spans="18:18" ht="14.25">
      <c r="R8874" s="20">
        <v>8847</v>
      </c>
    </row>
    <row r="8875" spans="18:18" ht="14.25">
      <c r="R8875" s="20">
        <v>8848</v>
      </c>
    </row>
    <row r="8876" spans="18:18" ht="14.25">
      <c r="R8876" s="20">
        <v>8849</v>
      </c>
    </row>
    <row r="8877" spans="18:18" ht="14.25">
      <c r="R8877" s="20">
        <v>8850</v>
      </c>
    </row>
    <row r="8878" spans="18:18" ht="14.25">
      <c r="R8878" s="20">
        <v>8851</v>
      </c>
    </row>
    <row r="8879" spans="18:18" ht="14.25">
      <c r="R8879" s="20">
        <v>8852</v>
      </c>
    </row>
    <row r="8880" spans="18:18" ht="14.25">
      <c r="R8880" s="20">
        <v>8853</v>
      </c>
    </row>
    <row r="8881" spans="18:18" ht="14.25">
      <c r="R8881" s="20">
        <v>8854</v>
      </c>
    </row>
    <row r="8882" spans="18:18" ht="14.25">
      <c r="R8882" s="20">
        <v>8855</v>
      </c>
    </row>
    <row r="8883" spans="18:18" ht="14.25">
      <c r="R8883" s="20">
        <v>8856</v>
      </c>
    </row>
    <row r="8884" spans="18:18" ht="14.25">
      <c r="R8884" s="20">
        <v>8857</v>
      </c>
    </row>
    <row r="8885" spans="18:18" ht="14.25">
      <c r="R8885" s="20">
        <v>8858</v>
      </c>
    </row>
    <row r="8886" spans="18:18" ht="14.25">
      <c r="R8886" s="20">
        <v>8859</v>
      </c>
    </row>
    <row r="8887" spans="18:18" ht="14.25">
      <c r="R8887" s="20">
        <v>8860</v>
      </c>
    </row>
    <row r="8888" spans="18:18" ht="14.25">
      <c r="R8888" s="20">
        <v>8861</v>
      </c>
    </row>
    <row r="8889" spans="18:18" ht="14.25">
      <c r="R8889" s="20">
        <v>8862</v>
      </c>
    </row>
    <row r="8890" spans="18:18" ht="14.25">
      <c r="R8890" s="20">
        <v>8863</v>
      </c>
    </row>
    <row r="8891" spans="18:18" ht="14.25">
      <c r="R8891" s="20">
        <v>8864</v>
      </c>
    </row>
    <row r="8892" spans="18:18" ht="14.25">
      <c r="R8892" s="20">
        <v>8865</v>
      </c>
    </row>
    <row r="8893" spans="18:18" ht="14.25">
      <c r="R8893" s="20">
        <v>8866</v>
      </c>
    </row>
    <row r="8894" spans="18:18" ht="14.25">
      <c r="R8894" s="20">
        <v>8867</v>
      </c>
    </row>
    <row r="8895" spans="18:18" ht="14.25">
      <c r="R8895" s="20">
        <v>8868</v>
      </c>
    </row>
    <row r="8896" spans="18:18" ht="14.25">
      <c r="R8896" s="20">
        <v>8869</v>
      </c>
    </row>
    <row r="8897" spans="18:18" ht="14.25">
      <c r="R8897" s="20">
        <v>8870</v>
      </c>
    </row>
    <row r="8898" spans="18:18" ht="14.25">
      <c r="R8898" s="20">
        <v>8871</v>
      </c>
    </row>
    <row r="8899" spans="18:18" ht="14.25">
      <c r="R8899" s="20">
        <v>8872</v>
      </c>
    </row>
    <row r="8900" spans="18:18" ht="14.25">
      <c r="R8900" s="20">
        <v>8873</v>
      </c>
    </row>
    <row r="8901" spans="18:18" ht="14.25">
      <c r="R8901" s="20">
        <v>8874</v>
      </c>
    </row>
    <row r="8902" spans="18:18" ht="14.25">
      <c r="R8902" s="20">
        <v>8875</v>
      </c>
    </row>
    <row r="8903" spans="18:18" ht="14.25">
      <c r="R8903" s="20">
        <v>8876</v>
      </c>
    </row>
    <row r="8904" spans="18:18" ht="14.25">
      <c r="R8904" s="20">
        <v>8877</v>
      </c>
    </row>
    <row r="8905" spans="18:18" ht="14.25">
      <c r="R8905" s="20">
        <v>8878</v>
      </c>
    </row>
    <row r="8906" spans="18:18" ht="14.25">
      <c r="R8906" s="20">
        <v>8879</v>
      </c>
    </row>
    <row r="8907" spans="18:18" ht="14.25">
      <c r="R8907" s="20">
        <v>8880</v>
      </c>
    </row>
    <row r="8908" spans="18:18" ht="14.25">
      <c r="R8908" s="20">
        <v>8881</v>
      </c>
    </row>
    <row r="8909" spans="18:18" ht="14.25">
      <c r="R8909" s="20">
        <v>8882</v>
      </c>
    </row>
    <row r="8910" spans="18:18" ht="14.25">
      <c r="R8910" s="20">
        <v>8883</v>
      </c>
    </row>
    <row r="8911" spans="18:18" ht="14.25">
      <c r="R8911" s="20">
        <v>8884</v>
      </c>
    </row>
    <row r="8912" spans="18:18" ht="14.25">
      <c r="R8912" s="20">
        <v>8885</v>
      </c>
    </row>
    <row r="8913" spans="18:18" ht="14.25">
      <c r="R8913" s="20">
        <v>8886</v>
      </c>
    </row>
    <row r="8914" spans="18:18" ht="14.25">
      <c r="R8914" s="20">
        <v>8887</v>
      </c>
    </row>
    <row r="8915" spans="18:18" ht="14.25">
      <c r="R8915" s="20">
        <v>8888</v>
      </c>
    </row>
    <row r="8916" spans="18:18" ht="14.25">
      <c r="R8916" s="20">
        <v>8889</v>
      </c>
    </row>
    <row r="8917" spans="18:18" ht="14.25">
      <c r="R8917" s="20">
        <v>8890</v>
      </c>
    </row>
    <row r="8918" spans="18:18" ht="14.25">
      <c r="R8918" s="20">
        <v>8891</v>
      </c>
    </row>
    <row r="8919" spans="18:18" ht="14.25">
      <c r="R8919" s="20">
        <v>8892</v>
      </c>
    </row>
    <row r="8920" spans="18:18" ht="14.25">
      <c r="R8920" s="20">
        <v>8893</v>
      </c>
    </row>
    <row r="8921" spans="18:18" ht="14.25">
      <c r="R8921" s="20">
        <v>8894</v>
      </c>
    </row>
    <row r="8922" spans="18:18" ht="14.25">
      <c r="R8922" s="20">
        <v>8895</v>
      </c>
    </row>
    <row r="8923" spans="18:18" ht="14.25">
      <c r="R8923" s="20">
        <v>8896</v>
      </c>
    </row>
    <row r="8924" spans="18:18" ht="14.25">
      <c r="R8924" s="20">
        <v>8897</v>
      </c>
    </row>
    <row r="8925" spans="18:18" ht="14.25">
      <c r="R8925" s="20">
        <v>8898</v>
      </c>
    </row>
    <row r="8926" spans="18:18" ht="14.25">
      <c r="R8926" s="20">
        <v>8899</v>
      </c>
    </row>
    <row r="8927" spans="18:18" ht="14.25">
      <c r="R8927" s="20">
        <v>8900</v>
      </c>
    </row>
    <row r="8928" spans="18:18" ht="14.25">
      <c r="R8928" s="20">
        <v>8901</v>
      </c>
    </row>
    <row r="8929" spans="18:18" ht="14.25">
      <c r="R8929" s="20">
        <v>8902</v>
      </c>
    </row>
    <row r="8930" spans="18:18" ht="14.25">
      <c r="R8930" s="20">
        <v>8903</v>
      </c>
    </row>
    <row r="8931" spans="18:18" ht="14.25">
      <c r="R8931" s="20">
        <v>8904</v>
      </c>
    </row>
    <row r="8932" spans="18:18" ht="14.25">
      <c r="R8932" s="20">
        <v>8905</v>
      </c>
    </row>
    <row r="8933" spans="18:18" ht="14.25">
      <c r="R8933" s="20">
        <v>8906</v>
      </c>
    </row>
    <row r="8934" spans="18:18" ht="14.25">
      <c r="R8934" s="20">
        <v>8907</v>
      </c>
    </row>
    <row r="8935" spans="18:18" ht="14.25">
      <c r="R8935" s="20">
        <v>8908</v>
      </c>
    </row>
    <row r="8936" spans="18:18" ht="14.25">
      <c r="R8936" s="20">
        <v>8909</v>
      </c>
    </row>
    <row r="8937" spans="18:18" ht="14.25">
      <c r="R8937" s="20">
        <v>8910</v>
      </c>
    </row>
    <row r="8938" spans="18:18" ht="14.25">
      <c r="R8938" s="20">
        <v>8911</v>
      </c>
    </row>
    <row r="8939" spans="18:18" ht="14.25">
      <c r="R8939" s="20">
        <v>8912</v>
      </c>
    </row>
    <row r="8940" spans="18:18" ht="14.25">
      <c r="R8940" s="20">
        <v>8913</v>
      </c>
    </row>
    <row r="8941" spans="18:18" ht="14.25">
      <c r="R8941" s="20">
        <v>8914</v>
      </c>
    </row>
    <row r="8942" spans="18:18" ht="14.25">
      <c r="R8942" s="20">
        <v>8915</v>
      </c>
    </row>
    <row r="8943" spans="18:18" ht="14.25">
      <c r="R8943" s="20">
        <v>8916</v>
      </c>
    </row>
    <row r="8944" spans="18:18" ht="14.25">
      <c r="R8944" s="20">
        <v>8917</v>
      </c>
    </row>
    <row r="8945" spans="18:18" ht="14.25">
      <c r="R8945" s="20">
        <v>8918</v>
      </c>
    </row>
    <row r="8946" spans="18:18" ht="14.25">
      <c r="R8946" s="20">
        <v>8919</v>
      </c>
    </row>
    <row r="8947" spans="18:18" ht="14.25">
      <c r="R8947" s="20">
        <v>8920</v>
      </c>
    </row>
    <row r="8948" spans="18:18" ht="14.25">
      <c r="R8948" s="20">
        <v>8921</v>
      </c>
    </row>
    <row r="8949" spans="18:18" ht="14.25">
      <c r="R8949" s="20">
        <v>8922</v>
      </c>
    </row>
    <row r="8950" spans="18:18" ht="14.25">
      <c r="R8950" s="20">
        <v>8923</v>
      </c>
    </row>
    <row r="8951" spans="18:18" ht="14.25">
      <c r="R8951" s="20">
        <v>8924</v>
      </c>
    </row>
    <row r="8952" spans="18:18" ht="14.25">
      <c r="R8952" s="20">
        <v>8925</v>
      </c>
    </row>
    <row r="8953" spans="18:18" ht="14.25">
      <c r="R8953" s="20">
        <v>8926</v>
      </c>
    </row>
    <row r="8954" spans="18:18" ht="14.25">
      <c r="R8954" s="20">
        <v>8927</v>
      </c>
    </row>
    <row r="8955" spans="18:18" ht="14.25">
      <c r="R8955" s="20">
        <v>8928</v>
      </c>
    </row>
    <row r="8956" spans="18:18" ht="14.25">
      <c r="R8956" s="20">
        <v>8929</v>
      </c>
    </row>
    <row r="8957" spans="18:18" ht="14.25">
      <c r="R8957" s="20">
        <v>8930</v>
      </c>
    </row>
    <row r="8958" spans="18:18" ht="14.25">
      <c r="R8958" s="20">
        <v>8931</v>
      </c>
    </row>
    <row r="8959" spans="18:18" ht="14.25">
      <c r="R8959" s="20">
        <v>8932</v>
      </c>
    </row>
    <row r="8960" spans="18:18" ht="14.25">
      <c r="R8960" s="20">
        <v>8933</v>
      </c>
    </row>
    <row r="8961" spans="18:18" ht="14.25">
      <c r="R8961" s="20">
        <v>8934</v>
      </c>
    </row>
    <row r="8962" spans="18:18" ht="14.25">
      <c r="R8962" s="20">
        <v>8935</v>
      </c>
    </row>
    <row r="8963" spans="18:18" ht="14.25">
      <c r="R8963" s="20">
        <v>8936</v>
      </c>
    </row>
    <row r="8964" spans="18:18" ht="14.25">
      <c r="R8964" s="20">
        <v>8937</v>
      </c>
    </row>
    <row r="8965" spans="18:18" ht="14.25">
      <c r="R8965" s="20">
        <v>8938</v>
      </c>
    </row>
    <row r="8966" spans="18:18" ht="14.25">
      <c r="R8966" s="20">
        <v>8939</v>
      </c>
    </row>
    <row r="8967" spans="18:18" ht="14.25">
      <c r="R8967" s="20">
        <v>8940</v>
      </c>
    </row>
    <row r="8968" spans="18:18" ht="14.25">
      <c r="R8968" s="20">
        <v>8941</v>
      </c>
    </row>
    <row r="8969" spans="18:18" ht="14.25">
      <c r="R8969" s="20">
        <v>8942</v>
      </c>
    </row>
    <row r="8970" spans="18:18" ht="14.25">
      <c r="R8970" s="20">
        <v>8943</v>
      </c>
    </row>
    <row r="8971" spans="18:18" ht="14.25">
      <c r="R8971" s="20">
        <v>8944</v>
      </c>
    </row>
    <row r="8972" spans="18:18" ht="14.25">
      <c r="R8972" s="20">
        <v>8945</v>
      </c>
    </row>
    <row r="8973" spans="18:18" ht="14.25">
      <c r="R8973" s="20">
        <v>8946</v>
      </c>
    </row>
    <row r="8974" spans="18:18" ht="14.25">
      <c r="R8974" s="20">
        <v>8947</v>
      </c>
    </row>
    <row r="8975" spans="18:18" ht="14.25">
      <c r="R8975" s="20">
        <v>8948</v>
      </c>
    </row>
    <row r="8976" spans="18:18" ht="14.25">
      <c r="R8976" s="20">
        <v>8949</v>
      </c>
    </row>
    <row r="8977" spans="18:18" ht="14.25">
      <c r="R8977" s="20">
        <v>8950</v>
      </c>
    </row>
    <row r="8978" spans="18:18" ht="14.25">
      <c r="R8978" s="20">
        <v>8951</v>
      </c>
    </row>
    <row r="8979" spans="18:18" ht="14.25">
      <c r="R8979" s="20">
        <v>8952</v>
      </c>
    </row>
    <row r="8980" spans="18:18" ht="14.25">
      <c r="R8980" s="20">
        <v>8953</v>
      </c>
    </row>
    <row r="8981" spans="18:18" ht="14.25">
      <c r="R8981" s="20">
        <v>8954</v>
      </c>
    </row>
    <row r="8982" spans="18:18" ht="14.25">
      <c r="R8982" s="20">
        <v>8955</v>
      </c>
    </row>
    <row r="8983" spans="18:18" ht="14.25">
      <c r="R8983" s="20">
        <v>8956</v>
      </c>
    </row>
    <row r="8984" spans="18:18" ht="14.25">
      <c r="R8984" s="20">
        <v>8957</v>
      </c>
    </row>
    <row r="8985" spans="18:18" ht="14.25">
      <c r="R8985" s="20">
        <v>8958</v>
      </c>
    </row>
    <row r="8986" spans="18:18" ht="14.25">
      <c r="R8986" s="20">
        <v>8959</v>
      </c>
    </row>
    <row r="8987" spans="18:18" ht="14.25">
      <c r="R8987" s="20">
        <v>8960</v>
      </c>
    </row>
    <row r="8988" spans="18:18" ht="14.25">
      <c r="R8988" s="20">
        <v>8961</v>
      </c>
    </row>
    <row r="8989" spans="18:18" ht="14.25">
      <c r="R8989" s="20">
        <v>8962</v>
      </c>
    </row>
    <row r="8990" spans="18:18" ht="14.25">
      <c r="R8990" s="20">
        <v>8963</v>
      </c>
    </row>
    <row r="8991" spans="18:18" ht="14.25">
      <c r="R8991" s="20">
        <v>8964</v>
      </c>
    </row>
    <row r="8992" spans="18:18" ht="14.25">
      <c r="R8992" s="20">
        <v>8965</v>
      </c>
    </row>
    <row r="8993" spans="18:18" ht="14.25">
      <c r="R8993" s="20">
        <v>8966</v>
      </c>
    </row>
    <row r="8994" spans="18:18" ht="14.25">
      <c r="R8994" s="20">
        <v>8967</v>
      </c>
    </row>
    <row r="8995" spans="18:18" ht="14.25">
      <c r="R8995" s="20">
        <v>8968</v>
      </c>
    </row>
    <row r="8996" spans="18:18" ht="14.25">
      <c r="R8996" s="20">
        <v>8969</v>
      </c>
    </row>
    <row r="8997" spans="18:18" ht="14.25">
      <c r="R8997" s="20">
        <v>8970</v>
      </c>
    </row>
    <row r="8998" spans="18:18" ht="14.25">
      <c r="R8998" s="20">
        <v>8971</v>
      </c>
    </row>
    <row r="8999" spans="18:18" ht="14.25">
      <c r="R8999" s="20">
        <v>8972</v>
      </c>
    </row>
    <row r="9000" spans="18:18" ht="14.25">
      <c r="R9000" s="20">
        <v>8973</v>
      </c>
    </row>
    <row r="9001" spans="18:18" ht="14.25">
      <c r="R9001" s="20">
        <v>8974</v>
      </c>
    </row>
    <row r="9002" spans="18:18" ht="14.25">
      <c r="R9002" s="20">
        <v>8975</v>
      </c>
    </row>
    <row r="9003" spans="18:18" ht="14.25">
      <c r="R9003" s="20">
        <v>8976</v>
      </c>
    </row>
    <row r="9004" spans="18:18" ht="14.25">
      <c r="R9004" s="20">
        <v>8977</v>
      </c>
    </row>
    <row r="9005" spans="18:18" ht="14.25">
      <c r="R9005" s="20">
        <v>8978</v>
      </c>
    </row>
    <row r="9006" spans="18:18" ht="14.25">
      <c r="R9006" s="20">
        <v>8979</v>
      </c>
    </row>
    <row r="9007" spans="18:18" ht="14.25">
      <c r="R9007" s="20">
        <v>8980</v>
      </c>
    </row>
    <row r="9008" spans="18:18" ht="14.25">
      <c r="R9008" s="20">
        <v>8981</v>
      </c>
    </row>
    <row r="9009" spans="18:18" ht="14.25">
      <c r="R9009" s="20">
        <v>8982</v>
      </c>
    </row>
    <row r="9010" spans="18:18" ht="14.25">
      <c r="R9010" s="20">
        <v>8983</v>
      </c>
    </row>
    <row r="9011" spans="18:18" ht="14.25">
      <c r="R9011" s="20">
        <v>8984</v>
      </c>
    </row>
    <row r="9012" spans="18:18" ht="14.25">
      <c r="R9012" s="20">
        <v>8985</v>
      </c>
    </row>
    <row r="9013" spans="18:18" ht="14.25">
      <c r="R9013" s="20">
        <v>8986</v>
      </c>
    </row>
    <row r="9014" spans="18:18" ht="14.25">
      <c r="R9014" s="20">
        <v>8987</v>
      </c>
    </row>
    <row r="9015" spans="18:18" ht="14.25">
      <c r="R9015" s="20">
        <v>8988</v>
      </c>
    </row>
    <row r="9016" spans="18:18" ht="14.25">
      <c r="R9016" s="20">
        <v>8989</v>
      </c>
    </row>
    <row r="9017" spans="18:18" ht="14.25">
      <c r="R9017" s="20">
        <v>8990</v>
      </c>
    </row>
    <row r="9018" spans="18:18" ht="14.25">
      <c r="R9018" s="20">
        <v>8991</v>
      </c>
    </row>
    <row r="9019" spans="18:18" ht="14.25">
      <c r="R9019" s="20">
        <v>8992</v>
      </c>
    </row>
    <row r="9020" spans="18:18" ht="14.25">
      <c r="R9020" s="20">
        <v>8993</v>
      </c>
    </row>
    <row r="9021" spans="18:18" ht="14.25">
      <c r="R9021" s="20">
        <v>8994</v>
      </c>
    </row>
    <row r="9022" spans="18:18" ht="14.25">
      <c r="R9022" s="20">
        <v>8995</v>
      </c>
    </row>
    <row r="9023" spans="18:18" ht="14.25">
      <c r="R9023" s="20">
        <v>8996</v>
      </c>
    </row>
    <row r="9024" spans="18:18" ht="14.25">
      <c r="R9024" s="20">
        <v>8997</v>
      </c>
    </row>
    <row r="9025" spans="18:18" ht="14.25">
      <c r="R9025" s="20">
        <v>8998</v>
      </c>
    </row>
    <row r="9026" spans="18:18" ht="14.25">
      <c r="R9026" s="20">
        <v>8999</v>
      </c>
    </row>
    <row r="9027" spans="18:18" ht="14.25">
      <c r="R9027" s="20">
        <v>9000</v>
      </c>
    </row>
    <row r="9028" spans="18:18" ht="14.25">
      <c r="R9028" s="20">
        <v>9001</v>
      </c>
    </row>
    <row r="9029" spans="18:18" ht="14.25">
      <c r="R9029" s="20">
        <v>9002</v>
      </c>
    </row>
    <row r="9030" spans="18:18" ht="14.25">
      <c r="R9030" s="20">
        <v>9003</v>
      </c>
    </row>
    <row r="9031" spans="18:18" ht="14.25">
      <c r="R9031" s="20">
        <v>9004</v>
      </c>
    </row>
    <row r="9032" spans="18:18" ht="14.25">
      <c r="R9032" s="20">
        <v>9005</v>
      </c>
    </row>
    <row r="9033" spans="18:18" ht="14.25">
      <c r="R9033" s="20">
        <v>9006</v>
      </c>
    </row>
    <row r="9034" spans="18:18" ht="14.25">
      <c r="R9034" s="20">
        <v>9007</v>
      </c>
    </row>
    <row r="9035" spans="18:18" ht="14.25">
      <c r="R9035" s="20">
        <v>9008</v>
      </c>
    </row>
    <row r="9036" spans="18:18" ht="14.25">
      <c r="R9036" s="20">
        <v>9009</v>
      </c>
    </row>
    <row r="9037" spans="18:18" ht="14.25">
      <c r="R9037" s="20">
        <v>9010</v>
      </c>
    </row>
    <row r="9038" spans="18:18" ht="14.25">
      <c r="R9038" s="20">
        <v>9011</v>
      </c>
    </row>
    <row r="9039" spans="18:18" ht="14.25">
      <c r="R9039" s="20">
        <v>9012</v>
      </c>
    </row>
    <row r="9040" spans="18:18" ht="14.25">
      <c r="R9040" s="20">
        <v>9013</v>
      </c>
    </row>
    <row r="9041" spans="18:18" ht="14.25">
      <c r="R9041" s="20">
        <v>9014</v>
      </c>
    </row>
    <row r="9042" spans="18:18" ht="14.25">
      <c r="R9042" s="20">
        <v>9015</v>
      </c>
    </row>
    <row r="9043" spans="18:18" ht="14.25">
      <c r="R9043" s="20">
        <v>9016</v>
      </c>
    </row>
    <row r="9044" spans="18:18" ht="14.25">
      <c r="R9044" s="20">
        <v>9017</v>
      </c>
    </row>
    <row r="9045" spans="18:18" ht="14.25">
      <c r="R9045" s="20">
        <v>9018</v>
      </c>
    </row>
    <row r="9046" spans="18:18" ht="14.25">
      <c r="R9046" s="20">
        <v>9019</v>
      </c>
    </row>
    <row r="9047" spans="18:18" ht="14.25">
      <c r="R9047" s="20">
        <v>9020</v>
      </c>
    </row>
    <row r="9048" spans="18:18" ht="14.25">
      <c r="R9048" s="20">
        <v>9021</v>
      </c>
    </row>
    <row r="9049" spans="18:18" ht="14.25">
      <c r="R9049" s="20">
        <v>9022</v>
      </c>
    </row>
    <row r="9050" spans="18:18" ht="14.25">
      <c r="R9050" s="20">
        <v>9023</v>
      </c>
    </row>
    <row r="9051" spans="18:18" ht="14.25">
      <c r="R9051" s="20">
        <v>9024</v>
      </c>
    </row>
    <row r="9052" spans="18:18" ht="14.25">
      <c r="R9052" s="20">
        <v>9025</v>
      </c>
    </row>
    <row r="9053" spans="18:18" ht="14.25">
      <c r="R9053" s="20">
        <v>9026</v>
      </c>
    </row>
    <row r="9054" spans="18:18" ht="14.25">
      <c r="R9054" s="20">
        <v>9027</v>
      </c>
    </row>
    <row r="9055" spans="18:18" ht="14.25">
      <c r="R9055" s="20">
        <v>9028</v>
      </c>
    </row>
    <row r="9056" spans="18:18" ht="14.25">
      <c r="R9056" s="20">
        <v>9029</v>
      </c>
    </row>
    <row r="9057" spans="18:18" ht="14.25">
      <c r="R9057" s="20">
        <v>9030</v>
      </c>
    </row>
    <row r="9058" spans="18:18" ht="14.25">
      <c r="R9058" s="20">
        <v>9031</v>
      </c>
    </row>
    <row r="9059" spans="18:18" ht="14.25">
      <c r="R9059" s="20">
        <v>9032</v>
      </c>
    </row>
    <row r="9060" spans="18:18" ht="14.25">
      <c r="R9060" s="20">
        <v>9033</v>
      </c>
    </row>
    <row r="9061" spans="18:18" ht="14.25">
      <c r="R9061" s="20">
        <v>9034</v>
      </c>
    </row>
    <row r="9062" spans="18:18" ht="14.25">
      <c r="R9062" s="20">
        <v>9035</v>
      </c>
    </row>
    <row r="9063" spans="18:18" ht="14.25">
      <c r="R9063" s="20">
        <v>9036</v>
      </c>
    </row>
    <row r="9064" spans="18:18" ht="14.25">
      <c r="R9064" s="20">
        <v>9037</v>
      </c>
    </row>
    <row r="9065" spans="18:18" ht="14.25">
      <c r="R9065" s="20">
        <v>9038</v>
      </c>
    </row>
    <row r="9066" spans="18:18" ht="14.25">
      <c r="R9066" s="20">
        <v>9039</v>
      </c>
    </row>
    <row r="9067" spans="18:18" ht="14.25">
      <c r="R9067" s="20">
        <v>9040</v>
      </c>
    </row>
    <row r="9068" spans="18:18" ht="14.25">
      <c r="R9068" s="20">
        <v>9041</v>
      </c>
    </row>
    <row r="9069" spans="18:18" ht="14.25">
      <c r="R9069" s="20">
        <v>9042</v>
      </c>
    </row>
    <row r="9070" spans="18:18" ht="14.25">
      <c r="R9070" s="20">
        <v>9043</v>
      </c>
    </row>
    <row r="9071" spans="18:18" ht="14.25">
      <c r="R9071" s="20">
        <v>9044</v>
      </c>
    </row>
    <row r="9072" spans="18:18" ht="14.25">
      <c r="R9072" s="20">
        <v>9045</v>
      </c>
    </row>
    <row r="9073" spans="18:18" ht="14.25">
      <c r="R9073" s="20">
        <v>9046</v>
      </c>
    </row>
    <row r="9074" spans="18:18" ht="14.25">
      <c r="R9074" s="20">
        <v>9047</v>
      </c>
    </row>
    <row r="9075" spans="18:18" ht="14.25">
      <c r="R9075" s="20">
        <v>9048</v>
      </c>
    </row>
    <row r="9076" spans="18:18" ht="14.25">
      <c r="R9076" s="20">
        <v>9049</v>
      </c>
    </row>
    <row r="9077" spans="18:18" ht="14.25">
      <c r="R9077" s="20">
        <v>9050</v>
      </c>
    </row>
    <row r="9078" spans="18:18" ht="14.25">
      <c r="R9078" s="20">
        <v>9051</v>
      </c>
    </row>
    <row r="9079" spans="18:18" ht="14.25">
      <c r="R9079" s="20">
        <v>9052</v>
      </c>
    </row>
    <row r="9080" spans="18:18" ht="14.25">
      <c r="R9080" s="20">
        <v>9053</v>
      </c>
    </row>
    <row r="9081" spans="18:18" ht="14.25">
      <c r="R9081" s="20">
        <v>9054</v>
      </c>
    </row>
    <row r="9082" spans="18:18" ht="14.25">
      <c r="R9082" s="20">
        <v>9055</v>
      </c>
    </row>
    <row r="9083" spans="18:18" ht="14.25">
      <c r="R9083" s="20">
        <v>9056</v>
      </c>
    </row>
    <row r="9084" spans="18:18" ht="14.25">
      <c r="R9084" s="20">
        <v>9057</v>
      </c>
    </row>
    <row r="9085" spans="18:18" ht="14.25">
      <c r="R9085" s="20">
        <v>9058</v>
      </c>
    </row>
    <row r="9086" spans="18:18" ht="14.25">
      <c r="R9086" s="20">
        <v>9059</v>
      </c>
    </row>
    <row r="9087" spans="18:18" ht="14.25">
      <c r="R9087" s="20">
        <v>9060</v>
      </c>
    </row>
    <row r="9088" spans="18:18" ht="14.25">
      <c r="R9088" s="20">
        <v>9061</v>
      </c>
    </row>
    <row r="9089" spans="18:18" ht="14.25">
      <c r="R9089" s="20">
        <v>9062</v>
      </c>
    </row>
    <row r="9090" spans="18:18" ht="14.25">
      <c r="R9090" s="20">
        <v>9063</v>
      </c>
    </row>
    <row r="9091" spans="18:18" ht="14.25">
      <c r="R9091" s="20">
        <v>9064</v>
      </c>
    </row>
    <row r="9092" spans="18:18" ht="14.25">
      <c r="R9092" s="20">
        <v>9065</v>
      </c>
    </row>
    <row r="9093" spans="18:18" ht="14.25">
      <c r="R9093" s="20">
        <v>9066</v>
      </c>
    </row>
    <row r="9094" spans="18:18" ht="14.25">
      <c r="R9094" s="20">
        <v>9067</v>
      </c>
    </row>
    <row r="9095" spans="18:18" ht="14.25">
      <c r="R9095" s="20">
        <v>9068</v>
      </c>
    </row>
    <row r="9096" spans="18:18" ht="14.25">
      <c r="R9096" s="20">
        <v>9069</v>
      </c>
    </row>
    <row r="9097" spans="18:18" ht="14.25">
      <c r="R9097" s="20">
        <v>9070</v>
      </c>
    </row>
    <row r="9098" spans="18:18" ht="14.25">
      <c r="R9098" s="20">
        <v>9071</v>
      </c>
    </row>
    <row r="9099" spans="18:18" ht="14.25">
      <c r="R9099" s="20">
        <v>9072</v>
      </c>
    </row>
    <row r="9100" spans="18:18" ht="14.25">
      <c r="R9100" s="20">
        <v>9073</v>
      </c>
    </row>
    <row r="9101" spans="18:18" ht="14.25">
      <c r="R9101" s="20">
        <v>9074</v>
      </c>
    </row>
    <row r="9102" spans="18:18" ht="14.25">
      <c r="R9102" s="20">
        <v>9075</v>
      </c>
    </row>
    <row r="9103" spans="18:18" ht="14.25">
      <c r="R9103" s="20">
        <v>9076</v>
      </c>
    </row>
    <row r="9104" spans="18:18" ht="14.25">
      <c r="R9104" s="20">
        <v>9077</v>
      </c>
    </row>
    <row r="9105" spans="18:18" ht="14.25">
      <c r="R9105" s="20">
        <v>9078</v>
      </c>
    </row>
    <row r="9106" spans="18:18" ht="14.25">
      <c r="R9106" s="20">
        <v>9079</v>
      </c>
    </row>
    <row r="9107" spans="18:18" ht="14.25">
      <c r="R9107" s="20">
        <v>9080</v>
      </c>
    </row>
    <row r="9108" spans="18:18" ht="14.25">
      <c r="R9108" s="20">
        <v>9081</v>
      </c>
    </row>
    <row r="9109" spans="18:18" ht="14.25">
      <c r="R9109" s="20">
        <v>9082</v>
      </c>
    </row>
    <row r="9110" spans="18:18" ht="14.25">
      <c r="R9110" s="20">
        <v>9083</v>
      </c>
    </row>
    <row r="9111" spans="18:18" ht="14.25">
      <c r="R9111" s="20">
        <v>9084</v>
      </c>
    </row>
    <row r="9112" spans="18:18" ht="14.25">
      <c r="R9112" s="20">
        <v>9085</v>
      </c>
    </row>
    <row r="9113" spans="18:18" ht="14.25">
      <c r="R9113" s="20">
        <v>9086</v>
      </c>
    </row>
    <row r="9114" spans="18:18" ht="14.25">
      <c r="R9114" s="20">
        <v>9087</v>
      </c>
    </row>
    <row r="9115" spans="18:18" ht="14.25">
      <c r="R9115" s="20">
        <v>9088</v>
      </c>
    </row>
    <row r="9116" spans="18:18" ht="14.25">
      <c r="R9116" s="20">
        <v>9089</v>
      </c>
    </row>
    <row r="9117" spans="18:18" ht="14.25">
      <c r="R9117" s="20">
        <v>9090</v>
      </c>
    </row>
    <row r="9118" spans="18:18" ht="14.25">
      <c r="R9118" s="20">
        <v>9091</v>
      </c>
    </row>
    <row r="9119" spans="18:18" ht="14.25">
      <c r="R9119" s="20">
        <v>9092</v>
      </c>
    </row>
    <row r="9120" spans="18:18" ht="14.25">
      <c r="R9120" s="20">
        <v>9093</v>
      </c>
    </row>
    <row r="9121" spans="18:18" ht="14.25">
      <c r="R9121" s="20">
        <v>9094</v>
      </c>
    </row>
    <row r="9122" spans="18:18" ht="14.25">
      <c r="R9122" s="20">
        <v>9095</v>
      </c>
    </row>
    <row r="9123" spans="18:18" ht="14.25">
      <c r="R9123" s="20">
        <v>9096</v>
      </c>
    </row>
    <row r="9124" spans="18:18" ht="14.25">
      <c r="R9124" s="20">
        <v>9097</v>
      </c>
    </row>
    <row r="9125" spans="18:18" ht="14.25">
      <c r="R9125" s="20">
        <v>9098</v>
      </c>
    </row>
    <row r="9126" spans="18:18" ht="14.25">
      <c r="R9126" s="20">
        <v>9099</v>
      </c>
    </row>
    <row r="9127" spans="18:18" ht="14.25">
      <c r="R9127" s="20">
        <v>9100</v>
      </c>
    </row>
    <row r="9128" spans="18:18" ht="14.25">
      <c r="R9128" s="20">
        <v>9101</v>
      </c>
    </row>
    <row r="9129" spans="18:18" ht="14.25">
      <c r="R9129" s="20">
        <v>9102</v>
      </c>
    </row>
    <row r="9130" spans="18:18" ht="14.25">
      <c r="R9130" s="20">
        <v>9103</v>
      </c>
    </row>
    <row r="9131" spans="18:18" ht="14.25">
      <c r="R9131" s="20">
        <v>9104</v>
      </c>
    </row>
    <row r="9132" spans="18:18" ht="14.25">
      <c r="R9132" s="20">
        <v>9105</v>
      </c>
    </row>
    <row r="9133" spans="18:18" ht="14.25">
      <c r="R9133" s="20">
        <v>9106</v>
      </c>
    </row>
    <row r="9134" spans="18:18" ht="14.25">
      <c r="R9134" s="20">
        <v>9107</v>
      </c>
    </row>
    <row r="9135" spans="18:18" ht="14.25">
      <c r="R9135" s="20">
        <v>9108</v>
      </c>
    </row>
    <row r="9136" spans="18:18" ht="14.25">
      <c r="R9136" s="20">
        <v>9109</v>
      </c>
    </row>
    <row r="9137" spans="18:18" ht="14.25">
      <c r="R9137" s="20">
        <v>9110</v>
      </c>
    </row>
    <row r="9138" spans="18:18" ht="14.25">
      <c r="R9138" s="20">
        <v>9111</v>
      </c>
    </row>
    <row r="9139" spans="18:18" ht="14.25">
      <c r="R9139" s="20">
        <v>9112</v>
      </c>
    </row>
    <row r="9140" spans="18:18" ht="14.25">
      <c r="R9140" s="20">
        <v>9113</v>
      </c>
    </row>
    <row r="9141" spans="18:18" ht="14.25">
      <c r="R9141" s="20">
        <v>9114</v>
      </c>
    </row>
    <row r="9142" spans="18:18" ht="14.25">
      <c r="R9142" s="20">
        <v>9115</v>
      </c>
    </row>
    <row r="9143" spans="18:18" ht="14.25">
      <c r="R9143" s="20">
        <v>9116</v>
      </c>
    </row>
    <row r="9144" spans="18:18" ht="14.25">
      <c r="R9144" s="20">
        <v>9117</v>
      </c>
    </row>
    <row r="9145" spans="18:18" ht="14.25">
      <c r="R9145" s="20">
        <v>9118</v>
      </c>
    </row>
    <row r="9146" spans="18:18" ht="14.25">
      <c r="R9146" s="20">
        <v>9119</v>
      </c>
    </row>
    <row r="9147" spans="18:18" ht="14.25">
      <c r="R9147" s="20">
        <v>9120</v>
      </c>
    </row>
    <row r="9148" spans="18:18" ht="14.25">
      <c r="R9148" s="20">
        <v>9121</v>
      </c>
    </row>
    <row r="9149" spans="18:18" ht="14.25">
      <c r="R9149" s="20">
        <v>9122</v>
      </c>
    </row>
    <row r="9150" spans="18:18" ht="14.25">
      <c r="R9150" s="20">
        <v>9123</v>
      </c>
    </row>
    <row r="9151" spans="18:18" ht="14.25">
      <c r="R9151" s="20">
        <v>9124</v>
      </c>
    </row>
    <row r="9152" spans="18:18" ht="14.25">
      <c r="R9152" s="20">
        <v>9125</v>
      </c>
    </row>
    <row r="9153" spans="18:18" ht="14.25">
      <c r="R9153" s="20">
        <v>9126</v>
      </c>
    </row>
    <row r="9154" spans="18:18" ht="14.25">
      <c r="R9154" s="20">
        <v>9127</v>
      </c>
    </row>
    <row r="9155" spans="18:18" ht="14.25">
      <c r="R9155" s="20">
        <v>9128</v>
      </c>
    </row>
    <row r="9156" spans="18:18" ht="14.25">
      <c r="R9156" s="20">
        <v>9129</v>
      </c>
    </row>
    <row r="9157" spans="18:18" ht="14.25">
      <c r="R9157" s="20">
        <v>9130</v>
      </c>
    </row>
    <row r="9158" spans="18:18" ht="14.25">
      <c r="R9158" s="20">
        <v>9131</v>
      </c>
    </row>
    <row r="9159" spans="18:18" ht="14.25">
      <c r="R9159" s="20">
        <v>9132</v>
      </c>
    </row>
    <row r="9160" spans="18:18" ht="14.25">
      <c r="R9160" s="20">
        <v>9133</v>
      </c>
    </row>
    <row r="9161" spans="18:18" ht="14.25">
      <c r="R9161" s="20">
        <v>9134</v>
      </c>
    </row>
    <row r="9162" spans="18:18" ht="14.25">
      <c r="R9162" s="20">
        <v>9135</v>
      </c>
    </row>
    <row r="9163" spans="18:18" ht="14.25">
      <c r="R9163" s="20">
        <v>9136</v>
      </c>
    </row>
    <row r="9164" spans="18:18" ht="14.25">
      <c r="R9164" s="20">
        <v>9137</v>
      </c>
    </row>
    <row r="9165" spans="18:18" ht="14.25">
      <c r="R9165" s="20">
        <v>9138</v>
      </c>
    </row>
    <row r="9166" spans="18:18" ht="14.25">
      <c r="R9166" s="20">
        <v>9139</v>
      </c>
    </row>
    <row r="9167" spans="18:18" ht="14.25">
      <c r="R9167" s="20">
        <v>9140</v>
      </c>
    </row>
    <row r="9168" spans="18:18" ht="14.25">
      <c r="R9168" s="20">
        <v>9141</v>
      </c>
    </row>
    <row r="9169" spans="18:18" ht="14.25">
      <c r="R9169" s="20">
        <v>9142</v>
      </c>
    </row>
    <row r="9170" spans="18:18" ht="14.25">
      <c r="R9170" s="20">
        <v>9143</v>
      </c>
    </row>
    <row r="9171" spans="18:18" ht="14.25">
      <c r="R9171" s="20">
        <v>9144</v>
      </c>
    </row>
    <row r="9172" spans="18:18" ht="14.25">
      <c r="R9172" s="20">
        <v>9145</v>
      </c>
    </row>
    <row r="9173" spans="18:18" ht="14.25">
      <c r="R9173" s="20">
        <v>9146</v>
      </c>
    </row>
    <row r="9174" spans="18:18" ht="14.25">
      <c r="R9174" s="20">
        <v>9147</v>
      </c>
    </row>
    <row r="9175" spans="18:18" ht="14.25">
      <c r="R9175" s="20">
        <v>9148</v>
      </c>
    </row>
    <row r="9176" spans="18:18" ht="14.25">
      <c r="R9176" s="20">
        <v>9149</v>
      </c>
    </row>
    <row r="9177" spans="18:18" ht="14.25">
      <c r="R9177" s="20">
        <v>9150</v>
      </c>
    </row>
    <row r="9178" spans="18:18" ht="14.25">
      <c r="R9178" s="20">
        <v>9151</v>
      </c>
    </row>
    <row r="9179" spans="18:18" ht="14.25">
      <c r="R9179" s="20">
        <v>9152</v>
      </c>
    </row>
    <row r="9180" spans="18:18" ht="14.25">
      <c r="R9180" s="20">
        <v>9153</v>
      </c>
    </row>
    <row r="9181" spans="18:18" ht="14.25">
      <c r="R9181" s="20">
        <v>9154</v>
      </c>
    </row>
    <row r="9182" spans="18:18" ht="14.25">
      <c r="R9182" s="20">
        <v>9155</v>
      </c>
    </row>
    <row r="9183" spans="18:18" ht="14.25">
      <c r="R9183" s="20">
        <v>9156</v>
      </c>
    </row>
    <row r="9184" spans="18:18" ht="14.25">
      <c r="R9184" s="20">
        <v>9157</v>
      </c>
    </row>
    <row r="9185" spans="18:18" ht="14.25">
      <c r="R9185" s="20">
        <v>9158</v>
      </c>
    </row>
    <row r="9186" spans="18:18" ht="14.25">
      <c r="R9186" s="20">
        <v>9159</v>
      </c>
    </row>
    <row r="9187" spans="18:18" ht="14.25">
      <c r="R9187" s="20">
        <v>9160</v>
      </c>
    </row>
    <row r="9188" spans="18:18" ht="14.25">
      <c r="R9188" s="20">
        <v>9161</v>
      </c>
    </row>
    <row r="9189" spans="18:18" ht="14.25">
      <c r="R9189" s="20">
        <v>9162</v>
      </c>
    </row>
    <row r="9190" spans="18:18" ht="14.25">
      <c r="R9190" s="20">
        <v>9163</v>
      </c>
    </row>
    <row r="9191" spans="18:18" ht="14.25">
      <c r="R9191" s="20">
        <v>9164</v>
      </c>
    </row>
    <row r="9192" spans="18:18" ht="14.25">
      <c r="R9192" s="20">
        <v>9165</v>
      </c>
    </row>
    <row r="9193" spans="18:18" ht="14.25">
      <c r="R9193" s="20">
        <v>9166</v>
      </c>
    </row>
    <row r="9194" spans="18:18" ht="14.25">
      <c r="R9194" s="20">
        <v>9167</v>
      </c>
    </row>
    <row r="9195" spans="18:18" ht="14.25">
      <c r="R9195" s="20">
        <v>9168</v>
      </c>
    </row>
    <row r="9196" spans="18:18" ht="14.25">
      <c r="R9196" s="20">
        <v>9169</v>
      </c>
    </row>
    <row r="9197" spans="18:18" ht="14.25">
      <c r="R9197" s="20">
        <v>9170</v>
      </c>
    </row>
    <row r="9198" spans="18:18" ht="14.25">
      <c r="R9198" s="20">
        <v>9171</v>
      </c>
    </row>
    <row r="9199" spans="18:18" ht="14.25">
      <c r="R9199" s="20">
        <v>9172</v>
      </c>
    </row>
    <row r="9200" spans="18:18" ht="14.25">
      <c r="R9200" s="20">
        <v>9173</v>
      </c>
    </row>
    <row r="9201" spans="18:18" ht="14.25">
      <c r="R9201" s="20">
        <v>9174</v>
      </c>
    </row>
    <row r="9202" spans="18:18" ht="14.25">
      <c r="R9202" s="20">
        <v>9175</v>
      </c>
    </row>
    <row r="9203" spans="18:18" ht="14.25">
      <c r="R9203" s="20">
        <v>9176</v>
      </c>
    </row>
    <row r="9204" spans="18:18" ht="14.25">
      <c r="R9204" s="20">
        <v>9177</v>
      </c>
    </row>
    <row r="9205" spans="18:18" ht="14.25">
      <c r="R9205" s="20">
        <v>9178</v>
      </c>
    </row>
    <row r="9206" spans="18:18" ht="14.25">
      <c r="R9206" s="20">
        <v>9179</v>
      </c>
    </row>
    <row r="9207" spans="18:18" ht="14.25">
      <c r="R9207" s="20">
        <v>9180</v>
      </c>
    </row>
    <row r="9208" spans="18:18" ht="14.25">
      <c r="R9208" s="20">
        <v>9181</v>
      </c>
    </row>
    <row r="9209" spans="18:18" ht="14.25">
      <c r="R9209" s="20">
        <v>9182</v>
      </c>
    </row>
    <row r="9210" spans="18:18" ht="14.25">
      <c r="R9210" s="20">
        <v>9183</v>
      </c>
    </row>
    <row r="9211" spans="18:18" ht="14.25">
      <c r="R9211" s="20">
        <v>9184</v>
      </c>
    </row>
    <row r="9212" spans="18:18" ht="14.25">
      <c r="R9212" s="20">
        <v>9185</v>
      </c>
    </row>
    <row r="9213" spans="18:18" ht="14.25">
      <c r="R9213" s="20">
        <v>9186</v>
      </c>
    </row>
    <row r="9214" spans="18:18" ht="14.25">
      <c r="R9214" s="20">
        <v>9187</v>
      </c>
    </row>
    <row r="9215" spans="18:18" ht="14.25">
      <c r="R9215" s="20">
        <v>9188</v>
      </c>
    </row>
    <row r="9216" spans="18:18" ht="14.25">
      <c r="R9216" s="20">
        <v>9189</v>
      </c>
    </row>
    <row r="9217" spans="18:18" ht="14.25">
      <c r="R9217" s="20">
        <v>9190</v>
      </c>
    </row>
    <row r="9218" spans="18:18" ht="14.25">
      <c r="R9218" s="20">
        <v>9191</v>
      </c>
    </row>
    <row r="9219" spans="18:18" ht="14.25">
      <c r="R9219" s="20">
        <v>9192</v>
      </c>
    </row>
    <row r="9220" spans="18:18" ht="14.25">
      <c r="R9220" s="20">
        <v>9193</v>
      </c>
    </row>
    <row r="9221" spans="18:18" ht="14.25">
      <c r="R9221" s="20">
        <v>9194</v>
      </c>
    </row>
    <row r="9222" spans="18:18" ht="14.25">
      <c r="R9222" s="20">
        <v>9195</v>
      </c>
    </row>
    <row r="9223" spans="18:18" ht="14.25">
      <c r="R9223" s="20">
        <v>9196</v>
      </c>
    </row>
    <row r="9224" spans="18:18" ht="14.25">
      <c r="R9224" s="20">
        <v>9197</v>
      </c>
    </row>
    <row r="9225" spans="18:18" ht="14.25">
      <c r="R9225" s="20">
        <v>9198</v>
      </c>
    </row>
    <row r="9226" spans="18:18" ht="14.25">
      <c r="R9226" s="20">
        <v>9199</v>
      </c>
    </row>
    <row r="9227" spans="18:18" ht="14.25">
      <c r="R9227" s="20">
        <v>9200</v>
      </c>
    </row>
    <row r="9228" spans="18:18" ht="14.25">
      <c r="R9228" s="20">
        <v>9201</v>
      </c>
    </row>
    <row r="9229" spans="18:18" ht="14.25">
      <c r="R9229" s="20">
        <v>9202</v>
      </c>
    </row>
    <row r="9230" spans="18:18" ht="14.25">
      <c r="R9230" s="20">
        <v>9203</v>
      </c>
    </row>
    <row r="9231" spans="18:18" ht="14.25">
      <c r="R9231" s="20">
        <v>9204</v>
      </c>
    </row>
    <row r="9232" spans="18:18" ht="14.25">
      <c r="R9232" s="20">
        <v>9205</v>
      </c>
    </row>
    <row r="9233" spans="18:18" ht="14.25">
      <c r="R9233" s="20">
        <v>9206</v>
      </c>
    </row>
    <row r="9234" spans="18:18" ht="14.25">
      <c r="R9234" s="20">
        <v>9207</v>
      </c>
    </row>
    <row r="9235" spans="18:18" ht="14.25">
      <c r="R9235" s="20">
        <v>9208</v>
      </c>
    </row>
    <row r="9236" spans="18:18" ht="14.25">
      <c r="R9236" s="20">
        <v>9209</v>
      </c>
    </row>
    <row r="9237" spans="18:18" ht="14.25">
      <c r="R9237" s="20">
        <v>9210</v>
      </c>
    </row>
    <row r="9238" spans="18:18" ht="14.25">
      <c r="R9238" s="20">
        <v>9211</v>
      </c>
    </row>
    <row r="9239" spans="18:18" ht="14.25">
      <c r="R9239" s="20">
        <v>9212</v>
      </c>
    </row>
    <row r="9240" spans="18:18" ht="14.25">
      <c r="R9240" s="20">
        <v>9213</v>
      </c>
    </row>
    <row r="9241" spans="18:18" ht="14.25">
      <c r="R9241" s="20">
        <v>9214</v>
      </c>
    </row>
    <row r="9242" spans="18:18" ht="14.25">
      <c r="R9242" s="20">
        <v>9215</v>
      </c>
    </row>
    <row r="9243" spans="18:18" ht="14.25">
      <c r="R9243" s="20">
        <v>9216</v>
      </c>
    </row>
    <row r="9244" spans="18:18" ht="14.25">
      <c r="R9244" s="20">
        <v>9217</v>
      </c>
    </row>
    <row r="9245" spans="18:18" ht="14.25">
      <c r="R9245" s="20">
        <v>9218</v>
      </c>
    </row>
    <row r="9246" spans="18:18" ht="14.25">
      <c r="R9246" s="20">
        <v>9219</v>
      </c>
    </row>
    <row r="9247" spans="18:18" ht="14.25">
      <c r="R9247" s="20">
        <v>9220</v>
      </c>
    </row>
    <row r="9248" spans="18:18" ht="14.25">
      <c r="R9248" s="20">
        <v>9221</v>
      </c>
    </row>
    <row r="9249" spans="18:18" ht="14.25">
      <c r="R9249" s="20">
        <v>9222</v>
      </c>
    </row>
    <row r="9250" spans="18:18" ht="14.25">
      <c r="R9250" s="20">
        <v>9223</v>
      </c>
    </row>
    <row r="9251" spans="18:18" ht="14.25">
      <c r="R9251" s="20">
        <v>9224</v>
      </c>
    </row>
    <row r="9252" spans="18:18" ht="14.25">
      <c r="R9252" s="20">
        <v>9225</v>
      </c>
    </row>
    <row r="9253" spans="18:18" ht="14.25">
      <c r="R9253" s="20">
        <v>9226</v>
      </c>
    </row>
    <row r="9254" spans="18:18" ht="14.25">
      <c r="R9254" s="20">
        <v>9227</v>
      </c>
    </row>
    <row r="9255" spans="18:18" ht="14.25">
      <c r="R9255" s="20">
        <v>9228</v>
      </c>
    </row>
    <row r="9256" spans="18:18" ht="14.25">
      <c r="R9256" s="20">
        <v>9229</v>
      </c>
    </row>
    <row r="9257" spans="18:18" ht="14.25">
      <c r="R9257" s="20">
        <v>9230</v>
      </c>
    </row>
    <row r="9258" spans="18:18" ht="14.25">
      <c r="R9258" s="20">
        <v>9231</v>
      </c>
    </row>
    <row r="9259" spans="18:18" ht="14.25">
      <c r="R9259" s="20">
        <v>9232</v>
      </c>
    </row>
    <row r="9260" spans="18:18" ht="14.25">
      <c r="R9260" s="20">
        <v>9233</v>
      </c>
    </row>
    <row r="9261" spans="18:18" ht="14.25">
      <c r="R9261" s="20">
        <v>9234</v>
      </c>
    </row>
    <row r="9262" spans="18:18" ht="14.25">
      <c r="R9262" s="20">
        <v>9235</v>
      </c>
    </row>
    <row r="9263" spans="18:18" ht="14.25">
      <c r="R9263" s="20">
        <v>9236</v>
      </c>
    </row>
    <row r="9264" spans="18:18" ht="14.25">
      <c r="R9264" s="20">
        <v>9237</v>
      </c>
    </row>
    <row r="9265" spans="18:18" ht="14.25">
      <c r="R9265" s="20">
        <v>9238</v>
      </c>
    </row>
    <row r="9266" spans="18:18" ht="14.25">
      <c r="R9266" s="20">
        <v>9239</v>
      </c>
    </row>
    <row r="9267" spans="18:18" ht="14.25">
      <c r="R9267" s="20">
        <v>9240</v>
      </c>
    </row>
    <row r="9268" spans="18:18" ht="14.25">
      <c r="R9268" s="20">
        <v>9241</v>
      </c>
    </row>
    <row r="9269" spans="18:18" ht="14.25">
      <c r="R9269" s="20">
        <v>9242</v>
      </c>
    </row>
    <row r="9270" spans="18:18" ht="14.25">
      <c r="R9270" s="20">
        <v>9243</v>
      </c>
    </row>
    <row r="9271" spans="18:18" ht="14.25">
      <c r="R9271" s="20">
        <v>9244</v>
      </c>
    </row>
    <row r="9272" spans="18:18" ht="14.25">
      <c r="R9272" s="20">
        <v>9245</v>
      </c>
    </row>
    <row r="9273" spans="18:18" ht="14.25">
      <c r="R9273" s="20">
        <v>9246</v>
      </c>
    </row>
    <row r="9274" spans="18:18" ht="14.25">
      <c r="R9274" s="20">
        <v>9247</v>
      </c>
    </row>
    <row r="9275" spans="18:18" ht="14.25">
      <c r="R9275" s="20">
        <v>9248</v>
      </c>
    </row>
    <row r="9276" spans="18:18" ht="14.25">
      <c r="R9276" s="20">
        <v>9249</v>
      </c>
    </row>
    <row r="9277" spans="18:18" ht="14.25">
      <c r="R9277" s="20">
        <v>9250</v>
      </c>
    </row>
    <row r="9278" spans="18:18" ht="14.25">
      <c r="R9278" s="20">
        <v>9251</v>
      </c>
    </row>
    <row r="9279" spans="18:18" ht="14.25">
      <c r="R9279" s="20">
        <v>9252</v>
      </c>
    </row>
    <row r="9280" spans="18:18" ht="14.25">
      <c r="R9280" s="20">
        <v>9253</v>
      </c>
    </row>
    <row r="9281" spans="18:18" ht="14.25">
      <c r="R9281" s="20">
        <v>9254</v>
      </c>
    </row>
    <row r="9282" spans="18:18" ht="14.25">
      <c r="R9282" s="20">
        <v>9255</v>
      </c>
    </row>
    <row r="9283" spans="18:18" ht="14.25">
      <c r="R9283" s="20">
        <v>9256</v>
      </c>
    </row>
    <row r="9284" spans="18:18" ht="14.25">
      <c r="R9284" s="20">
        <v>9257</v>
      </c>
    </row>
    <row r="9285" spans="18:18" ht="14.25">
      <c r="R9285" s="20">
        <v>9258</v>
      </c>
    </row>
    <row r="9286" spans="18:18" ht="14.25">
      <c r="R9286" s="20">
        <v>9259</v>
      </c>
    </row>
    <row r="9287" spans="18:18" ht="14.25">
      <c r="R9287" s="20">
        <v>9260</v>
      </c>
    </row>
    <row r="9288" spans="18:18" ht="14.25">
      <c r="R9288" s="20">
        <v>9261</v>
      </c>
    </row>
    <row r="9289" spans="18:18" ht="14.25">
      <c r="R9289" s="20">
        <v>9262</v>
      </c>
    </row>
    <row r="9290" spans="18:18" ht="14.25">
      <c r="R9290" s="20">
        <v>9263</v>
      </c>
    </row>
    <row r="9291" spans="18:18" ht="14.25">
      <c r="R9291" s="20">
        <v>9264</v>
      </c>
    </row>
    <row r="9292" spans="18:18" ht="14.25">
      <c r="R9292" s="20">
        <v>9265</v>
      </c>
    </row>
    <row r="9293" spans="18:18" ht="14.25">
      <c r="R9293" s="20">
        <v>9266</v>
      </c>
    </row>
    <row r="9294" spans="18:18" ht="14.25">
      <c r="R9294" s="20">
        <v>9267</v>
      </c>
    </row>
    <row r="9295" spans="18:18" ht="14.25">
      <c r="R9295" s="20">
        <v>9268</v>
      </c>
    </row>
    <row r="9296" spans="18:18" ht="14.25">
      <c r="R9296" s="20">
        <v>9269</v>
      </c>
    </row>
    <row r="9297" spans="18:18" ht="14.25">
      <c r="R9297" s="20">
        <v>9270</v>
      </c>
    </row>
    <row r="9298" spans="18:18" ht="14.25">
      <c r="R9298" s="20">
        <v>9271</v>
      </c>
    </row>
    <row r="9299" spans="18:18" ht="14.25">
      <c r="R9299" s="20">
        <v>9272</v>
      </c>
    </row>
    <row r="9300" spans="18:18" ht="14.25">
      <c r="R9300" s="20">
        <v>9273</v>
      </c>
    </row>
    <row r="9301" spans="18:18" ht="14.25">
      <c r="R9301" s="20">
        <v>9274</v>
      </c>
    </row>
    <row r="9302" spans="18:18" ht="14.25">
      <c r="R9302" s="20">
        <v>9275</v>
      </c>
    </row>
    <row r="9303" spans="18:18" ht="14.25">
      <c r="R9303" s="20">
        <v>9276</v>
      </c>
    </row>
    <row r="9304" spans="18:18" ht="14.25">
      <c r="R9304" s="20">
        <v>9277</v>
      </c>
    </row>
    <row r="9305" spans="18:18" ht="14.25">
      <c r="R9305" s="20">
        <v>9278</v>
      </c>
    </row>
    <row r="9306" spans="18:18" ht="14.25">
      <c r="R9306" s="20">
        <v>9279</v>
      </c>
    </row>
    <row r="9307" spans="18:18" ht="14.25">
      <c r="R9307" s="20">
        <v>9280</v>
      </c>
    </row>
    <row r="9308" spans="18:18" ht="14.25">
      <c r="R9308" s="20">
        <v>9281</v>
      </c>
    </row>
    <row r="9309" spans="18:18" ht="14.25">
      <c r="R9309" s="20">
        <v>9282</v>
      </c>
    </row>
    <row r="9310" spans="18:18" ht="14.25">
      <c r="R9310" s="20">
        <v>9283</v>
      </c>
    </row>
    <row r="9311" spans="18:18" ht="14.25">
      <c r="R9311" s="20">
        <v>9284</v>
      </c>
    </row>
    <row r="9312" spans="18:18" ht="14.25">
      <c r="R9312" s="20">
        <v>9285</v>
      </c>
    </row>
    <row r="9313" spans="18:18" ht="14.25">
      <c r="R9313" s="20">
        <v>9286</v>
      </c>
    </row>
    <row r="9314" spans="18:18" ht="14.25">
      <c r="R9314" s="20">
        <v>9287</v>
      </c>
    </row>
    <row r="9315" spans="18:18" ht="14.25">
      <c r="R9315" s="20">
        <v>9288</v>
      </c>
    </row>
    <row r="9316" spans="18:18" ht="14.25">
      <c r="R9316" s="20">
        <v>9289</v>
      </c>
    </row>
    <row r="9317" spans="18:18" ht="14.25">
      <c r="R9317" s="20">
        <v>9290</v>
      </c>
    </row>
    <row r="9318" spans="18:18" ht="14.25">
      <c r="R9318" s="20">
        <v>9291</v>
      </c>
    </row>
    <row r="9319" spans="18:18" ht="14.25">
      <c r="R9319" s="20">
        <v>9292</v>
      </c>
    </row>
    <row r="9320" spans="18:18" ht="14.25">
      <c r="R9320" s="20">
        <v>9293</v>
      </c>
    </row>
    <row r="9321" spans="18:18" ht="14.25">
      <c r="R9321" s="20">
        <v>9294</v>
      </c>
    </row>
    <row r="9322" spans="18:18" ht="14.25">
      <c r="R9322" s="20">
        <v>9295</v>
      </c>
    </row>
    <row r="9323" spans="18:18" ht="14.25">
      <c r="R9323" s="20">
        <v>9296</v>
      </c>
    </row>
    <row r="9324" spans="18:18" ht="14.25">
      <c r="R9324" s="20">
        <v>9297</v>
      </c>
    </row>
    <row r="9325" spans="18:18" ht="14.25">
      <c r="R9325" s="20">
        <v>9298</v>
      </c>
    </row>
    <row r="9326" spans="18:18" ht="14.25">
      <c r="R9326" s="20">
        <v>9299</v>
      </c>
    </row>
    <row r="9327" spans="18:18" ht="14.25">
      <c r="R9327" s="20">
        <v>9300</v>
      </c>
    </row>
    <row r="9328" spans="18:18" ht="14.25">
      <c r="R9328" s="20">
        <v>9301</v>
      </c>
    </row>
    <row r="9329" spans="18:18" ht="14.25">
      <c r="R9329" s="20">
        <v>9302</v>
      </c>
    </row>
    <row r="9330" spans="18:18" ht="14.25">
      <c r="R9330" s="20">
        <v>9303</v>
      </c>
    </row>
    <row r="9331" spans="18:18" ht="14.25">
      <c r="R9331" s="20">
        <v>9304</v>
      </c>
    </row>
    <row r="9332" spans="18:18" ht="14.25">
      <c r="R9332" s="20">
        <v>9305</v>
      </c>
    </row>
    <row r="9333" spans="18:18" ht="14.25">
      <c r="R9333" s="20">
        <v>9306</v>
      </c>
    </row>
    <row r="9334" spans="18:18" ht="14.25">
      <c r="R9334" s="20">
        <v>9307</v>
      </c>
    </row>
    <row r="9335" spans="18:18" ht="14.25">
      <c r="R9335" s="20">
        <v>9308</v>
      </c>
    </row>
    <row r="9336" spans="18:18" ht="14.25">
      <c r="R9336" s="20">
        <v>9309</v>
      </c>
    </row>
    <row r="9337" spans="18:18" ht="14.25">
      <c r="R9337" s="20">
        <v>9310</v>
      </c>
    </row>
    <row r="9338" spans="18:18" ht="14.25">
      <c r="R9338" s="20">
        <v>9311</v>
      </c>
    </row>
    <row r="9339" spans="18:18" ht="14.25">
      <c r="R9339" s="20">
        <v>9312</v>
      </c>
    </row>
    <row r="9340" spans="18:18" ht="14.25">
      <c r="R9340" s="20">
        <v>9313</v>
      </c>
    </row>
    <row r="9341" spans="18:18" ht="14.25">
      <c r="R9341" s="20">
        <v>9314</v>
      </c>
    </row>
    <row r="9342" spans="18:18" ht="14.25">
      <c r="R9342" s="20">
        <v>9315</v>
      </c>
    </row>
    <row r="9343" spans="18:18" ht="14.25">
      <c r="R9343" s="20">
        <v>9316</v>
      </c>
    </row>
    <row r="9344" spans="18:18" ht="14.25">
      <c r="R9344" s="20">
        <v>9317</v>
      </c>
    </row>
    <row r="9345" spans="18:18" ht="14.25">
      <c r="R9345" s="20">
        <v>9318</v>
      </c>
    </row>
    <row r="9346" spans="18:18" ht="14.25">
      <c r="R9346" s="20">
        <v>9319</v>
      </c>
    </row>
    <row r="9347" spans="18:18" ht="14.25">
      <c r="R9347" s="20">
        <v>9320</v>
      </c>
    </row>
    <row r="9348" spans="18:18" ht="14.25">
      <c r="R9348" s="20">
        <v>9321</v>
      </c>
    </row>
    <row r="9349" spans="18:18" ht="14.25">
      <c r="R9349" s="20">
        <v>9322</v>
      </c>
    </row>
    <row r="9350" spans="18:18" ht="14.25">
      <c r="R9350" s="20">
        <v>9323</v>
      </c>
    </row>
    <row r="9351" spans="18:18" ht="14.25">
      <c r="R9351" s="20">
        <v>9324</v>
      </c>
    </row>
    <row r="9352" spans="18:18" ht="14.25">
      <c r="R9352" s="20">
        <v>9325</v>
      </c>
    </row>
    <row r="9353" spans="18:18" ht="14.25">
      <c r="R9353" s="20">
        <v>9326</v>
      </c>
    </row>
    <row r="9354" spans="18:18" ht="14.25">
      <c r="R9354" s="20">
        <v>9327</v>
      </c>
    </row>
    <row r="9355" spans="18:18" ht="14.25">
      <c r="R9355" s="20">
        <v>9328</v>
      </c>
    </row>
    <row r="9356" spans="18:18" ht="14.25">
      <c r="R9356" s="20">
        <v>9329</v>
      </c>
    </row>
    <row r="9357" spans="18:18" ht="14.25">
      <c r="R9357" s="20">
        <v>9330</v>
      </c>
    </row>
    <row r="9358" spans="18:18" ht="14.25">
      <c r="R9358" s="20">
        <v>9331</v>
      </c>
    </row>
    <row r="9359" spans="18:18" ht="14.25">
      <c r="R9359" s="20">
        <v>9332</v>
      </c>
    </row>
    <row r="9360" spans="18:18" ht="14.25">
      <c r="R9360" s="20">
        <v>9333</v>
      </c>
    </row>
    <row r="9361" spans="18:18" ht="14.25">
      <c r="R9361" s="20">
        <v>9334</v>
      </c>
    </row>
    <row r="9362" spans="18:18" ht="14.25">
      <c r="R9362" s="20">
        <v>9335</v>
      </c>
    </row>
    <row r="9363" spans="18:18" ht="14.25">
      <c r="R9363" s="20">
        <v>9336</v>
      </c>
    </row>
    <row r="9364" spans="18:18" ht="14.25">
      <c r="R9364" s="20">
        <v>9337</v>
      </c>
    </row>
    <row r="9365" spans="18:18" ht="14.25">
      <c r="R9365" s="20">
        <v>9338</v>
      </c>
    </row>
    <row r="9366" spans="18:18" ht="14.25">
      <c r="R9366" s="20">
        <v>9339</v>
      </c>
    </row>
    <row r="9367" spans="18:18" ht="14.25">
      <c r="R9367" s="20">
        <v>9340</v>
      </c>
    </row>
    <row r="9368" spans="18:18" ht="14.25">
      <c r="R9368" s="20">
        <v>9341</v>
      </c>
    </row>
    <row r="9369" spans="18:18" ht="14.25">
      <c r="R9369" s="20">
        <v>9342</v>
      </c>
    </row>
    <row r="9370" spans="18:18" ht="14.25">
      <c r="R9370" s="20">
        <v>9343</v>
      </c>
    </row>
    <row r="9371" spans="18:18" ht="14.25">
      <c r="R9371" s="20">
        <v>9344</v>
      </c>
    </row>
    <row r="9372" spans="18:18" ht="14.25">
      <c r="R9372" s="20">
        <v>9345</v>
      </c>
    </row>
    <row r="9373" spans="18:18" ht="14.25">
      <c r="R9373" s="20">
        <v>9346</v>
      </c>
    </row>
    <row r="9374" spans="18:18" ht="14.25">
      <c r="R9374" s="20">
        <v>9347</v>
      </c>
    </row>
    <row r="9375" spans="18:18" ht="14.25">
      <c r="R9375" s="20">
        <v>9348</v>
      </c>
    </row>
    <row r="9376" spans="18:18" ht="14.25">
      <c r="R9376" s="20">
        <v>9349</v>
      </c>
    </row>
    <row r="9377" spans="18:18" ht="14.25">
      <c r="R9377" s="20">
        <v>9350</v>
      </c>
    </row>
    <row r="9378" spans="18:18" ht="14.25">
      <c r="R9378" s="20">
        <v>9351</v>
      </c>
    </row>
    <row r="9379" spans="18:18" ht="14.25">
      <c r="R9379" s="20">
        <v>9352</v>
      </c>
    </row>
    <row r="9380" spans="18:18" ht="14.25">
      <c r="R9380" s="20">
        <v>9353</v>
      </c>
    </row>
    <row r="9381" spans="18:18" ht="14.25">
      <c r="R9381" s="20">
        <v>9354</v>
      </c>
    </row>
    <row r="9382" spans="18:18" ht="14.25">
      <c r="R9382" s="20">
        <v>9355</v>
      </c>
    </row>
    <row r="9383" spans="18:18" ht="14.25">
      <c r="R9383" s="20">
        <v>9356</v>
      </c>
    </row>
    <row r="9384" spans="18:18" ht="14.25">
      <c r="R9384" s="20">
        <v>9357</v>
      </c>
    </row>
    <row r="9385" spans="18:18" ht="14.25">
      <c r="R9385" s="20">
        <v>9358</v>
      </c>
    </row>
    <row r="9386" spans="18:18" ht="14.25">
      <c r="R9386" s="20">
        <v>9359</v>
      </c>
    </row>
    <row r="9387" spans="18:18" ht="14.25">
      <c r="R9387" s="20">
        <v>9360</v>
      </c>
    </row>
    <row r="9388" spans="18:18" ht="14.25">
      <c r="R9388" s="20">
        <v>9361</v>
      </c>
    </row>
    <row r="9389" spans="18:18" ht="14.25">
      <c r="R9389" s="20">
        <v>9362</v>
      </c>
    </row>
    <row r="9390" spans="18:18" ht="14.25">
      <c r="R9390" s="20">
        <v>9363</v>
      </c>
    </row>
    <row r="9391" spans="18:18" ht="14.25">
      <c r="R9391" s="20">
        <v>9364</v>
      </c>
    </row>
    <row r="9392" spans="18:18" ht="14.25">
      <c r="R9392" s="20">
        <v>9365</v>
      </c>
    </row>
    <row r="9393" spans="18:18" ht="14.25">
      <c r="R9393" s="20">
        <v>9366</v>
      </c>
    </row>
    <row r="9394" spans="18:18" ht="14.25">
      <c r="R9394" s="20">
        <v>9367</v>
      </c>
    </row>
    <row r="9395" spans="18:18" ht="14.25">
      <c r="R9395" s="20">
        <v>9368</v>
      </c>
    </row>
    <row r="9396" spans="18:18" ht="14.25">
      <c r="R9396" s="20">
        <v>9369</v>
      </c>
    </row>
    <row r="9397" spans="18:18" ht="14.25">
      <c r="R9397" s="20">
        <v>9370</v>
      </c>
    </row>
    <row r="9398" spans="18:18" ht="14.25">
      <c r="R9398" s="20">
        <v>9371</v>
      </c>
    </row>
    <row r="9399" spans="18:18" ht="14.25">
      <c r="R9399" s="20">
        <v>9372</v>
      </c>
    </row>
    <row r="9400" spans="18:18" ht="14.25">
      <c r="R9400" s="20">
        <v>9373</v>
      </c>
    </row>
    <row r="9401" spans="18:18" ht="14.25">
      <c r="R9401" s="20">
        <v>9374</v>
      </c>
    </row>
    <row r="9402" spans="18:18" ht="14.25">
      <c r="R9402" s="20">
        <v>9375</v>
      </c>
    </row>
    <row r="9403" spans="18:18" ht="14.25">
      <c r="R9403" s="20">
        <v>9376</v>
      </c>
    </row>
    <row r="9404" spans="18:18" ht="14.25">
      <c r="R9404" s="20">
        <v>9377</v>
      </c>
    </row>
    <row r="9405" spans="18:18" ht="14.25">
      <c r="R9405" s="20">
        <v>9378</v>
      </c>
    </row>
    <row r="9406" spans="18:18" ht="14.25">
      <c r="R9406" s="20">
        <v>9379</v>
      </c>
    </row>
    <row r="9407" spans="18:18" ht="14.25">
      <c r="R9407" s="20">
        <v>9380</v>
      </c>
    </row>
    <row r="9408" spans="18:18" ht="14.25">
      <c r="R9408" s="20">
        <v>9381</v>
      </c>
    </row>
    <row r="9409" spans="18:18" ht="14.25">
      <c r="R9409" s="20">
        <v>9382</v>
      </c>
    </row>
    <row r="9410" spans="18:18" ht="14.25">
      <c r="R9410" s="20">
        <v>9383</v>
      </c>
    </row>
    <row r="9411" spans="18:18" ht="14.25">
      <c r="R9411" s="20">
        <v>9384</v>
      </c>
    </row>
    <row r="9412" spans="18:18" ht="14.25">
      <c r="R9412" s="20">
        <v>9385</v>
      </c>
    </row>
    <row r="9413" spans="18:18" ht="14.25">
      <c r="R9413" s="20">
        <v>9386</v>
      </c>
    </row>
    <row r="9414" spans="18:18" ht="14.25">
      <c r="R9414" s="20">
        <v>9387</v>
      </c>
    </row>
    <row r="9415" spans="18:18" ht="14.25">
      <c r="R9415" s="20">
        <v>9388</v>
      </c>
    </row>
    <row r="9416" spans="18:18" ht="14.25">
      <c r="R9416" s="20">
        <v>9389</v>
      </c>
    </row>
    <row r="9417" spans="18:18" ht="14.25">
      <c r="R9417" s="20">
        <v>9390</v>
      </c>
    </row>
    <row r="9418" spans="18:18" ht="14.25">
      <c r="R9418" s="20">
        <v>9391</v>
      </c>
    </row>
    <row r="9419" spans="18:18" ht="14.25">
      <c r="R9419" s="20">
        <v>9392</v>
      </c>
    </row>
    <row r="9420" spans="18:18" ht="14.25">
      <c r="R9420" s="20">
        <v>9393</v>
      </c>
    </row>
    <row r="9421" spans="18:18" ht="14.25">
      <c r="R9421" s="20">
        <v>9394</v>
      </c>
    </row>
    <row r="9422" spans="18:18" ht="14.25">
      <c r="R9422" s="20">
        <v>9395</v>
      </c>
    </row>
    <row r="9423" spans="18:18" ht="14.25">
      <c r="R9423" s="20">
        <v>9396</v>
      </c>
    </row>
    <row r="9424" spans="18:18" ht="14.25">
      <c r="R9424" s="20">
        <v>9397</v>
      </c>
    </row>
    <row r="9425" spans="18:18" ht="14.25">
      <c r="R9425" s="20">
        <v>9398</v>
      </c>
    </row>
    <row r="9426" spans="18:18" ht="14.25">
      <c r="R9426" s="20">
        <v>9399</v>
      </c>
    </row>
    <row r="9427" spans="18:18" ht="14.25">
      <c r="R9427" s="20">
        <v>9400</v>
      </c>
    </row>
    <row r="9428" spans="18:18" ht="14.25">
      <c r="R9428" s="20">
        <v>9401</v>
      </c>
    </row>
    <row r="9429" spans="18:18" ht="14.25">
      <c r="R9429" s="20">
        <v>9402</v>
      </c>
    </row>
    <row r="9430" spans="18:18" ht="14.25">
      <c r="R9430" s="20">
        <v>9403</v>
      </c>
    </row>
    <row r="9431" spans="18:18" ht="14.25">
      <c r="R9431" s="20">
        <v>9404</v>
      </c>
    </row>
    <row r="9432" spans="18:18" ht="14.25">
      <c r="R9432" s="20">
        <v>9405</v>
      </c>
    </row>
    <row r="9433" spans="18:18" ht="14.25">
      <c r="R9433" s="20">
        <v>9406</v>
      </c>
    </row>
    <row r="9434" spans="18:18" ht="14.25">
      <c r="R9434" s="20">
        <v>9407</v>
      </c>
    </row>
    <row r="9435" spans="18:18" ht="14.25">
      <c r="R9435" s="20">
        <v>9408</v>
      </c>
    </row>
    <row r="9436" spans="18:18" ht="14.25">
      <c r="R9436" s="20">
        <v>9409</v>
      </c>
    </row>
    <row r="9437" spans="18:18" ht="14.25">
      <c r="R9437" s="20">
        <v>9410</v>
      </c>
    </row>
    <row r="9438" spans="18:18" ht="14.25">
      <c r="R9438" s="20">
        <v>9411</v>
      </c>
    </row>
    <row r="9439" spans="18:18" ht="14.25">
      <c r="R9439" s="20">
        <v>9412</v>
      </c>
    </row>
    <row r="9440" spans="18:18" ht="14.25">
      <c r="R9440" s="20">
        <v>9413</v>
      </c>
    </row>
    <row r="9441" spans="18:18" ht="14.25">
      <c r="R9441" s="20">
        <v>9414</v>
      </c>
    </row>
    <row r="9442" spans="18:18" ht="14.25">
      <c r="R9442" s="20">
        <v>9415</v>
      </c>
    </row>
    <row r="9443" spans="18:18" ht="14.25">
      <c r="R9443" s="20">
        <v>9416</v>
      </c>
    </row>
    <row r="9444" spans="18:18" ht="14.25">
      <c r="R9444" s="20">
        <v>9417</v>
      </c>
    </row>
    <row r="9445" spans="18:18" ht="14.25">
      <c r="R9445" s="20">
        <v>9418</v>
      </c>
    </row>
    <row r="9446" spans="18:18" ht="14.25">
      <c r="R9446" s="20">
        <v>9419</v>
      </c>
    </row>
    <row r="9447" spans="18:18" ht="14.25">
      <c r="R9447" s="20">
        <v>9420</v>
      </c>
    </row>
    <row r="9448" spans="18:18" ht="14.25">
      <c r="R9448" s="20">
        <v>9421</v>
      </c>
    </row>
    <row r="9449" spans="18:18" ht="14.25">
      <c r="R9449" s="20">
        <v>9422</v>
      </c>
    </row>
    <row r="9450" spans="18:18" ht="14.25">
      <c r="R9450" s="20">
        <v>9423</v>
      </c>
    </row>
    <row r="9451" spans="18:18" ht="14.25">
      <c r="R9451" s="20">
        <v>9424</v>
      </c>
    </row>
    <row r="9452" spans="18:18" ht="14.25">
      <c r="R9452" s="20">
        <v>9425</v>
      </c>
    </row>
    <row r="9453" spans="18:18" ht="14.25">
      <c r="R9453" s="20">
        <v>9426</v>
      </c>
    </row>
    <row r="9454" spans="18:18" ht="14.25">
      <c r="R9454" s="20">
        <v>9427</v>
      </c>
    </row>
    <row r="9455" spans="18:18" ht="14.25">
      <c r="R9455" s="20">
        <v>9428</v>
      </c>
    </row>
    <row r="9456" spans="18:18" ht="14.25">
      <c r="R9456" s="20">
        <v>9429</v>
      </c>
    </row>
    <row r="9457" spans="18:18" ht="14.25">
      <c r="R9457" s="20">
        <v>9430</v>
      </c>
    </row>
    <row r="9458" spans="18:18" ht="14.25">
      <c r="R9458" s="20">
        <v>9431</v>
      </c>
    </row>
    <row r="9459" spans="18:18" ht="14.25">
      <c r="R9459" s="20">
        <v>9432</v>
      </c>
    </row>
    <row r="9460" spans="18:18" ht="14.25">
      <c r="R9460" s="20">
        <v>9433</v>
      </c>
    </row>
    <row r="9461" spans="18:18" ht="14.25">
      <c r="R9461" s="20">
        <v>9434</v>
      </c>
    </row>
    <row r="9462" spans="18:18" ht="14.25">
      <c r="R9462" s="20">
        <v>9435</v>
      </c>
    </row>
    <row r="9463" spans="18:18" ht="14.25">
      <c r="R9463" s="20">
        <v>9436</v>
      </c>
    </row>
    <row r="9464" spans="18:18" ht="14.25">
      <c r="R9464" s="20">
        <v>9437</v>
      </c>
    </row>
    <row r="9465" spans="18:18" ht="14.25">
      <c r="R9465" s="20">
        <v>9438</v>
      </c>
    </row>
    <row r="9466" spans="18:18" ht="14.25">
      <c r="R9466" s="20">
        <v>9439</v>
      </c>
    </row>
    <row r="9467" spans="18:18" ht="14.25">
      <c r="R9467" s="20">
        <v>9440</v>
      </c>
    </row>
    <row r="9468" spans="18:18" ht="14.25">
      <c r="R9468" s="20">
        <v>9441</v>
      </c>
    </row>
    <row r="9469" spans="18:18" ht="14.25">
      <c r="R9469" s="20">
        <v>9442</v>
      </c>
    </row>
    <row r="9470" spans="18:18" ht="14.25">
      <c r="R9470" s="20">
        <v>9443</v>
      </c>
    </row>
    <row r="9471" spans="18:18" ht="14.25">
      <c r="R9471" s="20">
        <v>9444</v>
      </c>
    </row>
    <row r="9472" spans="18:18" ht="14.25">
      <c r="R9472" s="20">
        <v>9445</v>
      </c>
    </row>
    <row r="9473" spans="18:18" ht="14.25">
      <c r="R9473" s="20">
        <v>9446</v>
      </c>
    </row>
    <row r="9474" spans="18:18" ht="14.25">
      <c r="R9474" s="20">
        <v>9447</v>
      </c>
    </row>
    <row r="9475" spans="18:18" ht="14.25">
      <c r="R9475" s="20">
        <v>9448</v>
      </c>
    </row>
    <row r="9476" spans="18:18" ht="14.25">
      <c r="R9476" s="20">
        <v>9449</v>
      </c>
    </row>
    <row r="9477" spans="18:18" ht="14.25">
      <c r="R9477" s="20">
        <v>9450</v>
      </c>
    </row>
    <row r="9478" spans="18:18" ht="14.25">
      <c r="R9478" s="20">
        <v>9451</v>
      </c>
    </row>
    <row r="9479" spans="18:18" ht="14.25">
      <c r="R9479" s="20">
        <v>9452</v>
      </c>
    </row>
    <row r="9480" spans="18:18" ht="14.25">
      <c r="R9480" s="20">
        <v>9453</v>
      </c>
    </row>
    <row r="9481" spans="18:18" ht="14.25">
      <c r="R9481" s="20">
        <v>9454</v>
      </c>
    </row>
    <row r="9482" spans="18:18" ht="14.25">
      <c r="R9482" s="20">
        <v>9455</v>
      </c>
    </row>
    <row r="9483" spans="18:18" ht="14.25">
      <c r="R9483" s="20">
        <v>9456</v>
      </c>
    </row>
    <row r="9484" spans="18:18" ht="14.25">
      <c r="R9484" s="20">
        <v>9457</v>
      </c>
    </row>
    <row r="9485" spans="18:18" ht="14.25">
      <c r="R9485" s="20">
        <v>9458</v>
      </c>
    </row>
    <row r="9486" spans="18:18" ht="14.25">
      <c r="R9486" s="20">
        <v>9459</v>
      </c>
    </row>
    <row r="9487" spans="18:18" ht="14.25">
      <c r="R9487" s="20">
        <v>9460</v>
      </c>
    </row>
    <row r="9488" spans="18:18" ht="14.25">
      <c r="R9488" s="20">
        <v>9461</v>
      </c>
    </row>
    <row r="9489" spans="18:18" ht="14.25">
      <c r="R9489" s="20">
        <v>9462</v>
      </c>
    </row>
    <row r="9490" spans="18:18" ht="14.25">
      <c r="R9490" s="20">
        <v>9463</v>
      </c>
    </row>
    <row r="9491" spans="18:18" ht="14.25">
      <c r="R9491" s="20">
        <v>9464</v>
      </c>
    </row>
    <row r="9492" spans="18:18" ht="14.25">
      <c r="R9492" s="20">
        <v>9465</v>
      </c>
    </row>
    <row r="9493" spans="18:18" ht="14.25">
      <c r="R9493" s="20">
        <v>9466</v>
      </c>
    </row>
    <row r="9494" spans="18:18" ht="14.25">
      <c r="R9494" s="20">
        <v>9467</v>
      </c>
    </row>
    <row r="9495" spans="18:18" ht="14.25">
      <c r="R9495" s="20">
        <v>9468</v>
      </c>
    </row>
    <row r="9496" spans="18:18" ht="14.25">
      <c r="R9496" s="20">
        <v>9469</v>
      </c>
    </row>
    <row r="9497" spans="18:18" ht="14.25">
      <c r="R9497" s="20">
        <v>9470</v>
      </c>
    </row>
    <row r="9498" spans="18:18" ht="14.25">
      <c r="R9498" s="20">
        <v>9471</v>
      </c>
    </row>
    <row r="9499" spans="18:18" ht="14.25">
      <c r="R9499" s="20">
        <v>9472</v>
      </c>
    </row>
    <row r="9500" spans="18:18" ht="14.25">
      <c r="R9500" s="20">
        <v>9473</v>
      </c>
    </row>
    <row r="9501" spans="18:18" ht="14.25">
      <c r="R9501" s="20">
        <v>9474</v>
      </c>
    </row>
    <row r="9502" spans="18:18" ht="14.25">
      <c r="R9502" s="20">
        <v>9475</v>
      </c>
    </row>
    <row r="9503" spans="18:18" ht="14.25">
      <c r="R9503" s="20">
        <v>9476</v>
      </c>
    </row>
    <row r="9504" spans="18:18" ht="14.25">
      <c r="R9504" s="20">
        <v>9477</v>
      </c>
    </row>
    <row r="9505" spans="18:18" ht="14.25">
      <c r="R9505" s="20">
        <v>9478</v>
      </c>
    </row>
    <row r="9506" spans="18:18" ht="14.25">
      <c r="R9506" s="20">
        <v>9479</v>
      </c>
    </row>
    <row r="9507" spans="18:18" ht="14.25">
      <c r="R9507" s="20">
        <v>9480</v>
      </c>
    </row>
    <row r="9508" spans="18:18" ht="14.25">
      <c r="R9508" s="20">
        <v>9481</v>
      </c>
    </row>
    <row r="9509" spans="18:18" ht="14.25">
      <c r="R9509" s="20">
        <v>9482</v>
      </c>
    </row>
    <row r="9510" spans="18:18" ht="14.25">
      <c r="R9510" s="20">
        <v>9483</v>
      </c>
    </row>
    <row r="9511" spans="18:18" ht="14.25">
      <c r="R9511" s="20">
        <v>9484</v>
      </c>
    </row>
    <row r="9512" spans="18:18" ht="14.25">
      <c r="R9512" s="20">
        <v>9485</v>
      </c>
    </row>
    <row r="9513" spans="18:18" ht="14.25">
      <c r="R9513" s="20">
        <v>9486</v>
      </c>
    </row>
    <row r="9514" spans="18:18" ht="14.25">
      <c r="R9514" s="20">
        <v>9487</v>
      </c>
    </row>
    <row r="9515" spans="18:18" ht="14.25">
      <c r="R9515" s="20">
        <v>9488</v>
      </c>
    </row>
    <row r="9516" spans="18:18" ht="14.25">
      <c r="R9516" s="20">
        <v>9489</v>
      </c>
    </row>
    <row r="9517" spans="18:18" ht="14.25">
      <c r="R9517" s="20">
        <v>9490</v>
      </c>
    </row>
    <row r="9518" spans="18:18" ht="14.25">
      <c r="R9518" s="20">
        <v>9491</v>
      </c>
    </row>
    <row r="9519" spans="18:18" ht="14.25">
      <c r="R9519" s="20">
        <v>9492</v>
      </c>
    </row>
    <row r="9520" spans="18:18" ht="14.25">
      <c r="R9520" s="20">
        <v>9493</v>
      </c>
    </row>
    <row r="9521" spans="18:18" ht="14.25">
      <c r="R9521" s="20">
        <v>9494</v>
      </c>
    </row>
    <row r="9522" spans="18:18" ht="14.25">
      <c r="R9522" s="20">
        <v>9495</v>
      </c>
    </row>
    <row r="9523" spans="18:18" ht="14.25">
      <c r="R9523" s="20">
        <v>9496</v>
      </c>
    </row>
    <row r="9524" spans="18:18" ht="14.25">
      <c r="R9524" s="20">
        <v>9497</v>
      </c>
    </row>
    <row r="9525" spans="18:18" ht="14.25">
      <c r="R9525" s="20">
        <v>9498</v>
      </c>
    </row>
    <row r="9526" spans="18:18" ht="14.25">
      <c r="R9526" s="20">
        <v>9499</v>
      </c>
    </row>
    <row r="9527" spans="18:18" ht="14.25">
      <c r="R9527" s="20">
        <v>9500</v>
      </c>
    </row>
    <row r="9528" spans="18:18" ht="14.25">
      <c r="R9528" s="20">
        <v>9501</v>
      </c>
    </row>
    <row r="9529" spans="18:18" ht="14.25">
      <c r="R9529" s="20">
        <v>9502</v>
      </c>
    </row>
    <row r="9530" spans="18:18" ht="14.25">
      <c r="R9530" s="20">
        <v>9503</v>
      </c>
    </row>
    <row r="9531" spans="18:18" ht="14.25">
      <c r="R9531" s="20">
        <v>9504</v>
      </c>
    </row>
    <row r="9532" spans="18:18" ht="14.25">
      <c r="R9532" s="20">
        <v>9505</v>
      </c>
    </row>
    <row r="9533" spans="18:18" ht="14.25">
      <c r="R9533" s="20">
        <v>9506</v>
      </c>
    </row>
    <row r="9534" spans="18:18" ht="14.25">
      <c r="R9534" s="20">
        <v>9507</v>
      </c>
    </row>
    <row r="9535" spans="18:18" ht="14.25">
      <c r="R9535" s="20">
        <v>9508</v>
      </c>
    </row>
    <row r="9536" spans="18:18" ht="14.25">
      <c r="R9536" s="20">
        <v>9509</v>
      </c>
    </row>
    <row r="9537" spans="18:18" ht="14.25">
      <c r="R9537" s="20">
        <v>9510</v>
      </c>
    </row>
    <row r="9538" spans="18:18" ht="14.25">
      <c r="R9538" s="20">
        <v>9511</v>
      </c>
    </row>
    <row r="9539" spans="18:18" ht="14.25">
      <c r="R9539" s="20">
        <v>9512</v>
      </c>
    </row>
    <row r="9540" spans="18:18" ht="14.25">
      <c r="R9540" s="20">
        <v>9513</v>
      </c>
    </row>
    <row r="9541" spans="18:18" ht="14.25">
      <c r="R9541" s="20">
        <v>9514</v>
      </c>
    </row>
    <row r="9542" spans="18:18" ht="14.25">
      <c r="R9542" s="20">
        <v>9515</v>
      </c>
    </row>
    <row r="9543" spans="18:18" ht="14.25">
      <c r="R9543" s="20">
        <v>9516</v>
      </c>
    </row>
    <row r="9544" spans="18:18" ht="14.25">
      <c r="R9544" s="20">
        <v>9517</v>
      </c>
    </row>
    <row r="9545" spans="18:18" ht="14.25">
      <c r="R9545" s="20">
        <v>9518</v>
      </c>
    </row>
    <row r="9546" spans="18:18" ht="14.25">
      <c r="R9546" s="20">
        <v>9519</v>
      </c>
    </row>
    <row r="9547" spans="18:18" ht="14.25">
      <c r="R9547" s="20">
        <v>9520</v>
      </c>
    </row>
    <row r="9548" spans="18:18" ht="14.25">
      <c r="R9548" s="20">
        <v>9521</v>
      </c>
    </row>
    <row r="9549" spans="18:18" ht="14.25">
      <c r="R9549" s="20">
        <v>9522</v>
      </c>
    </row>
    <row r="9550" spans="18:18" ht="14.25">
      <c r="R9550" s="20">
        <v>9523</v>
      </c>
    </row>
    <row r="9551" spans="18:18" ht="14.25">
      <c r="R9551" s="20">
        <v>9524</v>
      </c>
    </row>
    <row r="9552" spans="18:18" ht="14.25">
      <c r="R9552" s="20">
        <v>9525</v>
      </c>
    </row>
    <row r="9553" spans="18:18" ht="14.25">
      <c r="R9553" s="20">
        <v>9526</v>
      </c>
    </row>
    <row r="9554" spans="18:18" ht="14.25">
      <c r="R9554" s="20">
        <v>9527</v>
      </c>
    </row>
    <row r="9555" spans="18:18" ht="14.25">
      <c r="R9555" s="20">
        <v>9528</v>
      </c>
    </row>
    <row r="9556" spans="18:18" ht="14.25">
      <c r="R9556" s="20">
        <v>9529</v>
      </c>
    </row>
    <row r="9557" spans="18:18" ht="14.25">
      <c r="R9557" s="20">
        <v>9530</v>
      </c>
    </row>
    <row r="9558" spans="18:18" ht="14.25">
      <c r="R9558" s="20">
        <v>9531</v>
      </c>
    </row>
    <row r="9559" spans="18:18" ht="14.25">
      <c r="R9559" s="20">
        <v>9532</v>
      </c>
    </row>
    <row r="9560" spans="18:18" ht="14.25">
      <c r="R9560" s="20">
        <v>9533</v>
      </c>
    </row>
    <row r="9561" spans="18:18" ht="14.25">
      <c r="R9561" s="20">
        <v>9534</v>
      </c>
    </row>
    <row r="9562" spans="18:18" ht="14.25">
      <c r="R9562" s="20">
        <v>9535</v>
      </c>
    </row>
    <row r="9563" spans="18:18" ht="14.25">
      <c r="R9563" s="20">
        <v>9536</v>
      </c>
    </row>
    <row r="9564" spans="18:18" ht="14.25">
      <c r="R9564" s="20">
        <v>9537</v>
      </c>
    </row>
    <row r="9565" spans="18:18" ht="14.25">
      <c r="R9565" s="20">
        <v>9538</v>
      </c>
    </row>
    <row r="9566" spans="18:18" ht="14.25">
      <c r="R9566" s="20">
        <v>9539</v>
      </c>
    </row>
    <row r="9567" spans="18:18" ht="14.25">
      <c r="R9567" s="20">
        <v>9540</v>
      </c>
    </row>
    <row r="9568" spans="18:18" ht="14.25">
      <c r="R9568" s="20">
        <v>9541</v>
      </c>
    </row>
    <row r="9569" spans="18:18" ht="14.25">
      <c r="R9569" s="20">
        <v>9542</v>
      </c>
    </row>
    <row r="9570" spans="18:18" ht="14.25">
      <c r="R9570" s="20">
        <v>9543</v>
      </c>
    </row>
    <row r="9571" spans="18:18" ht="14.25">
      <c r="R9571" s="20">
        <v>9544</v>
      </c>
    </row>
    <row r="9572" spans="18:18" ht="14.25">
      <c r="R9572" s="20">
        <v>9545</v>
      </c>
    </row>
    <row r="9573" spans="18:18" ht="14.25">
      <c r="R9573" s="20">
        <v>9546</v>
      </c>
    </row>
    <row r="9574" spans="18:18" ht="14.25">
      <c r="R9574" s="20">
        <v>9547</v>
      </c>
    </row>
    <row r="9575" spans="18:18" ht="14.25">
      <c r="R9575" s="20">
        <v>9548</v>
      </c>
    </row>
    <row r="9576" spans="18:18" ht="14.25">
      <c r="R9576" s="20">
        <v>9549</v>
      </c>
    </row>
    <row r="9577" spans="18:18" ht="14.25">
      <c r="R9577" s="20">
        <v>9550</v>
      </c>
    </row>
    <row r="9578" spans="18:18" ht="14.25">
      <c r="R9578" s="20">
        <v>9551</v>
      </c>
    </row>
    <row r="9579" spans="18:18" ht="14.25">
      <c r="R9579" s="20">
        <v>9552</v>
      </c>
    </row>
    <row r="9580" spans="18:18" ht="14.25">
      <c r="R9580" s="20">
        <v>9553</v>
      </c>
    </row>
    <row r="9581" spans="18:18" ht="14.25">
      <c r="R9581" s="20">
        <v>9554</v>
      </c>
    </row>
    <row r="9582" spans="18:18" ht="14.25">
      <c r="R9582" s="20">
        <v>9555</v>
      </c>
    </row>
    <row r="9583" spans="18:18" ht="14.25">
      <c r="R9583" s="20">
        <v>9556</v>
      </c>
    </row>
    <row r="9584" spans="18:18" ht="14.25">
      <c r="R9584" s="20">
        <v>9557</v>
      </c>
    </row>
    <row r="9585" spans="18:18" ht="14.25">
      <c r="R9585" s="20">
        <v>9558</v>
      </c>
    </row>
    <row r="9586" spans="18:18" ht="14.25">
      <c r="R9586" s="20">
        <v>9559</v>
      </c>
    </row>
    <row r="9587" spans="18:18" ht="14.25">
      <c r="R9587" s="20">
        <v>9560</v>
      </c>
    </row>
    <row r="9588" spans="18:18" ht="14.25">
      <c r="R9588" s="20">
        <v>9561</v>
      </c>
    </row>
    <row r="9589" spans="18:18" ht="14.25">
      <c r="R9589" s="20">
        <v>9562</v>
      </c>
    </row>
    <row r="9590" spans="18:18" ht="14.25">
      <c r="R9590" s="20">
        <v>9563</v>
      </c>
    </row>
    <row r="9591" spans="18:18" ht="14.25">
      <c r="R9591" s="20">
        <v>9564</v>
      </c>
    </row>
    <row r="9592" spans="18:18" ht="14.25">
      <c r="R9592" s="20">
        <v>9565</v>
      </c>
    </row>
    <row r="9593" spans="18:18" ht="14.25">
      <c r="R9593" s="20">
        <v>9566</v>
      </c>
    </row>
    <row r="9594" spans="18:18" ht="14.25">
      <c r="R9594" s="20">
        <v>9567</v>
      </c>
    </row>
    <row r="9595" spans="18:18" ht="14.25">
      <c r="R9595" s="20">
        <v>9568</v>
      </c>
    </row>
    <row r="9596" spans="18:18" ht="14.25">
      <c r="R9596" s="20">
        <v>9569</v>
      </c>
    </row>
    <row r="9597" spans="18:18" ht="14.25">
      <c r="R9597" s="20">
        <v>9570</v>
      </c>
    </row>
    <row r="9598" spans="18:18" ht="14.25">
      <c r="R9598" s="20">
        <v>9571</v>
      </c>
    </row>
    <row r="9599" spans="18:18" ht="14.25">
      <c r="R9599" s="20">
        <v>9572</v>
      </c>
    </row>
    <row r="9600" spans="18:18" ht="14.25">
      <c r="R9600" s="20">
        <v>9573</v>
      </c>
    </row>
    <row r="9601" spans="18:18" ht="14.25">
      <c r="R9601" s="20">
        <v>9574</v>
      </c>
    </row>
    <row r="9602" spans="18:18" ht="14.25">
      <c r="R9602" s="20">
        <v>9575</v>
      </c>
    </row>
    <row r="9603" spans="18:18" ht="14.25">
      <c r="R9603" s="20">
        <v>9576</v>
      </c>
    </row>
    <row r="9604" spans="18:18" ht="14.25">
      <c r="R9604" s="20">
        <v>9577</v>
      </c>
    </row>
    <row r="9605" spans="18:18" ht="14.25">
      <c r="R9605" s="20">
        <v>9578</v>
      </c>
    </row>
    <row r="9606" spans="18:18" ht="14.25">
      <c r="R9606" s="20">
        <v>9579</v>
      </c>
    </row>
    <row r="9607" spans="18:18" ht="14.25">
      <c r="R9607" s="20">
        <v>9580</v>
      </c>
    </row>
    <row r="9608" spans="18:18" ht="14.25">
      <c r="R9608" s="20">
        <v>9581</v>
      </c>
    </row>
    <row r="9609" spans="18:18" ht="14.25">
      <c r="R9609" s="20">
        <v>9582</v>
      </c>
    </row>
    <row r="9610" spans="18:18" ht="14.25">
      <c r="R9610" s="20">
        <v>9583</v>
      </c>
    </row>
    <row r="9611" spans="18:18" ht="14.25">
      <c r="R9611" s="20">
        <v>9584</v>
      </c>
    </row>
    <row r="9612" spans="18:18" ht="14.25">
      <c r="R9612" s="20">
        <v>9585</v>
      </c>
    </row>
    <row r="9613" spans="18:18" ht="14.25">
      <c r="R9613" s="20">
        <v>9586</v>
      </c>
    </row>
    <row r="9614" spans="18:18" ht="14.25">
      <c r="R9614" s="20">
        <v>9587</v>
      </c>
    </row>
    <row r="9615" spans="18:18" ht="14.25">
      <c r="R9615" s="20">
        <v>9588</v>
      </c>
    </row>
    <row r="9616" spans="18:18" ht="14.25">
      <c r="R9616" s="20">
        <v>9589</v>
      </c>
    </row>
    <row r="9617" spans="18:18" ht="14.25">
      <c r="R9617" s="20">
        <v>9590</v>
      </c>
    </row>
    <row r="9618" spans="18:18" ht="14.25">
      <c r="R9618" s="20">
        <v>9591</v>
      </c>
    </row>
    <row r="9619" spans="18:18" ht="14.25">
      <c r="R9619" s="20">
        <v>9592</v>
      </c>
    </row>
    <row r="9620" spans="18:18" ht="14.25">
      <c r="R9620" s="20">
        <v>9593</v>
      </c>
    </row>
    <row r="9621" spans="18:18" ht="14.25">
      <c r="R9621" s="20">
        <v>9594</v>
      </c>
    </row>
    <row r="9622" spans="18:18" ht="14.25">
      <c r="R9622" s="20">
        <v>9595</v>
      </c>
    </row>
    <row r="9623" spans="18:18" ht="14.25">
      <c r="R9623" s="20">
        <v>9596</v>
      </c>
    </row>
    <row r="9624" spans="18:18" ht="14.25">
      <c r="R9624" s="20">
        <v>9597</v>
      </c>
    </row>
    <row r="9625" spans="18:18" ht="14.25">
      <c r="R9625" s="20">
        <v>9598</v>
      </c>
    </row>
    <row r="9626" spans="18:18" ht="14.25">
      <c r="R9626" s="20">
        <v>9599</v>
      </c>
    </row>
    <row r="9627" spans="18:18" ht="14.25">
      <c r="R9627" s="20">
        <v>9600</v>
      </c>
    </row>
    <row r="9628" spans="18:18" ht="14.25">
      <c r="R9628" s="20">
        <v>9601</v>
      </c>
    </row>
    <row r="9629" spans="18:18" ht="14.25">
      <c r="R9629" s="20">
        <v>9602</v>
      </c>
    </row>
    <row r="9630" spans="18:18" ht="14.25">
      <c r="R9630" s="20">
        <v>9603</v>
      </c>
    </row>
    <row r="9631" spans="18:18" ht="14.25">
      <c r="R9631" s="20">
        <v>9604</v>
      </c>
    </row>
    <row r="9632" spans="18:18" ht="14.25">
      <c r="R9632" s="20">
        <v>9605</v>
      </c>
    </row>
    <row r="9633" spans="18:18" ht="14.25">
      <c r="R9633" s="20">
        <v>9606</v>
      </c>
    </row>
    <row r="9634" spans="18:18" ht="14.25">
      <c r="R9634" s="20">
        <v>9607</v>
      </c>
    </row>
    <row r="9635" spans="18:18" ht="14.25">
      <c r="R9635" s="20">
        <v>9608</v>
      </c>
    </row>
    <row r="9636" spans="18:18" ht="14.25">
      <c r="R9636" s="20">
        <v>9609</v>
      </c>
    </row>
    <row r="9637" spans="18:18" ht="14.25">
      <c r="R9637" s="20">
        <v>9610</v>
      </c>
    </row>
    <row r="9638" spans="18:18" ht="14.25">
      <c r="R9638" s="20">
        <v>9611</v>
      </c>
    </row>
    <row r="9639" spans="18:18" ht="14.25">
      <c r="R9639" s="20">
        <v>9612</v>
      </c>
    </row>
    <row r="9640" spans="18:18" ht="14.25">
      <c r="R9640" s="20">
        <v>9613</v>
      </c>
    </row>
    <row r="9641" spans="18:18" ht="14.25">
      <c r="R9641" s="20">
        <v>9614</v>
      </c>
    </row>
    <row r="9642" spans="18:18" ht="14.25">
      <c r="R9642" s="20">
        <v>9615</v>
      </c>
    </row>
    <row r="9643" spans="18:18" ht="14.25">
      <c r="R9643" s="20">
        <v>9616</v>
      </c>
    </row>
    <row r="9644" spans="18:18" ht="14.25">
      <c r="R9644" s="20">
        <v>9617</v>
      </c>
    </row>
    <row r="9645" spans="18:18" ht="14.25">
      <c r="R9645" s="20">
        <v>9618</v>
      </c>
    </row>
    <row r="9646" spans="18:18" ht="14.25">
      <c r="R9646" s="20">
        <v>9619</v>
      </c>
    </row>
    <row r="9647" spans="18:18" ht="14.25">
      <c r="R9647" s="20">
        <v>9620</v>
      </c>
    </row>
    <row r="9648" spans="18:18" ht="14.25">
      <c r="R9648" s="20">
        <v>9621</v>
      </c>
    </row>
    <row r="9649" spans="18:18" ht="14.25">
      <c r="R9649" s="20">
        <v>9622</v>
      </c>
    </row>
    <row r="9650" spans="18:18" ht="14.25">
      <c r="R9650" s="20">
        <v>9623</v>
      </c>
    </row>
    <row r="9651" spans="18:18" ht="14.25">
      <c r="R9651" s="20">
        <v>9624</v>
      </c>
    </row>
    <row r="9652" spans="18:18" ht="14.25">
      <c r="R9652" s="20">
        <v>9625</v>
      </c>
    </row>
    <row r="9653" spans="18:18" ht="14.25">
      <c r="R9653" s="20">
        <v>9626</v>
      </c>
    </row>
    <row r="9654" spans="18:18" ht="14.25">
      <c r="R9654" s="20">
        <v>9627</v>
      </c>
    </row>
    <row r="9655" spans="18:18" ht="14.25">
      <c r="R9655" s="20">
        <v>9628</v>
      </c>
    </row>
    <row r="9656" spans="18:18" ht="14.25">
      <c r="R9656" s="20">
        <v>9629</v>
      </c>
    </row>
    <row r="9657" spans="18:18" ht="14.25">
      <c r="R9657" s="20">
        <v>9630</v>
      </c>
    </row>
    <row r="9658" spans="18:18" ht="14.25">
      <c r="R9658" s="20">
        <v>9631</v>
      </c>
    </row>
    <row r="9659" spans="18:18" ht="14.25">
      <c r="R9659" s="20">
        <v>9632</v>
      </c>
    </row>
    <row r="9660" spans="18:18" ht="14.25">
      <c r="R9660" s="20">
        <v>9633</v>
      </c>
    </row>
    <row r="9661" spans="18:18" ht="14.25">
      <c r="R9661" s="20">
        <v>9634</v>
      </c>
    </row>
    <row r="9662" spans="18:18" ht="14.25">
      <c r="R9662" s="20">
        <v>9635</v>
      </c>
    </row>
    <row r="9663" spans="18:18" ht="14.25">
      <c r="R9663" s="20">
        <v>9636</v>
      </c>
    </row>
    <row r="9664" spans="18:18" ht="14.25">
      <c r="R9664" s="20">
        <v>9637</v>
      </c>
    </row>
    <row r="9665" spans="18:18" ht="14.25">
      <c r="R9665" s="20">
        <v>9638</v>
      </c>
    </row>
    <row r="9666" spans="18:18" ht="14.25">
      <c r="R9666" s="20">
        <v>9639</v>
      </c>
    </row>
    <row r="9667" spans="18:18" ht="14.25">
      <c r="R9667" s="20">
        <v>9640</v>
      </c>
    </row>
    <row r="9668" spans="18:18" ht="14.25">
      <c r="R9668" s="20">
        <v>9641</v>
      </c>
    </row>
    <row r="9669" spans="18:18" ht="14.25">
      <c r="R9669" s="20">
        <v>9642</v>
      </c>
    </row>
    <row r="9670" spans="18:18" ht="14.25">
      <c r="R9670" s="20">
        <v>9643</v>
      </c>
    </row>
    <row r="9671" spans="18:18" ht="14.25">
      <c r="R9671" s="20">
        <v>9644</v>
      </c>
    </row>
    <row r="9672" spans="18:18" ht="14.25">
      <c r="R9672" s="20">
        <v>9645</v>
      </c>
    </row>
    <row r="9673" spans="18:18" ht="14.25">
      <c r="R9673" s="20">
        <v>9646</v>
      </c>
    </row>
    <row r="9674" spans="18:18" ht="14.25">
      <c r="R9674" s="20">
        <v>9647</v>
      </c>
    </row>
    <row r="9675" spans="18:18" ht="14.25">
      <c r="R9675" s="20">
        <v>9648</v>
      </c>
    </row>
    <row r="9676" spans="18:18" ht="14.25">
      <c r="R9676" s="20">
        <v>9649</v>
      </c>
    </row>
    <row r="9677" spans="18:18" ht="14.25">
      <c r="R9677" s="20">
        <v>9650</v>
      </c>
    </row>
    <row r="9678" spans="18:18" ht="14.25">
      <c r="R9678" s="20">
        <v>9651</v>
      </c>
    </row>
    <row r="9679" spans="18:18" ht="14.25">
      <c r="R9679" s="20">
        <v>9652</v>
      </c>
    </row>
    <row r="9680" spans="18:18" ht="14.25">
      <c r="R9680" s="20">
        <v>9653</v>
      </c>
    </row>
    <row r="9681" spans="18:18" ht="14.25">
      <c r="R9681" s="20">
        <v>9654</v>
      </c>
    </row>
    <row r="9682" spans="18:18" ht="14.25">
      <c r="R9682" s="20">
        <v>9655</v>
      </c>
    </row>
    <row r="9683" spans="18:18" ht="14.25">
      <c r="R9683" s="20">
        <v>9656</v>
      </c>
    </row>
    <row r="9684" spans="18:18" ht="14.25">
      <c r="R9684" s="20">
        <v>9657</v>
      </c>
    </row>
    <row r="9685" spans="18:18" ht="14.25">
      <c r="R9685" s="20">
        <v>9658</v>
      </c>
    </row>
    <row r="9686" spans="18:18" ht="14.25">
      <c r="R9686" s="20">
        <v>9659</v>
      </c>
    </row>
    <row r="9687" spans="18:18" ht="14.25">
      <c r="R9687" s="20">
        <v>9660</v>
      </c>
    </row>
    <row r="9688" spans="18:18" ht="14.25">
      <c r="R9688" s="20">
        <v>9661</v>
      </c>
    </row>
    <row r="9689" spans="18:18" ht="14.25">
      <c r="R9689" s="20">
        <v>9662</v>
      </c>
    </row>
    <row r="9690" spans="18:18" ht="14.25">
      <c r="R9690" s="20">
        <v>9663</v>
      </c>
    </row>
    <row r="9691" spans="18:18" ht="14.25">
      <c r="R9691" s="20">
        <v>9664</v>
      </c>
    </row>
    <row r="9692" spans="18:18" ht="14.25">
      <c r="R9692" s="20">
        <v>9665</v>
      </c>
    </row>
    <row r="9693" spans="18:18" ht="14.25">
      <c r="R9693" s="20">
        <v>9666</v>
      </c>
    </row>
    <row r="9694" spans="18:18" ht="14.25">
      <c r="R9694" s="20">
        <v>9667</v>
      </c>
    </row>
    <row r="9695" spans="18:18" ht="14.25">
      <c r="R9695" s="20">
        <v>9668</v>
      </c>
    </row>
    <row r="9696" spans="18:18" ht="14.25">
      <c r="R9696" s="20">
        <v>9669</v>
      </c>
    </row>
    <row r="9697" spans="18:18" ht="14.25">
      <c r="R9697" s="20">
        <v>9670</v>
      </c>
    </row>
    <row r="9698" spans="18:18" ht="14.25">
      <c r="R9698" s="20">
        <v>9671</v>
      </c>
    </row>
    <row r="9699" spans="18:18" ht="14.25">
      <c r="R9699" s="20">
        <v>9672</v>
      </c>
    </row>
    <row r="9700" spans="18:18" ht="14.25">
      <c r="R9700" s="20">
        <v>9673</v>
      </c>
    </row>
    <row r="9701" spans="18:18" ht="14.25">
      <c r="R9701" s="20">
        <v>9674</v>
      </c>
    </row>
    <row r="9702" spans="18:18" ht="14.25">
      <c r="R9702" s="20">
        <v>9675</v>
      </c>
    </row>
    <row r="9703" spans="18:18" ht="14.25">
      <c r="R9703" s="20">
        <v>9676</v>
      </c>
    </row>
    <row r="9704" spans="18:18" ht="14.25">
      <c r="R9704" s="20">
        <v>9677</v>
      </c>
    </row>
    <row r="9705" spans="18:18" ht="14.25">
      <c r="R9705" s="20">
        <v>9678</v>
      </c>
    </row>
    <row r="9706" spans="18:18" ht="14.25">
      <c r="R9706" s="20">
        <v>9679</v>
      </c>
    </row>
    <row r="9707" spans="18:18" ht="14.25">
      <c r="R9707" s="20">
        <v>9680</v>
      </c>
    </row>
    <row r="9708" spans="18:18" ht="14.25">
      <c r="R9708" s="20">
        <v>9681</v>
      </c>
    </row>
    <row r="9709" spans="18:18" ht="14.25">
      <c r="R9709" s="20">
        <v>9682</v>
      </c>
    </row>
    <row r="9710" spans="18:18" ht="14.25">
      <c r="R9710" s="20">
        <v>9683</v>
      </c>
    </row>
    <row r="9711" spans="18:18" ht="14.25">
      <c r="R9711" s="20">
        <v>9684</v>
      </c>
    </row>
    <row r="9712" spans="18:18" ht="14.25">
      <c r="R9712" s="20">
        <v>9685</v>
      </c>
    </row>
    <row r="9713" spans="18:18" ht="14.25">
      <c r="R9713" s="20">
        <v>9686</v>
      </c>
    </row>
    <row r="9714" spans="18:18" ht="14.25">
      <c r="R9714" s="20">
        <v>9687</v>
      </c>
    </row>
    <row r="9715" spans="18:18" ht="14.25">
      <c r="R9715" s="20">
        <v>9688</v>
      </c>
    </row>
    <row r="9716" spans="18:18" ht="14.25">
      <c r="R9716" s="20">
        <v>9689</v>
      </c>
    </row>
    <row r="9717" spans="18:18" ht="14.25">
      <c r="R9717" s="20">
        <v>9690</v>
      </c>
    </row>
    <row r="9718" spans="18:18" ht="14.25">
      <c r="R9718" s="20">
        <v>9691</v>
      </c>
    </row>
    <row r="9719" spans="18:18" ht="14.25">
      <c r="R9719" s="20">
        <v>9692</v>
      </c>
    </row>
    <row r="9720" spans="18:18" ht="14.25">
      <c r="R9720" s="20">
        <v>9693</v>
      </c>
    </row>
    <row r="9721" spans="18:18" ht="14.25">
      <c r="R9721" s="20">
        <v>9694</v>
      </c>
    </row>
    <row r="9722" spans="18:18" ht="14.25">
      <c r="R9722" s="20">
        <v>9695</v>
      </c>
    </row>
    <row r="9723" spans="18:18" ht="14.25">
      <c r="R9723" s="20">
        <v>9696</v>
      </c>
    </row>
    <row r="9724" spans="18:18" ht="14.25">
      <c r="R9724" s="20">
        <v>9697</v>
      </c>
    </row>
    <row r="9725" spans="18:18" ht="14.25">
      <c r="R9725" s="20">
        <v>9698</v>
      </c>
    </row>
    <row r="9726" spans="18:18" ht="14.25">
      <c r="R9726" s="20">
        <v>9699</v>
      </c>
    </row>
    <row r="9727" spans="18:18" ht="14.25">
      <c r="R9727" s="20">
        <v>9700</v>
      </c>
    </row>
    <row r="9728" spans="18:18" ht="14.25">
      <c r="R9728" s="20">
        <v>9701</v>
      </c>
    </row>
    <row r="9729" spans="18:18" ht="14.25">
      <c r="R9729" s="20">
        <v>9702</v>
      </c>
    </row>
    <row r="9730" spans="18:18" ht="14.25">
      <c r="R9730" s="20">
        <v>9703</v>
      </c>
    </row>
    <row r="9731" spans="18:18" ht="14.25">
      <c r="R9731" s="20">
        <v>9704</v>
      </c>
    </row>
    <row r="9732" spans="18:18" ht="14.25">
      <c r="R9732" s="20">
        <v>9705</v>
      </c>
    </row>
    <row r="9733" spans="18:18" ht="14.25">
      <c r="R9733" s="20">
        <v>9706</v>
      </c>
    </row>
    <row r="9734" spans="18:18" ht="14.25">
      <c r="R9734" s="20">
        <v>9707</v>
      </c>
    </row>
    <row r="9735" spans="18:18" ht="14.25">
      <c r="R9735" s="20">
        <v>9708</v>
      </c>
    </row>
    <row r="9736" spans="18:18" ht="14.25">
      <c r="R9736" s="20">
        <v>9709</v>
      </c>
    </row>
    <row r="9737" spans="18:18" ht="14.25">
      <c r="R9737" s="20">
        <v>9710</v>
      </c>
    </row>
    <row r="9738" spans="18:18" ht="14.25">
      <c r="R9738" s="20">
        <v>9711</v>
      </c>
    </row>
    <row r="9739" spans="18:18" ht="14.25">
      <c r="R9739" s="20">
        <v>9712</v>
      </c>
    </row>
    <row r="9740" spans="18:18" ht="14.25">
      <c r="R9740" s="20">
        <v>9713</v>
      </c>
    </row>
    <row r="9741" spans="18:18" ht="14.25">
      <c r="R9741" s="20">
        <v>9714</v>
      </c>
    </row>
    <row r="9742" spans="18:18" ht="14.25">
      <c r="R9742" s="20">
        <v>9715</v>
      </c>
    </row>
    <row r="9743" spans="18:18" ht="14.25">
      <c r="R9743" s="20">
        <v>9716</v>
      </c>
    </row>
    <row r="9744" spans="18:18" ht="14.25">
      <c r="R9744" s="20">
        <v>9717</v>
      </c>
    </row>
    <row r="9745" spans="18:18" ht="14.25">
      <c r="R9745" s="20">
        <v>9718</v>
      </c>
    </row>
    <row r="9746" spans="18:18" ht="14.25">
      <c r="R9746" s="20">
        <v>9719</v>
      </c>
    </row>
    <row r="9747" spans="18:18" ht="14.25">
      <c r="R9747" s="20">
        <v>9720</v>
      </c>
    </row>
    <row r="9748" spans="18:18" ht="14.25">
      <c r="R9748" s="20">
        <v>9721</v>
      </c>
    </row>
    <row r="9749" spans="18:18" ht="14.25">
      <c r="R9749" s="20">
        <v>9722</v>
      </c>
    </row>
    <row r="9750" spans="18:18" ht="14.25">
      <c r="R9750" s="20">
        <v>9723</v>
      </c>
    </row>
    <row r="9751" spans="18:18" ht="14.25">
      <c r="R9751" s="20">
        <v>9724</v>
      </c>
    </row>
    <row r="9752" spans="18:18" ht="14.25">
      <c r="R9752" s="20">
        <v>9725</v>
      </c>
    </row>
    <row r="9753" spans="18:18" ht="14.25">
      <c r="R9753" s="20">
        <v>9726</v>
      </c>
    </row>
    <row r="9754" spans="18:18" ht="14.25">
      <c r="R9754" s="20">
        <v>9727</v>
      </c>
    </row>
    <row r="9755" spans="18:18" ht="14.25">
      <c r="R9755" s="20">
        <v>9728</v>
      </c>
    </row>
    <row r="9756" spans="18:18" ht="14.25">
      <c r="R9756" s="20">
        <v>9729</v>
      </c>
    </row>
    <row r="9757" spans="18:18" ht="14.25">
      <c r="R9757" s="20">
        <v>9730</v>
      </c>
    </row>
    <row r="9758" spans="18:18" ht="14.25">
      <c r="R9758" s="20">
        <v>9731</v>
      </c>
    </row>
    <row r="9759" spans="18:18" ht="14.25">
      <c r="R9759" s="20">
        <v>9732</v>
      </c>
    </row>
    <row r="9760" spans="18:18" ht="14.25">
      <c r="R9760" s="20">
        <v>9733</v>
      </c>
    </row>
    <row r="9761" spans="18:18" ht="14.25">
      <c r="R9761" s="20">
        <v>9734</v>
      </c>
    </row>
    <row r="9762" spans="18:18" ht="14.25">
      <c r="R9762" s="20">
        <v>9735</v>
      </c>
    </row>
    <row r="9763" spans="18:18" ht="14.25">
      <c r="R9763" s="20">
        <v>9736</v>
      </c>
    </row>
    <row r="9764" spans="18:18" ht="14.25">
      <c r="R9764" s="20">
        <v>9737</v>
      </c>
    </row>
    <row r="9765" spans="18:18" ht="14.25">
      <c r="R9765" s="20">
        <v>9738</v>
      </c>
    </row>
    <row r="9766" spans="18:18" ht="14.25">
      <c r="R9766" s="20">
        <v>9739</v>
      </c>
    </row>
    <row r="9767" spans="18:18" ht="14.25">
      <c r="R9767" s="20">
        <v>9740</v>
      </c>
    </row>
    <row r="9768" spans="18:18" ht="14.25">
      <c r="R9768" s="20">
        <v>9741</v>
      </c>
    </row>
    <row r="9769" spans="18:18" ht="14.25">
      <c r="R9769" s="20">
        <v>9742</v>
      </c>
    </row>
    <row r="9770" spans="18:18" ht="14.25">
      <c r="R9770" s="20">
        <v>9743</v>
      </c>
    </row>
    <row r="9771" spans="18:18" ht="14.25">
      <c r="R9771" s="20">
        <v>9744</v>
      </c>
    </row>
    <row r="9772" spans="18:18" ht="14.25">
      <c r="R9772" s="20">
        <v>9745</v>
      </c>
    </row>
    <row r="9773" spans="18:18" ht="14.25">
      <c r="R9773" s="20">
        <v>9746</v>
      </c>
    </row>
    <row r="9774" spans="18:18" ht="14.25">
      <c r="R9774" s="20">
        <v>9747</v>
      </c>
    </row>
    <row r="9775" spans="18:18" ht="14.25">
      <c r="R9775" s="20">
        <v>9748</v>
      </c>
    </row>
    <row r="9776" spans="18:18" ht="14.25">
      <c r="R9776" s="20">
        <v>9749</v>
      </c>
    </row>
    <row r="9777" spans="18:18" ht="14.25">
      <c r="R9777" s="20">
        <v>9750</v>
      </c>
    </row>
    <row r="9778" spans="18:18" ht="14.25">
      <c r="R9778" s="20">
        <v>9751</v>
      </c>
    </row>
    <row r="9779" spans="18:18" ht="14.25">
      <c r="R9779" s="20">
        <v>9752</v>
      </c>
    </row>
    <row r="9780" spans="18:18" ht="14.25">
      <c r="R9780" s="20">
        <v>9753</v>
      </c>
    </row>
    <row r="9781" spans="18:18" ht="14.25">
      <c r="R9781" s="20">
        <v>9754</v>
      </c>
    </row>
    <row r="9782" spans="18:18" ht="14.25">
      <c r="R9782" s="20">
        <v>9755</v>
      </c>
    </row>
    <row r="9783" spans="18:18" ht="14.25">
      <c r="R9783" s="20">
        <v>9756</v>
      </c>
    </row>
    <row r="9784" spans="18:18" ht="14.25">
      <c r="R9784" s="20">
        <v>9757</v>
      </c>
    </row>
    <row r="9785" spans="18:18" ht="14.25">
      <c r="R9785" s="20">
        <v>9758</v>
      </c>
    </row>
    <row r="9786" spans="18:18" ht="14.25">
      <c r="R9786" s="20">
        <v>9759</v>
      </c>
    </row>
    <row r="9787" spans="18:18" ht="14.25">
      <c r="R9787" s="20">
        <v>9760</v>
      </c>
    </row>
    <row r="9788" spans="18:18" ht="14.25">
      <c r="R9788" s="20">
        <v>9761</v>
      </c>
    </row>
    <row r="9789" spans="18:18" ht="14.25">
      <c r="R9789" s="20">
        <v>9762</v>
      </c>
    </row>
    <row r="9790" spans="18:18" ht="14.25">
      <c r="R9790" s="20">
        <v>9763</v>
      </c>
    </row>
    <row r="9791" spans="18:18" ht="14.25">
      <c r="R9791" s="20">
        <v>9764</v>
      </c>
    </row>
    <row r="9792" spans="18:18" ht="14.25">
      <c r="R9792" s="20">
        <v>9765</v>
      </c>
    </row>
    <row r="9793" spans="18:18" ht="14.25">
      <c r="R9793" s="20">
        <v>9766</v>
      </c>
    </row>
    <row r="9794" spans="18:18" ht="14.25">
      <c r="R9794" s="20">
        <v>9767</v>
      </c>
    </row>
    <row r="9795" spans="18:18" ht="14.25">
      <c r="R9795" s="20">
        <v>9768</v>
      </c>
    </row>
    <row r="9796" spans="18:18" ht="14.25">
      <c r="R9796" s="20">
        <v>9769</v>
      </c>
    </row>
    <row r="9797" spans="18:18" ht="14.25">
      <c r="R9797" s="20">
        <v>9770</v>
      </c>
    </row>
    <row r="9798" spans="18:18" ht="14.25">
      <c r="R9798" s="20">
        <v>9771</v>
      </c>
    </row>
    <row r="9799" spans="18:18" ht="14.25">
      <c r="R9799" s="20">
        <v>9772</v>
      </c>
    </row>
    <row r="9800" spans="18:18" ht="14.25">
      <c r="R9800" s="20">
        <v>9773</v>
      </c>
    </row>
    <row r="9801" spans="18:18" ht="14.25">
      <c r="R9801" s="20">
        <v>9774</v>
      </c>
    </row>
    <row r="9802" spans="18:18" ht="14.25">
      <c r="R9802" s="20">
        <v>9775</v>
      </c>
    </row>
    <row r="9803" spans="18:18" ht="14.25">
      <c r="R9803" s="20">
        <v>9776</v>
      </c>
    </row>
    <row r="9804" spans="18:18" ht="14.25">
      <c r="R9804" s="20">
        <v>9777</v>
      </c>
    </row>
    <row r="9805" spans="18:18" ht="14.25">
      <c r="R9805" s="20">
        <v>9778</v>
      </c>
    </row>
    <row r="9806" spans="18:18" ht="14.25">
      <c r="R9806" s="20">
        <v>9779</v>
      </c>
    </row>
    <row r="9807" spans="18:18" ht="14.25">
      <c r="R9807" s="20">
        <v>9780</v>
      </c>
    </row>
    <row r="9808" spans="18:18" ht="14.25">
      <c r="R9808" s="20">
        <v>9781</v>
      </c>
    </row>
    <row r="9809" spans="18:18" ht="14.25">
      <c r="R9809" s="20">
        <v>9782</v>
      </c>
    </row>
    <row r="9810" spans="18:18" ht="14.25">
      <c r="R9810" s="20">
        <v>9783</v>
      </c>
    </row>
    <row r="9811" spans="18:18" ht="14.25">
      <c r="R9811" s="20">
        <v>9784</v>
      </c>
    </row>
    <row r="9812" spans="18:18" ht="14.25">
      <c r="R9812" s="20">
        <v>9785</v>
      </c>
    </row>
    <row r="9813" spans="18:18" ht="14.25">
      <c r="R9813" s="20">
        <v>9786</v>
      </c>
    </row>
    <row r="9814" spans="18:18" ht="14.25">
      <c r="R9814" s="20">
        <v>9787</v>
      </c>
    </row>
    <row r="9815" spans="18:18" ht="14.25">
      <c r="R9815" s="20">
        <v>9788</v>
      </c>
    </row>
    <row r="9816" spans="18:18" ht="14.25">
      <c r="R9816" s="20">
        <v>9789</v>
      </c>
    </row>
    <row r="9817" spans="18:18" ht="14.25">
      <c r="R9817" s="20">
        <v>9790</v>
      </c>
    </row>
    <row r="9818" spans="18:18" ht="14.25">
      <c r="R9818" s="20">
        <v>9791</v>
      </c>
    </row>
    <row r="9819" spans="18:18" ht="14.25">
      <c r="R9819" s="20">
        <v>9792</v>
      </c>
    </row>
    <row r="9820" spans="18:18" ht="14.25">
      <c r="R9820" s="20">
        <v>9793</v>
      </c>
    </row>
    <row r="9821" spans="18:18" ht="14.25">
      <c r="R9821" s="20">
        <v>9794</v>
      </c>
    </row>
    <row r="9822" spans="18:18" ht="14.25">
      <c r="R9822" s="20">
        <v>9795</v>
      </c>
    </row>
    <row r="9823" spans="18:18" ht="14.25">
      <c r="R9823" s="20">
        <v>9796</v>
      </c>
    </row>
    <row r="9824" spans="18:18" ht="14.25">
      <c r="R9824" s="20">
        <v>9797</v>
      </c>
    </row>
    <row r="9825" spans="18:18" ht="14.25">
      <c r="R9825" s="20">
        <v>9798</v>
      </c>
    </row>
    <row r="9826" spans="18:18" ht="14.25">
      <c r="R9826" s="20">
        <v>9799</v>
      </c>
    </row>
    <row r="9827" spans="18:18" ht="14.25">
      <c r="R9827" s="20">
        <v>9800</v>
      </c>
    </row>
    <row r="9828" spans="18:18" ht="14.25">
      <c r="R9828" s="20">
        <v>9801</v>
      </c>
    </row>
    <row r="9829" spans="18:18" ht="14.25">
      <c r="R9829" s="20">
        <v>9802</v>
      </c>
    </row>
    <row r="9830" spans="18:18" ht="14.25">
      <c r="R9830" s="20">
        <v>9803</v>
      </c>
    </row>
    <row r="9831" spans="18:18" ht="14.25">
      <c r="R9831" s="20">
        <v>9804</v>
      </c>
    </row>
    <row r="9832" spans="18:18" ht="14.25">
      <c r="R9832" s="20">
        <v>9805</v>
      </c>
    </row>
    <row r="9833" spans="18:18" ht="14.25">
      <c r="R9833" s="20">
        <v>9806</v>
      </c>
    </row>
    <row r="9834" spans="18:18" ht="14.25">
      <c r="R9834" s="20">
        <v>9807</v>
      </c>
    </row>
    <row r="9835" spans="18:18" ht="14.25">
      <c r="R9835" s="20">
        <v>9808</v>
      </c>
    </row>
    <row r="9836" spans="18:18" ht="14.25">
      <c r="R9836" s="20">
        <v>9809</v>
      </c>
    </row>
    <row r="9837" spans="18:18" ht="14.25">
      <c r="R9837" s="20">
        <v>9810</v>
      </c>
    </row>
    <row r="9838" spans="18:18" ht="14.25">
      <c r="R9838" s="20">
        <v>9811</v>
      </c>
    </row>
    <row r="9839" spans="18:18" ht="14.25">
      <c r="R9839" s="20">
        <v>9812</v>
      </c>
    </row>
    <row r="9840" spans="18:18" ht="14.25">
      <c r="R9840" s="20">
        <v>9813</v>
      </c>
    </row>
    <row r="9841" spans="18:18" ht="14.25">
      <c r="R9841" s="20">
        <v>9814</v>
      </c>
    </row>
    <row r="9842" spans="18:18" ht="14.25">
      <c r="R9842" s="20">
        <v>9815</v>
      </c>
    </row>
    <row r="9843" spans="18:18" ht="14.25">
      <c r="R9843" s="20">
        <v>9816</v>
      </c>
    </row>
    <row r="9844" spans="18:18" ht="14.25">
      <c r="R9844" s="20">
        <v>9817</v>
      </c>
    </row>
    <row r="9845" spans="18:18" ht="14.25">
      <c r="R9845" s="20">
        <v>9818</v>
      </c>
    </row>
    <row r="9846" spans="18:18" ht="14.25">
      <c r="R9846" s="20">
        <v>9819</v>
      </c>
    </row>
    <row r="9847" spans="18:18" ht="14.25">
      <c r="R9847" s="20">
        <v>9820</v>
      </c>
    </row>
    <row r="9848" spans="18:18" ht="14.25">
      <c r="R9848" s="20">
        <v>9821</v>
      </c>
    </row>
    <row r="9849" spans="18:18" ht="14.25">
      <c r="R9849" s="20">
        <v>9822</v>
      </c>
    </row>
    <row r="9850" spans="18:18" ht="14.25">
      <c r="R9850" s="20">
        <v>9823</v>
      </c>
    </row>
    <row r="9851" spans="18:18" ht="14.25">
      <c r="R9851" s="20">
        <v>9824</v>
      </c>
    </row>
    <row r="9852" spans="18:18" ht="14.25">
      <c r="R9852" s="20">
        <v>9825</v>
      </c>
    </row>
    <row r="9853" spans="18:18" ht="14.25">
      <c r="R9853" s="20">
        <v>9826</v>
      </c>
    </row>
    <row r="9854" spans="18:18" ht="14.25">
      <c r="R9854" s="20">
        <v>9827</v>
      </c>
    </row>
    <row r="9855" spans="18:18" ht="14.25">
      <c r="R9855" s="20">
        <v>9828</v>
      </c>
    </row>
    <row r="9856" spans="18:18" ht="14.25">
      <c r="R9856" s="20">
        <v>9829</v>
      </c>
    </row>
    <row r="9857" spans="18:18" ht="14.25">
      <c r="R9857" s="20">
        <v>9830</v>
      </c>
    </row>
    <row r="9858" spans="18:18" ht="14.25">
      <c r="R9858" s="20">
        <v>9831</v>
      </c>
    </row>
    <row r="9859" spans="18:18" ht="14.25">
      <c r="R9859" s="20">
        <v>9832</v>
      </c>
    </row>
    <row r="9860" spans="18:18" ht="14.25">
      <c r="R9860" s="20">
        <v>9833</v>
      </c>
    </row>
    <row r="9861" spans="18:18" ht="14.25">
      <c r="R9861" s="20">
        <v>9834</v>
      </c>
    </row>
    <row r="9862" spans="18:18" ht="14.25">
      <c r="R9862" s="20">
        <v>9835</v>
      </c>
    </row>
    <row r="9863" spans="18:18" ht="14.25">
      <c r="R9863" s="20">
        <v>9836</v>
      </c>
    </row>
    <row r="9864" spans="18:18" ht="14.25">
      <c r="R9864" s="20">
        <v>9837</v>
      </c>
    </row>
    <row r="9865" spans="18:18" ht="14.25">
      <c r="R9865" s="20">
        <v>9838</v>
      </c>
    </row>
    <row r="9866" spans="18:18" ht="14.25">
      <c r="R9866" s="20">
        <v>9839</v>
      </c>
    </row>
    <row r="9867" spans="18:18" ht="14.25">
      <c r="R9867" s="20">
        <v>9840</v>
      </c>
    </row>
    <row r="9868" spans="18:18" ht="14.25">
      <c r="R9868" s="20">
        <v>9841</v>
      </c>
    </row>
    <row r="9869" spans="18:18" ht="14.25">
      <c r="R9869" s="20">
        <v>9842</v>
      </c>
    </row>
    <row r="9870" spans="18:18" ht="14.25">
      <c r="R9870" s="20">
        <v>9843</v>
      </c>
    </row>
    <row r="9871" spans="18:18" ht="14.25">
      <c r="R9871" s="20">
        <v>9844</v>
      </c>
    </row>
    <row r="9872" spans="18:18" ht="14.25">
      <c r="R9872" s="20">
        <v>9845</v>
      </c>
    </row>
    <row r="9873" spans="18:18" ht="14.25">
      <c r="R9873" s="20">
        <v>9846</v>
      </c>
    </row>
    <row r="9874" spans="18:18" ht="14.25">
      <c r="R9874" s="20">
        <v>9847</v>
      </c>
    </row>
    <row r="9875" spans="18:18" ht="14.25">
      <c r="R9875" s="20">
        <v>9848</v>
      </c>
    </row>
    <row r="9876" spans="18:18" ht="14.25">
      <c r="R9876" s="20">
        <v>9849</v>
      </c>
    </row>
    <row r="9877" spans="18:18" ht="14.25">
      <c r="R9877" s="20">
        <v>9850</v>
      </c>
    </row>
    <row r="9878" spans="18:18" ht="14.25">
      <c r="R9878" s="20">
        <v>9851</v>
      </c>
    </row>
    <row r="9879" spans="18:18" ht="14.25">
      <c r="R9879" s="20">
        <v>9852</v>
      </c>
    </row>
    <row r="9880" spans="18:18" ht="14.25">
      <c r="R9880" s="20">
        <v>9853</v>
      </c>
    </row>
    <row r="9881" spans="18:18" ht="14.25">
      <c r="R9881" s="20">
        <v>9854</v>
      </c>
    </row>
    <row r="9882" spans="18:18" ht="14.25">
      <c r="R9882" s="20">
        <v>9855</v>
      </c>
    </row>
    <row r="9883" spans="18:18" ht="14.25">
      <c r="R9883" s="20">
        <v>9856</v>
      </c>
    </row>
    <row r="9884" spans="18:18" ht="14.25">
      <c r="R9884" s="20">
        <v>9857</v>
      </c>
    </row>
    <row r="9885" spans="18:18" ht="14.25">
      <c r="R9885" s="20">
        <v>9858</v>
      </c>
    </row>
    <row r="9886" spans="18:18" ht="14.25">
      <c r="R9886" s="20">
        <v>9859</v>
      </c>
    </row>
    <row r="9887" spans="18:18" ht="14.25">
      <c r="R9887" s="20">
        <v>9860</v>
      </c>
    </row>
    <row r="9888" spans="18:18" ht="14.25">
      <c r="R9888" s="20">
        <v>9861</v>
      </c>
    </row>
    <row r="9889" spans="18:18" ht="14.25">
      <c r="R9889" s="20">
        <v>9862</v>
      </c>
    </row>
    <row r="9890" spans="18:18" ht="14.25">
      <c r="R9890" s="20">
        <v>9863</v>
      </c>
    </row>
    <row r="9891" spans="18:18" ht="14.25">
      <c r="R9891" s="20">
        <v>9864</v>
      </c>
    </row>
    <row r="9892" spans="18:18" ht="14.25">
      <c r="R9892" s="20">
        <v>9865</v>
      </c>
    </row>
    <row r="9893" spans="18:18" ht="14.25">
      <c r="R9893" s="20">
        <v>9866</v>
      </c>
    </row>
    <row r="9894" spans="18:18" ht="14.25">
      <c r="R9894" s="20">
        <v>9867</v>
      </c>
    </row>
    <row r="9895" spans="18:18" ht="14.25">
      <c r="R9895" s="20">
        <v>9868</v>
      </c>
    </row>
    <row r="9896" spans="18:18" ht="14.25">
      <c r="R9896" s="20">
        <v>9869</v>
      </c>
    </row>
    <row r="9897" spans="18:18" ht="14.25">
      <c r="R9897" s="20">
        <v>9870</v>
      </c>
    </row>
    <row r="9898" spans="18:18" ht="14.25">
      <c r="R9898" s="20">
        <v>9871</v>
      </c>
    </row>
    <row r="9899" spans="18:18" ht="14.25">
      <c r="R9899" s="20">
        <v>9872</v>
      </c>
    </row>
    <row r="9900" spans="18:18" ht="14.25">
      <c r="R9900" s="20">
        <v>9873</v>
      </c>
    </row>
    <row r="9901" spans="18:18" ht="14.25">
      <c r="R9901" s="20">
        <v>9874</v>
      </c>
    </row>
    <row r="9902" spans="18:18" ht="14.25">
      <c r="R9902" s="20">
        <v>9875</v>
      </c>
    </row>
    <row r="9903" spans="18:18" ht="14.25">
      <c r="R9903" s="20">
        <v>9876</v>
      </c>
    </row>
    <row r="9904" spans="18:18" ht="14.25">
      <c r="R9904" s="20">
        <v>9877</v>
      </c>
    </row>
    <row r="9905" spans="18:18" ht="14.25">
      <c r="R9905" s="20">
        <v>9878</v>
      </c>
    </row>
    <row r="9906" spans="18:18" ht="14.25">
      <c r="R9906" s="20">
        <v>9879</v>
      </c>
    </row>
    <row r="9907" spans="18:18" ht="14.25">
      <c r="R9907" s="20">
        <v>9880</v>
      </c>
    </row>
    <row r="9908" spans="18:18" ht="14.25">
      <c r="R9908" s="20">
        <v>9881</v>
      </c>
    </row>
    <row r="9909" spans="18:18" ht="14.25">
      <c r="R9909" s="20">
        <v>9882</v>
      </c>
    </row>
    <row r="9910" spans="18:18" ht="14.25">
      <c r="R9910" s="20">
        <v>9883</v>
      </c>
    </row>
    <row r="9911" spans="18:18" ht="14.25">
      <c r="R9911" s="20">
        <v>9884</v>
      </c>
    </row>
    <row r="9912" spans="18:18" ht="14.25">
      <c r="R9912" s="20">
        <v>9885</v>
      </c>
    </row>
    <row r="9913" spans="18:18" ht="14.25">
      <c r="R9913" s="20">
        <v>9886</v>
      </c>
    </row>
    <row r="9914" spans="18:18" ht="14.25">
      <c r="R9914" s="20">
        <v>9887</v>
      </c>
    </row>
    <row r="9915" spans="18:18" ht="14.25">
      <c r="R9915" s="20">
        <v>9888</v>
      </c>
    </row>
    <row r="9916" spans="18:18" ht="14.25">
      <c r="R9916" s="20">
        <v>9889</v>
      </c>
    </row>
    <row r="9917" spans="18:18" ht="14.25">
      <c r="R9917" s="20">
        <v>9890</v>
      </c>
    </row>
    <row r="9918" spans="18:18" ht="14.25">
      <c r="R9918" s="20">
        <v>9891</v>
      </c>
    </row>
    <row r="9919" spans="18:18" ht="14.25">
      <c r="R9919" s="20">
        <v>9892</v>
      </c>
    </row>
    <row r="9920" spans="18:18" ht="14.25">
      <c r="R9920" s="20">
        <v>9893</v>
      </c>
    </row>
    <row r="9921" spans="18:18" ht="14.25">
      <c r="R9921" s="20">
        <v>9894</v>
      </c>
    </row>
    <row r="9922" spans="18:18" ht="14.25">
      <c r="R9922" s="20">
        <v>9895</v>
      </c>
    </row>
    <row r="9923" spans="18:18" ht="14.25">
      <c r="R9923" s="20">
        <v>9896</v>
      </c>
    </row>
    <row r="9924" spans="18:18" ht="14.25">
      <c r="R9924" s="20">
        <v>9897</v>
      </c>
    </row>
    <row r="9925" spans="18:18" ht="14.25">
      <c r="R9925" s="20">
        <v>9898</v>
      </c>
    </row>
    <row r="9926" spans="18:18" ht="14.25">
      <c r="R9926" s="20">
        <v>9899</v>
      </c>
    </row>
    <row r="9927" spans="18:18" ht="14.25">
      <c r="R9927" s="20">
        <v>9900</v>
      </c>
    </row>
    <row r="9928" spans="18:18" ht="14.25">
      <c r="R9928" s="20">
        <v>9901</v>
      </c>
    </row>
    <row r="9929" spans="18:18" ht="14.25">
      <c r="R9929" s="20">
        <v>9902</v>
      </c>
    </row>
    <row r="9930" spans="18:18" ht="14.25">
      <c r="R9930" s="20">
        <v>9903</v>
      </c>
    </row>
    <row r="9931" spans="18:18" ht="14.25">
      <c r="R9931" s="20">
        <v>9904</v>
      </c>
    </row>
    <row r="9932" spans="18:18" ht="14.25">
      <c r="R9932" s="20">
        <v>9905</v>
      </c>
    </row>
    <row r="9933" spans="18:18" ht="14.25">
      <c r="R9933" s="20">
        <v>9906</v>
      </c>
    </row>
    <row r="9934" spans="18:18" ht="14.25">
      <c r="R9934" s="20">
        <v>9907</v>
      </c>
    </row>
    <row r="9935" spans="18:18" ht="14.25">
      <c r="R9935" s="20">
        <v>9908</v>
      </c>
    </row>
    <row r="9936" spans="18:18" ht="14.25">
      <c r="R9936" s="20">
        <v>9909</v>
      </c>
    </row>
    <row r="9937" spans="18:18" ht="14.25">
      <c r="R9937" s="20">
        <v>9910</v>
      </c>
    </row>
    <row r="9938" spans="18:18" ht="14.25">
      <c r="R9938" s="20">
        <v>9911</v>
      </c>
    </row>
    <row r="9939" spans="18:18" ht="14.25">
      <c r="R9939" s="20">
        <v>9912</v>
      </c>
    </row>
    <row r="9940" spans="18:18" ht="14.25">
      <c r="R9940" s="20">
        <v>9913</v>
      </c>
    </row>
    <row r="9941" spans="18:18" ht="14.25">
      <c r="R9941" s="20">
        <v>9914</v>
      </c>
    </row>
    <row r="9942" spans="18:18" ht="14.25">
      <c r="R9942" s="20">
        <v>9915</v>
      </c>
    </row>
    <row r="9943" spans="18:18" ht="14.25">
      <c r="R9943" s="20">
        <v>9916</v>
      </c>
    </row>
    <row r="9944" spans="18:18" ht="14.25">
      <c r="R9944" s="20">
        <v>9917</v>
      </c>
    </row>
    <row r="9945" spans="18:18" ht="14.25">
      <c r="R9945" s="20">
        <v>9918</v>
      </c>
    </row>
    <row r="9946" spans="18:18" ht="14.25">
      <c r="R9946" s="20">
        <v>9919</v>
      </c>
    </row>
    <row r="9947" spans="18:18" ht="14.25">
      <c r="R9947" s="20">
        <v>9920</v>
      </c>
    </row>
    <row r="9948" spans="18:18" ht="14.25">
      <c r="R9948" s="20">
        <v>9921</v>
      </c>
    </row>
    <row r="9949" spans="18:18" ht="14.25">
      <c r="R9949" s="20">
        <v>9922</v>
      </c>
    </row>
    <row r="9950" spans="18:18" ht="14.25">
      <c r="R9950" s="20">
        <v>9923</v>
      </c>
    </row>
    <row r="9951" spans="18:18" ht="14.25">
      <c r="R9951" s="20">
        <v>9924</v>
      </c>
    </row>
    <row r="9952" spans="18:18" ht="14.25">
      <c r="R9952" s="20">
        <v>9925</v>
      </c>
    </row>
    <row r="9953" spans="18:18" ht="14.25">
      <c r="R9953" s="20">
        <v>9926</v>
      </c>
    </row>
    <row r="9954" spans="18:18" ht="14.25">
      <c r="R9954" s="20">
        <v>9927</v>
      </c>
    </row>
    <row r="9955" spans="18:18" ht="14.25">
      <c r="R9955" s="20">
        <v>9928</v>
      </c>
    </row>
    <row r="9956" spans="18:18" ht="14.25">
      <c r="R9956" s="20">
        <v>9929</v>
      </c>
    </row>
    <row r="9957" spans="18:18" ht="14.25">
      <c r="R9957" s="20">
        <v>9930</v>
      </c>
    </row>
    <row r="9958" spans="18:18" ht="14.25">
      <c r="R9958" s="20">
        <v>9931</v>
      </c>
    </row>
    <row r="9959" spans="18:18" ht="14.25">
      <c r="R9959" s="20">
        <v>9932</v>
      </c>
    </row>
    <row r="9960" spans="18:18" ht="14.25">
      <c r="R9960" s="20">
        <v>9933</v>
      </c>
    </row>
    <row r="9961" spans="18:18" ht="14.25">
      <c r="R9961" s="20">
        <v>9934</v>
      </c>
    </row>
    <row r="9962" spans="18:18" ht="14.25">
      <c r="R9962" s="20">
        <v>9935</v>
      </c>
    </row>
    <row r="9963" spans="18:18" ht="14.25">
      <c r="R9963" s="20">
        <v>9936</v>
      </c>
    </row>
    <row r="9964" spans="18:18" ht="14.25">
      <c r="R9964" s="20">
        <v>9937</v>
      </c>
    </row>
    <row r="9965" spans="18:18" ht="14.25">
      <c r="R9965" s="20">
        <v>9938</v>
      </c>
    </row>
    <row r="9966" spans="18:18" ht="14.25">
      <c r="R9966" s="20">
        <v>9939</v>
      </c>
    </row>
    <row r="9967" spans="18:18" ht="14.25">
      <c r="R9967" s="20">
        <v>9940</v>
      </c>
    </row>
    <row r="9968" spans="18:18" ht="14.25">
      <c r="R9968" s="20">
        <v>9941</v>
      </c>
    </row>
    <row r="9969" spans="18:18" ht="14.25">
      <c r="R9969" s="20">
        <v>9942</v>
      </c>
    </row>
    <row r="9970" spans="18:18" ht="14.25">
      <c r="R9970" s="20">
        <v>9943</v>
      </c>
    </row>
    <row r="9971" spans="18:18" ht="14.25">
      <c r="R9971" s="20">
        <v>9944</v>
      </c>
    </row>
    <row r="9972" spans="18:18" ht="14.25">
      <c r="R9972" s="20">
        <v>9945</v>
      </c>
    </row>
    <row r="9973" spans="18:18" ht="14.25">
      <c r="R9973" s="20">
        <v>9946</v>
      </c>
    </row>
    <row r="9974" spans="18:18" ht="14.25">
      <c r="R9974" s="20">
        <v>9947</v>
      </c>
    </row>
    <row r="9975" spans="18:18" ht="14.25">
      <c r="R9975" s="20">
        <v>9948</v>
      </c>
    </row>
    <row r="9976" spans="18:18" ht="14.25">
      <c r="R9976" s="20">
        <v>9949</v>
      </c>
    </row>
    <row r="9977" spans="18:18" ht="14.25">
      <c r="R9977" s="20">
        <v>9950</v>
      </c>
    </row>
    <row r="9978" spans="18:18" ht="14.25">
      <c r="R9978" s="20">
        <v>9951</v>
      </c>
    </row>
    <row r="9979" spans="18:18" ht="14.25">
      <c r="R9979" s="20">
        <v>9952</v>
      </c>
    </row>
    <row r="9980" spans="18:18" ht="14.25">
      <c r="R9980" s="20">
        <v>9953</v>
      </c>
    </row>
    <row r="9981" spans="18:18" ht="14.25">
      <c r="R9981" s="20">
        <v>9954</v>
      </c>
    </row>
    <row r="9982" spans="18:18" ht="14.25">
      <c r="R9982" s="20">
        <v>9955</v>
      </c>
    </row>
    <row r="9983" spans="18:18" ht="14.25">
      <c r="R9983" s="20">
        <v>9956</v>
      </c>
    </row>
    <row r="9984" spans="18:18" ht="14.25">
      <c r="R9984" s="20">
        <v>9957</v>
      </c>
    </row>
    <row r="9985" spans="18:18" ht="14.25">
      <c r="R9985" s="20">
        <v>9958</v>
      </c>
    </row>
    <row r="9986" spans="18:18" ht="14.25">
      <c r="R9986" s="20">
        <v>9959</v>
      </c>
    </row>
    <row r="9987" spans="18:18" ht="14.25">
      <c r="R9987" s="20">
        <v>9960</v>
      </c>
    </row>
    <row r="9988" spans="18:18" ht="14.25">
      <c r="R9988" s="20">
        <v>9961</v>
      </c>
    </row>
    <row r="9989" spans="18:18" ht="14.25">
      <c r="R9989" s="20">
        <v>9962</v>
      </c>
    </row>
    <row r="9990" spans="18:18" ht="14.25">
      <c r="R9990" s="20">
        <v>9963</v>
      </c>
    </row>
    <row r="9991" spans="18:18" ht="14.25">
      <c r="R9991" s="20">
        <v>9964</v>
      </c>
    </row>
    <row r="9992" spans="18:18" ht="14.25">
      <c r="R9992" s="20">
        <v>9965</v>
      </c>
    </row>
    <row r="9993" spans="18:18" ht="14.25">
      <c r="R9993" s="20">
        <v>9966</v>
      </c>
    </row>
    <row r="9994" spans="18:18" ht="14.25">
      <c r="R9994" s="20">
        <v>9967</v>
      </c>
    </row>
    <row r="9995" spans="18:18" ht="14.25">
      <c r="R9995" s="20">
        <v>9968</v>
      </c>
    </row>
    <row r="9996" spans="18:18" ht="14.25">
      <c r="R9996" s="20">
        <v>9969</v>
      </c>
    </row>
    <row r="9997" spans="18:18" ht="14.25">
      <c r="R9997" s="20">
        <v>9970</v>
      </c>
    </row>
    <row r="9998" spans="18:18" ht="14.25">
      <c r="R9998" s="20">
        <v>9971</v>
      </c>
    </row>
    <row r="9999" spans="18:18" ht="14.25">
      <c r="R9999" s="20">
        <v>9972</v>
      </c>
    </row>
    <row r="10000" spans="18:18" ht="14.25">
      <c r="R10000" s="20">
        <v>9973</v>
      </c>
    </row>
    <row r="10001" spans="18:18" ht="14.25">
      <c r="R10001" s="20">
        <v>9974</v>
      </c>
    </row>
    <row r="10002" spans="18:18" ht="14.25">
      <c r="R10002" s="20">
        <v>9975</v>
      </c>
    </row>
    <row r="10003" spans="18:18" ht="14.25">
      <c r="R10003" s="20">
        <v>9976</v>
      </c>
    </row>
    <row r="10004" spans="18:18" ht="14.25">
      <c r="R10004" s="20">
        <v>9977</v>
      </c>
    </row>
    <row r="10005" spans="18:18" ht="14.25">
      <c r="R10005" s="20">
        <v>9978</v>
      </c>
    </row>
    <row r="10006" spans="18:18" ht="14.25">
      <c r="R10006" s="20">
        <v>9979</v>
      </c>
    </row>
    <row r="10007" spans="18:18" ht="14.25">
      <c r="R10007" s="20">
        <v>9980</v>
      </c>
    </row>
    <row r="10008" spans="18:18" ht="14.25">
      <c r="R10008" s="20">
        <v>9981</v>
      </c>
    </row>
    <row r="10009" spans="18:18" ht="14.25">
      <c r="R10009" s="20">
        <v>9982</v>
      </c>
    </row>
    <row r="10010" spans="18:18" ht="14.25">
      <c r="R10010" s="20">
        <v>9983</v>
      </c>
    </row>
    <row r="10011" spans="18:18" ht="14.25">
      <c r="R10011" s="20">
        <v>9984</v>
      </c>
    </row>
    <row r="10012" spans="18:18" ht="14.25">
      <c r="R10012" s="20">
        <v>9985</v>
      </c>
    </row>
    <row r="10013" spans="18:18" ht="14.25">
      <c r="R10013" s="20">
        <v>9986</v>
      </c>
    </row>
    <row r="10014" spans="18:18" ht="14.25">
      <c r="R10014" s="20">
        <v>9987</v>
      </c>
    </row>
    <row r="10015" spans="18:18" ht="14.25">
      <c r="R10015" s="20">
        <v>9988</v>
      </c>
    </row>
    <row r="10016" spans="18:18" ht="14.25">
      <c r="R10016" s="20">
        <v>9989</v>
      </c>
    </row>
    <row r="10017" spans="18:18" ht="14.25">
      <c r="R10017" s="20">
        <v>9990</v>
      </c>
    </row>
    <row r="10018" spans="18:18" ht="14.25">
      <c r="R10018" s="20">
        <v>9991</v>
      </c>
    </row>
    <row r="10019" spans="18:18" ht="14.25">
      <c r="R10019" s="20">
        <v>9992</v>
      </c>
    </row>
    <row r="10020" spans="18:18" ht="14.25">
      <c r="R10020" s="20">
        <v>9993</v>
      </c>
    </row>
    <row r="10021" spans="18:18" ht="14.25">
      <c r="R10021" s="20">
        <v>9994</v>
      </c>
    </row>
    <row r="10022" spans="18:18" ht="14.25">
      <c r="R10022" s="20">
        <v>9995</v>
      </c>
    </row>
    <row r="10023" spans="18:18" ht="14.25">
      <c r="R10023" s="20">
        <v>9996</v>
      </c>
    </row>
    <row r="10024" spans="18:18" ht="14.25">
      <c r="R10024" s="20">
        <v>9997</v>
      </c>
    </row>
    <row r="10025" spans="18:18" ht="14.25">
      <c r="R10025" s="20">
        <v>9998</v>
      </c>
    </row>
    <row r="10026" spans="18:18" ht="14.25">
      <c r="R10026" s="20">
        <v>9999</v>
      </c>
    </row>
    <row r="10027" spans="18:18" ht="14.25">
      <c r="R10027" s="20">
        <v>10000</v>
      </c>
    </row>
    <row r="10028" spans="18:18" ht="14.25">
      <c r="R10028" s="20">
        <v>10001</v>
      </c>
    </row>
    <row r="10029" spans="18:18" ht="14.25">
      <c r="R10029" s="20">
        <v>10002</v>
      </c>
    </row>
    <row r="10030" spans="18:18" ht="14.25">
      <c r="R10030" s="20">
        <v>10003</v>
      </c>
    </row>
    <row r="10031" spans="18:18" ht="14.25">
      <c r="R10031" s="20">
        <v>10004</v>
      </c>
    </row>
    <row r="10032" spans="18:18" ht="14.25">
      <c r="R10032" s="20">
        <v>10005</v>
      </c>
    </row>
    <row r="10033" spans="18:18" ht="14.25">
      <c r="R10033" s="20">
        <v>10006</v>
      </c>
    </row>
    <row r="10034" spans="18:18" ht="14.25">
      <c r="R10034" s="20">
        <v>10007</v>
      </c>
    </row>
    <row r="10035" spans="18:18" ht="14.25">
      <c r="R10035" s="20">
        <v>10008</v>
      </c>
    </row>
    <row r="10036" spans="18:18" ht="14.25">
      <c r="R10036" s="20">
        <v>10009</v>
      </c>
    </row>
    <row r="10037" spans="18:18" ht="14.25">
      <c r="R10037" s="20">
        <v>10010</v>
      </c>
    </row>
    <row r="10038" spans="18:18" ht="14.25">
      <c r="R10038" s="20">
        <v>10011</v>
      </c>
    </row>
    <row r="10039" spans="18:18" ht="14.25">
      <c r="R10039" s="20">
        <v>10012</v>
      </c>
    </row>
    <row r="10040" spans="18:18" ht="14.25">
      <c r="R10040" s="20">
        <v>10013</v>
      </c>
    </row>
    <row r="10041" spans="18:18" ht="14.25">
      <c r="R10041" s="20">
        <v>10014</v>
      </c>
    </row>
    <row r="10042" spans="18:18" ht="14.25">
      <c r="R10042" s="20">
        <v>10015</v>
      </c>
    </row>
    <row r="10043" spans="18:18" ht="14.25">
      <c r="R10043" s="20">
        <v>10016</v>
      </c>
    </row>
    <row r="10044" spans="18:18" ht="14.25">
      <c r="R10044" s="20">
        <v>10017</v>
      </c>
    </row>
    <row r="10045" spans="18:18" ht="14.25">
      <c r="R10045" s="20">
        <v>10018</v>
      </c>
    </row>
    <row r="10046" spans="18:18" ht="14.25">
      <c r="R10046" s="20">
        <v>10019</v>
      </c>
    </row>
    <row r="10047" spans="18:18" ht="14.25">
      <c r="R10047" s="20">
        <v>10020</v>
      </c>
    </row>
    <row r="10048" spans="18:18" ht="14.25">
      <c r="R10048" s="20">
        <v>10021</v>
      </c>
    </row>
    <row r="10049" spans="18:18" ht="14.25">
      <c r="R10049" s="20">
        <v>10022</v>
      </c>
    </row>
    <row r="10050" spans="18:18" ht="14.25">
      <c r="R10050" s="20">
        <v>10023</v>
      </c>
    </row>
    <row r="10051" spans="18:18" ht="14.25">
      <c r="R10051" s="20">
        <v>10024</v>
      </c>
    </row>
    <row r="10052" spans="18:18" ht="14.25">
      <c r="R10052" s="20">
        <v>10025</v>
      </c>
    </row>
    <row r="10053" spans="18:18" ht="14.25">
      <c r="R10053" s="20">
        <v>10026</v>
      </c>
    </row>
    <row r="10054" spans="18:18" ht="14.25">
      <c r="R10054" s="20">
        <v>10027</v>
      </c>
    </row>
    <row r="10055" spans="18:18" ht="14.25">
      <c r="R10055" s="20">
        <v>10028</v>
      </c>
    </row>
    <row r="10056" spans="18:18" ht="14.25">
      <c r="R10056" s="20">
        <v>10029</v>
      </c>
    </row>
    <row r="10057" spans="18:18" ht="14.25">
      <c r="R10057" s="20">
        <v>10030</v>
      </c>
    </row>
    <row r="10058" spans="18:18" ht="14.25">
      <c r="R10058" s="20">
        <v>10031</v>
      </c>
    </row>
    <row r="10059" spans="18:18" ht="14.25">
      <c r="R10059" s="20">
        <v>10032</v>
      </c>
    </row>
    <row r="10060" spans="18:18" ht="14.25">
      <c r="R10060" s="20">
        <v>10033</v>
      </c>
    </row>
    <row r="10061" spans="18:18" ht="14.25">
      <c r="R10061" s="20">
        <v>10034</v>
      </c>
    </row>
    <row r="10062" spans="18:18" ht="14.25">
      <c r="R10062" s="20">
        <v>10035</v>
      </c>
    </row>
    <row r="10063" spans="18:18" ht="14.25">
      <c r="R10063" s="20">
        <v>10036</v>
      </c>
    </row>
    <row r="10064" spans="18:18" ht="14.25">
      <c r="R10064" s="20">
        <v>10037</v>
      </c>
    </row>
    <row r="10065" spans="18:18" ht="14.25">
      <c r="R10065" s="20">
        <v>10038</v>
      </c>
    </row>
    <row r="10066" spans="18:18" ht="14.25">
      <c r="R10066" s="20">
        <v>10039</v>
      </c>
    </row>
    <row r="10067" spans="18:18" ht="14.25">
      <c r="R10067" s="20">
        <v>10040</v>
      </c>
    </row>
    <row r="10068" spans="18:18" ht="14.25">
      <c r="R10068" s="20">
        <v>10041</v>
      </c>
    </row>
    <row r="10069" spans="18:18" ht="14.25">
      <c r="R10069" s="20">
        <v>10042</v>
      </c>
    </row>
    <row r="10070" spans="18:18" ht="14.25">
      <c r="R10070" s="20">
        <v>10043</v>
      </c>
    </row>
    <row r="10071" spans="18:18" ht="14.25">
      <c r="R10071" s="20">
        <v>10044</v>
      </c>
    </row>
    <row r="10072" spans="18:18" ht="14.25">
      <c r="R10072" s="20">
        <v>10045</v>
      </c>
    </row>
    <row r="10073" spans="18:18" ht="14.25">
      <c r="R10073" s="20">
        <v>10046</v>
      </c>
    </row>
    <row r="10074" spans="18:18" ht="14.25">
      <c r="R10074" s="20">
        <v>10047</v>
      </c>
    </row>
    <row r="10075" spans="18:18" ht="14.25">
      <c r="R10075" s="20">
        <v>10048</v>
      </c>
    </row>
    <row r="10076" spans="18:18" ht="14.25">
      <c r="R10076" s="20">
        <v>10049</v>
      </c>
    </row>
    <row r="10077" spans="18:18" ht="14.25">
      <c r="R10077" s="20">
        <v>10050</v>
      </c>
    </row>
    <row r="10078" spans="18:18" ht="14.25">
      <c r="R10078" s="20">
        <v>10051</v>
      </c>
    </row>
    <row r="10079" spans="18:18" ht="14.25">
      <c r="R10079" s="20">
        <v>10052</v>
      </c>
    </row>
    <row r="10080" spans="18:18" ht="14.25">
      <c r="R10080" s="20">
        <v>10053</v>
      </c>
    </row>
    <row r="10081" spans="18:18" ht="14.25">
      <c r="R10081" s="20">
        <v>10054</v>
      </c>
    </row>
    <row r="10082" spans="18:18" ht="14.25">
      <c r="R10082" s="20">
        <v>10055</v>
      </c>
    </row>
    <row r="10083" spans="18:18" ht="14.25">
      <c r="R10083" s="20">
        <v>10056</v>
      </c>
    </row>
    <row r="10084" spans="18:18" ht="14.25">
      <c r="R10084" s="20">
        <v>10057</v>
      </c>
    </row>
    <row r="10085" spans="18:18" ht="14.25">
      <c r="R10085" s="20">
        <v>10058</v>
      </c>
    </row>
    <row r="10086" spans="18:18" ht="14.25">
      <c r="R10086" s="20">
        <v>10059</v>
      </c>
    </row>
    <row r="10087" spans="18:18" ht="14.25">
      <c r="R10087" s="20">
        <v>10060</v>
      </c>
    </row>
    <row r="10088" spans="18:18" ht="14.25">
      <c r="R10088" s="20">
        <v>10061</v>
      </c>
    </row>
    <row r="10089" spans="18:18" ht="14.25">
      <c r="R10089" s="20">
        <v>10062</v>
      </c>
    </row>
    <row r="10090" spans="18:18" ht="14.25">
      <c r="R10090" s="20">
        <v>10063</v>
      </c>
    </row>
    <row r="10091" spans="18:18" ht="14.25">
      <c r="R10091" s="20">
        <v>10064</v>
      </c>
    </row>
    <row r="10092" spans="18:18" ht="14.25">
      <c r="R10092" s="20">
        <v>10065</v>
      </c>
    </row>
    <row r="10093" spans="18:18" ht="14.25">
      <c r="R10093" s="20">
        <v>10066</v>
      </c>
    </row>
    <row r="10094" spans="18:18" ht="14.25">
      <c r="R10094" s="20">
        <v>10067</v>
      </c>
    </row>
    <row r="10095" spans="18:18" ht="14.25">
      <c r="R10095" s="20">
        <v>10068</v>
      </c>
    </row>
    <row r="10096" spans="18:18" ht="14.25">
      <c r="R10096" s="20">
        <v>10069</v>
      </c>
    </row>
    <row r="10097" spans="18:18" ht="14.25">
      <c r="R10097" s="20">
        <v>10070</v>
      </c>
    </row>
    <row r="10098" spans="18:18" ht="14.25">
      <c r="R10098" s="20">
        <v>10071</v>
      </c>
    </row>
    <row r="10099" spans="18:18" ht="14.25">
      <c r="R10099" s="20">
        <v>10072</v>
      </c>
    </row>
    <row r="10100" spans="18:18" ht="14.25">
      <c r="R10100" s="20">
        <v>10073</v>
      </c>
    </row>
    <row r="10101" spans="18:18" ht="14.25">
      <c r="R10101" s="20">
        <v>10074</v>
      </c>
    </row>
    <row r="10102" spans="18:18" ht="14.25">
      <c r="R10102" s="20">
        <v>10075</v>
      </c>
    </row>
    <row r="10103" spans="18:18" ht="14.25">
      <c r="R10103" s="20">
        <v>10076</v>
      </c>
    </row>
    <row r="10104" spans="18:18" ht="14.25">
      <c r="R10104" s="20">
        <v>10077</v>
      </c>
    </row>
    <row r="10105" spans="18:18" ht="14.25">
      <c r="R10105" s="20">
        <v>10078</v>
      </c>
    </row>
    <row r="10106" spans="18:18" ht="14.25">
      <c r="R10106" s="20">
        <v>10079</v>
      </c>
    </row>
    <row r="10107" spans="18:18" ht="14.25">
      <c r="R10107" s="20">
        <v>10080</v>
      </c>
    </row>
    <row r="10108" spans="18:18" ht="14.25">
      <c r="R10108" s="20">
        <v>10081</v>
      </c>
    </row>
    <row r="10109" spans="18:18" ht="14.25">
      <c r="R10109" s="20">
        <v>10082</v>
      </c>
    </row>
    <row r="10110" spans="18:18" ht="14.25">
      <c r="R10110" s="20">
        <v>10083</v>
      </c>
    </row>
    <row r="10111" spans="18:18" ht="14.25">
      <c r="R10111" s="20">
        <v>10084</v>
      </c>
    </row>
    <row r="10112" spans="18:18" ht="14.25">
      <c r="R10112" s="20">
        <v>10085</v>
      </c>
    </row>
    <row r="10113" spans="18:18" ht="14.25">
      <c r="R10113" s="20">
        <v>10086</v>
      </c>
    </row>
    <row r="10114" spans="18:18" ht="14.25">
      <c r="R10114" s="20">
        <v>10087</v>
      </c>
    </row>
    <row r="10115" spans="18:18" ht="14.25">
      <c r="R10115" s="20">
        <v>10088</v>
      </c>
    </row>
    <row r="10116" spans="18:18" ht="14.25">
      <c r="R10116" s="20">
        <v>10089</v>
      </c>
    </row>
    <row r="10117" spans="18:18" ht="14.25">
      <c r="R10117" s="20">
        <v>10090</v>
      </c>
    </row>
    <row r="10118" spans="18:18" ht="14.25">
      <c r="R10118" s="20">
        <v>10091</v>
      </c>
    </row>
    <row r="10119" spans="18:18" ht="14.25">
      <c r="R10119" s="20">
        <v>10092</v>
      </c>
    </row>
    <row r="10120" spans="18:18" ht="14.25">
      <c r="R10120" s="20">
        <v>10093</v>
      </c>
    </row>
    <row r="10121" spans="18:18" ht="14.25">
      <c r="R10121" s="20">
        <v>10094</v>
      </c>
    </row>
    <row r="10122" spans="18:18" ht="14.25">
      <c r="R10122" s="20">
        <v>10095</v>
      </c>
    </row>
    <row r="10123" spans="18:18" ht="14.25">
      <c r="R10123" s="20">
        <v>10096</v>
      </c>
    </row>
    <row r="10124" spans="18:18" ht="14.25">
      <c r="R10124" s="20">
        <v>10097</v>
      </c>
    </row>
    <row r="10125" spans="18:18" ht="14.25">
      <c r="R10125" s="20">
        <v>10098</v>
      </c>
    </row>
    <row r="10126" spans="18:18" ht="14.25">
      <c r="R10126" s="20">
        <v>10099</v>
      </c>
    </row>
    <row r="10127" spans="18:18" ht="14.25">
      <c r="R10127" s="20">
        <v>10100</v>
      </c>
    </row>
    <row r="10128" spans="18:18" ht="14.25">
      <c r="R10128" s="20">
        <v>10101</v>
      </c>
    </row>
    <row r="10129" spans="18:18" ht="14.25">
      <c r="R10129" s="20">
        <v>10102</v>
      </c>
    </row>
    <row r="10130" spans="18:18" ht="14.25">
      <c r="R10130" s="20">
        <v>10103</v>
      </c>
    </row>
    <row r="10131" spans="18:18" ht="14.25">
      <c r="R10131" s="20">
        <v>10104</v>
      </c>
    </row>
    <row r="10132" spans="18:18" ht="14.25">
      <c r="R10132" s="20">
        <v>10105</v>
      </c>
    </row>
    <row r="10133" spans="18:18" ht="14.25">
      <c r="R10133" s="20">
        <v>10106</v>
      </c>
    </row>
    <row r="10134" spans="18:18" ht="14.25">
      <c r="R10134" s="20">
        <v>10107</v>
      </c>
    </row>
    <row r="10135" spans="18:18" ht="14.25">
      <c r="R10135" s="20">
        <v>10108</v>
      </c>
    </row>
    <row r="10136" spans="18:18" ht="14.25">
      <c r="R10136" s="20">
        <v>10109</v>
      </c>
    </row>
    <row r="10137" spans="18:18" ht="14.25">
      <c r="R10137" s="20">
        <v>10110</v>
      </c>
    </row>
    <row r="10138" spans="18:18" ht="14.25">
      <c r="R10138" s="20">
        <v>10111</v>
      </c>
    </row>
    <row r="10139" spans="18:18" ht="14.25">
      <c r="R10139" s="20">
        <v>10112</v>
      </c>
    </row>
    <row r="10140" spans="18:18" ht="14.25">
      <c r="R10140" s="20">
        <v>10113</v>
      </c>
    </row>
    <row r="10141" spans="18:18" ht="14.25">
      <c r="R10141" s="20">
        <v>10114</v>
      </c>
    </row>
    <row r="10142" spans="18:18" ht="14.25">
      <c r="R10142" s="20">
        <v>10115</v>
      </c>
    </row>
    <row r="10143" spans="18:18" ht="14.25">
      <c r="R10143" s="20">
        <v>10116</v>
      </c>
    </row>
    <row r="10144" spans="18:18" ht="14.25">
      <c r="R10144" s="20">
        <v>10117</v>
      </c>
    </row>
    <row r="10145" spans="18:18" ht="14.25">
      <c r="R10145" s="20">
        <v>10118</v>
      </c>
    </row>
    <row r="10146" spans="18:18" ht="14.25">
      <c r="R10146" s="20">
        <v>10119</v>
      </c>
    </row>
    <row r="10147" spans="18:18" ht="14.25">
      <c r="R10147" s="20">
        <v>10120</v>
      </c>
    </row>
    <row r="10148" spans="18:18" ht="14.25">
      <c r="R10148" s="20">
        <v>10121</v>
      </c>
    </row>
    <row r="10149" spans="18:18" ht="14.25">
      <c r="R10149" s="20">
        <v>10122</v>
      </c>
    </row>
    <row r="10150" spans="18:18" ht="14.25">
      <c r="R10150" s="20">
        <v>10123</v>
      </c>
    </row>
    <row r="10151" spans="18:18" ht="14.25">
      <c r="R10151" s="20">
        <v>10124</v>
      </c>
    </row>
    <row r="10152" spans="18:18" ht="14.25">
      <c r="R10152" s="20">
        <v>10125</v>
      </c>
    </row>
    <row r="10153" spans="18:18" ht="14.25">
      <c r="R10153" s="20">
        <v>10126</v>
      </c>
    </row>
    <row r="10154" spans="18:18" ht="14.25">
      <c r="R10154" s="20">
        <v>10127</v>
      </c>
    </row>
    <row r="10155" spans="18:18" ht="14.25">
      <c r="R10155" s="20">
        <v>10128</v>
      </c>
    </row>
    <row r="10156" spans="18:18" ht="14.25">
      <c r="R10156" s="20">
        <v>10129</v>
      </c>
    </row>
    <row r="10157" spans="18:18" ht="14.25">
      <c r="R10157" s="20">
        <v>10130</v>
      </c>
    </row>
    <row r="10158" spans="18:18" ht="14.25">
      <c r="R10158" s="20">
        <v>10131</v>
      </c>
    </row>
    <row r="10159" spans="18:18" ht="14.25">
      <c r="R10159" s="20">
        <v>10132</v>
      </c>
    </row>
    <row r="10160" spans="18:18" ht="14.25">
      <c r="R10160" s="20">
        <v>10133</v>
      </c>
    </row>
    <row r="10161" spans="18:18" ht="14.25">
      <c r="R10161" s="20">
        <v>10134</v>
      </c>
    </row>
    <row r="10162" spans="18:18" ht="14.25">
      <c r="R10162" s="20">
        <v>10135</v>
      </c>
    </row>
    <row r="10163" spans="18:18" ht="14.25">
      <c r="R10163" s="20">
        <v>10136</v>
      </c>
    </row>
    <row r="10164" spans="18:18" ht="14.25">
      <c r="R10164" s="20">
        <v>10137</v>
      </c>
    </row>
    <row r="10165" spans="18:18" ht="14.25">
      <c r="R10165" s="20">
        <v>10138</v>
      </c>
    </row>
    <row r="10166" spans="18:18" ht="14.25">
      <c r="R10166" s="20">
        <v>10139</v>
      </c>
    </row>
    <row r="10167" spans="18:18" ht="14.25">
      <c r="R10167" s="20">
        <v>10140</v>
      </c>
    </row>
    <row r="10168" spans="18:18" ht="14.25">
      <c r="R10168" s="20">
        <v>10141</v>
      </c>
    </row>
    <row r="10169" spans="18:18" ht="14.25">
      <c r="R10169" s="20">
        <v>10142</v>
      </c>
    </row>
    <row r="10170" spans="18:18" ht="14.25">
      <c r="R10170" s="20">
        <v>10143</v>
      </c>
    </row>
    <row r="10171" spans="18:18" ht="14.25">
      <c r="R10171" s="20">
        <v>10144</v>
      </c>
    </row>
    <row r="10172" spans="18:18" ht="14.25">
      <c r="R10172" s="20">
        <v>10145</v>
      </c>
    </row>
    <row r="10173" spans="18:18" ht="14.25">
      <c r="R10173" s="20">
        <v>10146</v>
      </c>
    </row>
    <row r="10174" spans="18:18" ht="14.25">
      <c r="R10174" s="20">
        <v>10147</v>
      </c>
    </row>
    <row r="10175" spans="18:18" ht="14.25">
      <c r="R10175" s="20">
        <v>10148</v>
      </c>
    </row>
    <row r="10176" spans="18:18" ht="14.25">
      <c r="R10176" s="20">
        <v>10149</v>
      </c>
    </row>
    <row r="10177" spans="18:18" ht="14.25">
      <c r="R10177" s="20">
        <v>10150</v>
      </c>
    </row>
    <row r="10178" spans="18:18" ht="14.25">
      <c r="R10178" s="20">
        <v>10151</v>
      </c>
    </row>
    <row r="10179" spans="18:18" ht="14.25">
      <c r="R10179" s="20">
        <v>10152</v>
      </c>
    </row>
    <row r="10180" spans="18:18" ht="14.25">
      <c r="R10180" s="20">
        <v>10153</v>
      </c>
    </row>
    <row r="10181" spans="18:18" ht="14.25">
      <c r="R10181" s="20">
        <v>10154</v>
      </c>
    </row>
    <row r="10182" spans="18:18" ht="14.25">
      <c r="R10182" s="20">
        <v>10155</v>
      </c>
    </row>
    <row r="10183" spans="18:18" ht="14.25">
      <c r="R10183" s="20">
        <v>10156</v>
      </c>
    </row>
    <row r="10184" spans="18:18" ht="14.25">
      <c r="R10184" s="20">
        <v>10157</v>
      </c>
    </row>
    <row r="10185" spans="18:18" ht="14.25">
      <c r="R10185" s="20">
        <v>10158</v>
      </c>
    </row>
    <row r="10186" spans="18:18" ht="14.25">
      <c r="R10186" s="20">
        <v>10159</v>
      </c>
    </row>
    <row r="10187" spans="18:18" ht="14.25">
      <c r="R10187" s="20">
        <v>10160</v>
      </c>
    </row>
    <row r="10188" spans="18:18" ht="14.25">
      <c r="R10188" s="20">
        <v>10161</v>
      </c>
    </row>
    <row r="10189" spans="18:18" ht="14.25">
      <c r="R10189" s="20">
        <v>10162</v>
      </c>
    </row>
    <row r="10190" spans="18:18" ht="14.25">
      <c r="R10190" s="20">
        <v>10163</v>
      </c>
    </row>
    <row r="10191" spans="18:18" ht="14.25">
      <c r="R10191" s="20">
        <v>10164</v>
      </c>
    </row>
    <row r="10192" spans="18:18" ht="14.25">
      <c r="R10192" s="20">
        <v>10165</v>
      </c>
    </row>
    <row r="10193" spans="18:18" ht="14.25">
      <c r="R10193" s="20">
        <v>10166</v>
      </c>
    </row>
    <row r="10194" spans="18:18" ht="14.25">
      <c r="R10194" s="20">
        <v>10167</v>
      </c>
    </row>
    <row r="10195" spans="18:18" ht="14.25">
      <c r="R10195" s="20">
        <v>10168</v>
      </c>
    </row>
    <row r="10196" spans="18:18" ht="14.25">
      <c r="R10196" s="20">
        <v>10169</v>
      </c>
    </row>
    <row r="10197" spans="18:18" ht="14.25">
      <c r="R10197" s="20">
        <v>10170</v>
      </c>
    </row>
    <row r="10198" spans="18:18" ht="14.25">
      <c r="R10198" s="20">
        <v>10171</v>
      </c>
    </row>
    <row r="10199" spans="18:18" ht="14.25">
      <c r="R10199" s="20">
        <v>10172</v>
      </c>
    </row>
    <row r="10200" spans="18:18" ht="14.25">
      <c r="R10200" s="20">
        <v>10173</v>
      </c>
    </row>
    <row r="10201" spans="18:18" ht="14.25">
      <c r="R10201" s="20">
        <v>10174</v>
      </c>
    </row>
    <row r="10202" spans="18:18" ht="14.25">
      <c r="R10202" s="20">
        <v>10175</v>
      </c>
    </row>
    <row r="10203" spans="18:18" ht="14.25">
      <c r="R10203" s="20">
        <v>10176</v>
      </c>
    </row>
    <row r="10204" spans="18:18" ht="14.25">
      <c r="R10204" s="20">
        <v>10177</v>
      </c>
    </row>
    <row r="10205" spans="18:18" ht="14.25">
      <c r="R10205" s="20">
        <v>10178</v>
      </c>
    </row>
    <row r="10206" spans="18:18" ht="14.25">
      <c r="R10206" s="20">
        <v>10179</v>
      </c>
    </row>
    <row r="10207" spans="18:18" ht="14.25">
      <c r="R10207" s="20">
        <v>10180</v>
      </c>
    </row>
    <row r="10208" spans="18:18" ht="14.25">
      <c r="R10208" s="20">
        <v>10181</v>
      </c>
    </row>
    <row r="10209" spans="18:18" ht="14.25">
      <c r="R10209" s="20">
        <v>10182</v>
      </c>
    </row>
    <row r="10210" spans="18:18" ht="14.25">
      <c r="R10210" s="20">
        <v>10183</v>
      </c>
    </row>
    <row r="10211" spans="18:18" ht="14.25">
      <c r="R10211" s="20">
        <v>10184</v>
      </c>
    </row>
    <row r="10212" spans="18:18" ht="14.25">
      <c r="R10212" s="20">
        <v>10185</v>
      </c>
    </row>
    <row r="10213" spans="18:18" ht="14.25">
      <c r="R10213" s="20">
        <v>10186</v>
      </c>
    </row>
    <row r="10214" spans="18:18" ht="14.25">
      <c r="R10214" s="20">
        <v>10187</v>
      </c>
    </row>
    <row r="10215" spans="18:18" ht="14.25">
      <c r="R10215" s="20">
        <v>10188</v>
      </c>
    </row>
    <row r="10216" spans="18:18" ht="14.25">
      <c r="R10216" s="20">
        <v>10189</v>
      </c>
    </row>
    <row r="10217" spans="18:18" ht="14.25">
      <c r="R10217" s="20">
        <v>10190</v>
      </c>
    </row>
    <row r="10218" spans="18:18" ht="14.25">
      <c r="R10218" s="20">
        <v>10191</v>
      </c>
    </row>
    <row r="10219" spans="18:18" ht="14.25">
      <c r="R10219" s="20">
        <v>10192</v>
      </c>
    </row>
    <row r="10220" spans="18:18" ht="14.25">
      <c r="R10220" s="20">
        <v>10193</v>
      </c>
    </row>
    <row r="10221" spans="18:18" ht="14.25">
      <c r="R10221" s="20">
        <v>10194</v>
      </c>
    </row>
    <row r="10222" spans="18:18" ht="14.25">
      <c r="R10222" s="20">
        <v>10195</v>
      </c>
    </row>
    <row r="10223" spans="18:18" ht="14.25">
      <c r="R10223" s="20">
        <v>10196</v>
      </c>
    </row>
    <row r="10224" spans="18:18" ht="14.25">
      <c r="R10224" s="20">
        <v>10197</v>
      </c>
    </row>
    <row r="10225" spans="18:18" ht="14.25">
      <c r="R10225" s="20">
        <v>10198</v>
      </c>
    </row>
    <row r="10226" spans="18:18" ht="14.25">
      <c r="R10226" s="20">
        <v>10199</v>
      </c>
    </row>
    <row r="10227" spans="18:18" ht="14.25">
      <c r="R10227" s="20">
        <v>10200</v>
      </c>
    </row>
    <row r="10228" spans="18:18" ht="14.25">
      <c r="R10228" s="20">
        <v>10201</v>
      </c>
    </row>
    <row r="10229" spans="18:18" ht="14.25">
      <c r="R10229" s="20">
        <v>10202</v>
      </c>
    </row>
    <row r="10230" spans="18:18" ht="14.25">
      <c r="R10230" s="20">
        <v>10203</v>
      </c>
    </row>
    <row r="10231" spans="18:18" ht="14.25">
      <c r="R10231" s="20">
        <v>10204</v>
      </c>
    </row>
    <row r="10232" spans="18:18" ht="14.25">
      <c r="R10232" s="20">
        <v>10205</v>
      </c>
    </row>
    <row r="10233" spans="18:18" ht="14.25">
      <c r="R10233" s="20">
        <v>10206</v>
      </c>
    </row>
    <row r="10234" spans="18:18" ht="14.25">
      <c r="R10234" s="20">
        <v>10207</v>
      </c>
    </row>
    <row r="10235" spans="18:18" ht="14.25">
      <c r="R10235" s="20">
        <v>10208</v>
      </c>
    </row>
    <row r="10236" spans="18:18" ht="14.25">
      <c r="R10236" s="20">
        <v>10209</v>
      </c>
    </row>
    <row r="10237" spans="18:18" ht="14.25">
      <c r="R10237" s="20">
        <v>10210</v>
      </c>
    </row>
    <row r="10238" spans="18:18" ht="14.25">
      <c r="R10238" s="20">
        <v>10211</v>
      </c>
    </row>
    <row r="10239" spans="18:18" ht="14.25">
      <c r="R10239" s="20">
        <v>10212</v>
      </c>
    </row>
    <row r="10240" spans="18:18" ht="14.25">
      <c r="R10240" s="20">
        <v>10213</v>
      </c>
    </row>
    <row r="10241" spans="18:18" ht="14.25">
      <c r="R10241" s="20">
        <v>10214</v>
      </c>
    </row>
    <row r="10242" spans="18:18" ht="14.25">
      <c r="R10242" s="20">
        <v>10215</v>
      </c>
    </row>
    <row r="10243" spans="18:18" ht="14.25">
      <c r="R10243" s="20">
        <v>10216</v>
      </c>
    </row>
    <row r="10244" spans="18:18" ht="14.25">
      <c r="R10244" s="20">
        <v>10217</v>
      </c>
    </row>
    <row r="10245" spans="18:18" ht="14.25">
      <c r="R10245" s="20">
        <v>10218</v>
      </c>
    </row>
    <row r="10246" spans="18:18" ht="14.25">
      <c r="R10246" s="20">
        <v>10219</v>
      </c>
    </row>
    <row r="10247" spans="18:18" ht="14.25">
      <c r="R10247" s="20">
        <v>10220</v>
      </c>
    </row>
    <row r="10248" spans="18:18" ht="14.25">
      <c r="R10248" s="20">
        <v>10221</v>
      </c>
    </row>
    <row r="10249" spans="18:18" ht="14.25">
      <c r="R10249" s="20">
        <v>10222</v>
      </c>
    </row>
    <row r="10250" spans="18:18" ht="14.25">
      <c r="R10250" s="20">
        <v>10223</v>
      </c>
    </row>
    <row r="10251" spans="18:18" ht="14.25">
      <c r="R10251" s="20">
        <v>10224</v>
      </c>
    </row>
    <row r="10252" spans="18:18" ht="14.25">
      <c r="R10252" s="20">
        <v>10225</v>
      </c>
    </row>
    <row r="10253" spans="18:18" ht="14.25">
      <c r="R10253" s="20">
        <v>10226</v>
      </c>
    </row>
    <row r="10254" spans="18:18" ht="14.25">
      <c r="R10254" s="20">
        <v>10227</v>
      </c>
    </row>
    <row r="10255" spans="18:18" ht="14.25">
      <c r="R10255" s="20">
        <v>10228</v>
      </c>
    </row>
    <row r="10256" spans="18:18" ht="14.25">
      <c r="R10256" s="20">
        <v>10229</v>
      </c>
    </row>
    <row r="10257" spans="18:18" ht="14.25">
      <c r="R10257" s="20">
        <v>10230</v>
      </c>
    </row>
    <row r="10258" spans="18:18" ht="14.25">
      <c r="R10258" s="20">
        <v>10231</v>
      </c>
    </row>
    <row r="10259" spans="18:18" ht="14.25">
      <c r="R10259" s="20">
        <v>10232</v>
      </c>
    </row>
    <row r="10260" spans="18:18" ht="14.25">
      <c r="R10260" s="20">
        <v>10233</v>
      </c>
    </row>
    <row r="10261" spans="18:18" ht="14.25">
      <c r="R10261" s="20">
        <v>10234</v>
      </c>
    </row>
    <row r="10262" spans="18:18" ht="14.25">
      <c r="R10262" s="20">
        <v>10235</v>
      </c>
    </row>
    <row r="10263" spans="18:18" ht="14.25">
      <c r="R10263" s="20">
        <v>10236</v>
      </c>
    </row>
    <row r="10264" spans="18:18" ht="14.25">
      <c r="R10264" s="20">
        <v>10237</v>
      </c>
    </row>
    <row r="10265" spans="18:18" ht="14.25">
      <c r="R10265" s="20">
        <v>10238</v>
      </c>
    </row>
    <row r="10266" spans="18:18" ht="14.25">
      <c r="R10266" s="20">
        <v>10239</v>
      </c>
    </row>
    <row r="10267" spans="18:18" ht="14.25">
      <c r="R10267" s="20">
        <v>10240</v>
      </c>
    </row>
    <row r="10268" spans="18:18" ht="14.25">
      <c r="R10268" s="20">
        <v>10241</v>
      </c>
    </row>
    <row r="10269" spans="18:18" ht="14.25">
      <c r="R10269" s="20">
        <v>10242</v>
      </c>
    </row>
    <row r="10270" spans="18:18" ht="14.25">
      <c r="R10270" s="20">
        <v>10243</v>
      </c>
    </row>
    <row r="10271" spans="18:18" ht="14.25">
      <c r="R10271" s="20">
        <v>10244</v>
      </c>
    </row>
    <row r="10272" spans="18:18" ht="14.25">
      <c r="R10272" s="20">
        <v>10245</v>
      </c>
    </row>
    <row r="10273" spans="18:18" ht="14.25">
      <c r="R10273" s="20">
        <v>10246</v>
      </c>
    </row>
    <row r="10274" spans="18:18" ht="14.25">
      <c r="R10274" s="20">
        <v>10247</v>
      </c>
    </row>
    <row r="10275" spans="18:18" ht="14.25">
      <c r="R10275" s="20">
        <v>10248</v>
      </c>
    </row>
    <row r="10276" spans="18:18" ht="14.25">
      <c r="R10276" s="20">
        <v>10249</v>
      </c>
    </row>
    <row r="10277" spans="18:18" ht="14.25">
      <c r="R10277" s="20">
        <v>10250</v>
      </c>
    </row>
    <row r="10278" spans="18:18" ht="14.25">
      <c r="R10278" s="20">
        <v>10251</v>
      </c>
    </row>
    <row r="10279" spans="18:18" ht="14.25">
      <c r="R10279" s="20">
        <v>10252</v>
      </c>
    </row>
    <row r="10280" spans="18:18" ht="14.25">
      <c r="R10280" s="20">
        <v>10253</v>
      </c>
    </row>
    <row r="10281" spans="18:18" ht="14.25">
      <c r="R10281" s="20">
        <v>10254</v>
      </c>
    </row>
    <row r="10282" spans="18:18" ht="14.25">
      <c r="R10282" s="20">
        <v>10255</v>
      </c>
    </row>
    <row r="10283" spans="18:18" ht="14.25">
      <c r="R10283" s="20">
        <v>10256</v>
      </c>
    </row>
    <row r="10284" spans="18:18" ht="14.25">
      <c r="R10284" s="20">
        <v>10257</v>
      </c>
    </row>
    <row r="10285" spans="18:18" ht="14.25">
      <c r="R10285" s="20">
        <v>10258</v>
      </c>
    </row>
    <row r="10286" spans="18:18" ht="14.25">
      <c r="R10286" s="20">
        <v>10259</v>
      </c>
    </row>
    <row r="10287" spans="18:18" ht="14.25">
      <c r="R10287" s="20">
        <v>10260</v>
      </c>
    </row>
    <row r="10288" spans="18:18" ht="14.25">
      <c r="R10288" s="20">
        <v>10261</v>
      </c>
    </row>
    <row r="10289" spans="18:18" ht="14.25">
      <c r="R10289" s="20">
        <v>10262</v>
      </c>
    </row>
    <row r="10290" spans="18:18" ht="14.25">
      <c r="R10290" s="20">
        <v>10263</v>
      </c>
    </row>
    <row r="10291" spans="18:18" ht="14.25">
      <c r="R10291" s="20">
        <v>10264</v>
      </c>
    </row>
    <row r="10292" spans="18:18" ht="14.25">
      <c r="R10292" s="20">
        <v>10265</v>
      </c>
    </row>
    <row r="10293" spans="18:18" ht="14.25">
      <c r="R10293" s="20">
        <v>10266</v>
      </c>
    </row>
    <row r="10294" spans="18:18" ht="14.25">
      <c r="R10294" s="20">
        <v>10267</v>
      </c>
    </row>
    <row r="10295" spans="18:18" ht="14.25">
      <c r="R10295" s="20">
        <v>10268</v>
      </c>
    </row>
    <row r="10296" spans="18:18" ht="14.25">
      <c r="R10296" s="20">
        <v>10269</v>
      </c>
    </row>
    <row r="10297" spans="18:18" ht="14.25">
      <c r="R10297" s="20">
        <v>10270</v>
      </c>
    </row>
    <row r="10298" spans="18:18" ht="14.25">
      <c r="R10298" s="20">
        <v>10271</v>
      </c>
    </row>
    <row r="10299" spans="18:18" ht="14.25">
      <c r="R10299" s="20">
        <v>10272</v>
      </c>
    </row>
    <row r="10300" spans="18:18" ht="14.25">
      <c r="R10300" s="20">
        <v>10273</v>
      </c>
    </row>
    <row r="10301" spans="18:18" ht="14.25">
      <c r="R10301" s="20">
        <v>10274</v>
      </c>
    </row>
    <row r="10302" spans="18:18" ht="14.25">
      <c r="R10302" s="20">
        <v>10275</v>
      </c>
    </row>
    <row r="10303" spans="18:18" ht="14.25">
      <c r="R10303" s="20">
        <v>10276</v>
      </c>
    </row>
    <row r="10304" spans="18:18" ht="14.25">
      <c r="R10304" s="20">
        <v>10277</v>
      </c>
    </row>
    <row r="10305" spans="18:18" ht="14.25">
      <c r="R10305" s="20">
        <v>10278</v>
      </c>
    </row>
    <row r="10306" spans="18:18" ht="14.25">
      <c r="R10306" s="20">
        <v>10279</v>
      </c>
    </row>
    <row r="10307" spans="18:18" ht="14.25">
      <c r="R10307" s="20">
        <v>10280</v>
      </c>
    </row>
    <row r="10308" spans="18:18" ht="14.25">
      <c r="R10308" s="20">
        <v>10281</v>
      </c>
    </row>
    <row r="10309" spans="18:18" ht="14.25">
      <c r="R10309" s="20">
        <v>10282</v>
      </c>
    </row>
    <row r="10310" spans="18:18" ht="14.25">
      <c r="R10310" s="20">
        <v>10283</v>
      </c>
    </row>
    <row r="10311" spans="18:18" ht="14.25">
      <c r="R10311" s="20">
        <v>10284</v>
      </c>
    </row>
    <row r="10312" spans="18:18" ht="14.25">
      <c r="R10312" s="20">
        <v>10285</v>
      </c>
    </row>
    <row r="10313" spans="18:18" ht="14.25">
      <c r="R10313" s="20">
        <v>10286</v>
      </c>
    </row>
    <row r="10314" spans="18:18" ht="14.25">
      <c r="R10314" s="20">
        <v>10287</v>
      </c>
    </row>
    <row r="10315" spans="18:18" ht="14.25">
      <c r="R10315" s="20">
        <v>10288</v>
      </c>
    </row>
    <row r="10316" spans="18:18" ht="14.25">
      <c r="R10316" s="20">
        <v>10289</v>
      </c>
    </row>
    <row r="10317" spans="18:18" ht="14.25">
      <c r="R10317" s="20">
        <v>10290</v>
      </c>
    </row>
    <row r="10318" spans="18:18" ht="14.25">
      <c r="R10318" s="20">
        <v>10291</v>
      </c>
    </row>
    <row r="10319" spans="18:18" ht="14.25">
      <c r="R10319" s="20">
        <v>10292</v>
      </c>
    </row>
    <row r="10320" spans="18:18" ht="14.25">
      <c r="R10320" s="20">
        <v>10293</v>
      </c>
    </row>
    <row r="10321" spans="18:18" ht="14.25">
      <c r="R10321" s="20">
        <v>10294</v>
      </c>
    </row>
    <row r="10322" spans="18:18" ht="14.25">
      <c r="R10322" s="20">
        <v>10295</v>
      </c>
    </row>
    <row r="10323" spans="18:18" ht="14.25">
      <c r="R10323" s="20">
        <v>10296</v>
      </c>
    </row>
    <row r="10324" spans="18:18" ht="14.25">
      <c r="R10324" s="20">
        <v>10297</v>
      </c>
    </row>
    <row r="10325" spans="18:18" ht="14.25">
      <c r="R10325" s="20">
        <v>10298</v>
      </c>
    </row>
    <row r="10326" spans="18:18" ht="14.25">
      <c r="R10326" s="20">
        <v>10299</v>
      </c>
    </row>
    <row r="10327" spans="18:18" ht="14.25">
      <c r="R10327" s="20">
        <v>10300</v>
      </c>
    </row>
    <row r="10328" spans="18:18" ht="14.25">
      <c r="R10328" s="20">
        <v>10301</v>
      </c>
    </row>
    <row r="10329" spans="18:18" ht="14.25">
      <c r="R10329" s="20">
        <v>10302</v>
      </c>
    </row>
    <row r="10330" spans="18:18" ht="14.25">
      <c r="R10330" s="20">
        <v>10303</v>
      </c>
    </row>
    <row r="10331" spans="18:18" ht="14.25">
      <c r="R10331" s="20">
        <v>10304</v>
      </c>
    </row>
    <row r="10332" spans="18:18" ht="14.25">
      <c r="R10332" s="20">
        <v>10305</v>
      </c>
    </row>
    <row r="10333" spans="18:18" ht="14.25">
      <c r="R10333" s="20">
        <v>10306</v>
      </c>
    </row>
    <row r="10334" spans="18:18" ht="14.25">
      <c r="R10334" s="20">
        <v>10307</v>
      </c>
    </row>
    <row r="10335" spans="18:18" ht="14.25">
      <c r="R10335" s="20">
        <v>10308</v>
      </c>
    </row>
    <row r="10336" spans="18:18" ht="14.25">
      <c r="R10336" s="20">
        <v>10309</v>
      </c>
    </row>
    <row r="10337" spans="18:18" ht="14.25">
      <c r="R10337" s="20">
        <v>10310</v>
      </c>
    </row>
    <row r="10338" spans="18:18" ht="14.25">
      <c r="R10338" s="20">
        <v>10311</v>
      </c>
    </row>
    <row r="10339" spans="18:18" ht="14.25">
      <c r="R10339" s="20">
        <v>10312</v>
      </c>
    </row>
    <row r="10340" spans="18:18" ht="14.25">
      <c r="R10340" s="20">
        <v>10313</v>
      </c>
    </row>
    <row r="10341" spans="18:18" ht="14.25">
      <c r="R10341" s="20">
        <v>10314</v>
      </c>
    </row>
    <row r="10342" spans="18:18" ht="14.25">
      <c r="R10342" s="20">
        <v>10315</v>
      </c>
    </row>
    <row r="10343" spans="18:18" ht="14.25">
      <c r="R10343" s="20">
        <v>10316</v>
      </c>
    </row>
    <row r="10344" spans="18:18" ht="14.25">
      <c r="R10344" s="20">
        <v>10317</v>
      </c>
    </row>
    <row r="10345" spans="18:18" ht="14.25">
      <c r="R10345" s="20">
        <v>10318</v>
      </c>
    </row>
    <row r="10346" spans="18:18" ht="14.25">
      <c r="R10346" s="20">
        <v>10319</v>
      </c>
    </row>
    <row r="10347" spans="18:18" ht="14.25">
      <c r="R10347" s="20">
        <v>10320</v>
      </c>
    </row>
    <row r="10348" spans="18:18" ht="14.25">
      <c r="R10348" s="20">
        <v>10321</v>
      </c>
    </row>
    <row r="10349" spans="18:18" ht="14.25">
      <c r="R10349" s="20">
        <v>10322</v>
      </c>
    </row>
    <row r="10350" spans="18:18" ht="14.25">
      <c r="R10350" s="20">
        <v>10323</v>
      </c>
    </row>
    <row r="10351" spans="18:18" ht="14.25">
      <c r="R10351" s="20">
        <v>10324</v>
      </c>
    </row>
    <row r="10352" spans="18:18" ht="14.25">
      <c r="R10352" s="20">
        <v>10325</v>
      </c>
    </row>
    <row r="10353" spans="18:18" ht="14.25">
      <c r="R10353" s="20">
        <v>10326</v>
      </c>
    </row>
    <row r="10354" spans="18:18" ht="14.25">
      <c r="R10354" s="20">
        <v>10327</v>
      </c>
    </row>
    <row r="10355" spans="18:18" ht="14.25">
      <c r="R10355" s="20">
        <v>10328</v>
      </c>
    </row>
    <row r="10356" spans="18:18" ht="14.25">
      <c r="R10356" s="20">
        <v>10329</v>
      </c>
    </row>
    <row r="10357" spans="18:18" ht="14.25">
      <c r="R10357" s="20">
        <v>10330</v>
      </c>
    </row>
    <row r="10358" spans="18:18" ht="14.25">
      <c r="R10358" s="20">
        <v>10331</v>
      </c>
    </row>
    <row r="10359" spans="18:18" ht="14.25">
      <c r="R10359" s="20">
        <v>10332</v>
      </c>
    </row>
    <row r="10360" spans="18:18" ht="14.25">
      <c r="R10360" s="20">
        <v>10333</v>
      </c>
    </row>
    <row r="10361" spans="18:18" ht="14.25">
      <c r="R10361" s="20">
        <v>10334</v>
      </c>
    </row>
    <row r="10362" spans="18:18" ht="14.25">
      <c r="R10362" s="20">
        <v>10335</v>
      </c>
    </row>
    <row r="10363" spans="18:18" ht="14.25">
      <c r="R10363" s="20">
        <v>10336</v>
      </c>
    </row>
    <row r="10364" spans="18:18" ht="14.25">
      <c r="R10364" s="20">
        <v>10337</v>
      </c>
    </row>
    <row r="10365" spans="18:18" ht="14.25">
      <c r="R10365" s="20">
        <v>10338</v>
      </c>
    </row>
    <row r="10366" spans="18:18" ht="14.25">
      <c r="R10366" s="20">
        <v>10339</v>
      </c>
    </row>
    <row r="10367" spans="18:18" ht="14.25">
      <c r="R10367" s="20">
        <v>10340</v>
      </c>
    </row>
    <row r="10368" spans="18:18" ht="14.25">
      <c r="R10368" s="20">
        <v>10341</v>
      </c>
    </row>
    <row r="10369" spans="18:18" ht="14.25">
      <c r="R10369" s="20">
        <v>10342</v>
      </c>
    </row>
    <row r="10370" spans="18:18" ht="14.25">
      <c r="R10370" s="20">
        <v>10343</v>
      </c>
    </row>
    <row r="10371" spans="18:18" ht="14.25">
      <c r="R10371" s="20">
        <v>10344</v>
      </c>
    </row>
    <row r="10372" spans="18:18" ht="14.25">
      <c r="R10372" s="20">
        <v>10345</v>
      </c>
    </row>
    <row r="10373" spans="18:18" ht="14.25">
      <c r="R10373" s="20">
        <v>10346</v>
      </c>
    </row>
    <row r="10374" spans="18:18" ht="14.25">
      <c r="R10374" s="20">
        <v>10347</v>
      </c>
    </row>
    <row r="10375" spans="18:18" ht="14.25">
      <c r="R10375" s="20">
        <v>10348</v>
      </c>
    </row>
    <row r="10376" spans="18:18" ht="14.25">
      <c r="R10376" s="20">
        <v>10349</v>
      </c>
    </row>
    <row r="10377" spans="18:18" ht="14.25">
      <c r="R10377" s="20">
        <v>10350</v>
      </c>
    </row>
    <row r="10378" spans="18:18" ht="14.25">
      <c r="R10378" s="20">
        <v>10351</v>
      </c>
    </row>
    <row r="10379" spans="18:18" ht="14.25">
      <c r="R10379" s="20">
        <v>10352</v>
      </c>
    </row>
    <row r="10380" spans="18:18" ht="14.25">
      <c r="R10380" s="20">
        <v>10353</v>
      </c>
    </row>
    <row r="10381" spans="18:18" ht="14.25">
      <c r="R10381" s="20">
        <v>10354</v>
      </c>
    </row>
    <row r="10382" spans="18:18" ht="14.25">
      <c r="R10382" s="20">
        <v>10355</v>
      </c>
    </row>
    <row r="10383" spans="18:18" ht="14.25">
      <c r="R10383" s="20">
        <v>10356</v>
      </c>
    </row>
    <row r="10384" spans="18:18" ht="14.25">
      <c r="R10384" s="20">
        <v>10357</v>
      </c>
    </row>
    <row r="10385" spans="18:18" ht="14.25">
      <c r="R10385" s="20">
        <v>10358</v>
      </c>
    </row>
    <row r="10386" spans="18:18" ht="14.25">
      <c r="R10386" s="20">
        <v>10359</v>
      </c>
    </row>
    <row r="10387" spans="18:18" ht="14.25">
      <c r="R10387" s="20">
        <v>10360</v>
      </c>
    </row>
    <row r="10388" spans="18:18" ht="14.25">
      <c r="R10388" s="20">
        <v>10361</v>
      </c>
    </row>
    <row r="10389" spans="18:18" ht="14.25">
      <c r="R10389" s="20">
        <v>10362</v>
      </c>
    </row>
    <row r="10390" spans="18:18" ht="14.25">
      <c r="R10390" s="20">
        <v>10363</v>
      </c>
    </row>
    <row r="10391" spans="18:18" ht="14.25">
      <c r="R10391" s="20">
        <v>10364</v>
      </c>
    </row>
    <row r="10392" spans="18:18" ht="14.25">
      <c r="R10392" s="20">
        <v>10365</v>
      </c>
    </row>
    <row r="10393" spans="18:18" ht="14.25">
      <c r="R10393" s="20">
        <v>10366</v>
      </c>
    </row>
    <row r="10394" spans="18:18" ht="14.25">
      <c r="R10394" s="20">
        <v>10367</v>
      </c>
    </row>
    <row r="10395" spans="18:18" ht="14.25">
      <c r="R10395" s="20">
        <v>10368</v>
      </c>
    </row>
    <row r="10396" spans="18:18" ht="14.25">
      <c r="R10396" s="20">
        <v>10369</v>
      </c>
    </row>
    <row r="10397" spans="18:18" ht="14.25">
      <c r="R10397" s="20">
        <v>10370</v>
      </c>
    </row>
    <row r="10398" spans="18:18" ht="14.25">
      <c r="R10398" s="20">
        <v>10371</v>
      </c>
    </row>
    <row r="10399" spans="18:18" ht="14.25">
      <c r="R10399" s="20">
        <v>10372</v>
      </c>
    </row>
    <row r="10400" spans="18:18" ht="14.25">
      <c r="R10400" s="20">
        <v>10373</v>
      </c>
    </row>
    <row r="10401" spans="18:18" ht="14.25">
      <c r="R10401" s="20">
        <v>10374</v>
      </c>
    </row>
    <row r="10402" spans="18:18" ht="14.25">
      <c r="R10402" s="20">
        <v>10375</v>
      </c>
    </row>
    <row r="10403" spans="18:18" ht="14.25">
      <c r="R10403" s="20">
        <v>10376</v>
      </c>
    </row>
    <row r="10404" spans="18:18" ht="14.25">
      <c r="R10404" s="20">
        <v>10377</v>
      </c>
    </row>
    <row r="10405" spans="18:18" ht="14.25">
      <c r="R10405" s="20">
        <v>10378</v>
      </c>
    </row>
    <row r="10406" spans="18:18" ht="14.25">
      <c r="R10406" s="20">
        <v>10379</v>
      </c>
    </row>
    <row r="10407" spans="18:18" ht="14.25">
      <c r="R10407" s="20">
        <v>10380</v>
      </c>
    </row>
    <row r="10408" spans="18:18" ht="14.25">
      <c r="R10408" s="20">
        <v>10381</v>
      </c>
    </row>
    <row r="10409" spans="18:18" ht="14.25">
      <c r="R10409" s="20">
        <v>10382</v>
      </c>
    </row>
    <row r="10410" spans="18:18" ht="14.25">
      <c r="R10410" s="20">
        <v>10383</v>
      </c>
    </row>
    <row r="10411" spans="18:18" ht="14.25">
      <c r="R10411" s="20">
        <v>10384</v>
      </c>
    </row>
    <row r="10412" spans="18:18" ht="14.25">
      <c r="R10412" s="20">
        <v>10385</v>
      </c>
    </row>
    <row r="10413" spans="18:18" ht="14.25">
      <c r="R10413" s="20">
        <v>10386</v>
      </c>
    </row>
    <row r="10414" spans="18:18" ht="14.25">
      <c r="R10414" s="20">
        <v>10387</v>
      </c>
    </row>
    <row r="10415" spans="18:18" ht="14.25">
      <c r="R10415" s="20">
        <v>10388</v>
      </c>
    </row>
    <row r="10416" spans="18:18" ht="14.25">
      <c r="R10416" s="20">
        <v>10389</v>
      </c>
    </row>
    <row r="10417" spans="18:18" ht="14.25">
      <c r="R10417" s="20">
        <v>10390</v>
      </c>
    </row>
    <row r="10418" spans="18:18" ht="14.25">
      <c r="R10418" s="20">
        <v>10391</v>
      </c>
    </row>
    <row r="10419" spans="18:18" ht="14.25">
      <c r="R10419" s="20">
        <v>10392</v>
      </c>
    </row>
    <row r="10420" spans="18:18" ht="14.25">
      <c r="R10420" s="20">
        <v>10393</v>
      </c>
    </row>
    <row r="10421" spans="18:18" ht="14.25">
      <c r="R10421" s="20">
        <v>10394</v>
      </c>
    </row>
    <row r="10422" spans="18:18" ht="14.25">
      <c r="R10422" s="20">
        <v>10395</v>
      </c>
    </row>
    <row r="10423" spans="18:18" ht="14.25">
      <c r="R10423" s="20">
        <v>10396</v>
      </c>
    </row>
    <row r="10424" spans="18:18" ht="14.25">
      <c r="R10424" s="20">
        <v>10397</v>
      </c>
    </row>
    <row r="10425" spans="18:18" ht="14.25">
      <c r="R10425" s="20">
        <v>10398</v>
      </c>
    </row>
    <row r="10426" spans="18:18" ht="14.25">
      <c r="R10426" s="20">
        <v>10399</v>
      </c>
    </row>
    <row r="10427" spans="18:18" ht="14.25">
      <c r="R10427" s="20">
        <v>10400</v>
      </c>
    </row>
    <row r="10428" spans="18:18" ht="14.25">
      <c r="R10428" s="20">
        <v>10401</v>
      </c>
    </row>
    <row r="10429" spans="18:18" ht="14.25">
      <c r="R10429" s="20">
        <v>10402</v>
      </c>
    </row>
    <row r="10430" spans="18:18" ht="14.25">
      <c r="R10430" s="20">
        <v>10403</v>
      </c>
    </row>
    <row r="10431" spans="18:18" ht="14.25">
      <c r="R10431" s="20">
        <v>10404</v>
      </c>
    </row>
    <row r="10432" spans="18:18" ht="14.25">
      <c r="R10432" s="20">
        <v>10405</v>
      </c>
    </row>
    <row r="10433" spans="18:18" ht="14.25">
      <c r="R10433" s="20">
        <v>10406</v>
      </c>
    </row>
    <row r="10434" spans="18:18" ht="14.25">
      <c r="R10434" s="20">
        <v>10407</v>
      </c>
    </row>
    <row r="10435" spans="18:18" ht="14.25">
      <c r="R10435" s="20">
        <v>10408</v>
      </c>
    </row>
    <row r="10436" spans="18:18" ht="14.25">
      <c r="R10436" s="20">
        <v>10409</v>
      </c>
    </row>
    <row r="10437" spans="18:18" ht="14.25">
      <c r="R10437" s="20">
        <v>10410</v>
      </c>
    </row>
    <row r="10438" spans="18:18" ht="14.25">
      <c r="R10438" s="20">
        <v>10411</v>
      </c>
    </row>
    <row r="10439" spans="18:18" ht="14.25">
      <c r="R10439" s="20">
        <v>10412</v>
      </c>
    </row>
    <row r="10440" spans="18:18" ht="14.25">
      <c r="R10440" s="20">
        <v>10413</v>
      </c>
    </row>
    <row r="10441" spans="18:18" ht="14.25">
      <c r="R10441" s="20">
        <v>10414</v>
      </c>
    </row>
    <row r="10442" spans="18:18" ht="14.25">
      <c r="R10442" s="20">
        <v>10415</v>
      </c>
    </row>
    <row r="10443" spans="18:18" ht="14.25">
      <c r="R10443" s="20">
        <v>10416</v>
      </c>
    </row>
    <row r="10444" spans="18:18" ht="14.25">
      <c r="R10444" s="20">
        <v>10417</v>
      </c>
    </row>
    <row r="10445" spans="18:18" ht="14.25">
      <c r="R10445" s="20">
        <v>10418</v>
      </c>
    </row>
    <row r="10446" spans="18:18" ht="14.25">
      <c r="R10446" s="20">
        <v>10419</v>
      </c>
    </row>
    <row r="10447" spans="18:18" ht="14.25">
      <c r="R10447" s="20">
        <v>10420</v>
      </c>
    </row>
    <row r="10448" spans="18:18" ht="14.25">
      <c r="R10448" s="20">
        <v>10421</v>
      </c>
    </row>
    <row r="10449" spans="18:18" ht="14.25">
      <c r="R10449" s="20">
        <v>10422</v>
      </c>
    </row>
    <row r="10450" spans="18:18" ht="14.25">
      <c r="R10450" s="20">
        <v>10423</v>
      </c>
    </row>
    <row r="10451" spans="18:18" ht="14.25">
      <c r="R10451" s="20">
        <v>10424</v>
      </c>
    </row>
    <row r="10452" spans="18:18" ht="14.25">
      <c r="R10452" s="20">
        <v>10425</v>
      </c>
    </row>
    <row r="10453" spans="18:18" ht="14.25">
      <c r="R10453" s="20">
        <v>10426</v>
      </c>
    </row>
    <row r="10454" spans="18:18" ht="14.25">
      <c r="R10454" s="20">
        <v>10427</v>
      </c>
    </row>
    <row r="10455" spans="18:18" ht="14.25">
      <c r="R10455" s="20">
        <v>10428</v>
      </c>
    </row>
    <row r="10456" spans="18:18" ht="14.25">
      <c r="R10456" s="20">
        <v>10429</v>
      </c>
    </row>
    <row r="10457" spans="18:18" ht="14.25">
      <c r="R10457" s="20">
        <v>10430</v>
      </c>
    </row>
    <row r="10458" spans="18:18" ht="14.25">
      <c r="R10458" s="20">
        <v>10431</v>
      </c>
    </row>
    <row r="10459" spans="18:18" ht="14.25">
      <c r="R10459" s="20">
        <v>10432</v>
      </c>
    </row>
    <row r="10460" spans="18:18" ht="14.25">
      <c r="R10460" s="20">
        <v>10433</v>
      </c>
    </row>
    <row r="10461" spans="18:18" ht="14.25">
      <c r="R10461" s="20">
        <v>10434</v>
      </c>
    </row>
    <row r="10462" spans="18:18" ht="14.25">
      <c r="R10462" s="20">
        <v>10435</v>
      </c>
    </row>
    <row r="10463" spans="18:18" ht="14.25">
      <c r="R10463" s="20">
        <v>10436</v>
      </c>
    </row>
    <row r="10464" spans="18:18" ht="14.25">
      <c r="R10464" s="20">
        <v>10437</v>
      </c>
    </row>
    <row r="10465" spans="18:18" ht="14.25">
      <c r="R10465" s="20">
        <v>10438</v>
      </c>
    </row>
    <row r="10466" spans="18:18" ht="14.25">
      <c r="R10466" s="20">
        <v>10439</v>
      </c>
    </row>
    <row r="10467" spans="18:18" ht="14.25">
      <c r="R10467" s="20">
        <v>10440</v>
      </c>
    </row>
    <row r="10468" spans="18:18" ht="14.25">
      <c r="R10468" s="20">
        <v>10441</v>
      </c>
    </row>
    <row r="10469" spans="18:18" ht="14.25">
      <c r="R10469" s="20">
        <v>10442</v>
      </c>
    </row>
    <row r="10470" spans="18:18" ht="14.25">
      <c r="R10470" s="20">
        <v>10443</v>
      </c>
    </row>
    <row r="10471" spans="18:18" ht="14.25">
      <c r="R10471" s="20">
        <v>10444</v>
      </c>
    </row>
    <row r="10472" spans="18:18" ht="14.25">
      <c r="R10472" s="20">
        <v>10445</v>
      </c>
    </row>
    <row r="10473" spans="18:18" ht="14.25">
      <c r="R10473" s="20">
        <v>10446</v>
      </c>
    </row>
    <row r="10474" spans="18:18" ht="14.25">
      <c r="R10474" s="20">
        <v>10447</v>
      </c>
    </row>
    <row r="10475" spans="18:18" ht="14.25">
      <c r="R10475" s="20">
        <v>10448</v>
      </c>
    </row>
    <row r="10476" spans="18:18" ht="14.25">
      <c r="R10476" s="20">
        <v>10449</v>
      </c>
    </row>
    <row r="10477" spans="18:18" ht="14.25">
      <c r="R10477" s="20">
        <v>10450</v>
      </c>
    </row>
    <row r="10478" spans="18:18" ht="14.25">
      <c r="R10478" s="20">
        <v>10451</v>
      </c>
    </row>
    <row r="10479" spans="18:18" ht="14.25">
      <c r="R10479" s="20">
        <v>10452</v>
      </c>
    </row>
    <row r="10480" spans="18:18" ht="14.25">
      <c r="R10480" s="20">
        <v>10453</v>
      </c>
    </row>
    <row r="10481" spans="18:18" ht="14.25">
      <c r="R10481" s="20">
        <v>10454</v>
      </c>
    </row>
    <row r="10482" spans="18:18" ht="14.25">
      <c r="R10482" s="20">
        <v>10455</v>
      </c>
    </row>
    <row r="10483" spans="18:18" ht="14.25">
      <c r="R10483" s="20">
        <v>10456</v>
      </c>
    </row>
    <row r="10484" spans="18:18" ht="14.25">
      <c r="R10484" s="20">
        <v>10457</v>
      </c>
    </row>
    <row r="10485" spans="18:18" ht="14.25">
      <c r="R10485" s="20">
        <v>10458</v>
      </c>
    </row>
    <row r="10486" spans="18:18" ht="14.25">
      <c r="R10486" s="20">
        <v>10459</v>
      </c>
    </row>
    <row r="10487" spans="18:18" ht="14.25">
      <c r="R10487" s="20">
        <v>10460</v>
      </c>
    </row>
    <row r="10488" spans="18:18" ht="14.25">
      <c r="R10488" s="20">
        <v>10461</v>
      </c>
    </row>
    <row r="10489" spans="18:18" ht="14.25">
      <c r="R10489" s="20">
        <v>10462</v>
      </c>
    </row>
    <row r="10490" spans="18:18" ht="14.25">
      <c r="R10490" s="20">
        <v>10463</v>
      </c>
    </row>
    <row r="10491" spans="18:18" ht="14.25">
      <c r="R10491" s="20">
        <v>10464</v>
      </c>
    </row>
    <row r="10492" spans="18:18" ht="14.25">
      <c r="R10492" s="20">
        <v>10465</v>
      </c>
    </row>
    <row r="10493" spans="18:18" ht="14.25">
      <c r="R10493" s="20">
        <v>10466</v>
      </c>
    </row>
    <row r="10494" spans="18:18" ht="14.25">
      <c r="R10494" s="20">
        <v>10467</v>
      </c>
    </row>
    <row r="10495" spans="18:18" ht="14.25">
      <c r="R10495" s="20">
        <v>10468</v>
      </c>
    </row>
    <row r="10496" spans="18:18" ht="14.25">
      <c r="R10496" s="20">
        <v>10469</v>
      </c>
    </row>
    <row r="10497" spans="18:18" ht="14.25">
      <c r="R10497" s="20">
        <v>10470</v>
      </c>
    </row>
    <row r="10498" spans="18:18" ht="14.25">
      <c r="R10498" s="20">
        <v>10471</v>
      </c>
    </row>
    <row r="10499" spans="18:18" ht="14.25">
      <c r="R10499" s="20">
        <v>10472</v>
      </c>
    </row>
    <row r="10500" spans="18:18" ht="14.25">
      <c r="R10500" s="20">
        <v>10473</v>
      </c>
    </row>
    <row r="10501" spans="18:18" ht="14.25">
      <c r="R10501" s="20">
        <v>10474</v>
      </c>
    </row>
    <row r="10502" spans="18:18" ht="14.25">
      <c r="R10502" s="20">
        <v>10475</v>
      </c>
    </row>
    <row r="10503" spans="18:18" ht="14.25">
      <c r="R10503" s="20">
        <v>10476</v>
      </c>
    </row>
    <row r="10504" spans="18:18" ht="14.25">
      <c r="R10504" s="20">
        <v>10477</v>
      </c>
    </row>
    <row r="10505" spans="18:18" ht="14.25">
      <c r="R10505" s="20">
        <v>10478</v>
      </c>
    </row>
    <row r="10506" spans="18:18" ht="14.25">
      <c r="R10506" s="20">
        <v>10479</v>
      </c>
    </row>
    <row r="10507" spans="18:18" ht="14.25">
      <c r="R10507" s="20">
        <v>10480</v>
      </c>
    </row>
    <row r="10508" spans="18:18" ht="14.25">
      <c r="R10508" s="20">
        <v>10481</v>
      </c>
    </row>
    <row r="10509" spans="18:18" ht="14.25">
      <c r="R10509" s="20">
        <v>10482</v>
      </c>
    </row>
    <row r="10510" spans="18:18" ht="14.25">
      <c r="R10510" s="20">
        <v>10483</v>
      </c>
    </row>
    <row r="10511" spans="18:18" ht="14.25">
      <c r="R10511" s="20">
        <v>10484</v>
      </c>
    </row>
    <row r="10512" spans="18:18" ht="14.25">
      <c r="R10512" s="20">
        <v>10485</v>
      </c>
    </row>
    <row r="10513" spans="18:18" ht="14.25">
      <c r="R10513" s="20">
        <v>10486</v>
      </c>
    </row>
    <row r="10514" spans="18:18" ht="14.25">
      <c r="R10514" s="20">
        <v>10487</v>
      </c>
    </row>
    <row r="10515" spans="18:18" ht="14.25">
      <c r="R10515" s="20">
        <v>10488</v>
      </c>
    </row>
    <row r="10516" spans="18:18" ht="14.25">
      <c r="R10516" s="20">
        <v>10489</v>
      </c>
    </row>
    <row r="10517" spans="18:18" ht="14.25">
      <c r="R10517" s="20">
        <v>10490</v>
      </c>
    </row>
    <row r="10518" spans="18:18" ht="14.25">
      <c r="R10518" s="20">
        <v>10491</v>
      </c>
    </row>
    <row r="10519" spans="18:18" ht="14.25">
      <c r="R10519" s="20">
        <v>10492</v>
      </c>
    </row>
    <row r="10520" spans="18:18" ht="14.25">
      <c r="R10520" s="20">
        <v>10493</v>
      </c>
    </row>
    <row r="10521" spans="18:18" ht="14.25">
      <c r="R10521" s="20">
        <v>10494</v>
      </c>
    </row>
    <row r="10522" spans="18:18" ht="14.25">
      <c r="R10522" s="20">
        <v>10495</v>
      </c>
    </row>
    <row r="10523" spans="18:18" ht="14.25">
      <c r="R10523" s="20">
        <v>10496</v>
      </c>
    </row>
    <row r="10524" spans="18:18" ht="14.25">
      <c r="R10524" s="20">
        <v>10497</v>
      </c>
    </row>
    <row r="10525" spans="18:18" ht="14.25">
      <c r="R10525" s="20">
        <v>10498</v>
      </c>
    </row>
    <row r="10526" spans="18:18" ht="14.25">
      <c r="R10526" s="20">
        <v>10499</v>
      </c>
    </row>
    <row r="10527" spans="18:18" ht="14.25">
      <c r="R10527" s="20">
        <v>10500</v>
      </c>
    </row>
    <row r="10528" spans="18:18" ht="14.25">
      <c r="R10528" s="20">
        <v>10501</v>
      </c>
    </row>
    <row r="10529" spans="18:18" ht="14.25">
      <c r="R10529" s="20">
        <v>10502</v>
      </c>
    </row>
    <row r="10530" spans="18:18" ht="14.25">
      <c r="R10530" s="20">
        <v>10503</v>
      </c>
    </row>
    <row r="10531" spans="18:18" ht="14.25">
      <c r="R10531" s="20">
        <v>10504</v>
      </c>
    </row>
    <row r="10532" spans="18:18" ht="14.25">
      <c r="R10532" s="20">
        <v>10505</v>
      </c>
    </row>
    <row r="10533" spans="18:18" ht="14.25">
      <c r="R10533" s="20">
        <v>10506</v>
      </c>
    </row>
    <row r="10534" spans="18:18" ht="14.25">
      <c r="R10534" s="20">
        <v>10507</v>
      </c>
    </row>
    <row r="10535" spans="18:18" ht="14.25">
      <c r="R10535" s="20">
        <v>10508</v>
      </c>
    </row>
    <row r="10536" spans="18:18" ht="14.25">
      <c r="R10536" s="20">
        <v>10509</v>
      </c>
    </row>
    <row r="10537" spans="18:18" ht="14.25">
      <c r="R10537" s="20">
        <v>10510</v>
      </c>
    </row>
    <row r="10538" spans="18:18" ht="14.25">
      <c r="R10538" s="20">
        <v>10511</v>
      </c>
    </row>
    <row r="10539" spans="18:18" ht="14.25">
      <c r="R10539" s="20">
        <v>10512</v>
      </c>
    </row>
    <row r="10540" spans="18:18" ht="14.25">
      <c r="R10540" s="20">
        <v>10513</v>
      </c>
    </row>
    <row r="10541" spans="18:18" ht="14.25">
      <c r="R10541" s="20">
        <v>10514</v>
      </c>
    </row>
    <row r="10542" spans="18:18" ht="14.25">
      <c r="R10542" s="20">
        <v>10515</v>
      </c>
    </row>
    <row r="10543" spans="18:18" ht="14.25">
      <c r="R10543" s="20">
        <v>10516</v>
      </c>
    </row>
    <row r="10544" spans="18:18" ht="14.25">
      <c r="R10544" s="20">
        <v>10517</v>
      </c>
    </row>
    <row r="10545" spans="18:18" ht="14.25">
      <c r="R10545" s="20">
        <v>10518</v>
      </c>
    </row>
    <row r="10546" spans="18:18" ht="14.25">
      <c r="R10546" s="20">
        <v>10519</v>
      </c>
    </row>
    <row r="10547" spans="18:18" ht="14.25">
      <c r="R10547" s="20">
        <v>10520</v>
      </c>
    </row>
    <row r="10548" spans="18:18" ht="14.25">
      <c r="R10548" s="20">
        <v>10521</v>
      </c>
    </row>
    <row r="10549" spans="18:18" ht="14.25">
      <c r="R10549" s="20">
        <v>10522</v>
      </c>
    </row>
    <row r="10550" spans="18:18" ht="14.25">
      <c r="R10550" s="20">
        <v>10523</v>
      </c>
    </row>
    <row r="10551" spans="18:18" ht="14.25">
      <c r="R10551" s="20">
        <v>10524</v>
      </c>
    </row>
    <row r="10552" spans="18:18" ht="14.25">
      <c r="R10552" s="20">
        <v>10525</v>
      </c>
    </row>
    <row r="10553" spans="18:18" ht="14.25">
      <c r="R10553" s="20">
        <v>10526</v>
      </c>
    </row>
    <row r="10554" spans="18:18" ht="14.25">
      <c r="R10554" s="20">
        <v>10527</v>
      </c>
    </row>
    <row r="10555" spans="18:18" ht="14.25">
      <c r="R10555" s="20">
        <v>10528</v>
      </c>
    </row>
    <row r="10556" spans="18:18" ht="14.25">
      <c r="R10556" s="20">
        <v>10529</v>
      </c>
    </row>
    <row r="10557" spans="18:18" ht="14.25">
      <c r="R10557" s="20">
        <v>10530</v>
      </c>
    </row>
    <row r="10558" spans="18:18" ht="14.25">
      <c r="R10558" s="20">
        <v>10531</v>
      </c>
    </row>
    <row r="10559" spans="18:18" ht="14.25">
      <c r="R10559" s="20">
        <v>10532</v>
      </c>
    </row>
    <row r="10560" spans="18:18" ht="14.25">
      <c r="R10560" s="20">
        <v>10533</v>
      </c>
    </row>
    <row r="10561" spans="18:18" ht="14.25">
      <c r="R10561" s="20">
        <v>10534</v>
      </c>
    </row>
    <row r="10562" spans="18:18" ht="14.25">
      <c r="R10562" s="20">
        <v>10535</v>
      </c>
    </row>
    <row r="10563" spans="18:18" ht="14.25">
      <c r="R10563" s="20">
        <v>10536</v>
      </c>
    </row>
    <row r="10564" spans="18:18" ht="14.25">
      <c r="R10564" s="20">
        <v>10537</v>
      </c>
    </row>
    <row r="10565" spans="18:18" ht="14.25">
      <c r="R10565" s="20">
        <v>10538</v>
      </c>
    </row>
    <row r="10566" spans="18:18" ht="14.25">
      <c r="R10566" s="20">
        <v>10539</v>
      </c>
    </row>
    <row r="10567" spans="18:18" ht="14.25">
      <c r="R10567" s="20">
        <v>10540</v>
      </c>
    </row>
    <row r="10568" spans="18:18" ht="14.25">
      <c r="R10568" s="20">
        <v>10541</v>
      </c>
    </row>
    <row r="10569" spans="18:18" ht="14.25">
      <c r="R10569" s="20">
        <v>10542</v>
      </c>
    </row>
    <row r="10570" spans="18:18" ht="14.25">
      <c r="R10570" s="20">
        <v>10543</v>
      </c>
    </row>
    <row r="10571" spans="18:18" ht="14.25">
      <c r="R10571" s="20">
        <v>10544</v>
      </c>
    </row>
    <row r="10572" spans="18:18" ht="14.25">
      <c r="R10572" s="20">
        <v>10545</v>
      </c>
    </row>
    <row r="10573" spans="18:18" ht="14.25">
      <c r="R10573" s="20">
        <v>10546</v>
      </c>
    </row>
    <row r="10574" spans="18:18" ht="14.25">
      <c r="R10574" s="20">
        <v>10547</v>
      </c>
    </row>
    <row r="10575" spans="18:18" ht="14.25">
      <c r="R10575" s="20">
        <v>10548</v>
      </c>
    </row>
    <row r="10576" spans="18:18" ht="14.25">
      <c r="R10576" s="20">
        <v>10549</v>
      </c>
    </row>
    <row r="10577" spans="18:18" ht="14.25">
      <c r="R10577" s="20">
        <v>10550</v>
      </c>
    </row>
    <row r="10578" spans="18:18" ht="14.25">
      <c r="R10578" s="20">
        <v>10551</v>
      </c>
    </row>
    <row r="10579" spans="18:18" ht="14.25">
      <c r="R10579" s="20">
        <v>10552</v>
      </c>
    </row>
    <row r="10580" spans="18:18" ht="14.25">
      <c r="R10580" s="20">
        <v>10553</v>
      </c>
    </row>
    <row r="10581" spans="18:18" ht="14.25">
      <c r="R10581" s="20">
        <v>10554</v>
      </c>
    </row>
    <row r="10582" spans="18:18" ht="14.25">
      <c r="R10582" s="20">
        <v>10555</v>
      </c>
    </row>
    <row r="10583" spans="18:18" ht="14.25">
      <c r="R10583" s="20">
        <v>10556</v>
      </c>
    </row>
    <row r="10584" spans="18:18" ht="14.25">
      <c r="R10584" s="20">
        <v>10557</v>
      </c>
    </row>
    <row r="10585" spans="18:18" ht="14.25">
      <c r="R10585" s="20">
        <v>10558</v>
      </c>
    </row>
    <row r="10586" spans="18:18" ht="14.25">
      <c r="R10586" s="20">
        <v>10559</v>
      </c>
    </row>
    <row r="10587" spans="18:18" ht="14.25">
      <c r="R10587" s="20">
        <v>10560</v>
      </c>
    </row>
    <row r="10588" spans="18:18" ht="14.25">
      <c r="R10588" s="20">
        <v>10561</v>
      </c>
    </row>
    <row r="10589" spans="18:18" ht="14.25">
      <c r="R10589" s="20">
        <v>10562</v>
      </c>
    </row>
    <row r="10590" spans="18:18" ht="14.25">
      <c r="R10590" s="20">
        <v>10563</v>
      </c>
    </row>
    <row r="10591" spans="18:18" ht="14.25">
      <c r="R10591" s="20">
        <v>10564</v>
      </c>
    </row>
    <row r="10592" spans="18:18" ht="14.25">
      <c r="R10592" s="20">
        <v>10565</v>
      </c>
    </row>
    <row r="10593" spans="18:18" ht="14.25">
      <c r="R10593" s="20">
        <v>10566</v>
      </c>
    </row>
    <row r="10594" spans="18:18" ht="14.25">
      <c r="R10594" s="20">
        <v>10567</v>
      </c>
    </row>
    <row r="10595" spans="18:18" ht="14.25">
      <c r="R10595" s="20">
        <v>10568</v>
      </c>
    </row>
    <row r="10596" spans="18:18" ht="14.25">
      <c r="R10596" s="20">
        <v>10569</v>
      </c>
    </row>
    <row r="10597" spans="18:18" ht="14.25">
      <c r="R10597" s="20">
        <v>10570</v>
      </c>
    </row>
    <row r="10598" spans="18:18" ht="14.25">
      <c r="R10598" s="20">
        <v>10571</v>
      </c>
    </row>
    <row r="10599" spans="18:18" ht="14.25">
      <c r="R10599" s="20">
        <v>10572</v>
      </c>
    </row>
    <row r="10600" spans="18:18" ht="14.25">
      <c r="R10600" s="20">
        <v>10573</v>
      </c>
    </row>
    <row r="10601" spans="18:18" ht="14.25">
      <c r="R10601" s="20">
        <v>10574</v>
      </c>
    </row>
    <row r="10602" spans="18:18" ht="14.25">
      <c r="R10602" s="20">
        <v>10575</v>
      </c>
    </row>
    <row r="10603" spans="18:18" ht="14.25">
      <c r="R10603" s="20">
        <v>10576</v>
      </c>
    </row>
    <row r="10604" spans="18:18" ht="14.25">
      <c r="R10604" s="20">
        <v>10577</v>
      </c>
    </row>
    <row r="10605" spans="18:18" ht="14.25">
      <c r="R10605" s="20">
        <v>10578</v>
      </c>
    </row>
    <row r="10606" spans="18:18" ht="14.25">
      <c r="R10606" s="20">
        <v>10579</v>
      </c>
    </row>
    <row r="10607" spans="18:18" ht="14.25">
      <c r="R10607" s="20">
        <v>10580</v>
      </c>
    </row>
    <row r="10608" spans="18:18" ht="14.25">
      <c r="R10608" s="20">
        <v>10581</v>
      </c>
    </row>
    <row r="10609" spans="18:18" ht="14.25">
      <c r="R10609" s="20">
        <v>10582</v>
      </c>
    </row>
    <row r="10610" spans="18:18" ht="14.25">
      <c r="R10610" s="20">
        <v>10583</v>
      </c>
    </row>
    <row r="10611" spans="18:18" ht="14.25">
      <c r="R10611" s="20">
        <v>10584</v>
      </c>
    </row>
    <row r="10612" spans="18:18" ht="14.25">
      <c r="R10612" s="20">
        <v>10585</v>
      </c>
    </row>
    <row r="10613" spans="18:18" ht="14.25">
      <c r="R10613" s="20">
        <v>10586</v>
      </c>
    </row>
    <row r="10614" spans="18:18" ht="14.25">
      <c r="R10614" s="20">
        <v>10587</v>
      </c>
    </row>
    <row r="10615" spans="18:18" ht="14.25">
      <c r="R10615" s="20">
        <v>10588</v>
      </c>
    </row>
    <row r="10616" spans="18:18" ht="14.25">
      <c r="R10616" s="20">
        <v>10589</v>
      </c>
    </row>
    <row r="10617" spans="18:18" ht="14.25">
      <c r="R10617" s="20">
        <v>10590</v>
      </c>
    </row>
    <row r="10618" spans="18:18" ht="14.25">
      <c r="R10618" s="20">
        <v>10591</v>
      </c>
    </row>
    <row r="10619" spans="18:18" ht="14.25">
      <c r="R10619" s="20">
        <v>10592</v>
      </c>
    </row>
    <row r="10620" spans="18:18" ht="14.25">
      <c r="R10620" s="20">
        <v>10593</v>
      </c>
    </row>
    <row r="10621" spans="18:18" ht="14.25">
      <c r="R10621" s="20">
        <v>10594</v>
      </c>
    </row>
    <row r="10622" spans="18:18" ht="14.25">
      <c r="R10622" s="20">
        <v>10595</v>
      </c>
    </row>
    <row r="10623" spans="18:18" ht="14.25">
      <c r="R10623" s="20">
        <v>10596</v>
      </c>
    </row>
    <row r="10624" spans="18:18" ht="14.25">
      <c r="R10624" s="20">
        <v>10597</v>
      </c>
    </row>
    <row r="10625" spans="18:18" ht="14.25">
      <c r="R10625" s="20">
        <v>10598</v>
      </c>
    </row>
    <row r="10626" spans="18:18" ht="14.25">
      <c r="R10626" s="20">
        <v>10599</v>
      </c>
    </row>
    <row r="10627" spans="18:18" ht="14.25">
      <c r="R10627" s="20">
        <v>10600</v>
      </c>
    </row>
    <row r="10628" spans="18:18" ht="14.25">
      <c r="R10628" s="20">
        <v>10601</v>
      </c>
    </row>
    <row r="10629" spans="18:18" ht="14.25">
      <c r="R10629" s="20">
        <v>10602</v>
      </c>
    </row>
    <row r="10630" spans="18:18" ht="14.25">
      <c r="R10630" s="20">
        <v>10603</v>
      </c>
    </row>
    <row r="10631" spans="18:18" ht="14.25">
      <c r="R10631" s="20">
        <v>10604</v>
      </c>
    </row>
    <row r="10632" spans="18:18" ht="14.25">
      <c r="R10632" s="20">
        <v>10605</v>
      </c>
    </row>
    <row r="10633" spans="18:18" ht="14.25">
      <c r="R10633" s="20">
        <v>10606</v>
      </c>
    </row>
    <row r="10634" spans="18:18" ht="14.25">
      <c r="R10634" s="20">
        <v>10607</v>
      </c>
    </row>
    <row r="10635" spans="18:18" ht="14.25">
      <c r="R10635" s="20">
        <v>10608</v>
      </c>
    </row>
    <row r="10636" spans="18:18" ht="14.25">
      <c r="R10636" s="20">
        <v>10609</v>
      </c>
    </row>
    <row r="10637" spans="18:18" ht="14.25">
      <c r="R10637" s="20">
        <v>10610</v>
      </c>
    </row>
    <row r="10638" spans="18:18" ht="14.25">
      <c r="R10638" s="20">
        <v>10611</v>
      </c>
    </row>
    <row r="10639" spans="18:18" ht="14.25">
      <c r="R10639" s="20">
        <v>10612</v>
      </c>
    </row>
    <row r="10640" spans="18:18" ht="14.25">
      <c r="R10640" s="20">
        <v>10613</v>
      </c>
    </row>
    <row r="10641" spans="18:18" ht="14.25">
      <c r="R10641" s="20">
        <v>10614</v>
      </c>
    </row>
    <row r="10642" spans="18:18" ht="14.25">
      <c r="R10642" s="20">
        <v>10615</v>
      </c>
    </row>
    <row r="10643" spans="18:18" ht="14.25">
      <c r="R10643" s="20">
        <v>10616</v>
      </c>
    </row>
    <row r="10644" spans="18:18" ht="14.25">
      <c r="R10644" s="20">
        <v>10617</v>
      </c>
    </row>
    <row r="10645" spans="18:18" ht="14.25">
      <c r="R10645" s="20">
        <v>10618</v>
      </c>
    </row>
    <row r="10646" spans="18:18" ht="14.25">
      <c r="R10646" s="20">
        <v>10619</v>
      </c>
    </row>
    <row r="10647" spans="18:18" ht="14.25">
      <c r="R10647" s="20">
        <v>10620</v>
      </c>
    </row>
    <row r="10648" spans="18:18" ht="14.25">
      <c r="R10648" s="20">
        <v>10621</v>
      </c>
    </row>
    <row r="10649" spans="18:18" ht="14.25">
      <c r="R10649" s="20">
        <v>10622</v>
      </c>
    </row>
    <row r="10650" spans="18:18" ht="14.25">
      <c r="R10650" s="20">
        <v>10623</v>
      </c>
    </row>
    <row r="10651" spans="18:18" ht="14.25">
      <c r="R10651" s="20">
        <v>10624</v>
      </c>
    </row>
    <row r="10652" spans="18:18" ht="14.25">
      <c r="R10652" s="20">
        <v>10625</v>
      </c>
    </row>
    <row r="10653" spans="18:18" ht="14.25">
      <c r="R10653" s="20">
        <v>10626</v>
      </c>
    </row>
    <row r="10654" spans="18:18" ht="14.25">
      <c r="R10654" s="20">
        <v>10627</v>
      </c>
    </row>
    <row r="10655" spans="18:18" ht="14.25">
      <c r="R10655" s="20">
        <v>10628</v>
      </c>
    </row>
    <row r="10656" spans="18:18" ht="14.25">
      <c r="R10656" s="20">
        <v>10629</v>
      </c>
    </row>
    <row r="10657" spans="18:18" ht="14.25">
      <c r="R10657" s="20">
        <v>10630</v>
      </c>
    </row>
    <row r="10658" spans="18:18" ht="14.25">
      <c r="R10658" s="20">
        <v>10631</v>
      </c>
    </row>
    <row r="10659" spans="18:18" ht="14.25">
      <c r="R10659" s="20">
        <v>10632</v>
      </c>
    </row>
    <row r="10660" spans="18:18" ht="14.25">
      <c r="R10660" s="20">
        <v>10633</v>
      </c>
    </row>
    <row r="10661" spans="18:18" ht="14.25">
      <c r="R10661" s="20">
        <v>10634</v>
      </c>
    </row>
    <row r="10662" spans="18:18" ht="14.25">
      <c r="R10662" s="20">
        <v>10635</v>
      </c>
    </row>
    <row r="10663" spans="18:18" ht="14.25">
      <c r="R10663" s="20">
        <v>10636</v>
      </c>
    </row>
    <row r="10664" spans="18:18" ht="14.25">
      <c r="R10664" s="20">
        <v>10637</v>
      </c>
    </row>
    <row r="10665" spans="18:18" ht="14.25">
      <c r="R10665" s="20">
        <v>10638</v>
      </c>
    </row>
    <row r="10666" spans="18:18" ht="14.25">
      <c r="R10666" s="20">
        <v>10639</v>
      </c>
    </row>
    <row r="10667" spans="18:18" ht="14.25">
      <c r="R10667" s="20">
        <v>10640</v>
      </c>
    </row>
    <row r="10668" spans="18:18" ht="14.25">
      <c r="R10668" s="20">
        <v>10641</v>
      </c>
    </row>
    <row r="10669" spans="18:18" ht="14.25">
      <c r="R10669" s="20">
        <v>10642</v>
      </c>
    </row>
    <row r="10670" spans="18:18" ht="14.25">
      <c r="R10670" s="20">
        <v>10643</v>
      </c>
    </row>
    <row r="10671" spans="18:18" ht="14.25">
      <c r="R10671" s="20">
        <v>10644</v>
      </c>
    </row>
    <row r="10672" spans="18:18" ht="14.25">
      <c r="R10672" s="20">
        <v>10645</v>
      </c>
    </row>
    <row r="10673" spans="18:18" ht="14.25">
      <c r="R10673" s="20">
        <v>10646</v>
      </c>
    </row>
    <row r="10674" spans="18:18" ht="14.25">
      <c r="R10674" s="20">
        <v>10647</v>
      </c>
    </row>
    <row r="10675" spans="18:18" ht="14.25">
      <c r="R10675" s="20">
        <v>10648</v>
      </c>
    </row>
    <row r="10676" spans="18:18" ht="14.25">
      <c r="R10676" s="20">
        <v>10649</v>
      </c>
    </row>
    <row r="10677" spans="18:18" ht="14.25">
      <c r="R10677" s="20">
        <v>10650</v>
      </c>
    </row>
    <row r="10678" spans="18:18" ht="14.25">
      <c r="R10678" s="20">
        <v>10651</v>
      </c>
    </row>
    <row r="10679" spans="18:18" ht="14.25">
      <c r="R10679" s="20">
        <v>10652</v>
      </c>
    </row>
    <row r="10680" spans="18:18" ht="14.25">
      <c r="R10680" s="20">
        <v>10653</v>
      </c>
    </row>
    <row r="10681" spans="18:18" ht="14.25">
      <c r="R10681" s="20">
        <v>10654</v>
      </c>
    </row>
    <row r="10682" spans="18:18" ht="14.25">
      <c r="R10682" s="20">
        <v>10655</v>
      </c>
    </row>
    <row r="10683" spans="18:18" ht="14.25">
      <c r="R10683" s="20">
        <v>10656</v>
      </c>
    </row>
    <row r="10684" spans="18:18" ht="14.25">
      <c r="R10684" s="20">
        <v>10657</v>
      </c>
    </row>
    <row r="10685" spans="18:18" ht="14.25">
      <c r="R10685" s="20">
        <v>10658</v>
      </c>
    </row>
    <row r="10686" spans="18:18" ht="14.25">
      <c r="R10686" s="20">
        <v>10659</v>
      </c>
    </row>
    <row r="10687" spans="18:18" ht="14.25">
      <c r="R10687" s="20">
        <v>10660</v>
      </c>
    </row>
    <row r="10688" spans="18:18" ht="14.25">
      <c r="R10688" s="20">
        <v>10661</v>
      </c>
    </row>
    <row r="10689" spans="18:18" ht="14.25">
      <c r="R10689" s="20">
        <v>10662</v>
      </c>
    </row>
    <row r="10690" spans="18:18" ht="14.25">
      <c r="R10690" s="20">
        <v>10663</v>
      </c>
    </row>
    <row r="10691" spans="18:18" ht="14.25">
      <c r="R10691" s="20">
        <v>10664</v>
      </c>
    </row>
    <row r="10692" spans="18:18" ht="14.25">
      <c r="R10692" s="20">
        <v>10665</v>
      </c>
    </row>
    <row r="10693" spans="18:18" ht="14.25">
      <c r="R10693" s="20">
        <v>10666</v>
      </c>
    </row>
    <row r="10694" spans="18:18" ht="14.25">
      <c r="R10694" s="20">
        <v>10667</v>
      </c>
    </row>
    <row r="10695" spans="18:18" ht="14.25">
      <c r="R10695" s="20">
        <v>10668</v>
      </c>
    </row>
    <row r="10696" spans="18:18" ht="14.25">
      <c r="R10696" s="20">
        <v>10669</v>
      </c>
    </row>
    <row r="10697" spans="18:18" ht="14.25">
      <c r="R10697" s="20">
        <v>10670</v>
      </c>
    </row>
    <row r="10698" spans="18:18" ht="14.25">
      <c r="R10698" s="20">
        <v>10671</v>
      </c>
    </row>
    <row r="10699" spans="18:18" ht="14.25">
      <c r="R10699" s="20">
        <v>10672</v>
      </c>
    </row>
    <row r="10700" spans="18:18" ht="14.25">
      <c r="R10700" s="20">
        <v>10673</v>
      </c>
    </row>
    <row r="10701" spans="18:18" ht="14.25">
      <c r="R10701" s="20">
        <v>10674</v>
      </c>
    </row>
    <row r="10702" spans="18:18" ht="14.25">
      <c r="R10702" s="20">
        <v>10675</v>
      </c>
    </row>
    <row r="10703" spans="18:18" ht="14.25">
      <c r="R10703" s="20">
        <v>10676</v>
      </c>
    </row>
    <row r="10704" spans="18:18" ht="14.25">
      <c r="R10704" s="20">
        <v>10677</v>
      </c>
    </row>
    <row r="10705" spans="18:18" ht="14.25">
      <c r="R10705" s="20">
        <v>10678</v>
      </c>
    </row>
    <row r="10706" spans="18:18" ht="14.25">
      <c r="R10706" s="20">
        <v>10679</v>
      </c>
    </row>
    <row r="10707" spans="18:18" ht="14.25">
      <c r="R10707" s="20">
        <v>10680</v>
      </c>
    </row>
    <row r="10708" spans="18:18" ht="14.25">
      <c r="R10708" s="20">
        <v>10681</v>
      </c>
    </row>
    <row r="10709" spans="18:18" ht="14.25">
      <c r="R10709" s="20">
        <v>10682</v>
      </c>
    </row>
    <row r="10710" spans="18:18" ht="14.25">
      <c r="R10710" s="20">
        <v>10683</v>
      </c>
    </row>
    <row r="10711" spans="18:18" ht="14.25">
      <c r="R10711" s="20">
        <v>10684</v>
      </c>
    </row>
    <row r="10712" spans="18:18" ht="14.25">
      <c r="R10712" s="20">
        <v>10685</v>
      </c>
    </row>
    <row r="10713" spans="18:18" ht="14.25">
      <c r="R10713" s="20">
        <v>10686</v>
      </c>
    </row>
    <row r="10714" spans="18:18" ht="14.25">
      <c r="R10714" s="20">
        <v>10687</v>
      </c>
    </row>
    <row r="10715" spans="18:18" ht="14.25">
      <c r="R10715" s="20">
        <v>10688</v>
      </c>
    </row>
    <row r="10716" spans="18:18" ht="14.25">
      <c r="R10716" s="20">
        <v>10689</v>
      </c>
    </row>
    <row r="10717" spans="18:18" ht="14.25">
      <c r="R10717" s="20">
        <v>10690</v>
      </c>
    </row>
    <row r="10718" spans="18:18" ht="14.25">
      <c r="R10718" s="20">
        <v>10691</v>
      </c>
    </row>
    <row r="10719" spans="18:18" ht="14.25">
      <c r="R10719" s="20">
        <v>10692</v>
      </c>
    </row>
    <row r="10720" spans="18:18" ht="14.25">
      <c r="R10720" s="20">
        <v>10693</v>
      </c>
    </row>
    <row r="10721" spans="18:18" ht="14.25">
      <c r="R10721" s="20">
        <v>10694</v>
      </c>
    </row>
    <row r="10722" spans="18:18" ht="14.25">
      <c r="R10722" s="20">
        <v>10695</v>
      </c>
    </row>
    <row r="10723" spans="18:18" ht="14.25">
      <c r="R10723" s="20">
        <v>10696</v>
      </c>
    </row>
    <row r="10724" spans="18:18" ht="14.25">
      <c r="R10724" s="20">
        <v>10697</v>
      </c>
    </row>
    <row r="10725" spans="18:18" ht="14.25">
      <c r="R10725" s="20">
        <v>10698</v>
      </c>
    </row>
    <row r="10726" spans="18:18" ht="14.25">
      <c r="R10726" s="20">
        <v>10699</v>
      </c>
    </row>
    <row r="10727" spans="18:18" ht="14.25">
      <c r="R10727" s="20">
        <v>10700</v>
      </c>
    </row>
    <row r="10728" spans="18:18" ht="14.25">
      <c r="R10728" s="20">
        <v>10701</v>
      </c>
    </row>
    <row r="10729" spans="18:18" ht="14.25">
      <c r="R10729" s="20">
        <v>10702</v>
      </c>
    </row>
    <row r="10730" spans="18:18" ht="14.25">
      <c r="R10730" s="20">
        <v>10703</v>
      </c>
    </row>
    <row r="10731" spans="18:18" ht="14.25">
      <c r="R10731" s="20">
        <v>10704</v>
      </c>
    </row>
    <row r="10732" spans="18:18" ht="14.25">
      <c r="R10732" s="20">
        <v>10705</v>
      </c>
    </row>
    <row r="10733" spans="18:18" ht="14.25">
      <c r="R10733" s="20">
        <v>10706</v>
      </c>
    </row>
    <row r="10734" spans="18:18" ht="14.25">
      <c r="R10734" s="20">
        <v>10707</v>
      </c>
    </row>
    <row r="10735" spans="18:18" ht="14.25">
      <c r="R10735" s="20">
        <v>10708</v>
      </c>
    </row>
    <row r="10736" spans="18:18" ht="14.25">
      <c r="R10736" s="20">
        <v>10709</v>
      </c>
    </row>
    <row r="10737" spans="18:18" ht="14.25">
      <c r="R10737" s="20">
        <v>10710</v>
      </c>
    </row>
    <row r="10738" spans="18:18" ht="14.25">
      <c r="R10738" s="20">
        <v>10711</v>
      </c>
    </row>
    <row r="10739" spans="18:18" ht="14.25">
      <c r="R10739" s="20">
        <v>10712</v>
      </c>
    </row>
    <row r="10740" spans="18:18" ht="14.25">
      <c r="R10740" s="20">
        <v>10713</v>
      </c>
    </row>
    <row r="10741" spans="18:18" ht="14.25">
      <c r="R10741" s="20">
        <v>10714</v>
      </c>
    </row>
    <row r="10742" spans="18:18" ht="14.25">
      <c r="R10742" s="20">
        <v>10715</v>
      </c>
    </row>
    <row r="10743" spans="18:18" ht="14.25">
      <c r="R10743" s="20">
        <v>10716</v>
      </c>
    </row>
    <row r="10744" spans="18:18" ht="14.25">
      <c r="R10744" s="20">
        <v>10717</v>
      </c>
    </row>
    <row r="10745" spans="18:18" ht="14.25">
      <c r="R10745" s="20">
        <v>10718</v>
      </c>
    </row>
    <row r="10746" spans="18:18" ht="14.25">
      <c r="R10746" s="20">
        <v>10719</v>
      </c>
    </row>
    <row r="10747" spans="18:18" ht="14.25">
      <c r="R10747" s="20">
        <v>10720</v>
      </c>
    </row>
    <row r="10748" spans="18:18" ht="14.25">
      <c r="R10748" s="20">
        <v>10721</v>
      </c>
    </row>
    <row r="10749" spans="18:18" ht="14.25">
      <c r="R10749" s="20">
        <v>10722</v>
      </c>
    </row>
    <row r="10750" spans="18:18" ht="14.25">
      <c r="R10750" s="20">
        <v>10723</v>
      </c>
    </row>
    <row r="10751" spans="18:18" ht="14.25">
      <c r="R10751" s="20">
        <v>10724</v>
      </c>
    </row>
    <row r="10752" spans="18:18" ht="14.25">
      <c r="R10752" s="20">
        <v>10725</v>
      </c>
    </row>
    <row r="10753" spans="18:18" ht="14.25">
      <c r="R10753" s="20">
        <v>10726</v>
      </c>
    </row>
    <row r="10754" spans="18:18" ht="14.25">
      <c r="R10754" s="20">
        <v>10727</v>
      </c>
    </row>
    <row r="10755" spans="18:18" ht="14.25">
      <c r="R10755" s="20">
        <v>10728</v>
      </c>
    </row>
    <row r="10756" spans="18:18" ht="14.25">
      <c r="R10756" s="20">
        <v>10729</v>
      </c>
    </row>
    <row r="10757" spans="18:18" ht="14.25">
      <c r="R10757" s="20">
        <v>10730</v>
      </c>
    </row>
    <row r="10758" spans="18:18" ht="14.25">
      <c r="R10758" s="20">
        <v>10731</v>
      </c>
    </row>
    <row r="10759" spans="18:18" ht="14.25">
      <c r="R10759" s="20">
        <v>10732</v>
      </c>
    </row>
    <row r="10760" spans="18:18" ht="14.25">
      <c r="R10760" s="20">
        <v>10733</v>
      </c>
    </row>
    <row r="10761" spans="18:18" ht="14.25">
      <c r="R10761" s="20">
        <v>10734</v>
      </c>
    </row>
    <row r="10762" spans="18:18" ht="14.25">
      <c r="R10762" s="20">
        <v>10735</v>
      </c>
    </row>
    <row r="10763" spans="18:18" ht="14.25">
      <c r="R10763" s="20">
        <v>10736</v>
      </c>
    </row>
    <row r="10764" spans="18:18" ht="14.25">
      <c r="R10764" s="20">
        <v>10737</v>
      </c>
    </row>
    <row r="10765" spans="18:18" ht="14.25">
      <c r="R10765" s="20">
        <v>10738</v>
      </c>
    </row>
    <row r="10766" spans="18:18" ht="14.25">
      <c r="R10766" s="20">
        <v>10739</v>
      </c>
    </row>
    <row r="10767" spans="18:18" ht="14.25">
      <c r="R10767" s="20">
        <v>10740</v>
      </c>
    </row>
    <row r="10768" spans="18:18" ht="14.25">
      <c r="R10768" s="20">
        <v>10741</v>
      </c>
    </row>
    <row r="10769" spans="18:18" ht="14.25">
      <c r="R10769" s="20">
        <v>10742</v>
      </c>
    </row>
    <row r="10770" spans="18:18" ht="14.25">
      <c r="R10770" s="20">
        <v>10743</v>
      </c>
    </row>
    <row r="10771" spans="18:18" ht="14.25">
      <c r="R10771" s="20">
        <v>10744</v>
      </c>
    </row>
    <row r="10772" spans="18:18" ht="14.25">
      <c r="R10772" s="20">
        <v>10745</v>
      </c>
    </row>
    <row r="10773" spans="18:18" ht="14.25">
      <c r="R10773" s="20">
        <v>10746</v>
      </c>
    </row>
    <row r="10774" spans="18:18" ht="14.25">
      <c r="R10774" s="20">
        <v>10747</v>
      </c>
    </row>
    <row r="10775" spans="18:18" ht="14.25">
      <c r="R10775" s="20">
        <v>10748</v>
      </c>
    </row>
    <row r="10776" spans="18:18" ht="14.25">
      <c r="R10776" s="20">
        <v>10749</v>
      </c>
    </row>
    <row r="10777" spans="18:18" ht="14.25">
      <c r="R10777" s="20">
        <v>10750</v>
      </c>
    </row>
    <row r="10778" spans="18:18" ht="14.25">
      <c r="R10778" s="20">
        <v>10751</v>
      </c>
    </row>
    <row r="10779" spans="18:18" ht="14.25">
      <c r="R10779" s="20">
        <v>10752</v>
      </c>
    </row>
    <row r="10780" spans="18:18" ht="14.25">
      <c r="R10780" s="20">
        <v>10753</v>
      </c>
    </row>
    <row r="10781" spans="18:18" ht="14.25">
      <c r="R10781" s="20">
        <v>10754</v>
      </c>
    </row>
    <row r="10782" spans="18:18" ht="14.25">
      <c r="R10782" s="20">
        <v>10755</v>
      </c>
    </row>
    <row r="10783" spans="18:18" ht="14.25">
      <c r="R10783" s="20">
        <v>10756</v>
      </c>
    </row>
    <row r="10784" spans="18:18" ht="14.25">
      <c r="R10784" s="20">
        <v>10757</v>
      </c>
    </row>
    <row r="10785" spans="18:18" ht="14.25">
      <c r="R10785" s="20">
        <v>10758</v>
      </c>
    </row>
    <row r="10786" spans="18:18" ht="14.25">
      <c r="R10786" s="20">
        <v>10759</v>
      </c>
    </row>
    <row r="10787" spans="18:18" ht="14.25">
      <c r="R10787" s="20">
        <v>10760</v>
      </c>
    </row>
    <row r="10788" spans="18:18" ht="14.25">
      <c r="R10788" s="20">
        <v>10761</v>
      </c>
    </row>
    <row r="10789" spans="18:18" ht="14.25">
      <c r="R10789" s="20">
        <v>10762</v>
      </c>
    </row>
    <row r="10790" spans="18:18" ht="14.25">
      <c r="R10790" s="20">
        <v>10763</v>
      </c>
    </row>
    <row r="10791" spans="18:18" ht="14.25">
      <c r="R10791" s="20">
        <v>10764</v>
      </c>
    </row>
    <row r="10792" spans="18:18" ht="14.25">
      <c r="R10792" s="20">
        <v>10765</v>
      </c>
    </row>
    <row r="10793" spans="18:18" ht="14.25">
      <c r="R10793" s="20">
        <v>10766</v>
      </c>
    </row>
    <row r="10794" spans="18:18" ht="14.25">
      <c r="R10794" s="20">
        <v>10767</v>
      </c>
    </row>
    <row r="10795" spans="18:18" ht="14.25">
      <c r="R10795" s="20">
        <v>10768</v>
      </c>
    </row>
    <row r="10796" spans="18:18" ht="14.25">
      <c r="R10796" s="20">
        <v>10769</v>
      </c>
    </row>
    <row r="10797" spans="18:18" ht="14.25">
      <c r="R10797" s="20">
        <v>10770</v>
      </c>
    </row>
    <row r="10798" spans="18:18" ht="14.25">
      <c r="R10798" s="20">
        <v>10771</v>
      </c>
    </row>
    <row r="10799" spans="18:18" ht="14.25">
      <c r="R10799" s="20">
        <v>10772</v>
      </c>
    </row>
    <row r="10800" spans="18:18" ht="14.25">
      <c r="R10800" s="20">
        <v>10773</v>
      </c>
    </row>
    <row r="10801" spans="18:18" ht="14.25">
      <c r="R10801" s="20">
        <v>10774</v>
      </c>
    </row>
    <row r="10802" spans="18:18" ht="14.25">
      <c r="R10802" s="20">
        <v>10775</v>
      </c>
    </row>
    <row r="10803" spans="18:18" ht="14.25">
      <c r="R10803" s="20">
        <v>10776</v>
      </c>
    </row>
    <row r="10804" spans="18:18" ht="14.25">
      <c r="R10804" s="20">
        <v>10777</v>
      </c>
    </row>
    <row r="10805" spans="18:18" ht="14.25">
      <c r="R10805" s="20">
        <v>10778</v>
      </c>
    </row>
    <row r="10806" spans="18:18" ht="14.25">
      <c r="R10806" s="20">
        <v>10779</v>
      </c>
    </row>
    <row r="10807" spans="18:18" ht="14.25">
      <c r="R10807" s="20">
        <v>10780</v>
      </c>
    </row>
    <row r="10808" spans="18:18" ht="14.25">
      <c r="R10808" s="20">
        <v>10781</v>
      </c>
    </row>
    <row r="10809" spans="18:18" ht="14.25">
      <c r="R10809" s="20">
        <v>10782</v>
      </c>
    </row>
    <row r="10810" spans="18:18" ht="14.25">
      <c r="R10810" s="20">
        <v>10783</v>
      </c>
    </row>
    <row r="10811" spans="18:18" ht="14.25">
      <c r="R10811" s="20">
        <v>10784</v>
      </c>
    </row>
    <row r="10812" spans="18:18" ht="14.25">
      <c r="R10812" s="20">
        <v>10785</v>
      </c>
    </row>
    <row r="10813" spans="18:18" ht="14.25">
      <c r="R10813" s="20">
        <v>10786</v>
      </c>
    </row>
    <row r="10814" spans="18:18" ht="14.25">
      <c r="R10814" s="20">
        <v>10787</v>
      </c>
    </row>
    <row r="10815" spans="18:18" ht="14.25">
      <c r="R10815" s="20">
        <v>10788</v>
      </c>
    </row>
    <row r="10816" spans="18:18" ht="14.25">
      <c r="R10816" s="20">
        <v>10789</v>
      </c>
    </row>
    <row r="10817" spans="18:18" ht="14.25">
      <c r="R10817" s="20">
        <v>10790</v>
      </c>
    </row>
    <row r="10818" spans="18:18" ht="14.25">
      <c r="R10818" s="20">
        <v>10791</v>
      </c>
    </row>
    <row r="10819" spans="18:18" ht="14.25">
      <c r="R10819" s="20">
        <v>10792</v>
      </c>
    </row>
    <row r="10820" spans="18:18" ht="14.25">
      <c r="R10820" s="20">
        <v>10793</v>
      </c>
    </row>
    <row r="10821" spans="18:18" ht="14.25">
      <c r="R10821" s="20">
        <v>10794</v>
      </c>
    </row>
    <row r="10822" spans="18:18" ht="14.25">
      <c r="R10822" s="20">
        <v>10795</v>
      </c>
    </row>
    <row r="10823" spans="18:18" ht="14.25">
      <c r="R10823" s="20">
        <v>10796</v>
      </c>
    </row>
    <row r="10824" spans="18:18" ht="14.25">
      <c r="R10824" s="20">
        <v>10797</v>
      </c>
    </row>
    <row r="10825" spans="18:18" ht="14.25">
      <c r="R10825" s="20">
        <v>10798</v>
      </c>
    </row>
    <row r="10826" spans="18:18" ht="14.25">
      <c r="R10826" s="20">
        <v>10799</v>
      </c>
    </row>
    <row r="10827" spans="18:18" ht="14.25">
      <c r="R10827" s="20">
        <v>10800</v>
      </c>
    </row>
    <row r="10828" spans="18:18" ht="14.25">
      <c r="R10828" s="20">
        <v>10801</v>
      </c>
    </row>
    <row r="10829" spans="18:18" ht="14.25">
      <c r="R10829" s="20">
        <v>10802</v>
      </c>
    </row>
    <row r="10830" spans="18:18" ht="14.25">
      <c r="R10830" s="20">
        <v>10803</v>
      </c>
    </row>
    <row r="10831" spans="18:18" ht="14.25">
      <c r="R10831" s="20">
        <v>10804</v>
      </c>
    </row>
    <row r="10832" spans="18:18" ht="14.25">
      <c r="R10832" s="20">
        <v>10805</v>
      </c>
    </row>
    <row r="10833" spans="18:18" ht="14.25">
      <c r="R10833" s="20">
        <v>10806</v>
      </c>
    </row>
    <row r="10834" spans="18:18" ht="14.25">
      <c r="R10834" s="20">
        <v>10807</v>
      </c>
    </row>
    <row r="10835" spans="18:18" ht="14.25">
      <c r="R10835" s="20">
        <v>10808</v>
      </c>
    </row>
    <row r="10836" spans="18:18" ht="14.25">
      <c r="R10836" s="20">
        <v>10809</v>
      </c>
    </row>
    <row r="10837" spans="18:18" ht="14.25">
      <c r="R10837" s="20">
        <v>10810</v>
      </c>
    </row>
    <row r="10838" spans="18:18" ht="14.25">
      <c r="R10838" s="20">
        <v>10811</v>
      </c>
    </row>
    <row r="10839" spans="18:18" ht="14.25">
      <c r="R10839" s="20">
        <v>10812</v>
      </c>
    </row>
    <row r="10840" spans="18:18" ht="14.25">
      <c r="R10840" s="20">
        <v>10813</v>
      </c>
    </row>
    <row r="10841" spans="18:18" ht="14.25">
      <c r="R10841" s="20">
        <v>10814</v>
      </c>
    </row>
    <row r="10842" spans="18:18" ht="14.25">
      <c r="R10842" s="20">
        <v>10815</v>
      </c>
    </row>
    <row r="10843" spans="18:18" ht="14.25">
      <c r="R10843" s="20">
        <v>10816</v>
      </c>
    </row>
    <row r="10844" spans="18:18" ht="14.25">
      <c r="R10844" s="20">
        <v>10817</v>
      </c>
    </row>
    <row r="10845" spans="18:18" ht="14.25">
      <c r="R10845" s="20">
        <v>10818</v>
      </c>
    </row>
    <row r="10846" spans="18:18" ht="14.25">
      <c r="R10846" s="20">
        <v>10819</v>
      </c>
    </row>
    <row r="10847" spans="18:18" ht="14.25">
      <c r="R10847" s="20">
        <v>10820</v>
      </c>
    </row>
    <row r="10848" spans="18:18" ht="14.25">
      <c r="R10848" s="20">
        <v>10821</v>
      </c>
    </row>
    <row r="10849" spans="18:18" ht="14.25">
      <c r="R10849" s="20">
        <v>10822</v>
      </c>
    </row>
    <row r="10850" spans="18:18" ht="14.25">
      <c r="R10850" s="20">
        <v>10823</v>
      </c>
    </row>
    <row r="10851" spans="18:18" ht="14.25">
      <c r="R10851" s="20">
        <v>10824</v>
      </c>
    </row>
    <row r="10852" spans="18:18" ht="14.25">
      <c r="R10852" s="20">
        <v>10825</v>
      </c>
    </row>
    <row r="10853" spans="18:18" ht="14.25">
      <c r="R10853" s="20">
        <v>10826</v>
      </c>
    </row>
    <row r="10854" spans="18:18" ht="14.25">
      <c r="R10854" s="20">
        <v>10827</v>
      </c>
    </row>
    <row r="10855" spans="18:18" ht="14.25">
      <c r="R10855" s="20">
        <v>10828</v>
      </c>
    </row>
    <row r="10856" spans="18:18" ht="14.25">
      <c r="R10856" s="20">
        <v>10829</v>
      </c>
    </row>
    <row r="10857" spans="18:18" ht="14.25">
      <c r="R10857" s="20">
        <v>10830</v>
      </c>
    </row>
    <row r="10858" spans="18:18" ht="14.25">
      <c r="R10858" s="20">
        <v>10831</v>
      </c>
    </row>
    <row r="10859" spans="18:18" ht="14.25">
      <c r="R10859" s="20">
        <v>10832</v>
      </c>
    </row>
    <row r="10860" spans="18:18" ht="14.25">
      <c r="R10860" s="20">
        <v>10833</v>
      </c>
    </row>
    <row r="10861" spans="18:18" ht="14.25">
      <c r="R10861" s="20">
        <v>10834</v>
      </c>
    </row>
    <row r="10862" spans="18:18" ht="14.25">
      <c r="R10862" s="20">
        <v>10835</v>
      </c>
    </row>
    <row r="10863" spans="18:18" ht="14.25">
      <c r="R10863" s="20">
        <v>10836</v>
      </c>
    </row>
    <row r="10864" spans="18:18" ht="14.25">
      <c r="R10864" s="20">
        <v>10837</v>
      </c>
    </row>
    <row r="10865" spans="18:18" ht="14.25">
      <c r="R10865" s="20">
        <v>10838</v>
      </c>
    </row>
    <row r="10866" spans="18:18" ht="14.25">
      <c r="R10866" s="20">
        <v>10839</v>
      </c>
    </row>
    <row r="10867" spans="18:18" ht="14.25">
      <c r="R10867" s="20">
        <v>10840</v>
      </c>
    </row>
    <row r="10868" spans="18:18" ht="14.25">
      <c r="R10868" s="20">
        <v>10841</v>
      </c>
    </row>
    <row r="10869" spans="18:18" ht="14.25">
      <c r="R10869" s="20">
        <v>10842</v>
      </c>
    </row>
    <row r="10870" spans="18:18" ht="14.25">
      <c r="R10870" s="20">
        <v>10843</v>
      </c>
    </row>
    <row r="10871" spans="18:18" ht="14.25">
      <c r="R10871" s="20">
        <v>10844</v>
      </c>
    </row>
    <row r="10872" spans="18:18" ht="14.25">
      <c r="R10872" s="20">
        <v>10845</v>
      </c>
    </row>
    <row r="10873" spans="18:18" ht="14.25">
      <c r="R10873" s="20">
        <v>10846</v>
      </c>
    </row>
    <row r="10874" spans="18:18" ht="14.25">
      <c r="R10874" s="20">
        <v>10847</v>
      </c>
    </row>
    <row r="10875" spans="18:18" ht="14.25">
      <c r="R10875" s="20">
        <v>10848</v>
      </c>
    </row>
    <row r="10876" spans="18:18" ht="14.25">
      <c r="R10876" s="20">
        <v>10849</v>
      </c>
    </row>
    <row r="10877" spans="18:18" ht="14.25">
      <c r="R10877" s="20">
        <v>10850</v>
      </c>
    </row>
    <row r="10878" spans="18:18" ht="14.25">
      <c r="R10878" s="20">
        <v>10851</v>
      </c>
    </row>
    <row r="10879" spans="18:18" ht="14.25">
      <c r="R10879" s="20">
        <v>10852</v>
      </c>
    </row>
    <row r="10880" spans="18:18" ht="14.25">
      <c r="R10880" s="20">
        <v>10853</v>
      </c>
    </row>
    <row r="10881" spans="18:18" ht="14.25">
      <c r="R10881" s="20">
        <v>10854</v>
      </c>
    </row>
    <row r="10882" spans="18:18" ht="14.25">
      <c r="R10882" s="20">
        <v>10855</v>
      </c>
    </row>
    <row r="10883" spans="18:18" ht="14.25">
      <c r="R10883" s="20">
        <v>10856</v>
      </c>
    </row>
    <row r="10884" spans="18:18" ht="14.25">
      <c r="R10884" s="20">
        <v>10857</v>
      </c>
    </row>
    <row r="10885" spans="18:18" ht="14.25">
      <c r="R10885" s="20">
        <v>10858</v>
      </c>
    </row>
    <row r="10886" spans="18:18" ht="14.25">
      <c r="R10886" s="20">
        <v>10859</v>
      </c>
    </row>
    <row r="10887" spans="18:18" ht="14.25">
      <c r="R10887" s="20">
        <v>10860</v>
      </c>
    </row>
    <row r="10888" spans="18:18" ht="14.25">
      <c r="R10888" s="20">
        <v>10861</v>
      </c>
    </row>
    <row r="10889" spans="18:18" ht="14.25">
      <c r="R10889" s="20">
        <v>10862</v>
      </c>
    </row>
    <row r="10890" spans="18:18" ht="14.25">
      <c r="R10890" s="20">
        <v>10863</v>
      </c>
    </row>
    <row r="10891" spans="18:18" ht="14.25">
      <c r="R10891" s="20">
        <v>10864</v>
      </c>
    </row>
    <row r="10892" spans="18:18" ht="14.25">
      <c r="R10892" s="20">
        <v>10865</v>
      </c>
    </row>
    <row r="10893" spans="18:18" ht="14.25">
      <c r="R10893" s="20">
        <v>10866</v>
      </c>
    </row>
    <row r="10894" spans="18:18" ht="14.25">
      <c r="R10894" s="20">
        <v>10867</v>
      </c>
    </row>
    <row r="10895" spans="18:18" ht="14.25">
      <c r="R10895" s="20">
        <v>10868</v>
      </c>
    </row>
    <row r="10896" spans="18:18" ht="14.25">
      <c r="R10896" s="20">
        <v>10869</v>
      </c>
    </row>
    <row r="10897" spans="18:18" ht="14.25">
      <c r="R10897" s="20">
        <v>10870</v>
      </c>
    </row>
    <row r="10898" spans="18:18" ht="14.25">
      <c r="R10898" s="20">
        <v>10871</v>
      </c>
    </row>
    <row r="10899" spans="18:18" ht="14.25">
      <c r="R10899" s="20">
        <v>10872</v>
      </c>
    </row>
    <row r="10900" spans="18:18" ht="14.25">
      <c r="R10900" s="20">
        <v>10873</v>
      </c>
    </row>
    <row r="10901" spans="18:18" ht="14.25">
      <c r="R10901" s="20">
        <v>10874</v>
      </c>
    </row>
    <row r="10902" spans="18:18" ht="14.25">
      <c r="R10902" s="20">
        <v>10875</v>
      </c>
    </row>
    <row r="10903" spans="18:18" ht="14.25">
      <c r="R10903" s="20">
        <v>10876</v>
      </c>
    </row>
    <row r="10904" spans="18:18" ht="14.25">
      <c r="R10904" s="20">
        <v>10877</v>
      </c>
    </row>
    <row r="10905" spans="18:18" ht="14.25">
      <c r="R10905" s="20">
        <v>10878</v>
      </c>
    </row>
    <row r="10906" spans="18:18" ht="14.25">
      <c r="R10906" s="20">
        <v>10879</v>
      </c>
    </row>
    <row r="10907" spans="18:18" ht="14.25">
      <c r="R10907" s="20">
        <v>10880</v>
      </c>
    </row>
    <row r="10908" spans="18:18" ht="14.25">
      <c r="R10908" s="20">
        <v>10881</v>
      </c>
    </row>
    <row r="10909" spans="18:18" ht="14.25">
      <c r="R10909" s="20">
        <v>10882</v>
      </c>
    </row>
    <row r="10910" spans="18:18" ht="14.25">
      <c r="R10910" s="20">
        <v>10883</v>
      </c>
    </row>
    <row r="10911" spans="18:18" ht="14.25">
      <c r="R10911" s="20">
        <v>10884</v>
      </c>
    </row>
    <row r="10912" spans="18:18" ht="14.25">
      <c r="R10912" s="20">
        <v>10885</v>
      </c>
    </row>
    <row r="10913" spans="18:18" ht="14.25">
      <c r="R10913" s="20">
        <v>10886</v>
      </c>
    </row>
    <row r="10914" spans="18:18" ht="14.25">
      <c r="R10914" s="20">
        <v>10887</v>
      </c>
    </row>
    <row r="10915" spans="18:18" ht="14.25">
      <c r="R10915" s="20">
        <v>10888</v>
      </c>
    </row>
    <row r="10916" spans="18:18" ht="14.25">
      <c r="R10916" s="20">
        <v>10889</v>
      </c>
    </row>
    <row r="10917" spans="18:18" ht="14.25">
      <c r="R10917" s="20">
        <v>10890</v>
      </c>
    </row>
    <row r="10918" spans="18:18" ht="14.25">
      <c r="R10918" s="20">
        <v>10891</v>
      </c>
    </row>
    <row r="10919" spans="18:18" ht="14.25">
      <c r="R10919" s="20">
        <v>10892</v>
      </c>
    </row>
    <row r="10920" spans="18:18" ht="14.25">
      <c r="R10920" s="20">
        <v>10893</v>
      </c>
    </row>
    <row r="10921" spans="18:18" ht="14.25">
      <c r="R10921" s="20">
        <v>10894</v>
      </c>
    </row>
    <row r="10922" spans="18:18" ht="14.25">
      <c r="R10922" s="20">
        <v>10895</v>
      </c>
    </row>
    <row r="10923" spans="18:18" ht="14.25">
      <c r="R10923" s="20">
        <v>10896</v>
      </c>
    </row>
    <row r="10924" spans="18:18" ht="14.25">
      <c r="R10924" s="20">
        <v>10897</v>
      </c>
    </row>
    <row r="10925" spans="18:18" ht="14.25">
      <c r="R10925" s="20">
        <v>10898</v>
      </c>
    </row>
    <row r="10926" spans="18:18" ht="14.25">
      <c r="R10926" s="20">
        <v>10899</v>
      </c>
    </row>
    <row r="10927" spans="18:18" ht="14.25">
      <c r="R10927" s="20">
        <v>10900</v>
      </c>
    </row>
    <row r="10928" spans="18:18" ht="14.25">
      <c r="R10928" s="20">
        <v>10901</v>
      </c>
    </row>
    <row r="10929" spans="18:18" ht="14.25">
      <c r="R10929" s="20">
        <v>10902</v>
      </c>
    </row>
    <row r="10930" spans="18:18" ht="14.25">
      <c r="R10930" s="20">
        <v>10903</v>
      </c>
    </row>
    <row r="10931" spans="18:18" ht="14.25">
      <c r="R10931" s="20">
        <v>10904</v>
      </c>
    </row>
    <row r="10932" spans="18:18" ht="14.25">
      <c r="R10932" s="20">
        <v>10905</v>
      </c>
    </row>
    <row r="10933" spans="18:18" ht="14.25">
      <c r="R10933" s="20">
        <v>10906</v>
      </c>
    </row>
    <row r="10934" spans="18:18" ht="14.25">
      <c r="R10934" s="20">
        <v>10907</v>
      </c>
    </row>
    <row r="10935" spans="18:18" ht="14.25">
      <c r="R10935" s="20">
        <v>10908</v>
      </c>
    </row>
    <row r="10936" spans="18:18" ht="14.25">
      <c r="R10936" s="20">
        <v>10909</v>
      </c>
    </row>
    <row r="10937" spans="18:18" ht="14.25">
      <c r="R10937" s="20">
        <v>10910</v>
      </c>
    </row>
    <row r="10938" spans="18:18" ht="14.25">
      <c r="R10938" s="20">
        <v>10911</v>
      </c>
    </row>
    <row r="10939" spans="18:18" ht="14.25">
      <c r="R10939" s="20">
        <v>10912</v>
      </c>
    </row>
    <row r="10940" spans="18:18" ht="14.25">
      <c r="R10940" s="20">
        <v>10913</v>
      </c>
    </row>
    <row r="10941" spans="18:18" ht="14.25">
      <c r="R10941" s="20">
        <v>10914</v>
      </c>
    </row>
    <row r="10942" spans="18:18" ht="14.25">
      <c r="R10942" s="20">
        <v>10915</v>
      </c>
    </row>
    <row r="10943" spans="18:18" ht="14.25">
      <c r="R10943" s="20">
        <v>10916</v>
      </c>
    </row>
    <row r="10944" spans="18:18" ht="14.25">
      <c r="R10944" s="20">
        <v>10917</v>
      </c>
    </row>
    <row r="10945" spans="18:18" ht="14.25">
      <c r="R10945" s="20">
        <v>10918</v>
      </c>
    </row>
    <row r="10946" spans="18:18" ht="14.25">
      <c r="R10946" s="20">
        <v>10919</v>
      </c>
    </row>
    <row r="10947" spans="18:18" ht="14.25">
      <c r="R10947" s="20">
        <v>10920</v>
      </c>
    </row>
    <row r="10948" spans="18:18" ht="14.25">
      <c r="R10948" s="20">
        <v>10921</v>
      </c>
    </row>
    <row r="10949" spans="18:18" ht="14.25">
      <c r="R10949" s="20">
        <v>10922</v>
      </c>
    </row>
    <row r="10950" spans="18:18" ht="14.25">
      <c r="R10950" s="20">
        <v>10923</v>
      </c>
    </row>
    <row r="10951" spans="18:18" ht="14.25">
      <c r="R10951" s="20">
        <v>10924</v>
      </c>
    </row>
    <row r="10952" spans="18:18" ht="14.25">
      <c r="R10952" s="20">
        <v>10925</v>
      </c>
    </row>
    <row r="10953" spans="18:18" ht="14.25">
      <c r="R10953" s="20">
        <v>10926</v>
      </c>
    </row>
    <row r="10954" spans="18:18" ht="14.25">
      <c r="R10954" s="20">
        <v>10927</v>
      </c>
    </row>
    <row r="10955" spans="18:18" ht="14.25">
      <c r="R10955" s="20">
        <v>10928</v>
      </c>
    </row>
    <row r="10956" spans="18:18" ht="14.25">
      <c r="R10956" s="20">
        <v>10929</v>
      </c>
    </row>
    <row r="10957" spans="18:18" ht="14.25">
      <c r="R10957" s="20">
        <v>10930</v>
      </c>
    </row>
    <row r="10958" spans="18:18" ht="14.25">
      <c r="R10958" s="20">
        <v>10931</v>
      </c>
    </row>
    <row r="10959" spans="18:18" ht="14.25">
      <c r="R10959" s="20">
        <v>10932</v>
      </c>
    </row>
    <row r="10960" spans="18:18" ht="14.25">
      <c r="R10960" s="20">
        <v>10933</v>
      </c>
    </row>
    <row r="10961" spans="18:18" ht="14.25">
      <c r="R10961" s="20">
        <v>10934</v>
      </c>
    </row>
    <row r="10962" spans="18:18" ht="14.25">
      <c r="R10962" s="20">
        <v>10935</v>
      </c>
    </row>
    <row r="10963" spans="18:18" ht="14.25">
      <c r="R10963" s="20">
        <v>10936</v>
      </c>
    </row>
    <row r="10964" spans="18:18" ht="14.25">
      <c r="R10964" s="20">
        <v>10937</v>
      </c>
    </row>
    <row r="10965" spans="18:18" ht="14.25">
      <c r="R10965" s="20">
        <v>10938</v>
      </c>
    </row>
    <row r="10966" spans="18:18" ht="14.25">
      <c r="R10966" s="20">
        <v>10939</v>
      </c>
    </row>
    <row r="10967" spans="18:18" ht="14.25">
      <c r="R10967" s="20">
        <v>10940</v>
      </c>
    </row>
    <row r="10968" spans="18:18" ht="14.25">
      <c r="R10968" s="20">
        <v>10941</v>
      </c>
    </row>
    <row r="10969" spans="18:18" ht="14.25">
      <c r="R10969" s="20">
        <v>10942</v>
      </c>
    </row>
    <row r="10970" spans="18:18" ht="14.25">
      <c r="R10970" s="20">
        <v>10943</v>
      </c>
    </row>
    <row r="10971" spans="18:18" ht="14.25">
      <c r="R10971" s="20">
        <v>10944</v>
      </c>
    </row>
    <row r="10972" spans="18:18" ht="14.25">
      <c r="R10972" s="20">
        <v>10945</v>
      </c>
    </row>
    <row r="10973" spans="18:18" ht="14.25">
      <c r="R10973" s="20">
        <v>10946</v>
      </c>
    </row>
    <row r="10974" spans="18:18" ht="14.25">
      <c r="R10974" s="20">
        <v>10947</v>
      </c>
    </row>
    <row r="10975" spans="18:18" ht="14.25">
      <c r="R10975" s="20">
        <v>10948</v>
      </c>
    </row>
    <row r="10976" spans="18:18" ht="14.25">
      <c r="R10976" s="20">
        <v>10949</v>
      </c>
    </row>
    <row r="10977" spans="18:18" ht="14.25">
      <c r="R10977" s="20">
        <v>10950</v>
      </c>
    </row>
    <row r="10978" spans="18:18" ht="14.25">
      <c r="R10978" s="20">
        <v>10951</v>
      </c>
    </row>
    <row r="10979" spans="18:18" ht="14.25">
      <c r="R10979" s="20">
        <v>10952</v>
      </c>
    </row>
    <row r="10980" spans="18:18" ht="14.25">
      <c r="R10980" s="20">
        <v>10953</v>
      </c>
    </row>
    <row r="10981" spans="18:18" ht="14.25">
      <c r="R10981" s="20">
        <v>10954</v>
      </c>
    </row>
    <row r="10982" spans="18:18" ht="14.25">
      <c r="R10982" s="20">
        <v>10955</v>
      </c>
    </row>
    <row r="10983" spans="18:18" ht="14.25">
      <c r="R10983" s="20">
        <v>10956</v>
      </c>
    </row>
    <row r="10984" spans="18:18" ht="14.25">
      <c r="R10984" s="20">
        <v>10957</v>
      </c>
    </row>
    <row r="10985" spans="18:18" ht="14.25">
      <c r="R10985" s="20">
        <v>10958</v>
      </c>
    </row>
    <row r="10986" spans="18:18" ht="14.25">
      <c r="R10986" s="20">
        <v>10959</v>
      </c>
    </row>
    <row r="10987" spans="18:18" ht="14.25">
      <c r="R10987" s="20">
        <v>10960</v>
      </c>
    </row>
    <row r="10988" spans="18:18" ht="14.25">
      <c r="R10988" s="20">
        <v>10961</v>
      </c>
    </row>
    <row r="10989" spans="18:18" ht="14.25">
      <c r="R10989" s="20">
        <v>10962</v>
      </c>
    </row>
    <row r="10990" spans="18:18" ht="14.25">
      <c r="R10990" s="20">
        <v>10963</v>
      </c>
    </row>
    <row r="10991" spans="18:18" ht="14.25">
      <c r="R10991" s="20">
        <v>10964</v>
      </c>
    </row>
    <row r="10992" spans="18:18" ht="14.25">
      <c r="R10992" s="20">
        <v>10965</v>
      </c>
    </row>
    <row r="10993" spans="18:18" ht="14.25">
      <c r="R10993" s="20">
        <v>10966</v>
      </c>
    </row>
    <row r="10994" spans="18:18" ht="14.25">
      <c r="R10994" s="20">
        <v>10967</v>
      </c>
    </row>
    <row r="10995" spans="18:18" ht="14.25">
      <c r="R10995" s="20">
        <v>10968</v>
      </c>
    </row>
    <row r="10996" spans="18:18" ht="14.25">
      <c r="R10996" s="20">
        <v>10969</v>
      </c>
    </row>
    <row r="10997" spans="18:18" ht="14.25">
      <c r="R10997" s="20">
        <v>10970</v>
      </c>
    </row>
    <row r="10998" spans="18:18" ht="14.25">
      <c r="R10998" s="20">
        <v>10971</v>
      </c>
    </row>
    <row r="10999" spans="18:18" ht="14.25">
      <c r="R10999" s="20">
        <v>10972</v>
      </c>
    </row>
    <row r="11000" spans="18:18" ht="14.25">
      <c r="R11000" s="20">
        <v>10973</v>
      </c>
    </row>
    <row r="11001" spans="18:18" ht="14.25">
      <c r="R11001" s="20">
        <v>10974</v>
      </c>
    </row>
    <row r="11002" spans="18:18" ht="14.25">
      <c r="R11002" s="20">
        <v>10975</v>
      </c>
    </row>
    <row r="11003" spans="18:18" ht="14.25">
      <c r="R11003" s="20">
        <v>10976</v>
      </c>
    </row>
    <row r="11004" spans="18:18" ht="14.25">
      <c r="R11004" s="20">
        <v>10977</v>
      </c>
    </row>
    <row r="11005" spans="18:18" ht="14.25">
      <c r="R11005" s="20">
        <v>10978</v>
      </c>
    </row>
    <row r="11006" spans="18:18" ht="14.25">
      <c r="R11006" s="20">
        <v>10979</v>
      </c>
    </row>
    <row r="11007" spans="18:18" ht="14.25">
      <c r="R11007" s="20">
        <v>10980</v>
      </c>
    </row>
    <row r="11008" spans="18:18" ht="14.25">
      <c r="R11008" s="20">
        <v>10981</v>
      </c>
    </row>
    <row r="11009" spans="18:18" ht="14.25">
      <c r="R11009" s="20">
        <v>10982</v>
      </c>
    </row>
    <row r="11010" spans="18:18" ht="14.25">
      <c r="R11010" s="20">
        <v>10983</v>
      </c>
    </row>
    <row r="11011" spans="18:18" ht="14.25">
      <c r="R11011" s="20">
        <v>10984</v>
      </c>
    </row>
    <row r="11012" spans="18:18" ht="14.25">
      <c r="R11012" s="20">
        <v>10985</v>
      </c>
    </row>
    <row r="11013" spans="18:18" ht="14.25">
      <c r="R11013" s="20">
        <v>10986</v>
      </c>
    </row>
    <row r="11014" spans="18:18" ht="14.25">
      <c r="R11014" s="20">
        <v>10987</v>
      </c>
    </row>
    <row r="11015" spans="18:18" ht="14.25">
      <c r="R11015" s="20">
        <v>10988</v>
      </c>
    </row>
    <row r="11016" spans="18:18" ht="14.25">
      <c r="R11016" s="20">
        <v>10989</v>
      </c>
    </row>
    <row r="11017" spans="18:18" ht="14.25">
      <c r="R11017" s="20">
        <v>10990</v>
      </c>
    </row>
    <row r="11018" spans="18:18" ht="14.25">
      <c r="R11018" s="20">
        <v>10991</v>
      </c>
    </row>
    <row r="11019" spans="18:18" ht="14.25">
      <c r="R11019" s="20">
        <v>10992</v>
      </c>
    </row>
    <row r="11020" spans="18:18" ht="14.25">
      <c r="R11020" s="20">
        <v>10993</v>
      </c>
    </row>
    <row r="11021" spans="18:18" ht="14.25">
      <c r="R11021" s="20">
        <v>10994</v>
      </c>
    </row>
    <row r="11022" spans="18:18" ht="14.25">
      <c r="R11022" s="20">
        <v>10995</v>
      </c>
    </row>
    <row r="11023" spans="18:18" ht="14.25">
      <c r="R11023" s="20">
        <v>10996</v>
      </c>
    </row>
    <row r="11024" spans="18:18" ht="14.25">
      <c r="R11024" s="20">
        <v>10997</v>
      </c>
    </row>
    <row r="11025" spans="18:18" ht="14.25">
      <c r="R11025" s="20">
        <v>10998</v>
      </c>
    </row>
    <row r="11026" spans="18:18" ht="14.25">
      <c r="R11026" s="20">
        <v>10999</v>
      </c>
    </row>
    <row r="11027" spans="18:18" ht="14.25">
      <c r="R11027" s="20">
        <v>11000</v>
      </c>
    </row>
    <row r="11028" spans="18:18" ht="14.25">
      <c r="R11028" s="20">
        <v>11001</v>
      </c>
    </row>
    <row r="11029" spans="18:18" ht="14.25">
      <c r="R11029" s="20">
        <v>11002</v>
      </c>
    </row>
    <row r="11030" spans="18:18" ht="14.25">
      <c r="R11030" s="20">
        <v>11003</v>
      </c>
    </row>
    <row r="11031" spans="18:18" ht="14.25">
      <c r="R11031" s="20">
        <v>11004</v>
      </c>
    </row>
  </sheetData>
  <sortState xmlns:xlrd2="http://schemas.microsoft.com/office/spreadsheetml/2017/richdata2" ref="D2:D78">
    <sortCondition ref="D2:D78"/>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S550"/>
  <sheetViews>
    <sheetView workbookViewId="0"/>
  </sheetViews>
  <sheetFormatPr defaultColWidth="12.5703125" defaultRowHeight="15.75" customHeight="1"/>
  <cols>
    <col min="2" max="2" width="28.42578125" customWidth="1"/>
    <col min="3" max="3" width="19" customWidth="1"/>
    <col min="4" max="4" width="17.28515625" customWidth="1"/>
    <col min="5" max="5" width="21.7109375" customWidth="1"/>
    <col min="7" max="7" width="21.7109375" customWidth="1"/>
    <col min="9" max="9" width="21.7109375" customWidth="1"/>
    <col min="11" max="11" width="21.7109375" customWidth="1"/>
    <col min="13" max="13" width="21.7109375" customWidth="1"/>
    <col min="15" max="15" width="21.7109375" customWidth="1"/>
    <col min="18" max="18" width="25" customWidth="1"/>
  </cols>
  <sheetData>
    <row r="1" spans="1:19" ht="37.5" customHeight="1">
      <c r="A1" s="6" t="s">
        <v>6258</v>
      </c>
      <c r="B1" s="12" t="s">
        <v>6259</v>
      </c>
      <c r="C1" s="31" t="s">
        <v>6260</v>
      </c>
      <c r="D1" s="32" t="s">
        <v>6261</v>
      </c>
      <c r="E1" s="13" t="s">
        <v>101</v>
      </c>
      <c r="F1" s="14">
        <v>1</v>
      </c>
      <c r="G1" s="13" t="s">
        <v>102</v>
      </c>
      <c r="H1" s="14">
        <v>2</v>
      </c>
      <c r="I1" s="13" t="s">
        <v>103</v>
      </c>
      <c r="J1" s="14">
        <v>3</v>
      </c>
      <c r="K1" s="13" t="s">
        <v>104</v>
      </c>
      <c r="L1" s="14">
        <v>4</v>
      </c>
      <c r="M1" s="13" t="s">
        <v>105</v>
      </c>
      <c r="N1" s="14">
        <v>5</v>
      </c>
      <c r="O1" s="13" t="s">
        <v>106</v>
      </c>
      <c r="P1" s="14">
        <v>6</v>
      </c>
      <c r="Q1" s="6" t="s">
        <v>6262</v>
      </c>
      <c r="R1" s="6" t="s">
        <v>6263</v>
      </c>
      <c r="S1" s="15" t="s">
        <v>6216</v>
      </c>
    </row>
    <row r="2" spans="1:19" ht="49.5">
      <c r="A2" s="20" t="str">
        <f ca="1">IFERROR(__xludf.DUMMYFUNCTION("QUERY(MATRIZ_MACRO!A5:EL1779,""SELECT A WHERE EJ&lt;&gt;'No requiere'"")"),"")</f>
        <v/>
      </c>
      <c r="B2" s="20" t="str">
        <f t="shared" ref="B2:B33" ca="1" si="0">IFERROR(VLOOKUP(A2,DATA_MATRIZ,2,FALSE),"")</f>
        <v>Gestión: Presentación de la metodología intersectorial de participación para la formulación del PDD</v>
      </c>
      <c r="C2" s="21">
        <f t="shared" ref="C2:C33" ca="1" si="1">IFERROR(VLOOKUP(A2,DATA_MATRIZ,3,FALSE),"")</f>
        <v>45308</v>
      </c>
      <c r="D2" s="33">
        <f t="shared" ref="D2:D33" ca="1" si="2">IFERROR(VLOOKUP(A2,DATA_MATRIZ,89,FALSE),"")</f>
        <v>0</v>
      </c>
      <c r="E2" s="33">
        <f t="shared" ref="E2:E33" ca="1" si="3">IFERROR(VLOOKUP(A2,DATA_MATRIZ,90,FALSE),"")</f>
        <v>0</v>
      </c>
      <c r="F2" s="33" t="str">
        <f t="shared" ref="F2:F33" ca="1" si="4">IFERROR(VLOOKUP(A2,DATA_MATRIZ,96,FALSE),"")</f>
        <v>No aplica</v>
      </c>
      <c r="G2" s="33">
        <f t="shared" ref="G2:G33" ca="1" si="5">IFERROR(VLOOKUP(A2,DATA_MATRIZ,91,FALSE),"")</f>
        <v>0</v>
      </c>
      <c r="H2" s="33" t="str">
        <f t="shared" ref="H2:H33" ca="1" si="6">IFERROR(VLOOKUP(A2,DATA_MATRIZ,97,FALSE),"")</f>
        <v>No aplica</v>
      </c>
      <c r="I2" s="33">
        <f t="shared" ref="I2:I33" ca="1" si="7">IFERROR(VLOOKUP(A2,DATA_MATRIZ,92,FALSE),"")</f>
        <v>0</v>
      </c>
      <c r="J2" s="33" t="str">
        <f t="shared" ref="J2:J33" ca="1" si="8">IFERROR(VLOOKUP(A2,DATA_MATRIZ,98,FALSE),"")</f>
        <v>No aplica</v>
      </c>
      <c r="K2" s="33">
        <f t="shared" ref="K2:K33" ca="1" si="9">IFERROR(VLOOKUP(A2,DATA_MATRIZ,93,FALSE),"")</f>
        <v>0</v>
      </c>
      <c r="L2" s="33" t="str">
        <f t="shared" ref="L2:L33" ca="1" si="10">IFERROR(VLOOKUP(A2,DATA_MATRIZ,99,FALSE),"")</f>
        <v>No aplica</v>
      </c>
      <c r="M2" s="33">
        <f t="shared" ref="M2:M33" ca="1" si="11">IFERROR(VLOOKUP(A2,DATA_MATRIZ,94,FALSE),"")</f>
        <v>0</v>
      </c>
      <c r="N2" s="33" t="str">
        <f t="shared" ref="N2:N33" ca="1" si="12">IFERROR(VLOOKUP(A2,DATA_MATRIZ,100,FALSE),"")</f>
        <v>No aplica</v>
      </c>
      <c r="O2" s="33">
        <f t="shared" ref="O2:O33" ca="1" si="13">IFERROR(VLOOKUP(A2,DATA_MATRIZ,95,FALSE),"")</f>
        <v>0</v>
      </c>
      <c r="P2" s="33" t="str">
        <f t="shared" ref="P2:P33" ca="1" si="14">IFERROR(VLOOKUP(A2,DATA_MATRIZ,101,FALSE),"")</f>
        <v>No aplica</v>
      </c>
      <c r="Q2" s="33">
        <f t="shared" ref="Q2:Q33" ca="1" si="15">IFERROR(VLOOKUP(A2,DATA_MATRIZ,103,FALSE),"")</f>
        <v>0</v>
      </c>
      <c r="R2" s="33">
        <f t="shared" ref="R2:R33" ca="1" si="16">IFERROR(VLOOKUP(A2,DATA_MATRIZ,105,FALSE),"")</f>
        <v>0</v>
      </c>
      <c r="S2" s="34" t="str">
        <f t="shared" ref="S2:S33" ca="1" si="17">IFERROR(VLOOKUP(A2,DATA_MATRIZ,106,FALSE),"")</f>
        <v/>
      </c>
    </row>
    <row r="3" spans="1:19" ht="14.25">
      <c r="A3" s="20"/>
      <c r="B3" s="20" t="str">
        <f t="shared" si="0"/>
        <v/>
      </c>
      <c r="C3" s="21" t="str">
        <f t="shared" si="1"/>
        <v/>
      </c>
      <c r="D3" s="33" t="str">
        <f t="shared" si="2"/>
        <v/>
      </c>
      <c r="E3" s="33" t="str">
        <f t="shared" si="3"/>
        <v/>
      </c>
      <c r="F3" s="33" t="str">
        <f t="shared" si="4"/>
        <v/>
      </c>
      <c r="G3" s="33" t="str">
        <f t="shared" si="5"/>
        <v/>
      </c>
      <c r="H3" s="33" t="str">
        <f t="shared" si="6"/>
        <v/>
      </c>
      <c r="I3" s="33" t="str">
        <f t="shared" si="7"/>
        <v/>
      </c>
      <c r="J3" s="33" t="str">
        <f t="shared" si="8"/>
        <v/>
      </c>
      <c r="K3" s="33" t="str">
        <f t="shared" si="9"/>
        <v/>
      </c>
      <c r="L3" s="33" t="str">
        <f t="shared" si="10"/>
        <v/>
      </c>
      <c r="M3" s="33" t="str">
        <f t="shared" si="11"/>
        <v/>
      </c>
      <c r="N3" s="33" t="str">
        <f t="shared" si="12"/>
        <v/>
      </c>
      <c r="O3" s="33" t="str">
        <f t="shared" si="13"/>
        <v/>
      </c>
      <c r="P3" s="33" t="str">
        <f t="shared" si="14"/>
        <v/>
      </c>
      <c r="Q3" s="33" t="str">
        <f t="shared" si="15"/>
        <v/>
      </c>
      <c r="R3" s="33" t="str">
        <f t="shared" si="16"/>
        <v/>
      </c>
      <c r="S3" s="34" t="str">
        <f t="shared" si="17"/>
        <v/>
      </c>
    </row>
    <row r="4" spans="1:19" ht="14.25">
      <c r="A4" s="20"/>
      <c r="B4" s="20" t="str">
        <f t="shared" si="0"/>
        <v/>
      </c>
      <c r="C4" s="21" t="str">
        <f t="shared" si="1"/>
        <v/>
      </c>
      <c r="D4" s="33" t="str">
        <f t="shared" si="2"/>
        <v/>
      </c>
      <c r="E4" s="33" t="str">
        <f t="shared" si="3"/>
        <v/>
      </c>
      <c r="F4" s="33" t="str">
        <f t="shared" si="4"/>
        <v/>
      </c>
      <c r="G4" s="33" t="str">
        <f t="shared" si="5"/>
        <v/>
      </c>
      <c r="H4" s="33" t="str">
        <f t="shared" si="6"/>
        <v/>
      </c>
      <c r="I4" s="33" t="str">
        <f t="shared" si="7"/>
        <v/>
      </c>
      <c r="J4" s="33" t="str">
        <f t="shared" si="8"/>
        <v/>
      </c>
      <c r="K4" s="33" t="str">
        <f t="shared" si="9"/>
        <v/>
      </c>
      <c r="L4" s="33" t="str">
        <f t="shared" si="10"/>
        <v/>
      </c>
      <c r="M4" s="33" t="str">
        <f t="shared" si="11"/>
        <v/>
      </c>
      <c r="N4" s="33" t="str">
        <f t="shared" si="12"/>
        <v/>
      </c>
      <c r="O4" s="33" t="str">
        <f t="shared" si="13"/>
        <v/>
      </c>
      <c r="P4" s="33" t="str">
        <f t="shared" si="14"/>
        <v/>
      </c>
      <c r="Q4" s="33" t="str">
        <f t="shared" si="15"/>
        <v/>
      </c>
      <c r="R4" s="33" t="str">
        <f t="shared" si="16"/>
        <v/>
      </c>
      <c r="S4" s="34" t="str">
        <f t="shared" si="17"/>
        <v/>
      </c>
    </row>
    <row r="5" spans="1:19" ht="37.5">
      <c r="A5" s="20">
        <f ca="1">IFERROR(__xludf.DUMMYFUNCTION("""COMPUTED_VALUE"""),4)</f>
        <v>4</v>
      </c>
      <c r="B5" s="20" t="str">
        <f t="shared" ca="1" si="0"/>
        <v>Red institucional de Apoyo a las Veedurías Ciudadanas: Presentación planeación participativa del PDD</v>
      </c>
      <c r="C5" s="21">
        <f t="shared" ca="1" si="1"/>
        <v>45316</v>
      </c>
      <c r="D5" s="33">
        <f t="shared" ca="1" si="2"/>
        <v>0</v>
      </c>
      <c r="E5" s="33">
        <f t="shared" ca="1" si="3"/>
        <v>0</v>
      </c>
      <c r="F5" s="33" t="str">
        <f t="shared" ca="1" si="4"/>
        <v>No aplica</v>
      </c>
      <c r="G5" s="33">
        <f t="shared" ca="1" si="5"/>
        <v>0</v>
      </c>
      <c r="H5" s="33" t="str">
        <f t="shared" ca="1" si="6"/>
        <v>No aplica</v>
      </c>
      <c r="I5" s="33">
        <f t="shared" ca="1" si="7"/>
        <v>0</v>
      </c>
      <c r="J5" s="33" t="str">
        <f t="shared" ca="1" si="8"/>
        <v>No aplica</v>
      </c>
      <c r="K5" s="33">
        <f t="shared" ca="1" si="9"/>
        <v>0</v>
      </c>
      <c r="L5" s="33" t="str">
        <f t="shared" ca="1" si="10"/>
        <v>No aplica</v>
      </c>
      <c r="M5" s="33">
        <f t="shared" ca="1" si="11"/>
        <v>0</v>
      </c>
      <c r="N5" s="33" t="str">
        <f t="shared" ca="1" si="12"/>
        <v>No aplica</v>
      </c>
      <c r="O5" s="33">
        <f t="shared" ca="1" si="13"/>
        <v>0</v>
      </c>
      <c r="P5" s="33" t="str">
        <f t="shared" ca="1" si="14"/>
        <v>No aplica</v>
      </c>
      <c r="Q5" s="33">
        <f t="shared" ca="1" si="15"/>
        <v>0</v>
      </c>
      <c r="R5" s="33">
        <f t="shared" ca="1" si="16"/>
        <v>0</v>
      </c>
      <c r="S5" s="34" t="str">
        <f t="shared" ca="1" si="17"/>
        <v/>
      </c>
    </row>
    <row r="6" spans="1:19" ht="25.5">
      <c r="A6" s="20">
        <f ca="1">IFERROR(__xludf.DUMMYFUNCTION("""COMPUTED_VALUE"""),5)</f>
        <v>5</v>
      </c>
      <c r="B6" s="20" t="str">
        <f t="shared" ca="1" si="0"/>
        <v>Citación sesión JAL Ciudad Bolivar - Conformación CTPD 2024</v>
      </c>
      <c r="C6" s="21">
        <f t="shared" ca="1" si="1"/>
        <v>45317</v>
      </c>
      <c r="D6" s="33">
        <f t="shared" ca="1" si="2"/>
        <v>0</v>
      </c>
      <c r="E6" s="33">
        <f t="shared" ca="1" si="3"/>
        <v>0</v>
      </c>
      <c r="F6" s="33" t="str">
        <f t="shared" ca="1" si="4"/>
        <v>No aplica</v>
      </c>
      <c r="G6" s="33">
        <f t="shared" ca="1" si="5"/>
        <v>0</v>
      </c>
      <c r="H6" s="33" t="str">
        <f t="shared" ca="1" si="6"/>
        <v>No aplica</v>
      </c>
      <c r="I6" s="33">
        <f t="shared" ca="1" si="7"/>
        <v>0</v>
      </c>
      <c r="J6" s="33" t="str">
        <f t="shared" ca="1" si="8"/>
        <v>No aplica</v>
      </c>
      <c r="K6" s="33">
        <f t="shared" ca="1" si="9"/>
        <v>0</v>
      </c>
      <c r="L6" s="33" t="str">
        <f t="shared" ca="1" si="10"/>
        <v>No aplica</v>
      </c>
      <c r="M6" s="33">
        <f t="shared" ca="1" si="11"/>
        <v>0</v>
      </c>
      <c r="N6" s="33" t="str">
        <f t="shared" ca="1" si="12"/>
        <v>No aplica</v>
      </c>
      <c r="O6" s="33">
        <f t="shared" ca="1" si="13"/>
        <v>0</v>
      </c>
      <c r="P6" s="33" t="str">
        <f t="shared" ca="1" si="14"/>
        <v>No aplica</v>
      </c>
      <c r="Q6" s="33">
        <f t="shared" ca="1" si="15"/>
        <v>0</v>
      </c>
      <c r="R6" s="33">
        <f t="shared" ca="1" si="16"/>
        <v>0</v>
      </c>
      <c r="S6" s="34" t="str">
        <f t="shared" ca="1" si="17"/>
        <v/>
      </c>
    </row>
    <row r="7" spans="1:19" ht="25.5">
      <c r="A7" s="20">
        <f ca="1">IFERROR(__xludf.DUMMYFUNCTION("""COMPUTED_VALUE"""),6)</f>
        <v>6</v>
      </c>
      <c r="B7" s="20" t="str">
        <f t="shared" ca="1" si="0"/>
        <v>Taller Actuación Estratégica AEDA - Líderes de JAC Engativá</v>
      </c>
      <c r="C7" s="21">
        <f t="shared" ca="1" si="1"/>
        <v>45317</v>
      </c>
      <c r="D7" s="33">
        <f t="shared" ca="1" si="2"/>
        <v>0</v>
      </c>
      <c r="E7" s="33">
        <f t="shared" ca="1" si="3"/>
        <v>0</v>
      </c>
      <c r="F7" s="33" t="str">
        <f t="shared" ca="1" si="4"/>
        <v>No aplica</v>
      </c>
      <c r="G7" s="33">
        <f t="shared" ca="1" si="5"/>
        <v>0</v>
      </c>
      <c r="H7" s="33" t="str">
        <f t="shared" ca="1" si="6"/>
        <v>No aplica</v>
      </c>
      <c r="I7" s="33">
        <f t="shared" ca="1" si="7"/>
        <v>0</v>
      </c>
      <c r="J7" s="33" t="str">
        <f t="shared" ca="1" si="8"/>
        <v>No aplica</v>
      </c>
      <c r="K7" s="33">
        <f t="shared" ca="1" si="9"/>
        <v>0</v>
      </c>
      <c r="L7" s="33" t="str">
        <f t="shared" ca="1" si="10"/>
        <v>No aplica</v>
      </c>
      <c r="M7" s="33">
        <f t="shared" ca="1" si="11"/>
        <v>0</v>
      </c>
      <c r="N7" s="33" t="str">
        <f t="shared" ca="1" si="12"/>
        <v>No aplica</v>
      </c>
      <c r="O7" s="33">
        <f t="shared" ca="1" si="13"/>
        <v>0</v>
      </c>
      <c r="P7" s="33" t="str">
        <f t="shared" ca="1" si="14"/>
        <v>No aplica</v>
      </c>
      <c r="Q7" s="33">
        <f t="shared" ca="1" si="15"/>
        <v>0</v>
      </c>
      <c r="R7" s="33">
        <f t="shared" ca="1" si="16"/>
        <v>0</v>
      </c>
      <c r="S7" s="34" t="str">
        <f t="shared" ca="1" si="17"/>
        <v/>
      </c>
    </row>
    <row r="8" spans="1:19" ht="25.5">
      <c r="A8" s="20">
        <f ca="1">IFERROR(__xludf.DUMMYFUNCTION("""COMPUTED_VALUE"""),7)</f>
        <v>7</v>
      </c>
      <c r="B8" s="20" t="str">
        <f t="shared" ca="1" si="0"/>
        <v>Entrega de certificados - Plan de Formación CTPD 2023</v>
      </c>
      <c r="C8" s="21">
        <f t="shared" ca="1" si="1"/>
        <v>45317</v>
      </c>
      <c r="D8" s="33">
        <f t="shared" ca="1" si="2"/>
        <v>0</v>
      </c>
      <c r="E8" s="33">
        <f t="shared" ca="1" si="3"/>
        <v>0</v>
      </c>
      <c r="F8" s="33" t="str">
        <f t="shared" ca="1" si="4"/>
        <v>No aplica</v>
      </c>
      <c r="G8" s="33">
        <f t="shared" ca="1" si="5"/>
        <v>0</v>
      </c>
      <c r="H8" s="33" t="str">
        <f t="shared" ca="1" si="6"/>
        <v>No aplica</v>
      </c>
      <c r="I8" s="33">
        <f t="shared" ca="1" si="7"/>
        <v>0</v>
      </c>
      <c r="J8" s="33" t="str">
        <f t="shared" ca="1" si="8"/>
        <v>No aplica</v>
      </c>
      <c r="K8" s="33">
        <f t="shared" ca="1" si="9"/>
        <v>0</v>
      </c>
      <c r="L8" s="33" t="str">
        <f t="shared" ca="1" si="10"/>
        <v>No aplica</v>
      </c>
      <c r="M8" s="33">
        <f t="shared" ca="1" si="11"/>
        <v>0</v>
      </c>
      <c r="N8" s="33" t="str">
        <f t="shared" ca="1" si="12"/>
        <v>No aplica</v>
      </c>
      <c r="O8" s="33">
        <f t="shared" ca="1" si="13"/>
        <v>0</v>
      </c>
      <c r="P8" s="33" t="str">
        <f t="shared" ca="1" si="14"/>
        <v>No aplica</v>
      </c>
      <c r="Q8" s="33">
        <f t="shared" ca="1" si="15"/>
        <v>0</v>
      </c>
      <c r="R8" s="33">
        <f t="shared" ca="1" si="16"/>
        <v>0</v>
      </c>
      <c r="S8" s="34" t="str">
        <f t="shared" ca="1" si="17"/>
        <v/>
      </c>
    </row>
    <row r="9" spans="1:19" ht="14.25">
      <c r="A9" s="20"/>
      <c r="B9" s="20" t="str">
        <f t="shared" si="0"/>
        <v/>
      </c>
      <c r="C9" s="21" t="str">
        <f t="shared" si="1"/>
        <v/>
      </c>
      <c r="D9" s="33" t="str">
        <f t="shared" si="2"/>
        <v/>
      </c>
      <c r="E9" s="33" t="str">
        <f t="shared" si="3"/>
        <v/>
      </c>
      <c r="F9" s="33" t="str">
        <f t="shared" si="4"/>
        <v/>
      </c>
      <c r="G9" s="33" t="str">
        <f t="shared" si="5"/>
        <v/>
      </c>
      <c r="H9" s="33" t="str">
        <f t="shared" si="6"/>
        <v/>
      </c>
      <c r="I9" s="33" t="str">
        <f t="shared" si="7"/>
        <v/>
      </c>
      <c r="J9" s="33" t="str">
        <f t="shared" si="8"/>
        <v/>
      </c>
      <c r="K9" s="33" t="str">
        <f t="shared" si="9"/>
        <v/>
      </c>
      <c r="L9" s="33" t="str">
        <f t="shared" si="10"/>
        <v/>
      </c>
      <c r="M9" s="33" t="str">
        <f t="shared" si="11"/>
        <v/>
      </c>
      <c r="N9" s="33" t="str">
        <f t="shared" si="12"/>
        <v/>
      </c>
      <c r="O9" s="33" t="str">
        <f t="shared" si="13"/>
        <v/>
      </c>
      <c r="P9" s="33" t="str">
        <f t="shared" si="14"/>
        <v/>
      </c>
      <c r="Q9" s="33" t="str">
        <f t="shared" si="15"/>
        <v/>
      </c>
      <c r="R9" s="33" t="str">
        <f t="shared" si="16"/>
        <v/>
      </c>
      <c r="S9" s="34" t="str">
        <f t="shared" si="17"/>
        <v/>
      </c>
    </row>
    <row r="10" spans="1:19" ht="14.25">
      <c r="A10" s="20"/>
      <c r="B10" s="20" t="str">
        <f t="shared" si="0"/>
        <v/>
      </c>
      <c r="C10" s="21" t="str">
        <f t="shared" si="1"/>
        <v/>
      </c>
      <c r="D10" s="33" t="str">
        <f t="shared" si="2"/>
        <v/>
      </c>
      <c r="E10" s="33" t="str">
        <f t="shared" si="3"/>
        <v/>
      </c>
      <c r="F10" s="33" t="str">
        <f t="shared" si="4"/>
        <v/>
      </c>
      <c r="G10" s="33" t="str">
        <f t="shared" si="5"/>
        <v/>
      </c>
      <c r="H10" s="33" t="str">
        <f t="shared" si="6"/>
        <v/>
      </c>
      <c r="I10" s="33" t="str">
        <f t="shared" si="7"/>
        <v/>
      </c>
      <c r="J10" s="33" t="str">
        <f t="shared" si="8"/>
        <v/>
      </c>
      <c r="K10" s="33" t="str">
        <f t="shared" si="9"/>
        <v/>
      </c>
      <c r="L10" s="33" t="str">
        <f t="shared" si="10"/>
        <v/>
      </c>
      <c r="M10" s="33" t="str">
        <f t="shared" si="11"/>
        <v/>
      </c>
      <c r="N10" s="33" t="str">
        <f t="shared" si="12"/>
        <v/>
      </c>
      <c r="O10" s="33" t="str">
        <f t="shared" si="13"/>
        <v/>
      </c>
      <c r="P10" s="33" t="str">
        <f t="shared" si="14"/>
        <v/>
      </c>
      <c r="Q10" s="33" t="str">
        <f t="shared" si="15"/>
        <v/>
      </c>
      <c r="R10" s="33" t="str">
        <f t="shared" si="16"/>
        <v/>
      </c>
      <c r="S10" s="34" t="str">
        <f t="shared" si="17"/>
        <v/>
      </c>
    </row>
    <row r="11" spans="1:19" ht="14.25">
      <c r="A11" s="20"/>
      <c r="B11" s="20" t="str">
        <f t="shared" si="0"/>
        <v/>
      </c>
      <c r="C11" s="21" t="str">
        <f t="shared" si="1"/>
        <v/>
      </c>
      <c r="D11" s="33" t="str">
        <f t="shared" si="2"/>
        <v/>
      </c>
      <c r="E11" s="33" t="str">
        <f t="shared" si="3"/>
        <v/>
      </c>
      <c r="F11" s="33" t="str">
        <f t="shared" si="4"/>
        <v/>
      </c>
      <c r="G11" s="33" t="str">
        <f t="shared" si="5"/>
        <v/>
      </c>
      <c r="H11" s="33" t="str">
        <f t="shared" si="6"/>
        <v/>
      </c>
      <c r="I11" s="33" t="str">
        <f t="shared" si="7"/>
        <v/>
      </c>
      <c r="J11" s="33" t="str">
        <f t="shared" si="8"/>
        <v/>
      </c>
      <c r="K11" s="33" t="str">
        <f t="shared" si="9"/>
        <v/>
      </c>
      <c r="L11" s="33" t="str">
        <f t="shared" si="10"/>
        <v/>
      </c>
      <c r="M11" s="33" t="str">
        <f t="shared" si="11"/>
        <v/>
      </c>
      <c r="N11" s="33" t="str">
        <f t="shared" si="12"/>
        <v/>
      </c>
      <c r="O11" s="33" t="str">
        <f t="shared" si="13"/>
        <v/>
      </c>
      <c r="P11" s="33" t="str">
        <f t="shared" si="14"/>
        <v/>
      </c>
      <c r="Q11" s="33" t="str">
        <f t="shared" si="15"/>
        <v/>
      </c>
      <c r="R11" s="33" t="str">
        <f t="shared" si="16"/>
        <v/>
      </c>
      <c r="S11" s="34" t="str">
        <f t="shared" si="17"/>
        <v/>
      </c>
    </row>
    <row r="12" spans="1:19" ht="25.5">
      <c r="A12" s="20">
        <f ca="1">IFERROR(__xludf.DUMMYFUNCTION("""COMPUTED_VALUE"""),11)</f>
        <v>11</v>
      </c>
      <c r="B12" s="20" t="str">
        <f t="shared" ca="1" si="0"/>
        <v>Instalación protocolaria de los Consejos de Planeación Local - CPL</v>
      </c>
      <c r="C12" s="21">
        <f t="shared" ca="1" si="1"/>
        <v>45324</v>
      </c>
      <c r="D12" s="33">
        <f t="shared" ca="1" si="2"/>
        <v>0</v>
      </c>
      <c r="E12" s="33">
        <f t="shared" ca="1" si="3"/>
        <v>0</v>
      </c>
      <c r="F12" s="33" t="str">
        <f t="shared" ca="1" si="4"/>
        <v>No aplica</v>
      </c>
      <c r="G12" s="33">
        <f t="shared" ca="1" si="5"/>
        <v>0</v>
      </c>
      <c r="H12" s="33" t="str">
        <f t="shared" ca="1" si="6"/>
        <v>No aplica</v>
      </c>
      <c r="I12" s="33">
        <f t="shared" ca="1" si="7"/>
        <v>0</v>
      </c>
      <c r="J12" s="33" t="str">
        <f t="shared" ca="1" si="8"/>
        <v>No aplica</v>
      </c>
      <c r="K12" s="33">
        <f t="shared" ca="1" si="9"/>
        <v>0</v>
      </c>
      <c r="L12" s="33" t="str">
        <f t="shared" ca="1" si="10"/>
        <v>No aplica</v>
      </c>
      <c r="M12" s="33">
        <f t="shared" ca="1" si="11"/>
        <v>0</v>
      </c>
      <c r="N12" s="33" t="str">
        <f t="shared" ca="1" si="12"/>
        <v>No aplica</v>
      </c>
      <c r="O12" s="33">
        <f t="shared" ca="1" si="13"/>
        <v>0</v>
      </c>
      <c r="P12" s="33" t="str">
        <f t="shared" ca="1" si="14"/>
        <v>No aplica</v>
      </c>
      <c r="Q12" s="33">
        <f t="shared" ca="1" si="15"/>
        <v>0</v>
      </c>
      <c r="R12" s="33">
        <f t="shared" ca="1" si="16"/>
        <v>0</v>
      </c>
      <c r="S12" s="34" t="str">
        <f t="shared" ca="1" si="17"/>
        <v/>
      </c>
    </row>
    <row r="13" spans="1:19" ht="14.25">
      <c r="A13" s="20"/>
      <c r="B13" s="20" t="str">
        <f t="shared" si="0"/>
        <v/>
      </c>
      <c r="C13" s="21" t="str">
        <f t="shared" si="1"/>
        <v/>
      </c>
      <c r="D13" s="33" t="str">
        <f t="shared" si="2"/>
        <v/>
      </c>
      <c r="E13" s="33" t="str">
        <f t="shared" si="3"/>
        <v/>
      </c>
      <c r="F13" s="33" t="str">
        <f t="shared" si="4"/>
        <v/>
      </c>
      <c r="G13" s="33" t="str">
        <f t="shared" si="5"/>
        <v/>
      </c>
      <c r="H13" s="33" t="str">
        <f t="shared" si="6"/>
        <v/>
      </c>
      <c r="I13" s="33" t="str">
        <f t="shared" si="7"/>
        <v/>
      </c>
      <c r="J13" s="33" t="str">
        <f t="shared" si="8"/>
        <v/>
      </c>
      <c r="K13" s="33" t="str">
        <f t="shared" si="9"/>
        <v/>
      </c>
      <c r="L13" s="33" t="str">
        <f t="shared" si="10"/>
        <v/>
      </c>
      <c r="M13" s="33" t="str">
        <f t="shared" si="11"/>
        <v/>
      </c>
      <c r="N13" s="33" t="str">
        <f t="shared" si="12"/>
        <v/>
      </c>
      <c r="O13" s="33" t="str">
        <f t="shared" si="13"/>
        <v/>
      </c>
      <c r="P13" s="33" t="str">
        <f t="shared" si="14"/>
        <v/>
      </c>
      <c r="Q13" s="33" t="str">
        <f t="shared" si="15"/>
        <v/>
      </c>
      <c r="R13" s="33" t="str">
        <f t="shared" si="16"/>
        <v/>
      </c>
      <c r="S13" s="34" t="str">
        <f t="shared" si="17"/>
        <v/>
      </c>
    </row>
    <row r="14" spans="1:19" ht="14.25">
      <c r="A14" s="20"/>
      <c r="B14" s="20" t="str">
        <f t="shared" si="0"/>
        <v/>
      </c>
      <c r="C14" s="21" t="str">
        <f t="shared" si="1"/>
        <v/>
      </c>
      <c r="D14" s="33" t="str">
        <f t="shared" si="2"/>
        <v/>
      </c>
      <c r="E14" s="33" t="str">
        <f t="shared" si="3"/>
        <v/>
      </c>
      <c r="F14" s="33" t="str">
        <f t="shared" si="4"/>
        <v/>
      </c>
      <c r="G14" s="33" t="str">
        <f t="shared" si="5"/>
        <v/>
      </c>
      <c r="H14" s="33" t="str">
        <f t="shared" si="6"/>
        <v/>
      </c>
      <c r="I14" s="33" t="str">
        <f t="shared" si="7"/>
        <v/>
      </c>
      <c r="J14" s="33" t="str">
        <f t="shared" si="8"/>
        <v/>
      </c>
      <c r="K14" s="33" t="str">
        <f t="shared" si="9"/>
        <v/>
      </c>
      <c r="L14" s="33" t="str">
        <f t="shared" si="10"/>
        <v/>
      </c>
      <c r="M14" s="33" t="str">
        <f t="shared" si="11"/>
        <v/>
      </c>
      <c r="N14" s="33" t="str">
        <f t="shared" si="12"/>
        <v/>
      </c>
      <c r="O14" s="33" t="str">
        <f t="shared" si="13"/>
        <v/>
      </c>
      <c r="P14" s="33" t="str">
        <f t="shared" si="14"/>
        <v/>
      </c>
      <c r="Q14" s="33" t="str">
        <f t="shared" si="15"/>
        <v/>
      </c>
      <c r="R14" s="33" t="str">
        <f t="shared" si="16"/>
        <v/>
      </c>
      <c r="S14" s="34" t="str">
        <f t="shared" si="17"/>
        <v/>
      </c>
    </row>
    <row r="15" spans="1:19" ht="14.25">
      <c r="A15" s="20"/>
      <c r="B15" s="20" t="str">
        <f t="shared" si="0"/>
        <v/>
      </c>
      <c r="C15" s="21" t="str">
        <f t="shared" si="1"/>
        <v/>
      </c>
      <c r="D15" s="33" t="str">
        <f t="shared" si="2"/>
        <v/>
      </c>
      <c r="E15" s="33" t="str">
        <f t="shared" si="3"/>
        <v/>
      </c>
      <c r="F15" s="33" t="str">
        <f t="shared" si="4"/>
        <v/>
      </c>
      <c r="G15" s="33" t="str">
        <f t="shared" si="5"/>
        <v/>
      </c>
      <c r="H15" s="33" t="str">
        <f t="shared" si="6"/>
        <v/>
      </c>
      <c r="I15" s="33" t="str">
        <f t="shared" si="7"/>
        <v/>
      </c>
      <c r="J15" s="33" t="str">
        <f t="shared" si="8"/>
        <v/>
      </c>
      <c r="K15" s="33" t="str">
        <f t="shared" si="9"/>
        <v/>
      </c>
      <c r="L15" s="33" t="str">
        <f t="shared" si="10"/>
        <v/>
      </c>
      <c r="M15" s="33" t="str">
        <f t="shared" si="11"/>
        <v/>
      </c>
      <c r="N15" s="33" t="str">
        <f t="shared" si="12"/>
        <v/>
      </c>
      <c r="O15" s="33" t="str">
        <f t="shared" si="13"/>
        <v/>
      </c>
      <c r="P15" s="33" t="str">
        <f t="shared" si="14"/>
        <v/>
      </c>
      <c r="Q15" s="33" t="str">
        <f t="shared" si="15"/>
        <v/>
      </c>
      <c r="R15" s="33" t="str">
        <f t="shared" si="16"/>
        <v/>
      </c>
      <c r="S15" s="34" t="str">
        <f t="shared" si="17"/>
        <v/>
      </c>
    </row>
    <row r="16" spans="1:19" ht="14.25">
      <c r="A16" s="20"/>
      <c r="B16" s="20" t="str">
        <f t="shared" si="0"/>
        <v/>
      </c>
      <c r="C16" s="21" t="str">
        <f t="shared" si="1"/>
        <v/>
      </c>
      <c r="D16" s="33" t="str">
        <f t="shared" si="2"/>
        <v/>
      </c>
      <c r="E16" s="33" t="str">
        <f t="shared" si="3"/>
        <v/>
      </c>
      <c r="F16" s="33" t="str">
        <f t="shared" si="4"/>
        <v/>
      </c>
      <c r="G16" s="33" t="str">
        <f t="shared" si="5"/>
        <v/>
      </c>
      <c r="H16" s="33" t="str">
        <f t="shared" si="6"/>
        <v/>
      </c>
      <c r="I16" s="33" t="str">
        <f t="shared" si="7"/>
        <v/>
      </c>
      <c r="J16" s="33" t="str">
        <f t="shared" si="8"/>
        <v/>
      </c>
      <c r="K16" s="33" t="str">
        <f t="shared" si="9"/>
        <v/>
      </c>
      <c r="L16" s="33" t="str">
        <f t="shared" si="10"/>
        <v/>
      </c>
      <c r="M16" s="33" t="str">
        <f t="shared" si="11"/>
        <v/>
      </c>
      <c r="N16" s="33" t="str">
        <f t="shared" si="12"/>
        <v/>
      </c>
      <c r="O16" s="33" t="str">
        <f t="shared" si="13"/>
        <v/>
      </c>
      <c r="P16" s="33" t="str">
        <f t="shared" si="14"/>
        <v/>
      </c>
      <c r="Q16" s="33" t="str">
        <f t="shared" si="15"/>
        <v/>
      </c>
      <c r="R16" s="33" t="str">
        <f t="shared" si="16"/>
        <v/>
      </c>
      <c r="S16" s="34" t="str">
        <f t="shared" si="17"/>
        <v/>
      </c>
    </row>
    <row r="17" spans="1:19" ht="37.5">
      <c r="A17" s="20">
        <f ca="1">IFERROR(__xludf.DUMMYFUNCTION("""COMPUTED_VALUE"""),16)</f>
        <v>16</v>
      </c>
      <c r="B17" s="20" t="str">
        <f t="shared" ca="1" si="0"/>
        <v>Conversatorio Nacional 1-2024 de Red de consejeros territoriales de planeación</v>
      </c>
      <c r="C17" s="21">
        <f t="shared" ca="1" si="1"/>
        <v>45331</v>
      </c>
      <c r="D17" s="33">
        <f t="shared" ca="1" si="2"/>
        <v>0</v>
      </c>
      <c r="E17" s="33">
        <f t="shared" ca="1" si="3"/>
        <v>0</v>
      </c>
      <c r="F17" s="33" t="str">
        <f t="shared" ca="1" si="4"/>
        <v>No aplica</v>
      </c>
      <c r="G17" s="33">
        <f t="shared" ca="1" si="5"/>
        <v>0</v>
      </c>
      <c r="H17" s="33" t="str">
        <f t="shared" ca="1" si="6"/>
        <v>No aplica</v>
      </c>
      <c r="I17" s="33">
        <f t="shared" ca="1" si="7"/>
        <v>0</v>
      </c>
      <c r="J17" s="33" t="str">
        <f t="shared" ca="1" si="8"/>
        <v>No aplica</v>
      </c>
      <c r="K17" s="33">
        <f t="shared" ca="1" si="9"/>
        <v>0</v>
      </c>
      <c r="L17" s="33" t="str">
        <f t="shared" ca="1" si="10"/>
        <v>No aplica</v>
      </c>
      <c r="M17" s="33">
        <f t="shared" ca="1" si="11"/>
        <v>0</v>
      </c>
      <c r="N17" s="33" t="str">
        <f t="shared" ca="1" si="12"/>
        <v>No aplica</v>
      </c>
      <c r="O17" s="33">
        <f t="shared" ca="1" si="13"/>
        <v>0</v>
      </c>
      <c r="P17" s="33" t="str">
        <f t="shared" ca="1" si="14"/>
        <v>No aplica</v>
      </c>
      <c r="Q17" s="33">
        <f t="shared" ca="1" si="15"/>
        <v>0</v>
      </c>
      <c r="R17" s="33">
        <f t="shared" ca="1" si="16"/>
        <v>0</v>
      </c>
      <c r="S17" s="34" t="str">
        <f t="shared" ca="1" si="17"/>
        <v/>
      </c>
    </row>
    <row r="18" spans="1:19" ht="14.25">
      <c r="A18" s="20"/>
      <c r="B18" s="20" t="str">
        <f t="shared" si="0"/>
        <v/>
      </c>
      <c r="C18" s="21" t="str">
        <f t="shared" si="1"/>
        <v/>
      </c>
      <c r="D18" s="33" t="str">
        <f t="shared" si="2"/>
        <v/>
      </c>
      <c r="E18" s="33" t="str">
        <f t="shared" si="3"/>
        <v/>
      </c>
      <c r="F18" s="33" t="str">
        <f t="shared" si="4"/>
        <v/>
      </c>
      <c r="G18" s="33" t="str">
        <f t="shared" si="5"/>
        <v/>
      </c>
      <c r="H18" s="33" t="str">
        <f t="shared" si="6"/>
        <v/>
      </c>
      <c r="I18" s="33" t="str">
        <f t="shared" si="7"/>
        <v/>
      </c>
      <c r="J18" s="33" t="str">
        <f t="shared" si="8"/>
        <v/>
      </c>
      <c r="K18" s="33" t="str">
        <f t="shared" si="9"/>
        <v/>
      </c>
      <c r="L18" s="33" t="str">
        <f t="shared" si="10"/>
        <v/>
      </c>
      <c r="M18" s="33" t="str">
        <f t="shared" si="11"/>
        <v/>
      </c>
      <c r="N18" s="33" t="str">
        <f t="shared" si="12"/>
        <v/>
      </c>
      <c r="O18" s="33" t="str">
        <f t="shared" si="13"/>
        <v/>
      </c>
      <c r="P18" s="33" t="str">
        <f t="shared" si="14"/>
        <v/>
      </c>
      <c r="Q18" s="33" t="str">
        <f t="shared" si="15"/>
        <v/>
      </c>
      <c r="R18" s="33" t="str">
        <f t="shared" si="16"/>
        <v/>
      </c>
      <c r="S18" s="34" t="str">
        <f t="shared" si="17"/>
        <v/>
      </c>
    </row>
    <row r="19" spans="1:19" ht="37.5">
      <c r="A19" s="20">
        <f ca="1">IFERROR(__xludf.DUMMYFUNCTION("""COMPUTED_VALUE"""),18)</f>
        <v>18</v>
      </c>
      <c r="B19" s="20" t="str">
        <f t="shared" ca="1" si="0"/>
        <v>Presentación estrategia PDD - Comisión Intersectorial de Participación (CIP)</v>
      </c>
      <c r="C19" s="21">
        <f t="shared" ca="1" si="1"/>
        <v>45331</v>
      </c>
      <c r="D19" s="33">
        <f t="shared" ca="1" si="2"/>
        <v>0</v>
      </c>
      <c r="E19" s="33">
        <f t="shared" ca="1" si="3"/>
        <v>0</v>
      </c>
      <c r="F19" s="33" t="str">
        <f t="shared" ca="1" si="4"/>
        <v>No aplica</v>
      </c>
      <c r="G19" s="33">
        <f t="shared" ca="1" si="5"/>
        <v>0</v>
      </c>
      <c r="H19" s="33" t="str">
        <f t="shared" ca="1" si="6"/>
        <v>No aplica</v>
      </c>
      <c r="I19" s="33">
        <f t="shared" ca="1" si="7"/>
        <v>0</v>
      </c>
      <c r="J19" s="33" t="str">
        <f t="shared" ca="1" si="8"/>
        <v>No aplica</v>
      </c>
      <c r="K19" s="33">
        <f t="shared" ca="1" si="9"/>
        <v>0</v>
      </c>
      <c r="L19" s="33" t="str">
        <f t="shared" ca="1" si="10"/>
        <v>No aplica</v>
      </c>
      <c r="M19" s="33">
        <f t="shared" ca="1" si="11"/>
        <v>0</v>
      </c>
      <c r="N19" s="33" t="str">
        <f t="shared" ca="1" si="12"/>
        <v>No aplica</v>
      </c>
      <c r="O19" s="33">
        <f t="shared" ca="1" si="13"/>
        <v>0</v>
      </c>
      <c r="P19" s="33" t="str">
        <f t="shared" ca="1" si="14"/>
        <v>No aplica</v>
      </c>
      <c r="Q19" s="33">
        <f t="shared" ca="1" si="15"/>
        <v>0</v>
      </c>
      <c r="R19" s="33">
        <f t="shared" ca="1" si="16"/>
        <v>0</v>
      </c>
      <c r="S19" s="34" t="str">
        <f t="shared" ca="1" si="17"/>
        <v/>
      </c>
    </row>
    <row r="20" spans="1:19" ht="13.5">
      <c r="A20" s="20">
        <f ca="1">IFERROR(__xludf.DUMMYFUNCTION("""COMPUTED_VALUE"""),19)</f>
        <v>19</v>
      </c>
      <c r="B20" s="20" t="str">
        <f t="shared" ca="1" si="0"/>
        <v>Asamblea Acupasa</v>
      </c>
      <c r="C20" s="21">
        <f t="shared" ca="1" si="1"/>
        <v>45333</v>
      </c>
      <c r="D20" s="33">
        <f t="shared" ca="1" si="2"/>
        <v>0</v>
      </c>
      <c r="E20" s="33">
        <f t="shared" ca="1" si="3"/>
        <v>0</v>
      </c>
      <c r="F20" s="33" t="str">
        <f t="shared" ca="1" si="4"/>
        <v>No aplica</v>
      </c>
      <c r="G20" s="33">
        <f t="shared" ca="1" si="5"/>
        <v>0</v>
      </c>
      <c r="H20" s="33" t="str">
        <f t="shared" ca="1" si="6"/>
        <v>No aplica</v>
      </c>
      <c r="I20" s="33">
        <f t="shared" ca="1" si="7"/>
        <v>0</v>
      </c>
      <c r="J20" s="33" t="str">
        <f t="shared" ca="1" si="8"/>
        <v>No aplica</v>
      </c>
      <c r="K20" s="33">
        <f t="shared" ca="1" si="9"/>
        <v>0</v>
      </c>
      <c r="L20" s="33" t="str">
        <f t="shared" ca="1" si="10"/>
        <v>No aplica</v>
      </c>
      <c r="M20" s="33">
        <f t="shared" ca="1" si="11"/>
        <v>0</v>
      </c>
      <c r="N20" s="33" t="str">
        <f t="shared" ca="1" si="12"/>
        <v>No aplica</v>
      </c>
      <c r="O20" s="33">
        <f t="shared" ca="1" si="13"/>
        <v>0</v>
      </c>
      <c r="P20" s="33" t="str">
        <f t="shared" ca="1" si="14"/>
        <v>No aplica</v>
      </c>
      <c r="Q20" s="33">
        <f t="shared" ca="1" si="15"/>
        <v>0</v>
      </c>
      <c r="R20" s="33">
        <f t="shared" ca="1" si="16"/>
        <v>0</v>
      </c>
      <c r="S20" s="34" t="str">
        <f t="shared" ca="1" si="17"/>
        <v/>
      </c>
    </row>
    <row r="21" spans="1:19" ht="14.25">
      <c r="A21" s="20"/>
      <c r="B21" s="20" t="str">
        <f t="shared" si="0"/>
        <v/>
      </c>
      <c r="C21" s="21" t="str">
        <f t="shared" si="1"/>
        <v/>
      </c>
      <c r="D21" s="33" t="str">
        <f t="shared" si="2"/>
        <v/>
      </c>
      <c r="E21" s="33" t="str">
        <f t="shared" si="3"/>
        <v/>
      </c>
      <c r="F21" s="33" t="str">
        <f t="shared" si="4"/>
        <v/>
      </c>
      <c r="G21" s="33" t="str">
        <f t="shared" si="5"/>
        <v/>
      </c>
      <c r="H21" s="33" t="str">
        <f t="shared" si="6"/>
        <v/>
      </c>
      <c r="I21" s="33" t="str">
        <f t="shared" si="7"/>
        <v/>
      </c>
      <c r="J21" s="33" t="str">
        <f t="shared" si="8"/>
        <v/>
      </c>
      <c r="K21" s="33" t="str">
        <f t="shared" si="9"/>
        <v/>
      </c>
      <c r="L21" s="33" t="str">
        <f t="shared" si="10"/>
        <v/>
      </c>
      <c r="M21" s="33" t="str">
        <f t="shared" si="11"/>
        <v/>
      </c>
      <c r="N21" s="33" t="str">
        <f t="shared" si="12"/>
        <v/>
      </c>
      <c r="O21" s="33" t="str">
        <f t="shared" si="13"/>
        <v/>
      </c>
      <c r="P21" s="33" t="str">
        <f t="shared" si="14"/>
        <v/>
      </c>
      <c r="Q21" s="33" t="str">
        <f t="shared" si="15"/>
        <v/>
      </c>
      <c r="R21" s="33" t="str">
        <f t="shared" si="16"/>
        <v/>
      </c>
      <c r="S21" s="34" t="str">
        <f t="shared" si="17"/>
        <v/>
      </c>
    </row>
    <row r="22" spans="1:19" ht="25.5">
      <c r="A22" s="20">
        <f ca="1">IFERROR(__xludf.DUMMYFUNCTION("""COMPUTED_VALUE"""),21)</f>
        <v>21</v>
      </c>
      <c r="B22" s="20" t="str">
        <f t="shared" ca="1" si="0"/>
        <v>Presentación participación PDD y sondeos - Consejo de Participación</v>
      </c>
      <c r="C22" s="21">
        <f t="shared" ca="1" si="1"/>
        <v>45335</v>
      </c>
      <c r="D22" s="33">
        <f t="shared" ca="1" si="2"/>
        <v>0</v>
      </c>
      <c r="E22" s="33">
        <f t="shared" ca="1" si="3"/>
        <v>0</v>
      </c>
      <c r="F22" s="33" t="str">
        <f t="shared" ca="1" si="4"/>
        <v>No aplica</v>
      </c>
      <c r="G22" s="33">
        <f t="shared" ca="1" si="5"/>
        <v>0</v>
      </c>
      <c r="H22" s="33" t="str">
        <f t="shared" ca="1" si="6"/>
        <v>No aplica</v>
      </c>
      <c r="I22" s="33">
        <f t="shared" ca="1" si="7"/>
        <v>0</v>
      </c>
      <c r="J22" s="33" t="str">
        <f t="shared" ca="1" si="8"/>
        <v>No aplica</v>
      </c>
      <c r="K22" s="33">
        <f t="shared" ca="1" si="9"/>
        <v>0</v>
      </c>
      <c r="L22" s="33" t="str">
        <f t="shared" ca="1" si="10"/>
        <v>No aplica</v>
      </c>
      <c r="M22" s="33">
        <f t="shared" ca="1" si="11"/>
        <v>0</v>
      </c>
      <c r="N22" s="33" t="str">
        <f t="shared" ca="1" si="12"/>
        <v>No aplica</v>
      </c>
      <c r="O22" s="33">
        <f t="shared" ca="1" si="13"/>
        <v>0</v>
      </c>
      <c r="P22" s="33" t="str">
        <f t="shared" ca="1" si="14"/>
        <v>No aplica</v>
      </c>
      <c r="Q22" s="33">
        <f t="shared" ca="1" si="15"/>
        <v>0</v>
      </c>
      <c r="R22" s="33">
        <f t="shared" ca="1" si="16"/>
        <v>0</v>
      </c>
      <c r="S22" s="34" t="str">
        <f t="shared" ca="1" si="17"/>
        <v/>
      </c>
    </row>
    <row r="23" spans="1:19" ht="37.5">
      <c r="A23" s="20">
        <f ca="1">IFERROR(__xludf.DUMMYFUNCTION("""COMPUTED_VALUE"""),22)</f>
        <v>22</v>
      </c>
      <c r="B23" s="20" t="str">
        <f t="shared" ca="1" si="0"/>
        <v>Sesión del Consejo de Planeación Local Chapinero - Articulación Sondeos referente Local de Ruralidad</v>
      </c>
      <c r="C23" s="21">
        <f t="shared" ca="1" si="1"/>
        <v>45335</v>
      </c>
      <c r="D23" s="33">
        <f t="shared" ca="1" si="2"/>
        <v>0</v>
      </c>
      <c r="E23" s="33">
        <f t="shared" ca="1" si="3"/>
        <v>0</v>
      </c>
      <c r="F23" s="33" t="str">
        <f t="shared" ca="1" si="4"/>
        <v>No aplica</v>
      </c>
      <c r="G23" s="33">
        <f t="shared" ca="1" si="5"/>
        <v>0</v>
      </c>
      <c r="H23" s="33" t="str">
        <f t="shared" ca="1" si="6"/>
        <v>No aplica</v>
      </c>
      <c r="I23" s="33">
        <f t="shared" ca="1" si="7"/>
        <v>0</v>
      </c>
      <c r="J23" s="33" t="str">
        <f t="shared" ca="1" si="8"/>
        <v>No aplica</v>
      </c>
      <c r="K23" s="33">
        <f t="shared" ca="1" si="9"/>
        <v>0</v>
      </c>
      <c r="L23" s="33" t="str">
        <f t="shared" ca="1" si="10"/>
        <v>No aplica</v>
      </c>
      <c r="M23" s="33">
        <f t="shared" ca="1" si="11"/>
        <v>0</v>
      </c>
      <c r="N23" s="33" t="str">
        <f t="shared" ca="1" si="12"/>
        <v>No aplica</v>
      </c>
      <c r="O23" s="33">
        <f t="shared" ca="1" si="13"/>
        <v>0</v>
      </c>
      <c r="P23" s="33" t="str">
        <f t="shared" ca="1" si="14"/>
        <v>No aplica</v>
      </c>
      <c r="Q23" s="33">
        <f t="shared" ca="1" si="15"/>
        <v>0</v>
      </c>
      <c r="R23" s="33">
        <f t="shared" ca="1" si="16"/>
        <v>0</v>
      </c>
      <c r="S23" s="34" t="str">
        <f t="shared" ca="1" si="17"/>
        <v/>
      </c>
    </row>
    <row r="24" spans="1:19" ht="25.5">
      <c r="A24" s="20">
        <f ca="1">IFERROR(__xludf.DUMMYFUNCTION("""COMPUTED_VALUE"""),23)</f>
        <v>23</v>
      </c>
      <c r="B24" s="20" t="str">
        <f t="shared" ca="1" si="0"/>
        <v xml:space="preserve"> Instalación Comité de Coordinación del PDD</v>
      </c>
      <c r="C24" s="21">
        <f t="shared" ca="1" si="1"/>
        <v>45336</v>
      </c>
      <c r="D24" s="33">
        <f t="shared" ca="1" si="2"/>
        <v>0</v>
      </c>
      <c r="E24" s="33">
        <f t="shared" ca="1" si="3"/>
        <v>0</v>
      </c>
      <c r="F24" s="33" t="str">
        <f t="shared" ca="1" si="4"/>
        <v>No aplica</v>
      </c>
      <c r="G24" s="33">
        <f t="shared" ca="1" si="5"/>
        <v>0</v>
      </c>
      <c r="H24" s="33" t="str">
        <f t="shared" ca="1" si="6"/>
        <v>No aplica</v>
      </c>
      <c r="I24" s="33">
        <f t="shared" ca="1" si="7"/>
        <v>0</v>
      </c>
      <c r="J24" s="33" t="str">
        <f t="shared" ca="1" si="8"/>
        <v>No aplica</v>
      </c>
      <c r="K24" s="33">
        <f t="shared" ca="1" si="9"/>
        <v>0</v>
      </c>
      <c r="L24" s="33" t="str">
        <f t="shared" ca="1" si="10"/>
        <v>No aplica</v>
      </c>
      <c r="M24" s="33">
        <f t="shared" ca="1" si="11"/>
        <v>0</v>
      </c>
      <c r="N24" s="33" t="str">
        <f t="shared" ca="1" si="12"/>
        <v>No aplica</v>
      </c>
      <c r="O24" s="33">
        <f t="shared" ca="1" si="13"/>
        <v>0</v>
      </c>
      <c r="P24" s="33" t="str">
        <f t="shared" ca="1" si="14"/>
        <v>No aplica</v>
      </c>
      <c r="Q24" s="33">
        <f t="shared" ca="1" si="15"/>
        <v>0</v>
      </c>
      <c r="R24" s="33">
        <f t="shared" ca="1" si="16"/>
        <v>0</v>
      </c>
      <c r="S24" s="34" t="str">
        <f t="shared" ca="1" si="17"/>
        <v/>
      </c>
    </row>
    <row r="25" spans="1:19" ht="25.5">
      <c r="A25" s="20">
        <f ca="1">IFERROR(__xludf.DUMMYFUNCTION("""COMPUTED_VALUE"""),24)</f>
        <v>24</v>
      </c>
      <c r="B25" s="20" t="str">
        <f t="shared" ca="1" si="0"/>
        <v xml:space="preserve">Socialización Estrategia PDD - Comité Técnico Distrital de Discapacidad </v>
      </c>
      <c r="C25" s="21">
        <f t="shared" ca="1" si="1"/>
        <v>45336</v>
      </c>
      <c r="D25" s="33">
        <f t="shared" ca="1" si="2"/>
        <v>0</v>
      </c>
      <c r="E25" s="33">
        <f t="shared" ca="1" si="3"/>
        <v>0</v>
      </c>
      <c r="F25" s="33" t="str">
        <f t="shared" ca="1" si="4"/>
        <v>No aplica</v>
      </c>
      <c r="G25" s="33">
        <f t="shared" ca="1" si="5"/>
        <v>0</v>
      </c>
      <c r="H25" s="33" t="str">
        <f t="shared" ca="1" si="6"/>
        <v>No aplica</v>
      </c>
      <c r="I25" s="33">
        <f t="shared" ca="1" si="7"/>
        <v>0</v>
      </c>
      <c r="J25" s="33" t="str">
        <f t="shared" ca="1" si="8"/>
        <v>No aplica</v>
      </c>
      <c r="K25" s="33">
        <f t="shared" ca="1" si="9"/>
        <v>0</v>
      </c>
      <c r="L25" s="33" t="str">
        <f t="shared" ca="1" si="10"/>
        <v>No aplica</v>
      </c>
      <c r="M25" s="33">
        <f t="shared" ca="1" si="11"/>
        <v>0</v>
      </c>
      <c r="N25" s="33" t="str">
        <f t="shared" ca="1" si="12"/>
        <v>No aplica</v>
      </c>
      <c r="O25" s="33">
        <f t="shared" ca="1" si="13"/>
        <v>0</v>
      </c>
      <c r="P25" s="33" t="str">
        <f t="shared" ca="1" si="14"/>
        <v>No aplica</v>
      </c>
      <c r="Q25" s="33">
        <f t="shared" ca="1" si="15"/>
        <v>0</v>
      </c>
      <c r="R25" s="33">
        <f t="shared" ca="1" si="16"/>
        <v>0</v>
      </c>
      <c r="S25" s="34" t="str">
        <f t="shared" ca="1" si="17"/>
        <v/>
      </c>
    </row>
    <row r="26" spans="1:19" ht="37.5">
      <c r="A26" s="20">
        <f ca="1">IFERROR(__xludf.DUMMYFUNCTION("""COMPUTED_VALUE"""),25)</f>
        <v>25</v>
      </c>
      <c r="B26" s="20" t="str">
        <f t="shared" ca="1" si="0"/>
        <v xml:space="preserve">Grupo Focal de Integración Regional - Taller Subregión Sur - Plan Distrital de Desarrollo </v>
      </c>
      <c r="C26" s="21">
        <f t="shared" ca="1" si="1"/>
        <v>45337</v>
      </c>
      <c r="D26" s="33">
        <f t="shared" ca="1" si="2"/>
        <v>1</v>
      </c>
      <c r="E26" s="33" t="str">
        <f t="shared" ca="1" si="3"/>
        <v>Envío de memorias del espacio.</v>
      </c>
      <c r="F26" s="33" t="str">
        <f t="shared" ca="1" si="4"/>
        <v>Realizado y Devuelto a la Ciudadanía</v>
      </c>
      <c r="G26" s="33">
        <f t="shared" ca="1" si="5"/>
        <v>0</v>
      </c>
      <c r="H26" s="33" t="str">
        <f t="shared" ca="1" si="6"/>
        <v>No aplica</v>
      </c>
      <c r="I26" s="33">
        <f t="shared" ca="1" si="7"/>
        <v>0</v>
      </c>
      <c r="J26" s="33" t="str">
        <f t="shared" ca="1" si="8"/>
        <v>No aplica</v>
      </c>
      <c r="K26" s="33">
        <f t="shared" ca="1" si="9"/>
        <v>0</v>
      </c>
      <c r="L26" s="33" t="str">
        <f t="shared" ca="1" si="10"/>
        <v>No aplica</v>
      </c>
      <c r="M26" s="33">
        <f t="shared" ca="1" si="11"/>
        <v>0</v>
      </c>
      <c r="N26" s="33" t="str">
        <f t="shared" ca="1" si="12"/>
        <v>No aplica</v>
      </c>
      <c r="O26" s="33">
        <f t="shared" ca="1" si="13"/>
        <v>0</v>
      </c>
      <c r="P26" s="33" t="str">
        <f t="shared" ca="1" si="14"/>
        <v>No aplica</v>
      </c>
      <c r="Q26" s="33">
        <f t="shared" ca="1" si="15"/>
        <v>1</v>
      </c>
      <c r="R26" s="33">
        <f t="shared" ca="1" si="16"/>
        <v>1</v>
      </c>
      <c r="S26" s="34">
        <f t="shared" ca="1" si="17"/>
        <v>1</v>
      </c>
    </row>
    <row r="27" spans="1:19" ht="25.5">
      <c r="A27" s="20">
        <f ca="1">IFERROR(__xludf.DUMMYFUNCTION("""COMPUTED_VALUE"""),26)</f>
        <v>26</v>
      </c>
      <c r="B27" s="20" t="str">
        <f t="shared" ca="1" si="0"/>
        <v>Consultorio PDD - Sondeos Sentires Ciudadanos con servidores</v>
      </c>
      <c r="C27" s="21">
        <f t="shared" ca="1" si="1"/>
        <v>45337</v>
      </c>
      <c r="D27" s="33">
        <f t="shared" ca="1" si="2"/>
        <v>0</v>
      </c>
      <c r="E27" s="33">
        <f t="shared" ca="1" si="3"/>
        <v>0</v>
      </c>
      <c r="F27" s="33" t="str">
        <f t="shared" ca="1" si="4"/>
        <v>No aplica</v>
      </c>
      <c r="G27" s="33">
        <f t="shared" ca="1" si="5"/>
        <v>0</v>
      </c>
      <c r="H27" s="33" t="str">
        <f t="shared" ca="1" si="6"/>
        <v>No aplica</v>
      </c>
      <c r="I27" s="33">
        <f t="shared" ca="1" si="7"/>
        <v>0</v>
      </c>
      <c r="J27" s="33" t="str">
        <f t="shared" ca="1" si="8"/>
        <v>No aplica</v>
      </c>
      <c r="K27" s="33">
        <f t="shared" ca="1" si="9"/>
        <v>0</v>
      </c>
      <c r="L27" s="33" t="str">
        <f t="shared" ca="1" si="10"/>
        <v>No aplica</v>
      </c>
      <c r="M27" s="33">
        <f t="shared" ca="1" si="11"/>
        <v>0</v>
      </c>
      <c r="N27" s="33" t="str">
        <f t="shared" ca="1" si="12"/>
        <v>No aplica</v>
      </c>
      <c r="O27" s="33">
        <f t="shared" ca="1" si="13"/>
        <v>0</v>
      </c>
      <c r="P27" s="33" t="str">
        <f t="shared" ca="1" si="14"/>
        <v>No aplica</v>
      </c>
      <c r="Q27" s="33">
        <f t="shared" ca="1" si="15"/>
        <v>0</v>
      </c>
      <c r="R27" s="33">
        <f t="shared" ca="1" si="16"/>
        <v>0</v>
      </c>
      <c r="S27" s="34" t="str">
        <f t="shared" ca="1" si="17"/>
        <v/>
      </c>
    </row>
    <row r="28" spans="1:19" ht="37.5">
      <c r="A28" s="20">
        <f ca="1">IFERROR(__xludf.DUMMYFUNCTION("""COMPUTED_VALUE"""),27)</f>
        <v>27</v>
      </c>
      <c r="B28" s="20" t="str">
        <f t="shared" ca="1" si="0"/>
        <v xml:space="preserve">Grupo Focal de Integración Regional - Taller Subregión Occidente - Plan Distrital de Desarrollo </v>
      </c>
      <c r="C28" s="21">
        <f t="shared" ca="1" si="1"/>
        <v>45337</v>
      </c>
      <c r="D28" s="33">
        <f t="shared" ca="1" si="2"/>
        <v>1</v>
      </c>
      <c r="E28" s="33" t="str">
        <f t="shared" ca="1" si="3"/>
        <v>Envío de memorias del espacio.</v>
      </c>
      <c r="F28" s="33" t="str">
        <f t="shared" ca="1" si="4"/>
        <v>Realizado y Devuelto a la Ciudadanía</v>
      </c>
      <c r="G28" s="33">
        <f t="shared" ca="1" si="5"/>
        <v>0</v>
      </c>
      <c r="H28" s="33" t="str">
        <f t="shared" ca="1" si="6"/>
        <v>No aplica</v>
      </c>
      <c r="I28" s="33">
        <f t="shared" ca="1" si="7"/>
        <v>0</v>
      </c>
      <c r="J28" s="33" t="str">
        <f t="shared" ca="1" si="8"/>
        <v>No aplica</v>
      </c>
      <c r="K28" s="33">
        <f t="shared" ca="1" si="9"/>
        <v>0</v>
      </c>
      <c r="L28" s="33" t="str">
        <f t="shared" ca="1" si="10"/>
        <v>No aplica</v>
      </c>
      <c r="M28" s="33">
        <f t="shared" ca="1" si="11"/>
        <v>0</v>
      </c>
      <c r="N28" s="33" t="str">
        <f t="shared" ca="1" si="12"/>
        <v>No aplica</v>
      </c>
      <c r="O28" s="33">
        <f t="shared" ca="1" si="13"/>
        <v>0</v>
      </c>
      <c r="P28" s="33" t="str">
        <f t="shared" ca="1" si="14"/>
        <v>No aplica</v>
      </c>
      <c r="Q28" s="33">
        <f t="shared" ca="1" si="15"/>
        <v>1</v>
      </c>
      <c r="R28" s="33">
        <f t="shared" ca="1" si="16"/>
        <v>1</v>
      </c>
      <c r="S28" s="34">
        <f t="shared" ca="1" si="17"/>
        <v>1</v>
      </c>
    </row>
    <row r="29" spans="1:19" ht="37.5">
      <c r="A29" s="20">
        <f ca="1">IFERROR(__xludf.DUMMYFUNCTION("""COMPUTED_VALUE"""),28)</f>
        <v>28</v>
      </c>
      <c r="B29" s="20" t="str">
        <f t="shared" ca="1" si="0"/>
        <v xml:space="preserve">Grupo Focal de Integración Regional - Taller Subregión Norte - Plan Distrital de Desarrollo </v>
      </c>
      <c r="C29" s="21">
        <f t="shared" ca="1" si="1"/>
        <v>45338</v>
      </c>
      <c r="D29" s="33">
        <f t="shared" ca="1" si="2"/>
        <v>1</v>
      </c>
      <c r="E29" s="33" t="str">
        <f t="shared" ca="1" si="3"/>
        <v>Envío de memorias del espacio.</v>
      </c>
      <c r="F29" s="33" t="str">
        <f t="shared" ca="1" si="4"/>
        <v>Realizado y Devuelto a la Ciudadanía</v>
      </c>
      <c r="G29" s="33">
        <f t="shared" ca="1" si="5"/>
        <v>0</v>
      </c>
      <c r="H29" s="33" t="str">
        <f t="shared" ca="1" si="6"/>
        <v>No aplica</v>
      </c>
      <c r="I29" s="33">
        <f t="shared" ca="1" si="7"/>
        <v>0</v>
      </c>
      <c r="J29" s="33" t="str">
        <f t="shared" ca="1" si="8"/>
        <v>No aplica</v>
      </c>
      <c r="K29" s="33">
        <f t="shared" ca="1" si="9"/>
        <v>0</v>
      </c>
      <c r="L29" s="33" t="str">
        <f t="shared" ca="1" si="10"/>
        <v>No aplica</v>
      </c>
      <c r="M29" s="33">
        <f t="shared" ca="1" si="11"/>
        <v>0</v>
      </c>
      <c r="N29" s="33" t="str">
        <f t="shared" ca="1" si="12"/>
        <v>No aplica</v>
      </c>
      <c r="O29" s="33">
        <f t="shared" ca="1" si="13"/>
        <v>0</v>
      </c>
      <c r="P29" s="33" t="str">
        <f t="shared" ca="1" si="14"/>
        <v>No aplica</v>
      </c>
      <c r="Q29" s="33">
        <f t="shared" ca="1" si="15"/>
        <v>1</v>
      </c>
      <c r="R29" s="33">
        <f t="shared" ca="1" si="16"/>
        <v>1</v>
      </c>
      <c r="S29" s="34">
        <f t="shared" ca="1" si="17"/>
        <v>1</v>
      </c>
    </row>
    <row r="30" spans="1:19" ht="37.5">
      <c r="A30" s="20">
        <f ca="1">IFERROR(__xludf.DUMMYFUNCTION("""COMPUTED_VALUE"""),29)</f>
        <v>29</v>
      </c>
      <c r="B30" s="20" t="str">
        <f t="shared" ca="1" si="0"/>
        <v>Socialización Estrategia PDD - Sesión JAL Engativá</v>
      </c>
      <c r="C30" s="21">
        <f t="shared" ca="1" si="1"/>
        <v>45338</v>
      </c>
      <c r="D30" s="33">
        <f t="shared" ca="1" si="2"/>
        <v>1</v>
      </c>
      <c r="E30" s="33" t="str">
        <f t="shared" ca="1" si="3"/>
        <v xml:space="preserve">Envío de presentación </v>
      </c>
      <c r="F30" s="33" t="str">
        <f t="shared" ca="1" si="4"/>
        <v>Realizado y Devuelto a la Ciudadanía</v>
      </c>
      <c r="G30" s="33">
        <f t="shared" ca="1" si="5"/>
        <v>0</v>
      </c>
      <c r="H30" s="33" t="str">
        <f t="shared" ca="1" si="6"/>
        <v>No aplica</v>
      </c>
      <c r="I30" s="33">
        <f t="shared" ca="1" si="7"/>
        <v>0</v>
      </c>
      <c r="J30" s="33" t="str">
        <f t="shared" ca="1" si="8"/>
        <v>No aplica</v>
      </c>
      <c r="K30" s="33">
        <f t="shared" ca="1" si="9"/>
        <v>0</v>
      </c>
      <c r="L30" s="33" t="str">
        <f t="shared" ca="1" si="10"/>
        <v>No aplica</v>
      </c>
      <c r="M30" s="33">
        <f t="shared" ca="1" si="11"/>
        <v>0</v>
      </c>
      <c r="N30" s="33" t="str">
        <f t="shared" ca="1" si="12"/>
        <v>No aplica</v>
      </c>
      <c r="O30" s="33">
        <f t="shared" ca="1" si="13"/>
        <v>0</v>
      </c>
      <c r="P30" s="33" t="str">
        <f t="shared" ca="1" si="14"/>
        <v>No aplica</v>
      </c>
      <c r="Q30" s="33">
        <f t="shared" ca="1" si="15"/>
        <v>1</v>
      </c>
      <c r="R30" s="33">
        <f t="shared" ca="1" si="16"/>
        <v>1</v>
      </c>
      <c r="S30" s="34">
        <f t="shared" ca="1" si="17"/>
        <v>1</v>
      </c>
    </row>
    <row r="31" spans="1:19" ht="14.25">
      <c r="A31" s="20"/>
      <c r="B31" s="20" t="str">
        <f t="shared" si="0"/>
        <v/>
      </c>
      <c r="C31" s="21" t="str">
        <f t="shared" si="1"/>
        <v/>
      </c>
      <c r="D31" s="33" t="str">
        <f t="shared" si="2"/>
        <v/>
      </c>
      <c r="E31" s="33" t="str">
        <f t="shared" si="3"/>
        <v/>
      </c>
      <c r="F31" s="33" t="str">
        <f t="shared" si="4"/>
        <v/>
      </c>
      <c r="G31" s="33" t="str">
        <f t="shared" si="5"/>
        <v/>
      </c>
      <c r="H31" s="33" t="str">
        <f t="shared" si="6"/>
        <v/>
      </c>
      <c r="I31" s="33" t="str">
        <f t="shared" si="7"/>
        <v/>
      </c>
      <c r="J31" s="33" t="str">
        <f t="shared" si="8"/>
        <v/>
      </c>
      <c r="K31" s="33" t="str">
        <f t="shared" si="9"/>
        <v/>
      </c>
      <c r="L31" s="33" t="str">
        <f t="shared" si="10"/>
        <v/>
      </c>
      <c r="M31" s="33" t="str">
        <f t="shared" si="11"/>
        <v/>
      </c>
      <c r="N31" s="33" t="str">
        <f t="shared" si="12"/>
        <v/>
      </c>
      <c r="O31" s="33" t="str">
        <f t="shared" si="13"/>
        <v/>
      </c>
      <c r="P31" s="33" t="str">
        <f t="shared" si="14"/>
        <v/>
      </c>
      <c r="Q31" s="33" t="str">
        <f t="shared" si="15"/>
        <v/>
      </c>
      <c r="R31" s="33" t="str">
        <f t="shared" si="16"/>
        <v/>
      </c>
      <c r="S31" s="34" t="str">
        <f t="shared" si="17"/>
        <v/>
      </c>
    </row>
    <row r="32" spans="1:19" ht="14.25">
      <c r="A32" s="20"/>
      <c r="B32" s="20" t="str">
        <f t="shared" si="0"/>
        <v/>
      </c>
      <c r="C32" s="21" t="str">
        <f t="shared" si="1"/>
        <v/>
      </c>
      <c r="D32" s="33" t="str">
        <f t="shared" si="2"/>
        <v/>
      </c>
      <c r="E32" s="33" t="str">
        <f t="shared" si="3"/>
        <v/>
      </c>
      <c r="F32" s="33" t="str">
        <f t="shared" si="4"/>
        <v/>
      </c>
      <c r="G32" s="33" t="str">
        <f t="shared" si="5"/>
        <v/>
      </c>
      <c r="H32" s="33" t="str">
        <f t="shared" si="6"/>
        <v/>
      </c>
      <c r="I32" s="33" t="str">
        <f t="shared" si="7"/>
        <v/>
      </c>
      <c r="J32" s="33" t="str">
        <f t="shared" si="8"/>
        <v/>
      </c>
      <c r="K32" s="33" t="str">
        <f t="shared" si="9"/>
        <v/>
      </c>
      <c r="L32" s="33" t="str">
        <f t="shared" si="10"/>
        <v/>
      </c>
      <c r="M32" s="33" t="str">
        <f t="shared" si="11"/>
        <v/>
      </c>
      <c r="N32" s="33" t="str">
        <f t="shared" si="12"/>
        <v/>
      </c>
      <c r="O32" s="33" t="str">
        <f t="shared" si="13"/>
        <v/>
      </c>
      <c r="P32" s="33" t="str">
        <f t="shared" si="14"/>
        <v/>
      </c>
      <c r="Q32" s="33" t="str">
        <f t="shared" si="15"/>
        <v/>
      </c>
      <c r="R32" s="33" t="str">
        <f t="shared" si="16"/>
        <v/>
      </c>
      <c r="S32" s="34" t="str">
        <f t="shared" si="17"/>
        <v/>
      </c>
    </row>
    <row r="33" spans="1:19" ht="25.5">
      <c r="A33" s="20">
        <f ca="1">IFERROR(__xludf.DUMMYFUNCTION("""COMPUTED_VALUE"""),32)</f>
        <v>32</v>
      </c>
      <c r="B33" s="20" t="str">
        <f t="shared" ca="1" si="0"/>
        <v>Comité Coordinador Intersectorial de Participación PDD</v>
      </c>
      <c r="C33" s="21">
        <f t="shared" ca="1" si="1"/>
        <v>45343</v>
      </c>
      <c r="D33" s="33">
        <f t="shared" ca="1" si="2"/>
        <v>0</v>
      </c>
      <c r="E33" s="33">
        <f t="shared" ca="1" si="3"/>
        <v>0</v>
      </c>
      <c r="F33" s="33" t="str">
        <f t="shared" ca="1" si="4"/>
        <v>No aplica</v>
      </c>
      <c r="G33" s="33">
        <f t="shared" ca="1" si="5"/>
        <v>0</v>
      </c>
      <c r="H33" s="33" t="str">
        <f t="shared" ca="1" si="6"/>
        <v>No aplica</v>
      </c>
      <c r="I33" s="33">
        <f t="shared" ca="1" si="7"/>
        <v>0</v>
      </c>
      <c r="J33" s="33" t="str">
        <f t="shared" ca="1" si="8"/>
        <v>No aplica</v>
      </c>
      <c r="K33" s="33">
        <f t="shared" ca="1" si="9"/>
        <v>0</v>
      </c>
      <c r="L33" s="33" t="str">
        <f t="shared" ca="1" si="10"/>
        <v>No aplica</v>
      </c>
      <c r="M33" s="33">
        <f t="shared" ca="1" si="11"/>
        <v>0</v>
      </c>
      <c r="N33" s="33" t="str">
        <f t="shared" ca="1" si="12"/>
        <v>No aplica</v>
      </c>
      <c r="O33" s="33">
        <f t="shared" ca="1" si="13"/>
        <v>0</v>
      </c>
      <c r="P33" s="33" t="str">
        <f t="shared" ca="1" si="14"/>
        <v>No aplica</v>
      </c>
      <c r="Q33" s="33">
        <f t="shared" ca="1" si="15"/>
        <v>0</v>
      </c>
      <c r="R33" s="33">
        <f t="shared" ca="1" si="16"/>
        <v>0</v>
      </c>
      <c r="S33" s="34" t="str">
        <f t="shared" ca="1" si="17"/>
        <v/>
      </c>
    </row>
    <row r="34" spans="1:19" ht="13.5">
      <c r="A34" s="20">
        <f ca="1">IFERROR(__xludf.DUMMYFUNCTION("""COMPUTED_VALUE"""),33)</f>
        <v>33</v>
      </c>
      <c r="B34" s="20" t="str">
        <f t="shared" ref="B34:B65" ca="1" si="18">IFERROR(VLOOKUP(A34,DATA_MATRIZ,2,FALSE),"")</f>
        <v>Reunión Federación de Juntas - PDD</v>
      </c>
      <c r="C34" s="21">
        <f t="shared" ref="C34:C65" ca="1" si="19">IFERROR(VLOOKUP(A34,DATA_MATRIZ,3,FALSE),"")</f>
        <v>45343</v>
      </c>
      <c r="D34" s="33">
        <f t="shared" ref="D34:D65" ca="1" si="20">IFERROR(VLOOKUP(A34,DATA_MATRIZ,89,FALSE),"")</f>
        <v>0</v>
      </c>
      <c r="E34" s="33">
        <f t="shared" ref="E34:E65" ca="1" si="21">IFERROR(VLOOKUP(A34,DATA_MATRIZ,90,FALSE),"")</f>
        <v>0</v>
      </c>
      <c r="F34" s="33" t="str">
        <f t="shared" ref="F34:F65" ca="1" si="22">IFERROR(VLOOKUP(A34,DATA_MATRIZ,96,FALSE),"")</f>
        <v>No aplica</v>
      </c>
      <c r="G34" s="33">
        <f t="shared" ref="G34:G65" ca="1" si="23">IFERROR(VLOOKUP(A34,DATA_MATRIZ,91,FALSE),"")</f>
        <v>0</v>
      </c>
      <c r="H34" s="33" t="str">
        <f t="shared" ref="H34:H65" ca="1" si="24">IFERROR(VLOOKUP(A34,DATA_MATRIZ,97,FALSE),"")</f>
        <v>No aplica</v>
      </c>
      <c r="I34" s="33">
        <f t="shared" ref="I34:I65" ca="1" si="25">IFERROR(VLOOKUP(A34,DATA_MATRIZ,92,FALSE),"")</f>
        <v>0</v>
      </c>
      <c r="J34" s="33" t="str">
        <f t="shared" ref="J34:J65" ca="1" si="26">IFERROR(VLOOKUP(A34,DATA_MATRIZ,98,FALSE),"")</f>
        <v>No aplica</v>
      </c>
      <c r="K34" s="33">
        <f t="shared" ref="K34:K65" ca="1" si="27">IFERROR(VLOOKUP(A34,DATA_MATRIZ,93,FALSE),"")</f>
        <v>0</v>
      </c>
      <c r="L34" s="33" t="str">
        <f t="shared" ref="L34:L65" ca="1" si="28">IFERROR(VLOOKUP(A34,DATA_MATRIZ,99,FALSE),"")</f>
        <v>No aplica</v>
      </c>
      <c r="M34" s="33">
        <f t="shared" ref="M34:M65" ca="1" si="29">IFERROR(VLOOKUP(A34,DATA_MATRIZ,94,FALSE),"")</f>
        <v>0</v>
      </c>
      <c r="N34" s="33" t="str">
        <f t="shared" ref="N34:N65" ca="1" si="30">IFERROR(VLOOKUP(A34,DATA_MATRIZ,100,FALSE),"")</f>
        <v>No aplica</v>
      </c>
      <c r="O34" s="33">
        <f t="shared" ref="O34:O65" ca="1" si="31">IFERROR(VLOOKUP(A34,DATA_MATRIZ,95,FALSE),"")</f>
        <v>0</v>
      </c>
      <c r="P34" s="33" t="str">
        <f t="shared" ref="P34:P65" ca="1" si="32">IFERROR(VLOOKUP(A34,DATA_MATRIZ,101,FALSE),"")</f>
        <v>No aplica</v>
      </c>
      <c r="Q34" s="33">
        <f t="shared" ref="Q34:Q65" ca="1" si="33">IFERROR(VLOOKUP(A34,DATA_MATRIZ,103,FALSE),"")</f>
        <v>0</v>
      </c>
      <c r="R34" s="33">
        <f t="shared" ref="R34:R65" ca="1" si="34">IFERROR(VLOOKUP(A34,DATA_MATRIZ,105,FALSE),"")</f>
        <v>0</v>
      </c>
      <c r="S34" s="34" t="str">
        <f t="shared" ref="S34:S65" ca="1" si="35">IFERROR(VLOOKUP(A34,DATA_MATRIZ,106,FALSE),"")</f>
        <v/>
      </c>
    </row>
    <row r="35" spans="1:19" ht="49.5">
      <c r="A35" s="20">
        <f ca="1">IFERROR(__xludf.DUMMYFUNCTION("""COMPUTED_VALUE"""),34)</f>
        <v>34</v>
      </c>
      <c r="B35" s="20" t="str">
        <f t="shared" ca="1" si="18"/>
        <v>Caminandole al Plan Distrital de Desarrollo: Preparación formativa de los consejeros y consejeras del CTPD - Módulo 1 - Jornada 1</v>
      </c>
      <c r="C35" s="21">
        <f t="shared" ca="1" si="19"/>
        <v>45344</v>
      </c>
      <c r="D35" s="33">
        <f t="shared" ca="1" si="20"/>
        <v>0</v>
      </c>
      <c r="E35" s="33">
        <f t="shared" ca="1" si="21"/>
        <v>0</v>
      </c>
      <c r="F35" s="33" t="str">
        <f t="shared" ca="1" si="22"/>
        <v>No aplica</v>
      </c>
      <c r="G35" s="33">
        <f t="shared" ca="1" si="23"/>
        <v>0</v>
      </c>
      <c r="H35" s="33" t="str">
        <f t="shared" ca="1" si="24"/>
        <v>No aplica</v>
      </c>
      <c r="I35" s="33">
        <f t="shared" ca="1" si="25"/>
        <v>0</v>
      </c>
      <c r="J35" s="33" t="str">
        <f t="shared" ca="1" si="26"/>
        <v>No aplica</v>
      </c>
      <c r="K35" s="33">
        <f t="shared" ca="1" si="27"/>
        <v>0</v>
      </c>
      <c r="L35" s="33" t="str">
        <f t="shared" ca="1" si="28"/>
        <v>No aplica</v>
      </c>
      <c r="M35" s="33">
        <f t="shared" ca="1" si="29"/>
        <v>0</v>
      </c>
      <c r="N35" s="33" t="str">
        <f t="shared" ca="1" si="30"/>
        <v>No aplica</v>
      </c>
      <c r="O35" s="33">
        <f t="shared" ca="1" si="31"/>
        <v>0</v>
      </c>
      <c r="P35" s="33" t="str">
        <f t="shared" ca="1" si="32"/>
        <v>No aplica</v>
      </c>
      <c r="Q35" s="33">
        <f t="shared" ca="1" si="33"/>
        <v>0</v>
      </c>
      <c r="R35" s="33">
        <f t="shared" ca="1" si="34"/>
        <v>0</v>
      </c>
      <c r="S35" s="34" t="str">
        <f t="shared" ca="1" si="35"/>
        <v/>
      </c>
    </row>
    <row r="36" spans="1:19" ht="49.5">
      <c r="A36" s="20">
        <f ca="1">IFERROR(__xludf.DUMMYFUNCTION("""COMPUTED_VALUE"""),35)</f>
        <v>35</v>
      </c>
      <c r="B36" s="20" t="str">
        <f t="shared" ca="1" si="18"/>
        <v>Caminandole al Plan Distrital de Desarrollo: Preparación formativa de los consejeros y consejeras del CTPD - Módulo 1 - Jornada 2</v>
      </c>
      <c r="C36" s="21">
        <f t="shared" ca="1" si="19"/>
        <v>45344</v>
      </c>
      <c r="D36" s="33">
        <f t="shared" ca="1" si="20"/>
        <v>0</v>
      </c>
      <c r="E36" s="33">
        <f t="shared" ca="1" si="21"/>
        <v>0</v>
      </c>
      <c r="F36" s="33" t="str">
        <f t="shared" ca="1" si="22"/>
        <v>No aplica</v>
      </c>
      <c r="G36" s="33">
        <f t="shared" ca="1" si="23"/>
        <v>0</v>
      </c>
      <c r="H36" s="33" t="str">
        <f t="shared" ca="1" si="24"/>
        <v>No aplica</v>
      </c>
      <c r="I36" s="33">
        <f t="shared" ca="1" si="25"/>
        <v>0</v>
      </c>
      <c r="J36" s="33" t="str">
        <f t="shared" ca="1" si="26"/>
        <v>No aplica</v>
      </c>
      <c r="K36" s="33">
        <f t="shared" ca="1" si="27"/>
        <v>0</v>
      </c>
      <c r="L36" s="33" t="str">
        <f t="shared" ca="1" si="28"/>
        <v>No aplica</v>
      </c>
      <c r="M36" s="33">
        <f t="shared" ca="1" si="29"/>
        <v>0</v>
      </c>
      <c r="N36" s="33" t="str">
        <f t="shared" ca="1" si="30"/>
        <v>No aplica</v>
      </c>
      <c r="O36" s="33">
        <f t="shared" ca="1" si="31"/>
        <v>0</v>
      </c>
      <c r="P36" s="33" t="str">
        <f t="shared" ca="1" si="32"/>
        <v>No aplica</v>
      </c>
      <c r="Q36" s="33">
        <f t="shared" ca="1" si="33"/>
        <v>0</v>
      </c>
      <c r="R36" s="33">
        <f t="shared" ca="1" si="34"/>
        <v>0</v>
      </c>
      <c r="S36" s="34" t="str">
        <f t="shared" ca="1" si="35"/>
        <v/>
      </c>
    </row>
    <row r="37" spans="1:19" ht="37.5">
      <c r="A37" s="20">
        <f ca="1">IFERROR(__xludf.DUMMYFUNCTION("""COMPUTED_VALUE"""),36)</f>
        <v>36</v>
      </c>
      <c r="B37" s="20" t="str">
        <f t="shared" ca="1" si="18"/>
        <v>Audiencia - Ejercicios de Planeación Participativa del Sistema General de Regalías  2024-2027</v>
      </c>
      <c r="C37" s="21">
        <f t="shared" ca="1" si="19"/>
        <v>45345</v>
      </c>
      <c r="D37" s="33">
        <f t="shared" ca="1" si="20"/>
        <v>0</v>
      </c>
      <c r="E37" s="33">
        <f t="shared" ca="1" si="21"/>
        <v>0</v>
      </c>
      <c r="F37" s="33" t="str">
        <f t="shared" ca="1" si="22"/>
        <v>No aplica</v>
      </c>
      <c r="G37" s="33">
        <f t="shared" ca="1" si="23"/>
        <v>0</v>
      </c>
      <c r="H37" s="33" t="str">
        <f t="shared" ca="1" si="24"/>
        <v>No aplica</v>
      </c>
      <c r="I37" s="33">
        <f t="shared" ca="1" si="25"/>
        <v>0</v>
      </c>
      <c r="J37" s="33" t="str">
        <f t="shared" ca="1" si="26"/>
        <v>No aplica</v>
      </c>
      <c r="K37" s="33">
        <f t="shared" ca="1" si="27"/>
        <v>0</v>
      </c>
      <c r="L37" s="33" t="str">
        <f t="shared" ca="1" si="28"/>
        <v>No aplica</v>
      </c>
      <c r="M37" s="33">
        <f t="shared" ca="1" si="29"/>
        <v>0</v>
      </c>
      <c r="N37" s="33" t="str">
        <f t="shared" ca="1" si="30"/>
        <v>No aplica</v>
      </c>
      <c r="O37" s="33">
        <f t="shared" ca="1" si="31"/>
        <v>0</v>
      </c>
      <c r="P37" s="33" t="str">
        <f t="shared" ca="1" si="32"/>
        <v>No aplica</v>
      </c>
      <c r="Q37" s="33">
        <f t="shared" ca="1" si="33"/>
        <v>0</v>
      </c>
      <c r="R37" s="33">
        <f t="shared" ca="1" si="34"/>
        <v>0</v>
      </c>
      <c r="S37" s="34" t="str">
        <f t="shared" ca="1" si="35"/>
        <v/>
      </c>
    </row>
    <row r="38" spans="1:19" ht="14.25">
      <c r="A38" s="20"/>
      <c r="B38" s="20" t="str">
        <f t="shared" si="18"/>
        <v/>
      </c>
      <c r="C38" s="21" t="str">
        <f t="shared" si="19"/>
        <v/>
      </c>
      <c r="D38" s="33" t="str">
        <f t="shared" si="20"/>
        <v/>
      </c>
      <c r="E38" s="33" t="str">
        <f t="shared" si="21"/>
        <v/>
      </c>
      <c r="F38" s="33" t="str">
        <f t="shared" si="22"/>
        <v/>
      </c>
      <c r="G38" s="33" t="str">
        <f t="shared" si="23"/>
        <v/>
      </c>
      <c r="H38" s="33" t="str">
        <f t="shared" si="24"/>
        <v/>
      </c>
      <c r="I38" s="33" t="str">
        <f t="shared" si="25"/>
        <v/>
      </c>
      <c r="J38" s="33" t="str">
        <f t="shared" si="26"/>
        <v/>
      </c>
      <c r="K38" s="33" t="str">
        <f t="shared" si="27"/>
        <v/>
      </c>
      <c r="L38" s="33" t="str">
        <f t="shared" si="28"/>
        <v/>
      </c>
      <c r="M38" s="33" t="str">
        <f t="shared" si="29"/>
        <v/>
      </c>
      <c r="N38" s="33" t="str">
        <f t="shared" si="30"/>
        <v/>
      </c>
      <c r="O38" s="33" t="str">
        <f t="shared" si="31"/>
        <v/>
      </c>
      <c r="P38" s="33" t="str">
        <f t="shared" si="32"/>
        <v/>
      </c>
      <c r="Q38" s="33" t="str">
        <f t="shared" si="33"/>
        <v/>
      </c>
      <c r="R38" s="33" t="str">
        <f t="shared" si="34"/>
        <v/>
      </c>
      <c r="S38" s="34" t="str">
        <f t="shared" si="35"/>
        <v/>
      </c>
    </row>
    <row r="39" spans="1:19" ht="49.5">
      <c r="A39" s="20">
        <f ca="1">IFERROR(__xludf.DUMMYFUNCTION("""COMPUTED_VALUE"""),38)</f>
        <v>38</v>
      </c>
      <c r="B39" s="20" t="str">
        <f t="shared" ca="1" si="18"/>
        <v>Mesa de trabajo Preparatoria en Concejo - Foro "Jóvenes Construyendo una Ciudad Sostenible"</v>
      </c>
      <c r="C39" s="21">
        <f t="shared" ca="1" si="19"/>
        <v>45345</v>
      </c>
      <c r="D39" s="33">
        <f t="shared" ca="1" si="20"/>
        <v>0</v>
      </c>
      <c r="E39" s="33">
        <f t="shared" ca="1" si="21"/>
        <v>0</v>
      </c>
      <c r="F39" s="33" t="str">
        <f t="shared" ca="1" si="22"/>
        <v>No aplica</v>
      </c>
      <c r="G39" s="33">
        <f t="shared" ca="1" si="23"/>
        <v>0</v>
      </c>
      <c r="H39" s="33" t="str">
        <f t="shared" ca="1" si="24"/>
        <v>No aplica</v>
      </c>
      <c r="I39" s="33">
        <f t="shared" ca="1" si="25"/>
        <v>0</v>
      </c>
      <c r="J39" s="33" t="str">
        <f t="shared" ca="1" si="26"/>
        <v>No aplica</v>
      </c>
      <c r="K39" s="33">
        <f t="shared" ca="1" si="27"/>
        <v>0</v>
      </c>
      <c r="L39" s="33" t="str">
        <f t="shared" ca="1" si="28"/>
        <v>No aplica</v>
      </c>
      <c r="M39" s="33">
        <f t="shared" ca="1" si="29"/>
        <v>0</v>
      </c>
      <c r="N39" s="33" t="str">
        <f t="shared" ca="1" si="30"/>
        <v>No aplica</v>
      </c>
      <c r="O39" s="33">
        <f t="shared" ca="1" si="31"/>
        <v>0</v>
      </c>
      <c r="P39" s="33" t="str">
        <f t="shared" ca="1" si="32"/>
        <v>No aplica</v>
      </c>
      <c r="Q39" s="33">
        <f t="shared" ca="1" si="33"/>
        <v>0</v>
      </c>
      <c r="R39" s="33">
        <f t="shared" ca="1" si="34"/>
        <v>0</v>
      </c>
      <c r="S39" s="34" t="str">
        <f t="shared" ca="1" si="35"/>
        <v/>
      </c>
    </row>
    <row r="40" spans="1:19" ht="14.25">
      <c r="A40" s="20"/>
      <c r="B40" s="20" t="str">
        <f t="shared" si="18"/>
        <v/>
      </c>
      <c r="C40" s="21" t="str">
        <f t="shared" si="19"/>
        <v/>
      </c>
      <c r="D40" s="33" t="str">
        <f t="shared" si="20"/>
        <v/>
      </c>
      <c r="E40" s="33" t="str">
        <f t="shared" si="21"/>
        <v/>
      </c>
      <c r="F40" s="33" t="str">
        <f t="shared" si="22"/>
        <v/>
      </c>
      <c r="G40" s="33" t="str">
        <f t="shared" si="23"/>
        <v/>
      </c>
      <c r="H40" s="33" t="str">
        <f t="shared" si="24"/>
        <v/>
      </c>
      <c r="I40" s="33" t="str">
        <f t="shared" si="25"/>
        <v/>
      </c>
      <c r="J40" s="33" t="str">
        <f t="shared" si="26"/>
        <v/>
      </c>
      <c r="K40" s="33" t="str">
        <f t="shared" si="27"/>
        <v/>
      </c>
      <c r="L40" s="33" t="str">
        <f t="shared" si="28"/>
        <v/>
      </c>
      <c r="M40" s="33" t="str">
        <f t="shared" si="29"/>
        <v/>
      </c>
      <c r="N40" s="33" t="str">
        <f t="shared" si="30"/>
        <v/>
      </c>
      <c r="O40" s="33" t="str">
        <f t="shared" si="31"/>
        <v/>
      </c>
      <c r="P40" s="33" t="str">
        <f t="shared" si="32"/>
        <v/>
      </c>
      <c r="Q40" s="33" t="str">
        <f t="shared" si="33"/>
        <v/>
      </c>
      <c r="R40" s="33" t="str">
        <f t="shared" si="34"/>
        <v/>
      </c>
      <c r="S40" s="34" t="str">
        <f t="shared" si="35"/>
        <v/>
      </c>
    </row>
    <row r="41" spans="1:19" ht="49.5">
      <c r="A41" s="20">
        <f ca="1">IFERROR(__xludf.DUMMYFUNCTION("""COMPUTED_VALUE"""),40)</f>
        <v>40</v>
      </c>
      <c r="B41" s="20" t="str">
        <f t="shared" ca="1" si="18"/>
        <v>Caminandole al Plan Distrital de Desarrollo: Preparación formativa de los consejeros y consejeras del CTPD - Módulo 2 - Jornada 1</v>
      </c>
      <c r="C41" s="21">
        <f t="shared" ca="1" si="19"/>
        <v>45348</v>
      </c>
      <c r="D41" s="33">
        <f t="shared" ca="1" si="20"/>
        <v>0</v>
      </c>
      <c r="E41" s="33">
        <f t="shared" ca="1" si="21"/>
        <v>0</v>
      </c>
      <c r="F41" s="33" t="str">
        <f t="shared" ca="1" si="22"/>
        <v>No aplica</v>
      </c>
      <c r="G41" s="33">
        <f t="shared" ca="1" si="23"/>
        <v>0</v>
      </c>
      <c r="H41" s="33" t="str">
        <f t="shared" ca="1" si="24"/>
        <v>No aplica</v>
      </c>
      <c r="I41" s="33">
        <f t="shared" ca="1" si="25"/>
        <v>0</v>
      </c>
      <c r="J41" s="33" t="str">
        <f t="shared" ca="1" si="26"/>
        <v>No aplica</v>
      </c>
      <c r="K41" s="33">
        <f t="shared" ca="1" si="27"/>
        <v>0</v>
      </c>
      <c r="L41" s="33" t="str">
        <f t="shared" ca="1" si="28"/>
        <v>No aplica</v>
      </c>
      <c r="M41" s="33">
        <f t="shared" ca="1" si="29"/>
        <v>0</v>
      </c>
      <c r="N41" s="33" t="str">
        <f t="shared" ca="1" si="30"/>
        <v>No aplica</v>
      </c>
      <c r="O41" s="33">
        <f t="shared" ca="1" si="31"/>
        <v>0</v>
      </c>
      <c r="P41" s="33" t="str">
        <f t="shared" ca="1" si="32"/>
        <v>No aplica</v>
      </c>
      <c r="Q41" s="33">
        <f t="shared" ca="1" si="33"/>
        <v>0</v>
      </c>
      <c r="R41" s="33">
        <f t="shared" ca="1" si="34"/>
        <v>0</v>
      </c>
      <c r="S41" s="34" t="str">
        <f t="shared" ca="1" si="35"/>
        <v/>
      </c>
    </row>
    <row r="42" spans="1:19" ht="14.25">
      <c r="A42" s="20"/>
      <c r="B42" s="20" t="str">
        <f t="shared" si="18"/>
        <v/>
      </c>
      <c r="C42" s="21" t="str">
        <f t="shared" si="19"/>
        <v/>
      </c>
      <c r="D42" s="33" t="str">
        <f t="shared" si="20"/>
        <v/>
      </c>
      <c r="E42" s="33" t="str">
        <f t="shared" si="21"/>
        <v/>
      </c>
      <c r="F42" s="33" t="str">
        <f t="shared" si="22"/>
        <v/>
      </c>
      <c r="G42" s="33" t="str">
        <f t="shared" si="23"/>
        <v/>
      </c>
      <c r="H42" s="33" t="str">
        <f t="shared" si="24"/>
        <v/>
      </c>
      <c r="I42" s="33" t="str">
        <f t="shared" si="25"/>
        <v/>
      </c>
      <c r="J42" s="33" t="str">
        <f t="shared" si="26"/>
        <v/>
      </c>
      <c r="K42" s="33" t="str">
        <f t="shared" si="27"/>
        <v/>
      </c>
      <c r="L42" s="33" t="str">
        <f t="shared" si="28"/>
        <v/>
      </c>
      <c r="M42" s="33" t="str">
        <f t="shared" si="29"/>
        <v/>
      </c>
      <c r="N42" s="33" t="str">
        <f t="shared" si="30"/>
        <v/>
      </c>
      <c r="O42" s="33" t="str">
        <f t="shared" si="31"/>
        <v/>
      </c>
      <c r="P42" s="33" t="str">
        <f t="shared" si="32"/>
        <v/>
      </c>
      <c r="Q42" s="33" t="str">
        <f t="shared" si="33"/>
        <v/>
      </c>
      <c r="R42" s="33" t="str">
        <f t="shared" si="34"/>
        <v/>
      </c>
      <c r="S42" s="34" t="str">
        <f t="shared" si="35"/>
        <v/>
      </c>
    </row>
    <row r="43" spans="1:19" ht="49.5">
      <c r="A43" s="20">
        <f ca="1">IFERROR(__xludf.DUMMYFUNCTION("""COMPUTED_VALUE"""),42)</f>
        <v>42</v>
      </c>
      <c r="B43" s="20" t="str">
        <f t="shared" ca="1" si="18"/>
        <v>Caminandole al Plan Distrital de Desarrollo: Preparación formativa de los consejeros y consejeras del CTPD - Módulo 2 - Jornada 2</v>
      </c>
      <c r="C43" s="21">
        <f t="shared" ca="1" si="19"/>
        <v>45348</v>
      </c>
      <c r="D43" s="33">
        <f t="shared" ca="1" si="20"/>
        <v>0</v>
      </c>
      <c r="E43" s="33">
        <f t="shared" ca="1" si="21"/>
        <v>0</v>
      </c>
      <c r="F43" s="33" t="str">
        <f t="shared" ca="1" si="22"/>
        <v>No aplica</v>
      </c>
      <c r="G43" s="33">
        <f t="shared" ca="1" si="23"/>
        <v>0</v>
      </c>
      <c r="H43" s="33" t="str">
        <f t="shared" ca="1" si="24"/>
        <v>No aplica</v>
      </c>
      <c r="I43" s="33">
        <f t="shared" ca="1" si="25"/>
        <v>0</v>
      </c>
      <c r="J43" s="33" t="str">
        <f t="shared" ca="1" si="26"/>
        <v>No aplica</v>
      </c>
      <c r="K43" s="33">
        <f t="shared" ca="1" si="27"/>
        <v>0</v>
      </c>
      <c r="L43" s="33" t="str">
        <f t="shared" ca="1" si="28"/>
        <v>No aplica</v>
      </c>
      <c r="M43" s="33">
        <f t="shared" ca="1" si="29"/>
        <v>0</v>
      </c>
      <c r="N43" s="33" t="str">
        <f t="shared" ca="1" si="30"/>
        <v>No aplica</v>
      </c>
      <c r="O43" s="33">
        <f t="shared" ca="1" si="31"/>
        <v>0</v>
      </c>
      <c r="P43" s="33" t="str">
        <f t="shared" ca="1" si="32"/>
        <v>No aplica</v>
      </c>
      <c r="Q43" s="33">
        <f t="shared" ca="1" si="33"/>
        <v>0</v>
      </c>
      <c r="R43" s="33">
        <f t="shared" ca="1" si="34"/>
        <v>0</v>
      </c>
      <c r="S43" s="34" t="str">
        <f t="shared" ca="1" si="35"/>
        <v/>
      </c>
    </row>
    <row r="44" spans="1:19" ht="13.5">
      <c r="A44" s="20">
        <f ca="1">IFERROR(__xludf.DUMMYFUNCTION("""COMPUTED_VALUE"""),43)</f>
        <v>43</v>
      </c>
      <c r="B44" s="20" t="str">
        <f t="shared" ca="1" si="18"/>
        <v>CLIP Sumapaz</v>
      </c>
      <c r="C44" s="21">
        <f t="shared" ca="1" si="19"/>
        <v>45349</v>
      </c>
      <c r="D44" s="33">
        <f t="shared" ca="1" si="20"/>
        <v>0</v>
      </c>
      <c r="E44" s="33">
        <f t="shared" ca="1" si="21"/>
        <v>0</v>
      </c>
      <c r="F44" s="33" t="str">
        <f t="shared" ca="1" si="22"/>
        <v>No aplica</v>
      </c>
      <c r="G44" s="33">
        <f t="shared" ca="1" si="23"/>
        <v>0</v>
      </c>
      <c r="H44" s="33" t="str">
        <f t="shared" ca="1" si="24"/>
        <v>No aplica</v>
      </c>
      <c r="I44" s="33">
        <f t="shared" ca="1" si="25"/>
        <v>0</v>
      </c>
      <c r="J44" s="33" t="str">
        <f t="shared" ca="1" si="26"/>
        <v>No aplica</v>
      </c>
      <c r="K44" s="33">
        <f t="shared" ca="1" si="27"/>
        <v>0</v>
      </c>
      <c r="L44" s="33" t="str">
        <f t="shared" ca="1" si="28"/>
        <v>No aplica</v>
      </c>
      <c r="M44" s="33">
        <f t="shared" ca="1" si="29"/>
        <v>0</v>
      </c>
      <c r="N44" s="33" t="str">
        <f t="shared" ca="1" si="30"/>
        <v>No aplica</v>
      </c>
      <c r="O44" s="33">
        <f t="shared" ca="1" si="31"/>
        <v>0</v>
      </c>
      <c r="P44" s="33" t="str">
        <f t="shared" ca="1" si="32"/>
        <v>No aplica</v>
      </c>
      <c r="Q44" s="33">
        <f t="shared" ca="1" si="33"/>
        <v>0</v>
      </c>
      <c r="R44" s="33">
        <f t="shared" ca="1" si="34"/>
        <v>0</v>
      </c>
      <c r="S44" s="34" t="str">
        <f t="shared" ca="1" si="35"/>
        <v/>
      </c>
    </row>
    <row r="45" spans="1:19" ht="13.5">
      <c r="A45" s="20">
        <f ca="1">IFERROR(__xludf.DUMMYFUNCTION("""COMPUTED_VALUE"""),44)</f>
        <v>44</v>
      </c>
      <c r="B45" s="20" t="str">
        <f t="shared" ca="1" si="18"/>
        <v>CLIP Ciudad Bolívar</v>
      </c>
      <c r="C45" s="21">
        <f t="shared" ca="1" si="19"/>
        <v>45349</v>
      </c>
      <c r="D45" s="33">
        <f t="shared" ca="1" si="20"/>
        <v>0</v>
      </c>
      <c r="E45" s="33">
        <f t="shared" ca="1" si="21"/>
        <v>0</v>
      </c>
      <c r="F45" s="33" t="str">
        <f t="shared" ca="1" si="22"/>
        <v>No aplica</v>
      </c>
      <c r="G45" s="33">
        <f t="shared" ca="1" si="23"/>
        <v>0</v>
      </c>
      <c r="H45" s="33" t="str">
        <f t="shared" ca="1" si="24"/>
        <v>No aplica</v>
      </c>
      <c r="I45" s="33">
        <f t="shared" ca="1" si="25"/>
        <v>0</v>
      </c>
      <c r="J45" s="33" t="str">
        <f t="shared" ca="1" si="26"/>
        <v>No aplica</v>
      </c>
      <c r="K45" s="33">
        <f t="shared" ca="1" si="27"/>
        <v>0</v>
      </c>
      <c r="L45" s="33" t="str">
        <f t="shared" ca="1" si="28"/>
        <v>No aplica</v>
      </c>
      <c r="M45" s="33">
        <f t="shared" ca="1" si="29"/>
        <v>0</v>
      </c>
      <c r="N45" s="33" t="str">
        <f t="shared" ca="1" si="30"/>
        <v>No aplica</v>
      </c>
      <c r="O45" s="33">
        <f t="shared" ca="1" si="31"/>
        <v>0</v>
      </c>
      <c r="P45" s="33" t="str">
        <f t="shared" ca="1" si="32"/>
        <v>No aplica</v>
      </c>
      <c r="Q45" s="33">
        <f t="shared" ca="1" si="33"/>
        <v>0</v>
      </c>
      <c r="R45" s="33">
        <f t="shared" ca="1" si="34"/>
        <v>0</v>
      </c>
      <c r="S45" s="34" t="str">
        <f t="shared" ca="1" si="35"/>
        <v/>
      </c>
    </row>
    <row r="46" spans="1:19" ht="13.5">
      <c r="A46" s="20">
        <f ca="1">IFERROR(__xludf.DUMMYFUNCTION("""COMPUTED_VALUE"""),45)</f>
        <v>45</v>
      </c>
      <c r="B46" s="20" t="str">
        <f t="shared" ca="1" si="18"/>
        <v>Instalación del CTPD</v>
      </c>
      <c r="C46" s="21">
        <f t="shared" ca="1" si="19"/>
        <v>45349</v>
      </c>
      <c r="D46" s="33">
        <f t="shared" ca="1" si="20"/>
        <v>0</v>
      </c>
      <c r="E46" s="33">
        <f t="shared" ca="1" si="21"/>
        <v>0</v>
      </c>
      <c r="F46" s="33" t="str">
        <f t="shared" ca="1" si="22"/>
        <v>No aplica</v>
      </c>
      <c r="G46" s="33">
        <f t="shared" ca="1" si="23"/>
        <v>0</v>
      </c>
      <c r="H46" s="33" t="str">
        <f t="shared" ca="1" si="24"/>
        <v>No aplica</v>
      </c>
      <c r="I46" s="33">
        <f t="shared" ca="1" si="25"/>
        <v>0</v>
      </c>
      <c r="J46" s="33" t="str">
        <f t="shared" ca="1" si="26"/>
        <v>No aplica</v>
      </c>
      <c r="K46" s="33">
        <f t="shared" ca="1" si="27"/>
        <v>0</v>
      </c>
      <c r="L46" s="33" t="str">
        <f t="shared" ca="1" si="28"/>
        <v>No aplica</v>
      </c>
      <c r="M46" s="33">
        <f t="shared" ca="1" si="29"/>
        <v>0</v>
      </c>
      <c r="N46" s="33" t="str">
        <f t="shared" ca="1" si="30"/>
        <v>No aplica</v>
      </c>
      <c r="O46" s="33">
        <f t="shared" ca="1" si="31"/>
        <v>0</v>
      </c>
      <c r="P46" s="33" t="str">
        <f t="shared" ca="1" si="32"/>
        <v>No aplica</v>
      </c>
      <c r="Q46" s="33">
        <f t="shared" ca="1" si="33"/>
        <v>0</v>
      </c>
      <c r="R46" s="33">
        <f t="shared" ca="1" si="34"/>
        <v>0</v>
      </c>
      <c r="S46" s="34" t="str">
        <f t="shared" ca="1" si="35"/>
        <v/>
      </c>
    </row>
    <row r="47" spans="1:19" ht="14.25">
      <c r="A47" s="20"/>
      <c r="B47" s="20" t="str">
        <f t="shared" si="18"/>
        <v/>
      </c>
      <c r="C47" s="21" t="str">
        <f t="shared" si="19"/>
        <v/>
      </c>
      <c r="D47" s="33" t="str">
        <f t="shared" si="20"/>
        <v/>
      </c>
      <c r="E47" s="33" t="str">
        <f t="shared" si="21"/>
        <v/>
      </c>
      <c r="F47" s="33" t="str">
        <f t="shared" si="22"/>
        <v/>
      </c>
      <c r="G47" s="33" t="str">
        <f t="shared" si="23"/>
        <v/>
      </c>
      <c r="H47" s="33" t="str">
        <f t="shared" si="24"/>
        <v/>
      </c>
      <c r="I47" s="33" t="str">
        <f t="shared" si="25"/>
        <v/>
      </c>
      <c r="J47" s="33" t="str">
        <f t="shared" si="26"/>
        <v/>
      </c>
      <c r="K47" s="33" t="str">
        <f t="shared" si="27"/>
        <v/>
      </c>
      <c r="L47" s="33" t="str">
        <f t="shared" si="28"/>
        <v/>
      </c>
      <c r="M47" s="33" t="str">
        <f t="shared" si="29"/>
        <v/>
      </c>
      <c r="N47" s="33" t="str">
        <f t="shared" si="30"/>
        <v/>
      </c>
      <c r="O47" s="33" t="str">
        <f t="shared" si="31"/>
        <v/>
      </c>
      <c r="P47" s="33" t="str">
        <f t="shared" si="32"/>
        <v/>
      </c>
      <c r="Q47" s="33" t="str">
        <f t="shared" si="33"/>
        <v/>
      </c>
      <c r="R47" s="33" t="str">
        <f t="shared" si="34"/>
        <v/>
      </c>
      <c r="S47" s="34" t="str">
        <f t="shared" si="35"/>
        <v/>
      </c>
    </row>
    <row r="48" spans="1:19" ht="25.5">
      <c r="A48" s="20">
        <f ca="1">IFERROR(__xludf.DUMMYFUNCTION("""COMPUTED_VALUE"""),47)</f>
        <v>47</v>
      </c>
      <c r="B48" s="20" t="str">
        <f t="shared" ca="1" si="18"/>
        <v>Entrega de propuesta borrador PDD al CTPD</v>
      </c>
      <c r="C48" s="21">
        <f t="shared" ca="1" si="19"/>
        <v>45350</v>
      </c>
      <c r="D48" s="33">
        <f t="shared" ca="1" si="20"/>
        <v>0</v>
      </c>
      <c r="E48" s="33">
        <f t="shared" ca="1" si="21"/>
        <v>0</v>
      </c>
      <c r="F48" s="33" t="str">
        <f t="shared" ca="1" si="22"/>
        <v>No aplica</v>
      </c>
      <c r="G48" s="33">
        <f t="shared" ca="1" si="23"/>
        <v>0</v>
      </c>
      <c r="H48" s="33" t="str">
        <f t="shared" ca="1" si="24"/>
        <v>No aplica</v>
      </c>
      <c r="I48" s="33">
        <f t="shared" ca="1" si="25"/>
        <v>0</v>
      </c>
      <c r="J48" s="33" t="str">
        <f t="shared" ca="1" si="26"/>
        <v>No aplica</v>
      </c>
      <c r="K48" s="33">
        <f t="shared" ca="1" si="27"/>
        <v>0</v>
      </c>
      <c r="L48" s="33" t="str">
        <f t="shared" ca="1" si="28"/>
        <v>No aplica</v>
      </c>
      <c r="M48" s="33">
        <f t="shared" ca="1" si="29"/>
        <v>0</v>
      </c>
      <c r="N48" s="33" t="str">
        <f t="shared" ca="1" si="30"/>
        <v>No aplica</v>
      </c>
      <c r="O48" s="33">
        <f t="shared" ca="1" si="31"/>
        <v>0</v>
      </c>
      <c r="P48" s="33" t="str">
        <f t="shared" ca="1" si="32"/>
        <v>No aplica</v>
      </c>
      <c r="Q48" s="33">
        <f t="shared" ca="1" si="33"/>
        <v>0</v>
      </c>
      <c r="R48" s="33">
        <f t="shared" ca="1" si="34"/>
        <v>0</v>
      </c>
      <c r="S48" s="34" t="str">
        <f t="shared" ca="1" si="35"/>
        <v/>
      </c>
    </row>
    <row r="49" spans="1:19" ht="37.5">
      <c r="A49" s="20">
        <f ca="1">IFERROR(__xludf.DUMMYFUNCTION("""COMPUTED_VALUE"""),48)</f>
        <v>48</v>
      </c>
      <c r="B49" s="20" t="str">
        <f t="shared" ca="1" si="18"/>
        <v>Foro de Participación Ciudadana - Apuestas estratégicas del PDD</v>
      </c>
      <c r="C49" s="21">
        <f t="shared" ca="1" si="19"/>
        <v>45350</v>
      </c>
      <c r="D49" s="33">
        <f t="shared" ca="1" si="20"/>
        <v>1</v>
      </c>
      <c r="E49" s="33" t="str">
        <f t="shared" ca="1" si="21"/>
        <v>Envío de acta a los asistentes.</v>
      </c>
      <c r="F49" s="33" t="str">
        <f t="shared" ca="1" si="22"/>
        <v>Realizado y Devuelto a la Ciudadanía</v>
      </c>
      <c r="G49" s="33">
        <f t="shared" ca="1" si="23"/>
        <v>0</v>
      </c>
      <c r="H49" s="33" t="str">
        <f t="shared" ca="1" si="24"/>
        <v>No aplica</v>
      </c>
      <c r="I49" s="33">
        <f t="shared" ca="1" si="25"/>
        <v>0</v>
      </c>
      <c r="J49" s="33" t="str">
        <f t="shared" ca="1" si="26"/>
        <v>No aplica</v>
      </c>
      <c r="K49" s="33">
        <f t="shared" ca="1" si="27"/>
        <v>0</v>
      </c>
      <c r="L49" s="33" t="str">
        <f t="shared" ca="1" si="28"/>
        <v>No aplica</v>
      </c>
      <c r="M49" s="33">
        <f t="shared" ca="1" si="29"/>
        <v>0</v>
      </c>
      <c r="N49" s="33" t="str">
        <f t="shared" ca="1" si="30"/>
        <v>No aplica</v>
      </c>
      <c r="O49" s="33">
        <f t="shared" ca="1" si="31"/>
        <v>0</v>
      </c>
      <c r="P49" s="33" t="str">
        <f t="shared" ca="1" si="32"/>
        <v>No aplica</v>
      </c>
      <c r="Q49" s="33">
        <f t="shared" ca="1" si="33"/>
        <v>1</v>
      </c>
      <c r="R49" s="33">
        <f t="shared" ca="1" si="34"/>
        <v>1</v>
      </c>
      <c r="S49" s="34">
        <f t="shared" ca="1" si="35"/>
        <v>1</v>
      </c>
    </row>
    <row r="50" spans="1:19" ht="25.5">
      <c r="A50" s="20">
        <f ca="1">IFERROR(__xludf.DUMMYFUNCTION("""COMPUTED_VALUE"""),49)</f>
        <v>49</v>
      </c>
      <c r="B50" s="20" t="str">
        <f t="shared" ca="1" si="18"/>
        <v xml:space="preserve">Rendición de cuentas JAL San Cristóbal </v>
      </c>
      <c r="C50" s="21">
        <f t="shared" ca="1" si="19"/>
        <v>45351</v>
      </c>
      <c r="D50" s="33">
        <f t="shared" ca="1" si="20"/>
        <v>0</v>
      </c>
      <c r="E50" s="33">
        <f t="shared" ca="1" si="21"/>
        <v>0</v>
      </c>
      <c r="F50" s="33" t="str">
        <f t="shared" ca="1" si="22"/>
        <v>No aplica</v>
      </c>
      <c r="G50" s="33">
        <f t="shared" ca="1" si="23"/>
        <v>0</v>
      </c>
      <c r="H50" s="33" t="str">
        <f t="shared" ca="1" si="24"/>
        <v>No aplica</v>
      </c>
      <c r="I50" s="33">
        <f t="shared" ca="1" si="25"/>
        <v>0</v>
      </c>
      <c r="J50" s="33" t="str">
        <f t="shared" ca="1" si="26"/>
        <v>No aplica</v>
      </c>
      <c r="K50" s="33">
        <f t="shared" ca="1" si="27"/>
        <v>0</v>
      </c>
      <c r="L50" s="33" t="str">
        <f t="shared" ca="1" si="28"/>
        <v>No aplica</v>
      </c>
      <c r="M50" s="33">
        <f t="shared" ca="1" si="29"/>
        <v>0</v>
      </c>
      <c r="N50" s="33" t="str">
        <f t="shared" ca="1" si="30"/>
        <v>No aplica</v>
      </c>
      <c r="O50" s="33">
        <f t="shared" ca="1" si="31"/>
        <v>0</v>
      </c>
      <c r="P50" s="33" t="str">
        <f t="shared" ca="1" si="32"/>
        <v>No aplica</v>
      </c>
      <c r="Q50" s="33">
        <f t="shared" ca="1" si="33"/>
        <v>0</v>
      </c>
      <c r="R50" s="33">
        <f t="shared" ca="1" si="34"/>
        <v>0</v>
      </c>
      <c r="S50" s="34" t="str">
        <f t="shared" ca="1" si="35"/>
        <v/>
      </c>
    </row>
    <row r="51" spans="1:19" ht="14.25">
      <c r="A51" s="20"/>
      <c r="B51" s="20" t="str">
        <f t="shared" si="18"/>
        <v/>
      </c>
      <c r="C51" s="21" t="str">
        <f t="shared" si="19"/>
        <v/>
      </c>
      <c r="D51" s="33" t="str">
        <f t="shared" si="20"/>
        <v/>
      </c>
      <c r="E51" s="33" t="str">
        <f t="shared" si="21"/>
        <v/>
      </c>
      <c r="F51" s="33" t="str">
        <f t="shared" si="22"/>
        <v/>
      </c>
      <c r="G51" s="33" t="str">
        <f t="shared" si="23"/>
        <v/>
      </c>
      <c r="H51" s="33" t="str">
        <f t="shared" si="24"/>
        <v/>
      </c>
      <c r="I51" s="33" t="str">
        <f t="shared" si="25"/>
        <v/>
      </c>
      <c r="J51" s="33" t="str">
        <f t="shared" si="26"/>
        <v/>
      </c>
      <c r="K51" s="33" t="str">
        <f t="shared" si="27"/>
        <v/>
      </c>
      <c r="L51" s="33" t="str">
        <f t="shared" si="28"/>
        <v/>
      </c>
      <c r="M51" s="33" t="str">
        <f t="shared" si="29"/>
        <v/>
      </c>
      <c r="N51" s="33" t="str">
        <f t="shared" si="30"/>
        <v/>
      </c>
      <c r="O51" s="33" t="str">
        <f t="shared" si="31"/>
        <v/>
      </c>
      <c r="P51" s="33" t="str">
        <f t="shared" si="32"/>
        <v/>
      </c>
      <c r="Q51" s="33" t="str">
        <f t="shared" si="33"/>
        <v/>
      </c>
      <c r="R51" s="33" t="str">
        <f t="shared" si="34"/>
        <v/>
      </c>
      <c r="S51" s="34" t="str">
        <f t="shared" si="35"/>
        <v/>
      </c>
    </row>
    <row r="52" spans="1:19" ht="37.5">
      <c r="A52" s="20">
        <f ca="1">IFERROR(__xludf.DUMMYFUNCTION("""COMPUTED_VALUE"""),51)</f>
        <v>51</v>
      </c>
      <c r="B52" s="20" t="str">
        <f t="shared" ca="1" si="18"/>
        <v>Primer foro virtual con Servidores Públicos para la formulación del PDD - DASCD/SDP</v>
      </c>
      <c r="C52" s="21">
        <f t="shared" ca="1" si="19"/>
        <v>45351</v>
      </c>
      <c r="D52" s="33">
        <f t="shared" ca="1" si="20"/>
        <v>0</v>
      </c>
      <c r="E52" s="33">
        <f t="shared" ca="1" si="21"/>
        <v>0</v>
      </c>
      <c r="F52" s="33" t="str">
        <f t="shared" ca="1" si="22"/>
        <v>No aplica</v>
      </c>
      <c r="G52" s="33">
        <f t="shared" ca="1" si="23"/>
        <v>0</v>
      </c>
      <c r="H52" s="33" t="str">
        <f t="shared" ca="1" si="24"/>
        <v>No aplica</v>
      </c>
      <c r="I52" s="33">
        <f t="shared" ca="1" si="25"/>
        <v>0</v>
      </c>
      <c r="J52" s="33" t="str">
        <f t="shared" ca="1" si="26"/>
        <v>No aplica</v>
      </c>
      <c r="K52" s="33">
        <f t="shared" ca="1" si="27"/>
        <v>0</v>
      </c>
      <c r="L52" s="33" t="str">
        <f t="shared" ca="1" si="28"/>
        <v>No aplica</v>
      </c>
      <c r="M52" s="33">
        <f t="shared" ca="1" si="29"/>
        <v>0</v>
      </c>
      <c r="N52" s="33" t="str">
        <f t="shared" ca="1" si="30"/>
        <v>No aplica</v>
      </c>
      <c r="O52" s="33">
        <f t="shared" ca="1" si="31"/>
        <v>0</v>
      </c>
      <c r="P52" s="33" t="str">
        <f t="shared" ca="1" si="32"/>
        <v>No aplica</v>
      </c>
      <c r="Q52" s="33">
        <f t="shared" ca="1" si="33"/>
        <v>0</v>
      </c>
      <c r="R52" s="33">
        <f t="shared" ca="1" si="34"/>
        <v>0</v>
      </c>
      <c r="S52" s="34" t="str">
        <f t="shared" ca="1" si="35"/>
        <v/>
      </c>
    </row>
    <row r="53" spans="1:19" ht="14.25">
      <c r="A53" s="20"/>
      <c r="B53" s="20" t="str">
        <f t="shared" si="18"/>
        <v/>
      </c>
      <c r="C53" s="21" t="str">
        <f t="shared" si="19"/>
        <v/>
      </c>
      <c r="D53" s="33" t="str">
        <f t="shared" si="20"/>
        <v/>
      </c>
      <c r="E53" s="33" t="str">
        <f t="shared" si="21"/>
        <v/>
      </c>
      <c r="F53" s="33" t="str">
        <f t="shared" si="22"/>
        <v/>
      </c>
      <c r="G53" s="33" t="str">
        <f t="shared" si="23"/>
        <v/>
      </c>
      <c r="H53" s="33" t="str">
        <f t="shared" si="24"/>
        <v/>
      </c>
      <c r="I53" s="33" t="str">
        <f t="shared" si="25"/>
        <v/>
      </c>
      <c r="J53" s="33" t="str">
        <f t="shared" si="26"/>
        <v/>
      </c>
      <c r="K53" s="33" t="str">
        <f t="shared" si="27"/>
        <v/>
      </c>
      <c r="L53" s="33" t="str">
        <f t="shared" si="28"/>
        <v/>
      </c>
      <c r="M53" s="33" t="str">
        <f t="shared" si="29"/>
        <v/>
      </c>
      <c r="N53" s="33" t="str">
        <f t="shared" si="30"/>
        <v/>
      </c>
      <c r="O53" s="33" t="str">
        <f t="shared" si="31"/>
        <v/>
      </c>
      <c r="P53" s="33" t="str">
        <f t="shared" si="32"/>
        <v/>
      </c>
      <c r="Q53" s="33" t="str">
        <f t="shared" si="33"/>
        <v/>
      </c>
      <c r="R53" s="33" t="str">
        <f t="shared" si="34"/>
        <v/>
      </c>
      <c r="S53" s="34" t="str">
        <f t="shared" si="35"/>
        <v/>
      </c>
    </row>
    <row r="54" spans="1:19" ht="25.5">
      <c r="A54" s="20">
        <f ca="1">IFERROR(__xludf.DUMMYFUNCTION("""COMPUTED_VALUE"""),53)</f>
        <v>53</v>
      </c>
      <c r="B54" s="20" t="str">
        <f t="shared" ca="1" si="18"/>
        <v>Sesión Red Institucional de Apoyo a las Veedurías Ciudadanas</v>
      </c>
      <c r="C54" s="21">
        <f t="shared" ca="1" si="19"/>
        <v>45351</v>
      </c>
      <c r="D54" s="33">
        <f t="shared" ca="1" si="20"/>
        <v>0</v>
      </c>
      <c r="E54" s="33">
        <f t="shared" ca="1" si="21"/>
        <v>0</v>
      </c>
      <c r="F54" s="33" t="str">
        <f t="shared" ca="1" si="22"/>
        <v>No aplica</v>
      </c>
      <c r="G54" s="33">
        <f t="shared" ca="1" si="23"/>
        <v>0</v>
      </c>
      <c r="H54" s="33" t="str">
        <f t="shared" ca="1" si="24"/>
        <v>No aplica</v>
      </c>
      <c r="I54" s="33">
        <f t="shared" ca="1" si="25"/>
        <v>0</v>
      </c>
      <c r="J54" s="33" t="str">
        <f t="shared" ca="1" si="26"/>
        <v>No aplica</v>
      </c>
      <c r="K54" s="33">
        <f t="shared" ca="1" si="27"/>
        <v>0</v>
      </c>
      <c r="L54" s="33" t="str">
        <f t="shared" ca="1" si="28"/>
        <v>No aplica</v>
      </c>
      <c r="M54" s="33">
        <f t="shared" ca="1" si="29"/>
        <v>0</v>
      </c>
      <c r="N54" s="33" t="str">
        <f t="shared" ca="1" si="30"/>
        <v>No aplica</v>
      </c>
      <c r="O54" s="33">
        <f t="shared" ca="1" si="31"/>
        <v>0</v>
      </c>
      <c r="P54" s="33" t="str">
        <f t="shared" ca="1" si="32"/>
        <v>No aplica</v>
      </c>
      <c r="Q54" s="33">
        <f t="shared" ca="1" si="33"/>
        <v>0</v>
      </c>
      <c r="R54" s="33">
        <f t="shared" ca="1" si="34"/>
        <v>0</v>
      </c>
      <c r="S54" s="34" t="str">
        <f t="shared" ca="1" si="35"/>
        <v/>
      </c>
    </row>
    <row r="55" spans="1:19" ht="37.5">
      <c r="A55" s="20">
        <f ca="1">IFERROR(__xludf.DUMMYFUNCTION("""COMPUTED_VALUE"""),54)</f>
        <v>54</v>
      </c>
      <c r="B55" s="20" t="str">
        <f t="shared" ca="1" si="18"/>
        <v>Dialogo Ciudadano para la Construcción del PDD - UPL Suba Rincón</v>
      </c>
      <c r="C55" s="21">
        <f t="shared" ca="1" si="19"/>
        <v>45352</v>
      </c>
      <c r="D55" s="33">
        <f t="shared" ca="1" si="20"/>
        <v>1</v>
      </c>
      <c r="E55" s="33" t="str">
        <f t="shared" ca="1" si="21"/>
        <v>Envío acta del espacio</v>
      </c>
      <c r="F55" s="33" t="str">
        <f t="shared" ca="1" si="22"/>
        <v>Realizado y Devuelto a la Ciudadanía</v>
      </c>
      <c r="G55" s="33">
        <f t="shared" ca="1" si="23"/>
        <v>0</v>
      </c>
      <c r="H55" s="33" t="str">
        <f t="shared" ca="1" si="24"/>
        <v>No aplica</v>
      </c>
      <c r="I55" s="33">
        <f t="shared" ca="1" si="25"/>
        <v>0</v>
      </c>
      <c r="J55" s="33" t="str">
        <f t="shared" ca="1" si="26"/>
        <v>No aplica</v>
      </c>
      <c r="K55" s="33">
        <f t="shared" ca="1" si="27"/>
        <v>0</v>
      </c>
      <c r="L55" s="33" t="str">
        <f t="shared" ca="1" si="28"/>
        <v>No aplica</v>
      </c>
      <c r="M55" s="33">
        <f t="shared" ca="1" si="29"/>
        <v>0</v>
      </c>
      <c r="N55" s="33" t="str">
        <f t="shared" ca="1" si="30"/>
        <v>No aplica</v>
      </c>
      <c r="O55" s="33">
        <f t="shared" ca="1" si="31"/>
        <v>0</v>
      </c>
      <c r="P55" s="33" t="str">
        <f t="shared" ca="1" si="32"/>
        <v>No aplica</v>
      </c>
      <c r="Q55" s="33">
        <f t="shared" ca="1" si="33"/>
        <v>1</v>
      </c>
      <c r="R55" s="33">
        <f t="shared" ca="1" si="34"/>
        <v>1</v>
      </c>
      <c r="S55" s="34">
        <f t="shared" ca="1" si="35"/>
        <v>1</v>
      </c>
    </row>
    <row r="56" spans="1:19" ht="25.5">
      <c r="A56" s="20">
        <f ca="1">IFERROR(__xludf.DUMMYFUNCTION("""COMPUTED_VALUE"""),55)</f>
        <v>55</v>
      </c>
      <c r="B56" s="20" t="str">
        <f t="shared" ca="1" si="18"/>
        <v>Presentación de la estrategia de Participación del PDD al CCPH</v>
      </c>
      <c r="C56" s="21">
        <f t="shared" ca="1" si="19"/>
        <v>45352</v>
      </c>
      <c r="D56" s="33">
        <f t="shared" ca="1" si="20"/>
        <v>0</v>
      </c>
      <c r="E56" s="33">
        <f t="shared" ca="1" si="21"/>
        <v>0</v>
      </c>
      <c r="F56" s="33" t="str">
        <f t="shared" ca="1" si="22"/>
        <v>No aplica</v>
      </c>
      <c r="G56" s="33">
        <f t="shared" ca="1" si="23"/>
        <v>0</v>
      </c>
      <c r="H56" s="33" t="str">
        <f t="shared" ca="1" si="24"/>
        <v>No aplica</v>
      </c>
      <c r="I56" s="33">
        <f t="shared" ca="1" si="25"/>
        <v>0</v>
      </c>
      <c r="J56" s="33" t="str">
        <f t="shared" ca="1" si="26"/>
        <v>No aplica</v>
      </c>
      <c r="K56" s="33">
        <f t="shared" ca="1" si="27"/>
        <v>0</v>
      </c>
      <c r="L56" s="33" t="str">
        <f t="shared" ca="1" si="28"/>
        <v>No aplica</v>
      </c>
      <c r="M56" s="33">
        <f t="shared" ca="1" si="29"/>
        <v>0</v>
      </c>
      <c r="N56" s="33" t="str">
        <f t="shared" ca="1" si="30"/>
        <v>No aplica</v>
      </c>
      <c r="O56" s="33">
        <f t="shared" ca="1" si="31"/>
        <v>0</v>
      </c>
      <c r="P56" s="33" t="str">
        <f t="shared" ca="1" si="32"/>
        <v>No aplica</v>
      </c>
      <c r="Q56" s="33">
        <f t="shared" ca="1" si="33"/>
        <v>0</v>
      </c>
      <c r="R56" s="33">
        <f t="shared" ca="1" si="34"/>
        <v>0</v>
      </c>
      <c r="S56" s="34" t="str">
        <f t="shared" ca="1" si="35"/>
        <v/>
      </c>
    </row>
    <row r="57" spans="1:19" ht="13.5">
      <c r="A57" s="20">
        <f ca="1">IFERROR(__xludf.DUMMYFUNCTION("""COMPUTED_VALUE"""),56)</f>
        <v>56</v>
      </c>
      <c r="B57" s="20" t="str">
        <f t="shared" ca="1" si="18"/>
        <v>Plenaria Ordinaria - CTPD</v>
      </c>
      <c r="C57" s="21">
        <f t="shared" ca="1" si="19"/>
        <v>45352</v>
      </c>
      <c r="D57" s="33">
        <f t="shared" ca="1" si="20"/>
        <v>0</v>
      </c>
      <c r="E57" s="33">
        <f t="shared" ca="1" si="21"/>
        <v>0</v>
      </c>
      <c r="F57" s="33" t="str">
        <f t="shared" ca="1" si="22"/>
        <v>No aplica</v>
      </c>
      <c r="G57" s="33">
        <f t="shared" ca="1" si="23"/>
        <v>0</v>
      </c>
      <c r="H57" s="33" t="str">
        <f t="shared" ca="1" si="24"/>
        <v>No aplica</v>
      </c>
      <c r="I57" s="33">
        <f t="shared" ca="1" si="25"/>
        <v>0</v>
      </c>
      <c r="J57" s="33" t="str">
        <f t="shared" ca="1" si="26"/>
        <v>No aplica</v>
      </c>
      <c r="K57" s="33">
        <f t="shared" ca="1" si="27"/>
        <v>0</v>
      </c>
      <c r="L57" s="33" t="str">
        <f t="shared" ca="1" si="28"/>
        <v>No aplica</v>
      </c>
      <c r="M57" s="33">
        <f t="shared" ca="1" si="29"/>
        <v>0</v>
      </c>
      <c r="N57" s="33" t="str">
        <f t="shared" ca="1" si="30"/>
        <v>No aplica</v>
      </c>
      <c r="O57" s="33">
        <f t="shared" ca="1" si="31"/>
        <v>0</v>
      </c>
      <c r="P57" s="33" t="str">
        <f t="shared" ca="1" si="32"/>
        <v>No aplica</v>
      </c>
      <c r="Q57" s="33">
        <f t="shared" ca="1" si="33"/>
        <v>0</v>
      </c>
      <c r="R57" s="33">
        <f t="shared" ca="1" si="34"/>
        <v>0</v>
      </c>
      <c r="S57" s="34" t="str">
        <f t="shared" ca="1" si="35"/>
        <v/>
      </c>
    </row>
    <row r="58" spans="1:19" ht="37.5">
      <c r="A58" s="20">
        <f ca="1">IFERROR(__xludf.DUMMYFUNCTION("""COMPUTED_VALUE"""),57)</f>
        <v>57</v>
      </c>
      <c r="B58" s="20" t="str">
        <f t="shared" ca="1" si="18"/>
        <v>Dialogo Ciudadano para la Construcción del PDD - UPL Restrepo</v>
      </c>
      <c r="C58" s="21">
        <f t="shared" ca="1" si="19"/>
        <v>45353</v>
      </c>
      <c r="D58" s="33">
        <f t="shared" ca="1" si="20"/>
        <v>1</v>
      </c>
      <c r="E58" s="33" t="str">
        <f t="shared" ca="1" si="21"/>
        <v>Envío de memorias del espacio.</v>
      </c>
      <c r="F58" s="33" t="str">
        <f t="shared" ca="1" si="22"/>
        <v>Realizado y Devuelto a la Ciudadanía</v>
      </c>
      <c r="G58" s="33">
        <f t="shared" ca="1" si="23"/>
        <v>0</v>
      </c>
      <c r="H58" s="33" t="str">
        <f t="shared" ca="1" si="24"/>
        <v>No aplica</v>
      </c>
      <c r="I58" s="33">
        <f t="shared" ca="1" si="25"/>
        <v>0</v>
      </c>
      <c r="J58" s="33" t="str">
        <f t="shared" ca="1" si="26"/>
        <v>No aplica</v>
      </c>
      <c r="K58" s="33">
        <f t="shared" ca="1" si="27"/>
        <v>0</v>
      </c>
      <c r="L58" s="33" t="str">
        <f t="shared" ca="1" si="28"/>
        <v>No aplica</v>
      </c>
      <c r="M58" s="33">
        <f t="shared" ca="1" si="29"/>
        <v>0</v>
      </c>
      <c r="N58" s="33" t="str">
        <f t="shared" ca="1" si="30"/>
        <v>No aplica</v>
      </c>
      <c r="O58" s="33">
        <f t="shared" ca="1" si="31"/>
        <v>0</v>
      </c>
      <c r="P58" s="33" t="str">
        <f t="shared" ca="1" si="32"/>
        <v>No aplica</v>
      </c>
      <c r="Q58" s="33">
        <f t="shared" ca="1" si="33"/>
        <v>1</v>
      </c>
      <c r="R58" s="33">
        <f t="shared" ca="1" si="34"/>
        <v>1</v>
      </c>
      <c r="S58" s="34">
        <f t="shared" ca="1" si="35"/>
        <v>1</v>
      </c>
    </row>
    <row r="59" spans="1:19" ht="37.5">
      <c r="A59" s="20">
        <f ca="1">IFERROR(__xludf.DUMMYFUNCTION("""COMPUTED_VALUE"""),58)</f>
        <v>58</v>
      </c>
      <c r="B59" s="20" t="str">
        <f t="shared" ca="1" si="18"/>
        <v>Dialogo Ciudadano para la Construcción del PDD - UPL Fontibón</v>
      </c>
      <c r="C59" s="21">
        <f t="shared" ca="1" si="19"/>
        <v>45353</v>
      </c>
      <c r="D59" s="33">
        <f t="shared" ca="1" si="20"/>
        <v>1</v>
      </c>
      <c r="E59" s="33" t="str">
        <f t="shared" ca="1" si="21"/>
        <v>Envío acta del espacio.</v>
      </c>
      <c r="F59" s="33" t="str">
        <f t="shared" ca="1" si="22"/>
        <v>Realizado y Devuelto a la Ciudadanía</v>
      </c>
      <c r="G59" s="33">
        <f t="shared" ca="1" si="23"/>
        <v>0</v>
      </c>
      <c r="H59" s="33" t="str">
        <f t="shared" ca="1" si="24"/>
        <v>No aplica</v>
      </c>
      <c r="I59" s="33">
        <f t="shared" ca="1" si="25"/>
        <v>0</v>
      </c>
      <c r="J59" s="33" t="str">
        <f t="shared" ca="1" si="26"/>
        <v>No aplica</v>
      </c>
      <c r="K59" s="33">
        <f t="shared" ca="1" si="27"/>
        <v>0</v>
      </c>
      <c r="L59" s="33" t="str">
        <f t="shared" ca="1" si="28"/>
        <v>No aplica</v>
      </c>
      <c r="M59" s="33">
        <f t="shared" ca="1" si="29"/>
        <v>0</v>
      </c>
      <c r="N59" s="33" t="str">
        <f t="shared" ca="1" si="30"/>
        <v>No aplica</v>
      </c>
      <c r="O59" s="33">
        <f t="shared" ca="1" si="31"/>
        <v>0</v>
      </c>
      <c r="P59" s="33" t="str">
        <f t="shared" ca="1" si="32"/>
        <v>No aplica</v>
      </c>
      <c r="Q59" s="33">
        <f t="shared" ca="1" si="33"/>
        <v>1</v>
      </c>
      <c r="R59" s="33">
        <f t="shared" ca="1" si="34"/>
        <v>1</v>
      </c>
      <c r="S59" s="34">
        <f t="shared" ca="1" si="35"/>
        <v>1</v>
      </c>
    </row>
    <row r="60" spans="1:19" ht="37.5">
      <c r="A60" s="20">
        <f ca="1">IFERROR(__xludf.DUMMYFUNCTION("""COMPUTED_VALUE"""),59)</f>
        <v>59</v>
      </c>
      <c r="B60" s="20" t="str">
        <f t="shared" ca="1" si="18"/>
        <v>Diálogo Ciudadano Poblacional para la Construcción del PDD - Consejo Consultivo de Mujeres</v>
      </c>
      <c r="C60" s="21">
        <f t="shared" ca="1" si="19"/>
        <v>45355</v>
      </c>
      <c r="D60" s="33">
        <f t="shared" ca="1" si="20"/>
        <v>1</v>
      </c>
      <c r="E60" s="33" t="str">
        <f t="shared" ca="1" si="21"/>
        <v>Envío de infografías y material presentado.</v>
      </c>
      <c r="F60" s="33" t="str">
        <f t="shared" ca="1" si="22"/>
        <v>Realizado y Devuelto a la Ciudadanía</v>
      </c>
      <c r="G60" s="33">
        <f t="shared" ca="1" si="23"/>
        <v>0</v>
      </c>
      <c r="H60" s="33" t="str">
        <f t="shared" ca="1" si="24"/>
        <v>No aplica</v>
      </c>
      <c r="I60" s="33">
        <f t="shared" ca="1" si="25"/>
        <v>0</v>
      </c>
      <c r="J60" s="33" t="str">
        <f t="shared" ca="1" si="26"/>
        <v>No aplica</v>
      </c>
      <c r="K60" s="33">
        <f t="shared" ca="1" si="27"/>
        <v>0</v>
      </c>
      <c r="L60" s="33" t="str">
        <f t="shared" ca="1" si="28"/>
        <v>No aplica</v>
      </c>
      <c r="M60" s="33">
        <f t="shared" ca="1" si="29"/>
        <v>0</v>
      </c>
      <c r="N60" s="33" t="str">
        <f t="shared" ca="1" si="30"/>
        <v>No aplica</v>
      </c>
      <c r="O60" s="33">
        <f t="shared" ca="1" si="31"/>
        <v>0</v>
      </c>
      <c r="P60" s="33" t="str">
        <f t="shared" ca="1" si="32"/>
        <v>No aplica</v>
      </c>
      <c r="Q60" s="33">
        <f t="shared" ca="1" si="33"/>
        <v>1</v>
      </c>
      <c r="R60" s="33">
        <f t="shared" ca="1" si="34"/>
        <v>1</v>
      </c>
      <c r="S60" s="34">
        <f t="shared" ca="1" si="35"/>
        <v>1</v>
      </c>
    </row>
    <row r="61" spans="1:19" ht="37.5">
      <c r="A61" s="20">
        <f ca="1">IFERROR(__xludf.DUMMYFUNCTION("""COMPUTED_VALUE"""),60)</f>
        <v>60</v>
      </c>
      <c r="B61" s="20" t="str">
        <f t="shared" ca="1" si="18"/>
        <v>Dialogo Ciudadano para la Construcción del PDD - UPL Usaquén</v>
      </c>
      <c r="C61" s="21">
        <f t="shared" ca="1" si="19"/>
        <v>45355</v>
      </c>
      <c r="D61" s="33">
        <f t="shared" ca="1" si="20"/>
        <v>1</v>
      </c>
      <c r="E61" s="33" t="str">
        <f t="shared" ca="1" si="21"/>
        <v>Envío de memorias del espacio.</v>
      </c>
      <c r="F61" s="33" t="str">
        <f t="shared" ca="1" si="22"/>
        <v>Realizado y Devuelto a la Ciudadanía</v>
      </c>
      <c r="G61" s="33">
        <f t="shared" ca="1" si="23"/>
        <v>0</v>
      </c>
      <c r="H61" s="33" t="str">
        <f t="shared" ca="1" si="24"/>
        <v>No aplica</v>
      </c>
      <c r="I61" s="33">
        <f t="shared" ca="1" si="25"/>
        <v>0</v>
      </c>
      <c r="J61" s="33" t="str">
        <f t="shared" ca="1" si="26"/>
        <v>No aplica</v>
      </c>
      <c r="K61" s="33">
        <f t="shared" ca="1" si="27"/>
        <v>0</v>
      </c>
      <c r="L61" s="33" t="str">
        <f t="shared" ca="1" si="28"/>
        <v>No aplica</v>
      </c>
      <c r="M61" s="33">
        <f t="shared" ca="1" si="29"/>
        <v>0</v>
      </c>
      <c r="N61" s="33" t="str">
        <f t="shared" ca="1" si="30"/>
        <v>No aplica</v>
      </c>
      <c r="O61" s="33">
        <f t="shared" ca="1" si="31"/>
        <v>0</v>
      </c>
      <c r="P61" s="33" t="str">
        <f t="shared" ca="1" si="32"/>
        <v>No aplica</v>
      </c>
      <c r="Q61" s="33">
        <f t="shared" ca="1" si="33"/>
        <v>1</v>
      </c>
      <c r="R61" s="33">
        <f t="shared" ca="1" si="34"/>
        <v>1</v>
      </c>
      <c r="S61" s="34">
        <f t="shared" ca="1" si="35"/>
        <v>1</v>
      </c>
    </row>
    <row r="62" spans="1:19" ht="37.5">
      <c r="A62" s="20">
        <f ca="1">IFERROR(__xludf.DUMMYFUNCTION("""COMPUTED_VALUE"""),61)</f>
        <v>61</v>
      </c>
      <c r="B62" s="20" t="str">
        <f t="shared" ca="1" si="18"/>
        <v>Segundo foro virtual con Servidores Públicos para la formulación del PDD - DASCD/SDP</v>
      </c>
      <c r="C62" s="21">
        <f t="shared" ca="1" si="19"/>
        <v>45356</v>
      </c>
      <c r="D62" s="33">
        <f t="shared" ca="1" si="20"/>
        <v>0</v>
      </c>
      <c r="E62" s="33">
        <f t="shared" ca="1" si="21"/>
        <v>0</v>
      </c>
      <c r="F62" s="33">
        <f t="shared" ca="1" si="22"/>
        <v>0</v>
      </c>
      <c r="G62" s="33">
        <f t="shared" ca="1" si="23"/>
        <v>0</v>
      </c>
      <c r="H62" s="33">
        <f t="shared" ca="1" si="24"/>
        <v>0</v>
      </c>
      <c r="I62" s="33">
        <f t="shared" ca="1" si="25"/>
        <v>0</v>
      </c>
      <c r="J62" s="33">
        <f t="shared" ca="1" si="26"/>
        <v>0</v>
      </c>
      <c r="K62" s="33">
        <f t="shared" ca="1" si="27"/>
        <v>0</v>
      </c>
      <c r="L62" s="33">
        <f t="shared" ca="1" si="28"/>
        <v>0</v>
      </c>
      <c r="M62" s="33">
        <f t="shared" ca="1" si="29"/>
        <v>0</v>
      </c>
      <c r="N62" s="33">
        <f t="shared" ca="1" si="30"/>
        <v>0</v>
      </c>
      <c r="O62" s="33">
        <f t="shared" ca="1" si="31"/>
        <v>0</v>
      </c>
      <c r="P62" s="33">
        <f t="shared" ca="1" si="32"/>
        <v>0</v>
      </c>
      <c r="Q62" s="33">
        <f t="shared" ca="1" si="33"/>
        <v>0</v>
      </c>
      <c r="R62" s="33">
        <f t="shared" ca="1" si="34"/>
        <v>0</v>
      </c>
      <c r="S62" s="34" t="str">
        <f t="shared" ca="1" si="35"/>
        <v/>
      </c>
    </row>
    <row r="63" spans="1:19" ht="37.5">
      <c r="A63" s="20">
        <f ca="1">IFERROR(__xludf.DUMMYFUNCTION("""COMPUTED_VALUE"""),62)</f>
        <v>62</v>
      </c>
      <c r="B63" s="20" t="str">
        <f t="shared" ca="1" si="18"/>
        <v>Dialogo Ciudadano para la Construcción del PDD - UPL Lucero</v>
      </c>
      <c r="C63" s="21">
        <f t="shared" ca="1" si="19"/>
        <v>45356</v>
      </c>
      <c r="D63" s="33">
        <f t="shared" ca="1" si="20"/>
        <v>1</v>
      </c>
      <c r="E63" s="33" t="str">
        <f t="shared" ca="1" si="21"/>
        <v>Envío de memorias del espacio.</v>
      </c>
      <c r="F63" s="33" t="str">
        <f t="shared" ca="1" si="22"/>
        <v>Realizado y Devuelto a la Ciudadanía</v>
      </c>
      <c r="G63" s="33">
        <f t="shared" ca="1" si="23"/>
        <v>0</v>
      </c>
      <c r="H63" s="33" t="str">
        <f t="shared" ca="1" si="24"/>
        <v>No aplica</v>
      </c>
      <c r="I63" s="33">
        <f t="shared" ca="1" si="25"/>
        <v>0</v>
      </c>
      <c r="J63" s="33" t="str">
        <f t="shared" ca="1" si="26"/>
        <v>No aplica</v>
      </c>
      <c r="K63" s="33">
        <f t="shared" ca="1" si="27"/>
        <v>0</v>
      </c>
      <c r="L63" s="33" t="str">
        <f t="shared" ca="1" si="28"/>
        <v>No aplica</v>
      </c>
      <c r="M63" s="33">
        <f t="shared" ca="1" si="29"/>
        <v>0</v>
      </c>
      <c r="N63" s="33" t="str">
        <f t="shared" ca="1" si="30"/>
        <v>No aplica</v>
      </c>
      <c r="O63" s="33">
        <f t="shared" ca="1" si="31"/>
        <v>0</v>
      </c>
      <c r="P63" s="33" t="str">
        <f t="shared" ca="1" si="32"/>
        <v>No aplica</v>
      </c>
      <c r="Q63" s="33">
        <f t="shared" ca="1" si="33"/>
        <v>1</v>
      </c>
      <c r="R63" s="33">
        <f t="shared" ca="1" si="34"/>
        <v>1</v>
      </c>
      <c r="S63" s="34">
        <f t="shared" ca="1" si="35"/>
        <v>1</v>
      </c>
    </row>
    <row r="64" spans="1:19" ht="13.5">
      <c r="A64" s="20">
        <f ca="1">IFERROR(__xludf.DUMMYFUNCTION("""COMPUTED_VALUE"""),63)</f>
        <v>63</v>
      </c>
      <c r="B64" s="20" t="str">
        <f t="shared" ca="1" si="18"/>
        <v>Plenaria CTPD</v>
      </c>
      <c r="C64" s="21">
        <f t="shared" ca="1" si="19"/>
        <v>45356</v>
      </c>
      <c r="D64" s="33">
        <f t="shared" ca="1" si="20"/>
        <v>0</v>
      </c>
      <c r="E64" s="33">
        <f t="shared" ca="1" si="21"/>
        <v>0</v>
      </c>
      <c r="F64" s="33" t="str">
        <f t="shared" ca="1" si="22"/>
        <v>No aplica</v>
      </c>
      <c r="G64" s="33">
        <f t="shared" ca="1" si="23"/>
        <v>0</v>
      </c>
      <c r="H64" s="33" t="str">
        <f t="shared" ca="1" si="24"/>
        <v>No aplica</v>
      </c>
      <c r="I64" s="33">
        <f t="shared" ca="1" si="25"/>
        <v>0</v>
      </c>
      <c r="J64" s="33" t="str">
        <f t="shared" ca="1" si="26"/>
        <v>No aplica</v>
      </c>
      <c r="K64" s="33">
        <f t="shared" ca="1" si="27"/>
        <v>0</v>
      </c>
      <c r="L64" s="33" t="str">
        <f t="shared" ca="1" si="28"/>
        <v>No aplica</v>
      </c>
      <c r="M64" s="33">
        <f t="shared" ca="1" si="29"/>
        <v>0</v>
      </c>
      <c r="N64" s="33" t="str">
        <f t="shared" ca="1" si="30"/>
        <v>No aplica</v>
      </c>
      <c r="O64" s="33">
        <f t="shared" ca="1" si="31"/>
        <v>0</v>
      </c>
      <c r="P64" s="33" t="str">
        <f t="shared" ca="1" si="32"/>
        <v>No aplica</v>
      </c>
      <c r="Q64" s="33">
        <f t="shared" ca="1" si="33"/>
        <v>0</v>
      </c>
      <c r="R64" s="33">
        <f t="shared" ca="1" si="34"/>
        <v>0</v>
      </c>
      <c r="S64" s="34">
        <f t="shared" ca="1" si="35"/>
        <v>0</v>
      </c>
    </row>
    <row r="65" spans="1:19" ht="14.25">
      <c r="A65" s="20"/>
      <c r="B65" s="20" t="str">
        <f t="shared" si="18"/>
        <v/>
      </c>
      <c r="C65" s="21" t="str">
        <f t="shared" si="19"/>
        <v/>
      </c>
      <c r="D65" s="33" t="str">
        <f t="shared" si="20"/>
        <v/>
      </c>
      <c r="E65" s="33" t="str">
        <f t="shared" si="21"/>
        <v/>
      </c>
      <c r="F65" s="33" t="str">
        <f t="shared" si="22"/>
        <v/>
      </c>
      <c r="G65" s="33" t="str">
        <f t="shared" si="23"/>
        <v/>
      </c>
      <c r="H65" s="33" t="str">
        <f t="shared" si="24"/>
        <v/>
      </c>
      <c r="I65" s="33" t="str">
        <f t="shared" si="25"/>
        <v/>
      </c>
      <c r="J65" s="33" t="str">
        <f t="shared" si="26"/>
        <v/>
      </c>
      <c r="K65" s="33" t="str">
        <f t="shared" si="27"/>
        <v/>
      </c>
      <c r="L65" s="33" t="str">
        <f t="shared" si="28"/>
        <v/>
      </c>
      <c r="M65" s="33" t="str">
        <f t="shared" si="29"/>
        <v/>
      </c>
      <c r="N65" s="33" t="str">
        <f t="shared" si="30"/>
        <v/>
      </c>
      <c r="O65" s="33" t="str">
        <f t="shared" si="31"/>
        <v/>
      </c>
      <c r="P65" s="33" t="str">
        <f t="shared" si="32"/>
        <v/>
      </c>
      <c r="Q65" s="33" t="str">
        <f t="shared" si="33"/>
        <v/>
      </c>
      <c r="R65" s="33" t="str">
        <f t="shared" si="34"/>
        <v/>
      </c>
      <c r="S65" s="34" t="str">
        <f t="shared" si="35"/>
        <v/>
      </c>
    </row>
    <row r="66" spans="1:19" ht="37.5">
      <c r="A66" s="20">
        <f ca="1">IFERROR(__xludf.DUMMYFUNCTION("""COMPUTED_VALUE"""),65)</f>
        <v>65</v>
      </c>
      <c r="B66" s="20" t="str">
        <f t="shared" ref="B66:B97" ca="1" si="36">IFERROR(VLOOKUP(A66,DATA_MATRIZ,2,FALSE),"")</f>
        <v>Conversatorio "¿Por qué se necesita el Plan de Desarrollo pa' arreglar el hueco de la esquina?"</v>
      </c>
      <c r="C66" s="21">
        <f t="shared" ref="C66:C97" ca="1" si="37">IFERROR(VLOOKUP(A66,DATA_MATRIZ,3,FALSE),"")</f>
        <v>45356</v>
      </c>
      <c r="D66" s="33">
        <f t="shared" ref="D66:D97" ca="1" si="38">IFERROR(VLOOKUP(A66,DATA_MATRIZ,89,FALSE),"")</f>
        <v>0</v>
      </c>
      <c r="E66" s="33">
        <f t="shared" ref="E66:E97" ca="1" si="39">IFERROR(VLOOKUP(A66,DATA_MATRIZ,90,FALSE),"")</f>
        <v>0</v>
      </c>
      <c r="F66" s="33" t="str">
        <f t="shared" ref="F66:F97" ca="1" si="40">IFERROR(VLOOKUP(A66,DATA_MATRIZ,96,FALSE),"")</f>
        <v>No aplica</v>
      </c>
      <c r="G66" s="33">
        <f t="shared" ref="G66:G97" ca="1" si="41">IFERROR(VLOOKUP(A66,DATA_MATRIZ,91,FALSE),"")</f>
        <v>0</v>
      </c>
      <c r="H66" s="33" t="str">
        <f t="shared" ref="H66:H97" ca="1" si="42">IFERROR(VLOOKUP(A66,DATA_MATRIZ,97,FALSE),"")</f>
        <v>No aplica</v>
      </c>
      <c r="I66" s="33">
        <f t="shared" ref="I66:I97" ca="1" si="43">IFERROR(VLOOKUP(A66,DATA_MATRIZ,92,FALSE),"")</f>
        <v>0</v>
      </c>
      <c r="J66" s="33" t="str">
        <f t="shared" ref="J66:J97" ca="1" si="44">IFERROR(VLOOKUP(A66,DATA_MATRIZ,98,FALSE),"")</f>
        <v>No aplica</v>
      </c>
      <c r="K66" s="33">
        <f t="shared" ref="K66:K97" ca="1" si="45">IFERROR(VLOOKUP(A66,DATA_MATRIZ,93,FALSE),"")</f>
        <v>0</v>
      </c>
      <c r="L66" s="33" t="str">
        <f t="shared" ref="L66:L97" ca="1" si="46">IFERROR(VLOOKUP(A66,DATA_MATRIZ,99,FALSE),"")</f>
        <v>No aplica</v>
      </c>
      <c r="M66" s="33">
        <f t="shared" ref="M66:M97" ca="1" si="47">IFERROR(VLOOKUP(A66,DATA_MATRIZ,94,FALSE),"")</f>
        <v>0</v>
      </c>
      <c r="N66" s="33" t="str">
        <f t="shared" ref="N66:N97" ca="1" si="48">IFERROR(VLOOKUP(A66,DATA_MATRIZ,100,FALSE),"")</f>
        <v>No aplica</v>
      </c>
      <c r="O66" s="33">
        <f t="shared" ref="O66:O97" ca="1" si="49">IFERROR(VLOOKUP(A66,DATA_MATRIZ,95,FALSE),"")</f>
        <v>0</v>
      </c>
      <c r="P66" s="33" t="str">
        <f t="shared" ref="P66:P97" ca="1" si="50">IFERROR(VLOOKUP(A66,DATA_MATRIZ,101,FALSE),"")</f>
        <v>No aplica</v>
      </c>
      <c r="Q66" s="33">
        <f t="shared" ref="Q66:Q97" ca="1" si="51">IFERROR(VLOOKUP(A66,DATA_MATRIZ,103,FALSE),"")</f>
        <v>0</v>
      </c>
      <c r="R66" s="33">
        <f t="shared" ref="R66:R97" ca="1" si="52">IFERROR(VLOOKUP(A66,DATA_MATRIZ,105,FALSE),"")</f>
        <v>0</v>
      </c>
      <c r="S66" s="34" t="str">
        <f t="shared" ref="S66:S97" ca="1" si="53">IFERROR(VLOOKUP(A66,DATA_MATRIZ,106,FALSE),"")</f>
        <v/>
      </c>
    </row>
    <row r="67" spans="1:19" ht="14.25">
      <c r="A67" s="20"/>
      <c r="B67" s="20" t="str">
        <f t="shared" si="36"/>
        <v/>
      </c>
      <c r="C67" s="21" t="str">
        <f t="shared" si="37"/>
        <v/>
      </c>
      <c r="D67" s="33" t="str">
        <f t="shared" si="38"/>
        <v/>
      </c>
      <c r="E67" s="33" t="str">
        <f t="shared" si="39"/>
        <v/>
      </c>
      <c r="F67" s="33" t="str">
        <f t="shared" si="40"/>
        <v/>
      </c>
      <c r="G67" s="33" t="str">
        <f t="shared" si="41"/>
        <v/>
      </c>
      <c r="H67" s="33" t="str">
        <f t="shared" si="42"/>
        <v/>
      </c>
      <c r="I67" s="33" t="str">
        <f t="shared" si="43"/>
        <v/>
      </c>
      <c r="J67" s="33" t="str">
        <f t="shared" si="44"/>
        <v/>
      </c>
      <c r="K67" s="33" t="str">
        <f t="shared" si="45"/>
        <v/>
      </c>
      <c r="L67" s="33" t="str">
        <f t="shared" si="46"/>
        <v/>
      </c>
      <c r="M67" s="33" t="str">
        <f t="shared" si="47"/>
        <v/>
      </c>
      <c r="N67" s="33" t="str">
        <f t="shared" si="48"/>
        <v/>
      </c>
      <c r="O67" s="33" t="str">
        <f t="shared" si="49"/>
        <v/>
      </c>
      <c r="P67" s="33" t="str">
        <f t="shared" si="50"/>
        <v/>
      </c>
      <c r="Q67" s="33" t="str">
        <f t="shared" si="51"/>
        <v/>
      </c>
      <c r="R67" s="33" t="str">
        <f t="shared" si="52"/>
        <v/>
      </c>
      <c r="S67" s="34" t="str">
        <f t="shared" si="53"/>
        <v/>
      </c>
    </row>
    <row r="68" spans="1:19" ht="14.25">
      <c r="A68" s="20"/>
      <c r="B68" s="20" t="str">
        <f t="shared" si="36"/>
        <v/>
      </c>
      <c r="C68" s="21" t="str">
        <f t="shared" si="37"/>
        <v/>
      </c>
      <c r="D68" s="33" t="str">
        <f t="shared" si="38"/>
        <v/>
      </c>
      <c r="E68" s="33" t="str">
        <f t="shared" si="39"/>
        <v/>
      </c>
      <c r="F68" s="33" t="str">
        <f t="shared" si="40"/>
        <v/>
      </c>
      <c r="G68" s="33" t="str">
        <f t="shared" si="41"/>
        <v/>
      </c>
      <c r="H68" s="33" t="str">
        <f t="shared" si="42"/>
        <v/>
      </c>
      <c r="I68" s="33" t="str">
        <f t="shared" si="43"/>
        <v/>
      </c>
      <c r="J68" s="33" t="str">
        <f t="shared" si="44"/>
        <v/>
      </c>
      <c r="K68" s="33" t="str">
        <f t="shared" si="45"/>
        <v/>
      </c>
      <c r="L68" s="33" t="str">
        <f t="shared" si="46"/>
        <v/>
      </c>
      <c r="M68" s="33" t="str">
        <f t="shared" si="47"/>
        <v/>
      </c>
      <c r="N68" s="33" t="str">
        <f t="shared" si="48"/>
        <v/>
      </c>
      <c r="O68" s="33" t="str">
        <f t="shared" si="49"/>
        <v/>
      </c>
      <c r="P68" s="33" t="str">
        <f t="shared" si="50"/>
        <v/>
      </c>
      <c r="Q68" s="33" t="str">
        <f t="shared" si="51"/>
        <v/>
      </c>
      <c r="R68" s="33" t="str">
        <f t="shared" si="52"/>
        <v/>
      </c>
      <c r="S68" s="34" t="str">
        <f t="shared" si="53"/>
        <v/>
      </c>
    </row>
    <row r="69" spans="1:19" ht="37.5">
      <c r="A69" s="20">
        <f ca="1">IFERROR(__xludf.DUMMYFUNCTION("""COMPUTED_VALUE"""),68)</f>
        <v>68</v>
      </c>
      <c r="B69" s="20" t="str">
        <f t="shared" ca="1" si="36"/>
        <v>Tercer foro virtual con Servidores Públicos para la formulación del PDD - DASCD/SDP</v>
      </c>
      <c r="C69" s="21">
        <f t="shared" ca="1" si="37"/>
        <v>45357</v>
      </c>
      <c r="D69" s="33">
        <f t="shared" ca="1" si="38"/>
        <v>0</v>
      </c>
      <c r="E69" s="33">
        <f t="shared" ca="1" si="39"/>
        <v>0</v>
      </c>
      <c r="F69" s="33" t="str">
        <f t="shared" ca="1" si="40"/>
        <v>No aplica</v>
      </c>
      <c r="G69" s="33">
        <f t="shared" ca="1" si="41"/>
        <v>0</v>
      </c>
      <c r="H69" s="33" t="str">
        <f t="shared" ca="1" si="42"/>
        <v>No aplica</v>
      </c>
      <c r="I69" s="33">
        <f t="shared" ca="1" si="43"/>
        <v>0</v>
      </c>
      <c r="J69" s="33" t="str">
        <f t="shared" ca="1" si="44"/>
        <v>No aplica</v>
      </c>
      <c r="K69" s="33">
        <f t="shared" ca="1" si="45"/>
        <v>0</v>
      </c>
      <c r="L69" s="33" t="str">
        <f t="shared" ca="1" si="46"/>
        <v>No aplica</v>
      </c>
      <c r="M69" s="33">
        <f t="shared" ca="1" si="47"/>
        <v>0</v>
      </c>
      <c r="N69" s="33" t="str">
        <f t="shared" ca="1" si="48"/>
        <v>No aplica</v>
      </c>
      <c r="O69" s="33">
        <f t="shared" ca="1" si="49"/>
        <v>0</v>
      </c>
      <c r="P69" s="33" t="str">
        <f t="shared" ca="1" si="50"/>
        <v>No aplica</v>
      </c>
      <c r="Q69" s="33">
        <f t="shared" ca="1" si="51"/>
        <v>0</v>
      </c>
      <c r="R69" s="33">
        <f t="shared" ca="1" si="52"/>
        <v>0</v>
      </c>
      <c r="S69" s="34" t="str">
        <f t="shared" ca="1" si="53"/>
        <v/>
      </c>
    </row>
    <row r="70" spans="1:19" ht="13.5">
      <c r="A70" s="20">
        <f ca="1">IFERROR(__xludf.DUMMYFUNCTION("""COMPUTED_VALUE"""),69)</f>
        <v>69</v>
      </c>
      <c r="B70" s="20" t="str">
        <f t="shared" ca="1" si="36"/>
        <v>CLIP Rafael Uribe Uribe</v>
      </c>
      <c r="C70" s="21">
        <f t="shared" ca="1" si="37"/>
        <v>45357</v>
      </c>
      <c r="D70" s="33">
        <f t="shared" ca="1" si="38"/>
        <v>0</v>
      </c>
      <c r="E70" s="33">
        <f t="shared" ca="1" si="39"/>
        <v>0</v>
      </c>
      <c r="F70" s="33" t="str">
        <f t="shared" ca="1" si="40"/>
        <v>No aplica</v>
      </c>
      <c r="G70" s="33">
        <f t="shared" ca="1" si="41"/>
        <v>0</v>
      </c>
      <c r="H70" s="33" t="str">
        <f t="shared" ca="1" si="42"/>
        <v>No aplica</v>
      </c>
      <c r="I70" s="33">
        <f t="shared" ca="1" si="43"/>
        <v>0</v>
      </c>
      <c r="J70" s="33" t="str">
        <f t="shared" ca="1" si="44"/>
        <v>No aplica</v>
      </c>
      <c r="K70" s="33">
        <f t="shared" ca="1" si="45"/>
        <v>0</v>
      </c>
      <c r="L70" s="33" t="str">
        <f t="shared" ca="1" si="46"/>
        <v>No aplica</v>
      </c>
      <c r="M70" s="33">
        <f t="shared" ca="1" si="47"/>
        <v>0</v>
      </c>
      <c r="N70" s="33" t="str">
        <f t="shared" ca="1" si="48"/>
        <v>No aplica</v>
      </c>
      <c r="O70" s="33">
        <f t="shared" ca="1" si="49"/>
        <v>0</v>
      </c>
      <c r="P70" s="33" t="str">
        <f t="shared" ca="1" si="50"/>
        <v>No aplica</v>
      </c>
      <c r="Q70" s="33">
        <f t="shared" ca="1" si="51"/>
        <v>0</v>
      </c>
      <c r="R70" s="33">
        <f t="shared" ca="1" si="52"/>
        <v>0</v>
      </c>
      <c r="S70" s="34" t="str">
        <f t="shared" ca="1" si="53"/>
        <v/>
      </c>
    </row>
    <row r="71" spans="1:19" ht="37.5">
      <c r="A71" s="20">
        <f ca="1">IFERROR(__xludf.DUMMYFUNCTION("""COMPUTED_VALUE"""),70)</f>
        <v>70</v>
      </c>
      <c r="B71" s="20" t="str">
        <f t="shared" ca="1" si="36"/>
        <v>Dialogo Ciudadano para la Construcción del PDD - UPL Bosa</v>
      </c>
      <c r="C71" s="21">
        <f t="shared" ca="1" si="37"/>
        <v>45357</v>
      </c>
      <c r="D71" s="33">
        <f t="shared" ca="1" si="38"/>
        <v>1</v>
      </c>
      <c r="E71" s="33" t="str">
        <f t="shared" ca="1" si="39"/>
        <v>Envío de memorias del espacio.</v>
      </c>
      <c r="F71" s="33" t="str">
        <f t="shared" ca="1" si="40"/>
        <v>Realizado y Devuelto a la Ciudadanía</v>
      </c>
      <c r="G71" s="33">
        <f t="shared" ca="1" si="41"/>
        <v>0</v>
      </c>
      <c r="H71" s="33" t="str">
        <f t="shared" ca="1" si="42"/>
        <v>No aplica</v>
      </c>
      <c r="I71" s="33">
        <f t="shared" ca="1" si="43"/>
        <v>0</v>
      </c>
      <c r="J71" s="33" t="str">
        <f t="shared" ca="1" si="44"/>
        <v>No aplica</v>
      </c>
      <c r="K71" s="33">
        <f t="shared" ca="1" si="45"/>
        <v>0</v>
      </c>
      <c r="L71" s="33" t="str">
        <f t="shared" ca="1" si="46"/>
        <v>No aplica</v>
      </c>
      <c r="M71" s="33">
        <f t="shared" ca="1" si="47"/>
        <v>0</v>
      </c>
      <c r="N71" s="33" t="str">
        <f t="shared" ca="1" si="48"/>
        <v>No aplica</v>
      </c>
      <c r="O71" s="33">
        <f t="shared" ca="1" si="49"/>
        <v>0</v>
      </c>
      <c r="P71" s="33" t="str">
        <f t="shared" ca="1" si="50"/>
        <v>No aplica</v>
      </c>
      <c r="Q71" s="33">
        <f t="shared" ca="1" si="51"/>
        <v>1</v>
      </c>
      <c r="R71" s="33">
        <f t="shared" ca="1" si="52"/>
        <v>1</v>
      </c>
      <c r="S71" s="34">
        <f t="shared" ca="1" si="53"/>
        <v>1</v>
      </c>
    </row>
    <row r="72" spans="1:19" ht="14.25">
      <c r="A72" s="20"/>
      <c r="B72" s="20" t="str">
        <f t="shared" si="36"/>
        <v/>
      </c>
      <c r="C72" s="21" t="str">
        <f t="shared" si="37"/>
        <v/>
      </c>
      <c r="D72" s="33" t="str">
        <f t="shared" si="38"/>
        <v/>
      </c>
      <c r="E72" s="33" t="str">
        <f t="shared" si="39"/>
        <v/>
      </c>
      <c r="F72" s="33" t="str">
        <f t="shared" si="40"/>
        <v/>
      </c>
      <c r="G72" s="33" t="str">
        <f t="shared" si="41"/>
        <v/>
      </c>
      <c r="H72" s="33" t="str">
        <f t="shared" si="42"/>
        <v/>
      </c>
      <c r="I72" s="33" t="str">
        <f t="shared" si="43"/>
        <v/>
      </c>
      <c r="J72" s="33" t="str">
        <f t="shared" si="44"/>
        <v/>
      </c>
      <c r="K72" s="33" t="str">
        <f t="shared" si="45"/>
        <v/>
      </c>
      <c r="L72" s="33" t="str">
        <f t="shared" si="46"/>
        <v/>
      </c>
      <c r="M72" s="33" t="str">
        <f t="shared" si="47"/>
        <v/>
      </c>
      <c r="N72" s="33" t="str">
        <f t="shared" si="48"/>
        <v/>
      </c>
      <c r="O72" s="33" t="str">
        <f t="shared" si="49"/>
        <v/>
      </c>
      <c r="P72" s="33" t="str">
        <f t="shared" si="50"/>
        <v/>
      </c>
      <c r="Q72" s="33" t="str">
        <f t="shared" si="51"/>
        <v/>
      </c>
      <c r="R72" s="33" t="str">
        <f t="shared" si="52"/>
        <v/>
      </c>
      <c r="S72" s="34" t="str">
        <f t="shared" si="53"/>
        <v/>
      </c>
    </row>
    <row r="73" spans="1:19" ht="25.5">
      <c r="A73" s="20">
        <f ca="1">IFERROR(__xludf.DUMMYFUNCTION("""COMPUTED_VALUE"""),72)</f>
        <v>72</v>
      </c>
      <c r="B73" s="20" t="str">
        <f t="shared" ca="1" si="36"/>
        <v>Comité Coordinador Intersectorial de Participación PDD</v>
      </c>
      <c r="C73" s="21">
        <f t="shared" ca="1" si="37"/>
        <v>45358</v>
      </c>
      <c r="D73" s="33">
        <f t="shared" ca="1" si="38"/>
        <v>0</v>
      </c>
      <c r="E73" s="33">
        <f t="shared" ca="1" si="39"/>
        <v>0</v>
      </c>
      <c r="F73" s="33" t="str">
        <f t="shared" ca="1" si="40"/>
        <v>No aplica</v>
      </c>
      <c r="G73" s="33">
        <f t="shared" ca="1" si="41"/>
        <v>0</v>
      </c>
      <c r="H73" s="33" t="str">
        <f t="shared" ca="1" si="42"/>
        <v>No aplica</v>
      </c>
      <c r="I73" s="33">
        <f t="shared" ca="1" si="43"/>
        <v>0</v>
      </c>
      <c r="J73" s="33" t="str">
        <f t="shared" ca="1" si="44"/>
        <v>No aplica</v>
      </c>
      <c r="K73" s="33">
        <f t="shared" ca="1" si="45"/>
        <v>0</v>
      </c>
      <c r="L73" s="33" t="str">
        <f t="shared" ca="1" si="46"/>
        <v>No aplica</v>
      </c>
      <c r="M73" s="33">
        <f t="shared" ca="1" si="47"/>
        <v>0</v>
      </c>
      <c r="N73" s="33" t="str">
        <f t="shared" ca="1" si="48"/>
        <v>No aplica</v>
      </c>
      <c r="O73" s="33">
        <f t="shared" ca="1" si="49"/>
        <v>0</v>
      </c>
      <c r="P73" s="33" t="str">
        <f t="shared" ca="1" si="50"/>
        <v>No aplica</v>
      </c>
      <c r="Q73" s="33">
        <f t="shared" ca="1" si="51"/>
        <v>0</v>
      </c>
      <c r="R73" s="33">
        <f t="shared" ca="1" si="52"/>
        <v>0</v>
      </c>
      <c r="S73" s="34" t="str">
        <f t="shared" ca="1" si="53"/>
        <v/>
      </c>
    </row>
    <row r="74" spans="1:19" ht="13.5">
      <c r="A74" s="20">
        <f ca="1">IFERROR(__xludf.DUMMYFUNCTION("""COMPUTED_VALUE"""),73)</f>
        <v>73</v>
      </c>
      <c r="B74" s="20" t="str">
        <f t="shared" ca="1" si="36"/>
        <v>CLIP La Candelaria</v>
      </c>
      <c r="C74" s="21">
        <f t="shared" ca="1" si="37"/>
        <v>45358</v>
      </c>
      <c r="D74" s="33">
        <f t="shared" ca="1" si="38"/>
        <v>0</v>
      </c>
      <c r="E74" s="33">
        <f t="shared" ca="1" si="39"/>
        <v>0</v>
      </c>
      <c r="F74" s="33" t="str">
        <f t="shared" ca="1" si="40"/>
        <v>No aplica</v>
      </c>
      <c r="G74" s="33">
        <f t="shared" ca="1" si="41"/>
        <v>0</v>
      </c>
      <c r="H74" s="33" t="str">
        <f t="shared" ca="1" si="42"/>
        <v>No aplica</v>
      </c>
      <c r="I74" s="33">
        <f t="shared" ca="1" si="43"/>
        <v>0</v>
      </c>
      <c r="J74" s="33" t="str">
        <f t="shared" ca="1" si="44"/>
        <v>No aplica</v>
      </c>
      <c r="K74" s="33">
        <f t="shared" ca="1" si="45"/>
        <v>0</v>
      </c>
      <c r="L74" s="33" t="str">
        <f t="shared" ca="1" si="46"/>
        <v>No aplica</v>
      </c>
      <c r="M74" s="33">
        <f t="shared" ca="1" si="47"/>
        <v>0</v>
      </c>
      <c r="N74" s="33" t="str">
        <f t="shared" ca="1" si="48"/>
        <v>No aplica</v>
      </c>
      <c r="O74" s="33">
        <f t="shared" ca="1" si="49"/>
        <v>0</v>
      </c>
      <c r="P74" s="33" t="str">
        <f t="shared" ca="1" si="50"/>
        <v>No aplica</v>
      </c>
      <c r="Q74" s="33">
        <f t="shared" ca="1" si="51"/>
        <v>0</v>
      </c>
      <c r="R74" s="33">
        <f t="shared" ca="1" si="52"/>
        <v>0</v>
      </c>
      <c r="S74" s="34" t="str">
        <f t="shared" ca="1" si="53"/>
        <v/>
      </c>
    </row>
    <row r="75" spans="1:19" ht="37.5">
      <c r="A75" s="20">
        <f ca="1">IFERROR(__xludf.DUMMYFUNCTION("""COMPUTED_VALUE"""),74)</f>
        <v>74</v>
      </c>
      <c r="B75" s="20" t="str">
        <f t="shared" ca="1" si="36"/>
        <v>Cuarto foro virtual con Servidores Públicos para la formulación del PDD - DASCD/SDP</v>
      </c>
      <c r="C75" s="21">
        <f t="shared" ca="1" si="37"/>
        <v>45358</v>
      </c>
      <c r="D75" s="33">
        <f t="shared" ca="1" si="38"/>
        <v>0</v>
      </c>
      <c r="E75" s="33">
        <f t="shared" ca="1" si="39"/>
        <v>0</v>
      </c>
      <c r="F75" s="33" t="str">
        <f t="shared" ca="1" si="40"/>
        <v>No aplica</v>
      </c>
      <c r="G75" s="33">
        <f t="shared" ca="1" si="41"/>
        <v>0</v>
      </c>
      <c r="H75" s="33" t="str">
        <f t="shared" ca="1" si="42"/>
        <v>No aplica</v>
      </c>
      <c r="I75" s="33">
        <f t="shared" ca="1" si="43"/>
        <v>0</v>
      </c>
      <c r="J75" s="33" t="str">
        <f t="shared" ca="1" si="44"/>
        <v>No aplica</v>
      </c>
      <c r="K75" s="33">
        <f t="shared" ca="1" si="45"/>
        <v>0</v>
      </c>
      <c r="L75" s="33" t="str">
        <f t="shared" ca="1" si="46"/>
        <v>No aplica</v>
      </c>
      <c r="M75" s="33">
        <f t="shared" ca="1" si="47"/>
        <v>0</v>
      </c>
      <c r="N75" s="33" t="str">
        <f t="shared" ca="1" si="48"/>
        <v>No aplica</v>
      </c>
      <c r="O75" s="33">
        <f t="shared" ca="1" si="49"/>
        <v>0</v>
      </c>
      <c r="P75" s="33" t="str">
        <f t="shared" ca="1" si="50"/>
        <v>No aplica</v>
      </c>
      <c r="Q75" s="33">
        <f t="shared" ca="1" si="51"/>
        <v>0</v>
      </c>
      <c r="R75" s="33">
        <f t="shared" ca="1" si="52"/>
        <v>0</v>
      </c>
      <c r="S75" s="34" t="str">
        <f t="shared" ca="1" si="53"/>
        <v/>
      </c>
    </row>
    <row r="76" spans="1:19" ht="25.5">
      <c r="A76" s="20">
        <f ca="1">IFERROR(__xludf.DUMMYFUNCTION("""COMPUTED_VALUE"""),75)</f>
        <v>75</v>
      </c>
      <c r="B76" s="20" t="str">
        <f t="shared" ca="1" si="36"/>
        <v>Socialización estrategia PDD - Consejo Distrital de Sabios y Sabias</v>
      </c>
      <c r="C76" s="21">
        <f t="shared" ca="1" si="37"/>
        <v>45358</v>
      </c>
      <c r="D76" s="33">
        <f t="shared" ca="1" si="38"/>
        <v>0</v>
      </c>
      <c r="E76" s="33">
        <f t="shared" ca="1" si="39"/>
        <v>0</v>
      </c>
      <c r="F76" s="33" t="str">
        <f t="shared" ca="1" si="40"/>
        <v>No aplica</v>
      </c>
      <c r="G76" s="33">
        <f t="shared" ca="1" si="41"/>
        <v>0</v>
      </c>
      <c r="H76" s="33" t="str">
        <f t="shared" ca="1" si="42"/>
        <v>No aplica</v>
      </c>
      <c r="I76" s="33">
        <f t="shared" ca="1" si="43"/>
        <v>0</v>
      </c>
      <c r="J76" s="33" t="str">
        <f t="shared" ca="1" si="44"/>
        <v>No aplica</v>
      </c>
      <c r="K76" s="33">
        <f t="shared" ca="1" si="45"/>
        <v>0</v>
      </c>
      <c r="L76" s="33" t="str">
        <f t="shared" ca="1" si="46"/>
        <v>No aplica</v>
      </c>
      <c r="M76" s="33">
        <f t="shared" ca="1" si="47"/>
        <v>0</v>
      </c>
      <c r="N76" s="33" t="str">
        <f t="shared" ca="1" si="48"/>
        <v>No aplica</v>
      </c>
      <c r="O76" s="33">
        <f t="shared" ca="1" si="49"/>
        <v>0</v>
      </c>
      <c r="P76" s="33" t="str">
        <f t="shared" ca="1" si="50"/>
        <v>No aplica</v>
      </c>
      <c r="Q76" s="33">
        <f t="shared" ca="1" si="51"/>
        <v>0</v>
      </c>
      <c r="R76" s="33">
        <f t="shared" ca="1" si="52"/>
        <v>0</v>
      </c>
      <c r="S76" s="34" t="str">
        <f t="shared" ca="1" si="53"/>
        <v/>
      </c>
    </row>
    <row r="77" spans="1:19" ht="14.25">
      <c r="A77" s="20"/>
      <c r="B77" s="20" t="str">
        <f t="shared" si="36"/>
        <v/>
      </c>
      <c r="C77" s="21" t="str">
        <f t="shared" si="37"/>
        <v/>
      </c>
      <c r="D77" s="33" t="str">
        <f t="shared" si="38"/>
        <v/>
      </c>
      <c r="E77" s="33" t="str">
        <f t="shared" si="39"/>
        <v/>
      </c>
      <c r="F77" s="33" t="str">
        <f t="shared" si="40"/>
        <v/>
      </c>
      <c r="G77" s="33" t="str">
        <f t="shared" si="41"/>
        <v/>
      </c>
      <c r="H77" s="33" t="str">
        <f t="shared" si="42"/>
        <v/>
      </c>
      <c r="I77" s="33" t="str">
        <f t="shared" si="43"/>
        <v/>
      </c>
      <c r="J77" s="33" t="str">
        <f t="shared" si="44"/>
        <v/>
      </c>
      <c r="K77" s="33" t="str">
        <f t="shared" si="45"/>
        <v/>
      </c>
      <c r="L77" s="33" t="str">
        <f t="shared" si="46"/>
        <v/>
      </c>
      <c r="M77" s="33" t="str">
        <f t="shared" si="47"/>
        <v/>
      </c>
      <c r="N77" s="33" t="str">
        <f t="shared" si="48"/>
        <v/>
      </c>
      <c r="O77" s="33" t="str">
        <f t="shared" si="49"/>
        <v/>
      </c>
      <c r="P77" s="33" t="str">
        <f t="shared" si="50"/>
        <v/>
      </c>
      <c r="Q77" s="33" t="str">
        <f t="shared" si="51"/>
        <v/>
      </c>
      <c r="R77" s="33" t="str">
        <f t="shared" si="52"/>
        <v/>
      </c>
      <c r="S77" s="34" t="str">
        <f t="shared" si="53"/>
        <v/>
      </c>
    </row>
    <row r="78" spans="1:19" ht="14.25">
      <c r="A78" s="20"/>
      <c r="B78" s="20" t="str">
        <f t="shared" si="36"/>
        <v/>
      </c>
      <c r="C78" s="21" t="str">
        <f t="shared" si="37"/>
        <v/>
      </c>
      <c r="D78" s="33" t="str">
        <f t="shared" si="38"/>
        <v/>
      </c>
      <c r="E78" s="33" t="str">
        <f t="shared" si="39"/>
        <v/>
      </c>
      <c r="F78" s="33" t="str">
        <f t="shared" si="40"/>
        <v/>
      </c>
      <c r="G78" s="33" t="str">
        <f t="shared" si="41"/>
        <v/>
      </c>
      <c r="H78" s="33" t="str">
        <f t="shared" si="42"/>
        <v/>
      </c>
      <c r="I78" s="33" t="str">
        <f t="shared" si="43"/>
        <v/>
      </c>
      <c r="J78" s="33" t="str">
        <f t="shared" si="44"/>
        <v/>
      </c>
      <c r="K78" s="33" t="str">
        <f t="shared" si="45"/>
        <v/>
      </c>
      <c r="L78" s="33" t="str">
        <f t="shared" si="46"/>
        <v/>
      </c>
      <c r="M78" s="33" t="str">
        <f t="shared" si="47"/>
        <v/>
      </c>
      <c r="N78" s="33" t="str">
        <f t="shared" si="48"/>
        <v/>
      </c>
      <c r="O78" s="33" t="str">
        <f t="shared" si="49"/>
        <v/>
      </c>
      <c r="P78" s="33" t="str">
        <f t="shared" si="50"/>
        <v/>
      </c>
      <c r="Q78" s="33" t="str">
        <f t="shared" si="51"/>
        <v/>
      </c>
      <c r="R78" s="33" t="str">
        <f t="shared" si="52"/>
        <v/>
      </c>
      <c r="S78" s="34" t="str">
        <f t="shared" si="53"/>
        <v/>
      </c>
    </row>
    <row r="79" spans="1:19" ht="25.5">
      <c r="A79" s="20">
        <f ca="1">IFERROR(__xludf.DUMMYFUNCTION("""COMPUTED_VALUE"""),78)</f>
        <v>78</v>
      </c>
      <c r="B79" s="20" t="str">
        <f t="shared" ca="1" si="36"/>
        <v>Reunión de aclaración - Vacancias Víctimas CTPD</v>
      </c>
      <c r="C79" s="21">
        <f t="shared" ca="1" si="37"/>
        <v>45358</v>
      </c>
      <c r="D79" s="33">
        <f t="shared" ca="1" si="38"/>
        <v>0</v>
      </c>
      <c r="E79" s="33">
        <f t="shared" ca="1" si="39"/>
        <v>0</v>
      </c>
      <c r="F79" s="33" t="str">
        <f t="shared" ca="1" si="40"/>
        <v>No aplica</v>
      </c>
      <c r="G79" s="33">
        <f t="shared" ca="1" si="41"/>
        <v>0</v>
      </c>
      <c r="H79" s="33" t="str">
        <f t="shared" ca="1" si="42"/>
        <v>No aplica</v>
      </c>
      <c r="I79" s="33">
        <f t="shared" ca="1" si="43"/>
        <v>0</v>
      </c>
      <c r="J79" s="33" t="str">
        <f t="shared" ca="1" si="44"/>
        <v>No aplica</v>
      </c>
      <c r="K79" s="33">
        <f t="shared" ca="1" si="45"/>
        <v>0</v>
      </c>
      <c r="L79" s="33" t="str">
        <f t="shared" ca="1" si="46"/>
        <v>No aplica</v>
      </c>
      <c r="M79" s="33">
        <f t="shared" ca="1" si="47"/>
        <v>0</v>
      </c>
      <c r="N79" s="33" t="str">
        <f t="shared" ca="1" si="48"/>
        <v>No aplica</v>
      </c>
      <c r="O79" s="33">
        <f t="shared" ca="1" si="49"/>
        <v>0</v>
      </c>
      <c r="P79" s="33" t="str">
        <f t="shared" ca="1" si="50"/>
        <v>No aplica</v>
      </c>
      <c r="Q79" s="33">
        <f t="shared" ca="1" si="51"/>
        <v>0</v>
      </c>
      <c r="R79" s="33">
        <f t="shared" ca="1" si="52"/>
        <v>0</v>
      </c>
      <c r="S79" s="34" t="str">
        <f t="shared" ca="1" si="53"/>
        <v/>
      </c>
    </row>
    <row r="80" spans="1:19" ht="13.5">
      <c r="A80" s="20">
        <f ca="1">IFERROR(__xludf.DUMMYFUNCTION("""COMPUTED_VALUE"""),79)</f>
        <v>79</v>
      </c>
      <c r="B80" s="20" t="str">
        <f t="shared" ca="1" si="36"/>
        <v>CLIP San Cristóbal</v>
      </c>
      <c r="C80" s="21">
        <f t="shared" ca="1" si="37"/>
        <v>45358</v>
      </c>
      <c r="D80" s="33">
        <f t="shared" ca="1" si="38"/>
        <v>0</v>
      </c>
      <c r="E80" s="33">
        <f t="shared" ca="1" si="39"/>
        <v>0</v>
      </c>
      <c r="F80" s="33" t="str">
        <f t="shared" ca="1" si="40"/>
        <v>No aplica</v>
      </c>
      <c r="G80" s="33">
        <f t="shared" ca="1" si="41"/>
        <v>0</v>
      </c>
      <c r="H80" s="33" t="str">
        <f t="shared" ca="1" si="42"/>
        <v>No aplica</v>
      </c>
      <c r="I80" s="33">
        <f t="shared" ca="1" si="43"/>
        <v>0</v>
      </c>
      <c r="J80" s="33" t="str">
        <f t="shared" ca="1" si="44"/>
        <v>No aplica</v>
      </c>
      <c r="K80" s="33">
        <f t="shared" ca="1" si="45"/>
        <v>0</v>
      </c>
      <c r="L80" s="33" t="str">
        <f t="shared" ca="1" si="46"/>
        <v>No aplica</v>
      </c>
      <c r="M80" s="33">
        <f t="shared" ca="1" si="47"/>
        <v>0</v>
      </c>
      <c r="N80" s="33" t="str">
        <f t="shared" ca="1" si="48"/>
        <v>No aplica</v>
      </c>
      <c r="O80" s="33">
        <f t="shared" ca="1" si="49"/>
        <v>0</v>
      </c>
      <c r="P80" s="33" t="str">
        <f t="shared" ca="1" si="50"/>
        <v>No aplica</v>
      </c>
      <c r="Q80" s="33">
        <f t="shared" ca="1" si="51"/>
        <v>0</v>
      </c>
      <c r="R80" s="33">
        <f t="shared" ca="1" si="52"/>
        <v>0</v>
      </c>
      <c r="S80" s="34" t="str">
        <f t="shared" ca="1" si="53"/>
        <v/>
      </c>
    </row>
    <row r="81" spans="1:19" ht="13.5">
      <c r="A81" s="20">
        <f ca="1">IFERROR(__xludf.DUMMYFUNCTION("""COMPUTED_VALUE"""),80)</f>
        <v>80</v>
      </c>
      <c r="B81" s="20" t="str">
        <f t="shared" ca="1" si="36"/>
        <v>CLIP Usaquén</v>
      </c>
      <c r="C81" s="21">
        <f t="shared" ca="1" si="37"/>
        <v>45358</v>
      </c>
      <c r="D81" s="33">
        <f t="shared" ca="1" si="38"/>
        <v>0</v>
      </c>
      <c r="E81" s="33">
        <f t="shared" ca="1" si="39"/>
        <v>0</v>
      </c>
      <c r="F81" s="33" t="str">
        <f t="shared" ca="1" si="40"/>
        <v>No aplica</v>
      </c>
      <c r="G81" s="33">
        <f t="shared" ca="1" si="41"/>
        <v>0</v>
      </c>
      <c r="H81" s="33" t="str">
        <f t="shared" ca="1" si="42"/>
        <v>No aplica</v>
      </c>
      <c r="I81" s="33">
        <f t="shared" ca="1" si="43"/>
        <v>0</v>
      </c>
      <c r="J81" s="33" t="str">
        <f t="shared" ca="1" si="44"/>
        <v>No aplica</v>
      </c>
      <c r="K81" s="33">
        <f t="shared" ca="1" si="45"/>
        <v>0</v>
      </c>
      <c r="L81" s="33" t="str">
        <f t="shared" ca="1" si="46"/>
        <v>No aplica</v>
      </c>
      <c r="M81" s="33">
        <f t="shared" ca="1" si="47"/>
        <v>0</v>
      </c>
      <c r="N81" s="33" t="str">
        <f t="shared" ca="1" si="48"/>
        <v>No aplica</v>
      </c>
      <c r="O81" s="33">
        <f t="shared" ca="1" si="49"/>
        <v>0</v>
      </c>
      <c r="P81" s="33" t="str">
        <f t="shared" ca="1" si="50"/>
        <v>No aplica</v>
      </c>
      <c r="Q81" s="33">
        <f t="shared" ca="1" si="51"/>
        <v>0</v>
      </c>
      <c r="R81" s="33">
        <f t="shared" ca="1" si="52"/>
        <v>0</v>
      </c>
      <c r="S81" s="34" t="str">
        <f t="shared" ca="1" si="53"/>
        <v/>
      </c>
    </row>
    <row r="82" spans="1:19" ht="74.25">
      <c r="A82" s="20">
        <f ca="1">IFERROR(__xludf.DUMMYFUNCTION("""COMPUTED_VALUE"""),81)</f>
        <v>81</v>
      </c>
      <c r="B82" s="20" t="str">
        <f t="shared" ca="1" si="36"/>
        <v>Coordinación proceso de participación - ASOBARES</v>
      </c>
      <c r="C82" s="21">
        <f t="shared" ca="1" si="37"/>
        <v>45358</v>
      </c>
      <c r="D82" s="33">
        <f t="shared" ca="1" si="38"/>
        <v>1</v>
      </c>
      <c r="E82" s="33" t="str">
        <f t="shared" ca="1" si="39"/>
        <v>Enviar pieza gráfica para remitir a los asociados en aras de mover la pieza con las y los asociados para promover la participación en Chatic</v>
      </c>
      <c r="F82" s="33" t="str">
        <f t="shared" ca="1" si="40"/>
        <v>Realizado y Devuelto a la Ciudadanía</v>
      </c>
      <c r="G82" s="33">
        <f t="shared" ca="1" si="41"/>
        <v>0</v>
      </c>
      <c r="H82" s="33" t="str">
        <f t="shared" ca="1" si="42"/>
        <v>No aplica</v>
      </c>
      <c r="I82" s="33">
        <f t="shared" ca="1" si="43"/>
        <v>0</v>
      </c>
      <c r="J82" s="33" t="str">
        <f t="shared" ca="1" si="44"/>
        <v>No aplica</v>
      </c>
      <c r="K82" s="33">
        <f t="shared" ca="1" si="45"/>
        <v>0</v>
      </c>
      <c r="L82" s="33" t="str">
        <f t="shared" ca="1" si="46"/>
        <v>No aplica</v>
      </c>
      <c r="M82" s="33">
        <f t="shared" ca="1" si="47"/>
        <v>0</v>
      </c>
      <c r="N82" s="33" t="str">
        <f t="shared" ca="1" si="48"/>
        <v>No aplica</v>
      </c>
      <c r="O82" s="33">
        <f t="shared" ca="1" si="49"/>
        <v>0</v>
      </c>
      <c r="P82" s="33" t="str">
        <f t="shared" ca="1" si="50"/>
        <v>No aplica</v>
      </c>
      <c r="Q82" s="33">
        <f t="shared" ca="1" si="51"/>
        <v>1</v>
      </c>
      <c r="R82" s="33">
        <f t="shared" ca="1" si="52"/>
        <v>1</v>
      </c>
      <c r="S82" s="34">
        <f t="shared" ca="1" si="53"/>
        <v>1</v>
      </c>
    </row>
    <row r="83" spans="1:19" ht="37.5">
      <c r="A83" s="20">
        <f ca="1">IFERROR(__xludf.DUMMYFUNCTION("""COMPUTED_VALUE"""),82)</f>
        <v>82</v>
      </c>
      <c r="B83" s="20" t="str">
        <f t="shared" ca="1" si="36"/>
        <v>Dialogo Ciudadano para la Construcción del PDD - UPL Centro Histórico</v>
      </c>
      <c r="C83" s="21">
        <f t="shared" ca="1" si="37"/>
        <v>45358</v>
      </c>
      <c r="D83" s="33">
        <f t="shared" ca="1" si="38"/>
        <v>1</v>
      </c>
      <c r="E83" s="33" t="str">
        <f t="shared" ca="1" si="39"/>
        <v>Envío de memorias del espacio.</v>
      </c>
      <c r="F83" s="33" t="str">
        <f t="shared" ca="1" si="40"/>
        <v>Realizado y Devuelto a la Ciudadanía</v>
      </c>
      <c r="G83" s="33">
        <f t="shared" ca="1" si="41"/>
        <v>0</v>
      </c>
      <c r="H83" s="33" t="str">
        <f t="shared" ca="1" si="42"/>
        <v>No aplica</v>
      </c>
      <c r="I83" s="33">
        <f t="shared" ca="1" si="43"/>
        <v>0</v>
      </c>
      <c r="J83" s="33" t="str">
        <f t="shared" ca="1" si="44"/>
        <v>No aplica</v>
      </c>
      <c r="K83" s="33">
        <f t="shared" ca="1" si="45"/>
        <v>0</v>
      </c>
      <c r="L83" s="33" t="str">
        <f t="shared" ca="1" si="46"/>
        <v>No aplica</v>
      </c>
      <c r="M83" s="33">
        <f t="shared" ca="1" si="47"/>
        <v>0</v>
      </c>
      <c r="N83" s="33" t="str">
        <f t="shared" ca="1" si="48"/>
        <v>No aplica</v>
      </c>
      <c r="O83" s="33">
        <f t="shared" ca="1" si="49"/>
        <v>0</v>
      </c>
      <c r="P83" s="33" t="str">
        <f t="shared" ca="1" si="50"/>
        <v>No aplica</v>
      </c>
      <c r="Q83" s="33">
        <f t="shared" ca="1" si="51"/>
        <v>1</v>
      </c>
      <c r="R83" s="33">
        <f t="shared" ca="1" si="52"/>
        <v>1</v>
      </c>
      <c r="S83" s="34">
        <f t="shared" ca="1" si="53"/>
        <v>1</v>
      </c>
    </row>
    <row r="84" spans="1:19" ht="14.25">
      <c r="A84" s="20"/>
      <c r="B84" s="20" t="str">
        <f t="shared" si="36"/>
        <v/>
      </c>
      <c r="C84" s="21" t="str">
        <f t="shared" si="37"/>
        <v/>
      </c>
      <c r="D84" s="33" t="str">
        <f t="shared" si="38"/>
        <v/>
      </c>
      <c r="E84" s="33" t="str">
        <f t="shared" si="39"/>
        <v/>
      </c>
      <c r="F84" s="33" t="str">
        <f t="shared" si="40"/>
        <v/>
      </c>
      <c r="G84" s="33" t="str">
        <f t="shared" si="41"/>
        <v/>
      </c>
      <c r="H84" s="33" t="str">
        <f t="shared" si="42"/>
        <v/>
      </c>
      <c r="I84" s="33" t="str">
        <f t="shared" si="43"/>
        <v/>
      </c>
      <c r="J84" s="33" t="str">
        <f t="shared" si="44"/>
        <v/>
      </c>
      <c r="K84" s="33" t="str">
        <f t="shared" si="45"/>
        <v/>
      </c>
      <c r="L84" s="33" t="str">
        <f t="shared" si="46"/>
        <v/>
      </c>
      <c r="M84" s="33" t="str">
        <f t="shared" si="47"/>
        <v/>
      </c>
      <c r="N84" s="33" t="str">
        <f t="shared" si="48"/>
        <v/>
      </c>
      <c r="O84" s="33" t="str">
        <f t="shared" si="49"/>
        <v/>
      </c>
      <c r="P84" s="33" t="str">
        <f t="shared" si="50"/>
        <v/>
      </c>
      <c r="Q84" s="33" t="str">
        <f t="shared" si="51"/>
        <v/>
      </c>
      <c r="R84" s="33" t="str">
        <f t="shared" si="52"/>
        <v/>
      </c>
      <c r="S84" s="34" t="str">
        <f t="shared" si="53"/>
        <v/>
      </c>
    </row>
    <row r="85" spans="1:19" ht="13.5">
      <c r="A85" s="20">
        <f ca="1">IFERROR(__xludf.DUMMYFUNCTION("""COMPUTED_VALUE"""),84)</f>
        <v>84</v>
      </c>
      <c r="B85" s="20" t="str">
        <f t="shared" ca="1" si="36"/>
        <v>Plenaria Permanente - CTPD</v>
      </c>
      <c r="C85" s="21">
        <f t="shared" ca="1" si="37"/>
        <v>45358</v>
      </c>
      <c r="D85" s="33">
        <f t="shared" ca="1" si="38"/>
        <v>0</v>
      </c>
      <c r="E85" s="33">
        <f t="shared" ca="1" si="39"/>
        <v>0</v>
      </c>
      <c r="F85" s="33" t="str">
        <f t="shared" ca="1" si="40"/>
        <v>No aplica</v>
      </c>
      <c r="G85" s="33">
        <f t="shared" ca="1" si="41"/>
        <v>0</v>
      </c>
      <c r="H85" s="33" t="str">
        <f t="shared" ca="1" si="42"/>
        <v>No aplica</v>
      </c>
      <c r="I85" s="33">
        <f t="shared" ca="1" si="43"/>
        <v>0</v>
      </c>
      <c r="J85" s="33" t="str">
        <f t="shared" ca="1" si="44"/>
        <v>No aplica</v>
      </c>
      <c r="K85" s="33">
        <f t="shared" ca="1" si="45"/>
        <v>0</v>
      </c>
      <c r="L85" s="33" t="str">
        <f t="shared" ca="1" si="46"/>
        <v>No aplica</v>
      </c>
      <c r="M85" s="33">
        <f t="shared" ca="1" si="47"/>
        <v>0</v>
      </c>
      <c r="N85" s="33" t="str">
        <f t="shared" ca="1" si="48"/>
        <v>No aplica</v>
      </c>
      <c r="O85" s="33">
        <f t="shared" ca="1" si="49"/>
        <v>0</v>
      </c>
      <c r="P85" s="33" t="str">
        <f t="shared" ca="1" si="50"/>
        <v>No aplica</v>
      </c>
      <c r="Q85" s="33">
        <f t="shared" ca="1" si="51"/>
        <v>0</v>
      </c>
      <c r="R85" s="33">
        <f t="shared" ca="1" si="52"/>
        <v>0</v>
      </c>
      <c r="S85" s="34" t="str">
        <f t="shared" ca="1" si="53"/>
        <v/>
      </c>
    </row>
    <row r="86" spans="1:19" ht="74.25">
      <c r="A86" s="20">
        <f ca="1">IFERROR(__xludf.DUMMYFUNCTION("""COMPUTED_VALUE"""),85)</f>
        <v>85</v>
      </c>
      <c r="B86" s="20" t="str">
        <f t="shared" ca="1" si="36"/>
        <v>Reunión de coordinación - ACODRES</v>
      </c>
      <c r="C86" s="21">
        <f t="shared" ca="1" si="37"/>
        <v>45359</v>
      </c>
      <c r="D86" s="33">
        <f t="shared" ca="1" si="38"/>
        <v>1</v>
      </c>
      <c r="E86" s="33" t="str">
        <f t="shared" ca="1" si="39"/>
        <v>Enviar pieza gráfica para remitir a los asociados en aras de mover la pieza con las y los asociados para promover la participación en Chatico.</v>
      </c>
      <c r="F86" s="33" t="str">
        <f t="shared" ca="1" si="40"/>
        <v>Realizado y Devuelto a la Ciudadanía</v>
      </c>
      <c r="G86" s="33">
        <f t="shared" ca="1" si="41"/>
        <v>0</v>
      </c>
      <c r="H86" s="33" t="str">
        <f t="shared" ca="1" si="42"/>
        <v>No aplica</v>
      </c>
      <c r="I86" s="33">
        <f t="shared" ca="1" si="43"/>
        <v>0</v>
      </c>
      <c r="J86" s="33" t="str">
        <f t="shared" ca="1" si="44"/>
        <v>No aplica</v>
      </c>
      <c r="K86" s="33">
        <f t="shared" ca="1" si="45"/>
        <v>0</v>
      </c>
      <c r="L86" s="33" t="str">
        <f t="shared" ca="1" si="46"/>
        <v>No aplica</v>
      </c>
      <c r="M86" s="33">
        <f t="shared" ca="1" si="47"/>
        <v>0</v>
      </c>
      <c r="N86" s="33" t="str">
        <f t="shared" ca="1" si="48"/>
        <v>No aplica</v>
      </c>
      <c r="O86" s="33">
        <f t="shared" ca="1" si="49"/>
        <v>0</v>
      </c>
      <c r="P86" s="33" t="str">
        <f t="shared" ca="1" si="50"/>
        <v>No aplica</v>
      </c>
      <c r="Q86" s="33">
        <f t="shared" ca="1" si="51"/>
        <v>1</v>
      </c>
      <c r="R86" s="33">
        <f t="shared" ca="1" si="52"/>
        <v>1</v>
      </c>
      <c r="S86" s="34">
        <f t="shared" ca="1" si="53"/>
        <v>1</v>
      </c>
    </row>
    <row r="87" spans="1:19" ht="49.5">
      <c r="A87" s="20">
        <f ca="1">IFERROR(__xludf.DUMMYFUNCTION("""COMPUTED_VALUE"""),86)</f>
        <v>86</v>
      </c>
      <c r="B87" s="20" t="str">
        <f t="shared" ca="1" si="36"/>
        <v>Diálogo Ciudadano Poblacional para la Construcción del PDD - Discapacidad se articula para Caminar Segura por Bogotá</v>
      </c>
      <c r="C87" s="21">
        <f t="shared" ca="1" si="37"/>
        <v>45360</v>
      </c>
      <c r="D87" s="33">
        <f t="shared" ca="1" si="38"/>
        <v>0</v>
      </c>
      <c r="E87" s="33">
        <f t="shared" ca="1" si="39"/>
        <v>0</v>
      </c>
      <c r="F87" s="33" t="str">
        <f t="shared" ca="1" si="40"/>
        <v>No aplica</v>
      </c>
      <c r="G87" s="33">
        <f t="shared" ca="1" si="41"/>
        <v>0</v>
      </c>
      <c r="H87" s="33" t="str">
        <f t="shared" ca="1" si="42"/>
        <v>No aplica</v>
      </c>
      <c r="I87" s="33">
        <f t="shared" ca="1" si="43"/>
        <v>0</v>
      </c>
      <c r="J87" s="33" t="str">
        <f t="shared" ca="1" si="44"/>
        <v>No aplica</v>
      </c>
      <c r="K87" s="33">
        <f t="shared" ca="1" si="45"/>
        <v>0</v>
      </c>
      <c r="L87" s="33" t="str">
        <f t="shared" ca="1" si="46"/>
        <v>No aplica</v>
      </c>
      <c r="M87" s="33">
        <f t="shared" ca="1" si="47"/>
        <v>0</v>
      </c>
      <c r="N87" s="33" t="str">
        <f t="shared" ca="1" si="48"/>
        <v>No aplica</v>
      </c>
      <c r="O87" s="33">
        <f t="shared" ca="1" si="49"/>
        <v>0</v>
      </c>
      <c r="P87" s="33" t="str">
        <f t="shared" ca="1" si="50"/>
        <v>No aplica</v>
      </c>
      <c r="Q87" s="33">
        <f t="shared" ca="1" si="51"/>
        <v>0</v>
      </c>
      <c r="R87" s="33">
        <f t="shared" ca="1" si="52"/>
        <v>0</v>
      </c>
      <c r="S87" s="34" t="str">
        <f t="shared" ca="1" si="53"/>
        <v/>
      </c>
    </row>
    <row r="88" spans="1:19" ht="37.5">
      <c r="A88" s="20">
        <f ca="1">IFERROR(__xludf.DUMMYFUNCTION("""COMPUTED_VALUE"""),87)</f>
        <v>87</v>
      </c>
      <c r="B88" s="20" t="str">
        <f t="shared" ca="1" si="36"/>
        <v>Dialogo Ciudadano para la Construcción del PDD - UPL Niza</v>
      </c>
      <c r="C88" s="21">
        <f t="shared" ca="1" si="37"/>
        <v>45360</v>
      </c>
      <c r="D88" s="33">
        <f t="shared" ca="1" si="38"/>
        <v>1</v>
      </c>
      <c r="E88" s="33" t="str">
        <f t="shared" ca="1" si="39"/>
        <v>Envío de memorias del espacio.</v>
      </c>
      <c r="F88" s="33" t="str">
        <f t="shared" ca="1" si="40"/>
        <v>Realizado y Devuelto a la Ciudadanía</v>
      </c>
      <c r="G88" s="33">
        <f t="shared" ca="1" si="41"/>
        <v>0</v>
      </c>
      <c r="H88" s="33" t="str">
        <f t="shared" ca="1" si="42"/>
        <v>No aplica</v>
      </c>
      <c r="I88" s="33">
        <f t="shared" ca="1" si="43"/>
        <v>0</v>
      </c>
      <c r="J88" s="33" t="str">
        <f t="shared" ca="1" si="44"/>
        <v>No aplica</v>
      </c>
      <c r="K88" s="33">
        <f t="shared" ca="1" si="45"/>
        <v>0</v>
      </c>
      <c r="L88" s="33" t="str">
        <f t="shared" ca="1" si="46"/>
        <v>No aplica</v>
      </c>
      <c r="M88" s="33">
        <f t="shared" ca="1" si="47"/>
        <v>0</v>
      </c>
      <c r="N88" s="33" t="str">
        <f t="shared" ca="1" si="48"/>
        <v>No aplica</v>
      </c>
      <c r="O88" s="33">
        <f t="shared" ca="1" si="49"/>
        <v>0</v>
      </c>
      <c r="P88" s="33" t="str">
        <f t="shared" ca="1" si="50"/>
        <v>No aplica</v>
      </c>
      <c r="Q88" s="33">
        <f t="shared" ca="1" si="51"/>
        <v>1</v>
      </c>
      <c r="R88" s="33">
        <f t="shared" ca="1" si="52"/>
        <v>1</v>
      </c>
      <c r="S88" s="34">
        <f t="shared" ca="1" si="53"/>
        <v>1</v>
      </c>
    </row>
    <row r="89" spans="1:19" ht="37.5">
      <c r="A89" s="20">
        <f ca="1">IFERROR(__xludf.DUMMYFUNCTION("""COMPUTED_VALUE"""),88)</f>
        <v>88</v>
      </c>
      <c r="B89" s="20" t="str">
        <f t="shared" ca="1" si="36"/>
        <v>Dialogo Ciudadano para la Construcción del PDD - UPL Tabora</v>
      </c>
      <c r="C89" s="21">
        <f t="shared" ca="1" si="37"/>
        <v>45360</v>
      </c>
      <c r="D89" s="33">
        <f t="shared" ca="1" si="38"/>
        <v>1</v>
      </c>
      <c r="E89" s="33" t="str">
        <f t="shared" ca="1" si="39"/>
        <v>Envío de memorias del espacio.</v>
      </c>
      <c r="F89" s="33" t="str">
        <f t="shared" ca="1" si="40"/>
        <v>Realizado y Devuelto a la Ciudadanía</v>
      </c>
      <c r="G89" s="33">
        <f t="shared" ca="1" si="41"/>
        <v>0</v>
      </c>
      <c r="H89" s="33" t="str">
        <f t="shared" ca="1" si="42"/>
        <v>No aplica</v>
      </c>
      <c r="I89" s="33">
        <f t="shared" ca="1" si="43"/>
        <v>0</v>
      </c>
      <c r="J89" s="33" t="str">
        <f t="shared" ca="1" si="44"/>
        <v>No aplica</v>
      </c>
      <c r="K89" s="33">
        <f t="shared" ca="1" si="45"/>
        <v>0</v>
      </c>
      <c r="L89" s="33" t="str">
        <f t="shared" ca="1" si="46"/>
        <v>No aplica</v>
      </c>
      <c r="M89" s="33">
        <f t="shared" ca="1" si="47"/>
        <v>0</v>
      </c>
      <c r="N89" s="33" t="str">
        <f t="shared" ca="1" si="48"/>
        <v>No aplica</v>
      </c>
      <c r="O89" s="33">
        <f t="shared" ca="1" si="49"/>
        <v>0</v>
      </c>
      <c r="P89" s="33" t="str">
        <f t="shared" ca="1" si="50"/>
        <v>No aplica</v>
      </c>
      <c r="Q89" s="33">
        <f t="shared" ca="1" si="51"/>
        <v>1</v>
      </c>
      <c r="R89" s="33">
        <f t="shared" ca="1" si="52"/>
        <v>1</v>
      </c>
      <c r="S89" s="34">
        <f t="shared" ca="1" si="53"/>
        <v>1</v>
      </c>
    </row>
    <row r="90" spans="1:19" ht="49.5">
      <c r="A90" s="20">
        <f ca="1">IFERROR(__xludf.DUMMYFUNCTION("""COMPUTED_VALUE"""),89)</f>
        <v>89</v>
      </c>
      <c r="B90" s="20" t="str">
        <f t="shared" ca="1" si="36"/>
        <v>Jornada Pégate al Plan: Pedagogía ciudadana para el manejo e implementación de la herramienta chatico - Ciclovía - Parque de Lourdes</v>
      </c>
      <c r="C90" s="21">
        <f t="shared" ca="1" si="37"/>
        <v>45361</v>
      </c>
      <c r="D90" s="33">
        <f t="shared" ca="1" si="38"/>
        <v>0</v>
      </c>
      <c r="E90" s="33">
        <f t="shared" ca="1" si="39"/>
        <v>0</v>
      </c>
      <c r="F90" s="33" t="str">
        <f t="shared" ca="1" si="40"/>
        <v>No aplica</v>
      </c>
      <c r="G90" s="33">
        <f t="shared" ca="1" si="41"/>
        <v>0</v>
      </c>
      <c r="H90" s="33" t="str">
        <f t="shared" ca="1" si="42"/>
        <v>No aplica</v>
      </c>
      <c r="I90" s="33">
        <f t="shared" ca="1" si="43"/>
        <v>0</v>
      </c>
      <c r="J90" s="33" t="str">
        <f t="shared" ca="1" si="44"/>
        <v>No aplica</v>
      </c>
      <c r="K90" s="33">
        <f t="shared" ca="1" si="45"/>
        <v>0</v>
      </c>
      <c r="L90" s="33" t="str">
        <f t="shared" ca="1" si="46"/>
        <v>No aplica</v>
      </c>
      <c r="M90" s="33">
        <f t="shared" ca="1" si="47"/>
        <v>0</v>
      </c>
      <c r="N90" s="33" t="str">
        <f t="shared" ca="1" si="48"/>
        <v>No aplica</v>
      </c>
      <c r="O90" s="33">
        <f t="shared" ca="1" si="49"/>
        <v>0</v>
      </c>
      <c r="P90" s="33" t="str">
        <f t="shared" ca="1" si="50"/>
        <v>No aplica</v>
      </c>
      <c r="Q90" s="33">
        <f t="shared" ca="1" si="51"/>
        <v>0</v>
      </c>
      <c r="R90" s="33">
        <f t="shared" ca="1" si="52"/>
        <v>0</v>
      </c>
      <c r="S90" s="34" t="str">
        <f t="shared" ca="1" si="53"/>
        <v/>
      </c>
    </row>
    <row r="91" spans="1:19" ht="14.25">
      <c r="A91" s="20"/>
      <c r="B91" s="20" t="str">
        <f t="shared" si="36"/>
        <v/>
      </c>
      <c r="C91" s="21" t="str">
        <f t="shared" si="37"/>
        <v/>
      </c>
      <c r="D91" s="33" t="str">
        <f t="shared" si="38"/>
        <v/>
      </c>
      <c r="E91" s="33" t="str">
        <f t="shared" si="39"/>
        <v/>
      </c>
      <c r="F91" s="33" t="str">
        <f t="shared" si="40"/>
        <v/>
      </c>
      <c r="G91" s="33" t="str">
        <f t="shared" si="41"/>
        <v/>
      </c>
      <c r="H91" s="33" t="str">
        <f t="shared" si="42"/>
        <v/>
      </c>
      <c r="I91" s="33" t="str">
        <f t="shared" si="43"/>
        <v/>
      </c>
      <c r="J91" s="33" t="str">
        <f t="shared" si="44"/>
        <v/>
      </c>
      <c r="K91" s="33" t="str">
        <f t="shared" si="45"/>
        <v/>
      </c>
      <c r="L91" s="33" t="str">
        <f t="shared" si="46"/>
        <v/>
      </c>
      <c r="M91" s="33" t="str">
        <f t="shared" si="47"/>
        <v/>
      </c>
      <c r="N91" s="33" t="str">
        <f t="shared" si="48"/>
        <v/>
      </c>
      <c r="O91" s="33" t="str">
        <f t="shared" si="49"/>
        <v/>
      </c>
      <c r="P91" s="33" t="str">
        <f t="shared" si="50"/>
        <v/>
      </c>
      <c r="Q91" s="33" t="str">
        <f t="shared" si="51"/>
        <v/>
      </c>
      <c r="R91" s="33" t="str">
        <f t="shared" si="52"/>
        <v/>
      </c>
      <c r="S91" s="34" t="str">
        <f t="shared" si="53"/>
        <v/>
      </c>
    </row>
    <row r="92" spans="1:19" ht="14.25">
      <c r="A92" s="20"/>
      <c r="B92" s="20" t="str">
        <f t="shared" si="36"/>
        <v/>
      </c>
      <c r="C92" s="21" t="str">
        <f t="shared" si="37"/>
        <v/>
      </c>
      <c r="D92" s="33" t="str">
        <f t="shared" si="38"/>
        <v/>
      </c>
      <c r="E92" s="33" t="str">
        <f t="shared" si="39"/>
        <v/>
      </c>
      <c r="F92" s="33" t="str">
        <f t="shared" si="40"/>
        <v/>
      </c>
      <c r="G92" s="33" t="str">
        <f t="shared" si="41"/>
        <v/>
      </c>
      <c r="H92" s="33" t="str">
        <f t="shared" si="42"/>
        <v/>
      </c>
      <c r="I92" s="33" t="str">
        <f t="shared" si="43"/>
        <v/>
      </c>
      <c r="J92" s="33" t="str">
        <f t="shared" si="44"/>
        <v/>
      </c>
      <c r="K92" s="33" t="str">
        <f t="shared" si="45"/>
        <v/>
      </c>
      <c r="L92" s="33" t="str">
        <f t="shared" si="46"/>
        <v/>
      </c>
      <c r="M92" s="33" t="str">
        <f t="shared" si="47"/>
        <v/>
      </c>
      <c r="N92" s="33" t="str">
        <f t="shared" si="48"/>
        <v/>
      </c>
      <c r="O92" s="33" t="str">
        <f t="shared" si="49"/>
        <v/>
      </c>
      <c r="P92" s="33" t="str">
        <f t="shared" si="50"/>
        <v/>
      </c>
      <c r="Q92" s="33" t="str">
        <f t="shared" si="51"/>
        <v/>
      </c>
      <c r="R92" s="33" t="str">
        <f t="shared" si="52"/>
        <v/>
      </c>
      <c r="S92" s="34" t="str">
        <f t="shared" si="53"/>
        <v/>
      </c>
    </row>
    <row r="93" spans="1:19" ht="14.25">
      <c r="A93" s="20"/>
      <c r="B93" s="20" t="str">
        <f t="shared" si="36"/>
        <v/>
      </c>
      <c r="C93" s="21" t="str">
        <f t="shared" si="37"/>
        <v/>
      </c>
      <c r="D93" s="33" t="str">
        <f t="shared" si="38"/>
        <v/>
      </c>
      <c r="E93" s="33" t="str">
        <f t="shared" si="39"/>
        <v/>
      </c>
      <c r="F93" s="33" t="str">
        <f t="shared" si="40"/>
        <v/>
      </c>
      <c r="G93" s="33" t="str">
        <f t="shared" si="41"/>
        <v/>
      </c>
      <c r="H93" s="33" t="str">
        <f t="shared" si="42"/>
        <v/>
      </c>
      <c r="I93" s="33" t="str">
        <f t="shared" si="43"/>
        <v/>
      </c>
      <c r="J93" s="33" t="str">
        <f t="shared" si="44"/>
        <v/>
      </c>
      <c r="K93" s="33" t="str">
        <f t="shared" si="45"/>
        <v/>
      </c>
      <c r="L93" s="33" t="str">
        <f t="shared" si="46"/>
        <v/>
      </c>
      <c r="M93" s="33" t="str">
        <f t="shared" si="47"/>
        <v/>
      </c>
      <c r="N93" s="33" t="str">
        <f t="shared" si="48"/>
        <v/>
      </c>
      <c r="O93" s="33" t="str">
        <f t="shared" si="49"/>
        <v/>
      </c>
      <c r="P93" s="33" t="str">
        <f t="shared" si="50"/>
        <v/>
      </c>
      <c r="Q93" s="33" t="str">
        <f t="shared" si="51"/>
        <v/>
      </c>
      <c r="R93" s="33" t="str">
        <f t="shared" si="52"/>
        <v/>
      </c>
      <c r="S93" s="34" t="str">
        <f t="shared" si="53"/>
        <v/>
      </c>
    </row>
    <row r="94" spans="1:19" ht="25.5">
      <c r="A94" s="20">
        <f ca="1">IFERROR(__xludf.DUMMYFUNCTION("""COMPUTED_VALUE"""),93)</f>
        <v>93</v>
      </c>
      <c r="B94" s="20" t="str">
        <f t="shared" ca="1" si="36"/>
        <v>CLIP extraordinaria Rafael Uribe Uribe</v>
      </c>
      <c r="C94" s="21">
        <f t="shared" ca="1" si="37"/>
        <v>45362</v>
      </c>
      <c r="D94" s="33">
        <f t="shared" ca="1" si="38"/>
        <v>0</v>
      </c>
      <c r="E94" s="33">
        <f t="shared" ca="1" si="39"/>
        <v>0</v>
      </c>
      <c r="F94" s="33" t="str">
        <f t="shared" ca="1" si="40"/>
        <v>No aplica</v>
      </c>
      <c r="G94" s="33">
        <f t="shared" ca="1" si="41"/>
        <v>0</v>
      </c>
      <c r="H94" s="33" t="str">
        <f t="shared" ca="1" si="42"/>
        <v>No aplica</v>
      </c>
      <c r="I94" s="33">
        <f t="shared" ca="1" si="43"/>
        <v>0</v>
      </c>
      <c r="J94" s="33" t="str">
        <f t="shared" ca="1" si="44"/>
        <v>No aplica</v>
      </c>
      <c r="K94" s="33">
        <f t="shared" ca="1" si="45"/>
        <v>0</v>
      </c>
      <c r="L94" s="33" t="str">
        <f t="shared" ca="1" si="46"/>
        <v>No aplica</v>
      </c>
      <c r="M94" s="33">
        <f t="shared" ca="1" si="47"/>
        <v>0</v>
      </c>
      <c r="N94" s="33" t="str">
        <f t="shared" ca="1" si="48"/>
        <v>No aplica</v>
      </c>
      <c r="O94" s="33">
        <f t="shared" ca="1" si="49"/>
        <v>0</v>
      </c>
      <c r="P94" s="33" t="str">
        <f t="shared" ca="1" si="50"/>
        <v>No aplica</v>
      </c>
      <c r="Q94" s="33">
        <f t="shared" ca="1" si="51"/>
        <v>0</v>
      </c>
      <c r="R94" s="33">
        <f t="shared" ca="1" si="52"/>
        <v>0</v>
      </c>
      <c r="S94" s="34" t="str">
        <f t="shared" ca="1" si="53"/>
        <v/>
      </c>
    </row>
    <row r="95" spans="1:19" ht="14.25">
      <c r="A95" s="20"/>
      <c r="B95" s="20" t="str">
        <f t="shared" si="36"/>
        <v/>
      </c>
      <c r="C95" s="21" t="str">
        <f t="shared" si="37"/>
        <v/>
      </c>
      <c r="D95" s="33" t="str">
        <f t="shared" si="38"/>
        <v/>
      </c>
      <c r="E95" s="33" t="str">
        <f t="shared" si="39"/>
        <v/>
      </c>
      <c r="F95" s="33" t="str">
        <f t="shared" si="40"/>
        <v/>
      </c>
      <c r="G95" s="33" t="str">
        <f t="shared" si="41"/>
        <v/>
      </c>
      <c r="H95" s="33" t="str">
        <f t="shared" si="42"/>
        <v/>
      </c>
      <c r="I95" s="33" t="str">
        <f t="shared" si="43"/>
        <v/>
      </c>
      <c r="J95" s="33" t="str">
        <f t="shared" si="44"/>
        <v/>
      </c>
      <c r="K95" s="33" t="str">
        <f t="shared" si="45"/>
        <v/>
      </c>
      <c r="L95" s="33" t="str">
        <f t="shared" si="46"/>
        <v/>
      </c>
      <c r="M95" s="33" t="str">
        <f t="shared" si="47"/>
        <v/>
      </c>
      <c r="N95" s="33" t="str">
        <f t="shared" si="48"/>
        <v/>
      </c>
      <c r="O95" s="33" t="str">
        <f t="shared" si="49"/>
        <v/>
      </c>
      <c r="P95" s="33" t="str">
        <f t="shared" si="50"/>
        <v/>
      </c>
      <c r="Q95" s="33" t="str">
        <f t="shared" si="51"/>
        <v/>
      </c>
      <c r="R95" s="33" t="str">
        <f t="shared" si="52"/>
        <v/>
      </c>
      <c r="S95" s="34" t="str">
        <f t="shared" si="53"/>
        <v/>
      </c>
    </row>
    <row r="96" spans="1:19" ht="61.5">
      <c r="A96" s="20">
        <f ca="1">IFERROR(__xludf.DUMMYFUNCTION("""COMPUTED_VALUE"""),95)</f>
        <v>95</v>
      </c>
      <c r="B96" s="20" t="str">
        <f t="shared" ca="1" si="36"/>
        <v>Socialización de PDD a la Mesa Distrital de Víctimas del Conflicto Armado</v>
      </c>
      <c r="C96" s="21">
        <f t="shared" ca="1" si="37"/>
        <v>45362</v>
      </c>
      <c r="D96" s="33">
        <f t="shared" ca="1" si="38"/>
        <v>1</v>
      </c>
      <c r="E96" s="33" t="str">
        <f t="shared" ca="1" si="39"/>
        <v>Reunirnos con la Alta Consejería para las Víctimas para dejar claridad sobre el proceso y hacer el debido seguimiento.</v>
      </c>
      <c r="F96" s="33" t="str">
        <f t="shared" ca="1" si="40"/>
        <v>Realizado y Devuelto a la Ciudadanía</v>
      </c>
      <c r="G96" s="33">
        <f t="shared" ca="1" si="41"/>
        <v>0</v>
      </c>
      <c r="H96" s="33" t="str">
        <f t="shared" ca="1" si="42"/>
        <v>No aplica</v>
      </c>
      <c r="I96" s="33">
        <f t="shared" ca="1" si="43"/>
        <v>0</v>
      </c>
      <c r="J96" s="33" t="str">
        <f t="shared" ca="1" si="44"/>
        <v>No aplica</v>
      </c>
      <c r="K96" s="33">
        <f t="shared" ca="1" si="45"/>
        <v>0</v>
      </c>
      <c r="L96" s="33" t="str">
        <f t="shared" ca="1" si="46"/>
        <v>No aplica</v>
      </c>
      <c r="M96" s="33">
        <f t="shared" ca="1" si="47"/>
        <v>0</v>
      </c>
      <c r="N96" s="33" t="str">
        <f t="shared" ca="1" si="48"/>
        <v>No aplica</v>
      </c>
      <c r="O96" s="33">
        <f t="shared" ca="1" si="49"/>
        <v>0</v>
      </c>
      <c r="P96" s="33" t="str">
        <f t="shared" ca="1" si="50"/>
        <v>No aplica</v>
      </c>
      <c r="Q96" s="33">
        <f t="shared" ca="1" si="51"/>
        <v>1</v>
      </c>
      <c r="R96" s="33">
        <f t="shared" ca="1" si="52"/>
        <v>1</v>
      </c>
      <c r="S96" s="34">
        <f t="shared" ca="1" si="53"/>
        <v>1</v>
      </c>
    </row>
    <row r="97" spans="1:19" ht="14.25">
      <c r="A97" s="20"/>
      <c r="B97" s="20" t="str">
        <f t="shared" si="36"/>
        <v/>
      </c>
      <c r="C97" s="21" t="str">
        <f t="shared" si="37"/>
        <v/>
      </c>
      <c r="D97" s="33" t="str">
        <f t="shared" si="38"/>
        <v/>
      </c>
      <c r="E97" s="33" t="str">
        <f t="shared" si="39"/>
        <v/>
      </c>
      <c r="F97" s="33" t="str">
        <f t="shared" si="40"/>
        <v/>
      </c>
      <c r="G97" s="33" t="str">
        <f t="shared" si="41"/>
        <v/>
      </c>
      <c r="H97" s="33" t="str">
        <f t="shared" si="42"/>
        <v/>
      </c>
      <c r="I97" s="33" t="str">
        <f t="shared" si="43"/>
        <v/>
      </c>
      <c r="J97" s="33" t="str">
        <f t="shared" si="44"/>
        <v/>
      </c>
      <c r="K97" s="33" t="str">
        <f t="shared" si="45"/>
        <v/>
      </c>
      <c r="L97" s="33" t="str">
        <f t="shared" si="46"/>
        <v/>
      </c>
      <c r="M97" s="33" t="str">
        <f t="shared" si="47"/>
        <v/>
      </c>
      <c r="N97" s="33" t="str">
        <f t="shared" si="48"/>
        <v/>
      </c>
      <c r="O97" s="33" t="str">
        <f t="shared" si="49"/>
        <v/>
      </c>
      <c r="P97" s="33" t="str">
        <f t="shared" si="50"/>
        <v/>
      </c>
      <c r="Q97" s="33" t="str">
        <f t="shared" si="51"/>
        <v/>
      </c>
      <c r="R97" s="33" t="str">
        <f t="shared" si="52"/>
        <v/>
      </c>
      <c r="S97" s="34" t="str">
        <f t="shared" si="53"/>
        <v/>
      </c>
    </row>
    <row r="98" spans="1:19" ht="37.5">
      <c r="A98" s="20">
        <f ca="1">IFERROR(__xludf.DUMMYFUNCTION("""COMPUTED_VALUE"""),97)</f>
        <v>97</v>
      </c>
      <c r="B98" s="20" t="str">
        <f t="shared" ref="B98:B129" ca="1" si="54">IFERROR(VLOOKUP(A98,DATA_MATRIZ,2,FALSE),"")</f>
        <v>Dialogo Ciudadano para la Construcción del PDD - UPL Tunjuelito</v>
      </c>
      <c r="C98" s="21">
        <f t="shared" ref="C98:C129" ca="1" si="55">IFERROR(VLOOKUP(A98,DATA_MATRIZ,3,FALSE),"")</f>
        <v>45362</v>
      </c>
      <c r="D98" s="33">
        <f t="shared" ref="D98:D129" ca="1" si="56">IFERROR(VLOOKUP(A98,DATA_MATRIZ,89,FALSE),"")</f>
        <v>1</v>
      </c>
      <c r="E98" s="33" t="str">
        <f t="shared" ref="E98:E129" ca="1" si="57">IFERROR(VLOOKUP(A98,DATA_MATRIZ,90,FALSE),"")</f>
        <v>Envío de memorias del espacio.</v>
      </c>
      <c r="F98" s="33" t="str">
        <f t="shared" ref="F98:F129" ca="1" si="58">IFERROR(VLOOKUP(A98,DATA_MATRIZ,96,FALSE),"")</f>
        <v>Realizado y Devuelto a la Ciudadanía</v>
      </c>
      <c r="G98" s="33">
        <f t="shared" ref="G98:G129" ca="1" si="59">IFERROR(VLOOKUP(A98,DATA_MATRIZ,91,FALSE),"")</f>
        <v>0</v>
      </c>
      <c r="H98" s="33" t="str">
        <f t="shared" ref="H98:H129" ca="1" si="60">IFERROR(VLOOKUP(A98,DATA_MATRIZ,97,FALSE),"")</f>
        <v>No aplica</v>
      </c>
      <c r="I98" s="33">
        <f t="shared" ref="I98:I129" ca="1" si="61">IFERROR(VLOOKUP(A98,DATA_MATRIZ,92,FALSE),"")</f>
        <v>0</v>
      </c>
      <c r="J98" s="33" t="str">
        <f t="shared" ref="J98:J129" ca="1" si="62">IFERROR(VLOOKUP(A98,DATA_MATRIZ,98,FALSE),"")</f>
        <v>No aplica</v>
      </c>
      <c r="K98" s="33">
        <f t="shared" ref="K98:K129" ca="1" si="63">IFERROR(VLOOKUP(A98,DATA_MATRIZ,93,FALSE),"")</f>
        <v>0</v>
      </c>
      <c r="L98" s="33" t="str">
        <f t="shared" ref="L98:L129" ca="1" si="64">IFERROR(VLOOKUP(A98,DATA_MATRIZ,99,FALSE),"")</f>
        <v>No aplica</v>
      </c>
      <c r="M98" s="33">
        <f t="shared" ref="M98:M129" ca="1" si="65">IFERROR(VLOOKUP(A98,DATA_MATRIZ,94,FALSE),"")</f>
        <v>0</v>
      </c>
      <c r="N98" s="33" t="str">
        <f t="shared" ref="N98:N129" ca="1" si="66">IFERROR(VLOOKUP(A98,DATA_MATRIZ,100,FALSE),"")</f>
        <v>No aplica</v>
      </c>
      <c r="O98" s="33">
        <f t="shared" ref="O98:O129" ca="1" si="67">IFERROR(VLOOKUP(A98,DATA_MATRIZ,95,FALSE),"")</f>
        <v>0</v>
      </c>
      <c r="P98" s="33" t="str">
        <f t="shared" ref="P98:P129" ca="1" si="68">IFERROR(VLOOKUP(A98,DATA_MATRIZ,101,FALSE),"")</f>
        <v>No aplica</v>
      </c>
      <c r="Q98" s="33">
        <f t="shared" ref="Q98:Q129" ca="1" si="69">IFERROR(VLOOKUP(A98,DATA_MATRIZ,103,FALSE),"")</f>
        <v>1</v>
      </c>
      <c r="R98" s="33">
        <f t="shared" ref="R98:R129" ca="1" si="70">IFERROR(VLOOKUP(A98,DATA_MATRIZ,105,FALSE),"")</f>
        <v>1</v>
      </c>
      <c r="S98" s="34">
        <f t="shared" ref="S98:S129" ca="1" si="71">IFERROR(VLOOKUP(A98,DATA_MATRIZ,106,FALSE),"")</f>
        <v>1</v>
      </c>
    </row>
    <row r="99" spans="1:19" ht="13.5">
      <c r="A99" s="20">
        <f ca="1">IFERROR(__xludf.DUMMYFUNCTION("""COMPUTED_VALUE"""),98)</f>
        <v>98</v>
      </c>
      <c r="B99" s="20" t="str">
        <f t="shared" ca="1" si="54"/>
        <v>Plenaria Permanente - CTPD</v>
      </c>
      <c r="C99" s="21">
        <f t="shared" ca="1" si="55"/>
        <v>45362</v>
      </c>
      <c r="D99" s="33">
        <f t="shared" ca="1" si="56"/>
        <v>0</v>
      </c>
      <c r="E99" s="33">
        <f t="shared" ca="1" si="57"/>
        <v>0</v>
      </c>
      <c r="F99" s="33" t="str">
        <f t="shared" ca="1" si="58"/>
        <v>No aplica</v>
      </c>
      <c r="G99" s="33">
        <f t="shared" ca="1" si="59"/>
        <v>0</v>
      </c>
      <c r="H99" s="33" t="str">
        <f t="shared" ca="1" si="60"/>
        <v>No aplica</v>
      </c>
      <c r="I99" s="33">
        <f t="shared" ca="1" si="61"/>
        <v>0</v>
      </c>
      <c r="J99" s="33" t="str">
        <f t="shared" ca="1" si="62"/>
        <v>No aplica</v>
      </c>
      <c r="K99" s="33">
        <f t="shared" ca="1" si="63"/>
        <v>0</v>
      </c>
      <c r="L99" s="33" t="str">
        <f t="shared" ca="1" si="64"/>
        <v>No aplica</v>
      </c>
      <c r="M99" s="33">
        <f t="shared" ca="1" si="65"/>
        <v>0</v>
      </c>
      <c r="N99" s="33" t="str">
        <f t="shared" ca="1" si="66"/>
        <v>No aplica</v>
      </c>
      <c r="O99" s="33">
        <f t="shared" ca="1" si="67"/>
        <v>0</v>
      </c>
      <c r="P99" s="33" t="str">
        <f t="shared" ca="1" si="68"/>
        <v>No aplica</v>
      </c>
      <c r="Q99" s="33">
        <f t="shared" ca="1" si="69"/>
        <v>0</v>
      </c>
      <c r="R99" s="33">
        <f t="shared" ca="1" si="70"/>
        <v>0</v>
      </c>
      <c r="S99" s="34" t="str">
        <f t="shared" ca="1" si="71"/>
        <v/>
      </c>
    </row>
    <row r="100" spans="1:19" ht="14.25">
      <c r="A100" s="20"/>
      <c r="B100" s="20" t="str">
        <f t="shared" si="54"/>
        <v/>
      </c>
      <c r="C100" s="21" t="str">
        <f t="shared" si="55"/>
        <v/>
      </c>
      <c r="D100" s="33" t="str">
        <f t="shared" si="56"/>
        <v/>
      </c>
      <c r="E100" s="33" t="str">
        <f t="shared" si="57"/>
        <v/>
      </c>
      <c r="F100" s="33" t="str">
        <f t="shared" si="58"/>
        <v/>
      </c>
      <c r="G100" s="33" t="str">
        <f t="shared" si="59"/>
        <v/>
      </c>
      <c r="H100" s="33" t="str">
        <f t="shared" si="60"/>
        <v/>
      </c>
      <c r="I100" s="33" t="str">
        <f t="shared" si="61"/>
        <v/>
      </c>
      <c r="J100" s="33" t="str">
        <f t="shared" si="62"/>
        <v/>
      </c>
      <c r="K100" s="33" t="str">
        <f t="shared" si="63"/>
        <v/>
      </c>
      <c r="L100" s="33" t="str">
        <f t="shared" si="64"/>
        <v/>
      </c>
      <c r="M100" s="33" t="str">
        <f t="shared" si="65"/>
        <v/>
      </c>
      <c r="N100" s="33" t="str">
        <f t="shared" si="66"/>
        <v/>
      </c>
      <c r="O100" s="33" t="str">
        <f t="shared" si="67"/>
        <v/>
      </c>
      <c r="P100" s="33" t="str">
        <f t="shared" si="68"/>
        <v/>
      </c>
      <c r="Q100" s="33" t="str">
        <f t="shared" si="69"/>
        <v/>
      </c>
      <c r="R100" s="33" t="str">
        <f t="shared" si="70"/>
        <v/>
      </c>
      <c r="S100" s="34" t="str">
        <f t="shared" si="71"/>
        <v/>
      </c>
    </row>
    <row r="101" spans="1:19" ht="13.5">
      <c r="A101" s="20">
        <f ca="1">IFERROR(__xludf.DUMMYFUNCTION("""COMPUTED_VALUE"""),100)</f>
        <v>100</v>
      </c>
      <c r="B101" s="20" t="str">
        <f t="shared" ca="1" si="54"/>
        <v>CLIP Engativá</v>
      </c>
      <c r="C101" s="21">
        <f t="shared" ca="1" si="55"/>
        <v>45363</v>
      </c>
      <c r="D101" s="33">
        <f t="shared" ca="1" si="56"/>
        <v>0</v>
      </c>
      <c r="E101" s="33">
        <f t="shared" ca="1" si="57"/>
        <v>0</v>
      </c>
      <c r="F101" s="33">
        <f t="shared" ca="1" si="58"/>
        <v>0</v>
      </c>
      <c r="G101" s="33">
        <f t="shared" ca="1" si="59"/>
        <v>0</v>
      </c>
      <c r="H101" s="33" t="str">
        <f t="shared" ca="1" si="60"/>
        <v>No aplica</v>
      </c>
      <c r="I101" s="33">
        <f t="shared" ca="1" si="61"/>
        <v>0</v>
      </c>
      <c r="J101" s="33" t="str">
        <f t="shared" ca="1" si="62"/>
        <v>No aplica</v>
      </c>
      <c r="K101" s="33">
        <f t="shared" ca="1" si="63"/>
        <v>0</v>
      </c>
      <c r="L101" s="33" t="str">
        <f t="shared" ca="1" si="64"/>
        <v>No aplica</v>
      </c>
      <c r="M101" s="33">
        <f t="shared" ca="1" si="65"/>
        <v>0</v>
      </c>
      <c r="N101" s="33" t="str">
        <f t="shared" ca="1" si="66"/>
        <v>No aplica</v>
      </c>
      <c r="O101" s="33">
        <f t="shared" ca="1" si="67"/>
        <v>0</v>
      </c>
      <c r="P101" s="33" t="str">
        <f t="shared" ca="1" si="68"/>
        <v>No aplica</v>
      </c>
      <c r="Q101" s="33">
        <f t="shared" ca="1" si="69"/>
        <v>0</v>
      </c>
      <c r="R101" s="33">
        <f t="shared" ca="1" si="70"/>
        <v>0</v>
      </c>
      <c r="S101" s="34" t="str">
        <f t="shared" ca="1" si="71"/>
        <v/>
      </c>
    </row>
    <row r="102" spans="1:19" ht="37.5">
      <c r="A102" s="20">
        <f ca="1">IFERROR(__xludf.DUMMYFUNCTION("""COMPUTED_VALUE"""),101)</f>
        <v>101</v>
      </c>
      <c r="B102" s="20" t="str">
        <f t="shared" ca="1" si="54"/>
        <v>Dialogo Ciudadano para la Construcción del PDD - UPL Patio Bonito</v>
      </c>
      <c r="C102" s="21">
        <f t="shared" ca="1" si="55"/>
        <v>45363</v>
      </c>
      <c r="D102" s="33">
        <f t="shared" ca="1" si="56"/>
        <v>1</v>
      </c>
      <c r="E102" s="33" t="str">
        <f t="shared" ca="1" si="57"/>
        <v>Envío de memorias del espacio.</v>
      </c>
      <c r="F102" s="33" t="str">
        <f t="shared" ca="1" si="58"/>
        <v>Realizado y Devuelto a la Ciudadanía</v>
      </c>
      <c r="G102" s="33">
        <f t="shared" ca="1" si="59"/>
        <v>0</v>
      </c>
      <c r="H102" s="33" t="str">
        <f t="shared" ca="1" si="60"/>
        <v>No aplica</v>
      </c>
      <c r="I102" s="33">
        <f t="shared" ca="1" si="61"/>
        <v>0</v>
      </c>
      <c r="J102" s="33" t="str">
        <f t="shared" ca="1" si="62"/>
        <v>No aplica</v>
      </c>
      <c r="K102" s="33">
        <f t="shared" ca="1" si="63"/>
        <v>0</v>
      </c>
      <c r="L102" s="33" t="str">
        <f t="shared" ca="1" si="64"/>
        <v>No aplica</v>
      </c>
      <c r="M102" s="33">
        <f t="shared" ca="1" si="65"/>
        <v>0</v>
      </c>
      <c r="N102" s="33" t="str">
        <f t="shared" ca="1" si="66"/>
        <v>No aplica</v>
      </c>
      <c r="O102" s="33">
        <f t="shared" ca="1" si="67"/>
        <v>0</v>
      </c>
      <c r="P102" s="33" t="str">
        <f t="shared" ca="1" si="68"/>
        <v>No aplica</v>
      </c>
      <c r="Q102" s="33">
        <f t="shared" ca="1" si="69"/>
        <v>1</v>
      </c>
      <c r="R102" s="33">
        <f t="shared" ca="1" si="70"/>
        <v>1</v>
      </c>
      <c r="S102" s="34">
        <f t="shared" ca="1" si="71"/>
        <v>1</v>
      </c>
    </row>
    <row r="103" spans="1:19" ht="61.5">
      <c r="A103" s="20">
        <f ca="1">IFERROR(__xludf.DUMMYFUNCTION("""COMPUTED_VALUE"""),102)</f>
        <v>102</v>
      </c>
      <c r="B103" s="20" t="str">
        <f t="shared" ca="1" si="54"/>
        <v>Presentación metodología para los talleres de diálogos ciudadanos PDD - JAL Sumapaz</v>
      </c>
      <c r="C103" s="21">
        <f t="shared" ca="1" si="55"/>
        <v>45363</v>
      </c>
      <c r="D103" s="33">
        <f t="shared" ca="1" si="56"/>
        <v>2</v>
      </c>
      <c r="E103" s="33" t="str">
        <f t="shared" ca="1" si="57"/>
        <v>Hacer entrega de la presentación que contiene la ruta de participación para la formulación del Plan Distrital de Desarrollo.</v>
      </c>
      <c r="F103" s="33" t="str">
        <f t="shared" ca="1" si="58"/>
        <v>Realizado y Devuelto a la Ciudadanía</v>
      </c>
      <c r="G103" s="33" t="str">
        <f t="shared" ca="1" si="59"/>
        <v>Compartir el contacto Chatico, con el fin de que los ediles lo difundan con la comunidad.</v>
      </c>
      <c r="H103" s="33" t="str">
        <f t="shared" ca="1" si="60"/>
        <v>Realizado y Devuelto a la Ciudadanía</v>
      </c>
      <c r="I103" s="33">
        <f t="shared" ca="1" si="61"/>
        <v>0</v>
      </c>
      <c r="J103" s="33" t="str">
        <f t="shared" ca="1" si="62"/>
        <v>No aplica</v>
      </c>
      <c r="K103" s="33">
        <f t="shared" ca="1" si="63"/>
        <v>0</v>
      </c>
      <c r="L103" s="33" t="str">
        <f t="shared" ca="1" si="64"/>
        <v>No aplica</v>
      </c>
      <c r="M103" s="33">
        <f t="shared" ca="1" si="65"/>
        <v>0</v>
      </c>
      <c r="N103" s="33" t="str">
        <f t="shared" ca="1" si="66"/>
        <v>No aplica</v>
      </c>
      <c r="O103" s="33">
        <f t="shared" ca="1" si="67"/>
        <v>0</v>
      </c>
      <c r="P103" s="33" t="str">
        <f t="shared" ca="1" si="68"/>
        <v>No aplica</v>
      </c>
      <c r="Q103" s="33">
        <f t="shared" ca="1" si="69"/>
        <v>2</v>
      </c>
      <c r="R103" s="33">
        <f t="shared" ca="1" si="70"/>
        <v>2</v>
      </c>
      <c r="S103" s="34">
        <f t="shared" ca="1" si="71"/>
        <v>1</v>
      </c>
    </row>
    <row r="104" spans="1:19" ht="13.5">
      <c r="A104" s="20">
        <f ca="1">IFERROR(__xludf.DUMMYFUNCTION("""COMPUTED_VALUE"""),103)</f>
        <v>103</v>
      </c>
      <c r="B104" s="20" t="str">
        <f t="shared" ca="1" si="54"/>
        <v>Plenaria Permanente - CTPD</v>
      </c>
      <c r="C104" s="21">
        <f t="shared" ca="1" si="55"/>
        <v>45363</v>
      </c>
      <c r="D104" s="33">
        <f t="shared" ca="1" si="56"/>
        <v>0</v>
      </c>
      <c r="E104" s="33">
        <f t="shared" ca="1" si="57"/>
        <v>0</v>
      </c>
      <c r="F104" s="33" t="str">
        <f t="shared" ca="1" si="58"/>
        <v>No aplica</v>
      </c>
      <c r="G104" s="33">
        <f t="shared" ca="1" si="59"/>
        <v>0</v>
      </c>
      <c r="H104" s="33" t="str">
        <f t="shared" ca="1" si="60"/>
        <v>No aplica</v>
      </c>
      <c r="I104" s="33">
        <f t="shared" ca="1" si="61"/>
        <v>0</v>
      </c>
      <c r="J104" s="33" t="str">
        <f t="shared" ca="1" si="62"/>
        <v>No aplica</v>
      </c>
      <c r="K104" s="33">
        <f t="shared" ca="1" si="63"/>
        <v>0</v>
      </c>
      <c r="L104" s="33" t="str">
        <f t="shared" ca="1" si="64"/>
        <v>No aplica</v>
      </c>
      <c r="M104" s="33">
        <f t="shared" ca="1" si="65"/>
        <v>0</v>
      </c>
      <c r="N104" s="33" t="str">
        <f t="shared" ca="1" si="66"/>
        <v>No aplica</v>
      </c>
      <c r="O104" s="33">
        <f t="shared" ca="1" si="67"/>
        <v>0</v>
      </c>
      <c r="P104" s="33" t="str">
        <f t="shared" ca="1" si="68"/>
        <v>No aplica</v>
      </c>
      <c r="Q104" s="33">
        <f t="shared" ca="1" si="69"/>
        <v>0</v>
      </c>
      <c r="R104" s="33">
        <f t="shared" ca="1" si="70"/>
        <v>0</v>
      </c>
      <c r="S104" s="34" t="str">
        <f t="shared" ca="1" si="71"/>
        <v/>
      </c>
    </row>
    <row r="105" spans="1:19" ht="25.5">
      <c r="A105" s="20">
        <f ca="1">IFERROR(__xludf.DUMMYFUNCTION("""COMPUTED_VALUE"""),104)</f>
        <v>104</v>
      </c>
      <c r="B105" s="20" t="str">
        <f t="shared" ca="1" si="54"/>
        <v>Comité Coordinador Intersectorial de Participación PDD</v>
      </c>
      <c r="C105" s="21">
        <f t="shared" ca="1" si="55"/>
        <v>45364</v>
      </c>
      <c r="D105" s="33">
        <f t="shared" ca="1" si="56"/>
        <v>0</v>
      </c>
      <c r="E105" s="33">
        <f t="shared" ca="1" si="57"/>
        <v>0</v>
      </c>
      <c r="F105" s="33" t="str">
        <f t="shared" ca="1" si="58"/>
        <v>No aplica</v>
      </c>
      <c r="G105" s="33">
        <f t="shared" ca="1" si="59"/>
        <v>0</v>
      </c>
      <c r="H105" s="33" t="str">
        <f t="shared" ca="1" si="60"/>
        <v>No aplica</v>
      </c>
      <c r="I105" s="33">
        <f t="shared" ca="1" si="61"/>
        <v>0</v>
      </c>
      <c r="J105" s="33" t="str">
        <f t="shared" ca="1" si="62"/>
        <v>No aplica</v>
      </c>
      <c r="K105" s="33">
        <f t="shared" ca="1" si="63"/>
        <v>0</v>
      </c>
      <c r="L105" s="33" t="str">
        <f t="shared" ca="1" si="64"/>
        <v>No aplica</v>
      </c>
      <c r="M105" s="33">
        <f t="shared" ca="1" si="65"/>
        <v>0</v>
      </c>
      <c r="N105" s="33" t="str">
        <f t="shared" ca="1" si="66"/>
        <v>No aplica</v>
      </c>
      <c r="O105" s="33">
        <f t="shared" ca="1" si="67"/>
        <v>0</v>
      </c>
      <c r="P105" s="33" t="str">
        <f t="shared" ca="1" si="68"/>
        <v>No aplica</v>
      </c>
      <c r="Q105" s="33">
        <f t="shared" ca="1" si="69"/>
        <v>0</v>
      </c>
      <c r="R105" s="33">
        <f t="shared" ca="1" si="70"/>
        <v>0</v>
      </c>
      <c r="S105" s="34" t="str">
        <f t="shared" ca="1" si="71"/>
        <v/>
      </c>
    </row>
    <row r="106" spans="1:19" ht="13.5">
      <c r="A106" s="20">
        <f ca="1">IFERROR(__xludf.DUMMYFUNCTION("""COMPUTED_VALUE"""),105)</f>
        <v>105</v>
      </c>
      <c r="B106" s="20" t="str">
        <f t="shared" ca="1" si="54"/>
        <v>CLIP Antonio Nariño</v>
      </c>
      <c r="C106" s="21">
        <f t="shared" ca="1" si="55"/>
        <v>45364</v>
      </c>
      <c r="D106" s="33">
        <f t="shared" ca="1" si="56"/>
        <v>0</v>
      </c>
      <c r="E106" s="33">
        <f t="shared" ca="1" si="57"/>
        <v>0</v>
      </c>
      <c r="F106" s="33" t="str">
        <f t="shared" ca="1" si="58"/>
        <v>No aplica</v>
      </c>
      <c r="G106" s="33">
        <f t="shared" ca="1" si="59"/>
        <v>0</v>
      </c>
      <c r="H106" s="33" t="str">
        <f t="shared" ca="1" si="60"/>
        <v>No aplica</v>
      </c>
      <c r="I106" s="33">
        <f t="shared" ca="1" si="61"/>
        <v>0</v>
      </c>
      <c r="J106" s="33" t="str">
        <f t="shared" ca="1" si="62"/>
        <v>No aplica</v>
      </c>
      <c r="K106" s="33">
        <f t="shared" ca="1" si="63"/>
        <v>0</v>
      </c>
      <c r="L106" s="33" t="str">
        <f t="shared" ca="1" si="64"/>
        <v>No aplica</v>
      </c>
      <c r="M106" s="33">
        <f t="shared" ca="1" si="65"/>
        <v>0</v>
      </c>
      <c r="N106" s="33" t="str">
        <f t="shared" ca="1" si="66"/>
        <v>No aplica</v>
      </c>
      <c r="O106" s="33">
        <f t="shared" ca="1" si="67"/>
        <v>0</v>
      </c>
      <c r="P106" s="33" t="str">
        <f t="shared" ca="1" si="68"/>
        <v>No aplica</v>
      </c>
      <c r="Q106" s="33">
        <f t="shared" ca="1" si="69"/>
        <v>0</v>
      </c>
      <c r="R106" s="33">
        <f t="shared" ca="1" si="70"/>
        <v>0</v>
      </c>
      <c r="S106" s="34" t="str">
        <f t="shared" ca="1" si="71"/>
        <v/>
      </c>
    </row>
    <row r="107" spans="1:19" ht="13.5">
      <c r="A107" s="20">
        <f ca="1">IFERROR(__xludf.DUMMYFUNCTION("""COMPUTED_VALUE"""),106)</f>
        <v>106</v>
      </c>
      <c r="B107" s="20" t="str">
        <f t="shared" ca="1" si="54"/>
        <v>CLIP Teusaquillo</v>
      </c>
      <c r="C107" s="21">
        <f t="shared" ca="1" si="55"/>
        <v>45364</v>
      </c>
      <c r="D107" s="33">
        <f t="shared" ca="1" si="56"/>
        <v>0</v>
      </c>
      <c r="E107" s="33">
        <f t="shared" ca="1" si="57"/>
        <v>0</v>
      </c>
      <c r="F107" s="33" t="str">
        <f t="shared" ca="1" si="58"/>
        <v>No aplica</v>
      </c>
      <c r="G107" s="33">
        <f t="shared" ca="1" si="59"/>
        <v>0</v>
      </c>
      <c r="H107" s="33" t="str">
        <f t="shared" ca="1" si="60"/>
        <v>No aplica</v>
      </c>
      <c r="I107" s="33">
        <f t="shared" ca="1" si="61"/>
        <v>0</v>
      </c>
      <c r="J107" s="33" t="str">
        <f t="shared" ca="1" si="62"/>
        <v>No aplica</v>
      </c>
      <c r="K107" s="33">
        <f t="shared" ca="1" si="63"/>
        <v>0</v>
      </c>
      <c r="L107" s="33" t="str">
        <f t="shared" ca="1" si="64"/>
        <v>No aplica</v>
      </c>
      <c r="M107" s="33">
        <f t="shared" ca="1" si="65"/>
        <v>0</v>
      </c>
      <c r="N107" s="33" t="str">
        <f t="shared" ca="1" si="66"/>
        <v>No aplica</v>
      </c>
      <c r="O107" s="33">
        <f t="shared" ca="1" si="67"/>
        <v>0</v>
      </c>
      <c r="P107" s="33" t="str">
        <f t="shared" ca="1" si="68"/>
        <v>No aplica</v>
      </c>
      <c r="Q107" s="33">
        <f t="shared" ca="1" si="69"/>
        <v>0</v>
      </c>
      <c r="R107" s="33">
        <f t="shared" ca="1" si="70"/>
        <v>0</v>
      </c>
      <c r="S107" s="34" t="str">
        <f t="shared" ca="1" si="71"/>
        <v/>
      </c>
    </row>
    <row r="108" spans="1:19" ht="13.5">
      <c r="A108" s="20">
        <f ca="1">IFERROR(__xludf.DUMMYFUNCTION("""COMPUTED_VALUE"""),107)</f>
        <v>107</v>
      </c>
      <c r="B108" s="20" t="str">
        <f t="shared" ca="1" si="54"/>
        <v>CLIP Usme</v>
      </c>
      <c r="C108" s="21">
        <f t="shared" ca="1" si="55"/>
        <v>45364</v>
      </c>
      <c r="D108" s="33">
        <f t="shared" ca="1" si="56"/>
        <v>0</v>
      </c>
      <c r="E108" s="33">
        <f t="shared" ca="1" si="57"/>
        <v>0</v>
      </c>
      <c r="F108" s="33" t="str">
        <f t="shared" ca="1" si="58"/>
        <v>No aplica</v>
      </c>
      <c r="G108" s="33">
        <f t="shared" ca="1" si="59"/>
        <v>0</v>
      </c>
      <c r="H108" s="33" t="str">
        <f t="shared" ca="1" si="60"/>
        <v>No aplica</v>
      </c>
      <c r="I108" s="33">
        <f t="shared" ca="1" si="61"/>
        <v>0</v>
      </c>
      <c r="J108" s="33" t="str">
        <f t="shared" ca="1" si="62"/>
        <v>No aplica</v>
      </c>
      <c r="K108" s="33">
        <f t="shared" ca="1" si="63"/>
        <v>0</v>
      </c>
      <c r="L108" s="33" t="str">
        <f t="shared" ca="1" si="64"/>
        <v>No aplica</v>
      </c>
      <c r="M108" s="33">
        <f t="shared" ca="1" si="65"/>
        <v>0</v>
      </c>
      <c r="N108" s="33" t="str">
        <f t="shared" ca="1" si="66"/>
        <v>No aplica</v>
      </c>
      <c r="O108" s="33">
        <f t="shared" ca="1" si="67"/>
        <v>0</v>
      </c>
      <c r="P108" s="33" t="str">
        <f t="shared" ca="1" si="68"/>
        <v>No aplica</v>
      </c>
      <c r="Q108" s="33">
        <f t="shared" ca="1" si="69"/>
        <v>0</v>
      </c>
      <c r="R108" s="33">
        <f t="shared" ca="1" si="70"/>
        <v>0</v>
      </c>
      <c r="S108" s="34" t="str">
        <f t="shared" ca="1" si="71"/>
        <v/>
      </c>
    </row>
    <row r="109" spans="1:19" ht="37.5">
      <c r="A109" s="20">
        <f ca="1">IFERROR(__xludf.DUMMYFUNCTION("""COMPUTED_VALUE"""),108)</f>
        <v>108</v>
      </c>
      <c r="B109" s="20" t="str">
        <f t="shared" ca="1" si="54"/>
        <v>Quinto foro virtual con Servidores Públicos para la formulación del PDD - DASCD/SDP</v>
      </c>
      <c r="C109" s="21">
        <f t="shared" ca="1" si="55"/>
        <v>45364</v>
      </c>
      <c r="D109" s="33">
        <f t="shared" ca="1" si="56"/>
        <v>0</v>
      </c>
      <c r="E109" s="33">
        <f t="shared" ca="1" si="57"/>
        <v>0</v>
      </c>
      <c r="F109" s="33">
        <f t="shared" ca="1" si="58"/>
        <v>0</v>
      </c>
      <c r="G109" s="33">
        <f t="shared" ca="1" si="59"/>
        <v>0</v>
      </c>
      <c r="H109" s="33">
        <f t="shared" ca="1" si="60"/>
        <v>0</v>
      </c>
      <c r="I109" s="33">
        <f t="shared" ca="1" si="61"/>
        <v>0</v>
      </c>
      <c r="J109" s="33">
        <f t="shared" ca="1" si="62"/>
        <v>0</v>
      </c>
      <c r="K109" s="33">
        <f t="shared" ca="1" si="63"/>
        <v>0</v>
      </c>
      <c r="L109" s="33">
        <f t="shared" ca="1" si="64"/>
        <v>0</v>
      </c>
      <c r="M109" s="33">
        <f t="shared" ca="1" si="65"/>
        <v>0</v>
      </c>
      <c r="N109" s="33">
        <f t="shared" ca="1" si="66"/>
        <v>0</v>
      </c>
      <c r="O109" s="33">
        <f t="shared" ca="1" si="67"/>
        <v>0</v>
      </c>
      <c r="P109" s="33">
        <f t="shared" ca="1" si="68"/>
        <v>0</v>
      </c>
      <c r="Q109" s="33">
        <f t="shared" ca="1" si="69"/>
        <v>0</v>
      </c>
      <c r="R109" s="33">
        <f t="shared" ca="1" si="70"/>
        <v>0</v>
      </c>
      <c r="S109" s="34" t="str">
        <f t="shared" ca="1" si="71"/>
        <v/>
      </c>
    </row>
    <row r="110" spans="1:19" ht="49.5">
      <c r="A110" s="20">
        <f ca="1">IFERROR(__xludf.DUMMYFUNCTION("""COMPUTED_VALUE"""),109)</f>
        <v>109</v>
      </c>
      <c r="B110" s="20" t="str">
        <f t="shared" ca="1" si="54"/>
        <v>Gestión: Concertación con la Consultiva negra - afrocolombiana de la metodología de participación del PDD</v>
      </c>
      <c r="C110" s="21">
        <f t="shared" ca="1" si="55"/>
        <v>45364</v>
      </c>
      <c r="D110" s="33">
        <f t="shared" ca="1" si="56"/>
        <v>0</v>
      </c>
      <c r="E110" s="33">
        <f t="shared" ca="1" si="57"/>
        <v>0</v>
      </c>
      <c r="F110" s="33" t="str">
        <f t="shared" ca="1" si="58"/>
        <v>No aplica</v>
      </c>
      <c r="G110" s="33">
        <f t="shared" ca="1" si="59"/>
        <v>0</v>
      </c>
      <c r="H110" s="33" t="str">
        <f t="shared" ca="1" si="60"/>
        <v>No aplica</v>
      </c>
      <c r="I110" s="33">
        <f t="shared" ca="1" si="61"/>
        <v>0</v>
      </c>
      <c r="J110" s="33" t="str">
        <f t="shared" ca="1" si="62"/>
        <v>No aplica</v>
      </c>
      <c r="K110" s="33">
        <f t="shared" ca="1" si="63"/>
        <v>0</v>
      </c>
      <c r="L110" s="33" t="str">
        <f t="shared" ca="1" si="64"/>
        <v>No aplica</v>
      </c>
      <c r="M110" s="33">
        <f t="shared" ca="1" si="65"/>
        <v>0</v>
      </c>
      <c r="N110" s="33" t="str">
        <f t="shared" ca="1" si="66"/>
        <v>No aplica</v>
      </c>
      <c r="O110" s="33">
        <f t="shared" ca="1" si="67"/>
        <v>0</v>
      </c>
      <c r="P110" s="33" t="str">
        <f t="shared" ca="1" si="68"/>
        <v>No aplica</v>
      </c>
      <c r="Q110" s="33">
        <f t="shared" ca="1" si="69"/>
        <v>0</v>
      </c>
      <c r="R110" s="33">
        <f t="shared" ca="1" si="70"/>
        <v>0</v>
      </c>
      <c r="S110" s="34" t="str">
        <f t="shared" ca="1" si="71"/>
        <v/>
      </c>
    </row>
    <row r="111" spans="1:19" ht="14.25">
      <c r="A111" s="20"/>
      <c r="B111" s="20" t="str">
        <f t="shared" si="54"/>
        <v/>
      </c>
      <c r="C111" s="21" t="str">
        <f t="shared" si="55"/>
        <v/>
      </c>
      <c r="D111" s="33" t="str">
        <f t="shared" si="56"/>
        <v/>
      </c>
      <c r="E111" s="33" t="str">
        <f t="shared" si="57"/>
        <v/>
      </c>
      <c r="F111" s="33" t="str">
        <f t="shared" si="58"/>
        <v/>
      </c>
      <c r="G111" s="33" t="str">
        <f t="shared" si="59"/>
        <v/>
      </c>
      <c r="H111" s="33" t="str">
        <f t="shared" si="60"/>
        <v/>
      </c>
      <c r="I111" s="33" t="str">
        <f t="shared" si="61"/>
        <v/>
      </c>
      <c r="J111" s="33" t="str">
        <f t="shared" si="62"/>
        <v/>
      </c>
      <c r="K111" s="33" t="str">
        <f t="shared" si="63"/>
        <v/>
      </c>
      <c r="L111" s="33" t="str">
        <f t="shared" si="64"/>
        <v/>
      </c>
      <c r="M111" s="33" t="str">
        <f t="shared" si="65"/>
        <v/>
      </c>
      <c r="N111" s="33" t="str">
        <f t="shared" si="66"/>
        <v/>
      </c>
      <c r="O111" s="33" t="str">
        <f t="shared" si="67"/>
        <v/>
      </c>
      <c r="P111" s="33" t="str">
        <f t="shared" si="68"/>
        <v/>
      </c>
      <c r="Q111" s="33" t="str">
        <f t="shared" si="69"/>
        <v/>
      </c>
      <c r="R111" s="33" t="str">
        <f t="shared" si="70"/>
        <v/>
      </c>
      <c r="S111" s="34" t="str">
        <f t="shared" si="71"/>
        <v/>
      </c>
    </row>
    <row r="112" spans="1:19" ht="37.5">
      <c r="A112" s="20">
        <f ca="1">IFERROR(__xludf.DUMMYFUNCTION("""COMPUTED_VALUE"""),111)</f>
        <v>111</v>
      </c>
      <c r="B112" s="20" t="str">
        <f t="shared" ca="1" si="54"/>
        <v>Dialogo Ciudadano para la Construcción del PDD - UPL Barrios Unidos</v>
      </c>
      <c r="C112" s="21">
        <f t="shared" ca="1" si="55"/>
        <v>45364</v>
      </c>
      <c r="D112" s="33">
        <f t="shared" ca="1" si="56"/>
        <v>1</v>
      </c>
      <c r="E112" s="33" t="str">
        <f t="shared" ca="1" si="57"/>
        <v>Envío de memorias del espacio.</v>
      </c>
      <c r="F112" s="33" t="str">
        <f t="shared" ca="1" si="58"/>
        <v>Realizado y Devuelto a la Ciudadanía</v>
      </c>
      <c r="G112" s="33">
        <f t="shared" ca="1" si="59"/>
        <v>0</v>
      </c>
      <c r="H112" s="33" t="str">
        <f t="shared" ca="1" si="60"/>
        <v>No aplica</v>
      </c>
      <c r="I112" s="33">
        <f t="shared" ca="1" si="61"/>
        <v>0</v>
      </c>
      <c r="J112" s="33" t="str">
        <f t="shared" ca="1" si="62"/>
        <v>No aplica</v>
      </c>
      <c r="K112" s="33">
        <f t="shared" ca="1" si="63"/>
        <v>0</v>
      </c>
      <c r="L112" s="33" t="str">
        <f t="shared" ca="1" si="64"/>
        <v>No aplica</v>
      </c>
      <c r="M112" s="33">
        <f t="shared" ca="1" si="65"/>
        <v>0</v>
      </c>
      <c r="N112" s="33" t="str">
        <f t="shared" ca="1" si="66"/>
        <v>No aplica</v>
      </c>
      <c r="O112" s="33">
        <f t="shared" ca="1" si="67"/>
        <v>0</v>
      </c>
      <c r="P112" s="33" t="str">
        <f t="shared" ca="1" si="68"/>
        <v>No aplica</v>
      </c>
      <c r="Q112" s="33">
        <f t="shared" ca="1" si="69"/>
        <v>1</v>
      </c>
      <c r="R112" s="33">
        <f t="shared" ca="1" si="70"/>
        <v>1</v>
      </c>
      <c r="S112" s="34">
        <f t="shared" ca="1" si="71"/>
        <v>1</v>
      </c>
    </row>
    <row r="113" spans="1:19" ht="13.5">
      <c r="A113" s="20">
        <f ca="1">IFERROR(__xludf.DUMMYFUNCTION("""COMPUTED_VALUE"""),112)</f>
        <v>112</v>
      </c>
      <c r="B113" s="20" t="str">
        <f t="shared" ca="1" si="54"/>
        <v>Comisión Poblacional</v>
      </c>
      <c r="C113" s="21">
        <f t="shared" ca="1" si="55"/>
        <v>45364</v>
      </c>
      <c r="D113" s="33">
        <f t="shared" ca="1" si="56"/>
        <v>0</v>
      </c>
      <c r="E113" s="33">
        <f t="shared" ca="1" si="57"/>
        <v>0</v>
      </c>
      <c r="F113" s="33" t="str">
        <f t="shared" ca="1" si="58"/>
        <v>No aplica</v>
      </c>
      <c r="G113" s="33">
        <f t="shared" ca="1" si="59"/>
        <v>0</v>
      </c>
      <c r="H113" s="33" t="str">
        <f t="shared" ca="1" si="60"/>
        <v>No aplica</v>
      </c>
      <c r="I113" s="33">
        <f t="shared" ca="1" si="61"/>
        <v>0</v>
      </c>
      <c r="J113" s="33" t="str">
        <f t="shared" ca="1" si="62"/>
        <v>No aplica</v>
      </c>
      <c r="K113" s="33">
        <f t="shared" ca="1" si="63"/>
        <v>0</v>
      </c>
      <c r="L113" s="33" t="str">
        <f t="shared" ca="1" si="64"/>
        <v>No aplica</v>
      </c>
      <c r="M113" s="33">
        <f t="shared" ca="1" si="65"/>
        <v>0</v>
      </c>
      <c r="N113" s="33" t="str">
        <f t="shared" ca="1" si="66"/>
        <v>No aplica</v>
      </c>
      <c r="O113" s="33">
        <f t="shared" ca="1" si="67"/>
        <v>0</v>
      </c>
      <c r="P113" s="33" t="str">
        <f t="shared" ca="1" si="68"/>
        <v>No aplica</v>
      </c>
      <c r="Q113" s="33">
        <f t="shared" ca="1" si="69"/>
        <v>0</v>
      </c>
      <c r="R113" s="33">
        <f t="shared" ca="1" si="70"/>
        <v>0</v>
      </c>
      <c r="S113" s="34" t="str">
        <f t="shared" ca="1" si="71"/>
        <v/>
      </c>
    </row>
    <row r="114" spans="1:19" ht="13.5">
      <c r="A114" s="20">
        <f ca="1">IFERROR(__xludf.DUMMYFUNCTION("""COMPUTED_VALUE"""),113)</f>
        <v>113</v>
      </c>
      <c r="B114" s="20" t="str">
        <f t="shared" ca="1" si="54"/>
        <v>CLIP extraordinaria San Cristóbal</v>
      </c>
      <c r="C114" s="21">
        <f t="shared" ca="1" si="55"/>
        <v>45365</v>
      </c>
      <c r="D114" s="33">
        <f t="shared" ca="1" si="56"/>
        <v>0</v>
      </c>
      <c r="E114" s="33">
        <f t="shared" ca="1" si="57"/>
        <v>0</v>
      </c>
      <c r="F114" s="33" t="str">
        <f t="shared" ca="1" si="58"/>
        <v>No aplica</v>
      </c>
      <c r="G114" s="33">
        <f t="shared" ca="1" si="59"/>
        <v>0</v>
      </c>
      <c r="H114" s="33" t="str">
        <f t="shared" ca="1" si="60"/>
        <v>No aplica</v>
      </c>
      <c r="I114" s="33">
        <f t="shared" ca="1" si="61"/>
        <v>0</v>
      </c>
      <c r="J114" s="33" t="str">
        <f t="shared" ca="1" si="62"/>
        <v>No aplica</v>
      </c>
      <c r="K114" s="33">
        <f t="shared" ca="1" si="63"/>
        <v>0</v>
      </c>
      <c r="L114" s="33" t="str">
        <f t="shared" ca="1" si="64"/>
        <v>No aplica</v>
      </c>
      <c r="M114" s="33">
        <f t="shared" ca="1" si="65"/>
        <v>0</v>
      </c>
      <c r="N114" s="33" t="str">
        <f t="shared" ca="1" si="66"/>
        <v>No aplica</v>
      </c>
      <c r="O114" s="33">
        <f t="shared" ca="1" si="67"/>
        <v>0</v>
      </c>
      <c r="P114" s="33" t="str">
        <f t="shared" ca="1" si="68"/>
        <v>No aplica</v>
      </c>
      <c r="Q114" s="33">
        <f t="shared" ca="1" si="69"/>
        <v>0</v>
      </c>
      <c r="R114" s="33">
        <f t="shared" ca="1" si="70"/>
        <v>0</v>
      </c>
      <c r="S114" s="34" t="str">
        <f t="shared" ca="1" si="71"/>
        <v/>
      </c>
    </row>
    <row r="115" spans="1:19" ht="13.5">
      <c r="A115" s="20">
        <f ca="1">IFERROR(__xludf.DUMMYFUNCTION("""COMPUTED_VALUE"""),114)</f>
        <v>114</v>
      </c>
      <c r="B115" s="20" t="str">
        <f t="shared" ca="1" si="54"/>
        <v>CLIP Bosa</v>
      </c>
      <c r="C115" s="21">
        <f t="shared" ca="1" si="55"/>
        <v>45365</v>
      </c>
      <c r="D115" s="33">
        <f t="shared" ca="1" si="56"/>
        <v>0</v>
      </c>
      <c r="E115" s="33">
        <f t="shared" ca="1" si="57"/>
        <v>0</v>
      </c>
      <c r="F115" s="33" t="str">
        <f t="shared" ca="1" si="58"/>
        <v>No aplica</v>
      </c>
      <c r="G115" s="33">
        <f t="shared" ca="1" si="59"/>
        <v>0</v>
      </c>
      <c r="H115" s="33" t="str">
        <f t="shared" ca="1" si="60"/>
        <v>No aplica</v>
      </c>
      <c r="I115" s="33">
        <f t="shared" ca="1" si="61"/>
        <v>0</v>
      </c>
      <c r="J115" s="33" t="str">
        <f t="shared" ca="1" si="62"/>
        <v>No aplica</v>
      </c>
      <c r="K115" s="33">
        <f t="shared" ca="1" si="63"/>
        <v>0</v>
      </c>
      <c r="L115" s="33" t="str">
        <f t="shared" ca="1" si="64"/>
        <v>No aplica</v>
      </c>
      <c r="M115" s="33">
        <f t="shared" ca="1" si="65"/>
        <v>0</v>
      </c>
      <c r="N115" s="33" t="str">
        <f t="shared" ca="1" si="66"/>
        <v>No aplica</v>
      </c>
      <c r="O115" s="33">
        <f t="shared" ca="1" si="67"/>
        <v>0</v>
      </c>
      <c r="P115" s="33" t="str">
        <f t="shared" ca="1" si="68"/>
        <v>No aplica</v>
      </c>
      <c r="Q115" s="33">
        <f t="shared" ca="1" si="69"/>
        <v>0</v>
      </c>
      <c r="R115" s="33">
        <f t="shared" ca="1" si="70"/>
        <v>0</v>
      </c>
      <c r="S115" s="34" t="str">
        <f t="shared" ca="1" si="71"/>
        <v/>
      </c>
    </row>
    <row r="116" spans="1:19" ht="13.5">
      <c r="A116" s="20">
        <f ca="1">IFERROR(__xludf.DUMMYFUNCTION("""COMPUTED_VALUE"""),115)</f>
        <v>115</v>
      </c>
      <c r="B116" s="20" t="str">
        <f t="shared" ca="1" si="54"/>
        <v>CLIP Sumapaz</v>
      </c>
      <c r="C116" s="21">
        <f t="shared" ca="1" si="55"/>
        <v>45365</v>
      </c>
      <c r="D116" s="33">
        <f t="shared" ca="1" si="56"/>
        <v>0</v>
      </c>
      <c r="E116" s="33">
        <f t="shared" ca="1" si="57"/>
        <v>0</v>
      </c>
      <c r="F116" s="33" t="str">
        <f t="shared" ca="1" si="58"/>
        <v>No aplica</v>
      </c>
      <c r="G116" s="33">
        <f t="shared" ca="1" si="59"/>
        <v>0</v>
      </c>
      <c r="H116" s="33" t="str">
        <f t="shared" ca="1" si="60"/>
        <v>No aplica</v>
      </c>
      <c r="I116" s="33">
        <f t="shared" ca="1" si="61"/>
        <v>0</v>
      </c>
      <c r="J116" s="33" t="str">
        <f t="shared" ca="1" si="62"/>
        <v>No aplica</v>
      </c>
      <c r="K116" s="33">
        <f t="shared" ca="1" si="63"/>
        <v>0</v>
      </c>
      <c r="L116" s="33" t="str">
        <f t="shared" ca="1" si="64"/>
        <v>No aplica</v>
      </c>
      <c r="M116" s="33">
        <f t="shared" ca="1" si="65"/>
        <v>0</v>
      </c>
      <c r="N116" s="33" t="str">
        <f t="shared" ca="1" si="66"/>
        <v>No aplica</v>
      </c>
      <c r="O116" s="33">
        <f t="shared" ca="1" si="67"/>
        <v>0</v>
      </c>
      <c r="P116" s="33" t="str">
        <f t="shared" ca="1" si="68"/>
        <v>No aplica</v>
      </c>
      <c r="Q116" s="33">
        <f t="shared" ca="1" si="69"/>
        <v>0</v>
      </c>
      <c r="R116" s="33">
        <f t="shared" ca="1" si="70"/>
        <v>0</v>
      </c>
      <c r="S116" s="34" t="str">
        <f t="shared" ca="1" si="71"/>
        <v/>
      </c>
    </row>
    <row r="117" spans="1:19" ht="49.5">
      <c r="A117" s="20">
        <f ca="1">IFERROR(__xludf.DUMMYFUNCTION("""COMPUTED_VALUE"""),116)</f>
        <v>116</v>
      </c>
      <c r="B117" s="20" t="str">
        <f t="shared" ca="1" si="54"/>
        <v>Jornada Pégate al Plan: Pedagogía ciudadana para el manejo e implementación de la herramienta chatico - STARTCO</v>
      </c>
      <c r="C117" s="21">
        <f t="shared" ca="1" si="55"/>
        <v>45365</v>
      </c>
      <c r="D117" s="33">
        <f t="shared" ca="1" si="56"/>
        <v>0</v>
      </c>
      <c r="E117" s="33">
        <f t="shared" ca="1" si="57"/>
        <v>0</v>
      </c>
      <c r="F117" s="33" t="str">
        <f t="shared" ca="1" si="58"/>
        <v>No aplica</v>
      </c>
      <c r="G117" s="33">
        <f t="shared" ca="1" si="59"/>
        <v>0</v>
      </c>
      <c r="H117" s="33" t="str">
        <f t="shared" ca="1" si="60"/>
        <v>No aplica</v>
      </c>
      <c r="I117" s="33">
        <f t="shared" ca="1" si="61"/>
        <v>0</v>
      </c>
      <c r="J117" s="33" t="str">
        <f t="shared" ca="1" si="62"/>
        <v>No aplica</v>
      </c>
      <c r="K117" s="33">
        <f t="shared" ca="1" si="63"/>
        <v>0</v>
      </c>
      <c r="L117" s="33" t="str">
        <f t="shared" ca="1" si="64"/>
        <v>No aplica</v>
      </c>
      <c r="M117" s="33">
        <f t="shared" ca="1" si="65"/>
        <v>0</v>
      </c>
      <c r="N117" s="33" t="str">
        <f t="shared" ca="1" si="66"/>
        <v>No aplica</v>
      </c>
      <c r="O117" s="33">
        <f t="shared" ca="1" si="67"/>
        <v>0</v>
      </c>
      <c r="P117" s="33" t="str">
        <f t="shared" ca="1" si="68"/>
        <v>No aplica</v>
      </c>
      <c r="Q117" s="33">
        <f t="shared" ca="1" si="69"/>
        <v>0</v>
      </c>
      <c r="R117" s="33">
        <f t="shared" ca="1" si="70"/>
        <v>0</v>
      </c>
      <c r="S117" s="34" t="str">
        <f t="shared" ca="1" si="71"/>
        <v/>
      </c>
    </row>
    <row r="118" spans="1:19" ht="14.25">
      <c r="A118" s="20"/>
      <c r="B118" s="20" t="str">
        <f t="shared" si="54"/>
        <v/>
      </c>
      <c r="C118" s="21" t="str">
        <f t="shared" si="55"/>
        <v/>
      </c>
      <c r="D118" s="33" t="str">
        <f t="shared" si="56"/>
        <v/>
      </c>
      <c r="E118" s="33" t="str">
        <f t="shared" si="57"/>
        <v/>
      </c>
      <c r="F118" s="33" t="str">
        <f t="shared" si="58"/>
        <v/>
      </c>
      <c r="G118" s="33" t="str">
        <f t="shared" si="59"/>
        <v/>
      </c>
      <c r="H118" s="33" t="str">
        <f t="shared" si="60"/>
        <v/>
      </c>
      <c r="I118" s="33" t="str">
        <f t="shared" si="61"/>
        <v/>
      </c>
      <c r="J118" s="33" t="str">
        <f t="shared" si="62"/>
        <v/>
      </c>
      <c r="K118" s="33" t="str">
        <f t="shared" si="63"/>
        <v/>
      </c>
      <c r="L118" s="33" t="str">
        <f t="shared" si="64"/>
        <v/>
      </c>
      <c r="M118" s="33" t="str">
        <f t="shared" si="65"/>
        <v/>
      </c>
      <c r="N118" s="33" t="str">
        <f t="shared" si="66"/>
        <v/>
      </c>
      <c r="O118" s="33" t="str">
        <f t="shared" si="67"/>
        <v/>
      </c>
      <c r="P118" s="33" t="str">
        <f t="shared" si="68"/>
        <v/>
      </c>
      <c r="Q118" s="33" t="str">
        <f t="shared" si="69"/>
        <v/>
      </c>
      <c r="R118" s="33" t="str">
        <f t="shared" si="70"/>
        <v/>
      </c>
      <c r="S118" s="34" t="str">
        <f t="shared" si="71"/>
        <v/>
      </c>
    </row>
    <row r="119" spans="1:19" ht="49.5">
      <c r="A119" s="20">
        <f ca="1">IFERROR(__xludf.DUMMYFUNCTION("""COMPUTED_VALUE"""),118)</f>
        <v>118</v>
      </c>
      <c r="B119" s="20" t="str">
        <f t="shared" ca="1" si="54"/>
        <v>Gestión: Concertación con la Consultiva Indígena de la metodología de participación del PDD</v>
      </c>
      <c r="C119" s="21">
        <f t="shared" ca="1" si="55"/>
        <v>45365</v>
      </c>
      <c r="D119" s="33">
        <f t="shared" ca="1" si="56"/>
        <v>0</v>
      </c>
      <c r="E119" s="33">
        <f t="shared" ca="1" si="57"/>
        <v>0</v>
      </c>
      <c r="F119" s="33" t="str">
        <f t="shared" ca="1" si="58"/>
        <v>No aplica</v>
      </c>
      <c r="G119" s="33">
        <f t="shared" ca="1" si="59"/>
        <v>0</v>
      </c>
      <c r="H119" s="33" t="str">
        <f t="shared" ca="1" si="60"/>
        <v>No aplica</v>
      </c>
      <c r="I119" s="33">
        <f t="shared" ca="1" si="61"/>
        <v>0</v>
      </c>
      <c r="J119" s="33" t="str">
        <f t="shared" ca="1" si="62"/>
        <v>No aplica</v>
      </c>
      <c r="K119" s="33">
        <f t="shared" ca="1" si="63"/>
        <v>0</v>
      </c>
      <c r="L119" s="33" t="str">
        <f t="shared" ca="1" si="64"/>
        <v>No aplica</v>
      </c>
      <c r="M119" s="33">
        <f t="shared" ca="1" si="65"/>
        <v>0</v>
      </c>
      <c r="N119" s="33" t="str">
        <f t="shared" ca="1" si="66"/>
        <v>No aplica</v>
      </c>
      <c r="O119" s="33">
        <f t="shared" ca="1" si="67"/>
        <v>0</v>
      </c>
      <c r="P119" s="33" t="str">
        <f t="shared" ca="1" si="68"/>
        <v>No aplica</v>
      </c>
      <c r="Q119" s="33">
        <f t="shared" ca="1" si="69"/>
        <v>0</v>
      </c>
      <c r="R119" s="33">
        <f t="shared" ca="1" si="70"/>
        <v>0</v>
      </c>
      <c r="S119" s="34" t="str">
        <f t="shared" ca="1" si="71"/>
        <v/>
      </c>
    </row>
    <row r="120" spans="1:19" ht="14.25">
      <c r="A120" s="20"/>
      <c r="B120" s="20" t="str">
        <f t="shared" si="54"/>
        <v/>
      </c>
      <c r="C120" s="21" t="str">
        <f t="shared" si="55"/>
        <v/>
      </c>
      <c r="D120" s="33" t="str">
        <f t="shared" si="56"/>
        <v/>
      </c>
      <c r="E120" s="33" t="str">
        <f t="shared" si="57"/>
        <v/>
      </c>
      <c r="F120" s="33" t="str">
        <f t="shared" si="58"/>
        <v/>
      </c>
      <c r="G120" s="33" t="str">
        <f t="shared" si="59"/>
        <v/>
      </c>
      <c r="H120" s="33" t="str">
        <f t="shared" si="60"/>
        <v/>
      </c>
      <c r="I120" s="33" t="str">
        <f t="shared" si="61"/>
        <v/>
      </c>
      <c r="J120" s="33" t="str">
        <f t="shared" si="62"/>
        <v/>
      </c>
      <c r="K120" s="33" t="str">
        <f t="shared" si="63"/>
        <v/>
      </c>
      <c r="L120" s="33" t="str">
        <f t="shared" si="64"/>
        <v/>
      </c>
      <c r="M120" s="33" t="str">
        <f t="shared" si="65"/>
        <v/>
      </c>
      <c r="N120" s="33" t="str">
        <f t="shared" si="66"/>
        <v/>
      </c>
      <c r="O120" s="33" t="str">
        <f t="shared" si="67"/>
        <v/>
      </c>
      <c r="P120" s="33" t="str">
        <f t="shared" si="68"/>
        <v/>
      </c>
      <c r="Q120" s="33" t="str">
        <f t="shared" si="69"/>
        <v/>
      </c>
      <c r="R120" s="33" t="str">
        <f t="shared" si="70"/>
        <v/>
      </c>
      <c r="S120" s="34" t="str">
        <f t="shared" si="71"/>
        <v/>
      </c>
    </row>
    <row r="121" spans="1:19" ht="37.5">
      <c r="A121" s="20">
        <f ca="1">IFERROR(__xludf.DUMMYFUNCTION("""COMPUTED_VALUE"""),120)</f>
        <v>120</v>
      </c>
      <c r="B121" s="20" t="str">
        <f t="shared" ca="1" si="54"/>
        <v>Gestión: Concertación con la Consultiva Raizal de la metodología de participación del PDD</v>
      </c>
      <c r="C121" s="21">
        <f t="shared" ca="1" si="55"/>
        <v>45365</v>
      </c>
      <c r="D121" s="33">
        <f t="shared" ca="1" si="56"/>
        <v>0</v>
      </c>
      <c r="E121" s="33">
        <f t="shared" ca="1" si="57"/>
        <v>0</v>
      </c>
      <c r="F121" s="33" t="str">
        <f t="shared" ca="1" si="58"/>
        <v>No aplica</v>
      </c>
      <c r="G121" s="33">
        <f t="shared" ca="1" si="59"/>
        <v>0</v>
      </c>
      <c r="H121" s="33" t="str">
        <f t="shared" ca="1" si="60"/>
        <v>No aplica</v>
      </c>
      <c r="I121" s="33">
        <f t="shared" ca="1" si="61"/>
        <v>0</v>
      </c>
      <c r="J121" s="33" t="str">
        <f t="shared" ca="1" si="62"/>
        <v>No aplica</v>
      </c>
      <c r="K121" s="33">
        <f t="shared" ca="1" si="63"/>
        <v>0</v>
      </c>
      <c r="L121" s="33" t="str">
        <f t="shared" ca="1" si="64"/>
        <v>No aplica</v>
      </c>
      <c r="M121" s="33">
        <f t="shared" ca="1" si="65"/>
        <v>0</v>
      </c>
      <c r="N121" s="33" t="str">
        <f t="shared" ca="1" si="66"/>
        <v>No aplica</v>
      </c>
      <c r="O121" s="33">
        <f t="shared" ca="1" si="67"/>
        <v>0</v>
      </c>
      <c r="P121" s="33" t="str">
        <f t="shared" ca="1" si="68"/>
        <v>No aplica</v>
      </c>
      <c r="Q121" s="33">
        <f t="shared" ca="1" si="69"/>
        <v>0</v>
      </c>
      <c r="R121" s="33">
        <f t="shared" ca="1" si="70"/>
        <v>0</v>
      </c>
      <c r="S121" s="34" t="str">
        <f t="shared" ca="1" si="71"/>
        <v/>
      </c>
    </row>
    <row r="122" spans="1:19" ht="37.5">
      <c r="A122" s="20">
        <f ca="1">IFERROR(__xludf.DUMMYFUNCTION("""COMPUTED_VALUE"""),121)</f>
        <v>121</v>
      </c>
      <c r="B122" s="20" t="str">
        <f t="shared" ca="1" si="54"/>
        <v>Dialogo Ciudadano para la Construcción del PDD - UPL Engativá</v>
      </c>
      <c r="C122" s="21">
        <f t="shared" ca="1" si="55"/>
        <v>45365</v>
      </c>
      <c r="D122" s="33">
        <f t="shared" ca="1" si="56"/>
        <v>1</v>
      </c>
      <c r="E122" s="33" t="str">
        <f t="shared" ca="1" si="57"/>
        <v>Envío de memoerias del espacio</v>
      </c>
      <c r="F122" s="33" t="str">
        <f t="shared" ca="1" si="58"/>
        <v>Realizado y Devuelto a la Ciudadanía</v>
      </c>
      <c r="G122" s="33">
        <f t="shared" ca="1" si="59"/>
        <v>0</v>
      </c>
      <c r="H122" s="33" t="str">
        <f t="shared" ca="1" si="60"/>
        <v>No aplica</v>
      </c>
      <c r="I122" s="33">
        <f t="shared" ca="1" si="61"/>
        <v>0</v>
      </c>
      <c r="J122" s="33" t="str">
        <f t="shared" ca="1" si="62"/>
        <v>No aplica</v>
      </c>
      <c r="K122" s="33">
        <f t="shared" ca="1" si="63"/>
        <v>0</v>
      </c>
      <c r="L122" s="33" t="str">
        <f t="shared" ca="1" si="64"/>
        <v>No aplica</v>
      </c>
      <c r="M122" s="33">
        <f t="shared" ca="1" si="65"/>
        <v>0</v>
      </c>
      <c r="N122" s="33" t="str">
        <f t="shared" ca="1" si="66"/>
        <v>No aplica</v>
      </c>
      <c r="O122" s="33">
        <f t="shared" ca="1" si="67"/>
        <v>0</v>
      </c>
      <c r="P122" s="33" t="str">
        <f t="shared" ca="1" si="68"/>
        <v>No aplica</v>
      </c>
      <c r="Q122" s="33">
        <f t="shared" ca="1" si="69"/>
        <v>1</v>
      </c>
      <c r="R122" s="33">
        <f t="shared" ca="1" si="70"/>
        <v>1</v>
      </c>
      <c r="S122" s="34">
        <f t="shared" ca="1" si="71"/>
        <v>1</v>
      </c>
    </row>
    <row r="123" spans="1:19" ht="25.5">
      <c r="A123" s="20">
        <f ca="1">IFERROR(__xludf.DUMMYFUNCTION("""COMPUTED_VALUE"""),122)</f>
        <v>122</v>
      </c>
      <c r="B123" s="20" t="str">
        <f t="shared" ca="1" si="54"/>
        <v>Comisión de Participación Ordinaria - CTPD</v>
      </c>
      <c r="C123" s="21">
        <f t="shared" ca="1" si="55"/>
        <v>45365</v>
      </c>
      <c r="D123" s="33">
        <f t="shared" ca="1" si="56"/>
        <v>0</v>
      </c>
      <c r="E123" s="33">
        <f t="shared" ca="1" si="57"/>
        <v>0</v>
      </c>
      <c r="F123" s="33" t="str">
        <f t="shared" ca="1" si="58"/>
        <v>No aplica</v>
      </c>
      <c r="G123" s="33">
        <f t="shared" ca="1" si="59"/>
        <v>0</v>
      </c>
      <c r="H123" s="33" t="str">
        <f t="shared" ca="1" si="60"/>
        <v>No aplica</v>
      </c>
      <c r="I123" s="33">
        <f t="shared" ca="1" si="61"/>
        <v>0</v>
      </c>
      <c r="J123" s="33" t="str">
        <f t="shared" ca="1" si="62"/>
        <v>No aplica</v>
      </c>
      <c r="K123" s="33">
        <f t="shared" ca="1" si="63"/>
        <v>0</v>
      </c>
      <c r="L123" s="33" t="str">
        <f t="shared" ca="1" si="64"/>
        <v>No aplica</v>
      </c>
      <c r="M123" s="33">
        <f t="shared" ca="1" si="65"/>
        <v>0</v>
      </c>
      <c r="N123" s="33" t="str">
        <f t="shared" ca="1" si="66"/>
        <v>No aplica</v>
      </c>
      <c r="O123" s="33">
        <f t="shared" ca="1" si="67"/>
        <v>0</v>
      </c>
      <c r="P123" s="33" t="str">
        <f t="shared" ca="1" si="68"/>
        <v>No aplica</v>
      </c>
      <c r="Q123" s="33">
        <f t="shared" ca="1" si="69"/>
        <v>0</v>
      </c>
      <c r="R123" s="33">
        <f t="shared" ca="1" si="70"/>
        <v>0</v>
      </c>
      <c r="S123" s="34" t="str">
        <f t="shared" ca="1" si="71"/>
        <v/>
      </c>
    </row>
    <row r="124" spans="1:19" ht="37.5">
      <c r="A124" s="20">
        <f ca="1">IFERROR(__xludf.DUMMYFUNCTION("""COMPUTED_VALUE"""),123)</f>
        <v>123</v>
      </c>
      <c r="B124" s="20" t="str">
        <f t="shared" ca="1" si="54"/>
        <v>Sexto foro virtual con Servidores Públicos para la formulación del PDD - DASCD/SDP</v>
      </c>
      <c r="C124" s="21">
        <f t="shared" ca="1" si="55"/>
        <v>45366</v>
      </c>
      <c r="D124" s="33">
        <f t="shared" ca="1" si="56"/>
        <v>0</v>
      </c>
      <c r="E124" s="33">
        <f t="shared" ca="1" si="57"/>
        <v>0</v>
      </c>
      <c r="F124" s="33">
        <f t="shared" ca="1" si="58"/>
        <v>0</v>
      </c>
      <c r="G124" s="33">
        <f t="shared" ca="1" si="59"/>
        <v>0</v>
      </c>
      <c r="H124" s="33">
        <f t="shared" ca="1" si="60"/>
        <v>0</v>
      </c>
      <c r="I124" s="33">
        <f t="shared" ca="1" si="61"/>
        <v>0</v>
      </c>
      <c r="J124" s="33">
        <f t="shared" ca="1" si="62"/>
        <v>0</v>
      </c>
      <c r="K124" s="33">
        <f t="shared" ca="1" si="63"/>
        <v>0</v>
      </c>
      <c r="L124" s="33">
        <f t="shared" ca="1" si="64"/>
        <v>0</v>
      </c>
      <c r="M124" s="33">
        <f t="shared" ca="1" si="65"/>
        <v>0</v>
      </c>
      <c r="N124" s="33">
        <f t="shared" ca="1" si="66"/>
        <v>0</v>
      </c>
      <c r="O124" s="33">
        <f t="shared" ca="1" si="67"/>
        <v>0</v>
      </c>
      <c r="P124" s="33">
        <f t="shared" ca="1" si="68"/>
        <v>0</v>
      </c>
      <c r="Q124" s="33">
        <f t="shared" ca="1" si="69"/>
        <v>0</v>
      </c>
      <c r="R124" s="33">
        <f t="shared" ca="1" si="70"/>
        <v>0</v>
      </c>
      <c r="S124" s="34" t="str">
        <f t="shared" ca="1" si="71"/>
        <v/>
      </c>
    </row>
    <row r="125" spans="1:19" ht="13.5">
      <c r="A125" s="20">
        <f ca="1">IFERROR(__xludf.DUMMYFUNCTION("""COMPUTED_VALUE"""),124)</f>
        <v>124</v>
      </c>
      <c r="B125" s="20" t="str">
        <f t="shared" ca="1" si="54"/>
        <v>Sesión Mesa de Cultura Ciudadana</v>
      </c>
      <c r="C125" s="21">
        <f t="shared" ca="1" si="55"/>
        <v>45366</v>
      </c>
      <c r="D125" s="33">
        <f t="shared" ca="1" si="56"/>
        <v>0</v>
      </c>
      <c r="E125" s="33">
        <f t="shared" ca="1" si="57"/>
        <v>0</v>
      </c>
      <c r="F125" s="33" t="str">
        <f t="shared" ca="1" si="58"/>
        <v>No aplica</v>
      </c>
      <c r="G125" s="33">
        <f t="shared" ca="1" si="59"/>
        <v>0</v>
      </c>
      <c r="H125" s="33" t="str">
        <f t="shared" ca="1" si="60"/>
        <v>No aplica</v>
      </c>
      <c r="I125" s="33">
        <f t="shared" ca="1" si="61"/>
        <v>0</v>
      </c>
      <c r="J125" s="33" t="str">
        <f t="shared" ca="1" si="62"/>
        <v>No aplica</v>
      </c>
      <c r="K125" s="33">
        <f t="shared" ca="1" si="63"/>
        <v>0</v>
      </c>
      <c r="L125" s="33" t="str">
        <f t="shared" ca="1" si="64"/>
        <v>No aplica</v>
      </c>
      <c r="M125" s="33">
        <f t="shared" ca="1" si="65"/>
        <v>0</v>
      </c>
      <c r="N125" s="33" t="str">
        <f t="shared" ca="1" si="66"/>
        <v>No aplica</v>
      </c>
      <c r="O125" s="33">
        <f t="shared" ca="1" si="67"/>
        <v>0</v>
      </c>
      <c r="P125" s="33" t="str">
        <f t="shared" ca="1" si="68"/>
        <v>No aplica</v>
      </c>
      <c r="Q125" s="33">
        <f t="shared" ca="1" si="69"/>
        <v>0</v>
      </c>
      <c r="R125" s="33">
        <f t="shared" ca="1" si="70"/>
        <v>0</v>
      </c>
      <c r="S125" s="34" t="str">
        <f t="shared" ca="1" si="71"/>
        <v/>
      </c>
    </row>
    <row r="126" spans="1:19" ht="49.5">
      <c r="A126" s="20">
        <f ca="1">IFERROR(__xludf.DUMMYFUNCTION("""COMPUTED_VALUE"""),125)</f>
        <v>125</v>
      </c>
      <c r="B126" s="20" t="str">
        <f t="shared" ca="1" si="54"/>
        <v>Gestión: Concertación con la Consultiva Rrom - Gitana de la metodología de participación del PDD</v>
      </c>
      <c r="C126" s="21">
        <f t="shared" ca="1" si="55"/>
        <v>45366</v>
      </c>
      <c r="D126" s="33">
        <f t="shared" ca="1" si="56"/>
        <v>0</v>
      </c>
      <c r="E126" s="33">
        <f t="shared" ca="1" si="57"/>
        <v>0</v>
      </c>
      <c r="F126" s="33" t="str">
        <f t="shared" ca="1" si="58"/>
        <v>No aplica</v>
      </c>
      <c r="G126" s="33">
        <f t="shared" ca="1" si="59"/>
        <v>0</v>
      </c>
      <c r="H126" s="33" t="str">
        <f t="shared" ca="1" si="60"/>
        <v>No aplica</v>
      </c>
      <c r="I126" s="33">
        <f t="shared" ca="1" si="61"/>
        <v>0</v>
      </c>
      <c r="J126" s="33" t="str">
        <f t="shared" ca="1" si="62"/>
        <v>No aplica</v>
      </c>
      <c r="K126" s="33">
        <f t="shared" ca="1" si="63"/>
        <v>0</v>
      </c>
      <c r="L126" s="33" t="str">
        <f t="shared" ca="1" si="64"/>
        <v>No aplica</v>
      </c>
      <c r="M126" s="33">
        <f t="shared" ca="1" si="65"/>
        <v>0</v>
      </c>
      <c r="N126" s="33" t="str">
        <f t="shared" ca="1" si="66"/>
        <v>No aplica</v>
      </c>
      <c r="O126" s="33">
        <f t="shared" ca="1" si="67"/>
        <v>0</v>
      </c>
      <c r="P126" s="33" t="str">
        <f t="shared" ca="1" si="68"/>
        <v>No aplica</v>
      </c>
      <c r="Q126" s="33">
        <f t="shared" ca="1" si="69"/>
        <v>0</v>
      </c>
      <c r="R126" s="33">
        <f t="shared" ca="1" si="70"/>
        <v>0</v>
      </c>
      <c r="S126" s="34" t="str">
        <f t="shared" ca="1" si="71"/>
        <v/>
      </c>
    </row>
    <row r="127" spans="1:19" ht="49.5">
      <c r="A127" s="20">
        <f ca="1">IFERROR(__xludf.DUMMYFUNCTION("""COMPUTED_VALUE"""),126)</f>
        <v>126</v>
      </c>
      <c r="B127" s="20" t="str">
        <f t="shared" ca="1" si="54"/>
        <v>Jornada Pégate al Plan: Pedagogía ciudadana para el manejo e implementación de la herramienta chatico - STARTCO II</v>
      </c>
      <c r="C127" s="21">
        <f t="shared" ca="1" si="55"/>
        <v>45366</v>
      </c>
      <c r="D127" s="33">
        <f t="shared" ca="1" si="56"/>
        <v>0</v>
      </c>
      <c r="E127" s="33">
        <f t="shared" ca="1" si="57"/>
        <v>0</v>
      </c>
      <c r="F127" s="33" t="str">
        <f t="shared" ca="1" si="58"/>
        <v>No aplica</v>
      </c>
      <c r="G127" s="33">
        <f t="shared" ca="1" si="59"/>
        <v>0</v>
      </c>
      <c r="H127" s="33" t="str">
        <f t="shared" ca="1" si="60"/>
        <v>No aplica</v>
      </c>
      <c r="I127" s="33">
        <f t="shared" ca="1" si="61"/>
        <v>0</v>
      </c>
      <c r="J127" s="33" t="str">
        <f t="shared" ca="1" si="62"/>
        <v>No aplica</v>
      </c>
      <c r="K127" s="33">
        <f t="shared" ca="1" si="63"/>
        <v>0</v>
      </c>
      <c r="L127" s="33" t="str">
        <f t="shared" ca="1" si="64"/>
        <v>No aplica</v>
      </c>
      <c r="M127" s="33">
        <f t="shared" ca="1" si="65"/>
        <v>0</v>
      </c>
      <c r="N127" s="33" t="str">
        <f t="shared" ca="1" si="66"/>
        <v>No aplica</v>
      </c>
      <c r="O127" s="33">
        <f t="shared" ca="1" si="67"/>
        <v>0</v>
      </c>
      <c r="P127" s="33" t="str">
        <f t="shared" ca="1" si="68"/>
        <v>No aplica</v>
      </c>
      <c r="Q127" s="33">
        <f t="shared" ca="1" si="69"/>
        <v>0</v>
      </c>
      <c r="R127" s="33">
        <f t="shared" ca="1" si="70"/>
        <v>0</v>
      </c>
      <c r="S127" s="34" t="str">
        <f t="shared" ca="1" si="71"/>
        <v/>
      </c>
    </row>
    <row r="128" spans="1:19" ht="49.5">
      <c r="A128" s="20">
        <f ca="1">IFERROR(__xludf.DUMMYFUNCTION("""COMPUTED_VALUE"""),127)</f>
        <v>127</v>
      </c>
      <c r="B128" s="20" t="str">
        <f t="shared" ca="1" si="54"/>
        <v>Gestión: Concertación con la Consultiva Palenquera de la metodología de participación del PDD</v>
      </c>
      <c r="C128" s="21">
        <f t="shared" ca="1" si="55"/>
        <v>45366</v>
      </c>
      <c r="D128" s="33">
        <f t="shared" ca="1" si="56"/>
        <v>0</v>
      </c>
      <c r="E128" s="33">
        <f t="shared" ca="1" si="57"/>
        <v>0</v>
      </c>
      <c r="F128" s="33" t="str">
        <f t="shared" ca="1" si="58"/>
        <v>No aplica</v>
      </c>
      <c r="G128" s="33">
        <f t="shared" ca="1" si="59"/>
        <v>0</v>
      </c>
      <c r="H128" s="33" t="str">
        <f t="shared" ca="1" si="60"/>
        <v>No aplica</v>
      </c>
      <c r="I128" s="33">
        <f t="shared" ca="1" si="61"/>
        <v>0</v>
      </c>
      <c r="J128" s="33" t="str">
        <f t="shared" ca="1" si="62"/>
        <v>No aplica</v>
      </c>
      <c r="K128" s="33">
        <f t="shared" ca="1" si="63"/>
        <v>0</v>
      </c>
      <c r="L128" s="33" t="str">
        <f t="shared" ca="1" si="64"/>
        <v>No aplica</v>
      </c>
      <c r="M128" s="33">
        <f t="shared" ca="1" si="65"/>
        <v>0</v>
      </c>
      <c r="N128" s="33" t="str">
        <f t="shared" ca="1" si="66"/>
        <v>No aplica</v>
      </c>
      <c r="O128" s="33">
        <f t="shared" ca="1" si="67"/>
        <v>0</v>
      </c>
      <c r="P128" s="33" t="str">
        <f t="shared" ca="1" si="68"/>
        <v>No aplica</v>
      </c>
      <c r="Q128" s="33">
        <f t="shared" ca="1" si="69"/>
        <v>0</v>
      </c>
      <c r="R128" s="33">
        <f t="shared" ca="1" si="70"/>
        <v>0</v>
      </c>
      <c r="S128" s="34" t="str">
        <f t="shared" ca="1" si="71"/>
        <v/>
      </c>
    </row>
    <row r="129" spans="1:19" ht="13.5">
      <c r="A129" s="20">
        <f ca="1">IFERROR(__xludf.DUMMYFUNCTION("""COMPUTED_VALUE"""),128)</f>
        <v>128</v>
      </c>
      <c r="B129" s="20" t="str">
        <f t="shared" ca="1" si="54"/>
        <v>Plenaria Extraordinaria - CTPD</v>
      </c>
      <c r="C129" s="21">
        <f t="shared" ca="1" si="55"/>
        <v>45366</v>
      </c>
      <c r="D129" s="33">
        <f t="shared" ca="1" si="56"/>
        <v>0</v>
      </c>
      <c r="E129" s="33">
        <f t="shared" ca="1" si="57"/>
        <v>0</v>
      </c>
      <c r="F129" s="33" t="str">
        <f t="shared" ca="1" si="58"/>
        <v>No aplica</v>
      </c>
      <c r="G129" s="33">
        <f t="shared" ca="1" si="59"/>
        <v>0</v>
      </c>
      <c r="H129" s="33" t="str">
        <f t="shared" ca="1" si="60"/>
        <v>No aplica</v>
      </c>
      <c r="I129" s="33">
        <f t="shared" ca="1" si="61"/>
        <v>0</v>
      </c>
      <c r="J129" s="33" t="str">
        <f t="shared" ca="1" si="62"/>
        <v>No aplica</v>
      </c>
      <c r="K129" s="33">
        <f t="shared" ca="1" si="63"/>
        <v>0</v>
      </c>
      <c r="L129" s="33" t="str">
        <f t="shared" ca="1" si="64"/>
        <v>No aplica</v>
      </c>
      <c r="M129" s="33">
        <f t="shared" ca="1" si="65"/>
        <v>0</v>
      </c>
      <c r="N129" s="33" t="str">
        <f t="shared" ca="1" si="66"/>
        <v>No aplica</v>
      </c>
      <c r="O129" s="33">
        <f t="shared" ca="1" si="67"/>
        <v>0</v>
      </c>
      <c r="P129" s="33" t="str">
        <f t="shared" ca="1" si="68"/>
        <v>No aplica</v>
      </c>
      <c r="Q129" s="33">
        <f t="shared" ca="1" si="69"/>
        <v>0</v>
      </c>
      <c r="R129" s="33">
        <f t="shared" ca="1" si="70"/>
        <v>0</v>
      </c>
      <c r="S129" s="34" t="str">
        <f t="shared" ca="1" si="71"/>
        <v/>
      </c>
    </row>
    <row r="130" spans="1:19" ht="25.5">
      <c r="A130" s="20">
        <f ca="1">IFERROR(__xludf.DUMMYFUNCTION("""COMPUTED_VALUE"""),129)</f>
        <v>129</v>
      </c>
      <c r="B130" s="20" t="str">
        <f t="shared" ref="B130:B161" ca="1" si="72">IFERROR(VLOOKUP(A130,DATA_MATRIZ,2,FALSE),"")</f>
        <v>Diálogo con personas cuidadoras de personas con discapacidad (DDSPG)</v>
      </c>
      <c r="C130" s="21">
        <f t="shared" ref="C130:C161" ca="1" si="73">IFERROR(VLOOKUP(A130,DATA_MATRIZ,3,FALSE),"")</f>
        <v>45367</v>
      </c>
      <c r="D130" s="33">
        <f t="shared" ref="D130:D161" ca="1" si="74">IFERROR(VLOOKUP(A130,DATA_MATRIZ,89,FALSE),"")</f>
        <v>0</v>
      </c>
      <c r="E130" s="33">
        <f t="shared" ref="E130:E161" ca="1" si="75">IFERROR(VLOOKUP(A130,DATA_MATRIZ,90,FALSE),"")</f>
        <v>0</v>
      </c>
      <c r="F130" s="33" t="str">
        <f t="shared" ref="F130:F161" ca="1" si="76">IFERROR(VLOOKUP(A130,DATA_MATRIZ,96,FALSE),"")</f>
        <v>No aplica</v>
      </c>
      <c r="G130" s="33">
        <f t="shared" ref="G130:G161" ca="1" si="77">IFERROR(VLOOKUP(A130,DATA_MATRIZ,91,FALSE),"")</f>
        <v>0</v>
      </c>
      <c r="H130" s="33" t="str">
        <f t="shared" ref="H130:H161" ca="1" si="78">IFERROR(VLOOKUP(A130,DATA_MATRIZ,97,FALSE),"")</f>
        <v>No aplica</v>
      </c>
      <c r="I130" s="33">
        <f t="shared" ref="I130:I161" ca="1" si="79">IFERROR(VLOOKUP(A130,DATA_MATRIZ,92,FALSE),"")</f>
        <v>0</v>
      </c>
      <c r="J130" s="33" t="str">
        <f t="shared" ref="J130:J161" ca="1" si="80">IFERROR(VLOOKUP(A130,DATA_MATRIZ,98,FALSE),"")</f>
        <v>No aplica</v>
      </c>
      <c r="K130" s="33">
        <f t="shared" ref="K130:K161" ca="1" si="81">IFERROR(VLOOKUP(A130,DATA_MATRIZ,93,FALSE),"")</f>
        <v>0</v>
      </c>
      <c r="L130" s="33" t="str">
        <f t="shared" ref="L130:L161" ca="1" si="82">IFERROR(VLOOKUP(A130,DATA_MATRIZ,99,FALSE),"")</f>
        <v>No aplica</v>
      </c>
      <c r="M130" s="33">
        <f t="shared" ref="M130:M161" ca="1" si="83">IFERROR(VLOOKUP(A130,DATA_MATRIZ,94,FALSE),"")</f>
        <v>0</v>
      </c>
      <c r="N130" s="33" t="str">
        <f t="shared" ref="N130:N161" ca="1" si="84">IFERROR(VLOOKUP(A130,DATA_MATRIZ,100,FALSE),"")</f>
        <v>No aplica</v>
      </c>
      <c r="O130" s="33">
        <f t="shared" ref="O130:O161" ca="1" si="85">IFERROR(VLOOKUP(A130,DATA_MATRIZ,95,FALSE),"")</f>
        <v>0</v>
      </c>
      <c r="P130" s="33" t="str">
        <f t="shared" ref="P130:P161" ca="1" si="86">IFERROR(VLOOKUP(A130,DATA_MATRIZ,101,FALSE),"")</f>
        <v>No aplica</v>
      </c>
      <c r="Q130" s="33">
        <f t="shared" ref="Q130:Q157" ca="1" si="87">IFERROR(VLOOKUP(A130,DATA_MATRIZ,103,FALSE),"")</f>
        <v>0</v>
      </c>
      <c r="R130" s="33">
        <f t="shared" ref="R130:R157" ca="1" si="88">IFERROR(VLOOKUP(A130,DATA_MATRIZ,105,FALSE),"")</f>
        <v>0</v>
      </c>
      <c r="S130" s="34" t="str">
        <f t="shared" ref="S130:S157" ca="1" si="89">IFERROR(VLOOKUP(A130,DATA_MATRIZ,106,FALSE),"")</f>
        <v/>
      </c>
    </row>
    <row r="131" spans="1:19" ht="37.5">
      <c r="A131" s="20">
        <f ca="1">IFERROR(__xludf.DUMMYFUNCTION("""COMPUTED_VALUE"""),130)</f>
        <v>130</v>
      </c>
      <c r="B131" s="20" t="str">
        <f t="shared" ca="1" si="72"/>
        <v>Dialogo Ciudadano para la Construcción del PDD - UPL Kennedy</v>
      </c>
      <c r="C131" s="21">
        <f t="shared" ca="1" si="73"/>
        <v>45367</v>
      </c>
      <c r="D131" s="33">
        <f t="shared" ca="1" si="74"/>
        <v>1</v>
      </c>
      <c r="E131" s="33" t="str">
        <f t="shared" ca="1" si="75"/>
        <v>Envío de memoerias del espacio</v>
      </c>
      <c r="F131" s="33" t="str">
        <f t="shared" ca="1" si="76"/>
        <v>Realizado y Devuelto a la Ciudadanía</v>
      </c>
      <c r="G131" s="33">
        <f t="shared" ca="1" si="77"/>
        <v>0</v>
      </c>
      <c r="H131" s="33" t="str">
        <f t="shared" ca="1" si="78"/>
        <v>No aplica</v>
      </c>
      <c r="I131" s="33">
        <f t="shared" ca="1" si="79"/>
        <v>0</v>
      </c>
      <c r="J131" s="33" t="str">
        <f t="shared" ca="1" si="80"/>
        <v>No aplica</v>
      </c>
      <c r="K131" s="33">
        <f t="shared" ca="1" si="81"/>
        <v>0</v>
      </c>
      <c r="L131" s="33" t="str">
        <f t="shared" ca="1" si="82"/>
        <v>No aplica</v>
      </c>
      <c r="M131" s="33">
        <f t="shared" ca="1" si="83"/>
        <v>0</v>
      </c>
      <c r="N131" s="33" t="str">
        <f t="shared" ca="1" si="84"/>
        <v>No aplica</v>
      </c>
      <c r="O131" s="33">
        <f t="shared" ca="1" si="85"/>
        <v>0</v>
      </c>
      <c r="P131" s="33" t="str">
        <f t="shared" ca="1" si="86"/>
        <v>No aplica</v>
      </c>
      <c r="Q131" s="33">
        <f t="shared" ca="1" si="87"/>
        <v>1</v>
      </c>
      <c r="R131" s="33">
        <f t="shared" ca="1" si="88"/>
        <v>0</v>
      </c>
      <c r="S131" s="34">
        <f t="shared" ca="1" si="89"/>
        <v>1</v>
      </c>
    </row>
    <row r="132" spans="1:19" ht="49.5">
      <c r="A132" s="20">
        <f ca="1">IFERROR(__xludf.DUMMYFUNCTION("""COMPUTED_VALUE"""),131)</f>
        <v>131</v>
      </c>
      <c r="B132" s="20" t="str">
        <f t="shared" ca="1" si="72"/>
        <v>Dialogo Ciudadano para la Construcción del PDD - UPL Cerros Orientales -  Sector San Luis y La Sureña</v>
      </c>
      <c r="C132" s="21">
        <f t="shared" ca="1" si="73"/>
        <v>45367</v>
      </c>
      <c r="D132" s="33">
        <f t="shared" ca="1" si="74"/>
        <v>1</v>
      </c>
      <c r="E132" s="33" t="str">
        <f t="shared" ca="1" si="75"/>
        <v>Envío de memoerias del espacio</v>
      </c>
      <c r="F132" s="33" t="str">
        <f t="shared" ca="1" si="76"/>
        <v>Realizado y Devuelto a la Ciudadanía</v>
      </c>
      <c r="G132" s="33">
        <f t="shared" ca="1" si="77"/>
        <v>0</v>
      </c>
      <c r="H132" s="33" t="str">
        <f t="shared" ca="1" si="78"/>
        <v>No aplica</v>
      </c>
      <c r="I132" s="33">
        <f t="shared" ca="1" si="79"/>
        <v>0</v>
      </c>
      <c r="J132" s="33" t="str">
        <f t="shared" ca="1" si="80"/>
        <v>No aplica</v>
      </c>
      <c r="K132" s="33">
        <f t="shared" ca="1" si="81"/>
        <v>0</v>
      </c>
      <c r="L132" s="33" t="str">
        <f t="shared" ca="1" si="82"/>
        <v>No aplica</v>
      </c>
      <c r="M132" s="33">
        <f t="shared" ca="1" si="83"/>
        <v>0</v>
      </c>
      <c r="N132" s="33" t="str">
        <f t="shared" ca="1" si="84"/>
        <v>No aplica</v>
      </c>
      <c r="O132" s="33">
        <f t="shared" ca="1" si="85"/>
        <v>0</v>
      </c>
      <c r="P132" s="33" t="str">
        <f t="shared" ca="1" si="86"/>
        <v>No aplica</v>
      </c>
      <c r="Q132" s="33">
        <f t="shared" ca="1" si="87"/>
        <v>1</v>
      </c>
      <c r="R132" s="33">
        <f t="shared" ca="1" si="88"/>
        <v>0</v>
      </c>
      <c r="S132" s="34">
        <f t="shared" ca="1" si="89"/>
        <v>1</v>
      </c>
    </row>
    <row r="133" spans="1:19" ht="37.5">
      <c r="A133" s="20">
        <f ca="1">IFERROR(__xludf.DUMMYFUNCTION("""COMPUTED_VALUE"""),132)</f>
        <v>132</v>
      </c>
      <c r="B133" s="20" t="str">
        <f t="shared" ca="1" si="72"/>
        <v>Dialogo Ciudadano para la Construcción del PDD - UPL Cerros Orientales -  Verjones</v>
      </c>
      <c r="C133" s="21">
        <f t="shared" ca="1" si="73"/>
        <v>45367</v>
      </c>
      <c r="D133" s="33">
        <f t="shared" ca="1" si="74"/>
        <v>1</v>
      </c>
      <c r="E133" s="33" t="str">
        <f t="shared" ca="1" si="75"/>
        <v>Envío de memoerias del espacio</v>
      </c>
      <c r="F133" s="33" t="str">
        <f t="shared" ca="1" si="76"/>
        <v>Realizado y Devuelto a la Ciudadanía</v>
      </c>
      <c r="G133" s="33">
        <f t="shared" ca="1" si="77"/>
        <v>0</v>
      </c>
      <c r="H133" s="33" t="str">
        <f t="shared" ca="1" si="78"/>
        <v>No aplica</v>
      </c>
      <c r="I133" s="33">
        <f t="shared" ca="1" si="79"/>
        <v>0</v>
      </c>
      <c r="J133" s="33" t="str">
        <f t="shared" ca="1" si="80"/>
        <v>No aplica</v>
      </c>
      <c r="K133" s="33">
        <f t="shared" ca="1" si="81"/>
        <v>0</v>
      </c>
      <c r="L133" s="33" t="str">
        <f t="shared" ca="1" si="82"/>
        <v>No aplica</v>
      </c>
      <c r="M133" s="33">
        <f t="shared" ca="1" si="83"/>
        <v>0</v>
      </c>
      <c r="N133" s="33" t="str">
        <f t="shared" ca="1" si="84"/>
        <v>No aplica</v>
      </c>
      <c r="O133" s="33">
        <f t="shared" ca="1" si="85"/>
        <v>0</v>
      </c>
      <c r="P133" s="33" t="str">
        <f t="shared" ca="1" si="86"/>
        <v>No aplica</v>
      </c>
      <c r="Q133" s="33">
        <f t="shared" ca="1" si="87"/>
        <v>1</v>
      </c>
      <c r="R133" s="33">
        <f t="shared" ca="1" si="88"/>
        <v>0</v>
      </c>
      <c r="S133" s="34">
        <f t="shared" ca="1" si="89"/>
        <v>1</v>
      </c>
    </row>
    <row r="134" spans="1:19" ht="37.5">
      <c r="A134" s="20">
        <f ca="1">IFERROR(__xludf.DUMMYFUNCTION("""COMPUTED_VALUE"""),133)</f>
        <v>133</v>
      </c>
      <c r="B134" s="20" t="str">
        <f t="shared" ca="1" si="72"/>
        <v>Jornada Pégate al Plan: Pedagogía ciudadana para el manejo de la herramienta chatico - Alimentarte</v>
      </c>
      <c r="C134" s="21">
        <f t="shared" ca="1" si="73"/>
        <v>45367</v>
      </c>
      <c r="D134" s="33">
        <f t="shared" ca="1" si="74"/>
        <v>0</v>
      </c>
      <c r="E134" s="33">
        <f t="shared" ca="1" si="75"/>
        <v>0</v>
      </c>
      <c r="F134" s="33" t="str">
        <f t="shared" ca="1" si="76"/>
        <v>No aplica</v>
      </c>
      <c r="G134" s="33">
        <f t="shared" ca="1" si="77"/>
        <v>0</v>
      </c>
      <c r="H134" s="33" t="str">
        <f t="shared" ca="1" si="78"/>
        <v>No aplica</v>
      </c>
      <c r="I134" s="33">
        <f t="shared" ca="1" si="79"/>
        <v>0</v>
      </c>
      <c r="J134" s="33" t="str">
        <f t="shared" ca="1" si="80"/>
        <v>No aplica</v>
      </c>
      <c r="K134" s="33">
        <f t="shared" ca="1" si="81"/>
        <v>0</v>
      </c>
      <c r="L134" s="33" t="str">
        <f t="shared" ca="1" si="82"/>
        <v>No aplica</v>
      </c>
      <c r="M134" s="33">
        <f t="shared" ca="1" si="83"/>
        <v>0</v>
      </c>
      <c r="N134" s="33" t="str">
        <f t="shared" ca="1" si="84"/>
        <v>No aplica</v>
      </c>
      <c r="O134" s="33">
        <f t="shared" ca="1" si="85"/>
        <v>0</v>
      </c>
      <c r="P134" s="33" t="str">
        <f t="shared" ca="1" si="86"/>
        <v>No aplica</v>
      </c>
      <c r="Q134" s="33">
        <f t="shared" ca="1" si="87"/>
        <v>0</v>
      </c>
      <c r="R134" s="33">
        <f t="shared" ca="1" si="88"/>
        <v>0</v>
      </c>
      <c r="S134" s="34" t="str">
        <f t="shared" ca="1" si="89"/>
        <v/>
      </c>
    </row>
    <row r="135" spans="1:19" ht="49.5">
      <c r="A135" s="20">
        <f ca="1">IFERROR(__xludf.DUMMYFUNCTION("""COMPUTED_VALUE"""),134)</f>
        <v>134</v>
      </c>
      <c r="B135" s="20" t="str">
        <f t="shared" ca="1" si="72"/>
        <v>Jornada Pégate al Plan: Pedagogía ciudadana para el manejo e implementación de la herramienta chatico - Parkway</v>
      </c>
      <c r="C135" s="21">
        <f t="shared" ca="1" si="73"/>
        <v>45368</v>
      </c>
      <c r="D135" s="33">
        <f t="shared" ca="1" si="74"/>
        <v>0</v>
      </c>
      <c r="E135" s="33">
        <f t="shared" ca="1" si="75"/>
        <v>0</v>
      </c>
      <c r="F135" s="33" t="str">
        <f t="shared" ca="1" si="76"/>
        <v>No aplica</v>
      </c>
      <c r="G135" s="33">
        <f t="shared" ca="1" si="77"/>
        <v>0</v>
      </c>
      <c r="H135" s="33" t="str">
        <f t="shared" ca="1" si="78"/>
        <v>No aplica</v>
      </c>
      <c r="I135" s="33">
        <f t="shared" ca="1" si="79"/>
        <v>0</v>
      </c>
      <c r="J135" s="33" t="str">
        <f t="shared" ca="1" si="80"/>
        <v>No aplica</v>
      </c>
      <c r="K135" s="33">
        <f t="shared" ca="1" si="81"/>
        <v>0</v>
      </c>
      <c r="L135" s="33" t="str">
        <f t="shared" ca="1" si="82"/>
        <v>No aplica</v>
      </c>
      <c r="M135" s="33">
        <f t="shared" ca="1" si="83"/>
        <v>0</v>
      </c>
      <c r="N135" s="33" t="str">
        <f t="shared" ca="1" si="84"/>
        <v>No aplica</v>
      </c>
      <c r="O135" s="33">
        <f t="shared" ca="1" si="85"/>
        <v>0</v>
      </c>
      <c r="P135" s="33" t="str">
        <f t="shared" ca="1" si="86"/>
        <v>No aplica</v>
      </c>
      <c r="Q135" s="33">
        <f t="shared" ca="1" si="87"/>
        <v>0</v>
      </c>
      <c r="R135" s="33">
        <f t="shared" ca="1" si="88"/>
        <v>0</v>
      </c>
      <c r="S135" s="34" t="str">
        <f t="shared" ca="1" si="89"/>
        <v/>
      </c>
    </row>
    <row r="136" spans="1:19" ht="61.5">
      <c r="A136" s="20">
        <f ca="1">IFERROR(__xludf.DUMMYFUNCTION("""COMPUTED_VALUE"""),135)</f>
        <v>135</v>
      </c>
      <c r="B136" s="20" t="str">
        <f t="shared" ca="1" si="72"/>
        <v>Jornada Pégate al Plan: Pedagogía ciudadana para el manejo e implementación de la herramienta chatico - Conmemoración del día de la Mujer Sumapaceña</v>
      </c>
      <c r="C136" s="21">
        <f t="shared" ca="1" si="73"/>
        <v>45368</v>
      </c>
      <c r="D136" s="33">
        <f t="shared" ca="1" si="74"/>
        <v>0</v>
      </c>
      <c r="E136" s="33">
        <f t="shared" ca="1" si="75"/>
        <v>0</v>
      </c>
      <c r="F136" s="33" t="str">
        <f t="shared" ca="1" si="76"/>
        <v>No aplica</v>
      </c>
      <c r="G136" s="33">
        <f t="shared" ca="1" si="77"/>
        <v>0</v>
      </c>
      <c r="H136" s="33" t="str">
        <f t="shared" ca="1" si="78"/>
        <v>No aplica</v>
      </c>
      <c r="I136" s="33">
        <f t="shared" ca="1" si="79"/>
        <v>0</v>
      </c>
      <c r="J136" s="33" t="str">
        <f t="shared" ca="1" si="80"/>
        <v>No aplica</v>
      </c>
      <c r="K136" s="33">
        <f t="shared" ca="1" si="81"/>
        <v>0</v>
      </c>
      <c r="L136" s="33" t="str">
        <f t="shared" ca="1" si="82"/>
        <v>No aplica</v>
      </c>
      <c r="M136" s="33">
        <f t="shared" ca="1" si="83"/>
        <v>0</v>
      </c>
      <c r="N136" s="33" t="str">
        <f t="shared" ca="1" si="84"/>
        <v>No aplica</v>
      </c>
      <c r="O136" s="33">
        <f t="shared" ca="1" si="85"/>
        <v>0</v>
      </c>
      <c r="P136" s="33" t="str">
        <f t="shared" ca="1" si="86"/>
        <v>No aplica</v>
      </c>
      <c r="Q136" s="33">
        <f t="shared" ca="1" si="87"/>
        <v>0</v>
      </c>
      <c r="R136" s="33">
        <f t="shared" ca="1" si="88"/>
        <v>0</v>
      </c>
      <c r="S136" s="34" t="str">
        <f t="shared" ca="1" si="89"/>
        <v/>
      </c>
    </row>
    <row r="137" spans="1:19" ht="14.25">
      <c r="A137" s="20"/>
      <c r="B137" s="20" t="str">
        <f t="shared" si="72"/>
        <v/>
      </c>
      <c r="C137" s="21" t="str">
        <f t="shared" si="73"/>
        <v/>
      </c>
      <c r="D137" s="33" t="str">
        <f t="shared" si="74"/>
        <v/>
      </c>
      <c r="E137" s="33" t="str">
        <f t="shared" si="75"/>
        <v/>
      </c>
      <c r="F137" s="33" t="str">
        <f t="shared" si="76"/>
        <v/>
      </c>
      <c r="G137" s="33" t="str">
        <f t="shared" si="77"/>
        <v/>
      </c>
      <c r="H137" s="33" t="str">
        <f t="shared" si="78"/>
        <v/>
      </c>
      <c r="I137" s="33" t="str">
        <f t="shared" si="79"/>
        <v/>
      </c>
      <c r="J137" s="33" t="str">
        <f t="shared" si="80"/>
        <v/>
      </c>
      <c r="K137" s="33" t="str">
        <f t="shared" si="81"/>
        <v/>
      </c>
      <c r="L137" s="33" t="str">
        <f t="shared" si="82"/>
        <v/>
      </c>
      <c r="M137" s="33" t="str">
        <f t="shared" si="83"/>
        <v/>
      </c>
      <c r="N137" s="33" t="str">
        <f t="shared" si="84"/>
        <v/>
      </c>
      <c r="O137" s="33" t="str">
        <f t="shared" si="85"/>
        <v/>
      </c>
      <c r="P137" s="33" t="str">
        <f t="shared" si="86"/>
        <v/>
      </c>
      <c r="Q137" s="33" t="str">
        <f t="shared" si="87"/>
        <v/>
      </c>
      <c r="R137" s="33" t="str">
        <f t="shared" si="88"/>
        <v/>
      </c>
      <c r="S137" s="34" t="str">
        <f t="shared" si="89"/>
        <v/>
      </c>
    </row>
    <row r="138" spans="1:19" ht="13.5">
      <c r="A138" s="20">
        <f ca="1">IFERROR(__xludf.DUMMYFUNCTION("""COMPUTED_VALUE"""),137)</f>
        <v>137</v>
      </c>
      <c r="B138" s="20" t="str">
        <f t="shared" ca="1" si="72"/>
        <v/>
      </c>
      <c r="C138" s="21" t="str">
        <f t="shared" ca="1" si="73"/>
        <v/>
      </c>
      <c r="D138" s="33" t="str">
        <f t="shared" ca="1" si="74"/>
        <v/>
      </c>
      <c r="E138" s="33" t="str">
        <f t="shared" ca="1" si="75"/>
        <v/>
      </c>
      <c r="F138" s="33" t="str">
        <f t="shared" ca="1" si="76"/>
        <v/>
      </c>
      <c r="G138" s="33" t="str">
        <f t="shared" ca="1" si="77"/>
        <v/>
      </c>
      <c r="H138" s="33" t="str">
        <f t="shared" ca="1" si="78"/>
        <v/>
      </c>
      <c r="I138" s="33" t="str">
        <f t="shared" ca="1" si="79"/>
        <v/>
      </c>
      <c r="J138" s="33" t="str">
        <f t="shared" ca="1" si="80"/>
        <v/>
      </c>
      <c r="K138" s="33" t="str">
        <f t="shared" ca="1" si="81"/>
        <v/>
      </c>
      <c r="L138" s="33" t="str">
        <f t="shared" ca="1" si="82"/>
        <v/>
      </c>
      <c r="M138" s="33" t="str">
        <f t="shared" ca="1" si="83"/>
        <v/>
      </c>
      <c r="N138" s="33" t="str">
        <f t="shared" ca="1" si="84"/>
        <v/>
      </c>
      <c r="O138" s="33" t="str">
        <f t="shared" ca="1" si="85"/>
        <v/>
      </c>
      <c r="P138" s="33" t="str">
        <f t="shared" ca="1" si="86"/>
        <v/>
      </c>
      <c r="Q138" s="33" t="str">
        <f t="shared" ca="1" si="87"/>
        <v/>
      </c>
      <c r="R138" s="33" t="str">
        <f t="shared" ca="1" si="88"/>
        <v/>
      </c>
      <c r="S138" s="34" t="str">
        <f t="shared" ca="1" si="89"/>
        <v/>
      </c>
    </row>
    <row r="139" spans="1:19" ht="14.25">
      <c r="A139" s="20"/>
      <c r="B139" s="20" t="str">
        <f t="shared" si="72"/>
        <v/>
      </c>
      <c r="C139" s="21" t="str">
        <f t="shared" si="73"/>
        <v/>
      </c>
      <c r="D139" s="33" t="str">
        <f t="shared" si="74"/>
        <v/>
      </c>
      <c r="E139" s="33" t="str">
        <f t="shared" si="75"/>
        <v/>
      </c>
      <c r="F139" s="33" t="str">
        <f t="shared" si="76"/>
        <v/>
      </c>
      <c r="G139" s="33" t="str">
        <f t="shared" si="77"/>
        <v/>
      </c>
      <c r="H139" s="33" t="str">
        <f t="shared" si="78"/>
        <v/>
      </c>
      <c r="I139" s="33" t="str">
        <f t="shared" si="79"/>
        <v/>
      </c>
      <c r="J139" s="33" t="str">
        <f t="shared" si="80"/>
        <v/>
      </c>
      <c r="K139" s="33" t="str">
        <f t="shared" si="81"/>
        <v/>
      </c>
      <c r="L139" s="33" t="str">
        <f t="shared" si="82"/>
        <v/>
      </c>
      <c r="M139" s="33" t="str">
        <f t="shared" si="83"/>
        <v/>
      </c>
      <c r="N139" s="33" t="str">
        <f t="shared" si="84"/>
        <v/>
      </c>
      <c r="O139" s="33" t="str">
        <f t="shared" si="85"/>
        <v/>
      </c>
      <c r="P139" s="33" t="str">
        <f t="shared" si="86"/>
        <v/>
      </c>
      <c r="Q139" s="33" t="str">
        <f t="shared" si="87"/>
        <v/>
      </c>
      <c r="R139" s="33" t="str">
        <f t="shared" si="88"/>
        <v/>
      </c>
      <c r="S139" s="34" t="str">
        <f t="shared" si="89"/>
        <v/>
      </c>
    </row>
    <row r="140" spans="1:19" ht="14.25">
      <c r="A140" s="20"/>
      <c r="B140" s="20" t="str">
        <f t="shared" si="72"/>
        <v/>
      </c>
      <c r="C140" s="21" t="str">
        <f t="shared" si="73"/>
        <v/>
      </c>
      <c r="D140" s="33" t="str">
        <f t="shared" si="74"/>
        <v/>
      </c>
      <c r="E140" s="33" t="str">
        <f t="shared" si="75"/>
        <v/>
      </c>
      <c r="F140" s="33" t="str">
        <f t="shared" si="76"/>
        <v/>
      </c>
      <c r="G140" s="33" t="str">
        <f t="shared" si="77"/>
        <v/>
      </c>
      <c r="H140" s="33" t="str">
        <f t="shared" si="78"/>
        <v/>
      </c>
      <c r="I140" s="33" t="str">
        <f t="shared" si="79"/>
        <v/>
      </c>
      <c r="J140" s="33" t="str">
        <f t="shared" si="80"/>
        <v/>
      </c>
      <c r="K140" s="33" t="str">
        <f t="shared" si="81"/>
        <v/>
      </c>
      <c r="L140" s="33" t="str">
        <f t="shared" si="82"/>
        <v/>
      </c>
      <c r="M140" s="33" t="str">
        <f t="shared" si="83"/>
        <v/>
      </c>
      <c r="N140" s="33" t="str">
        <f t="shared" si="84"/>
        <v/>
      </c>
      <c r="O140" s="33" t="str">
        <f t="shared" si="85"/>
        <v/>
      </c>
      <c r="P140" s="33" t="str">
        <f t="shared" si="86"/>
        <v/>
      </c>
      <c r="Q140" s="33" t="str">
        <f t="shared" si="87"/>
        <v/>
      </c>
      <c r="R140" s="33" t="str">
        <f t="shared" si="88"/>
        <v/>
      </c>
      <c r="S140" s="34" t="str">
        <f t="shared" si="89"/>
        <v/>
      </c>
    </row>
    <row r="141" spans="1:19" ht="13.5">
      <c r="A141" s="20">
        <f ca="1">IFERROR(__xludf.DUMMYFUNCTION("""COMPUTED_VALUE"""),140)</f>
        <v>140</v>
      </c>
      <c r="B141" s="20" t="str">
        <f t="shared" ca="1" si="72"/>
        <v/>
      </c>
      <c r="C141" s="21" t="str">
        <f t="shared" ca="1" si="73"/>
        <v/>
      </c>
      <c r="D141" s="33" t="str">
        <f t="shared" ca="1" si="74"/>
        <v/>
      </c>
      <c r="E141" s="33" t="str">
        <f t="shared" ca="1" si="75"/>
        <v/>
      </c>
      <c r="F141" s="33" t="str">
        <f t="shared" ca="1" si="76"/>
        <v/>
      </c>
      <c r="G141" s="33" t="str">
        <f t="shared" ca="1" si="77"/>
        <v/>
      </c>
      <c r="H141" s="33" t="str">
        <f t="shared" ca="1" si="78"/>
        <v/>
      </c>
      <c r="I141" s="33" t="str">
        <f t="shared" ca="1" si="79"/>
        <v/>
      </c>
      <c r="J141" s="33" t="str">
        <f t="shared" ca="1" si="80"/>
        <v/>
      </c>
      <c r="K141" s="33" t="str">
        <f t="shared" ca="1" si="81"/>
        <v/>
      </c>
      <c r="L141" s="33" t="str">
        <f t="shared" ca="1" si="82"/>
        <v/>
      </c>
      <c r="M141" s="33" t="str">
        <f t="shared" ca="1" si="83"/>
        <v/>
      </c>
      <c r="N141" s="33" t="str">
        <f t="shared" ca="1" si="84"/>
        <v/>
      </c>
      <c r="O141" s="33" t="str">
        <f t="shared" ca="1" si="85"/>
        <v/>
      </c>
      <c r="P141" s="33" t="str">
        <f t="shared" ca="1" si="86"/>
        <v/>
      </c>
      <c r="Q141" s="33" t="str">
        <f t="shared" ca="1" si="87"/>
        <v/>
      </c>
      <c r="R141" s="33" t="str">
        <f t="shared" ca="1" si="88"/>
        <v/>
      </c>
      <c r="S141" s="34" t="str">
        <f t="shared" ca="1" si="89"/>
        <v/>
      </c>
    </row>
    <row r="142" spans="1:19" ht="37.5">
      <c r="A142" s="20">
        <f ca="1">IFERROR(__xludf.DUMMYFUNCTION("""COMPUTED_VALUE"""),141)</f>
        <v>141</v>
      </c>
      <c r="B142" s="20" t="str">
        <f t="shared" ca="1" si="72"/>
        <v>Dialogo Ciudadano para la Construcción del PDD - UPL Chapinero</v>
      </c>
      <c r="C142" s="21">
        <f t="shared" ca="1" si="73"/>
        <v>45369</v>
      </c>
      <c r="D142" s="33">
        <f t="shared" ca="1" si="74"/>
        <v>1</v>
      </c>
      <c r="E142" s="33" t="str">
        <f t="shared" ca="1" si="75"/>
        <v xml:space="preserve">Envío de memorias del espacio </v>
      </c>
      <c r="F142" s="33" t="str">
        <f t="shared" ca="1" si="76"/>
        <v>Realizado y Devuelto a la Ciudadanía</v>
      </c>
      <c r="G142" s="33">
        <f t="shared" ca="1" si="77"/>
        <v>0</v>
      </c>
      <c r="H142" s="33" t="str">
        <f t="shared" ca="1" si="78"/>
        <v>No aplica</v>
      </c>
      <c r="I142" s="33">
        <f t="shared" ca="1" si="79"/>
        <v>0</v>
      </c>
      <c r="J142" s="33" t="str">
        <f t="shared" ca="1" si="80"/>
        <v>No aplica</v>
      </c>
      <c r="K142" s="33">
        <f t="shared" ca="1" si="81"/>
        <v>0</v>
      </c>
      <c r="L142" s="33" t="str">
        <f t="shared" ca="1" si="82"/>
        <v>No aplica</v>
      </c>
      <c r="M142" s="33">
        <f t="shared" ca="1" si="83"/>
        <v>0</v>
      </c>
      <c r="N142" s="33" t="str">
        <f t="shared" ca="1" si="84"/>
        <v>No aplica</v>
      </c>
      <c r="O142" s="33">
        <f t="shared" ca="1" si="85"/>
        <v>0</v>
      </c>
      <c r="P142" s="33" t="str">
        <f t="shared" ca="1" si="86"/>
        <v>No aplica</v>
      </c>
      <c r="Q142" s="33">
        <f t="shared" ca="1" si="87"/>
        <v>1</v>
      </c>
      <c r="R142" s="33">
        <f t="shared" ca="1" si="88"/>
        <v>1</v>
      </c>
      <c r="S142" s="34">
        <f t="shared" ca="1" si="89"/>
        <v>1</v>
      </c>
    </row>
    <row r="143" spans="1:19" ht="25.5">
      <c r="A143" s="20">
        <f ca="1">IFERROR(__xludf.DUMMYFUNCTION("""COMPUTED_VALUE"""),142)</f>
        <v>142</v>
      </c>
      <c r="B143" s="20" t="str">
        <f t="shared" ca="1" si="72"/>
        <v>Plenaria Permantente Extraordinaria - CTPD</v>
      </c>
      <c r="C143" s="21">
        <f t="shared" ca="1" si="73"/>
        <v>45369</v>
      </c>
      <c r="D143" s="33">
        <f t="shared" ca="1" si="74"/>
        <v>0</v>
      </c>
      <c r="E143" s="33">
        <f t="shared" ca="1" si="75"/>
        <v>0</v>
      </c>
      <c r="F143" s="33" t="str">
        <f t="shared" ca="1" si="76"/>
        <v>No aplica</v>
      </c>
      <c r="G143" s="33">
        <f t="shared" ca="1" si="77"/>
        <v>0</v>
      </c>
      <c r="H143" s="33" t="str">
        <f t="shared" ca="1" si="78"/>
        <v>No aplica</v>
      </c>
      <c r="I143" s="33">
        <f t="shared" ca="1" si="79"/>
        <v>0</v>
      </c>
      <c r="J143" s="33" t="str">
        <f t="shared" ca="1" si="80"/>
        <v>No aplica</v>
      </c>
      <c r="K143" s="33">
        <f t="shared" ca="1" si="81"/>
        <v>0</v>
      </c>
      <c r="L143" s="33" t="str">
        <f t="shared" ca="1" si="82"/>
        <v>No aplica</v>
      </c>
      <c r="M143" s="33">
        <f t="shared" ca="1" si="83"/>
        <v>0</v>
      </c>
      <c r="N143" s="33" t="str">
        <f t="shared" ca="1" si="84"/>
        <v>No aplica</v>
      </c>
      <c r="O143" s="33">
        <f t="shared" ca="1" si="85"/>
        <v>0</v>
      </c>
      <c r="P143" s="33" t="str">
        <f t="shared" ca="1" si="86"/>
        <v>No aplica</v>
      </c>
      <c r="Q143" s="33">
        <f t="shared" ca="1" si="87"/>
        <v>0</v>
      </c>
      <c r="R143" s="33">
        <f t="shared" ca="1" si="88"/>
        <v>0</v>
      </c>
      <c r="S143" s="34" t="str">
        <f t="shared" ca="1" si="89"/>
        <v/>
      </c>
    </row>
    <row r="144" spans="1:19" ht="49.5">
      <c r="A144" s="20">
        <f ca="1">IFERROR(__xludf.DUMMYFUNCTION("""COMPUTED_VALUE"""),143)</f>
        <v>143</v>
      </c>
      <c r="B144" s="20" t="str">
        <f t="shared" ca="1" si="72"/>
        <v>I Diálogo Ciudadano Poblacional para la Construcción del PDD - Taller Niños, Niñas y Adolescentes - SED-SDP</v>
      </c>
      <c r="C144" s="21">
        <f t="shared" ca="1" si="73"/>
        <v>45370</v>
      </c>
      <c r="D144" s="33">
        <f t="shared" ca="1" si="74"/>
        <v>0</v>
      </c>
      <c r="E144" s="33">
        <f t="shared" ca="1" si="75"/>
        <v>0</v>
      </c>
      <c r="F144" s="33" t="str">
        <f t="shared" ca="1" si="76"/>
        <v>No aplica</v>
      </c>
      <c r="G144" s="33">
        <f t="shared" ca="1" si="77"/>
        <v>0</v>
      </c>
      <c r="H144" s="33" t="str">
        <f t="shared" ca="1" si="78"/>
        <v>No aplica</v>
      </c>
      <c r="I144" s="33">
        <f t="shared" ca="1" si="79"/>
        <v>0</v>
      </c>
      <c r="J144" s="33" t="str">
        <f t="shared" ca="1" si="80"/>
        <v>No aplica</v>
      </c>
      <c r="K144" s="33">
        <f t="shared" ca="1" si="81"/>
        <v>0</v>
      </c>
      <c r="L144" s="33" t="str">
        <f t="shared" ca="1" si="82"/>
        <v>No aplica</v>
      </c>
      <c r="M144" s="33">
        <f t="shared" ca="1" si="83"/>
        <v>0</v>
      </c>
      <c r="N144" s="33" t="str">
        <f t="shared" ca="1" si="84"/>
        <v>No aplica</v>
      </c>
      <c r="O144" s="33">
        <f t="shared" ca="1" si="85"/>
        <v>0</v>
      </c>
      <c r="P144" s="33" t="str">
        <f t="shared" ca="1" si="86"/>
        <v>No aplica</v>
      </c>
      <c r="Q144" s="33">
        <f t="shared" ca="1" si="87"/>
        <v>0</v>
      </c>
      <c r="R144" s="33">
        <f t="shared" ca="1" si="88"/>
        <v>0</v>
      </c>
      <c r="S144" s="34" t="str">
        <f t="shared" ca="1" si="89"/>
        <v/>
      </c>
    </row>
    <row r="145" spans="1:19" ht="13.5">
      <c r="A145" s="20">
        <f ca="1">IFERROR(__xludf.DUMMYFUNCTION("""COMPUTED_VALUE"""),144)</f>
        <v>144</v>
      </c>
      <c r="B145" s="20" t="str">
        <f t="shared" ca="1" si="72"/>
        <v>CLIP Puente Aranda</v>
      </c>
      <c r="C145" s="21">
        <f t="shared" ca="1" si="73"/>
        <v>45370</v>
      </c>
      <c r="D145" s="33">
        <f t="shared" ca="1" si="74"/>
        <v>0</v>
      </c>
      <c r="E145" s="33">
        <f t="shared" ca="1" si="75"/>
        <v>0</v>
      </c>
      <c r="F145" s="33" t="str">
        <f t="shared" ca="1" si="76"/>
        <v>No aplica</v>
      </c>
      <c r="G145" s="33">
        <f t="shared" ca="1" si="77"/>
        <v>0</v>
      </c>
      <c r="H145" s="33" t="str">
        <f t="shared" ca="1" si="78"/>
        <v>No aplica</v>
      </c>
      <c r="I145" s="33">
        <f t="shared" ca="1" si="79"/>
        <v>0</v>
      </c>
      <c r="J145" s="33" t="str">
        <f t="shared" ca="1" si="80"/>
        <v>No aplica</v>
      </c>
      <c r="K145" s="33">
        <f t="shared" ca="1" si="81"/>
        <v>0</v>
      </c>
      <c r="L145" s="33" t="str">
        <f t="shared" ca="1" si="82"/>
        <v>No aplica</v>
      </c>
      <c r="M145" s="33">
        <f t="shared" ca="1" si="83"/>
        <v>0</v>
      </c>
      <c r="N145" s="33" t="str">
        <f t="shared" ca="1" si="84"/>
        <v>No aplica</v>
      </c>
      <c r="O145" s="33">
        <f t="shared" ca="1" si="85"/>
        <v>0</v>
      </c>
      <c r="P145" s="33" t="str">
        <f t="shared" ca="1" si="86"/>
        <v>No aplica</v>
      </c>
      <c r="Q145" s="33">
        <f t="shared" ca="1" si="87"/>
        <v>0</v>
      </c>
      <c r="R145" s="33">
        <f t="shared" ca="1" si="88"/>
        <v>0</v>
      </c>
      <c r="S145" s="34" t="str">
        <f t="shared" ca="1" si="89"/>
        <v/>
      </c>
    </row>
    <row r="146" spans="1:19" ht="37.5">
      <c r="A146" s="20">
        <f ca="1">IFERROR(__xludf.DUMMYFUNCTION("""COMPUTED_VALUE"""),145)</f>
        <v>145</v>
      </c>
      <c r="B146" s="20" t="str">
        <f t="shared" ca="1" si="72"/>
        <v xml:space="preserve">I Diálogo Ciudadano Poblacional para la Construcción del PDD - Consultiva Negra-afrocolombiana </v>
      </c>
      <c r="C146" s="21">
        <f t="shared" ca="1" si="73"/>
        <v>45370</v>
      </c>
      <c r="D146" s="33">
        <f t="shared" ca="1" si="74"/>
        <v>0</v>
      </c>
      <c r="E146" s="33">
        <f t="shared" ca="1" si="75"/>
        <v>0</v>
      </c>
      <c r="F146" s="33">
        <f t="shared" ca="1" si="76"/>
        <v>0</v>
      </c>
      <c r="G146" s="33">
        <f t="shared" ca="1" si="77"/>
        <v>0</v>
      </c>
      <c r="H146" s="33">
        <f t="shared" ca="1" si="78"/>
        <v>0</v>
      </c>
      <c r="I146" s="33">
        <f t="shared" ca="1" si="79"/>
        <v>0</v>
      </c>
      <c r="J146" s="33">
        <f t="shared" ca="1" si="80"/>
        <v>0</v>
      </c>
      <c r="K146" s="33">
        <f t="shared" ca="1" si="81"/>
        <v>0</v>
      </c>
      <c r="L146" s="33">
        <f t="shared" ca="1" si="82"/>
        <v>0</v>
      </c>
      <c r="M146" s="33">
        <f t="shared" ca="1" si="83"/>
        <v>0</v>
      </c>
      <c r="N146" s="33">
        <f t="shared" ca="1" si="84"/>
        <v>0</v>
      </c>
      <c r="O146" s="33">
        <f t="shared" ca="1" si="85"/>
        <v>0</v>
      </c>
      <c r="P146" s="33">
        <f t="shared" ca="1" si="86"/>
        <v>0</v>
      </c>
      <c r="Q146" s="33">
        <f t="shared" ca="1" si="87"/>
        <v>0</v>
      </c>
      <c r="R146" s="33">
        <f t="shared" ca="1" si="88"/>
        <v>0</v>
      </c>
      <c r="S146" s="34" t="str">
        <f t="shared" ca="1" si="89"/>
        <v/>
      </c>
    </row>
    <row r="147" spans="1:19" ht="37.5">
      <c r="A147" s="20">
        <f ca="1">IFERROR(__xludf.DUMMYFUNCTION("""COMPUTED_VALUE"""),146)</f>
        <v>146</v>
      </c>
      <c r="B147" s="20" t="str">
        <f t="shared" ca="1" si="72"/>
        <v>I Foro - reglamentación del Manual de Ecourbanismo y Construcción Sostenible - Bienestar</v>
      </c>
      <c r="C147" s="21">
        <f t="shared" ca="1" si="73"/>
        <v>45370</v>
      </c>
      <c r="D147" s="33">
        <f t="shared" ca="1" si="74"/>
        <v>0</v>
      </c>
      <c r="E147" s="33">
        <f t="shared" ca="1" si="75"/>
        <v>0</v>
      </c>
      <c r="F147" s="33" t="str">
        <f t="shared" ca="1" si="76"/>
        <v>No aplica</v>
      </c>
      <c r="G147" s="33">
        <f t="shared" ca="1" si="77"/>
        <v>0</v>
      </c>
      <c r="H147" s="33" t="str">
        <f t="shared" ca="1" si="78"/>
        <v>No aplica</v>
      </c>
      <c r="I147" s="33">
        <f t="shared" ca="1" si="79"/>
        <v>0</v>
      </c>
      <c r="J147" s="33" t="str">
        <f t="shared" ca="1" si="80"/>
        <v>No aplica</v>
      </c>
      <c r="K147" s="33">
        <f t="shared" ca="1" si="81"/>
        <v>0</v>
      </c>
      <c r="L147" s="33" t="str">
        <f t="shared" ca="1" si="82"/>
        <v>No aplica</v>
      </c>
      <c r="M147" s="33">
        <f t="shared" ca="1" si="83"/>
        <v>0</v>
      </c>
      <c r="N147" s="33" t="str">
        <f t="shared" ca="1" si="84"/>
        <v>No aplica</v>
      </c>
      <c r="O147" s="33">
        <f t="shared" ca="1" si="85"/>
        <v>0</v>
      </c>
      <c r="P147" s="33" t="str">
        <f t="shared" ca="1" si="86"/>
        <v>No aplica</v>
      </c>
      <c r="Q147" s="33">
        <f t="shared" ca="1" si="87"/>
        <v>0</v>
      </c>
      <c r="R147" s="33">
        <f t="shared" ca="1" si="88"/>
        <v>0</v>
      </c>
      <c r="S147" s="34" t="str">
        <f t="shared" ca="1" si="89"/>
        <v/>
      </c>
    </row>
    <row r="148" spans="1:19" ht="25.5">
      <c r="A148" s="20">
        <f ca="1">IFERROR(__xludf.DUMMYFUNCTION("""COMPUTED_VALUE"""),147)</f>
        <v>147</v>
      </c>
      <c r="B148" s="20" t="str">
        <f t="shared" ca="1" si="72"/>
        <v>Abordaje Plan Distrital de Desarrollo -  Summa</v>
      </c>
      <c r="C148" s="21">
        <f t="shared" ca="1" si="73"/>
        <v>45370</v>
      </c>
      <c r="D148" s="33">
        <f t="shared" ca="1" si="74"/>
        <v>0</v>
      </c>
      <c r="E148" s="33">
        <f t="shared" ca="1" si="75"/>
        <v>0</v>
      </c>
      <c r="F148" s="33" t="str">
        <f t="shared" ca="1" si="76"/>
        <v>No aplica</v>
      </c>
      <c r="G148" s="33">
        <f t="shared" ca="1" si="77"/>
        <v>0</v>
      </c>
      <c r="H148" s="33" t="str">
        <f t="shared" ca="1" si="78"/>
        <v>No aplica</v>
      </c>
      <c r="I148" s="33">
        <f t="shared" ca="1" si="79"/>
        <v>0</v>
      </c>
      <c r="J148" s="33" t="str">
        <f t="shared" ca="1" si="80"/>
        <v>No aplica</v>
      </c>
      <c r="K148" s="33">
        <f t="shared" ca="1" si="81"/>
        <v>0</v>
      </c>
      <c r="L148" s="33" t="str">
        <f t="shared" ca="1" si="82"/>
        <v>No aplica</v>
      </c>
      <c r="M148" s="33">
        <f t="shared" ca="1" si="83"/>
        <v>0</v>
      </c>
      <c r="N148" s="33" t="str">
        <f t="shared" ca="1" si="84"/>
        <v>No aplica</v>
      </c>
      <c r="O148" s="33">
        <f t="shared" ca="1" si="85"/>
        <v>0</v>
      </c>
      <c r="P148" s="33" t="str">
        <f t="shared" ca="1" si="86"/>
        <v>No aplica</v>
      </c>
      <c r="Q148" s="33">
        <f t="shared" ca="1" si="87"/>
        <v>0</v>
      </c>
      <c r="R148" s="33">
        <f t="shared" ca="1" si="88"/>
        <v>0</v>
      </c>
      <c r="S148" s="34" t="str">
        <f t="shared" ca="1" si="89"/>
        <v/>
      </c>
    </row>
    <row r="149" spans="1:19" ht="37.5">
      <c r="A149" s="20">
        <f ca="1">IFERROR(__xludf.DUMMYFUNCTION("""COMPUTED_VALUE"""),148)</f>
        <v>148</v>
      </c>
      <c r="B149" s="20" t="str">
        <f t="shared" ca="1" si="72"/>
        <v>Dialogo Ciudadano para la Construcción del PDD - UPL Sumapaz - Cuenca Río Blanco</v>
      </c>
      <c r="C149" s="21">
        <f t="shared" ca="1" si="73"/>
        <v>45370</v>
      </c>
      <c r="D149" s="33">
        <f t="shared" ca="1" si="74"/>
        <v>1</v>
      </c>
      <c r="E149" s="33" t="str">
        <f t="shared" ca="1" si="75"/>
        <v xml:space="preserve">Envío de memorias del espacio </v>
      </c>
      <c r="F149" s="33" t="str">
        <f t="shared" ca="1" si="76"/>
        <v>Realizado y Devuelto a la Ciudadanía</v>
      </c>
      <c r="G149" s="33">
        <f t="shared" ca="1" si="77"/>
        <v>0</v>
      </c>
      <c r="H149" s="33" t="str">
        <f t="shared" ca="1" si="78"/>
        <v>No aplica</v>
      </c>
      <c r="I149" s="33">
        <f t="shared" ca="1" si="79"/>
        <v>0</v>
      </c>
      <c r="J149" s="33" t="str">
        <f t="shared" ca="1" si="80"/>
        <v>No aplica</v>
      </c>
      <c r="K149" s="33">
        <f t="shared" ca="1" si="81"/>
        <v>0</v>
      </c>
      <c r="L149" s="33" t="str">
        <f t="shared" ca="1" si="82"/>
        <v>No aplica</v>
      </c>
      <c r="M149" s="33">
        <f t="shared" ca="1" si="83"/>
        <v>0</v>
      </c>
      <c r="N149" s="33" t="str">
        <f t="shared" ca="1" si="84"/>
        <v>No aplica</v>
      </c>
      <c r="O149" s="33">
        <f t="shared" ca="1" si="85"/>
        <v>0</v>
      </c>
      <c r="P149" s="33" t="str">
        <f t="shared" ca="1" si="86"/>
        <v>No aplica</v>
      </c>
      <c r="Q149" s="33">
        <f t="shared" ca="1" si="87"/>
        <v>1</v>
      </c>
      <c r="R149" s="33">
        <f t="shared" ca="1" si="88"/>
        <v>1</v>
      </c>
      <c r="S149" s="34">
        <f t="shared" ca="1" si="89"/>
        <v>1</v>
      </c>
    </row>
    <row r="150" spans="1:19" ht="37.5">
      <c r="A150" s="20">
        <f ca="1">IFERROR(__xludf.DUMMYFUNCTION("""COMPUTED_VALUE"""),149)</f>
        <v>149</v>
      </c>
      <c r="B150" s="20" t="str">
        <f t="shared" ca="1" si="72"/>
        <v>Dialogo Ciudadano para la Construcción del PDD - UPL Salitre</v>
      </c>
      <c r="C150" s="21">
        <f t="shared" ca="1" si="73"/>
        <v>45370</v>
      </c>
      <c r="D150" s="33">
        <f t="shared" ca="1" si="74"/>
        <v>1</v>
      </c>
      <c r="E150" s="33" t="str">
        <f t="shared" ca="1" si="75"/>
        <v xml:space="preserve">Envío de memorias del espacio </v>
      </c>
      <c r="F150" s="33" t="str">
        <f t="shared" ca="1" si="76"/>
        <v>Realizado y Devuelto a la Ciudadanía</v>
      </c>
      <c r="G150" s="33">
        <f t="shared" ca="1" si="77"/>
        <v>0</v>
      </c>
      <c r="H150" s="33" t="str">
        <f t="shared" ca="1" si="78"/>
        <v>No aplica</v>
      </c>
      <c r="I150" s="33">
        <f t="shared" ca="1" si="79"/>
        <v>0</v>
      </c>
      <c r="J150" s="33" t="str">
        <f t="shared" ca="1" si="80"/>
        <v>No aplica</v>
      </c>
      <c r="K150" s="33">
        <f t="shared" ca="1" si="81"/>
        <v>0</v>
      </c>
      <c r="L150" s="33" t="str">
        <f t="shared" ca="1" si="82"/>
        <v>No aplica</v>
      </c>
      <c r="M150" s="33">
        <f t="shared" ca="1" si="83"/>
        <v>0</v>
      </c>
      <c r="N150" s="33" t="str">
        <f t="shared" ca="1" si="84"/>
        <v>No aplica</v>
      </c>
      <c r="O150" s="33">
        <f t="shared" ca="1" si="85"/>
        <v>0</v>
      </c>
      <c r="P150" s="33" t="str">
        <f t="shared" ca="1" si="86"/>
        <v>No aplica</v>
      </c>
      <c r="Q150" s="33">
        <f t="shared" ca="1" si="87"/>
        <v>1</v>
      </c>
      <c r="R150" s="33">
        <f t="shared" ca="1" si="88"/>
        <v>1</v>
      </c>
      <c r="S150" s="34">
        <f t="shared" ca="1" si="89"/>
        <v>1</v>
      </c>
    </row>
    <row r="151" spans="1:19" ht="37.5">
      <c r="A151" s="20">
        <f ca="1">IFERROR(__xludf.DUMMYFUNCTION("""COMPUTED_VALUE"""),150)</f>
        <v>150</v>
      </c>
      <c r="B151" s="20" t="str">
        <f t="shared" ca="1" si="72"/>
        <v>Diálogo ciudadano para la formulación del Plan Distrital de Desarrollo PDD- LGBTI</v>
      </c>
      <c r="C151" s="21">
        <f t="shared" ca="1" si="73"/>
        <v>45370</v>
      </c>
      <c r="D151" s="33">
        <f t="shared" ca="1" si="74"/>
        <v>0</v>
      </c>
      <c r="E151" s="33">
        <f t="shared" ca="1" si="75"/>
        <v>0</v>
      </c>
      <c r="F151" s="33" t="str">
        <f t="shared" ca="1" si="76"/>
        <v>No aplica</v>
      </c>
      <c r="G151" s="33">
        <f t="shared" ca="1" si="77"/>
        <v>0</v>
      </c>
      <c r="H151" s="33" t="str">
        <f t="shared" ca="1" si="78"/>
        <v>No aplica</v>
      </c>
      <c r="I151" s="33">
        <f t="shared" ca="1" si="79"/>
        <v>0</v>
      </c>
      <c r="J151" s="33" t="str">
        <f t="shared" ca="1" si="80"/>
        <v>No aplica</v>
      </c>
      <c r="K151" s="33">
        <f t="shared" ca="1" si="81"/>
        <v>0</v>
      </c>
      <c r="L151" s="33" t="str">
        <f t="shared" ca="1" si="82"/>
        <v>No aplica</v>
      </c>
      <c r="M151" s="33">
        <f t="shared" ca="1" si="83"/>
        <v>0</v>
      </c>
      <c r="N151" s="33" t="str">
        <f t="shared" ca="1" si="84"/>
        <v>No aplica</v>
      </c>
      <c r="O151" s="33">
        <f t="shared" ca="1" si="85"/>
        <v>0</v>
      </c>
      <c r="P151" s="33" t="str">
        <f t="shared" ca="1" si="86"/>
        <v>No aplica</v>
      </c>
      <c r="Q151" s="33">
        <f t="shared" ca="1" si="87"/>
        <v>0</v>
      </c>
      <c r="R151" s="33">
        <f t="shared" ca="1" si="88"/>
        <v>0</v>
      </c>
      <c r="S151" s="34" t="str">
        <f t="shared" ca="1" si="89"/>
        <v/>
      </c>
    </row>
    <row r="152" spans="1:19" ht="25.5">
      <c r="A152" s="20">
        <f ca="1">IFERROR(__xludf.DUMMYFUNCTION("""COMPUTED_VALUE"""),151)</f>
        <v>151</v>
      </c>
      <c r="B152" s="20" t="str">
        <f t="shared" ca="1" si="72"/>
        <v>Socialización Plan Plurianual de Inversiones - Comisión PDD - CTPD</v>
      </c>
      <c r="C152" s="21">
        <f t="shared" ca="1" si="73"/>
        <v>45370</v>
      </c>
      <c r="D152" s="33">
        <f t="shared" ca="1" si="74"/>
        <v>0</v>
      </c>
      <c r="E152" s="33">
        <f t="shared" ca="1" si="75"/>
        <v>0</v>
      </c>
      <c r="F152" s="33" t="str">
        <f t="shared" ca="1" si="76"/>
        <v>No aplica</v>
      </c>
      <c r="G152" s="33">
        <f t="shared" ca="1" si="77"/>
        <v>0</v>
      </c>
      <c r="H152" s="33" t="str">
        <f t="shared" ca="1" si="78"/>
        <v>No aplica</v>
      </c>
      <c r="I152" s="33">
        <f t="shared" ca="1" si="79"/>
        <v>0</v>
      </c>
      <c r="J152" s="33" t="str">
        <f t="shared" ca="1" si="80"/>
        <v>No aplica</v>
      </c>
      <c r="K152" s="33">
        <f t="shared" ca="1" si="81"/>
        <v>0</v>
      </c>
      <c r="L152" s="33" t="str">
        <f t="shared" ca="1" si="82"/>
        <v>No aplica</v>
      </c>
      <c r="M152" s="33">
        <f t="shared" ca="1" si="83"/>
        <v>0</v>
      </c>
      <c r="N152" s="33" t="str">
        <f t="shared" ca="1" si="84"/>
        <v>No aplica</v>
      </c>
      <c r="O152" s="33">
        <f t="shared" ca="1" si="85"/>
        <v>0</v>
      </c>
      <c r="P152" s="33" t="str">
        <f t="shared" ca="1" si="86"/>
        <v>No aplica</v>
      </c>
      <c r="Q152" s="33">
        <f t="shared" ca="1" si="87"/>
        <v>0</v>
      </c>
      <c r="R152" s="33">
        <f t="shared" ca="1" si="88"/>
        <v>0</v>
      </c>
      <c r="S152" s="34" t="str">
        <f t="shared" ca="1" si="89"/>
        <v/>
      </c>
    </row>
    <row r="153" spans="1:19" ht="25.5">
      <c r="A153" s="20">
        <f ca="1">IFERROR(__xludf.DUMMYFUNCTION("""COMPUTED_VALUE"""),152)</f>
        <v>152</v>
      </c>
      <c r="B153" s="20" t="str">
        <f t="shared" ca="1" si="72"/>
        <v>Comité Coordinador Intersectorial de Participación PDD</v>
      </c>
      <c r="C153" s="21">
        <f t="shared" ca="1" si="73"/>
        <v>45371</v>
      </c>
      <c r="D153" s="33">
        <f t="shared" ca="1" si="74"/>
        <v>0</v>
      </c>
      <c r="E153" s="33">
        <f t="shared" ca="1" si="75"/>
        <v>0</v>
      </c>
      <c r="F153" s="33" t="str">
        <f t="shared" ca="1" si="76"/>
        <v>No aplica</v>
      </c>
      <c r="G153" s="33">
        <f t="shared" ca="1" si="77"/>
        <v>0</v>
      </c>
      <c r="H153" s="33" t="str">
        <f t="shared" ca="1" si="78"/>
        <v>No aplica</v>
      </c>
      <c r="I153" s="33">
        <f t="shared" ca="1" si="79"/>
        <v>0</v>
      </c>
      <c r="J153" s="33" t="str">
        <f t="shared" ca="1" si="80"/>
        <v>No aplica</v>
      </c>
      <c r="K153" s="33">
        <f t="shared" ca="1" si="81"/>
        <v>0</v>
      </c>
      <c r="L153" s="33" t="str">
        <f t="shared" ca="1" si="82"/>
        <v>No aplica</v>
      </c>
      <c r="M153" s="33">
        <f t="shared" ca="1" si="83"/>
        <v>0</v>
      </c>
      <c r="N153" s="33" t="str">
        <f t="shared" ca="1" si="84"/>
        <v>No aplica</v>
      </c>
      <c r="O153" s="33">
        <f t="shared" ca="1" si="85"/>
        <v>0</v>
      </c>
      <c r="P153" s="33" t="str">
        <f t="shared" ca="1" si="86"/>
        <v>No aplica</v>
      </c>
      <c r="Q153" s="33">
        <f t="shared" ca="1" si="87"/>
        <v>0</v>
      </c>
      <c r="R153" s="33">
        <f t="shared" ca="1" si="88"/>
        <v>0</v>
      </c>
      <c r="S153" s="34" t="str">
        <f t="shared" ca="1" si="89"/>
        <v/>
      </c>
    </row>
    <row r="154" spans="1:19" ht="49.5">
      <c r="A154" s="20">
        <f ca="1">IFERROR(__xludf.DUMMYFUNCTION("""COMPUTED_VALUE"""),153)</f>
        <v>153</v>
      </c>
      <c r="B154" s="20" t="str">
        <f t="shared" ca="1" si="72"/>
        <v>II Diálogo Ciudadano Poblacional para la Construcción del PDD - Taller Niños, Niñas y Adolescentes - SED-SDP</v>
      </c>
      <c r="C154" s="21">
        <f t="shared" ca="1" si="73"/>
        <v>45371</v>
      </c>
      <c r="D154" s="33">
        <f t="shared" ca="1" si="74"/>
        <v>0</v>
      </c>
      <c r="E154" s="33">
        <f t="shared" ca="1" si="75"/>
        <v>0</v>
      </c>
      <c r="F154" s="33" t="str">
        <f t="shared" ca="1" si="76"/>
        <v>No aplica</v>
      </c>
      <c r="G154" s="33">
        <f t="shared" ca="1" si="77"/>
        <v>0</v>
      </c>
      <c r="H154" s="33" t="str">
        <f t="shared" ca="1" si="78"/>
        <v>No aplica</v>
      </c>
      <c r="I154" s="33">
        <f t="shared" ca="1" si="79"/>
        <v>0</v>
      </c>
      <c r="J154" s="33" t="str">
        <f t="shared" ca="1" si="80"/>
        <v>No aplica</v>
      </c>
      <c r="K154" s="33">
        <f t="shared" ca="1" si="81"/>
        <v>0</v>
      </c>
      <c r="L154" s="33" t="str">
        <f t="shared" ca="1" si="82"/>
        <v>No aplica</v>
      </c>
      <c r="M154" s="33">
        <f t="shared" ca="1" si="83"/>
        <v>0</v>
      </c>
      <c r="N154" s="33" t="str">
        <f t="shared" ca="1" si="84"/>
        <v>No aplica</v>
      </c>
      <c r="O154" s="33">
        <f t="shared" ca="1" si="85"/>
        <v>0</v>
      </c>
      <c r="P154" s="33" t="str">
        <f t="shared" ca="1" si="86"/>
        <v>No aplica</v>
      </c>
      <c r="Q154" s="33">
        <f t="shared" ca="1" si="87"/>
        <v>0</v>
      </c>
      <c r="R154" s="33">
        <f t="shared" ca="1" si="88"/>
        <v>0</v>
      </c>
      <c r="S154" s="34" t="str">
        <f t="shared" ca="1" si="89"/>
        <v/>
      </c>
    </row>
    <row r="155" spans="1:19" ht="13.5">
      <c r="A155" s="20">
        <f ca="1">IFERROR(__xludf.DUMMYFUNCTION("""COMPUTED_VALUE"""),154)</f>
        <v>154</v>
      </c>
      <c r="B155" s="20" t="str">
        <f t="shared" ca="1" si="72"/>
        <v>CLIP Ciudad Bolívar</v>
      </c>
      <c r="C155" s="21">
        <f t="shared" ca="1" si="73"/>
        <v>45371</v>
      </c>
      <c r="D155" s="33">
        <f t="shared" ca="1" si="74"/>
        <v>0</v>
      </c>
      <c r="E155" s="33">
        <f t="shared" ca="1" si="75"/>
        <v>0</v>
      </c>
      <c r="F155" s="33" t="str">
        <f t="shared" ca="1" si="76"/>
        <v>No aplica</v>
      </c>
      <c r="G155" s="33">
        <f t="shared" ca="1" si="77"/>
        <v>0</v>
      </c>
      <c r="H155" s="33" t="str">
        <f t="shared" ca="1" si="78"/>
        <v>No aplica</v>
      </c>
      <c r="I155" s="33">
        <f t="shared" ca="1" si="79"/>
        <v>0</v>
      </c>
      <c r="J155" s="33" t="str">
        <f t="shared" ca="1" si="80"/>
        <v>No aplica</v>
      </c>
      <c r="K155" s="33">
        <f t="shared" ca="1" si="81"/>
        <v>0</v>
      </c>
      <c r="L155" s="33" t="str">
        <f t="shared" ca="1" si="82"/>
        <v>No aplica</v>
      </c>
      <c r="M155" s="33">
        <f t="shared" ca="1" si="83"/>
        <v>0</v>
      </c>
      <c r="N155" s="33" t="str">
        <f t="shared" ca="1" si="84"/>
        <v>No aplica</v>
      </c>
      <c r="O155" s="33">
        <f t="shared" ca="1" si="85"/>
        <v>0</v>
      </c>
      <c r="P155" s="33" t="str">
        <f t="shared" ca="1" si="86"/>
        <v>No aplica</v>
      </c>
      <c r="Q155" s="33">
        <f t="shared" ca="1" si="87"/>
        <v>0</v>
      </c>
      <c r="R155" s="33">
        <f t="shared" ca="1" si="88"/>
        <v>0</v>
      </c>
      <c r="S155" s="34" t="str">
        <f t="shared" ca="1" si="89"/>
        <v/>
      </c>
    </row>
    <row r="156" spans="1:19" ht="37.5">
      <c r="A156" s="20">
        <f ca="1">IFERROR(__xludf.DUMMYFUNCTION("""COMPUTED_VALUE"""),155)</f>
        <v>155</v>
      </c>
      <c r="B156" s="20" t="str">
        <f t="shared" ca="1" si="72"/>
        <v>Dialogo Ciudadano para la Construcción del PDD - UPL Britalia</v>
      </c>
      <c r="C156" s="21">
        <f t="shared" ca="1" si="73"/>
        <v>45371</v>
      </c>
      <c r="D156" s="33">
        <f t="shared" ca="1" si="74"/>
        <v>1</v>
      </c>
      <c r="E156" s="33" t="str">
        <f t="shared" ca="1" si="75"/>
        <v>Envair memorias del espacio</v>
      </c>
      <c r="F156" s="33" t="str">
        <f t="shared" ca="1" si="76"/>
        <v>Realizado y Devuelto a la Ciudadanía</v>
      </c>
      <c r="G156" s="33">
        <f t="shared" ca="1" si="77"/>
        <v>0</v>
      </c>
      <c r="H156" s="33" t="str">
        <f t="shared" ca="1" si="78"/>
        <v>No aplica</v>
      </c>
      <c r="I156" s="33">
        <f t="shared" ca="1" si="79"/>
        <v>0</v>
      </c>
      <c r="J156" s="33" t="str">
        <f t="shared" ca="1" si="80"/>
        <v>No aplica</v>
      </c>
      <c r="K156" s="33">
        <f t="shared" ca="1" si="81"/>
        <v>0</v>
      </c>
      <c r="L156" s="33" t="str">
        <f t="shared" ca="1" si="82"/>
        <v>No aplica</v>
      </c>
      <c r="M156" s="33">
        <f t="shared" ca="1" si="83"/>
        <v>0</v>
      </c>
      <c r="N156" s="33" t="str">
        <f t="shared" ca="1" si="84"/>
        <v>No aplica</v>
      </c>
      <c r="O156" s="33">
        <f t="shared" ca="1" si="85"/>
        <v>0</v>
      </c>
      <c r="P156" s="33" t="str">
        <f t="shared" ca="1" si="86"/>
        <v>No aplica</v>
      </c>
      <c r="Q156" s="33">
        <f t="shared" ca="1" si="87"/>
        <v>1</v>
      </c>
      <c r="R156" s="33">
        <f t="shared" ca="1" si="88"/>
        <v>1</v>
      </c>
      <c r="S156" s="34">
        <f t="shared" ca="1" si="89"/>
        <v>1</v>
      </c>
    </row>
    <row r="157" spans="1:19" ht="49.5">
      <c r="A157" s="20">
        <f ca="1">IFERROR(__xludf.DUMMYFUNCTION("""COMPUTED_VALUE"""),156)</f>
        <v>156</v>
      </c>
      <c r="B157" s="20" t="str">
        <f t="shared" ca="1" si="72"/>
        <v>Sesión Extraordinaria Comisión de Desarrollo Regional, Descentralización y Desconcentración del CTPD</v>
      </c>
      <c r="C157" s="21">
        <f t="shared" ca="1" si="73"/>
        <v>45371</v>
      </c>
      <c r="D157" s="33">
        <f t="shared" ca="1" si="74"/>
        <v>0</v>
      </c>
      <c r="E157" s="33">
        <f t="shared" ca="1" si="75"/>
        <v>0</v>
      </c>
      <c r="F157" s="33" t="str">
        <f t="shared" ca="1" si="76"/>
        <v>No aplica</v>
      </c>
      <c r="G157" s="33">
        <f t="shared" ca="1" si="77"/>
        <v>0</v>
      </c>
      <c r="H157" s="33" t="str">
        <f t="shared" ca="1" si="78"/>
        <v>No aplica</v>
      </c>
      <c r="I157" s="33">
        <f t="shared" ca="1" si="79"/>
        <v>0</v>
      </c>
      <c r="J157" s="33" t="str">
        <f t="shared" ca="1" si="80"/>
        <v>No aplica</v>
      </c>
      <c r="K157" s="33">
        <f t="shared" ca="1" si="81"/>
        <v>0</v>
      </c>
      <c r="L157" s="33" t="str">
        <f t="shared" ca="1" si="82"/>
        <v>No aplica</v>
      </c>
      <c r="M157" s="33">
        <f t="shared" ca="1" si="83"/>
        <v>0</v>
      </c>
      <c r="N157" s="33" t="str">
        <f t="shared" ca="1" si="84"/>
        <v>No aplica</v>
      </c>
      <c r="O157" s="33">
        <f t="shared" ca="1" si="85"/>
        <v>0</v>
      </c>
      <c r="P157" s="33" t="str">
        <f t="shared" ca="1" si="86"/>
        <v>No aplica</v>
      </c>
      <c r="Q157" s="33">
        <f t="shared" ca="1" si="87"/>
        <v>0</v>
      </c>
      <c r="R157" s="33">
        <f t="shared" ca="1" si="88"/>
        <v>0</v>
      </c>
      <c r="S157" s="34" t="str">
        <f t="shared" ca="1" si="89"/>
        <v/>
      </c>
    </row>
    <row r="158" spans="1:19" ht="13.5">
      <c r="A158" s="20">
        <f ca="1">IFERROR(__xludf.DUMMYFUNCTION("""COMPUTED_VALUE"""),157)</f>
        <v>157</v>
      </c>
      <c r="B158" s="20" t="str">
        <f t="shared" ca="1" si="72"/>
        <v>Comisión Poblacional</v>
      </c>
      <c r="C158" s="21">
        <f t="shared" ca="1" si="73"/>
        <v>45371</v>
      </c>
      <c r="D158" s="33">
        <f t="shared" ca="1" si="74"/>
        <v>0</v>
      </c>
      <c r="E158" s="33">
        <f t="shared" ca="1" si="75"/>
        <v>0</v>
      </c>
      <c r="F158" s="33" t="str">
        <f t="shared" ca="1" si="76"/>
        <v>No aplica</v>
      </c>
      <c r="G158" s="33">
        <f t="shared" ca="1" si="77"/>
        <v>0</v>
      </c>
      <c r="H158" s="33" t="str">
        <f t="shared" ca="1" si="78"/>
        <v>No aplica</v>
      </c>
      <c r="I158" s="33">
        <f t="shared" ca="1" si="79"/>
        <v>0</v>
      </c>
      <c r="J158" s="33" t="str">
        <f t="shared" ca="1" si="80"/>
        <v>No aplica</v>
      </c>
      <c r="K158" s="33">
        <f t="shared" ca="1" si="81"/>
        <v>0</v>
      </c>
      <c r="L158" s="33" t="str">
        <f t="shared" ca="1" si="82"/>
        <v>No aplica</v>
      </c>
      <c r="M158" s="33">
        <f t="shared" ca="1" si="83"/>
        <v>0</v>
      </c>
      <c r="N158" s="33" t="str">
        <f t="shared" ca="1" si="84"/>
        <v>No aplica</v>
      </c>
      <c r="O158" s="33">
        <f t="shared" ca="1" si="85"/>
        <v>0</v>
      </c>
      <c r="P158" s="33" t="str">
        <f t="shared" ca="1" si="86"/>
        <v>No aplica</v>
      </c>
      <c r="S158" s="35"/>
    </row>
    <row r="159" spans="1:19" ht="13.5">
      <c r="A159" s="20">
        <f ca="1">IFERROR(__xludf.DUMMYFUNCTION("""COMPUTED_VALUE"""),158)</f>
        <v>158</v>
      </c>
      <c r="B159" s="20" t="str">
        <f t="shared" ca="1" si="72"/>
        <v>Comisión POT Ordinaria - CTPD</v>
      </c>
      <c r="C159" s="21">
        <f t="shared" ca="1" si="73"/>
        <v>45371</v>
      </c>
      <c r="D159" s="33">
        <f t="shared" ca="1" si="74"/>
        <v>0</v>
      </c>
      <c r="E159" s="33">
        <f t="shared" ca="1" si="75"/>
        <v>0</v>
      </c>
      <c r="F159" s="33" t="str">
        <f t="shared" ca="1" si="76"/>
        <v>No aplica</v>
      </c>
      <c r="G159" s="33">
        <f t="shared" ca="1" si="77"/>
        <v>0</v>
      </c>
      <c r="H159" s="33" t="str">
        <f t="shared" ca="1" si="78"/>
        <v>No aplica</v>
      </c>
      <c r="I159" s="33">
        <f t="shared" ca="1" si="79"/>
        <v>0</v>
      </c>
      <c r="J159" s="33" t="str">
        <f t="shared" ca="1" si="80"/>
        <v>No aplica</v>
      </c>
      <c r="K159" s="33">
        <f t="shared" ca="1" si="81"/>
        <v>0</v>
      </c>
      <c r="L159" s="33" t="str">
        <f t="shared" ca="1" si="82"/>
        <v>No aplica</v>
      </c>
      <c r="M159" s="33">
        <f t="shared" ca="1" si="83"/>
        <v>0</v>
      </c>
      <c r="N159" s="33" t="str">
        <f t="shared" ca="1" si="84"/>
        <v>No aplica</v>
      </c>
      <c r="O159" s="33">
        <f t="shared" ca="1" si="85"/>
        <v>0</v>
      </c>
      <c r="P159" s="33" t="str">
        <f t="shared" ca="1" si="86"/>
        <v>No aplica</v>
      </c>
      <c r="S159" s="35"/>
    </row>
    <row r="160" spans="1:19" ht="25.5">
      <c r="A160" s="20">
        <f ca="1">IFERROR(__xludf.DUMMYFUNCTION("""COMPUTED_VALUE"""),159)</f>
        <v>159</v>
      </c>
      <c r="B160" s="20" t="str">
        <f t="shared" ca="1" si="72"/>
        <v>Comisión Ordinaria de Participación - CTPD</v>
      </c>
      <c r="C160" s="21">
        <f t="shared" ca="1" si="73"/>
        <v>45371</v>
      </c>
      <c r="D160" s="33">
        <f t="shared" ca="1" si="74"/>
        <v>0</v>
      </c>
      <c r="E160" s="33">
        <f t="shared" ca="1" si="75"/>
        <v>0</v>
      </c>
      <c r="F160" s="33" t="str">
        <f t="shared" ca="1" si="76"/>
        <v>No aplica</v>
      </c>
      <c r="G160" s="33">
        <f t="shared" ca="1" si="77"/>
        <v>0</v>
      </c>
      <c r="H160" s="33" t="str">
        <f t="shared" ca="1" si="78"/>
        <v>No aplica</v>
      </c>
      <c r="I160" s="33">
        <f t="shared" ca="1" si="79"/>
        <v>0</v>
      </c>
      <c r="J160" s="33" t="str">
        <f t="shared" ca="1" si="80"/>
        <v>No aplica</v>
      </c>
      <c r="K160" s="33">
        <f t="shared" ca="1" si="81"/>
        <v>0</v>
      </c>
      <c r="L160" s="33" t="str">
        <f t="shared" ca="1" si="82"/>
        <v>No aplica</v>
      </c>
      <c r="M160" s="33">
        <f t="shared" ca="1" si="83"/>
        <v>0</v>
      </c>
      <c r="N160" s="33" t="str">
        <f t="shared" ca="1" si="84"/>
        <v>No aplica</v>
      </c>
      <c r="O160" s="33">
        <f t="shared" ca="1" si="85"/>
        <v>0</v>
      </c>
      <c r="P160" s="33" t="str">
        <f t="shared" ca="1" si="86"/>
        <v>No aplica</v>
      </c>
      <c r="S160" s="35"/>
    </row>
    <row r="161" spans="1:19" ht="25.5">
      <c r="A161" s="20">
        <f ca="1">IFERROR(__xludf.DUMMYFUNCTION("""COMPUTED_VALUE"""),160)</f>
        <v>160</v>
      </c>
      <c r="B161" s="20" t="str">
        <f t="shared" ca="1" si="72"/>
        <v>Sesión Ordinaria - Comisión Intersectorial Diferencial Poblacional</v>
      </c>
      <c r="C161" s="21">
        <f t="shared" ca="1" si="73"/>
        <v>45372</v>
      </c>
      <c r="D161" s="33">
        <f t="shared" ca="1" si="74"/>
        <v>0</v>
      </c>
      <c r="E161" s="33">
        <f t="shared" ca="1" si="75"/>
        <v>0</v>
      </c>
      <c r="F161" s="33" t="str">
        <f t="shared" ca="1" si="76"/>
        <v>No aplica</v>
      </c>
      <c r="G161" s="33">
        <f t="shared" ca="1" si="77"/>
        <v>0</v>
      </c>
      <c r="H161" s="33" t="str">
        <f t="shared" ca="1" si="78"/>
        <v>No aplica</v>
      </c>
      <c r="I161" s="33">
        <f t="shared" ca="1" si="79"/>
        <v>0</v>
      </c>
      <c r="J161" s="33" t="str">
        <f t="shared" ca="1" si="80"/>
        <v>No aplica</v>
      </c>
      <c r="K161" s="33">
        <f t="shared" ca="1" si="81"/>
        <v>0</v>
      </c>
      <c r="L161" s="33" t="str">
        <f t="shared" ca="1" si="82"/>
        <v>No aplica</v>
      </c>
      <c r="M161" s="33">
        <f t="shared" ca="1" si="83"/>
        <v>0</v>
      </c>
      <c r="N161" s="33" t="str">
        <f t="shared" ca="1" si="84"/>
        <v>No aplica</v>
      </c>
      <c r="O161" s="33">
        <f t="shared" ca="1" si="85"/>
        <v>0</v>
      </c>
      <c r="P161" s="33" t="str">
        <f t="shared" ca="1" si="86"/>
        <v>No aplica</v>
      </c>
      <c r="S161" s="35"/>
    </row>
    <row r="162" spans="1:19" ht="14.25">
      <c r="A162" s="20"/>
      <c r="B162" s="20" t="str">
        <f t="shared" ref="B162:B172" si="90">IFERROR(VLOOKUP(A162,DATA_MATRIZ,2,FALSE),"")</f>
        <v/>
      </c>
      <c r="C162" s="21" t="str">
        <f t="shared" ref="C162:C172" si="91">IFERROR(VLOOKUP(A162,DATA_MATRIZ,3,FALSE),"")</f>
        <v/>
      </c>
      <c r="D162" s="33" t="str">
        <f t="shared" ref="D162:D172" si="92">IFERROR(VLOOKUP(A162,DATA_MATRIZ,89,FALSE),"")</f>
        <v/>
      </c>
      <c r="E162" s="33" t="str">
        <f t="shared" ref="E162:E172" si="93">IFERROR(VLOOKUP(A162,DATA_MATRIZ,90,FALSE),"")</f>
        <v/>
      </c>
      <c r="F162" s="33" t="str">
        <f t="shared" ref="F162:F172" si="94">IFERROR(VLOOKUP(A162,DATA_MATRIZ,96,FALSE),"")</f>
        <v/>
      </c>
      <c r="G162" s="33" t="str">
        <f t="shared" ref="G162:G172" si="95">IFERROR(VLOOKUP(A162,DATA_MATRIZ,91,FALSE),"")</f>
        <v/>
      </c>
      <c r="H162" s="33" t="str">
        <f t="shared" ref="H162:H172" si="96">IFERROR(VLOOKUP(A162,DATA_MATRIZ,97,FALSE),"")</f>
        <v/>
      </c>
      <c r="I162" s="33" t="str">
        <f t="shared" ref="I162:I172" si="97">IFERROR(VLOOKUP(A162,DATA_MATRIZ,92,FALSE),"")</f>
        <v/>
      </c>
      <c r="J162" s="33" t="str">
        <f t="shared" ref="J162:J172" si="98">IFERROR(VLOOKUP(A162,DATA_MATRIZ,98,FALSE),"")</f>
        <v/>
      </c>
      <c r="K162" s="33" t="str">
        <f t="shared" ref="K162:K172" si="99">IFERROR(VLOOKUP(A162,DATA_MATRIZ,93,FALSE),"")</f>
        <v/>
      </c>
      <c r="L162" s="33" t="str">
        <f t="shared" ref="L162:L172" si="100">IFERROR(VLOOKUP(A162,DATA_MATRIZ,99,FALSE),"")</f>
        <v/>
      </c>
      <c r="M162" s="33" t="str">
        <f t="shared" ref="M162:M172" si="101">IFERROR(VLOOKUP(A162,DATA_MATRIZ,94,FALSE),"")</f>
        <v/>
      </c>
      <c r="N162" s="33" t="str">
        <f t="shared" ref="N162:N172" si="102">IFERROR(VLOOKUP(A162,DATA_MATRIZ,100,FALSE),"")</f>
        <v/>
      </c>
      <c r="O162" s="33" t="str">
        <f t="shared" ref="O162:O172" si="103">IFERROR(VLOOKUP(A162,DATA_MATRIZ,95,FALSE),"")</f>
        <v/>
      </c>
      <c r="P162" s="33" t="str">
        <f t="shared" ref="P162:P172" si="104">IFERROR(VLOOKUP(A162,DATA_MATRIZ,101,FALSE),"")</f>
        <v/>
      </c>
      <c r="S162" s="35"/>
    </row>
    <row r="163" spans="1:19" ht="13.5">
      <c r="A163" s="20">
        <f ca="1">IFERROR(__xludf.DUMMYFUNCTION("""COMPUTED_VALUE"""),162)</f>
        <v>162</v>
      </c>
      <c r="B163" s="20" t="str">
        <f t="shared" ca="1" si="90"/>
        <v>CLIP Tunjuelito</v>
      </c>
      <c r="C163" s="21">
        <f t="shared" ca="1" si="91"/>
        <v>45372</v>
      </c>
      <c r="D163" s="33">
        <f t="shared" ca="1" si="92"/>
        <v>0</v>
      </c>
      <c r="E163" s="33">
        <f t="shared" ca="1" si="93"/>
        <v>0</v>
      </c>
      <c r="F163" s="33" t="str">
        <f t="shared" ca="1" si="94"/>
        <v>No aplica</v>
      </c>
      <c r="G163" s="33">
        <f t="shared" ca="1" si="95"/>
        <v>0</v>
      </c>
      <c r="H163" s="33" t="str">
        <f t="shared" ca="1" si="96"/>
        <v>No aplica</v>
      </c>
      <c r="I163" s="33">
        <f t="shared" ca="1" si="97"/>
        <v>0</v>
      </c>
      <c r="J163" s="33" t="str">
        <f t="shared" ca="1" si="98"/>
        <v>No aplica</v>
      </c>
      <c r="K163" s="33">
        <f t="shared" ca="1" si="99"/>
        <v>0</v>
      </c>
      <c r="L163" s="33" t="str">
        <f t="shared" ca="1" si="100"/>
        <v>No aplica</v>
      </c>
      <c r="M163" s="33">
        <f t="shared" ca="1" si="101"/>
        <v>0</v>
      </c>
      <c r="N163" s="33" t="str">
        <f t="shared" ca="1" si="102"/>
        <v>No aplica</v>
      </c>
      <c r="O163" s="33">
        <f t="shared" ca="1" si="103"/>
        <v>0</v>
      </c>
      <c r="P163" s="33" t="str">
        <f t="shared" ca="1" si="104"/>
        <v>No aplica</v>
      </c>
      <c r="S163" s="35"/>
    </row>
    <row r="164" spans="1:19" ht="13.5">
      <c r="A164" s="20">
        <f ca="1">IFERROR(__xludf.DUMMYFUNCTION("""COMPUTED_VALUE"""),163)</f>
        <v>163</v>
      </c>
      <c r="B164" s="20" t="str">
        <f t="shared" ca="1" si="90"/>
        <v/>
      </c>
      <c r="C164" s="21" t="str">
        <f t="shared" ca="1" si="91"/>
        <v/>
      </c>
      <c r="D164" s="33" t="str">
        <f t="shared" ca="1" si="92"/>
        <v/>
      </c>
      <c r="E164" s="33" t="str">
        <f t="shared" ca="1" si="93"/>
        <v/>
      </c>
      <c r="F164" s="33" t="str">
        <f t="shared" ca="1" si="94"/>
        <v/>
      </c>
      <c r="G164" s="33" t="str">
        <f t="shared" ca="1" si="95"/>
        <v/>
      </c>
      <c r="H164" s="33" t="str">
        <f t="shared" ca="1" si="96"/>
        <v/>
      </c>
      <c r="I164" s="33" t="str">
        <f t="shared" ca="1" si="97"/>
        <v/>
      </c>
      <c r="J164" s="33" t="str">
        <f t="shared" ca="1" si="98"/>
        <v/>
      </c>
      <c r="K164" s="33" t="str">
        <f t="shared" ca="1" si="99"/>
        <v/>
      </c>
      <c r="L164" s="33" t="str">
        <f t="shared" ca="1" si="100"/>
        <v/>
      </c>
      <c r="M164" s="33" t="str">
        <f t="shared" ca="1" si="101"/>
        <v/>
      </c>
      <c r="N164" s="33" t="str">
        <f t="shared" ca="1" si="102"/>
        <v/>
      </c>
      <c r="O164" s="33" t="str">
        <f t="shared" ca="1" si="103"/>
        <v/>
      </c>
      <c r="P164" s="33" t="str">
        <f t="shared" ca="1" si="104"/>
        <v/>
      </c>
      <c r="S164" s="35"/>
    </row>
    <row r="165" spans="1:19" ht="37.5">
      <c r="A165" s="20">
        <f ca="1">IFERROR(__xludf.DUMMYFUNCTION("""COMPUTED_VALUE"""),164)</f>
        <v>164</v>
      </c>
      <c r="B165" s="20" t="str">
        <f t="shared" ca="1" si="90"/>
        <v>Diálogo ciudadano para la formulación del Plan Distrital de Desarrollo PDD- LGBTI</v>
      </c>
      <c r="C165" s="21">
        <f t="shared" ca="1" si="91"/>
        <v>45372</v>
      </c>
      <c r="D165" s="33">
        <f t="shared" ca="1" si="92"/>
        <v>0</v>
      </c>
      <c r="E165" s="33">
        <f t="shared" ca="1" si="93"/>
        <v>0</v>
      </c>
      <c r="F165" s="33" t="str">
        <f t="shared" ca="1" si="94"/>
        <v>No aplica</v>
      </c>
      <c r="G165" s="33">
        <f t="shared" ca="1" si="95"/>
        <v>0</v>
      </c>
      <c r="H165" s="33" t="str">
        <f t="shared" ca="1" si="96"/>
        <v>No aplica</v>
      </c>
      <c r="I165" s="33">
        <f t="shared" ca="1" si="97"/>
        <v>0</v>
      </c>
      <c r="J165" s="33" t="str">
        <f t="shared" ca="1" si="98"/>
        <v>No aplica</v>
      </c>
      <c r="K165" s="33">
        <f t="shared" ca="1" si="99"/>
        <v>0</v>
      </c>
      <c r="L165" s="33" t="str">
        <f t="shared" ca="1" si="100"/>
        <v>No aplica</v>
      </c>
      <c r="M165" s="33">
        <f t="shared" ca="1" si="101"/>
        <v>0</v>
      </c>
      <c r="N165" s="33" t="str">
        <f t="shared" ca="1" si="102"/>
        <v>No aplica</v>
      </c>
      <c r="O165" s="33">
        <f t="shared" ca="1" si="103"/>
        <v>0</v>
      </c>
      <c r="P165" s="33" t="str">
        <f t="shared" ca="1" si="104"/>
        <v>No aplica</v>
      </c>
      <c r="S165" s="35"/>
    </row>
    <row r="166" spans="1:19" ht="37.5">
      <c r="A166" s="20">
        <f ca="1">IFERROR(__xludf.DUMMYFUNCTION("""COMPUTED_VALUE"""),165)</f>
        <v>165</v>
      </c>
      <c r="B166" s="20" t="str">
        <f t="shared" ca="1" si="90"/>
        <v>Dialogo Ciudadano para la Construcción del PDD - UPL Arborizadora</v>
      </c>
      <c r="C166" s="21">
        <f t="shared" ca="1" si="91"/>
        <v>45372</v>
      </c>
      <c r="D166" s="33">
        <f t="shared" ca="1" si="92"/>
        <v>1</v>
      </c>
      <c r="E166" s="33" t="str">
        <f t="shared" ca="1" si="93"/>
        <v>Envair memorias del espacio</v>
      </c>
      <c r="F166" s="33" t="str">
        <f t="shared" ca="1" si="94"/>
        <v>Realizado y Devuelto a la Ciudadanía</v>
      </c>
      <c r="G166" s="33">
        <f t="shared" ca="1" si="95"/>
        <v>0</v>
      </c>
      <c r="H166" s="33" t="str">
        <f t="shared" ca="1" si="96"/>
        <v>No aplica</v>
      </c>
      <c r="I166" s="33">
        <f t="shared" ca="1" si="97"/>
        <v>0</v>
      </c>
      <c r="J166" s="33" t="str">
        <f t="shared" ca="1" si="98"/>
        <v>No aplica</v>
      </c>
      <c r="K166" s="33">
        <f t="shared" ca="1" si="99"/>
        <v>0</v>
      </c>
      <c r="L166" s="33" t="str">
        <f t="shared" ca="1" si="100"/>
        <v>No aplica</v>
      </c>
      <c r="M166" s="33">
        <f t="shared" ca="1" si="101"/>
        <v>0</v>
      </c>
      <c r="N166" s="33" t="str">
        <f t="shared" ca="1" si="102"/>
        <v>No aplica</v>
      </c>
      <c r="O166" s="33">
        <f t="shared" ca="1" si="103"/>
        <v>0</v>
      </c>
      <c r="P166" s="33" t="str">
        <f t="shared" ca="1" si="104"/>
        <v>No aplica</v>
      </c>
      <c r="S166" s="35"/>
    </row>
    <row r="167" spans="1:19" ht="37.5">
      <c r="A167" s="20">
        <f ca="1">IFERROR(__xludf.DUMMYFUNCTION("""COMPUTED_VALUE"""),166)</f>
        <v>166</v>
      </c>
      <c r="B167" s="20" t="str">
        <f t="shared" ca="1" si="90"/>
        <v>Gestión: reunión con ACNUR sobre la participación de migrantes en el marco de la formulación del PDD</v>
      </c>
      <c r="C167" s="21">
        <f t="shared" ca="1" si="91"/>
        <v>45372</v>
      </c>
      <c r="D167" s="33">
        <f t="shared" ca="1" si="92"/>
        <v>0</v>
      </c>
      <c r="E167" s="33">
        <f t="shared" ca="1" si="93"/>
        <v>0</v>
      </c>
      <c r="F167" s="33" t="str">
        <f t="shared" ca="1" si="94"/>
        <v>No aplica</v>
      </c>
      <c r="G167" s="33">
        <f t="shared" ca="1" si="95"/>
        <v>0</v>
      </c>
      <c r="H167" s="33" t="str">
        <f t="shared" ca="1" si="96"/>
        <v>No aplica</v>
      </c>
      <c r="I167" s="33">
        <f t="shared" ca="1" si="97"/>
        <v>0</v>
      </c>
      <c r="J167" s="33" t="str">
        <f t="shared" ca="1" si="98"/>
        <v>No aplica</v>
      </c>
      <c r="K167" s="33">
        <f t="shared" ca="1" si="99"/>
        <v>0</v>
      </c>
      <c r="L167" s="33" t="str">
        <f t="shared" ca="1" si="100"/>
        <v>No aplica</v>
      </c>
      <c r="M167" s="33">
        <f t="shared" ca="1" si="101"/>
        <v>0</v>
      </c>
      <c r="N167" s="33" t="str">
        <f t="shared" ca="1" si="102"/>
        <v>No aplica</v>
      </c>
      <c r="O167" s="33">
        <f t="shared" ca="1" si="103"/>
        <v>0</v>
      </c>
      <c r="P167" s="33" t="str">
        <f t="shared" ca="1" si="104"/>
        <v>No aplica</v>
      </c>
      <c r="S167" s="35"/>
    </row>
    <row r="168" spans="1:19" ht="37.5">
      <c r="A168" s="20">
        <f ca="1">IFERROR(__xludf.DUMMYFUNCTION("""COMPUTED_VALUE"""),167)</f>
        <v>167</v>
      </c>
      <c r="B168" s="20" t="str">
        <f t="shared" ca="1" si="90"/>
        <v>I Diálogo Ciudadano Poblacional para la Construcción del PDD - Comunidad Palenquera</v>
      </c>
      <c r="C168" s="21">
        <f t="shared" ca="1" si="91"/>
        <v>45372</v>
      </c>
      <c r="D168" s="33">
        <f t="shared" ca="1" si="92"/>
        <v>0</v>
      </c>
      <c r="E168" s="33">
        <f t="shared" ca="1" si="93"/>
        <v>0</v>
      </c>
      <c r="F168" s="33">
        <f t="shared" ca="1" si="94"/>
        <v>0</v>
      </c>
      <c r="G168" s="33">
        <f t="shared" ca="1" si="95"/>
        <v>0</v>
      </c>
      <c r="H168" s="33">
        <f t="shared" ca="1" si="96"/>
        <v>0</v>
      </c>
      <c r="I168" s="33">
        <f t="shared" ca="1" si="97"/>
        <v>0</v>
      </c>
      <c r="J168" s="33">
        <f t="shared" ca="1" si="98"/>
        <v>0</v>
      </c>
      <c r="K168" s="33">
        <f t="shared" ca="1" si="99"/>
        <v>0</v>
      </c>
      <c r="L168" s="33">
        <f t="shared" ca="1" si="100"/>
        <v>0</v>
      </c>
      <c r="M168" s="33">
        <f t="shared" ca="1" si="101"/>
        <v>0</v>
      </c>
      <c r="N168" s="33">
        <f t="shared" ca="1" si="102"/>
        <v>0</v>
      </c>
      <c r="O168" s="33">
        <f t="shared" ca="1" si="103"/>
        <v>0</v>
      </c>
      <c r="P168" s="33">
        <f t="shared" ca="1" si="104"/>
        <v>0</v>
      </c>
      <c r="S168" s="35"/>
    </row>
    <row r="169" spans="1:19" ht="25.5">
      <c r="A169" s="20">
        <f ca="1">IFERROR(__xludf.DUMMYFUNCTION("""COMPUTED_VALUE"""),168)</f>
        <v>168</v>
      </c>
      <c r="B169" s="20" t="str">
        <f t="shared" ca="1" si="90"/>
        <v>Sesión Comisión Intersectorial de Participación (CIP)</v>
      </c>
      <c r="C169" s="21">
        <f t="shared" ca="1" si="91"/>
        <v>45373</v>
      </c>
      <c r="D169" s="33">
        <f t="shared" ca="1" si="92"/>
        <v>0</v>
      </c>
      <c r="E169" s="33">
        <f t="shared" ca="1" si="93"/>
        <v>0</v>
      </c>
      <c r="F169" s="33" t="str">
        <f t="shared" ca="1" si="94"/>
        <v>No aplica</v>
      </c>
      <c r="G169" s="33">
        <f t="shared" ca="1" si="95"/>
        <v>0</v>
      </c>
      <c r="H169" s="33" t="str">
        <f t="shared" ca="1" si="96"/>
        <v>No aplica</v>
      </c>
      <c r="I169" s="33">
        <f t="shared" ca="1" si="97"/>
        <v>0</v>
      </c>
      <c r="J169" s="33" t="str">
        <f t="shared" ca="1" si="98"/>
        <v>No aplica</v>
      </c>
      <c r="K169" s="33">
        <f t="shared" ca="1" si="99"/>
        <v>0</v>
      </c>
      <c r="L169" s="33" t="str">
        <f t="shared" ca="1" si="100"/>
        <v>No aplica</v>
      </c>
      <c r="M169" s="33">
        <f t="shared" ca="1" si="101"/>
        <v>0</v>
      </c>
      <c r="N169" s="33" t="str">
        <f t="shared" ca="1" si="102"/>
        <v>No aplica</v>
      </c>
      <c r="O169" s="33">
        <f t="shared" ca="1" si="103"/>
        <v>0</v>
      </c>
      <c r="P169" s="33" t="str">
        <f t="shared" ca="1" si="104"/>
        <v>No aplica</v>
      </c>
      <c r="S169" s="35"/>
    </row>
    <row r="170" spans="1:19" ht="37.5">
      <c r="A170" s="20">
        <f ca="1">IFERROR(__xludf.DUMMYFUNCTION("""COMPUTED_VALUE"""),169)</f>
        <v>169</v>
      </c>
      <c r="B170" s="20" t="str">
        <f t="shared" ca="1" si="90"/>
        <v xml:space="preserve">II Diálogo Ciudadano Poblacional para la Construcción del PDD - Consultiva Negra-afrocolombiana </v>
      </c>
      <c r="C170" s="21">
        <f t="shared" ca="1" si="91"/>
        <v>45373</v>
      </c>
      <c r="D170" s="33">
        <f t="shared" ca="1" si="92"/>
        <v>0</v>
      </c>
      <c r="E170" s="33">
        <f t="shared" ca="1" si="93"/>
        <v>0</v>
      </c>
      <c r="F170" s="33" t="str">
        <f t="shared" ca="1" si="94"/>
        <v>No aplica</v>
      </c>
      <c r="G170" s="33">
        <f t="shared" ca="1" si="95"/>
        <v>0</v>
      </c>
      <c r="H170" s="33" t="str">
        <f t="shared" ca="1" si="96"/>
        <v>No aplica</v>
      </c>
      <c r="I170" s="33">
        <f t="shared" ca="1" si="97"/>
        <v>0</v>
      </c>
      <c r="J170" s="33" t="str">
        <f t="shared" ca="1" si="98"/>
        <v>No aplica</v>
      </c>
      <c r="K170" s="33">
        <f t="shared" ca="1" si="99"/>
        <v>0</v>
      </c>
      <c r="L170" s="33" t="str">
        <f t="shared" ca="1" si="100"/>
        <v>No aplica</v>
      </c>
      <c r="M170" s="33">
        <f t="shared" ca="1" si="101"/>
        <v>0</v>
      </c>
      <c r="N170" s="33" t="str">
        <f t="shared" ca="1" si="102"/>
        <v>No aplica</v>
      </c>
      <c r="O170" s="33">
        <f t="shared" ca="1" si="103"/>
        <v>0</v>
      </c>
      <c r="P170" s="33" t="str">
        <f t="shared" ca="1" si="104"/>
        <v>No aplica</v>
      </c>
      <c r="S170" s="35"/>
    </row>
    <row r="171" spans="1:19" ht="123">
      <c r="A171" s="20">
        <f ca="1">IFERROR(__xludf.DUMMYFUNCTION("""COMPUTED_VALUE"""),170)</f>
        <v>170</v>
      </c>
      <c r="B171" s="20" t="str">
        <f t="shared" ca="1" si="90"/>
        <v xml:space="preserve">Socialización de PDD a la Mesa de Indígenas Víctimas del Conflicto Armado </v>
      </c>
      <c r="C171" s="21">
        <f t="shared" ca="1" si="91"/>
        <v>45373</v>
      </c>
      <c r="D171" s="33">
        <f t="shared" ca="1" si="92"/>
        <v>1</v>
      </c>
      <c r="E171" s="33" t="str">
        <f t="shared" ca="1" si="93"/>
        <v>Gestionar el acompañamiento técnico de la dirección de seguimiento a la inversión de la SDP a 2 espacios con la Mesa de participación efectiva de víctimas indígenas del conflicto armado en la primera semana de abri</v>
      </c>
      <c r="F171" s="33" t="str">
        <f t="shared" ca="1" si="94"/>
        <v>Realizado y Gestionado</v>
      </c>
      <c r="G171" s="33">
        <f t="shared" ca="1" si="95"/>
        <v>0</v>
      </c>
      <c r="H171" s="33" t="str">
        <f t="shared" ca="1" si="96"/>
        <v>No aplica</v>
      </c>
      <c r="I171" s="33">
        <f t="shared" ca="1" si="97"/>
        <v>0</v>
      </c>
      <c r="J171" s="33" t="str">
        <f t="shared" ca="1" si="98"/>
        <v>No aplica</v>
      </c>
      <c r="K171" s="33">
        <f t="shared" ca="1" si="99"/>
        <v>0</v>
      </c>
      <c r="L171" s="33" t="str">
        <f t="shared" ca="1" si="100"/>
        <v>No aplica</v>
      </c>
      <c r="M171" s="33">
        <f t="shared" ca="1" si="101"/>
        <v>0</v>
      </c>
      <c r="N171" s="33" t="str">
        <f t="shared" ca="1" si="102"/>
        <v>No aplica</v>
      </c>
      <c r="O171" s="33">
        <f t="shared" ca="1" si="103"/>
        <v>0</v>
      </c>
      <c r="P171" s="33" t="str">
        <f t="shared" ca="1" si="104"/>
        <v>No aplica</v>
      </c>
      <c r="S171" s="35"/>
    </row>
    <row r="172" spans="1:19" ht="37.5">
      <c r="A172" s="20">
        <f ca="1">IFERROR(__xludf.DUMMYFUNCTION("""COMPUTED_VALUE"""),171)</f>
        <v>171</v>
      </c>
      <c r="B172" s="20" t="str">
        <f t="shared" ca="1" si="90"/>
        <v>Dialogo Ciudadano para la Construcción del PDD - UPL Tibabuyes</v>
      </c>
      <c r="C172" s="21">
        <f t="shared" ca="1" si="91"/>
        <v>45373</v>
      </c>
      <c r="D172" s="33">
        <f t="shared" ca="1" si="92"/>
        <v>1</v>
      </c>
      <c r="E172" s="33" t="str">
        <f t="shared" ca="1" si="93"/>
        <v>Envair memorias del espacio</v>
      </c>
      <c r="F172" s="33" t="str">
        <f t="shared" ca="1" si="94"/>
        <v>Realizado y Devuelto a la Ciudadanía</v>
      </c>
      <c r="G172" s="33">
        <f t="shared" ca="1" si="95"/>
        <v>0</v>
      </c>
      <c r="H172" s="33" t="str">
        <f t="shared" ca="1" si="96"/>
        <v>No aplica</v>
      </c>
      <c r="I172" s="33">
        <f t="shared" ca="1" si="97"/>
        <v>0</v>
      </c>
      <c r="J172" s="33" t="str">
        <f t="shared" ca="1" si="98"/>
        <v>No aplica</v>
      </c>
      <c r="K172" s="33">
        <f t="shared" ca="1" si="99"/>
        <v>0</v>
      </c>
      <c r="L172" s="33" t="str">
        <f t="shared" ca="1" si="100"/>
        <v>No aplica</v>
      </c>
      <c r="M172" s="33">
        <f t="shared" ca="1" si="101"/>
        <v>0</v>
      </c>
      <c r="N172" s="33" t="str">
        <f t="shared" ca="1" si="102"/>
        <v>No aplica</v>
      </c>
      <c r="O172" s="33">
        <f t="shared" ca="1" si="103"/>
        <v>0</v>
      </c>
      <c r="P172" s="33" t="str">
        <f t="shared" ca="1" si="104"/>
        <v>No aplica</v>
      </c>
      <c r="S172" s="35"/>
    </row>
    <row r="173" spans="1:19" ht="14.25">
      <c r="A173" s="17">
        <f ca="1">IFERROR(__xludf.DUMMYFUNCTION("""COMPUTED_VALUE"""),172)</f>
        <v>172</v>
      </c>
      <c r="B173" s="20"/>
      <c r="C173" s="36"/>
      <c r="D173" s="37"/>
      <c r="E173" s="33"/>
      <c r="F173" s="33"/>
      <c r="G173" s="33"/>
      <c r="H173" s="33"/>
      <c r="I173" s="33"/>
      <c r="J173" s="33"/>
      <c r="K173" s="33"/>
      <c r="L173" s="33"/>
      <c r="M173" s="33"/>
      <c r="N173" s="33"/>
      <c r="O173" s="33"/>
      <c r="S173" s="35"/>
    </row>
    <row r="174" spans="1:19" ht="14.25">
      <c r="A174" s="17">
        <f ca="1">IFERROR(__xludf.DUMMYFUNCTION("""COMPUTED_VALUE"""),173)</f>
        <v>173</v>
      </c>
      <c r="B174" s="20"/>
      <c r="C174" s="36"/>
      <c r="D174" s="37"/>
      <c r="E174" s="33"/>
      <c r="F174" s="33"/>
      <c r="G174" s="33"/>
      <c r="H174" s="33"/>
      <c r="I174" s="33"/>
      <c r="J174" s="33"/>
      <c r="K174" s="33"/>
      <c r="L174" s="33"/>
      <c r="M174" s="33"/>
      <c r="N174" s="33"/>
      <c r="O174" s="33"/>
      <c r="S174" s="35"/>
    </row>
    <row r="175" spans="1:19" ht="14.25">
      <c r="A175" s="17">
        <f ca="1">IFERROR(__xludf.DUMMYFUNCTION("""COMPUTED_VALUE"""),174)</f>
        <v>174</v>
      </c>
      <c r="B175" s="20"/>
      <c r="C175" s="36"/>
      <c r="D175" s="37"/>
      <c r="E175" s="33"/>
      <c r="F175" s="33"/>
      <c r="G175" s="33"/>
      <c r="H175" s="33"/>
      <c r="I175" s="33"/>
      <c r="J175" s="33"/>
      <c r="K175" s="33"/>
      <c r="L175" s="33"/>
      <c r="M175" s="33"/>
      <c r="N175" s="33"/>
      <c r="O175" s="33"/>
      <c r="S175" s="35"/>
    </row>
    <row r="176" spans="1:19" ht="14.25">
      <c r="A176" s="17">
        <f ca="1">IFERROR(__xludf.DUMMYFUNCTION("""COMPUTED_VALUE"""),175)</f>
        <v>175</v>
      </c>
      <c r="B176" s="20"/>
      <c r="C176" s="36"/>
      <c r="D176" s="37"/>
      <c r="E176" s="33"/>
      <c r="F176" s="33"/>
      <c r="G176" s="33"/>
      <c r="H176" s="33"/>
      <c r="I176" s="33"/>
      <c r="J176" s="33"/>
      <c r="K176" s="33"/>
      <c r="L176" s="33"/>
      <c r="M176" s="33"/>
      <c r="N176" s="33"/>
      <c r="O176" s="33"/>
      <c r="S176" s="35"/>
    </row>
    <row r="177" spans="1:19" ht="14.25">
      <c r="A177" s="17">
        <f ca="1">IFERROR(__xludf.DUMMYFUNCTION("""COMPUTED_VALUE"""),176)</f>
        <v>176</v>
      </c>
      <c r="B177" s="20"/>
      <c r="C177" s="36"/>
      <c r="D177" s="37"/>
      <c r="E177" s="33"/>
      <c r="F177" s="33"/>
      <c r="G177" s="33"/>
      <c r="H177" s="33"/>
      <c r="I177" s="33"/>
      <c r="J177" s="33"/>
      <c r="K177" s="33"/>
      <c r="L177" s="33"/>
      <c r="M177" s="33"/>
      <c r="N177" s="33"/>
      <c r="O177" s="33"/>
      <c r="S177" s="35"/>
    </row>
    <row r="178" spans="1:19" ht="14.25">
      <c r="A178" s="17">
        <f ca="1">IFERROR(__xludf.DUMMYFUNCTION("""COMPUTED_VALUE"""),177)</f>
        <v>177</v>
      </c>
      <c r="B178" s="20"/>
      <c r="C178" s="36"/>
      <c r="D178" s="37"/>
      <c r="E178" s="33"/>
      <c r="F178" s="33"/>
      <c r="G178" s="33"/>
      <c r="H178" s="33"/>
      <c r="I178" s="33"/>
      <c r="J178" s="33"/>
      <c r="K178" s="33"/>
      <c r="L178" s="33"/>
      <c r="M178" s="33"/>
      <c r="N178" s="33"/>
      <c r="O178" s="33"/>
      <c r="S178" s="35"/>
    </row>
    <row r="179" spans="1:19" ht="14.25">
      <c r="A179" s="17">
        <f ca="1">IFERROR(__xludf.DUMMYFUNCTION("""COMPUTED_VALUE"""),178)</f>
        <v>178</v>
      </c>
      <c r="B179" s="20"/>
      <c r="C179" s="36"/>
      <c r="D179" s="37"/>
      <c r="E179" s="33"/>
      <c r="F179" s="33"/>
      <c r="G179" s="33"/>
      <c r="H179" s="33"/>
      <c r="I179" s="33"/>
      <c r="J179" s="33"/>
      <c r="K179" s="33"/>
      <c r="L179" s="33"/>
      <c r="M179" s="33"/>
      <c r="N179" s="33"/>
      <c r="O179" s="33"/>
      <c r="S179" s="35"/>
    </row>
    <row r="180" spans="1:19" ht="14.25">
      <c r="A180" s="17">
        <f ca="1">IFERROR(__xludf.DUMMYFUNCTION("""COMPUTED_VALUE"""),179)</f>
        <v>179</v>
      </c>
      <c r="B180" s="20"/>
      <c r="C180" s="36"/>
      <c r="D180" s="37"/>
      <c r="E180" s="33"/>
      <c r="F180" s="33"/>
      <c r="G180" s="33"/>
      <c r="H180" s="33"/>
      <c r="I180" s="33"/>
      <c r="J180" s="33"/>
      <c r="K180" s="33"/>
      <c r="L180" s="33"/>
      <c r="M180" s="33"/>
      <c r="N180" s="33"/>
      <c r="O180" s="33"/>
      <c r="S180" s="35"/>
    </row>
    <row r="181" spans="1:19" ht="14.25">
      <c r="A181" s="17">
        <f ca="1">IFERROR(__xludf.DUMMYFUNCTION("""COMPUTED_VALUE"""),180)</f>
        <v>180</v>
      </c>
      <c r="B181" s="20"/>
      <c r="C181" s="36"/>
      <c r="D181" s="37"/>
      <c r="E181" s="33"/>
      <c r="F181" s="33"/>
      <c r="G181" s="33"/>
      <c r="H181" s="33"/>
      <c r="I181" s="33"/>
      <c r="J181" s="33"/>
      <c r="K181" s="33"/>
      <c r="L181" s="33"/>
      <c r="M181" s="33"/>
      <c r="N181" s="33"/>
      <c r="O181" s="33"/>
      <c r="S181" s="35"/>
    </row>
    <row r="182" spans="1:19" ht="14.25">
      <c r="A182" s="17">
        <f ca="1">IFERROR(__xludf.DUMMYFUNCTION("""COMPUTED_VALUE"""),181)</f>
        <v>181</v>
      </c>
      <c r="B182" s="20"/>
      <c r="C182" s="36"/>
      <c r="D182" s="37"/>
      <c r="E182" s="33"/>
      <c r="F182" s="33"/>
      <c r="G182" s="33"/>
      <c r="H182" s="33"/>
      <c r="I182" s="33"/>
      <c r="J182" s="33"/>
      <c r="K182" s="33"/>
      <c r="L182" s="33"/>
      <c r="M182" s="33"/>
      <c r="N182" s="33"/>
      <c r="O182" s="33"/>
      <c r="S182" s="35"/>
    </row>
    <row r="183" spans="1:19" ht="14.25">
      <c r="A183" s="17">
        <f ca="1">IFERROR(__xludf.DUMMYFUNCTION("""COMPUTED_VALUE"""),182)</f>
        <v>182</v>
      </c>
      <c r="B183" s="20"/>
      <c r="C183" s="36"/>
      <c r="D183" s="37"/>
      <c r="E183" s="33"/>
      <c r="F183" s="33"/>
      <c r="G183" s="33"/>
      <c r="H183" s="33"/>
      <c r="I183" s="33"/>
      <c r="J183" s="33"/>
      <c r="K183" s="33"/>
      <c r="L183" s="33"/>
      <c r="M183" s="33"/>
      <c r="N183" s="33"/>
      <c r="O183" s="33"/>
      <c r="S183" s="35"/>
    </row>
    <row r="184" spans="1:19" ht="14.25">
      <c r="A184" s="17">
        <f ca="1">IFERROR(__xludf.DUMMYFUNCTION("""COMPUTED_VALUE"""),183)</f>
        <v>183</v>
      </c>
      <c r="B184" s="20"/>
      <c r="C184" s="36"/>
      <c r="D184" s="37"/>
      <c r="E184" s="33"/>
      <c r="F184" s="33"/>
      <c r="G184" s="33"/>
      <c r="H184" s="33"/>
      <c r="I184" s="33"/>
      <c r="J184" s="33"/>
      <c r="K184" s="33"/>
      <c r="L184" s="33"/>
      <c r="M184" s="33"/>
      <c r="N184" s="33"/>
      <c r="O184" s="33"/>
      <c r="S184" s="35"/>
    </row>
    <row r="185" spans="1:19" ht="14.25">
      <c r="A185" s="17">
        <f ca="1">IFERROR(__xludf.DUMMYFUNCTION("""COMPUTED_VALUE"""),184)</f>
        <v>184</v>
      </c>
      <c r="B185" s="20"/>
      <c r="C185" s="36"/>
      <c r="D185" s="37"/>
      <c r="E185" s="33"/>
      <c r="F185" s="33"/>
      <c r="G185" s="33"/>
      <c r="H185" s="33"/>
      <c r="I185" s="33"/>
      <c r="J185" s="33"/>
      <c r="K185" s="33"/>
      <c r="L185" s="33"/>
      <c r="M185" s="33"/>
      <c r="N185" s="33"/>
      <c r="O185" s="33"/>
      <c r="S185" s="35"/>
    </row>
    <row r="186" spans="1:19" ht="14.25">
      <c r="A186" s="17">
        <f ca="1">IFERROR(__xludf.DUMMYFUNCTION("""COMPUTED_VALUE"""),185)</f>
        <v>185</v>
      </c>
      <c r="B186" s="20"/>
      <c r="C186" s="36"/>
      <c r="D186" s="37"/>
      <c r="E186" s="33"/>
      <c r="F186" s="33"/>
      <c r="G186" s="33"/>
      <c r="H186" s="33"/>
      <c r="I186" s="33"/>
      <c r="J186" s="33"/>
      <c r="K186" s="33"/>
      <c r="L186" s="33"/>
      <c r="M186" s="33"/>
      <c r="N186" s="33"/>
      <c r="O186" s="33"/>
      <c r="S186" s="35"/>
    </row>
    <row r="187" spans="1:19" ht="14.25">
      <c r="A187" s="17">
        <f ca="1">IFERROR(__xludf.DUMMYFUNCTION("""COMPUTED_VALUE"""),186)</f>
        <v>186</v>
      </c>
      <c r="B187" s="20"/>
      <c r="C187" s="36"/>
      <c r="D187" s="37"/>
      <c r="E187" s="33"/>
      <c r="F187" s="33"/>
      <c r="G187" s="33"/>
      <c r="H187" s="33"/>
      <c r="I187" s="33"/>
      <c r="J187" s="33"/>
      <c r="K187" s="33"/>
      <c r="L187" s="33"/>
      <c r="M187" s="33"/>
      <c r="N187" s="33"/>
      <c r="O187" s="33"/>
      <c r="S187" s="35"/>
    </row>
    <row r="188" spans="1:19" ht="14.25">
      <c r="A188" s="17">
        <f ca="1">IFERROR(__xludf.DUMMYFUNCTION("""COMPUTED_VALUE"""),187)</f>
        <v>187</v>
      </c>
      <c r="B188" s="20"/>
      <c r="C188" s="36"/>
      <c r="D188" s="37"/>
      <c r="E188" s="33"/>
      <c r="F188" s="33"/>
      <c r="G188" s="33"/>
      <c r="H188" s="33"/>
      <c r="I188" s="33"/>
      <c r="J188" s="33"/>
      <c r="K188" s="33"/>
      <c r="L188" s="33"/>
      <c r="M188" s="33"/>
      <c r="N188" s="33"/>
      <c r="O188" s="33"/>
      <c r="S188" s="35"/>
    </row>
    <row r="189" spans="1:19" ht="14.25">
      <c r="A189" s="17">
        <f ca="1">IFERROR(__xludf.DUMMYFUNCTION("""COMPUTED_VALUE"""),188)</f>
        <v>188</v>
      </c>
      <c r="B189" s="20"/>
      <c r="C189" s="36"/>
      <c r="D189" s="37"/>
      <c r="E189" s="33"/>
      <c r="F189" s="33"/>
      <c r="G189" s="33"/>
      <c r="H189" s="33"/>
      <c r="I189" s="33"/>
      <c r="J189" s="33"/>
      <c r="K189" s="33"/>
      <c r="L189" s="33"/>
      <c r="M189" s="33"/>
      <c r="N189" s="33"/>
      <c r="O189" s="33"/>
      <c r="S189" s="35"/>
    </row>
    <row r="190" spans="1:19" ht="14.25">
      <c r="A190" s="17">
        <f ca="1">IFERROR(__xludf.DUMMYFUNCTION("""COMPUTED_VALUE"""),189)</f>
        <v>189</v>
      </c>
      <c r="B190" s="20"/>
      <c r="C190" s="36"/>
      <c r="D190" s="37"/>
      <c r="E190" s="33"/>
      <c r="F190" s="33"/>
      <c r="G190" s="33"/>
      <c r="H190" s="33"/>
      <c r="I190" s="33"/>
      <c r="J190" s="33"/>
      <c r="K190" s="33"/>
      <c r="L190" s="33"/>
      <c r="M190" s="33"/>
      <c r="N190" s="33"/>
      <c r="O190" s="33"/>
      <c r="S190" s="35"/>
    </row>
    <row r="191" spans="1:19" ht="14.25">
      <c r="A191" s="17">
        <f ca="1">IFERROR(__xludf.DUMMYFUNCTION("""COMPUTED_VALUE"""),190)</f>
        <v>190</v>
      </c>
      <c r="B191" s="20"/>
      <c r="C191" s="36"/>
      <c r="D191" s="37"/>
      <c r="E191" s="33"/>
      <c r="F191" s="33"/>
      <c r="G191" s="33"/>
      <c r="H191" s="33"/>
      <c r="I191" s="33"/>
      <c r="J191" s="33"/>
      <c r="K191" s="33"/>
      <c r="L191" s="33"/>
      <c r="M191" s="33"/>
      <c r="N191" s="33"/>
      <c r="O191" s="33"/>
      <c r="S191" s="35"/>
    </row>
    <row r="192" spans="1:19" ht="14.25">
      <c r="A192" s="17">
        <f ca="1">IFERROR(__xludf.DUMMYFUNCTION("""COMPUTED_VALUE"""),191)</f>
        <v>191</v>
      </c>
      <c r="B192" s="20"/>
      <c r="C192" s="36"/>
      <c r="D192" s="37"/>
      <c r="E192" s="33"/>
      <c r="F192" s="33"/>
      <c r="G192" s="33"/>
      <c r="H192" s="33"/>
      <c r="I192" s="33"/>
      <c r="J192" s="33"/>
      <c r="K192" s="33"/>
      <c r="L192" s="33"/>
      <c r="M192" s="33"/>
      <c r="N192" s="33"/>
      <c r="O192" s="33"/>
      <c r="S192" s="35"/>
    </row>
    <row r="193" spans="1:19" ht="14.25">
      <c r="A193" s="17">
        <f ca="1">IFERROR(__xludf.DUMMYFUNCTION("""COMPUTED_VALUE"""),192)</f>
        <v>192</v>
      </c>
      <c r="B193" s="20"/>
      <c r="C193" s="36"/>
      <c r="D193" s="37"/>
      <c r="E193" s="33"/>
      <c r="F193" s="33"/>
      <c r="G193" s="33"/>
      <c r="H193" s="33"/>
      <c r="I193" s="33"/>
      <c r="J193" s="33"/>
      <c r="K193" s="33"/>
      <c r="L193" s="33"/>
      <c r="M193" s="33"/>
      <c r="N193" s="33"/>
      <c r="O193" s="33"/>
      <c r="S193" s="35"/>
    </row>
    <row r="194" spans="1:19" ht="14.25">
      <c r="A194" s="17">
        <f ca="1">IFERROR(__xludf.DUMMYFUNCTION("""COMPUTED_VALUE"""),193)</f>
        <v>193</v>
      </c>
      <c r="B194" s="20"/>
      <c r="C194" s="36"/>
      <c r="D194" s="37"/>
      <c r="E194" s="33"/>
      <c r="F194" s="33"/>
      <c r="G194" s="33"/>
      <c r="H194" s="33"/>
      <c r="I194" s="33"/>
      <c r="J194" s="33"/>
      <c r="K194" s="33"/>
      <c r="L194" s="33"/>
      <c r="M194" s="33"/>
      <c r="N194" s="33"/>
      <c r="O194" s="33"/>
      <c r="S194" s="35"/>
    </row>
    <row r="195" spans="1:19" ht="14.25">
      <c r="A195" s="17">
        <f ca="1">IFERROR(__xludf.DUMMYFUNCTION("""COMPUTED_VALUE"""),194)</f>
        <v>194</v>
      </c>
      <c r="B195" s="20"/>
      <c r="C195" s="36"/>
      <c r="D195" s="37"/>
      <c r="E195" s="33"/>
      <c r="F195" s="33"/>
      <c r="G195" s="33"/>
      <c r="H195" s="33"/>
      <c r="I195" s="33"/>
      <c r="J195" s="33"/>
      <c r="K195" s="33"/>
      <c r="L195" s="33"/>
      <c r="M195" s="33"/>
      <c r="N195" s="33"/>
      <c r="O195" s="33"/>
      <c r="S195" s="35"/>
    </row>
    <row r="196" spans="1:19" ht="14.25">
      <c r="A196" s="17">
        <f ca="1">IFERROR(__xludf.DUMMYFUNCTION("""COMPUTED_VALUE"""),195)</f>
        <v>195</v>
      </c>
      <c r="B196" s="20"/>
      <c r="C196" s="36"/>
      <c r="D196" s="37"/>
      <c r="E196" s="33"/>
      <c r="F196" s="33"/>
      <c r="G196" s="33"/>
      <c r="H196" s="33"/>
      <c r="I196" s="33"/>
      <c r="J196" s="33"/>
      <c r="K196" s="33"/>
      <c r="L196" s="33"/>
      <c r="M196" s="33"/>
      <c r="N196" s="33"/>
      <c r="O196" s="33"/>
      <c r="S196" s="35"/>
    </row>
    <row r="197" spans="1:19" ht="14.25">
      <c r="A197" s="17">
        <f ca="1">IFERROR(__xludf.DUMMYFUNCTION("""COMPUTED_VALUE"""),196)</f>
        <v>196</v>
      </c>
      <c r="B197" s="20"/>
      <c r="C197" s="36"/>
      <c r="D197" s="37"/>
      <c r="E197" s="33"/>
      <c r="F197" s="33"/>
      <c r="G197" s="33"/>
      <c r="H197" s="33"/>
      <c r="I197" s="33"/>
      <c r="J197" s="33"/>
      <c r="K197" s="33"/>
      <c r="L197" s="33"/>
      <c r="M197" s="33"/>
      <c r="N197" s="33"/>
      <c r="O197" s="33"/>
      <c r="S197" s="35"/>
    </row>
    <row r="198" spans="1:19" ht="14.25">
      <c r="A198" s="17"/>
      <c r="B198" s="20"/>
      <c r="C198" s="36"/>
      <c r="D198" s="37"/>
      <c r="E198" s="33"/>
      <c r="F198" s="33"/>
      <c r="G198" s="33"/>
      <c r="H198" s="33"/>
      <c r="I198" s="33"/>
      <c r="J198" s="33"/>
      <c r="K198" s="33"/>
      <c r="L198" s="33"/>
      <c r="M198" s="33"/>
      <c r="N198" s="33"/>
      <c r="O198" s="33"/>
      <c r="S198" s="35"/>
    </row>
    <row r="199" spans="1:19" ht="14.25">
      <c r="A199" s="17">
        <f ca="1">IFERROR(__xludf.DUMMYFUNCTION("""COMPUTED_VALUE"""),198)</f>
        <v>198</v>
      </c>
      <c r="B199" s="20"/>
      <c r="C199" s="36"/>
      <c r="D199" s="37"/>
      <c r="E199" s="33"/>
      <c r="F199" s="33"/>
      <c r="G199" s="33"/>
      <c r="H199" s="33"/>
      <c r="I199" s="33"/>
      <c r="J199" s="33"/>
      <c r="K199" s="33"/>
      <c r="L199" s="33"/>
      <c r="M199" s="33"/>
      <c r="N199" s="33"/>
      <c r="O199" s="33"/>
      <c r="S199" s="35"/>
    </row>
    <row r="200" spans="1:19" ht="14.25">
      <c r="A200" s="17">
        <f ca="1">IFERROR(__xludf.DUMMYFUNCTION("""COMPUTED_VALUE"""),199)</f>
        <v>199</v>
      </c>
      <c r="B200" s="20"/>
      <c r="C200" s="36"/>
      <c r="D200" s="37"/>
      <c r="E200" s="33"/>
      <c r="F200" s="33"/>
      <c r="G200" s="33"/>
      <c r="H200" s="33"/>
      <c r="I200" s="33"/>
      <c r="J200" s="33"/>
      <c r="K200" s="33"/>
      <c r="L200" s="33"/>
      <c r="M200" s="33"/>
      <c r="N200" s="33"/>
      <c r="O200" s="33"/>
      <c r="S200" s="35"/>
    </row>
    <row r="201" spans="1:19" ht="14.25">
      <c r="A201" s="17">
        <f ca="1">IFERROR(__xludf.DUMMYFUNCTION("""COMPUTED_VALUE"""),200)</f>
        <v>200</v>
      </c>
      <c r="B201" s="20"/>
      <c r="C201" s="36"/>
      <c r="D201" s="37"/>
      <c r="E201" s="33"/>
      <c r="F201" s="33"/>
      <c r="G201" s="33"/>
      <c r="H201" s="33"/>
      <c r="I201" s="33"/>
      <c r="J201" s="33"/>
      <c r="K201" s="33"/>
      <c r="L201" s="33"/>
      <c r="M201" s="33"/>
      <c r="N201" s="33"/>
      <c r="O201" s="33"/>
      <c r="S201" s="35"/>
    </row>
    <row r="202" spans="1:19" ht="14.25">
      <c r="A202" s="17">
        <f ca="1">IFERROR(__xludf.DUMMYFUNCTION("""COMPUTED_VALUE"""),201)</f>
        <v>201</v>
      </c>
      <c r="C202" s="36"/>
      <c r="D202" s="37"/>
      <c r="E202" s="33"/>
      <c r="F202" s="33"/>
      <c r="G202" s="33"/>
      <c r="H202" s="33"/>
      <c r="I202" s="33"/>
      <c r="J202" s="33"/>
      <c r="K202" s="33"/>
      <c r="L202" s="33"/>
      <c r="M202" s="33"/>
      <c r="N202" s="33"/>
      <c r="O202" s="33"/>
      <c r="S202" s="35"/>
    </row>
    <row r="203" spans="1:19" ht="14.25">
      <c r="A203" s="17">
        <f ca="1">IFERROR(__xludf.DUMMYFUNCTION("""COMPUTED_VALUE"""),202)</f>
        <v>202</v>
      </c>
      <c r="C203" s="36"/>
      <c r="D203" s="37"/>
      <c r="E203" s="33"/>
      <c r="F203" s="33"/>
      <c r="G203" s="33"/>
      <c r="H203" s="33"/>
      <c r="I203" s="33"/>
      <c r="J203" s="33"/>
      <c r="K203" s="33"/>
      <c r="L203" s="33"/>
      <c r="M203" s="33"/>
      <c r="N203" s="33"/>
      <c r="O203" s="33"/>
      <c r="S203" s="35"/>
    </row>
    <row r="204" spans="1:19" ht="14.25">
      <c r="A204" s="17">
        <f ca="1">IFERROR(__xludf.DUMMYFUNCTION("""COMPUTED_VALUE"""),203)</f>
        <v>203</v>
      </c>
      <c r="C204" s="36"/>
      <c r="D204" s="37"/>
      <c r="E204" s="33"/>
      <c r="F204" s="33"/>
      <c r="G204" s="33"/>
      <c r="H204" s="33"/>
      <c r="I204" s="33"/>
      <c r="J204" s="33"/>
      <c r="K204" s="33"/>
      <c r="L204" s="33"/>
      <c r="M204" s="33"/>
      <c r="N204" s="33"/>
      <c r="O204" s="33"/>
      <c r="S204" s="35"/>
    </row>
    <row r="205" spans="1:19" ht="14.25">
      <c r="A205" s="17">
        <f ca="1">IFERROR(__xludf.DUMMYFUNCTION("""COMPUTED_VALUE"""),204)</f>
        <v>204</v>
      </c>
      <c r="C205" s="36"/>
      <c r="D205" s="37"/>
      <c r="E205" s="33"/>
      <c r="F205" s="33"/>
      <c r="G205" s="33"/>
      <c r="H205" s="33"/>
      <c r="I205" s="33"/>
      <c r="J205" s="33"/>
      <c r="K205" s="33"/>
      <c r="L205" s="33"/>
      <c r="M205" s="33"/>
      <c r="N205" s="33"/>
      <c r="O205" s="33"/>
      <c r="S205" s="35"/>
    </row>
    <row r="206" spans="1:19" ht="14.25">
      <c r="A206" s="17">
        <f ca="1">IFERROR(__xludf.DUMMYFUNCTION("""COMPUTED_VALUE"""),205)</f>
        <v>205</v>
      </c>
      <c r="C206" s="36"/>
      <c r="D206" s="37"/>
      <c r="E206" s="33"/>
      <c r="F206" s="33"/>
      <c r="G206" s="33"/>
      <c r="H206" s="33"/>
      <c r="I206" s="33"/>
      <c r="J206" s="33"/>
      <c r="K206" s="33"/>
      <c r="L206" s="33"/>
      <c r="M206" s="33"/>
      <c r="N206" s="33"/>
      <c r="O206" s="33"/>
      <c r="S206" s="35"/>
    </row>
    <row r="207" spans="1:19" ht="14.25">
      <c r="A207" s="17">
        <f ca="1">IFERROR(__xludf.DUMMYFUNCTION("""COMPUTED_VALUE"""),206)</f>
        <v>206</v>
      </c>
      <c r="C207" s="36"/>
      <c r="D207" s="37"/>
      <c r="E207" s="33"/>
      <c r="F207" s="33"/>
      <c r="G207" s="33"/>
      <c r="H207" s="33"/>
      <c r="I207" s="33"/>
      <c r="J207" s="33"/>
      <c r="K207" s="33"/>
      <c r="L207" s="33"/>
      <c r="M207" s="33"/>
      <c r="N207" s="33"/>
      <c r="O207" s="33"/>
      <c r="S207" s="35"/>
    </row>
    <row r="208" spans="1:19" ht="14.25">
      <c r="A208" s="17">
        <f ca="1">IFERROR(__xludf.DUMMYFUNCTION("""COMPUTED_VALUE"""),207)</f>
        <v>207</v>
      </c>
      <c r="C208" s="36"/>
      <c r="D208" s="37"/>
      <c r="E208" s="33"/>
      <c r="F208" s="33"/>
      <c r="G208" s="33"/>
      <c r="H208" s="33"/>
      <c r="I208" s="33"/>
      <c r="J208" s="33"/>
      <c r="K208" s="33"/>
      <c r="L208" s="33"/>
      <c r="M208" s="33"/>
      <c r="N208" s="33"/>
      <c r="O208" s="33"/>
      <c r="S208" s="35"/>
    </row>
    <row r="209" spans="1:1" ht="12.75">
      <c r="A209" s="17">
        <f ca="1">IFERROR(__xludf.DUMMYFUNCTION("""COMPUTED_VALUE"""),208)</f>
        <v>208</v>
      </c>
    </row>
    <row r="210" spans="1:1" ht="12.75">
      <c r="A210" s="17">
        <f ca="1">IFERROR(__xludf.DUMMYFUNCTION("""COMPUTED_VALUE"""),209)</f>
        <v>209</v>
      </c>
    </row>
    <row r="211" spans="1:1" ht="12.75">
      <c r="A211" s="17">
        <f ca="1">IFERROR(__xludf.DUMMYFUNCTION("""COMPUTED_VALUE"""),210)</f>
        <v>210</v>
      </c>
    </row>
    <row r="212" spans="1:1" ht="12.75">
      <c r="A212" s="17">
        <f ca="1">IFERROR(__xludf.DUMMYFUNCTION("""COMPUTED_VALUE"""),211)</f>
        <v>211</v>
      </c>
    </row>
    <row r="213" spans="1:1" ht="12.75">
      <c r="A213" s="17">
        <f ca="1">IFERROR(__xludf.DUMMYFUNCTION("""COMPUTED_VALUE"""),212)</f>
        <v>212</v>
      </c>
    </row>
    <row r="214" spans="1:1" ht="12.75">
      <c r="A214" s="17">
        <f ca="1">IFERROR(__xludf.DUMMYFUNCTION("""COMPUTED_VALUE"""),213)</f>
        <v>213</v>
      </c>
    </row>
    <row r="215" spans="1:1" ht="12.75">
      <c r="A215" s="17">
        <f ca="1">IFERROR(__xludf.DUMMYFUNCTION("""COMPUTED_VALUE"""),214)</f>
        <v>214</v>
      </c>
    </row>
    <row r="216" spans="1:1" ht="12.75">
      <c r="A216" s="17"/>
    </row>
    <row r="217" spans="1:1" ht="12.75">
      <c r="A217" s="17">
        <f ca="1">IFERROR(__xludf.DUMMYFUNCTION("""COMPUTED_VALUE"""),216)</f>
        <v>216</v>
      </c>
    </row>
    <row r="218" spans="1:1" ht="12.75">
      <c r="A218" s="17">
        <f ca="1">IFERROR(__xludf.DUMMYFUNCTION("""COMPUTED_VALUE"""),217)</f>
        <v>217</v>
      </c>
    </row>
    <row r="219" spans="1:1" ht="12.75">
      <c r="A219" s="17">
        <f ca="1">IFERROR(__xludf.DUMMYFUNCTION("""COMPUTED_VALUE"""),218)</f>
        <v>218</v>
      </c>
    </row>
    <row r="220" spans="1:1" ht="12.75">
      <c r="A220" s="17">
        <f ca="1">IFERROR(__xludf.DUMMYFUNCTION("""COMPUTED_VALUE"""),219)</f>
        <v>219</v>
      </c>
    </row>
    <row r="221" spans="1:1" ht="12.75">
      <c r="A221" s="17">
        <f ca="1">IFERROR(__xludf.DUMMYFUNCTION("""COMPUTED_VALUE"""),220)</f>
        <v>220</v>
      </c>
    </row>
    <row r="222" spans="1:1" ht="12.75">
      <c r="A222" s="17">
        <f ca="1">IFERROR(__xludf.DUMMYFUNCTION("""COMPUTED_VALUE"""),221)</f>
        <v>221</v>
      </c>
    </row>
    <row r="223" spans="1:1" ht="12.75">
      <c r="A223" s="17">
        <f ca="1">IFERROR(__xludf.DUMMYFUNCTION("""COMPUTED_VALUE"""),222)</f>
        <v>222</v>
      </c>
    </row>
    <row r="224" spans="1:1" ht="12.75">
      <c r="A224" s="17">
        <f ca="1">IFERROR(__xludf.DUMMYFUNCTION("""COMPUTED_VALUE"""),223)</f>
        <v>223</v>
      </c>
    </row>
    <row r="225" spans="1:1" ht="12.75">
      <c r="A225" s="17">
        <f ca="1">IFERROR(__xludf.DUMMYFUNCTION("""COMPUTED_VALUE"""),224)</f>
        <v>224</v>
      </c>
    </row>
    <row r="226" spans="1:1" ht="12.75">
      <c r="A226" s="17">
        <f ca="1">IFERROR(__xludf.DUMMYFUNCTION("""COMPUTED_VALUE"""),225)</f>
        <v>225</v>
      </c>
    </row>
    <row r="227" spans="1:1" ht="12.75">
      <c r="A227" s="17">
        <f ca="1">IFERROR(__xludf.DUMMYFUNCTION("""COMPUTED_VALUE"""),226)</f>
        <v>226</v>
      </c>
    </row>
    <row r="228" spans="1:1" ht="12.75">
      <c r="A228" s="17">
        <f ca="1">IFERROR(__xludf.DUMMYFUNCTION("""COMPUTED_VALUE"""),227)</f>
        <v>227</v>
      </c>
    </row>
    <row r="229" spans="1:1" ht="12.75">
      <c r="A229" s="17">
        <f ca="1">IFERROR(__xludf.DUMMYFUNCTION("""COMPUTED_VALUE"""),228)</f>
        <v>228</v>
      </c>
    </row>
    <row r="230" spans="1:1" ht="12.75">
      <c r="A230" s="17">
        <f ca="1">IFERROR(__xludf.DUMMYFUNCTION("""COMPUTED_VALUE"""),229)</f>
        <v>229</v>
      </c>
    </row>
    <row r="231" spans="1:1" ht="12.75">
      <c r="A231" s="17">
        <f ca="1">IFERROR(__xludf.DUMMYFUNCTION("""COMPUTED_VALUE"""),230)</f>
        <v>230</v>
      </c>
    </row>
    <row r="232" spans="1:1" ht="12.75">
      <c r="A232" s="17">
        <f ca="1">IFERROR(__xludf.DUMMYFUNCTION("""COMPUTED_VALUE"""),231)</f>
        <v>231</v>
      </c>
    </row>
    <row r="233" spans="1:1" ht="12.75">
      <c r="A233" s="17">
        <f ca="1">IFERROR(__xludf.DUMMYFUNCTION("""COMPUTED_VALUE"""),232)</f>
        <v>232</v>
      </c>
    </row>
    <row r="234" spans="1:1" ht="12.75">
      <c r="A234" s="17">
        <f ca="1">IFERROR(__xludf.DUMMYFUNCTION("""COMPUTED_VALUE"""),233)</f>
        <v>233</v>
      </c>
    </row>
    <row r="235" spans="1:1" ht="12.75">
      <c r="A235" s="17">
        <f ca="1">IFERROR(__xludf.DUMMYFUNCTION("""COMPUTED_VALUE"""),234)</f>
        <v>234</v>
      </c>
    </row>
    <row r="236" spans="1:1" ht="12.75">
      <c r="A236" s="17">
        <f ca="1">IFERROR(__xludf.DUMMYFUNCTION("""COMPUTED_VALUE"""),235)</f>
        <v>235</v>
      </c>
    </row>
    <row r="237" spans="1:1" ht="12.75">
      <c r="A237" s="17">
        <f ca="1">IFERROR(__xludf.DUMMYFUNCTION("""COMPUTED_VALUE"""),236)</f>
        <v>236</v>
      </c>
    </row>
    <row r="238" spans="1:1" ht="12.75">
      <c r="A238" s="17">
        <f ca="1">IFERROR(__xludf.DUMMYFUNCTION("""COMPUTED_VALUE"""),237)</f>
        <v>237</v>
      </c>
    </row>
    <row r="239" spans="1:1" ht="12.75">
      <c r="A239" s="17">
        <f ca="1">IFERROR(__xludf.DUMMYFUNCTION("""COMPUTED_VALUE"""),238)</f>
        <v>238</v>
      </c>
    </row>
    <row r="240" spans="1:1" ht="12.75">
      <c r="A240" s="17">
        <f ca="1">IFERROR(__xludf.DUMMYFUNCTION("""COMPUTED_VALUE"""),239)</f>
        <v>239</v>
      </c>
    </row>
    <row r="241" spans="1:1" ht="12.75">
      <c r="A241" s="17">
        <f ca="1">IFERROR(__xludf.DUMMYFUNCTION("""COMPUTED_VALUE"""),240)</f>
        <v>240</v>
      </c>
    </row>
    <row r="242" spans="1:1" ht="12.75">
      <c r="A242" s="17">
        <f ca="1">IFERROR(__xludf.DUMMYFUNCTION("""COMPUTED_VALUE"""),241)</f>
        <v>241</v>
      </c>
    </row>
    <row r="243" spans="1:1" ht="12.75">
      <c r="A243" s="17">
        <f ca="1">IFERROR(__xludf.DUMMYFUNCTION("""COMPUTED_VALUE"""),242)</f>
        <v>242</v>
      </c>
    </row>
    <row r="244" spans="1:1" ht="12.75">
      <c r="A244" s="17">
        <f ca="1">IFERROR(__xludf.DUMMYFUNCTION("""COMPUTED_VALUE"""),243)</f>
        <v>243</v>
      </c>
    </row>
    <row r="245" spans="1:1" ht="12.75">
      <c r="A245" s="17">
        <f ca="1">IFERROR(__xludf.DUMMYFUNCTION("""COMPUTED_VALUE"""),244)</f>
        <v>244</v>
      </c>
    </row>
    <row r="246" spans="1:1" ht="12.75">
      <c r="A246" s="17">
        <f ca="1">IFERROR(__xludf.DUMMYFUNCTION("""COMPUTED_VALUE"""),245)</f>
        <v>245</v>
      </c>
    </row>
    <row r="247" spans="1:1" ht="12.75">
      <c r="A247" s="17">
        <f ca="1">IFERROR(__xludf.DUMMYFUNCTION("""COMPUTED_VALUE"""),246)</f>
        <v>246</v>
      </c>
    </row>
    <row r="248" spans="1:1" ht="12.75">
      <c r="A248" s="17">
        <f ca="1">IFERROR(__xludf.DUMMYFUNCTION("""COMPUTED_VALUE"""),247)</f>
        <v>247</v>
      </c>
    </row>
    <row r="249" spans="1:1" ht="12.75">
      <c r="A249" s="17">
        <f ca="1">IFERROR(__xludf.DUMMYFUNCTION("""COMPUTED_VALUE"""),248)</f>
        <v>248</v>
      </c>
    </row>
    <row r="250" spans="1:1" ht="12.75">
      <c r="A250" s="17">
        <f ca="1">IFERROR(__xludf.DUMMYFUNCTION("""COMPUTED_VALUE"""),249)</f>
        <v>249</v>
      </c>
    </row>
    <row r="251" spans="1:1" ht="12.75">
      <c r="A251" s="17">
        <f ca="1">IFERROR(__xludf.DUMMYFUNCTION("""COMPUTED_VALUE"""),250)</f>
        <v>250</v>
      </c>
    </row>
    <row r="252" spans="1:1" ht="12.75">
      <c r="A252" s="17">
        <f ca="1">IFERROR(__xludf.DUMMYFUNCTION("""COMPUTED_VALUE"""),251)</f>
        <v>251</v>
      </c>
    </row>
    <row r="253" spans="1:1" ht="12.75">
      <c r="A253" s="17">
        <f ca="1">IFERROR(__xludf.DUMMYFUNCTION("""COMPUTED_VALUE"""),252)</f>
        <v>252</v>
      </c>
    </row>
    <row r="254" spans="1:1" ht="12.75">
      <c r="A254" s="17">
        <f ca="1">IFERROR(__xludf.DUMMYFUNCTION("""COMPUTED_VALUE"""),253)</f>
        <v>253</v>
      </c>
    </row>
    <row r="255" spans="1:1" ht="12.75">
      <c r="A255" s="17">
        <f ca="1">IFERROR(__xludf.DUMMYFUNCTION("""COMPUTED_VALUE"""),254)</f>
        <v>254</v>
      </c>
    </row>
    <row r="256" spans="1:1" ht="12.75">
      <c r="A256" s="17">
        <f ca="1">IFERROR(__xludf.DUMMYFUNCTION("""COMPUTED_VALUE"""),255)</f>
        <v>255</v>
      </c>
    </row>
    <row r="257" spans="1:1" ht="12.75">
      <c r="A257" s="17">
        <f ca="1">IFERROR(__xludf.DUMMYFUNCTION("""COMPUTED_VALUE"""),256)</f>
        <v>256</v>
      </c>
    </row>
    <row r="258" spans="1:1" ht="12.75">
      <c r="A258" s="17">
        <f ca="1">IFERROR(__xludf.DUMMYFUNCTION("""COMPUTED_VALUE"""),257)</f>
        <v>257</v>
      </c>
    </row>
    <row r="259" spans="1:1" ht="12.75">
      <c r="A259" s="17">
        <f ca="1">IFERROR(__xludf.DUMMYFUNCTION("""COMPUTED_VALUE"""),258)</f>
        <v>258</v>
      </c>
    </row>
    <row r="260" spans="1:1" ht="12.75">
      <c r="A260" s="17">
        <f ca="1">IFERROR(__xludf.DUMMYFUNCTION("""COMPUTED_VALUE"""),259)</f>
        <v>259</v>
      </c>
    </row>
    <row r="261" spans="1:1" ht="12.75">
      <c r="A261" s="17">
        <f ca="1">IFERROR(__xludf.DUMMYFUNCTION("""COMPUTED_VALUE"""),260)</f>
        <v>260</v>
      </c>
    </row>
    <row r="262" spans="1:1" ht="12.75">
      <c r="A262" s="17">
        <f ca="1">IFERROR(__xludf.DUMMYFUNCTION("""COMPUTED_VALUE"""),261)</f>
        <v>261</v>
      </c>
    </row>
    <row r="263" spans="1:1" ht="12.75">
      <c r="A263" s="17">
        <f ca="1">IFERROR(__xludf.DUMMYFUNCTION("""COMPUTED_VALUE"""),262)</f>
        <v>262</v>
      </c>
    </row>
    <row r="264" spans="1:1" ht="12.75">
      <c r="A264" s="17"/>
    </row>
    <row r="265" spans="1:1" ht="12.75">
      <c r="A265" s="17">
        <f ca="1">IFERROR(__xludf.DUMMYFUNCTION("""COMPUTED_VALUE"""),264)</f>
        <v>264</v>
      </c>
    </row>
    <row r="266" spans="1:1" ht="12.75">
      <c r="A266" s="17">
        <f ca="1">IFERROR(__xludf.DUMMYFUNCTION("""COMPUTED_VALUE"""),265)</f>
        <v>265</v>
      </c>
    </row>
    <row r="267" spans="1:1" ht="12.75">
      <c r="A267" s="17">
        <f ca="1">IFERROR(__xludf.DUMMYFUNCTION("""COMPUTED_VALUE"""),266)</f>
        <v>266</v>
      </c>
    </row>
    <row r="268" spans="1:1" ht="12.75">
      <c r="A268" s="17">
        <f ca="1">IFERROR(__xludf.DUMMYFUNCTION("""COMPUTED_VALUE"""),267)</f>
        <v>267</v>
      </c>
    </row>
    <row r="269" spans="1:1" ht="12.75">
      <c r="A269" s="17">
        <f ca="1">IFERROR(__xludf.DUMMYFUNCTION("""COMPUTED_VALUE"""),268)</f>
        <v>268</v>
      </c>
    </row>
    <row r="270" spans="1:1" ht="12.75">
      <c r="A270" s="17">
        <f ca="1">IFERROR(__xludf.DUMMYFUNCTION("""COMPUTED_VALUE"""),269)</f>
        <v>269</v>
      </c>
    </row>
    <row r="271" spans="1:1" ht="12.75">
      <c r="A271" s="17">
        <f ca="1">IFERROR(__xludf.DUMMYFUNCTION("""COMPUTED_VALUE"""),270)</f>
        <v>270</v>
      </c>
    </row>
    <row r="272" spans="1:1" ht="12.75">
      <c r="A272" s="17">
        <f ca="1">IFERROR(__xludf.DUMMYFUNCTION("""COMPUTED_VALUE"""),271)</f>
        <v>271</v>
      </c>
    </row>
    <row r="273" spans="1:1" ht="12.75">
      <c r="A273" s="17">
        <f ca="1">IFERROR(__xludf.DUMMYFUNCTION("""COMPUTED_VALUE"""),272)</f>
        <v>272</v>
      </c>
    </row>
    <row r="274" spans="1:1" ht="12.75">
      <c r="A274" s="17">
        <f ca="1">IFERROR(__xludf.DUMMYFUNCTION("""COMPUTED_VALUE"""),273)</f>
        <v>273</v>
      </c>
    </row>
    <row r="275" spans="1:1" ht="12.75">
      <c r="A275" s="17">
        <f ca="1">IFERROR(__xludf.DUMMYFUNCTION("""COMPUTED_VALUE"""),274)</f>
        <v>274</v>
      </c>
    </row>
    <row r="276" spans="1:1" ht="12.75">
      <c r="A276" s="17"/>
    </row>
    <row r="277" spans="1:1" ht="12.75">
      <c r="A277" s="17">
        <f ca="1">IFERROR(__xludf.DUMMYFUNCTION("""COMPUTED_VALUE"""),276)</f>
        <v>276</v>
      </c>
    </row>
    <row r="278" spans="1:1" ht="12.75">
      <c r="A278" s="17">
        <f ca="1">IFERROR(__xludf.DUMMYFUNCTION("""COMPUTED_VALUE"""),277)</f>
        <v>277</v>
      </c>
    </row>
    <row r="279" spans="1:1" ht="12.75">
      <c r="A279" s="17">
        <f ca="1">IFERROR(__xludf.DUMMYFUNCTION("""COMPUTED_VALUE"""),278)</f>
        <v>278</v>
      </c>
    </row>
    <row r="280" spans="1:1" ht="12.75">
      <c r="A280" s="17">
        <f ca="1">IFERROR(__xludf.DUMMYFUNCTION("""COMPUTED_VALUE"""),279)</f>
        <v>279</v>
      </c>
    </row>
    <row r="281" spans="1:1" ht="12.75">
      <c r="A281" s="17">
        <f ca="1">IFERROR(__xludf.DUMMYFUNCTION("""COMPUTED_VALUE"""),280)</f>
        <v>280</v>
      </c>
    </row>
    <row r="282" spans="1:1" ht="12.75">
      <c r="A282" s="17">
        <f ca="1">IFERROR(__xludf.DUMMYFUNCTION("""COMPUTED_VALUE"""),281)</f>
        <v>281</v>
      </c>
    </row>
    <row r="283" spans="1:1" ht="12.75">
      <c r="A283" s="17">
        <f ca="1">IFERROR(__xludf.DUMMYFUNCTION("""COMPUTED_VALUE"""),282)</f>
        <v>282</v>
      </c>
    </row>
    <row r="284" spans="1:1" ht="12.75">
      <c r="A284" s="17"/>
    </row>
    <row r="285" spans="1:1" ht="12.75">
      <c r="A285" s="17">
        <f ca="1">IFERROR(__xludf.DUMMYFUNCTION("""COMPUTED_VALUE"""),284)</f>
        <v>284</v>
      </c>
    </row>
    <row r="300" spans="1:1" ht="12.75">
      <c r="A300" s="17">
        <f ca="1">IFERROR(__xludf.DUMMYFUNCTION("""COMPUTED_VALUE"""),299)</f>
        <v>299</v>
      </c>
    </row>
    <row r="301" spans="1:1" ht="12.75">
      <c r="A301" s="17">
        <f ca="1">IFERROR(__xludf.DUMMYFUNCTION("""COMPUTED_VALUE"""),300)</f>
        <v>300</v>
      </c>
    </row>
    <row r="311" spans="1:1" ht="12.75">
      <c r="A311" s="17">
        <f ca="1">IFERROR(__xludf.DUMMYFUNCTION("""COMPUTED_VALUE"""),310)</f>
        <v>310</v>
      </c>
    </row>
    <row r="312" spans="1:1" ht="12.75">
      <c r="A312" s="17">
        <f ca="1">IFERROR(__xludf.DUMMYFUNCTION("""COMPUTED_VALUE"""),311)</f>
        <v>311</v>
      </c>
    </row>
    <row r="313" spans="1:1" ht="12.75">
      <c r="A313" s="17">
        <f ca="1">IFERROR(__xludf.DUMMYFUNCTION("""COMPUTED_VALUE"""),312)</f>
        <v>312</v>
      </c>
    </row>
    <row r="314" spans="1:1" ht="12.75">
      <c r="A314" s="17">
        <f ca="1">IFERROR(__xludf.DUMMYFUNCTION("""COMPUTED_VALUE"""),313)</f>
        <v>313</v>
      </c>
    </row>
    <row r="315" spans="1:1" ht="12.75">
      <c r="A315" s="17">
        <f ca="1">IFERROR(__xludf.DUMMYFUNCTION("""COMPUTED_VALUE"""),314)</f>
        <v>314</v>
      </c>
    </row>
    <row r="316" spans="1:1" ht="12.75">
      <c r="A316" s="17">
        <f ca="1">IFERROR(__xludf.DUMMYFUNCTION("""COMPUTED_VALUE"""),315)</f>
        <v>315</v>
      </c>
    </row>
    <row r="317" spans="1:1" ht="12.75">
      <c r="A317" s="17">
        <f ca="1">IFERROR(__xludf.DUMMYFUNCTION("""COMPUTED_VALUE"""),316)</f>
        <v>316</v>
      </c>
    </row>
    <row r="318" spans="1:1" ht="12.75">
      <c r="A318" s="17">
        <f ca="1">IFERROR(__xludf.DUMMYFUNCTION("""COMPUTED_VALUE"""),317)</f>
        <v>317</v>
      </c>
    </row>
    <row r="319" spans="1:1" ht="12.75">
      <c r="A319" s="17">
        <f ca="1">IFERROR(__xludf.DUMMYFUNCTION("""COMPUTED_VALUE"""),318)</f>
        <v>318</v>
      </c>
    </row>
    <row r="320" spans="1:1" ht="12.75">
      <c r="A320" s="17">
        <f ca="1">IFERROR(__xludf.DUMMYFUNCTION("""COMPUTED_VALUE"""),319)</f>
        <v>319</v>
      </c>
    </row>
    <row r="321" spans="1:1" ht="12.75">
      <c r="A321" s="17">
        <f ca="1">IFERROR(__xludf.DUMMYFUNCTION("""COMPUTED_VALUE"""),320)</f>
        <v>320</v>
      </c>
    </row>
    <row r="322" spans="1:1" ht="12.75">
      <c r="A322" s="17">
        <f ca="1">IFERROR(__xludf.DUMMYFUNCTION("""COMPUTED_VALUE"""),321)</f>
        <v>321</v>
      </c>
    </row>
    <row r="323" spans="1:1" ht="12.75">
      <c r="A323" s="17">
        <f ca="1">IFERROR(__xludf.DUMMYFUNCTION("""COMPUTED_VALUE"""),322)</f>
        <v>322</v>
      </c>
    </row>
    <row r="324" spans="1:1" ht="12.75">
      <c r="A324" s="17">
        <f ca="1">IFERROR(__xludf.DUMMYFUNCTION("""COMPUTED_VALUE"""),323)</f>
        <v>323</v>
      </c>
    </row>
    <row r="325" spans="1:1" ht="12.75">
      <c r="A325" s="17">
        <f ca="1">IFERROR(__xludf.DUMMYFUNCTION("""COMPUTED_VALUE"""),324)</f>
        <v>324</v>
      </c>
    </row>
    <row r="326" spans="1:1" ht="12.75">
      <c r="A326" s="17">
        <f ca="1">IFERROR(__xludf.DUMMYFUNCTION("""COMPUTED_VALUE"""),325)</f>
        <v>325</v>
      </c>
    </row>
    <row r="327" spans="1:1" ht="12.75">
      <c r="A327" s="17">
        <f ca="1">IFERROR(__xludf.DUMMYFUNCTION("""COMPUTED_VALUE"""),326)</f>
        <v>326</v>
      </c>
    </row>
    <row r="328" spans="1:1" ht="12.75">
      <c r="A328" s="17">
        <f ca="1">IFERROR(__xludf.DUMMYFUNCTION("""COMPUTED_VALUE"""),327)</f>
        <v>327</v>
      </c>
    </row>
    <row r="329" spans="1:1" ht="12.75">
      <c r="A329" s="17">
        <f ca="1">IFERROR(__xludf.DUMMYFUNCTION("""COMPUTED_VALUE"""),328)</f>
        <v>328</v>
      </c>
    </row>
    <row r="330" spans="1:1" ht="12.75">
      <c r="A330" s="17">
        <f ca="1">IFERROR(__xludf.DUMMYFUNCTION("""COMPUTED_VALUE"""),329)</f>
        <v>329</v>
      </c>
    </row>
    <row r="331" spans="1:1" ht="12.75">
      <c r="A331" s="17"/>
    </row>
    <row r="332" spans="1:1" ht="12.75">
      <c r="A332" s="17">
        <f ca="1">IFERROR(__xludf.DUMMYFUNCTION("""COMPUTED_VALUE"""),331)</f>
        <v>331</v>
      </c>
    </row>
    <row r="333" spans="1:1" ht="12.75">
      <c r="A333" s="17">
        <f ca="1">IFERROR(__xludf.DUMMYFUNCTION("""COMPUTED_VALUE"""),332)</f>
        <v>332</v>
      </c>
    </row>
    <row r="334" spans="1:1" ht="12.75">
      <c r="A334" s="17">
        <f ca="1">IFERROR(__xludf.DUMMYFUNCTION("""COMPUTED_VALUE"""),333)</f>
        <v>333</v>
      </c>
    </row>
    <row r="335" spans="1:1" ht="12.75">
      <c r="A335" s="17"/>
    </row>
    <row r="336" spans="1:1" ht="12.75">
      <c r="A336" s="17">
        <f ca="1">IFERROR(__xludf.DUMMYFUNCTION("""COMPUTED_VALUE"""),335)</f>
        <v>335</v>
      </c>
    </row>
    <row r="338" spans="1:1" ht="12.75">
      <c r="A338" s="17">
        <f ca="1">IFERROR(__xludf.DUMMYFUNCTION("""COMPUTED_VALUE"""),337)</f>
        <v>337</v>
      </c>
    </row>
    <row r="339" spans="1:1" ht="12.75">
      <c r="A339" s="17">
        <f ca="1">IFERROR(__xludf.DUMMYFUNCTION("""COMPUTED_VALUE"""),338)</f>
        <v>338</v>
      </c>
    </row>
    <row r="340" spans="1:1" ht="12.75">
      <c r="A340" s="17">
        <f ca="1">IFERROR(__xludf.DUMMYFUNCTION("""COMPUTED_VALUE"""),339)</f>
        <v>339</v>
      </c>
    </row>
    <row r="341" spans="1:1" ht="12.75">
      <c r="A341" s="17">
        <f ca="1">IFERROR(__xludf.DUMMYFUNCTION("""COMPUTED_VALUE"""),340)</f>
        <v>340</v>
      </c>
    </row>
    <row r="342" spans="1:1" ht="12.75">
      <c r="A342" s="17"/>
    </row>
    <row r="343" spans="1:1" ht="12.75">
      <c r="A343" s="17">
        <f ca="1">IFERROR(__xludf.DUMMYFUNCTION("""COMPUTED_VALUE"""),342)</f>
        <v>342</v>
      </c>
    </row>
    <row r="344" spans="1:1" ht="12.75">
      <c r="A344" s="17">
        <f ca="1">IFERROR(__xludf.DUMMYFUNCTION("""COMPUTED_VALUE"""),343)</f>
        <v>343</v>
      </c>
    </row>
    <row r="345" spans="1:1" ht="12.75">
      <c r="A345" s="17">
        <f ca="1">IFERROR(__xludf.DUMMYFUNCTION("""COMPUTED_VALUE"""),344)</f>
        <v>344</v>
      </c>
    </row>
    <row r="346" spans="1:1" ht="12.75">
      <c r="A346" s="17">
        <f ca="1">IFERROR(__xludf.DUMMYFUNCTION("""COMPUTED_VALUE"""),345)</f>
        <v>345</v>
      </c>
    </row>
    <row r="347" spans="1:1" ht="12.75">
      <c r="A347" s="17">
        <f ca="1">IFERROR(__xludf.DUMMYFUNCTION("""COMPUTED_VALUE"""),346)</f>
        <v>346</v>
      </c>
    </row>
    <row r="348" spans="1:1" ht="12.75">
      <c r="A348" s="17">
        <f ca="1">IFERROR(__xludf.DUMMYFUNCTION("""COMPUTED_VALUE"""),347)</f>
        <v>347</v>
      </c>
    </row>
    <row r="349" spans="1:1" ht="12.75">
      <c r="A349" s="17">
        <f ca="1">IFERROR(__xludf.DUMMYFUNCTION("""COMPUTED_VALUE"""),348)</f>
        <v>348</v>
      </c>
    </row>
    <row r="350" spans="1:1" ht="12.75">
      <c r="A350" s="17">
        <f ca="1">IFERROR(__xludf.DUMMYFUNCTION("""COMPUTED_VALUE"""),349)</f>
        <v>349</v>
      </c>
    </row>
    <row r="353" spans="1:1" ht="12.75">
      <c r="A353" s="17">
        <f ca="1">IFERROR(__xludf.DUMMYFUNCTION("""COMPUTED_VALUE"""),352)</f>
        <v>352</v>
      </c>
    </row>
    <row r="354" spans="1:1" ht="12.75">
      <c r="A354" s="17"/>
    </row>
    <row r="355" spans="1:1" ht="12.75">
      <c r="A355" s="17">
        <f ca="1">IFERROR(__xludf.DUMMYFUNCTION("""COMPUTED_VALUE"""),354)</f>
        <v>354</v>
      </c>
    </row>
    <row r="356" spans="1:1" ht="12.75">
      <c r="A356" s="17">
        <f ca="1">IFERROR(__xludf.DUMMYFUNCTION("""COMPUTED_VALUE"""),355)</f>
        <v>355</v>
      </c>
    </row>
    <row r="357" spans="1:1" ht="12.75">
      <c r="A357" s="17">
        <f ca="1">IFERROR(__xludf.DUMMYFUNCTION("""COMPUTED_VALUE"""),356)</f>
        <v>356</v>
      </c>
    </row>
    <row r="358" spans="1:1" ht="12.75">
      <c r="A358" s="17">
        <f ca="1">IFERROR(__xludf.DUMMYFUNCTION("""COMPUTED_VALUE"""),357)</f>
        <v>357</v>
      </c>
    </row>
    <row r="359" spans="1:1" ht="12.75">
      <c r="A359" s="17"/>
    </row>
    <row r="360" spans="1:1" ht="12.75">
      <c r="A360" s="17">
        <f ca="1">IFERROR(__xludf.DUMMYFUNCTION("""COMPUTED_VALUE"""),359)</f>
        <v>359</v>
      </c>
    </row>
    <row r="361" spans="1:1" ht="12.75">
      <c r="A361" s="17">
        <f ca="1">IFERROR(__xludf.DUMMYFUNCTION("""COMPUTED_VALUE"""),360)</f>
        <v>360</v>
      </c>
    </row>
    <row r="362" spans="1:1" ht="12.75">
      <c r="A362" s="17">
        <f ca="1">IFERROR(__xludf.DUMMYFUNCTION("""COMPUTED_VALUE"""),361)</f>
        <v>361</v>
      </c>
    </row>
    <row r="363" spans="1:1" ht="12.75">
      <c r="A363" s="17"/>
    </row>
    <row r="364" spans="1:1" ht="12.75">
      <c r="A364" s="17">
        <f ca="1">IFERROR(__xludf.DUMMYFUNCTION("""COMPUTED_VALUE"""),363)</f>
        <v>363</v>
      </c>
    </row>
    <row r="365" spans="1:1" ht="12.75">
      <c r="A365" s="17">
        <f ca="1">IFERROR(__xludf.DUMMYFUNCTION("""COMPUTED_VALUE"""),364)</f>
        <v>364</v>
      </c>
    </row>
    <row r="366" spans="1:1" ht="12.75">
      <c r="A366" s="17">
        <f ca="1">IFERROR(__xludf.DUMMYFUNCTION("""COMPUTED_VALUE"""),365)</f>
        <v>365</v>
      </c>
    </row>
    <row r="367" spans="1:1" ht="12.75">
      <c r="A367" s="17"/>
    </row>
    <row r="368" spans="1:1" ht="12.75">
      <c r="A368" s="17">
        <f ca="1">IFERROR(__xludf.DUMMYFUNCTION("""COMPUTED_VALUE"""),367)</f>
        <v>367</v>
      </c>
    </row>
    <row r="369" spans="1:1" ht="12.75">
      <c r="A369" s="17">
        <f ca="1">IFERROR(__xludf.DUMMYFUNCTION("""COMPUTED_VALUE"""),368)</f>
        <v>368</v>
      </c>
    </row>
    <row r="370" spans="1:1" ht="12.75">
      <c r="A370" s="17">
        <f ca="1">IFERROR(__xludf.DUMMYFUNCTION("""COMPUTED_VALUE"""),369)</f>
        <v>369</v>
      </c>
    </row>
    <row r="371" spans="1:1" ht="12.75">
      <c r="A371" s="17">
        <f ca="1">IFERROR(__xludf.DUMMYFUNCTION("""COMPUTED_VALUE"""),370)</f>
        <v>370</v>
      </c>
    </row>
    <row r="372" spans="1:1" ht="12.75">
      <c r="A372" s="17">
        <f ca="1">IFERROR(__xludf.DUMMYFUNCTION("""COMPUTED_VALUE"""),371)</f>
        <v>371</v>
      </c>
    </row>
    <row r="373" spans="1:1" ht="12.75">
      <c r="A373" s="17">
        <f ca="1">IFERROR(__xludf.DUMMYFUNCTION("""COMPUTED_VALUE"""),372)</f>
        <v>372</v>
      </c>
    </row>
    <row r="374" spans="1:1" ht="12.75">
      <c r="A374" s="17">
        <f ca="1">IFERROR(__xludf.DUMMYFUNCTION("""COMPUTED_VALUE"""),373)</f>
        <v>373</v>
      </c>
    </row>
    <row r="375" spans="1:1" ht="12.75">
      <c r="A375" s="17">
        <f ca="1">IFERROR(__xludf.DUMMYFUNCTION("""COMPUTED_VALUE"""),374)</f>
        <v>374</v>
      </c>
    </row>
    <row r="376" spans="1:1" ht="12.75">
      <c r="A376" s="17">
        <f ca="1">IFERROR(__xludf.DUMMYFUNCTION("""COMPUTED_VALUE"""),375)</f>
        <v>375</v>
      </c>
    </row>
    <row r="377" spans="1:1" ht="12.75">
      <c r="A377" s="17">
        <f ca="1">IFERROR(__xludf.DUMMYFUNCTION("""COMPUTED_VALUE"""),376)</f>
        <v>376</v>
      </c>
    </row>
    <row r="378" spans="1:1" ht="12.75">
      <c r="A378" s="17">
        <f ca="1">IFERROR(__xludf.DUMMYFUNCTION("""COMPUTED_VALUE"""),377)</f>
        <v>377</v>
      </c>
    </row>
    <row r="379" spans="1:1" ht="12.75">
      <c r="A379" s="17">
        <f ca="1">IFERROR(__xludf.DUMMYFUNCTION("""COMPUTED_VALUE"""),378)</f>
        <v>378</v>
      </c>
    </row>
    <row r="380" spans="1:1" ht="12.75">
      <c r="A380" s="17">
        <f ca="1">IFERROR(__xludf.DUMMYFUNCTION("""COMPUTED_VALUE"""),379)</f>
        <v>379</v>
      </c>
    </row>
    <row r="381" spans="1:1" ht="12.75">
      <c r="A381" s="17"/>
    </row>
    <row r="382" spans="1:1" ht="12.75">
      <c r="A382" s="17">
        <f ca="1">IFERROR(__xludf.DUMMYFUNCTION("""COMPUTED_VALUE"""),381)</f>
        <v>381</v>
      </c>
    </row>
    <row r="383" spans="1:1" ht="12.75">
      <c r="A383" s="17"/>
    </row>
    <row r="384" spans="1:1" ht="12.75">
      <c r="A384" s="17">
        <f ca="1">IFERROR(__xludf.DUMMYFUNCTION("""COMPUTED_VALUE"""),383)</f>
        <v>383</v>
      </c>
    </row>
    <row r="385" spans="1:1" ht="12.75">
      <c r="A385" s="17">
        <f ca="1">IFERROR(__xludf.DUMMYFUNCTION("""COMPUTED_VALUE"""),384)</f>
        <v>384</v>
      </c>
    </row>
    <row r="386" spans="1:1" ht="12.75">
      <c r="A386" s="17">
        <f ca="1">IFERROR(__xludf.DUMMYFUNCTION("""COMPUTED_VALUE"""),385)</f>
        <v>385</v>
      </c>
    </row>
    <row r="387" spans="1:1" ht="12.75">
      <c r="A387" s="17">
        <f ca="1">IFERROR(__xludf.DUMMYFUNCTION("""COMPUTED_VALUE"""),386)</f>
        <v>386</v>
      </c>
    </row>
    <row r="388" spans="1:1" ht="12.75">
      <c r="A388" s="17">
        <f ca="1">IFERROR(__xludf.DUMMYFUNCTION("""COMPUTED_VALUE"""),387)</f>
        <v>387</v>
      </c>
    </row>
    <row r="389" spans="1:1" ht="12.75">
      <c r="A389" s="17">
        <f ca="1">IFERROR(__xludf.DUMMYFUNCTION("""COMPUTED_VALUE"""),388)</f>
        <v>388</v>
      </c>
    </row>
    <row r="390" spans="1:1" ht="12.75">
      <c r="A390" s="17">
        <f ca="1">IFERROR(__xludf.DUMMYFUNCTION("""COMPUTED_VALUE"""),389)</f>
        <v>389</v>
      </c>
    </row>
    <row r="391" spans="1:1" ht="12.75">
      <c r="A391" s="17">
        <f ca="1">IFERROR(__xludf.DUMMYFUNCTION("""COMPUTED_VALUE"""),390)</f>
        <v>390</v>
      </c>
    </row>
    <row r="392" spans="1:1" ht="12.75">
      <c r="A392" s="17">
        <f ca="1">IFERROR(__xludf.DUMMYFUNCTION("""COMPUTED_VALUE"""),391)</f>
        <v>391</v>
      </c>
    </row>
    <row r="393" spans="1:1" ht="12.75">
      <c r="A393" s="17"/>
    </row>
    <row r="394" spans="1:1" ht="12.75">
      <c r="A394" s="17">
        <f ca="1">IFERROR(__xludf.DUMMYFUNCTION("""COMPUTED_VALUE"""),393)</f>
        <v>393</v>
      </c>
    </row>
    <row r="395" spans="1:1" ht="12.75">
      <c r="A395" s="17">
        <f ca="1">IFERROR(__xludf.DUMMYFUNCTION("""COMPUTED_VALUE"""),394)</f>
        <v>394</v>
      </c>
    </row>
    <row r="396" spans="1:1" ht="12.75">
      <c r="A396" s="17">
        <f ca="1">IFERROR(__xludf.DUMMYFUNCTION("""COMPUTED_VALUE"""),395)</f>
        <v>395</v>
      </c>
    </row>
    <row r="397" spans="1:1" ht="12.75">
      <c r="A397" s="17">
        <f ca="1">IFERROR(__xludf.DUMMYFUNCTION("""COMPUTED_VALUE"""),396)</f>
        <v>396</v>
      </c>
    </row>
    <row r="398" spans="1:1" ht="12.75">
      <c r="A398" s="17">
        <f ca="1">IFERROR(__xludf.DUMMYFUNCTION("""COMPUTED_VALUE"""),397)</f>
        <v>397</v>
      </c>
    </row>
    <row r="399" spans="1:1" ht="12.75">
      <c r="A399" s="17">
        <f ca="1">IFERROR(__xludf.DUMMYFUNCTION("""COMPUTED_VALUE"""),398)</f>
        <v>398</v>
      </c>
    </row>
    <row r="400" spans="1:1" ht="12.75">
      <c r="A400" s="17">
        <f ca="1">IFERROR(__xludf.DUMMYFUNCTION("""COMPUTED_VALUE"""),399)</f>
        <v>399</v>
      </c>
    </row>
    <row r="401" spans="1:1" ht="12.75">
      <c r="A401" s="17">
        <f ca="1">IFERROR(__xludf.DUMMYFUNCTION("""COMPUTED_VALUE"""),400)</f>
        <v>400</v>
      </c>
    </row>
    <row r="402" spans="1:1" ht="12.75">
      <c r="A402" s="17">
        <f ca="1">IFERROR(__xludf.DUMMYFUNCTION("""COMPUTED_VALUE"""),401)</f>
        <v>401</v>
      </c>
    </row>
    <row r="403" spans="1:1" ht="12.75">
      <c r="A403" s="17">
        <f ca="1">IFERROR(__xludf.DUMMYFUNCTION("""COMPUTED_VALUE"""),402)</f>
        <v>402</v>
      </c>
    </row>
    <row r="404" spans="1:1" ht="12.75">
      <c r="A404" s="17">
        <f ca="1">IFERROR(__xludf.DUMMYFUNCTION("""COMPUTED_VALUE"""),403)</f>
        <v>403</v>
      </c>
    </row>
    <row r="405" spans="1:1" ht="12.75">
      <c r="A405" s="17">
        <f ca="1">IFERROR(__xludf.DUMMYFUNCTION("""COMPUTED_VALUE"""),404)</f>
        <v>404</v>
      </c>
    </row>
    <row r="406" spans="1:1" ht="12.75">
      <c r="A406" s="17">
        <f ca="1">IFERROR(__xludf.DUMMYFUNCTION("""COMPUTED_VALUE"""),405)</f>
        <v>405</v>
      </c>
    </row>
    <row r="407" spans="1:1" ht="12.75">
      <c r="A407" s="17">
        <f ca="1">IFERROR(__xludf.DUMMYFUNCTION("""COMPUTED_VALUE"""),406)</f>
        <v>406</v>
      </c>
    </row>
    <row r="408" spans="1:1" ht="12.75">
      <c r="A408" s="17">
        <f ca="1">IFERROR(__xludf.DUMMYFUNCTION("""COMPUTED_VALUE"""),407)</f>
        <v>407</v>
      </c>
    </row>
    <row r="409" spans="1:1" ht="12.75">
      <c r="A409" s="17">
        <f ca="1">IFERROR(__xludf.DUMMYFUNCTION("""COMPUTED_VALUE"""),408)</f>
        <v>408</v>
      </c>
    </row>
    <row r="410" spans="1:1" ht="12.75">
      <c r="A410" s="17">
        <f ca="1">IFERROR(__xludf.DUMMYFUNCTION("""COMPUTED_VALUE"""),409)</f>
        <v>409</v>
      </c>
    </row>
    <row r="411" spans="1:1" ht="12.75">
      <c r="A411" s="17">
        <f ca="1">IFERROR(__xludf.DUMMYFUNCTION("""COMPUTED_VALUE"""),410)</f>
        <v>410</v>
      </c>
    </row>
    <row r="412" spans="1:1" ht="12.75">
      <c r="A412" s="17"/>
    </row>
    <row r="413" spans="1:1" ht="12.75">
      <c r="A413" s="17">
        <f ca="1">IFERROR(__xludf.DUMMYFUNCTION("""COMPUTED_VALUE"""),412)</f>
        <v>412</v>
      </c>
    </row>
    <row r="414" spans="1:1" ht="12.75">
      <c r="A414" s="17">
        <f ca="1">IFERROR(__xludf.DUMMYFUNCTION("""COMPUTED_VALUE"""),413)</f>
        <v>413</v>
      </c>
    </row>
    <row r="415" spans="1:1" ht="12.75">
      <c r="A415" s="17"/>
    </row>
    <row r="416" spans="1:1" ht="12.75">
      <c r="A416" s="17">
        <f ca="1">IFERROR(__xludf.DUMMYFUNCTION("""COMPUTED_VALUE"""),415)</f>
        <v>415</v>
      </c>
    </row>
    <row r="417" spans="1:1" ht="12.75">
      <c r="A417" s="17">
        <f ca="1">IFERROR(__xludf.DUMMYFUNCTION("""COMPUTED_VALUE"""),416)</f>
        <v>416</v>
      </c>
    </row>
    <row r="418" spans="1:1" ht="12.75">
      <c r="A418" s="17"/>
    </row>
    <row r="419" spans="1:1" ht="12.75">
      <c r="A419" s="17">
        <f ca="1">IFERROR(__xludf.DUMMYFUNCTION("""COMPUTED_VALUE"""),418)</f>
        <v>418</v>
      </c>
    </row>
    <row r="420" spans="1:1" ht="12.75">
      <c r="A420" s="17">
        <f ca="1">IFERROR(__xludf.DUMMYFUNCTION("""COMPUTED_VALUE"""),419)</f>
        <v>419</v>
      </c>
    </row>
    <row r="421" spans="1:1" ht="12.75">
      <c r="A421" s="17">
        <f ca="1">IFERROR(__xludf.DUMMYFUNCTION("""COMPUTED_VALUE"""),420)</f>
        <v>420</v>
      </c>
    </row>
    <row r="422" spans="1:1" ht="12.75">
      <c r="A422" s="17">
        <f ca="1">IFERROR(__xludf.DUMMYFUNCTION("""COMPUTED_VALUE"""),421)</f>
        <v>421</v>
      </c>
    </row>
    <row r="423" spans="1:1" ht="12.75">
      <c r="A423" s="17"/>
    </row>
    <row r="424" spans="1:1" ht="12.75">
      <c r="A424" s="17"/>
    </row>
    <row r="425" spans="1:1" ht="12.75">
      <c r="A425" s="17">
        <f ca="1">IFERROR(__xludf.DUMMYFUNCTION("""COMPUTED_VALUE"""),424)</f>
        <v>424</v>
      </c>
    </row>
    <row r="426" spans="1:1" ht="12.75">
      <c r="A426" s="17">
        <f ca="1">IFERROR(__xludf.DUMMYFUNCTION("""COMPUTED_VALUE"""),425)</f>
        <v>425</v>
      </c>
    </row>
    <row r="427" spans="1:1" ht="12.75">
      <c r="A427" s="17">
        <f ca="1">IFERROR(__xludf.DUMMYFUNCTION("""COMPUTED_VALUE"""),426)</f>
        <v>426</v>
      </c>
    </row>
    <row r="428" spans="1:1" ht="12.75">
      <c r="A428" s="17">
        <f ca="1">IFERROR(__xludf.DUMMYFUNCTION("""COMPUTED_VALUE"""),427)</f>
        <v>427</v>
      </c>
    </row>
    <row r="429" spans="1:1" ht="12.75">
      <c r="A429" s="17">
        <f ca="1">IFERROR(__xludf.DUMMYFUNCTION("""COMPUTED_VALUE"""),428)</f>
        <v>428</v>
      </c>
    </row>
    <row r="430" spans="1:1" ht="12.75">
      <c r="A430" s="17"/>
    </row>
    <row r="431" spans="1:1" ht="12.75">
      <c r="A431" s="17"/>
    </row>
    <row r="432" spans="1:1" ht="12.75">
      <c r="A432" s="17">
        <f ca="1">IFERROR(__xludf.DUMMYFUNCTION("""COMPUTED_VALUE"""),431)</f>
        <v>431</v>
      </c>
    </row>
    <row r="434" spans="1:1" ht="12.75">
      <c r="A434" s="17">
        <f ca="1">IFERROR(__xludf.DUMMYFUNCTION("""COMPUTED_VALUE"""),433)</f>
        <v>433</v>
      </c>
    </row>
    <row r="435" spans="1:1" ht="12.75">
      <c r="A435" s="17"/>
    </row>
    <row r="436" spans="1:1" ht="12.75">
      <c r="A436" s="17">
        <f ca="1">IFERROR(__xludf.DUMMYFUNCTION("""COMPUTED_VALUE"""),435)</f>
        <v>435</v>
      </c>
    </row>
    <row r="437" spans="1:1" ht="12.75">
      <c r="A437" s="17"/>
    </row>
    <row r="438" spans="1:1" ht="12.75">
      <c r="A438" s="17">
        <f ca="1">IFERROR(__xludf.DUMMYFUNCTION("""COMPUTED_VALUE"""),437)</f>
        <v>437</v>
      </c>
    </row>
    <row r="439" spans="1:1" ht="12.75">
      <c r="A439" s="17">
        <f ca="1">IFERROR(__xludf.DUMMYFUNCTION("""COMPUTED_VALUE"""),438)</f>
        <v>438</v>
      </c>
    </row>
    <row r="440" spans="1:1" ht="12.75">
      <c r="A440" s="17"/>
    </row>
    <row r="441" spans="1:1" ht="12.75">
      <c r="A441" s="17">
        <f ca="1">IFERROR(__xludf.DUMMYFUNCTION("""COMPUTED_VALUE"""),440)</f>
        <v>440</v>
      </c>
    </row>
    <row r="442" spans="1:1" ht="12.75">
      <c r="A442" s="17">
        <f ca="1">IFERROR(__xludf.DUMMYFUNCTION("""COMPUTED_VALUE"""),441)</f>
        <v>441</v>
      </c>
    </row>
    <row r="443" spans="1:1" ht="12.75">
      <c r="A443" s="17"/>
    </row>
    <row r="444" spans="1:1" ht="12.75">
      <c r="A444" s="17">
        <f ca="1">IFERROR(__xludf.DUMMYFUNCTION("""COMPUTED_VALUE"""),443)</f>
        <v>443</v>
      </c>
    </row>
    <row r="445" spans="1:1" ht="12.75">
      <c r="A445" s="17"/>
    </row>
    <row r="446" spans="1:1" ht="12.75">
      <c r="A446" s="17">
        <f ca="1">IFERROR(__xludf.DUMMYFUNCTION("""COMPUTED_VALUE"""),445)</f>
        <v>445</v>
      </c>
    </row>
    <row r="447" spans="1:1" ht="12.75">
      <c r="A447" s="17">
        <f ca="1">IFERROR(__xludf.DUMMYFUNCTION("""COMPUTED_VALUE"""),446)</f>
        <v>446</v>
      </c>
    </row>
    <row r="449" spans="1:1" ht="12.75">
      <c r="A449" s="17">
        <f ca="1">IFERROR(__xludf.DUMMYFUNCTION("""COMPUTED_VALUE"""),448)</f>
        <v>448</v>
      </c>
    </row>
    <row r="450" spans="1:1" ht="12.75">
      <c r="A450" s="17">
        <f ca="1">IFERROR(__xludf.DUMMYFUNCTION("""COMPUTED_VALUE"""),449)</f>
        <v>449</v>
      </c>
    </row>
    <row r="451" spans="1:1" ht="12.75">
      <c r="A451" s="17">
        <f ca="1">IFERROR(__xludf.DUMMYFUNCTION("""COMPUTED_VALUE"""),450)</f>
        <v>450</v>
      </c>
    </row>
    <row r="452" spans="1:1" ht="12.75">
      <c r="A452" s="17"/>
    </row>
    <row r="453" spans="1:1" ht="12.75">
      <c r="A453" s="17">
        <f ca="1">IFERROR(__xludf.DUMMYFUNCTION("""COMPUTED_VALUE"""),452)</f>
        <v>452</v>
      </c>
    </row>
    <row r="454" spans="1:1" ht="12.75">
      <c r="A454" s="17">
        <f ca="1">IFERROR(__xludf.DUMMYFUNCTION("""COMPUTED_VALUE"""),453)</f>
        <v>453</v>
      </c>
    </row>
    <row r="455" spans="1:1" ht="12.75">
      <c r="A455" s="17">
        <f ca="1">IFERROR(__xludf.DUMMYFUNCTION("""COMPUTED_VALUE"""),454)</f>
        <v>454</v>
      </c>
    </row>
    <row r="456" spans="1:1" ht="12.75">
      <c r="A456" s="17">
        <f ca="1">IFERROR(__xludf.DUMMYFUNCTION("""COMPUTED_VALUE"""),455)</f>
        <v>455</v>
      </c>
    </row>
    <row r="457" spans="1:1" ht="12.75">
      <c r="A457" s="17"/>
    </row>
    <row r="458" spans="1:1" ht="12.75">
      <c r="A458" s="17">
        <f ca="1">IFERROR(__xludf.DUMMYFUNCTION("""COMPUTED_VALUE"""),457)</f>
        <v>457</v>
      </c>
    </row>
    <row r="459" spans="1:1" ht="12.75">
      <c r="A459" s="17">
        <f ca="1">IFERROR(__xludf.DUMMYFUNCTION("""COMPUTED_VALUE"""),458)</f>
        <v>458</v>
      </c>
    </row>
    <row r="460" spans="1:1" ht="12.75">
      <c r="A460" s="17">
        <f ca="1">IFERROR(__xludf.DUMMYFUNCTION("""COMPUTED_VALUE"""),459)</f>
        <v>459</v>
      </c>
    </row>
    <row r="461" spans="1:1" ht="12.75">
      <c r="A461" s="17">
        <f ca="1">IFERROR(__xludf.DUMMYFUNCTION("""COMPUTED_VALUE"""),460)</f>
        <v>460</v>
      </c>
    </row>
    <row r="462" spans="1:1" ht="12.75">
      <c r="A462" s="17">
        <f ca="1">IFERROR(__xludf.DUMMYFUNCTION("""COMPUTED_VALUE"""),461)</f>
        <v>461</v>
      </c>
    </row>
    <row r="463" spans="1:1" ht="12.75">
      <c r="A463" s="17">
        <f ca="1">IFERROR(__xludf.DUMMYFUNCTION("""COMPUTED_VALUE"""),462)</f>
        <v>462</v>
      </c>
    </row>
    <row r="464" spans="1:1" ht="12.75">
      <c r="A464" s="17">
        <f ca="1">IFERROR(__xludf.DUMMYFUNCTION("""COMPUTED_VALUE"""),463)</f>
        <v>463</v>
      </c>
    </row>
    <row r="465" spans="1:1" ht="12.75">
      <c r="A465" s="17">
        <f ca="1">IFERROR(__xludf.DUMMYFUNCTION("""COMPUTED_VALUE"""),464)</f>
        <v>464</v>
      </c>
    </row>
    <row r="466" spans="1:1" ht="12.75">
      <c r="A466" s="17"/>
    </row>
    <row r="467" spans="1:1" ht="12.75">
      <c r="A467" s="17">
        <f ca="1">IFERROR(__xludf.DUMMYFUNCTION("""COMPUTED_VALUE"""),466)</f>
        <v>466</v>
      </c>
    </row>
    <row r="468" spans="1:1" ht="12.75">
      <c r="A468" s="17">
        <f ca="1">IFERROR(__xludf.DUMMYFUNCTION("""COMPUTED_VALUE"""),467)</f>
        <v>467</v>
      </c>
    </row>
    <row r="469" spans="1:1" ht="12.75">
      <c r="A469" s="17">
        <f ca="1">IFERROR(__xludf.DUMMYFUNCTION("""COMPUTED_VALUE"""),468)</f>
        <v>468</v>
      </c>
    </row>
    <row r="470" spans="1:1" ht="12.75">
      <c r="A470" s="17">
        <f ca="1">IFERROR(__xludf.DUMMYFUNCTION("""COMPUTED_VALUE"""),469)</f>
        <v>469</v>
      </c>
    </row>
    <row r="471" spans="1:1" ht="12.75">
      <c r="A471" s="17"/>
    </row>
    <row r="472" spans="1:1" ht="12.75">
      <c r="A472" s="17">
        <f ca="1">IFERROR(__xludf.DUMMYFUNCTION("""COMPUTED_VALUE"""),471)</f>
        <v>471</v>
      </c>
    </row>
    <row r="473" spans="1:1" ht="12.75">
      <c r="A473" s="17">
        <f ca="1">IFERROR(__xludf.DUMMYFUNCTION("""COMPUTED_VALUE"""),472)</f>
        <v>472</v>
      </c>
    </row>
    <row r="474" spans="1:1" ht="12.75">
      <c r="A474" s="17">
        <f ca="1">IFERROR(__xludf.DUMMYFUNCTION("""COMPUTED_VALUE"""),473)</f>
        <v>473</v>
      </c>
    </row>
    <row r="475" spans="1:1" ht="12.75">
      <c r="A475" s="17">
        <f ca="1">IFERROR(__xludf.DUMMYFUNCTION("""COMPUTED_VALUE"""),474)</f>
        <v>474</v>
      </c>
    </row>
    <row r="476" spans="1:1" ht="12.75">
      <c r="A476" s="17">
        <f ca="1">IFERROR(__xludf.DUMMYFUNCTION("""COMPUTED_VALUE"""),475)</f>
        <v>475</v>
      </c>
    </row>
    <row r="477" spans="1:1" ht="12.75">
      <c r="A477" s="17">
        <f ca="1">IFERROR(__xludf.DUMMYFUNCTION("""COMPUTED_VALUE"""),476)</f>
        <v>476</v>
      </c>
    </row>
    <row r="478" spans="1:1" ht="12.75">
      <c r="A478" s="17">
        <f ca="1">IFERROR(__xludf.DUMMYFUNCTION("""COMPUTED_VALUE"""),477)</f>
        <v>477</v>
      </c>
    </row>
    <row r="479" spans="1:1" ht="12.75">
      <c r="A479" s="17">
        <f ca="1">IFERROR(__xludf.DUMMYFUNCTION("""COMPUTED_VALUE"""),478)</f>
        <v>478</v>
      </c>
    </row>
    <row r="480" spans="1:1" ht="12.75">
      <c r="A480" s="17">
        <f ca="1">IFERROR(__xludf.DUMMYFUNCTION("""COMPUTED_VALUE"""),479)</f>
        <v>479</v>
      </c>
    </row>
    <row r="482" spans="1:1" ht="12.75">
      <c r="A482" s="17">
        <f ca="1">IFERROR(__xludf.DUMMYFUNCTION("""COMPUTED_VALUE"""),481)</f>
        <v>481</v>
      </c>
    </row>
    <row r="483" spans="1:1" ht="12.75">
      <c r="A483" s="17">
        <f ca="1">IFERROR(__xludf.DUMMYFUNCTION("""COMPUTED_VALUE"""),482)</f>
        <v>482</v>
      </c>
    </row>
    <row r="484" spans="1:1" ht="12.75">
      <c r="A484" s="17">
        <f ca="1">IFERROR(__xludf.DUMMYFUNCTION("""COMPUTED_VALUE"""),483)</f>
        <v>483</v>
      </c>
    </row>
    <row r="485" spans="1:1" ht="12.75">
      <c r="A485" s="17">
        <f ca="1">IFERROR(__xludf.DUMMYFUNCTION("""COMPUTED_VALUE"""),484)</f>
        <v>484</v>
      </c>
    </row>
    <row r="486" spans="1:1" ht="12.75">
      <c r="A486" s="17">
        <f ca="1">IFERROR(__xludf.DUMMYFUNCTION("""COMPUTED_VALUE"""),485)</f>
        <v>485</v>
      </c>
    </row>
    <row r="487" spans="1:1" ht="12.75">
      <c r="A487" s="17">
        <f ca="1">IFERROR(__xludf.DUMMYFUNCTION("""COMPUTED_VALUE"""),486)</f>
        <v>486</v>
      </c>
    </row>
    <row r="488" spans="1:1" ht="12.75">
      <c r="A488" s="17">
        <f ca="1">IFERROR(__xludf.DUMMYFUNCTION("""COMPUTED_VALUE"""),487)</f>
        <v>487</v>
      </c>
    </row>
    <row r="489" spans="1:1" ht="12.75">
      <c r="A489" s="17">
        <f ca="1">IFERROR(__xludf.DUMMYFUNCTION("""COMPUTED_VALUE"""),488)</f>
        <v>488</v>
      </c>
    </row>
    <row r="490" spans="1:1" ht="12.75">
      <c r="A490" s="17">
        <f ca="1">IFERROR(__xludf.DUMMYFUNCTION("""COMPUTED_VALUE"""),489)</f>
        <v>489</v>
      </c>
    </row>
    <row r="491" spans="1:1" ht="12.75">
      <c r="A491" s="17">
        <f ca="1">IFERROR(__xludf.DUMMYFUNCTION("""COMPUTED_VALUE"""),490)</f>
        <v>490</v>
      </c>
    </row>
    <row r="492" spans="1:1" ht="12.75">
      <c r="A492" s="17">
        <f ca="1">IFERROR(__xludf.DUMMYFUNCTION("""COMPUTED_VALUE"""),491)</f>
        <v>491</v>
      </c>
    </row>
    <row r="493" spans="1:1" ht="12.75">
      <c r="A493" s="17">
        <f ca="1">IFERROR(__xludf.DUMMYFUNCTION("""COMPUTED_VALUE"""),492)</f>
        <v>492</v>
      </c>
    </row>
    <row r="494" spans="1:1" ht="12.75">
      <c r="A494" s="17">
        <f ca="1">IFERROR(__xludf.DUMMYFUNCTION("""COMPUTED_VALUE"""),493)</f>
        <v>493</v>
      </c>
    </row>
    <row r="495" spans="1:1" ht="12.75">
      <c r="A495" s="17">
        <f ca="1">IFERROR(__xludf.DUMMYFUNCTION("""COMPUTED_VALUE"""),494)</f>
        <v>494</v>
      </c>
    </row>
    <row r="496" spans="1:1" ht="12.75">
      <c r="A496" s="17">
        <f ca="1">IFERROR(__xludf.DUMMYFUNCTION("""COMPUTED_VALUE"""),495)</f>
        <v>495</v>
      </c>
    </row>
    <row r="497" spans="1:1" ht="12.75">
      <c r="A497" s="17">
        <f ca="1">IFERROR(__xludf.DUMMYFUNCTION("""COMPUTED_VALUE"""),496)</f>
        <v>496</v>
      </c>
    </row>
    <row r="498" spans="1:1" ht="12.75">
      <c r="A498" s="17">
        <f ca="1">IFERROR(__xludf.DUMMYFUNCTION("""COMPUTED_VALUE"""),497)</f>
        <v>497</v>
      </c>
    </row>
    <row r="499" spans="1:1" ht="12.75">
      <c r="A499" s="17">
        <f ca="1">IFERROR(__xludf.DUMMYFUNCTION("""COMPUTED_VALUE"""),498)</f>
        <v>498</v>
      </c>
    </row>
    <row r="500" spans="1:1" ht="12.75">
      <c r="A500" s="17">
        <f ca="1">IFERROR(__xludf.DUMMYFUNCTION("""COMPUTED_VALUE"""),499)</f>
        <v>499</v>
      </c>
    </row>
    <row r="501" spans="1:1" ht="12.75">
      <c r="A501" s="17"/>
    </row>
    <row r="502" spans="1:1" ht="12.75">
      <c r="A502" s="17">
        <f ca="1">IFERROR(__xludf.DUMMYFUNCTION("""COMPUTED_VALUE"""),501)</f>
        <v>501</v>
      </c>
    </row>
    <row r="503" spans="1:1" ht="12.75">
      <c r="A503" s="17">
        <f ca="1">IFERROR(__xludf.DUMMYFUNCTION("""COMPUTED_VALUE"""),502)</f>
        <v>502</v>
      </c>
    </row>
    <row r="504" spans="1:1" ht="12.75">
      <c r="A504" s="17">
        <f ca="1">IFERROR(__xludf.DUMMYFUNCTION("""COMPUTED_VALUE"""),503)</f>
        <v>503</v>
      </c>
    </row>
    <row r="505" spans="1:1" ht="12.75">
      <c r="A505" s="17">
        <f ca="1">IFERROR(__xludf.DUMMYFUNCTION("""COMPUTED_VALUE"""),504)</f>
        <v>504</v>
      </c>
    </row>
    <row r="506" spans="1:1" ht="12.75">
      <c r="A506" s="17"/>
    </row>
    <row r="507" spans="1:1" ht="12.75">
      <c r="A507" s="17">
        <f ca="1">IFERROR(__xludf.DUMMYFUNCTION("""COMPUTED_VALUE"""),506)</f>
        <v>506</v>
      </c>
    </row>
    <row r="508" spans="1:1" ht="12.75">
      <c r="A508" s="17">
        <f ca="1">IFERROR(__xludf.DUMMYFUNCTION("""COMPUTED_VALUE"""),507)</f>
        <v>507</v>
      </c>
    </row>
    <row r="509" spans="1:1" ht="12.75">
      <c r="A509" s="17">
        <f ca="1">IFERROR(__xludf.DUMMYFUNCTION("""COMPUTED_VALUE"""),508)</f>
        <v>508</v>
      </c>
    </row>
    <row r="510" spans="1:1" ht="12.75">
      <c r="A510" s="17">
        <f ca="1">IFERROR(__xludf.DUMMYFUNCTION("""COMPUTED_VALUE"""),509)</f>
        <v>509</v>
      </c>
    </row>
    <row r="511" spans="1:1" ht="12.75">
      <c r="A511" s="17">
        <f ca="1">IFERROR(__xludf.DUMMYFUNCTION("""COMPUTED_VALUE"""),510)</f>
        <v>510</v>
      </c>
    </row>
    <row r="514" spans="1:1" ht="12.75">
      <c r="A514" s="17">
        <f ca="1">IFERROR(__xludf.DUMMYFUNCTION("""COMPUTED_VALUE"""),513)</f>
        <v>513</v>
      </c>
    </row>
    <row r="515" spans="1:1" ht="12.75">
      <c r="A515" s="17">
        <f ca="1">IFERROR(__xludf.DUMMYFUNCTION("""COMPUTED_VALUE"""),514)</f>
        <v>514</v>
      </c>
    </row>
    <row r="516" spans="1:1" ht="12.75">
      <c r="A516" s="17">
        <f ca="1">IFERROR(__xludf.DUMMYFUNCTION("""COMPUTED_VALUE"""),515)</f>
        <v>515</v>
      </c>
    </row>
    <row r="517" spans="1:1" ht="12.75">
      <c r="A517" s="17">
        <f ca="1">IFERROR(__xludf.DUMMYFUNCTION("""COMPUTED_VALUE"""),516)</f>
        <v>516</v>
      </c>
    </row>
    <row r="518" spans="1:1" ht="12.75">
      <c r="A518" s="17">
        <f ca="1">IFERROR(__xludf.DUMMYFUNCTION("""COMPUTED_VALUE"""),517)</f>
        <v>517</v>
      </c>
    </row>
    <row r="519" spans="1:1" ht="12.75">
      <c r="A519" s="17"/>
    </row>
    <row r="520" spans="1:1" ht="12.75">
      <c r="A520" s="17">
        <f ca="1">IFERROR(__xludf.DUMMYFUNCTION("""COMPUTED_VALUE"""),519)</f>
        <v>519</v>
      </c>
    </row>
    <row r="521" spans="1:1" ht="12.75">
      <c r="A521" s="17">
        <f ca="1">IFERROR(__xludf.DUMMYFUNCTION("""COMPUTED_VALUE"""),520)</f>
        <v>520</v>
      </c>
    </row>
    <row r="522" spans="1:1" ht="12.75">
      <c r="A522" s="17">
        <f ca="1">IFERROR(__xludf.DUMMYFUNCTION("""COMPUTED_VALUE"""),521)</f>
        <v>521</v>
      </c>
    </row>
    <row r="523" spans="1:1" ht="12.75">
      <c r="A523" s="17">
        <f ca="1">IFERROR(__xludf.DUMMYFUNCTION("""COMPUTED_VALUE"""),522)</f>
        <v>522</v>
      </c>
    </row>
    <row r="524" spans="1:1" ht="12.75">
      <c r="A524" s="17">
        <f ca="1">IFERROR(__xludf.DUMMYFUNCTION("""COMPUTED_VALUE"""),523)</f>
        <v>523</v>
      </c>
    </row>
    <row r="525" spans="1:1" ht="12.75">
      <c r="A525" s="17">
        <f ca="1">IFERROR(__xludf.DUMMYFUNCTION("""COMPUTED_VALUE"""),524)</f>
        <v>524</v>
      </c>
    </row>
    <row r="526" spans="1:1" ht="12.75">
      <c r="A526" s="17">
        <f ca="1">IFERROR(__xludf.DUMMYFUNCTION("""COMPUTED_VALUE"""),525)</f>
        <v>525</v>
      </c>
    </row>
    <row r="527" spans="1:1" ht="12.75">
      <c r="A527" s="17"/>
    </row>
    <row r="528" spans="1:1" ht="12.75">
      <c r="A528" s="17">
        <f ca="1">IFERROR(__xludf.DUMMYFUNCTION("""COMPUTED_VALUE"""),527)</f>
        <v>527</v>
      </c>
    </row>
    <row r="529" spans="1:1" ht="12.75">
      <c r="A529" s="17">
        <f ca="1">IFERROR(__xludf.DUMMYFUNCTION("""COMPUTED_VALUE"""),528)</f>
        <v>528</v>
      </c>
    </row>
    <row r="530" spans="1:1" ht="12.75">
      <c r="A530" s="17">
        <f ca="1">IFERROR(__xludf.DUMMYFUNCTION("""COMPUTED_VALUE"""),529)</f>
        <v>529</v>
      </c>
    </row>
    <row r="531" spans="1:1" ht="12.75">
      <c r="A531" s="17"/>
    </row>
    <row r="532" spans="1:1" ht="12.75">
      <c r="A532" s="17">
        <f ca="1">IFERROR(__xludf.DUMMYFUNCTION("""COMPUTED_VALUE"""),531)</f>
        <v>531</v>
      </c>
    </row>
    <row r="533" spans="1:1" ht="12.75">
      <c r="A533" s="17">
        <f ca="1">IFERROR(__xludf.DUMMYFUNCTION("""COMPUTED_VALUE"""),532)</f>
        <v>532</v>
      </c>
    </row>
    <row r="534" spans="1:1" ht="12.75">
      <c r="A534" s="17">
        <f ca="1">IFERROR(__xludf.DUMMYFUNCTION("""COMPUTED_VALUE"""),533)</f>
        <v>533</v>
      </c>
    </row>
    <row r="535" spans="1:1" ht="12.75">
      <c r="A535" s="17"/>
    </row>
    <row r="536" spans="1:1" ht="12.75">
      <c r="A536" s="17">
        <f ca="1">IFERROR(__xludf.DUMMYFUNCTION("""COMPUTED_VALUE"""),535)</f>
        <v>535</v>
      </c>
    </row>
    <row r="537" spans="1:1" ht="12.75">
      <c r="A537" s="17">
        <f ca="1">IFERROR(__xludf.DUMMYFUNCTION("""COMPUTED_VALUE"""),536)</f>
        <v>536</v>
      </c>
    </row>
    <row r="538" spans="1:1" ht="12.75">
      <c r="A538" s="17">
        <f ca="1">IFERROR(__xludf.DUMMYFUNCTION("""COMPUTED_VALUE"""),537)</f>
        <v>537</v>
      </c>
    </row>
    <row r="539" spans="1:1" ht="12.75">
      <c r="A539" s="17">
        <f ca="1">IFERROR(__xludf.DUMMYFUNCTION("""COMPUTED_VALUE"""),538)</f>
        <v>538</v>
      </c>
    </row>
    <row r="540" spans="1:1" ht="12.75">
      <c r="A540" s="17"/>
    </row>
    <row r="541" spans="1:1" ht="12.75">
      <c r="A541" s="17">
        <f ca="1">IFERROR(__xludf.DUMMYFUNCTION("""COMPUTED_VALUE"""),540)</f>
        <v>540</v>
      </c>
    </row>
    <row r="542" spans="1:1" ht="12.75">
      <c r="A542" s="17">
        <f ca="1">IFERROR(__xludf.DUMMYFUNCTION("""COMPUTED_VALUE"""),541)</f>
        <v>541</v>
      </c>
    </row>
    <row r="543" spans="1:1" ht="12.75">
      <c r="A543" s="17">
        <f ca="1">IFERROR(__xludf.DUMMYFUNCTION("""COMPUTED_VALUE"""),542)</f>
        <v>542</v>
      </c>
    </row>
    <row r="544" spans="1:1" ht="12.75">
      <c r="A544" s="17">
        <f ca="1">IFERROR(__xludf.DUMMYFUNCTION("""COMPUTED_VALUE"""),543)</f>
        <v>543</v>
      </c>
    </row>
    <row r="545" spans="1:1" ht="12.75">
      <c r="A545" s="17">
        <f ca="1">IFERROR(__xludf.DUMMYFUNCTION("""COMPUTED_VALUE"""),544)</f>
        <v>544</v>
      </c>
    </row>
    <row r="546" spans="1:1" ht="12.75">
      <c r="A546" s="17">
        <f ca="1">IFERROR(__xludf.DUMMYFUNCTION("""COMPUTED_VALUE"""),545)</f>
        <v>545</v>
      </c>
    </row>
    <row r="547" spans="1:1" ht="12.75">
      <c r="A547" s="17">
        <f ca="1">IFERROR(__xludf.DUMMYFUNCTION("""COMPUTED_VALUE"""),546)</f>
        <v>546</v>
      </c>
    </row>
    <row r="548" spans="1:1" ht="12.75">
      <c r="A548" s="17">
        <f ca="1">IFERROR(__xludf.DUMMYFUNCTION("""COMPUTED_VALUE"""),547)</f>
        <v>547</v>
      </c>
    </row>
    <row r="549" spans="1:1" ht="12.75">
      <c r="A549" s="17">
        <f ca="1">IFERROR(__xludf.DUMMYFUNCTION("""COMPUTED_VALUE"""),548)</f>
        <v>548</v>
      </c>
    </row>
    <row r="550" spans="1:1" ht="12.75">
      <c r="A550" s="17">
        <f ca="1">IFERROR(__xludf.DUMMYFUNCTION("""COMPUTED_VALUE"""),549)</f>
        <v>549</v>
      </c>
    </row>
  </sheetData>
  <autoFilter ref="A1:S172" xr:uid="{00000000-0009-0000-0000-000004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7DE23-C592-4277-B04E-CCDD462DCCEA}">
  <dimension ref="A1:AS130"/>
  <sheetViews>
    <sheetView workbookViewId="0">
      <pane xSplit="2" topLeftCell="AG1" activePane="topRight" state="frozen"/>
      <selection pane="topRight" activeCell="AG2" sqref="AG2"/>
    </sheetView>
  </sheetViews>
  <sheetFormatPr defaultColWidth="19.5703125" defaultRowHeight="12.75"/>
  <cols>
    <col min="1" max="1" width="6.42578125" style="231" customWidth="1"/>
    <col min="2" max="2" width="19.5703125" style="231"/>
    <col min="3" max="3" width="38.42578125" style="231" customWidth="1"/>
    <col min="4" max="4" width="19.5703125" style="260"/>
    <col min="5" max="5" width="8.42578125" style="231" customWidth="1"/>
    <col min="6" max="6" width="21.85546875" style="231" bestFit="1" customWidth="1"/>
    <col min="7" max="7" width="16.42578125" style="231" customWidth="1"/>
    <col min="8" max="8" width="17.28515625" style="231" customWidth="1"/>
    <col min="9" max="11" width="19.5703125" style="231"/>
    <col min="12" max="12" width="10.7109375" style="231" customWidth="1"/>
    <col min="13" max="13" width="19.5703125" style="231"/>
    <col min="14" max="14" width="10.7109375" style="231" customWidth="1"/>
    <col min="15" max="15" width="19.5703125" style="231"/>
    <col min="16" max="16" width="10.7109375" style="231" customWidth="1"/>
    <col min="17" max="17" width="19.5703125" style="231"/>
    <col min="18" max="18" width="10.7109375" style="231" customWidth="1"/>
    <col min="19" max="19" width="19.5703125" style="231"/>
    <col min="20" max="20" width="10.7109375" style="231" customWidth="1"/>
    <col min="21" max="21" width="19.5703125" style="231"/>
    <col min="22" max="22" width="10.7109375" style="231" customWidth="1"/>
    <col min="23" max="23" width="19.5703125" style="231"/>
    <col min="24" max="24" width="10.7109375" style="231" customWidth="1"/>
    <col min="25" max="25" width="19.5703125" style="231"/>
    <col min="26" max="26" width="10.7109375" style="231" customWidth="1"/>
    <col min="27" max="27" width="19.5703125" style="231"/>
    <col min="28" max="28" width="10.7109375" style="231" customWidth="1"/>
    <col min="29" max="29" width="19.5703125" style="231"/>
    <col min="30" max="30" width="10.7109375" style="231" customWidth="1"/>
    <col min="31" max="31" width="19.5703125" style="231"/>
    <col min="32" max="32" width="10.7109375" style="231" customWidth="1"/>
    <col min="33" max="33" width="19.5703125" style="231"/>
    <col min="34" max="34" width="21.85546875" style="231" bestFit="1" customWidth="1"/>
    <col min="35" max="35" width="19.5703125" style="231"/>
    <col min="36" max="36" width="11" style="231" customWidth="1"/>
    <col min="37" max="37" width="14.42578125" style="263" customWidth="1"/>
    <col min="38" max="38" width="27.28515625" style="231" customWidth="1"/>
    <col min="39" max="40" width="19.5703125" style="231"/>
    <col min="41" max="41" width="13" style="231" customWidth="1"/>
    <col min="42" max="16384" width="19.5703125" style="231"/>
  </cols>
  <sheetData>
    <row r="1" spans="1:45" ht="22.5">
      <c r="A1" s="52" t="s">
        <v>6226</v>
      </c>
      <c r="B1" s="52" t="s">
        <v>6264</v>
      </c>
      <c r="C1" s="52" t="s">
        <v>6265</v>
      </c>
      <c r="D1" s="250" t="s">
        <v>6266</v>
      </c>
      <c r="E1" s="52" t="s">
        <v>6267</v>
      </c>
      <c r="F1" s="52" t="s">
        <v>6268</v>
      </c>
      <c r="G1" s="265" t="s">
        <v>6269</v>
      </c>
      <c r="H1" s="265" t="s">
        <v>6270</v>
      </c>
      <c r="I1" s="265" t="s">
        <v>6271</v>
      </c>
      <c r="J1" s="265" t="s">
        <v>6272</v>
      </c>
      <c r="K1" s="276" t="s">
        <v>6273</v>
      </c>
      <c r="L1" s="276" t="s">
        <v>6274</v>
      </c>
      <c r="M1" s="276" t="s">
        <v>6275</v>
      </c>
      <c r="N1" s="276" t="s">
        <v>6276</v>
      </c>
      <c r="O1" s="276" t="s">
        <v>6277</v>
      </c>
      <c r="P1" s="276" t="s">
        <v>6278</v>
      </c>
      <c r="Q1" s="276" t="s">
        <v>6279</v>
      </c>
      <c r="R1" s="276" t="s">
        <v>6280</v>
      </c>
      <c r="S1" s="276" t="s">
        <v>6281</v>
      </c>
      <c r="T1" s="276" t="s">
        <v>6282</v>
      </c>
      <c r="U1" s="276" t="s">
        <v>6283</v>
      </c>
      <c r="V1" s="276" t="s">
        <v>6284</v>
      </c>
      <c r="W1" s="276" t="s">
        <v>6285</v>
      </c>
      <c r="X1" s="276" t="s">
        <v>6286</v>
      </c>
      <c r="Y1" s="276" t="s">
        <v>6287</v>
      </c>
      <c r="Z1" s="276" t="s">
        <v>6288</v>
      </c>
      <c r="AA1" s="276" t="s">
        <v>6289</v>
      </c>
      <c r="AB1" s="276" t="s">
        <v>6290</v>
      </c>
      <c r="AC1" s="276" t="s">
        <v>6291</v>
      </c>
      <c r="AD1" s="276" t="s">
        <v>6292</v>
      </c>
      <c r="AE1" s="276" t="s">
        <v>6293</v>
      </c>
      <c r="AF1" s="276" t="s">
        <v>6294</v>
      </c>
      <c r="AG1" s="265" t="s">
        <v>6295</v>
      </c>
      <c r="AH1" s="265" t="s">
        <v>6296</v>
      </c>
      <c r="AI1" s="265" t="s">
        <v>6297</v>
      </c>
      <c r="AJ1" s="265" t="s">
        <v>6298</v>
      </c>
      <c r="AK1" s="277" t="s">
        <v>6299</v>
      </c>
      <c r="AL1" s="265" t="s">
        <v>136</v>
      </c>
      <c r="AM1" s="265" t="s">
        <v>6300</v>
      </c>
      <c r="AP1" s="290" t="s">
        <v>6301</v>
      </c>
      <c r="AQ1" s="290" t="s">
        <v>6302</v>
      </c>
      <c r="AR1" s="290" t="s">
        <v>6303</v>
      </c>
      <c r="AS1" s="290" t="s">
        <v>6304</v>
      </c>
    </row>
    <row r="2" spans="1:45" ht="55.5">
      <c r="A2" s="232">
        <v>1</v>
      </c>
      <c r="B2" s="233" t="s">
        <v>3134</v>
      </c>
      <c r="C2" s="234" t="s">
        <v>6305</v>
      </c>
      <c r="D2" s="251">
        <v>6700000</v>
      </c>
      <c r="E2" s="234">
        <v>6</v>
      </c>
      <c r="F2" s="261">
        <v>40200000</v>
      </c>
      <c r="G2" s="272">
        <v>7604</v>
      </c>
      <c r="H2" s="266"/>
      <c r="I2" s="287" t="s">
        <v>6306</v>
      </c>
      <c r="J2" s="264">
        <v>45331</v>
      </c>
      <c r="K2" s="266">
        <v>4913333</v>
      </c>
      <c r="L2" s="266" t="s">
        <v>6224</v>
      </c>
      <c r="M2" s="266">
        <v>6700000</v>
      </c>
      <c r="N2" s="266" t="s">
        <v>6224</v>
      </c>
      <c r="O2" s="266">
        <v>6700000</v>
      </c>
      <c r="P2" s="266" t="s">
        <v>6224</v>
      </c>
      <c r="Q2" s="266">
        <v>6700000</v>
      </c>
      <c r="R2" s="266" t="s">
        <v>6224</v>
      </c>
      <c r="S2" s="266">
        <v>6700000</v>
      </c>
      <c r="T2" s="266" t="s">
        <v>6224</v>
      </c>
      <c r="U2" s="266">
        <v>6700000</v>
      </c>
      <c r="V2" s="266" t="s">
        <v>6224</v>
      </c>
      <c r="W2" s="267">
        <v>1786667</v>
      </c>
      <c r="X2" s="266" t="s">
        <v>6226</v>
      </c>
      <c r="Y2" s="267"/>
      <c r="Z2" s="266" t="s">
        <v>6226</v>
      </c>
      <c r="AA2" s="267"/>
      <c r="AB2" s="266" t="s">
        <v>6226</v>
      </c>
      <c r="AC2" s="267"/>
      <c r="AD2" s="266" t="s">
        <v>6226</v>
      </c>
      <c r="AE2" s="267"/>
      <c r="AF2" s="266" t="s">
        <v>6226</v>
      </c>
      <c r="AG2" s="268" t="e">
        <f>SUM(SUMIF(L2,"Sí",K2),SUMIF(N2,"Sí",M2),SUMIF(P2,"Sí",O2),SUMIF(R2,"Sí",Q2),SUMIF(T2,"Sí",S2),SUMIF(V2,"Sí",#REF!),SUMIF(X2,"Sí",U2),SUMIF(Z2,"Sí",Y2),SUMIF(AB2,"Sí",AA2),SUMIF(AD2,"Sí",AC2),SUMIF(AF2,"Sí",AE2))</f>
        <v>#REF!</v>
      </c>
      <c r="AH2" s="268">
        <f t="shared" ref="AH2:AH33" si="0">SUM(K2:AE2)</f>
        <v>40200000</v>
      </c>
      <c r="AI2" s="264">
        <v>45512</v>
      </c>
      <c r="AJ2" s="269">
        <f ca="1">AI2-$AM$2</f>
        <v>-30</v>
      </c>
      <c r="AK2" s="270" t="e">
        <f>AG2/AH2</f>
        <v>#REF!</v>
      </c>
      <c r="AL2" s="271" t="s">
        <v>6307</v>
      </c>
      <c r="AM2" s="264">
        <f ca="1">TODAY()</f>
        <v>45542</v>
      </c>
      <c r="AP2" s="291" t="s">
        <v>6308</v>
      </c>
      <c r="AQ2" s="282">
        <v>1777283467</v>
      </c>
      <c r="AR2" s="282" t="e">
        <f>SUM(Tabla1[Valor Ejecutado])</f>
        <v>#REF!</v>
      </c>
      <c r="AS2" s="282" t="e">
        <f>AQ2-AR2</f>
        <v>#REF!</v>
      </c>
    </row>
    <row r="3" spans="1:45" ht="66.75">
      <c r="A3" s="235">
        <v>2</v>
      </c>
      <c r="B3" s="236" t="s">
        <v>6309</v>
      </c>
      <c r="C3" s="234" t="s">
        <v>6310</v>
      </c>
      <c r="D3" s="251">
        <v>10700000</v>
      </c>
      <c r="E3" s="234">
        <v>6</v>
      </c>
      <c r="F3" s="261">
        <v>64200000</v>
      </c>
      <c r="G3" s="272">
        <v>7604</v>
      </c>
      <c r="H3" s="266"/>
      <c r="I3" s="287" t="s">
        <v>6311</v>
      </c>
      <c r="J3" s="264">
        <v>45331</v>
      </c>
      <c r="K3" s="273">
        <v>7846666.6670000004</v>
      </c>
      <c r="L3" s="266" t="s">
        <v>6224</v>
      </c>
      <c r="M3" s="266">
        <v>10700000</v>
      </c>
      <c r="N3" s="266" t="s">
        <v>6224</v>
      </c>
      <c r="O3" s="266">
        <v>10700000</v>
      </c>
      <c r="P3" s="266" t="s">
        <v>6224</v>
      </c>
      <c r="Q3" s="266">
        <v>10700000</v>
      </c>
      <c r="R3" s="266" t="s">
        <v>6224</v>
      </c>
      <c r="S3" s="266">
        <v>10700000</v>
      </c>
      <c r="T3" s="266" t="s">
        <v>6224</v>
      </c>
      <c r="U3" s="266">
        <v>10700000</v>
      </c>
      <c r="V3" s="266" t="s">
        <v>6224</v>
      </c>
      <c r="W3" s="267">
        <v>2853333.3330000001</v>
      </c>
      <c r="X3" s="266" t="s">
        <v>6226</v>
      </c>
      <c r="Y3" s="267"/>
      <c r="Z3" s="266" t="s">
        <v>6226</v>
      </c>
      <c r="AA3" s="267"/>
      <c r="AB3" s="266" t="s">
        <v>6226</v>
      </c>
      <c r="AC3" s="267"/>
      <c r="AD3" s="266" t="s">
        <v>6226</v>
      </c>
      <c r="AE3" s="267"/>
      <c r="AF3" s="266" t="s">
        <v>6226</v>
      </c>
      <c r="AG3" s="268" t="e">
        <f>SUM(SUMIF(L3,"Sí",K3),SUMIF(N3,"Sí",M3),SUMIF(P3,"Sí",O3),SUMIF(R3,"Sí",Q3),SUMIF(T3,"Sí",S3),SUMIF(V3,"Sí",#REF!),SUMIF(X3,"Sí",U3),SUMIF(Z3,"Sí",Y3),SUMIF(AB3,"Sí",AA3),SUMIF(AD3,"Sí",AC3),SUMIF(AF3,"Sí",AE3))</f>
        <v>#REF!</v>
      </c>
      <c r="AH3" s="268">
        <f t="shared" si="0"/>
        <v>64199999.999999993</v>
      </c>
      <c r="AI3" s="264">
        <v>45512</v>
      </c>
      <c r="AJ3" s="269">
        <f ca="1">AI3-$AM$2</f>
        <v>-30</v>
      </c>
      <c r="AK3" s="270" t="e">
        <f t="shared" ref="AK3:AK36" si="1">AG3/AH3</f>
        <v>#REF!</v>
      </c>
      <c r="AL3" s="272" t="s">
        <v>6307</v>
      </c>
      <c r="AP3" s="291" t="s">
        <v>6312</v>
      </c>
      <c r="AQ3" s="282">
        <v>499800000</v>
      </c>
      <c r="AR3" s="282">
        <f>AH59</f>
        <v>307821703</v>
      </c>
      <c r="AS3" s="282">
        <f>AQ3-AR3</f>
        <v>191978297</v>
      </c>
    </row>
    <row r="4" spans="1:45" ht="55.5">
      <c r="A4" s="232">
        <v>3</v>
      </c>
      <c r="B4" s="233" t="s">
        <v>6313</v>
      </c>
      <c r="C4" s="234" t="s">
        <v>6314</v>
      </c>
      <c r="D4" s="251">
        <v>10700000</v>
      </c>
      <c r="E4" s="234">
        <v>6</v>
      </c>
      <c r="F4" s="261">
        <v>64200000</v>
      </c>
      <c r="G4" s="272">
        <v>7604</v>
      </c>
      <c r="H4" s="266"/>
      <c r="I4" s="287" t="s">
        <v>6315</v>
      </c>
      <c r="J4" s="264">
        <v>45329</v>
      </c>
      <c r="K4" s="273">
        <v>8560000</v>
      </c>
      <c r="L4" s="266" t="s">
        <v>6224</v>
      </c>
      <c r="M4" s="266">
        <v>10700000</v>
      </c>
      <c r="N4" s="266" t="s">
        <v>6224</v>
      </c>
      <c r="O4" s="266">
        <v>10700000</v>
      </c>
      <c r="P4" s="266" t="s">
        <v>6224</v>
      </c>
      <c r="Q4" s="266">
        <v>10700000</v>
      </c>
      <c r="R4" s="266" t="s">
        <v>6224</v>
      </c>
      <c r="S4" s="266">
        <v>10700000</v>
      </c>
      <c r="T4" s="266" t="s">
        <v>6224</v>
      </c>
      <c r="U4" s="266">
        <v>10700000</v>
      </c>
      <c r="V4" s="266" t="s">
        <v>6224</v>
      </c>
      <c r="W4" s="267">
        <v>2140000</v>
      </c>
      <c r="X4" s="266" t="s">
        <v>6226</v>
      </c>
      <c r="Y4" s="267"/>
      <c r="Z4" s="266" t="s">
        <v>6226</v>
      </c>
      <c r="AA4" s="267"/>
      <c r="AB4" s="266" t="s">
        <v>6226</v>
      </c>
      <c r="AC4" s="267"/>
      <c r="AD4" s="266" t="s">
        <v>6226</v>
      </c>
      <c r="AE4" s="267"/>
      <c r="AF4" s="266" t="s">
        <v>6226</v>
      </c>
      <c r="AG4" s="268" t="e">
        <f>SUM(SUMIF(L4,"Sí",K4),SUMIF(N4,"Sí",M4),SUMIF(P4,"Sí",O4),SUMIF(R4,"Sí",Q4),SUMIF(T4,"Sí",S4),SUMIF(V4,"Sí",#REF!),SUMIF(X4,"Sí",U4),SUMIF(Z4,"Sí",Y4),SUMIF(AB4,"Sí",AA4),SUMIF(AD4,"Sí",AC4),SUMIF(AF4,"Sí",AE4))</f>
        <v>#REF!</v>
      </c>
      <c r="AH4" s="268">
        <f t="shared" si="0"/>
        <v>64200000</v>
      </c>
      <c r="AI4" s="264">
        <v>45510</v>
      </c>
      <c r="AJ4" s="269">
        <f t="shared" ref="AJ4:AJ58" ca="1" si="2">AI4-$AM$2</f>
        <v>-32</v>
      </c>
      <c r="AK4" s="270" t="e">
        <f t="shared" si="1"/>
        <v>#REF!</v>
      </c>
      <c r="AL4" s="272" t="s">
        <v>6307</v>
      </c>
      <c r="AP4" s="291" t="s">
        <v>6316</v>
      </c>
      <c r="AQ4" s="282">
        <v>265000000</v>
      </c>
      <c r="AR4" s="282" t="e">
        <f>AG60</f>
        <v>#REF!</v>
      </c>
      <c r="AS4" s="282" t="e">
        <f>AQ4-AR4</f>
        <v>#REF!</v>
      </c>
    </row>
    <row r="5" spans="1:45" ht="66.75">
      <c r="A5" s="235">
        <v>4</v>
      </c>
      <c r="B5" s="236" t="s">
        <v>6317</v>
      </c>
      <c r="C5" s="234" t="s">
        <v>6318</v>
      </c>
      <c r="D5" s="251">
        <v>6700000</v>
      </c>
      <c r="E5" s="234">
        <v>6</v>
      </c>
      <c r="F5" s="261">
        <v>40200000</v>
      </c>
      <c r="G5" s="272">
        <v>7604</v>
      </c>
      <c r="H5" s="266"/>
      <c r="I5" s="287" t="s">
        <v>6319</v>
      </c>
      <c r="J5" s="264">
        <v>45331</v>
      </c>
      <c r="K5" s="273">
        <v>4913333.3329999996</v>
      </c>
      <c r="L5" s="266" t="s">
        <v>6224</v>
      </c>
      <c r="M5" s="266">
        <v>6700000</v>
      </c>
      <c r="N5" s="266" t="s">
        <v>6224</v>
      </c>
      <c r="O5" s="266">
        <v>6700000</v>
      </c>
      <c r="P5" s="266" t="s">
        <v>6224</v>
      </c>
      <c r="Q5" s="266">
        <v>6700000</v>
      </c>
      <c r="R5" s="266" t="s">
        <v>6224</v>
      </c>
      <c r="S5" s="266">
        <v>6700000</v>
      </c>
      <c r="T5" s="266" t="s">
        <v>6224</v>
      </c>
      <c r="U5" s="266">
        <v>6700000</v>
      </c>
      <c r="V5" s="266" t="s">
        <v>6224</v>
      </c>
      <c r="W5" s="267">
        <v>1786666.6669999999</v>
      </c>
      <c r="X5" s="266" t="s">
        <v>6226</v>
      </c>
      <c r="Y5" s="267"/>
      <c r="Z5" s="266" t="s">
        <v>6226</v>
      </c>
      <c r="AA5" s="267"/>
      <c r="AB5" s="266" t="s">
        <v>6226</v>
      </c>
      <c r="AC5" s="267"/>
      <c r="AD5" s="266" t="s">
        <v>6226</v>
      </c>
      <c r="AE5" s="267"/>
      <c r="AF5" s="266" t="s">
        <v>6226</v>
      </c>
      <c r="AG5" s="268" t="e">
        <f>SUM(SUMIF(L5,"Sí",K5),SUMIF(N5,"Sí",M5),SUMIF(P5,"Sí",O5),SUMIF(R5,"Sí",Q5),SUMIF(T5,"Sí",S5),SUMIF(V5,"Sí",#REF!),SUMIF(X5,"Sí",U5),SUMIF(Z5,"Sí",Y5),SUMIF(AB5,"Sí",AA5),SUMIF(AD5,"Sí",AC5),SUMIF(AF5,"Sí",AE5))</f>
        <v>#REF!</v>
      </c>
      <c r="AH5" s="268">
        <f t="shared" si="0"/>
        <v>40200000.000000007</v>
      </c>
      <c r="AI5" s="264">
        <v>45512</v>
      </c>
      <c r="AJ5" s="269">
        <f t="shared" ca="1" si="2"/>
        <v>-30</v>
      </c>
      <c r="AK5" s="270" t="e">
        <f t="shared" si="1"/>
        <v>#REF!</v>
      </c>
      <c r="AL5" s="272" t="s">
        <v>6307</v>
      </c>
    </row>
    <row r="6" spans="1:45" ht="66.75">
      <c r="A6" s="232">
        <v>5</v>
      </c>
      <c r="B6" s="233" t="s">
        <v>6320</v>
      </c>
      <c r="C6" s="234" t="s">
        <v>6318</v>
      </c>
      <c r="D6" s="251">
        <v>6700000</v>
      </c>
      <c r="E6" s="234">
        <v>6</v>
      </c>
      <c r="F6" s="261">
        <v>40200000</v>
      </c>
      <c r="G6" s="272">
        <v>7604</v>
      </c>
      <c r="H6" s="266"/>
      <c r="I6" s="287" t="s">
        <v>6321</v>
      </c>
      <c r="J6" s="264">
        <v>45331</v>
      </c>
      <c r="K6" s="273">
        <v>4913333.3329999996</v>
      </c>
      <c r="L6" s="266" t="s">
        <v>6224</v>
      </c>
      <c r="M6" s="266">
        <v>6700000</v>
      </c>
      <c r="N6" s="266" t="s">
        <v>6224</v>
      </c>
      <c r="O6" s="266">
        <v>6700000</v>
      </c>
      <c r="P6" s="266" t="s">
        <v>6224</v>
      </c>
      <c r="Q6" s="266">
        <v>6700000</v>
      </c>
      <c r="R6" s="266" t="s">
        <v>6224</v>
      </c>
      <c r="S6" s="266">
        <v>6700000</v>
      </c>
      <c r="T6" s="266" t="s">
        <v>6224</v>
      </c>
      <c r="U6" s="266">
        <v>6700000</v>
      </c>
      <c r="V6" s="266" t="s">
        <v>6226</v>
      </c>
      <c r="W6" s="267">
        <v>1786666.6669999999</v>
      </c>
      <c r="X6" s="266" t="s">
        <v>6226</v>
      </c>
      <c r="Y6" s="267"/>
      <c r="Z6" s="266" t="s">
        <v>6226</v>
      </c>
      <c r="AA6" s="267"/>
      <c r="AB6" s="266" t="s">
        <v>6226</v>
      </c>
      <c r="AC6" s="267"/>
      <c r="AD6" s="266" t="s">
        <v>6226</v>
      </c>
      <c r="AE6" s="267"/>
      <c r="AF6" s="266" t="s">
        <v>6226</v>
      </c>
      <c r="AG6" s="268" t="e">
        <f>SUM(SUMIF(L6,"Sí",K6),SUMIF(N6,"Sí",M6),SUMIF(P6,"Sí",O6),SUMIF(R6,"Sí",Q6),SUMIF(T6,"Sí",S6),SUMIF(V6,"Sí",#REF!),SUMIF(X6,"Sí",U6),SUMIF(Z6,"Sí",Y6),SUMIF(AB6,"Sí",AA6),SUMIF(AD6,"Sí",AC6),SUMIF(AF6,"Sí",AE6))</f>
        <v>#REF!</v>
      </c>
      <c r="AH6" s="268">
        <f t="shared" si="0"/>
        <v>40200000.000000007</v>
      </c>
      <c r="AI6" s="264">
        <v>45512</v>
      </c>
      <c r="AJ6" s="269">
        <f t="shared" ca="1" si="2"/>
        <v>-30</v>
      </c>
      <c r="AK6" s="270" t="e">
        <f t="shared" si="1"/>
        <v>#REF!</v>
      </c>
      <c r="AL6" s="272" t="s">
        <v>6322</v>
      </c>
    </row>
    <row r="7" spans="1:45" ht="55.5">
      <c r="A7" s="235">
        <v>6</v>
      </c>
      <c r="B7" s="236" t="s">
        <v>6323</v>
      </c>
      <c r="C7" s="234" t="s">
        <v>6324</v>
      </c>
      <c r="D7" s="251">
        <v>5500000</v>
      </c>
      <c r="E7" s="234">
        <v>6</v>
      </c>
      <c r="F7" s="261">
        <v>33000000</v>
      </c>
      <c r="G7" s="272">
        <v>7604</v>
      </c>
      <c r="H7" s="266"/>
      <c r="I7" s="287" t="s">
        <v>6325</v>
      </c>
      <c r="J7" s="264">
        <v>45331</v>
      </c>
      <c r="K7" s="273">
        <v>4033333.3330000001</v>
      </c>
      <c r="L7" s="266" t="s">
        <v>6224</v>
      </c>
      <c r="M7" s="266">
        <v>5500000</v>
      </c>
      <c r="N7" s="266" t="s">
        <v>6224</v>
      </c>
      <c r="O7" s="266">
        <v>5500000</v>
      </c>
      <c r="P7" s="266" t="s">
        <v>6224</v>
      </c>
      <c r="Q7" s="266">
        <v>5500000</v>
      </c>
      <c r="R7" s="266" t="s">
        <v>6224</v>
      </c>
      <c r="S7" s="266">
        <v>5500000</v>
      </c>
      <c r="T7" s="266" t="s">
        <v>6224</v>
      </c>
      <c r="U7" s="266">
        <v>5500000</v>
      </c>
      <c r="V7" s="266" t="s">
        <v>6224</v>
      </c>
      <c r="W7" s="267">
        <v>1466666.6669999999</v>
      </c>
      <c r="X7" s="266" t="s">
        <v>6226</v>
      </c>
      <c r="Y7" s="267"/>
      <c r="Z7" s="266" t="s">
        <v>6226</v>
      </c>
      <c r="AA7" s="267"/>
      <c r="AB7" s="266" t="s">
        <v>6226</v>
      </c>
      <c r="AC7" s="267"/>
      <c r="AD7" s="266" t="s">
        <v>6226</v>
      </c>
      <c r="AE7" s="267"/>
      <c r="AF7" s="266" t="s">
        <v>6226</v>
      </c>
      <c r="AG7" s="268" t="e">
        <f>SUM(SUMIF(L7,"Sí",K7),SUMIF(N7,"Sí",M7),SUMIF(P7,"Sí",O7),SUMIF(R7,"Sí",Q7),SUMIF(T7,"Sí",S7),SUMIF(V7,"Sí",#REF!),SUMIF(X7,"Sí",U7),SUMIF(Z7,"Sí",Y7),SUMIF(AB7,"Sí",AA7),SUMIF(AD7,"Sí",AC7),SUMIF(AF7,"Sí",AE7))</f>
        <v>#REF!</v>
      </c>
      <c r="AH7" s="268">
        <f t="shared" si="0"/>
        <v>33000000</v>
      </c>
      <c r="AI7" s="264">
        <v>45512</v>
      </c>
      <c r="AJ7" s="269">
        <f t="shared" ca="1" si="2"/>
        <v>-30</v>
      </c>
      <c r="AK7" s="270" t="e">
        <f t="shared" si="1"/>
        <v>#REF!</v>
      </c>
      <c r="AL7" s="272" t="s">
        <v>6307</v>
      </c>
    </row>
    <row r="8" spans="1:45" ht="55.5">
      <c r="A8" s="232">
        <v>7</v>
      </c>
      <c r="B8" s="233" t="s">
        <v>6326</v>
      </c>
      <c r="C8" s="234" t="s">
        <v>6327</v>
      </c>
      <c r="D8" s="251">
        <v>7700000</v>
      </c>
      <c r="E8" s="234">
        <v>6</v>
      </c>
      <c r="F8" s="261">
        <v>46200000</v>
      </c>
      <c r="G8" s="272">
        <v>7604</v>
      </c>
      <c r="H8" s="266"/>
      <c r="I8" s="287" t="s">
        <v>6328</v>
      </c>
      <c r="J8" s="264">
        <v>45328</v>
      </c>
      <c r="K8" s="273">
        <v>6416666.6670000004</v>
      </c>
      <c r="L8" s="266" t="s">
        <v>6224</v>
      </c>
      <c r="M8" s="266">
        <v>7700000</v>
      </c>
      <c r="N8" s="266" t="s">
        <v>6224</v>
      </c>
      <c r="O8" s="266">
        <v>7700000</v>
      </c>
      <c r="P8" s="266" t="s">
        <v>6224</v>
      </c>
      <c r="Q8" s="266">
        <v>7700000</v>
      </c>
      <c r="R8" s="266" t="s">
        <v>6224</v>
      </c>
      <c r="S8" s="266">
        <v>7700000</v>
      </c>
      <c r="T8" s="266" t="s">
        <v>6224</v>
      </c>
      <c r="U8" s="266">
        <v>7700000</v>
      </c>
      <c r="V8" s="266" t="s">
        <v>6224</v>
      </c>
      <c r="W8" s="267">
        <v>1283333.3330000001</v>
      </c>
      <c r="X8" s="266" t="s">
        <v>6226</v>
      </c>
      <c r="Y8" s="267"/>
      <c r="Z8" s="266" t="s">
        <v>6226</v>
      </c>
      <c r="AA8" s="267"/>
      <c r="AB8" s="266" t="s">
        <v>6226</v>
      </c>
      <c r="AC8" s="267"/>
      <c r="AD8" s="266" t="s">
        <v>6226</v>
      </c>
      <c r="AE8" s="267"/>
      <c r="AF8" s="266" t="s">
        <v>6226</v>
      </c>
      <c r="AG8" s="268" t="e">
        <f>SUM(SUMIF(L8,"Sí",K8),SUMIF(N8,"Sí",M8),SUMIF(P8,"Sí",O8),SUMIF(R8,"Sí",Q8),SUMIF(T8,"Sí",S8),SUMIF(V8,"Sí",#REF!),SUMIF(X8,"Sí",U8),SUMIF(Z8,"Sí",Y8),SUMIF(AB8,"Sí",AA8),SUMIF(AD8,"Sí",AC8),SUMIF(AF8,"Sí",AE8))</f>
        <v>#REF!</v>
      </c>
      <c r="AH8" s="268">
        <f t="shared" si="0"/>
        <v>46199999.999999993</v>
      </c>
      <c r="AI8" s="264">
        <v>45509</v>
      </c>
      <c r="AJ8" s="269">
        <f t="shared" ca="1" si="2"/>
        <v>-33</v>
      </c>
      <c r="AK8" s="270" t="e">
        <f t="shared" si="1"/>
        <v>#REF!</v>
      </c>
      <c r="AL8" s="272" t="s">
        <v>6307</v>
      </c>
    </row>
    <row r="9" spans="1:45" ht="55.5">
      <c r="A9" s="235">
        <v>8</v>
      </c>
      <c r="B9" s="236" t="s">
        <v>6329</v>
      </c>
      <c r="C9" s="234" t="s">
        <v>6330</v>
      </c>
      <c r="D9" s="252">
        <v>4500000</v>
      </c>
      <c r="E9" s="234">
        <v>6</v>
      </c>
      <c r="F9" s="261">
        <v>27000000</v>
      </c>
      <c r="G9" s="272">
        <v>7604</v>
      </c>
      <c r="H9" s="266"/>
      <c r="I9" s="287" t="s">
        <v>6331</v>
      </c>
      <c r="J9" s="264">
        <v>45334</v>
      </c>
      <c r="K9" s="273">
        <v>2850000</v>
      </c>
      <c r="L9" s="266" t="s">
        <v>6224</v>
      </c>
      <c r="M9" s="273">
        <v>4500000</v>
      </c>
      <c r="N9" s="266" t="s">
        <v>6224</v>
      </c>
      <c r="O9" s="273">
        <v>4500000</v>
      </c>
      <c r="P9" s="266" t="s">
        <v>6224</v>
      </c>
      <c r="Q9" s="273">
        <v>4500000</v>
      </c>
      <c r="R9" s="266" t="s">
        <v>6224</v>
      </c>
      <c r="S9" s="273">
        <v>4500000</v>
      </c>
      <c r="T9" s="266" t="s">
        <v>6224</v>
      </c>
      <c r="U9" s="273">
        <v>4500000</v>
      </c>
      <c r="V9" s="266" t="s">
        <v>6224</v>
      </c>
      <c r="W9" s="267">
        <v>1650000</v>
      </c>
      <c r="X9" s="266" t="s">
        <v>6226</v>
      </c>
      <c r="Y9" s="267"/>
      <c r="Z9" s="266" t="s">
        <v>6226</v>
      </c>
      <c r="AA9" s="267"/>
      <c r="AB9" s="266" t="s">
        <v>6226</v>
      </c>
      <c r="AC9" s="267"/>
      <c r="AD9" s="266" t="s">
        <v>6226</v>
      </c>
      <c r="AE9" s="267"/>
      <c r="AF9" s="266" t="s">
        <v>6226</v>
      </c>
      <c r="AG9" s="268" t="e">
        <f>SUM(SUMIF(L9,"Sí",K9),SUMIF(N9,"Sí",M9),SUMIF(P9,"Sí",O9),SUMIF(R9,"Sí",Q9),SUMIF(T9,"Sí",S9),SUMIF(V9,"Sí",#REF!),SUMIF(X9,"Sí",U9),SUMIF(Z9,"Sí",Y9),SUMIF(AB9,"Sí",AA9),SUMIF(AD9,"Sí",AC9),SUMIF(AF9,"Sí",AE9))</f>
        <v>#REF!</v>
      </c>
      <c r="AH9" s="268">
        <f t="shared" si="0"/>
        <v>27000000</v>
      </c>
      <c r="AI9" s="264">
        <v>45515</v>
      </c>
      <c r="AJ9" s="269">
        <f t="shared" ca="1" si="2"/>
        <v>-27</v>
      </c>
      <c r="AK9" s="270" t="e">
        <f t="shared" si="1"/>
        <v>#REF!</v>
      </c>
      <c r="AL9" s="272" t="s">
        <v>6307</v>
      </c>
    </row>
    <row r="10" spans="1:45" ht="66.75">
      <c r="A10" s="232">
        <v>9</v>
      </c>
      <c r="B10" s="233" t="s">
        <v>6332</v>
      </c>
      <c r="C10" s="234" t="s">
        <v>6333</v>
      </c>
      <c r="D10" s="251">
        <v>7700000</v>
      </c>
      <c r="E10" s="234">
        <v>6</v>
      </c>
      <c r="F10" s="261">
        <v>46200000</v>
      </c>
      <c r="G10" s="272">
        <v>7604</v>
      </c>
      <c r="H10" s="266"/>
      <c r="I10" s="287" t="s">
        <v>6334</v>
      </c>
      <c r="J10" s="264">
        <v>45330</v>
      </c>
      <c r="K10" s="273">
        <v>5903333.3329999996</v>
      </c>
      <c r="L10" s="266" t="s">
        <v>6224</v>
      </c>
      <c r="M10" s="266">
        <v>7700000</v>
      </c>
      <c r="N10" s="266" t="s">
        <v>6224</v>
      </c>
      <c r="O10" s="266">
        <v>7700000</v>
      </c>
      <c r="P10" s="266" t="s">
        <v>6224</v>
      </c>
      <c r="Q10" s="266">
        <v>7700000</v>
      </c>
      <c r="R10" s="266" t="s">
        <v>6224</v>
      </c>
      <c r="S10" s="266">
        <v>7700000</v>
      </c>
      <c r="T10" s="266" t="s">
        <v>6224</v>
      </c>
      <c r="U10" s="266">
        <v>7700000</v>
      </c>
      <c r="V10" s="266" t="s">
        <v>6224</v>
      </c>
      <c r="W10" s="267">
        <v>1796666.6669999999</v>
      </c>
      <c r="X10" s="266" t="s">
        <v>6226</v>
      </c>
      <c r="Y10" s="267"/>
      <c r="Z10" s="266" t="s">
        <v>6226</v>
      </c>
      <c r="AA10" s="267"/>
      <c r="AB10" s="266" t="s">
        <v>6226</v>
      </c>
      <c r="AC10" s="267"/>
      <c r="AD10" s="266" t="s">
        <v>6226</v>
      </c>
      <c r="AE10" s="267"/>
      <c r="AF10" s="266" t="s">
        <v>6226</v>
      </c>
      <c r="AG10" s="268" t="e">
        <f>SUM(SUMIF(L10,"Sí",K10),SUMIF(N10,"Sí",M10),SUMIF(P10,"Sí",O10),SUMIF(R10,"Sí",Q10),SUMIF(T10,"Sí",S10),SUMIF(V10,"Sí",#REF!),SUMIF(X10,"Sí",U10),SUMIF(Z10,"Sí",Y10),SUMIF(AB10,"Sí",AA10),SUMIF(AD10,"Sí",AC10),SUMIF(AF10,"Sí",AE10))</f>
        <v>#REF!</v>
      </c>
      <c r="AH10" s="268">
        <f t="shared" si="0"/>
        <v>46200000.000000007</v>
      </c>
      <c r="AI10" s="264">
        <v>45511</v>
      </c>
      <c r="AJ10" s="269">
        <f t="shared" ca="1" si="2"/>
        <v>-31</v>
      </c>
      <c r="AK10" s="270" t="e">
        <f t="shared" si="1"/>
        <v>#REF!</v>
      </c>
      <c r="AL10" s="272" t="s">
        <v>6307</v>
      </c>
    </row>
    <row r="11" spans="1:45" ht="55.5">
      <c r="A11" s="235">
        <v>10</v>
      </c>
      <c r="B11" s="236" t="s">
        <v>523</v>
      </c>
      <c r="C11" s="238" t="s">
        <v>6330</v>
      </c>
      <c r="D11" s="251">
        <v>4500000</v>
      </c>
      <c r="E11" s="234">
        <v>6</v>
      </c>
      <c r="F11" s="261">
        <v>27000000</v>
      </c>
      <c r="G11" s="272">
        <v>7604</v>
      </c>
      <c r="H11" s="266"/>
      <c r="I11" s="287" t="s">
        <v>6335</v>
      </c>
      <c r="J11" s="274">
        <v>45328</v>
      </c>
      <c r="K11" s="273">
        <v>3750000</v>
      </c>
      <c r="L11" s="266" t="s">
        <v>6224</v>
      </c>
      <c r="M11" s="266">
        <v>4500000</v>
      </c>
      <c r="N11" s="266" t="s">
        <v>6224</v>
      </c>
      <c r="O11" s="266">
        <v>4500000</v>
      </c>
      <c r="P11" s="266" t="s">
        <v>6224</v>
      </c>
      <c r="Q11" s="266">
        <v>4500000</v>
      </c>
      <c r="R11" s="266" t="s">
        <v>6224</v>
      </c>
      <c r="S11" s="266">
        <v>4500000</v>
      </c>
      <c r="T11" s="266" t="s">
        <v>6224</v>
      </c>
      <c r="U11" s="266">
        <v>4500000</v>
      </c>
      <c r="V11" s="266" t="s">
        <v>6224</v>
      </c>
      <c r="W11" s="267">
        <v>750000</v>
      </c>
      <c r="X11" s="266" t="s">
        <v>6226</v>
      </c>
      <c r="Y11" s="267"/>
      <c r="Z11" s="266" t="s">
        <v>6226</v>
      </c>
      <c r="AA11" s="267"/>
      <c r="AB11" s="266" t="s">
        <v>6226</v>
      </c>
      <c r="AC11" s="267"/>
      <c r="AD11" s="266" t="s">
        <v>6226</v>
      </c>
      <c r="AE11" s="267"/>
      <c r="AF11" s="266" t="s">
        <v>6226</v>
      </c>
      <c r="AG11" s="268" t="e">
        <f>SUM(SUMIF(L11,"Sí",K11),SUMIF(N11,"Sí",M11),SUMIF(P11,"Sí",O11),SUMIF(R11,"Sí",Q11),SUMIF(T11,"Sí",S11),SUMIF(V11,"Sí",#REF!),SUMIF(X11,"Sí",U11),SUMIF(Z11,"Sí",Y11),SUMIF(AB11,"Sí",AA11),SUMIF(AD11,"Sí",AC11),SUMIF(AF11,"Sí",AE11))</f>
        <v>#REF!</v>
      </c>
      <c r="AH11" s="268">
        <f t="shared" si="0"/>
        <v>27000000</v>
      </c>
      <c r="AI11" s="264">
        <v>45509</v>
      </c>
      <c r="AJ11" s="269">
        <f t="shared" ca="1" si="2"/>
        <v>-33</v>
      </c>
      <c r="AK11" s="270" t="e">
        <f t="shared" si="1"/>
        <v>#REF!</v>
      </c>
      <c r="AL11" s="272" t="s">
        <v>6307</v>
      </c>
    </row>
    <row r="12" spans="1:45" ht="66.75">
      <c r="A12" s="232">
        <v>11</v>
      </c>
      <c r="B12" s="233" t="s">
        <v>6336</v>
      </c>
      <c r="C12" s="239" t="s">
        <v>6337</v>
      </c>
      <c r="D12" s="251">
        <v>10700000</v>
      </c>
      <c r="E12" s="234">
        <v>6</v>
      </c>
      <c r="F12" s="261">
        <v>64200000</v>
      </c>
      <c r="G12" s="272">
        <v>7604</v>
      </c>
      <c r="H12" s="266"/>
      <c r="I12" s="287" t="s">
        <v>6338</v>
      </c>
      <c r="J12" s="264">
        <v>45336</v>
      </c>
      <c r="K12" s="273">
        <v>6063333.3329999996</v>
      </c>
      <c r="L12" s="266" t="s">
        <v>6224</v>
      </c>
      <c r="M12" s="266">
        <v>10700000</v>
      </c>
      <c r="N12" s="266" t="s">
        <v>6224</v>
      </c>
      <c r="O12" s="266">
        <v>10700000</v>
      </c>
      <c r="P12" s="266" t="s">
        <v>6224</v>
      </c>
      <c r="Q12" s="266">
        <v>10700000</v>
      </c>
      <c r="R12" s="266" t="s">
        <v>6224</v>
      </c>
      <c r="S12" s="266">
        <v>10700000</v>
      </c>
      <c r="T12" s="266" t="s">
        <v>6224</v>
      </c>
      <c r="U12" s="266">
        <v>10700000</v>
      </c>
      <c r="V12" s="266" t="s">
        <v>6224</v>
      </c>
      <c r="W12" s="267">
        <v>4636666.6670000004</v>
      </c>
      <c r="X12" s="266" t="s">
        <v>6226</v>
      </c>
      <c r="Y12" s="267"/>
      <c r="Z12" s="266" t="s">
        <v>6226</v>
      </c>
      <c r="AA12" s="267"/>
      <c r="AB12" s="266" t="s">
        <v>6226</v>
      </c>
      <c r="AC12" s="267"/>
      <c r="AD12" s="266" t="s">
        <v>6226</v>
      </c>
      <c r="AE12" s="267"/>
      <c r="AF12" s="266" t="s">
        <v>6226</v>
      </c>
      <c r="AG12" s="268" t="e">
        <f>SUM(SUMIF(L12,"Sí",K12),SUMIF(N12,"Sí",M12),SUMIF(P12,"Sí",O12),SUMIF(R12,"Sí",Q12),SUMIF(T12,"Sí",S12),SUMIF(V12,"Sí",#REF!),SUMIF(X12,"Sí",U12),SUMIF(Z12,"Sí",Y12),SUMIF(AB12,"Sí",AA12),SUMIF(AD12,"Sí",AC12),SUMIF(AF12,"Sí",AE12))</f>
        <v>#REF!</v>
      </c>
      <c r="AH12" s="268">
        <f t="shared" si="0"/>
        <v>64200000.000000007</v>
      </c>
      <c r="AI12" s="264">
        <v>45517</v>
      </c>
      <c r="AJ12" s="269">
        <f t="shared" ca="1" si="2"/>
        <v>-25</v>
      </c>
      <c r="AK12" s="270" t="e">
        <f t="shared" si="1"/>
        <v>#REF!</v>
      </c>
      <c r="AL12" s="272" t="s">
        <v>6307</v>
      </c>
    </row>
    <row r="13" spans="1:45" ht="66.75">
      <c r="A13" s="235">
        <v>12</v>
      </c>
      <c r="B13" s="236" t="s">
        <v>6339</v>
      </c>
      <c r="C13" s="234" t="s">
        <v>6340</v>
      </c>
      <c r="D13" s="251">
        <v>5500000</v>
      </c>
      <c r="E13" s="234">
        <v>5.5</v>
      </c>
      <c r="F13" s="261">
        <v>30250000</v>
      </c>
      <c r="G13" s="272">
        <v>7604</v>
      </c>
      <c r="H13" s="266"/>
      <c r="I13" s="287" t="s">
        <v>6341</v>
      </c>
      <c r="J13" s="264">
        <v>45336</v>
      </c>
      <c r="K13" s="273">
        <v>3116666.6669999999</v>
      </c>
      <c r="L13" s="266" t="s">
        <v>6224</v>
      </c>
      <c r="M13" s="266">
        <v>5500000</v>
      </c>
      <c r="N13" s="266" t="s">
        <v>6224</v>
      </c>
      <c r="O13" s="266">
        <v>5500000</v>
      </c>
      <c r="P13" s="266" t="s">
        <v>6224</v>
      </c>
      <c r="Q13" s="266">
        <v>5500000</v>
      </c>
      <c r="R13" s="266" t="s">
        <v>6224</v>
      </c>
      <c r="S13" s="266">
        <v>5500000</v>
      </c>
      <c r="T13" s="266" t="s">
        <v>6224</v>
      </c>
      <c r="U13" s="266">
        <v>5133333.3329999996</v>
      </c>
      <c r="V13" s="266" t="s">
        <v>6224</v>
      </c>
      <c r="W13" s="267">
        <v>0</v>
      </c>
      <c r="X13" s="266" t="s">
        <v>6226</v>
      </c>
      <c r="Y13" s="267"/>
      <c r="Z13" s="266" t="s">
        <v>6226</v>
      </c>
      <c r="AA13" s="267"/>
      <c r="AB13" s="266" t="s">
        <v>6226</v>
      </c>
      <c r="AC13" s="267"/>
      <c r="AD13" s="266" t="s">
        <v>6226</v>
      </c>
      <c r="AE13" s="267"/>
      <c r="AF13" s="266" t="s">
        <v>6226</v>
      </c>
      <c r="AG13" s="268" t="e">
        <f>SUM(SUMIF(L13,"Sí",K13),SUMIF(N13,"Sí",M13),SUMIF(P13,"Sí",O13),SUMIF(R13,"Sí",Q13),SUMIF(T13,"Sí",S13),SUMIF(V13,"Sí",#REF!),SUMIF(X13,"Sí",U13),SUMIF(Z13,"Sí",Y13),SUMIF(AB13,"Sí",AA13),SUMIF(AD13,"Sí",AC13),SUMIF(AF13,"Sí",AE13))</f>
        <v>#REF!</v>
      </c>
      <c r="AH13" s="268">
        <f t="shared" si="0"/>
        <v>30250000</v>
      </c>
      <c r="AI13" s="264">
        <v>45501</v>
      </c>
      <c r="AJ13" s="269">
        <f t="shared" ca="1" si="2"/>
        <v>-41</v>
      </c>
      <c r="AK13" s="270" t="e">
        <f t="shared" si="1"/>
        <v>#REF!</v>
      </c>
      <c r="AL13" s="272" t="s">
        <v>6307</v>
      </c>
    </row>
    <row r="14" spans="1:45" ht="88.5">
      <c r="A14" s="232">
        <v>13</v>
      </c>
      <c r="B14" s="233" t="s">
        <v>6342</v>
      </c>
      <c r="C14" s="234" t="s">
        <v>6343</v>
      </c>
      <c r="D14" s="251">
        <v>10700000</v>
      </c>
      <c r="E14" s="234">
        <v>6</v>
      </c>
      <c r="F14" s="261">
        <v>64200000</v>
      </c>
      <c r="G14" s="272">
        <v>7604</v>
      </c>
      <c r="H14" s="266"/>
      <c r="I14" s="287" t="s">
        <v>6344</v>
      </c>
      <c r="J14" s="264">
        <v>45328</v>
      </c>
      <c r="K14" s="273">
        <v>8916666.6669999994</v>
      </c>
      <c r="L14" s="266" t="s">
        <v>6224</v>
      </c>
      <c r="M14" s="266">
        <v>10700000</v>
      </c>
      <c r="N14" s="266" t="s">
        <v>6224</v>
      </c>
      <c r="O14" s="266">
        <v>10700000</v>
      </c>
      <c r="P14" s="266" t="s">
        <v>6224</v>
      </c>
      <c r="Q14" s="266">
        <v>10700000</v>
      </c>
      <c r="R14" s="266" t="s">
        <v>6224</v>
      </c>
      <c r="S14" s="266">
        <v>10700000</v>
      </c>
      <c r="T14" s="266" t="s">
        <v>6224</v>
      </c>
      <c r="U14" s="266">
        <v>10700000</v>
      </c>
      <c r="V14" s="266" t="s">
        <v>6224</v>
      </c>
      <c r="W14" s="267">
        <v>1783333.3330000001</v>
      </c>
      <c r="X14" s="266" t="s">
        <v>6226</v>
      </c>
      <c r="Y14" s="267"/>
      <c r="Z14" s="266" t="s">
        <v>6226</v>
      </c>
      <c r="AA14" s="267"/>
      <c r="AB14" s="266" t="s">
        <v>6226</v>
      </c>
      <c r="AC14" s="267"/>
      <c r="AD14" s="266" t="s">
        <v>6226</v>
      </c>
      <c r="AE14" s="267"/>
      <c r="AF14" s="266" t="s">
        <v>6226</v>
      </c>
      <c r="AG14" s="268" t="e">
        <f>SUM(SUMIF(L14,"Sí",K14),SUMIF(N14,"Sí",M14),SUMIF(P14,"Sí",O14),SUMIF(R14,"Sí",Q14),SUMIF(T14,"Sí",S14),SUMIF(V14,"Sí",#REF!),SUMIF(X14,"Sí",U14),SUMIF(Z14,"Sí",Y14),SUMIF(AB14,"Sí",AA14),SUMIF(AD14,"Sí",AC14),SUMIF(AF14,"Sí",AE14))</f>
        <v>#REF!</v>
      </c>
      <c r="AH14" s="268">
        <f t="shared" si="0"/>
        <v>64199999.999999993</v>
      </c>
      <c r="AI14" s="264">
        <v>45509</v>
      </c>
      <c r="AJ14" s="269">
        <f t="shared" ca="1" si="2"/>
        <v>-33</v>
      </c>
      <c r="AK14" s="270" t="e">
        <f t="shared" si="1"/>
        <v>#REF!</v>
      </c>
      <c r="AL14" s="272" t="s">
        <v>6307</v>
      </c>
    </row>
    <row r="15" spans="1:45" ht="55.5">
      <c r="A15" s="235">
        <v>14</v>
      </c>
      <c r="B15" s="236" t="s">
        <v>6345</v>
      </c>
      <c r="C15" s="234" t="s">
        <v>6346</v>
      </c>
      <c r="D15" s="251">
        <v>7700000</v>
      </c>
      <c r="E15" s="238">
        <v>6</v>
      </c>
      <c r="F15" s="253">
        <v>46200000</v>
      </c>
      <c r="G15" s="272">
        <v>7604</v>
      </c>
      <c r="H15" s="266"/>
      <c r="I15" s="287" t="s">
        <v>6347</v>
      </c>
      <c r="J15" s="264">
        <v>45328</v>
      </c>
      <c r="K15" s="273">
        <v>6416666.6670000004</v>
      </c>
      <c r="L15" s="266" t="s">
        <v>6224</v>
      </c>
      <c r="M15" s="266">
        <v>7700000</v>
      </c>
      <c r="N15" s="266" t="s">
        <v>6224</v>
      </c>
      <c r="O15" s="266">
        <v>7700000</v>
      </c>
      <c r="P15" s="266" t="s">
        <v>6224</v>
      </c>
      <c r="Q15" s="266">
        <v>7700000</v>
      </c>
      <c r="R15" s="266" t="s">
        <v>6224</v>
      </c>
      <c r="S15" s="266">
        <v>7700000</v>
      </c>
      <c r="T15" s="266" t="s">
        <v>6224</v>
      </c>
      <c r="U15" s="266">
        <v>7700000</v>
      </c>
      <c r="V15" s="266" t="s">
        <v>6224</v>
      </c>
      <c r="W15" s="267">
        <v>1283333.3330000001</v>
      </c>
      <c r="X15" s="266" t="s">
        <v>6226</v>
      </c>
      <c r="Y15" s="267"/>
      <c r="Z15" s="266" t="s">
        <v>6226</v>
      </c>
      <c r="AA15" s="267"/>
      <c r="AB15" s="266" t="s">
        <v>6226</v>
      </c>
      <c r="AC15" s="267"/>
      <c r="AD15" s="266" t="s">
        <v>6226</v>
      </c>
      <c r="AE15" s="267"/>
      <c r="AF15" s="266" t="s">
        <v>6226</v>
      </c>
      <c r="AG15" s="268" t="e">
        <f>SUM(SUMIF(L15,"Sí",K15),SUMIF(N15,"Sí",M15),SUMIF(P15,"Sí",O15),SUMIF(R15,"Sí",Q15),SUMIF(T15,"Sí",S15),SUMIF(V15,"Sí",#REF!),SUMIF(X15,"Sí",U15),SUMIF(Z15,"Sí",Y15),SUMIF(AB15,"Sí",AA15),SUMIF(AD15,"Sí",AC15),SUMIF(AF15,"Sí",AE15))</f>
        <v>#REF!</v>
      </c>
      <c r="AH15" s="268">
        <f t="shared" si="0"/>
        <v>46199999.999999993</v>
      </c>
      <c r="AI15" s="264">
        <v>45509</v>
      </c>
      <c r="AJ15" s="269">
        <f t="shared" ca="1" si="2"/>
        <v>-33</v>
      </c>
      <c r="AK15" s="270" t="e">
        <f t="shared" si="1"/>
        <v>#REF!</v>
      </c>
      <c r="AL15" s="272" t="s">
        <v>6348</v>
      </c>
    </row>
    <row r="16" spans="1:45" ht="66.75">
      <c r="A16" s="232">
        <v>15</v>
      </c>
      <c r="B16" s="240" t="s">
        <v>6349</v>
      </c>
      <c r="C16" s="238" t="s">
        <v>6350</v>
      </c>
      <c r="D16" s="253">
        <v>5000000</v>
      </c>
      <c r="E16" s="241">
        <v>6</v>
      </c>
      <c r="F16" s="262">
        <v>30000000</v>
      </c>
      <c r="G16" s="272">
        <v>7604</v>
      </c>
      <c r="H16" s="266"/>
      <c r="I16" s="287" t="s">
        <v>6351</v>
      </c>
      <c r="J16" s="264">
        <v>45331</v>
      </c>
      <c r="K16" s="273">
        <v>3666666.6669999999</v>
      </c>
      <c r="L16" s="266" t="s">
        <v>6224</v>
      </c>
      <c r="M16" s="266">
        <v>5000000</v>
      </c>
      <c r="N16" s="266" t="s">
        <v>6224</v>
      </c>
      <c r="O16" s="266">
        <v>5000000</v>
      </c>
      <c r="P16" s="266" t="s">
        <v>6224</v>
      </c>
      <c r="Q16" s="266">
        <v>5000000</v>
      </c>
      <c r="R16" s="266" t="s">
        <v>6224</v>
      </c>
      <c r="S16" s="266">
        <v>5000000</v>
      </c>
      <c r="T16" s="266" t="s">
        <v>6224</v>
      </c>
      <c r="U16" s="266">
        <v>5000000</v>
      </c>
      <c r="V16" s="266" t="s">
        <v>6224</v>
      </c>
      <c r="W16" s="267">
        <v>1333333.3330000001</v>
      </c>
      <c r="X16" s="266" t="s">
        <v>6226</v>
      </c>
      <c r="Y16" s="267"/>
      <c r="Z16" s="266" t="s">
        <v>6226</v>
      </c>
      <c r="AA16" s="267"/>
      <c r="AB16" s="266" t="s">
        <v>6226</v>
      </c>
      <c r="AC16" s="267"/>
      <c r="AD16" s="266" t="s">
        <v>6226</v>
      </c>
      <c r="AE16" s="267"/>
      <c r="AF16" s="266" t="s">
        <v>6226</v>
      </c>
      <c r="AG16" s="268" t="e">
        <f>SUM(SUMIF(L16,"Sí",K16),SUMIF(N16,"Sí",M16),SUMIF(P16,"Sí",O16),SUMIF(R16,"Sí",Q16),SUMIF(T16,"Sí",S16),SUMIF(V16,"Sí",#REF!),SUMIF(X16,"Sí",U16),SUMIF(Z16,"Sí",Y16),SUMIF(AB16,"Sí",AA16),SUMIF(AD16,"Sí",AC16),SUMIF(AF16,"Sí",AE16))</f>
        <v>#REF!</v>
      </c>
      <c r="AH16" s="268">
        <f t="shared" si="0"/>
        <v>30000000</v>
      </c>
      <c r="AI16" s="264">
        <v>45512</v>
      </c>
      <c r="AJ16" s="269">
        <f t="shared" ca="1" si="2"/>
        <v>-30</v>
      </c>
      <c r="AK16" s="270" t="e">
        <f t="shared" si="1"/>
        <v>#REF!</v>
      </c>
      <c r="AL16" s="272" t="s">
        <v>6307</v>
      </c>
    </row>
    <row r="17" spans="1:38" ht="88.5">
      <c r="A17" s="235">
        <v>16</v>
      </c>
      <c r="B17" s="243" t="s">
        <v>6352</v>
      </c>
      <c r="C17" s="242" t="s">
        <v>6353</v>
      </c>
      <c r="D17" s="254">
        <v>12240000</v>
      </c>
      <c r="E17" s="244">
        <v>6</v>
      </c>
      <c r="F17" s="261">
        <v>73440000</v>
      </c>
      <c r="G17" s="272">
        <v>7604</v>
      </c>
      <c r="H17" s="266"/>
      <c r="I17" s="287" t="s">
        <v>6354</v>
      </c>
      <c r="J17" s="264">
        <v>45328</v>
      </c>
      <c r="K17" s="273">
        <v>10200000</v>
      </c>
      <c r="L17" s="266" t="s">
        <v>6224</v>
      </c>
      <c r="M17" s="273">
        <v>12240000</v>
      </c>
      <c r="N17" s="266" t="s">
        <v>6224</v>
      </c>
      <c r="O17" s="273">
        <v>12240000</v>
      </c>
      <c r="P17" s="266" t="s">
        <v>6224</v>
      </c>
      <c r="Q17" s="273">
        <v>12240000</v>
      </c>
      <c r="R17" s="266" t="s">
        <v>6224</v>
      </c>
      <c r="S17" s="273">
        <v>12240000</v>
      </c>
      <c r="T17" s="266" t="s">
        <v>6224</v>
      </c>
      <c r="U17" s="273">
        <v>12240000</v>
      </c>
      <c r="V17" s="266" t="s">
        <v>6224</v>
      </c>
      <c r="W17" s="267">
        <v>2040000</v>
      </c>
      <c r="X17" s="266" t="s">
        <v>6226</v>
      </c>
      <c r="Y17" s="267"/>
      <c r="Z17" s="266" t="s">
        <v>6226</v>
      </c>
      <c r="AA17" s="267"/>
      <c r="AB17" s="266" t="s">
        <v>6226</v>
      </c>
      <c r="AC17" s="267"/>
      <c r="AD17" s="266" t="s">
        <v>6226</v>
      </c>
      <c r="AE17" s="267"/>
      <c r="AF17" s="266" t="s">
        <v>6226</v>
      </c>
      <c r="AG17" s="268" t="e">
        <f>SUM(SUMIF(L17,"Sí",K17),SUMIF(N17,"Sí",M17),SUMIF(P17,"Sí",O17),SUMIF(R17,"Sí",Q17),SUMIF(T17,"Sí",S17),SUMIF(V17,"Sí",#REF!),SUMIF(X17,"Sí",U17),SUMIF(Z17,"Sí",Y17),SUMIF(AB17,"Sí",AA17),SUMIF(AD17,"Sí",AC17),SUMIF(AF17,"Sí",AE17))</f>
        <v>#REF!</v>
      </c>
      <c r="AH17" s="268">
        <f t="shared" si="0"/>
        <v>73440000</v>
      </c>
      <c r="AI17" s="264">
        <v>45509</v>
      </c>
      <c r="AJ17" s="269">
        <f t="shared" ca="1" si="2"/>
        <v>-33</v>
      </c>
      <c r="AK17" s="270" t="e">
        <f t="shared" si="1"/>
        <v>#REF!</v>
      </c>
      <c r="AL17" s="272" t="s">
        <v>6307</v>
      </c>
    </row>
    <row r="18" spans="1:38" ht="78">
      <c r="A18" s="232">
        <v>17</v>
      </c>
      <c r="B18" s="233" t="s">
        <v>644</v>
      </c>
      <c r="C18" s="234" t="s">
        <v>6355</v>
      </c>
      <c r="D18" s="255">
        <v>5500000</v>
      </c>
      <c r="E18" s="244">
        <v>5.5</v>
      </c>
      <c r="F18" s="261">
        <v>30250000</v>
      </c>
      <c r="G18" s="272">
        <v>7604</v>
      </c>
      <c r="H18" s="266"/>
      <c r="I18" s="288" t="s">
        <v>6356</v>
      </c>
      <c r="J18" s="264">
        <v>45344</v>
      </c>
      <c r="K18" s="273">
        <v>1650000</v>
      </c>
      <c r="L18" s="266" t="s">
        <v>6224</v>
      </c>
      <c r="M18" s="273">
        <v>5500000</v>
      </c>
      <c r="N18" s="266" t="s">
        <v>6224</v>
      </c>
      <c r="O18" s="273">
        <v>5500000</v>
      </c>
      <c r="P18" s="266" t="s">
        <v>6224</v>
      </c>
      <c r="Q18" s="273">
        <v>5500000</v>
      </c>
      <c r="R18" s="266" t="s">
        <v>6224</v>
      </c>
      <c r="S18" s="273">
        <v>5500000</v>
      </c>
      <c r="T18" s="266" t="s">
        <v>6224</v>
      </c>
      <c r="U18" s="273">
        <v>5500000</v>
      </c>
      <c r="V18" s="266" t="s">
        <v>6224</v>
      </c>
      <c r="W18" s="267">
        <v>0</v>
      </c>
      <c r="X18" s="266" t="s">
        <v>6226</v>
      </c>
      <c r="Y18" s="267"/>
      <c r="Z18" s="266" t="s">
        <v>6226</v>
      </c>
      <c r="AA18" s="267"/>
      <c r="AB18" s="266" t="s">
        <v>6226</v>
      </c>
      <c r="AC18" s="267"/>
      <c r="AD18" s="266" t="s">
        <v>6226</v>
      </c>
      <c r="AE18" s="267"/>
      <c r="AF18" s="266" t="s">
        <v>6226</v>
      </c>
      <c r="AG18" s="268" t="e">
        <f>SUM(SUMIF(L18,"Sí",K18),SUMIF(N18,"Sí",M18),SUMIF(P18,"Sí",O18),SUMIF(R18,"Sí",Q18),SUMIF(T18,"Sí",S18),SUMIF(V18,"Sí",#REF!),SUMIF(X18,"Sí",U18),SUMIF(Z18,"Sí",Y18),SUMIF(AB18,"Sí",AA18),SUMIF(AD18,"Sí",AC18),SUMIF(AF18,"Sí",AE18))</f>
        <v>#REF!</v>
      </c>
      <c r="AH18" s="268">
        <f t="shared" si="0"/>
        <v>29150000</v>
      </c>
      <c r="AI18" s="264">
        <v>45503</v>
      </c>
      <c r="AJ18" s="269">
        <f t="shared" ca="1" si="2"/>
        <v>-39</v>
      </c>
      <c r="AK18" s="270" t="e">
        <f t="shared" si="1"/>
        <v>#REF!</v>
      </c>
      <c r="AL18" s="272" t="s">
        <v>6307</v>
      </c>
    </row>
    <row r="19" spans="1:38" ht="66.75">
      <c r="A19" s="235">
        <v>18</v>
      </c>
      <c r="B19" s="236" t="s">
        <v>6357</v>
      </c>
      <c r="C19" s="234" t="s">
        <v>6358</v>
      </c>
      <c r="D19" s="255">
        <v>5500000</v>
      </c>
      <c r="E19" s="244">
        <v>5.5</v>
      </c>
      <c r="F19" s="261">
        <v>30250000</v>
      </c>
      <c r="G19" s="272">
        <v>7604</v>
      </c>
      <c r="H19" s="266"/>
      <c r="I19" s="288" t="s">
        <v>6359</v>
      </c>
      <c r="J19" s="264">
        <v>45344</v>
      </c>
      <c r="K19" s="273">
        <v>1650000</v>
      </c>
      <c r="L19" s="266" t="s">
        <v>6224</v>
      </c>
      <c r="M19" s="273">
        <v>5500000</v>
      </c>
      <c r="N19" s="266" t="s">
        <v>6224</v>
      </c>
      <c r="O19" s="273">
        <v>5500000</v>
      </c>
      <c r="P19" s="266" t="s">
        <v>6224</v>
      </c>
      <c r="Q19" s="273">
        <v>5500000</v>
      </c>
      <c r="R19" s="266" t="s">
        <v>6224</v>
      </c>
      <c r="S19" s="273">
        <v>5500000</v>
      </c>
      <c r="T19" s="266" t="s">
        <v>6224</v>
      </c>
      <c r="U19" s="273">
        <v>5500000</v>
      </c>
      <c r="V19" s="266" t="s">
        <v>6224</v>
      </c>
      <c r="W19" s="267">
        <v>0</v>
      </c>
      <c r="X19" s="266" t="s">
        <v>6226</v>
      </c>
      <c r="Y19" s="267"/>
      <c r="Z19" s="266" t="s">
        <v>6226</v>
      </c>
      <c r="AA19" s="267"/>
      <c r="AB19" s="266" t="s">
        <v>6226</v>
      </c>
      <c r="AC19" s="267"/>
      <c r="AD19" s="266" t="s">
        <v>6226</v>
      </c>
      <c r="AE19" s="267"/>
      <c r="AF19" s="266" t="s">
        <v>6226</v>
      </c>
      <c r="AG19" s="268" t="e">
        <f>SUM(SUMIF(L19,"Sí",K19),SUMIF(N19,"Sí",M19),SUMIF(P19,"Sí",O19),SUMIF(R19,"Sí",Q19),SUMIF(T19,"Sí",S19),SUMIF(V19,"Sí",#REF!),SUMIF(X19,"Sí",U19),SUMIF(Z19,"Sí",Y19),SUMIF(AB19,"Sí",AA19),SUMIF(AD19,"Sí",AC19),SUMIF(AF19,"Sí",AE19))</f>
        <v>#REF!</v>
      </c>
      <c r="AH19" s="268">
        <f t="shared" si="0"/>
        <v>29150000</v>
      </c>
      <c r="AI19" s="264">
        <v>45503</v>
      </c>
      <c r="AJ19" s="269">
        <f t="shared" ca="1" si="2"/>
        <v>-39</v>
      </c>
      <c r="AK19" s="270" t="e">
        <f t="shared" si="1"/>
        <v>#REF!</v>
      </c>
      <c r="AL19" s="272" t="s">
        <v>6307</v>
      </c>
    </row>
    <row r="20" spans="1:38" ht="78">
      <c r="A20" s="232">
        <v>19</v>
      </c>
      <c r="B20" s="233" t="s">
        <v>6360</v>
      </c>
      <c r="C20" s="234" t="s">
        <v>6355</v>
      </c>
      <c r="D20" s="255">
        <v>5500000</v>
      </c>
      <c r="E20" s="244">
        <v>5.5</v>
      </c>
      <c r="F20" s="261">
        <v>30250000</v>
      </c>
      <c r="G20" s="272">
        <v>7604</v>
      </c>
      <c r="H20" s="266"/>
      <c r="I20" s="288" t="s">
        <v>6361</v>
      </c>
      <c r="J20" s="264">
        <v>45348</v>
      </c>
      <c r="K20" s="273">
        <v>916666.66669999994</v>
      </c>
      <c r="L20" s="266" t="s">
        <v>6224</v>
      </c>
      <c r="M20" s="273">
        <v>5500000</v>
      </c>
      <c r="N20" s="266" t="s">
        <v>6224</v>
      </c>
      <c r="O20" s="273">
        <v>5500000</v>
      </c>
      <c r="P20" s="266" t="s">
        <v>6224</v>
      </c>
      <c r="Q20" s="273">
        <v>5500000</v>
      </c>
      <c r="R20" s="266" t="s">
        <v>6224</v>
      </c>
      <c r="S20" s="273">
        <v>5500000</v>
      </c>
      <c r="T20" s="266" t="s">
        <v>6224</v>
      </c>
      <c r="U20" s="273">
        <v>5500000</v>
      </c>
      <c r="V20" s="266" t="s">
        <v>6224</v>
      </c>
      <c r="W20" s="267">
        <v>0</v>
      </c>
      <c r="X20" s="266" t="s">
        <v>6226</v>
      </c>
      <c r="Y20" s="267"/>
      <c r="Z20" s="266" t="s">
        <v>6226</v>
      </c>
      <c r="AA20" s="267"/>
      <c r="AB20" s="266" t="s">
        <v>6226</v>
      </c>
      <c r="AC20" s="267"/>
      <c r="AD20" s="266" t="s">
        <v>6226</v>
      </c>
      <c r="AE20" s="267"/>
      <c r="AF20" s="266" t="s">
        <v>6226</v>
      </c>
      <c r="AG20" s="268" t="e">
        <f>SUM(SUMIF(L20,"Sí",K20),SUMIF(N20,"Sí",M20),SUMIF(P20,"Sí",O20),SUMIF(R20,"Sí",Q20),SUMIF(T20,"Sí",S20),SUMIF(V20,"Sí",#REF!),SUMIF(X20,"Sí",U20),SUMIF(Z20,"Sí",Y20),SUMIF(AB20,"Sí",AA20),SUMIF(AD20,"Sí",AC20),SUMIF(AF20,"Sí",AE20))</f>
        <v>#REF!</v>
      </c>
      <c r="AH20" s="268">
        <f t="shared" si="0"/>
        <v>28416666.666699998</v>
      </c>
      <c r="AI20" s="264">
        <v>45504</v>
      </c>
      <c r="AJ20" s="269">
        <f t="shared" ca="1" si="2"/>
        <v>-38</v>
      </c>
      <c r="AK20" s="270" t="e">
        <f t="shared" si="1"/>
        <v>#REF!</v>
      </c>
      <c r="AL20" s="272" t="s">
        <v>6307</v>
      </c>
    </row>
    <row r="21" spans="1:38" ht="78">
      <c r="A21" s="235">
        <v>20</v>
      </c>
      <c r="B21" s="236" t="s">
        <v>506</v>
      </c>
      <c r="C21" s="234" t="s">
        <v>6355</v>
      </c>
      <c r="D21" s="255">
        <v>5500000</v>
      </c>
      <c r="E21" s="244">
        <v>5.5</v>
      </c>
      <c r="F21" s="261">
        <v>30250000</v>
      </c>
      <c r="G21" s="272">
        <v>7604</v>
      </c>
      <c r="H21" s="266"/>
      <c r="I21" s="288" t="s">
        <v>6362</v>
      </c>
      <c r="J21" s="264">
        <v>45344</v>
      </c>
      <c r="K21" s="273">
        <v>1650000</v>
      </c>
      <c r="L21" s="266" t="s">
        <v>6224</v>
      </c>
      <c r="M21" s="273">
        <v>5500000</v>
      </c>
      <c r="N21" s="266" t="s">
        <v>6224</v>
      </c>
      <c r="O21" s="273">
        <v>5500000</v>
      </c>
      <c r="P21" s="266" t="s">
        <v>6224</v>
      </c>
      <c r="Q21" s="273">
        <v>5500000</v>
      </c>
      <c r="R21" s="266" t="s">
        <v>6224</v>
      </c>
      <c r="S21" s="273">
        <v>5500000</v>
      </c>
      <c r="T21" s="266" t="s">
        <v>6224</v>
      </c>
      <c r="U21" s="273">
        <v>5500000</v>
      </c>
      <c r="V21" s="266" t="s">
        <v>6224</v>
      </c>
      <c r="W21" s="267">
        <v>0</v>
      </c>
      <c r="X21" s="266" t="s">
        <v>6226</v>
      </c>
      <c r="Y21" s="267"/>
      <c r="Z21" s="266" t="s">
        <v>6226</v>
      </c>
      <c r="AA21" s="267"/>
      <c r="AB21" s="266" t="s">
        <v>6226</v>
      </c>
      <c r="AC21" s="267"/>
      <c r="AD21" s="266" t="s">
        <v>6226</v>
      </c>
      <c r="AE21" s="267"/>
      <c r="AF21" s="266" t="s">
        <v>6226</v>
      </c>
      <c r="AG21" s="268" t="e">
        <f>SUM(SUMIF(L21,"Sí",K21),SUMIF(N21,"Sí",M21),SUMIF(P21,"Sí",O21),SUMIF(R21,"Sí",Q21),SUMIF(T21,"Sí",S21),SUMIF(V21,"Sí",#REF!),SUMIF(X21,"Sí",U21),SUMIF(Z21,"Sí",Y21),SUMIF(AB21,"Sí",AA21),SUMIF(AD21,"Sí",AC21),SUMIF(AF21,"Sí",AE21))</f>
        <v>#REF!</v>
      </c>
      <c r="AH21" s="268">
        <f t="shared" si="0"/>
        <v>29150000</v>
      </c>
      <c r="AI21" s="264">
        <v>45503</v>
      </c>
      <c r="AJ21" s="269">
        <f t="shared" ca="1" si="2"/>
        <v>-39</v>
      </c>
      <c r="AK21" s="270" t="e">
        <f t="shared" si="1"/>
        <v>#REF!</v>
      </c>
      <c r="AL21" s="272" t="s">
        <v>6307</v>
      </c>
    </row>
    <row r="22" spans="1:38" ht="78">
      <c r="A22" s="232">
        <v>21</v>
      </c>
      <c r="B22" s="233" t="s">
        <v>6363</v>
      </c>
      <c r="C22" s="234" t="s">
        <v>6355</v>
      </c>
      <c r="D22" s="255">
        <v>5500000</v>
      </c>
      <c r="E22" s="244">
        <v>5.5</v>
      </c>
      <c r="F22" s="261">
        <v>30250000</v>
      </c>
      <c r="G22" s="272">
        <v>7604</v>
      </c>
      <c r="H22" s="266"/>
      <c r="I22" s="288" t="s">
        <v>6364</v>
      </c>
      <c r="J22" s="264">
        <v>45344</v>
      </c>
      <c r="K22" s="273">
        <v>1650000</v>
      </c>
      <c r="L22" s="266" t="s">
        <v>6224</v>
      </c>
      <c r="M22" s="273">
        <v>5500000</v>
      </c>
      <c r="N22" s="266" t="s">
        <v>6224</v>
      </c>
      <c r="O22" s="273">
        <v>5500000</v>
      </c>
      <c r="P22" s="266" t="s">
        <v>6224</v>
      </c>
      <c r="Q22" s="273">
        <v>5500000</v>
      </c>
      <c r="R22" s="266" t="s">
        <v>6224</v>
      </c>
      <c r="S22" s="273">
        <v>5500000</v>
      </c>
      <c r="T22" s="266" t="s">
        <v>6224</v>
      </c>
      <c r="U22" s="273">
        <v>5500000</v>
      </c>
      <c r="V22" s="266" t="s">
        <v>6224</v>
      </c>
      <c r="W22" s="267">
        <v>0</v>
      </c>
      <c r="X22" s="266" t="s">
        <v>6226</v>
      </c>
      <c r="Y22" s="267"/>
      <c r="Z22" s="266" t="s">
        <v>6226</v>
      </c>
      <c r="AA22" s="267"/>
      <c r="AB22" s="266" t="s">
        <v>6226</v>
      </c>
      <c r="AC22" s="267"/>
      <c r="AD22" s="266" t="s">
        <v>6226</v>
      </c>
      <c r="AE22" s="267"/>
      <c r="AF22" s="266" t="s">
        <v>6226</v>
      </c>
      <c r="AG22" s="268" t="e">
        <f>SUM(SUMIF(L22,"Sí",K22),SUMIF(N22,"Sí",M22),SUMIF(P22,"Sí",O22),SUMIF(R22,"Sí",Q22),SUMIF(T22,"Sí",S22),SUMIF(V22,"Sí",#REF!),SUMIF(X22,"Sí",U22),SUMIF(Z22,"Sí",Y22),SUMIF(AB22,"Sí",AA22),SUMIF(AD22,"Sí",AC22),SUMIF(AF22,"Sí",AE22))</f>
        <v>#REF!</v>
      </c>
      <c r="AH22" s="268">
        <f t="shared" si="0"/>
        <v>29150000</v>
      </c>
      <c r="AI22" s="264">
        <v>45503</v>
      </c>
      <c r="AJ22" s="269">
        <f t="shared" ca="1" si="2"/>
        <v>-39</v>
      </c>
      <c r="AK22" s="270" t="e">
        <f t="shared" si="1"/>
        <v>#REF!</v>
      </c>
      <c r="AL22" s="272" t="s">
        <v>6307</v>
      </c>
    </row>
    <row r="23" spans="1:38" ht="55.5">
      <c r="A23" s="235">
        <v>22</v>
      </c>
      <c r="B23" s="236" t="s">
        <v>6365</v>
      </c>
      <c r="C23" s="234" t="s">
        <v>6366</v>
      </c>
      <c r="D23" s="255">
        <v>4500000</v>
      </c>
      <c r="E23" s="244">
        <v>5.5</v>
      </c>
      <c r="F23" s="261">
        <v>24750000</v>
      </c>
      <c r="G23" s="272">
        <v>7604</v>
      </c>
      <c r="H23" s="266"/>
      <c r="I23" s="288" t="s">
        <v>6367</v>
      </c>
      <c r="J23" s="264">
        <v>45344</v>
      </c>
      <c r="K23" s="273">
        <v>1350000</v>
      </c>
      <c r="L23" s="266" t="s">
        <v>6224</v>
      </c>
      <c r="M23" s="273">
        <v>4500000</v>
      </c>
      <c r="N23" s="266" t="s">
        <v>6224</v>
      </c>
      <c r="O23" s="273">
        <v>4500000</v>
      </c>
      <c r="P23" s="266" t="s">
        <v>6224</v>
      </c>
      <c r="Q23" s="273">
        <v>4500000</v>
      </c>
      <c r="R23" s="266" t="s">
        <v>6224</v>
      </c>
      <c r="S23" s="273">
        <v>4500000</v>
      </c>
      <c r="T23" s="266" t="s">
        <v>6224</v>
      </c>
      <c r="U23" s="273">
        <v>4500000</v>
      </c>
      <c r="V23" s="266" t="s">
        <v>6224</v>
      </c>
      <c r="W23" s="267">
        <v>0</v>
      </c>
      <c r="X23" s="266" t="s">
        <v>6226</v>
      </c>
      <c r="Y23" s="267"/>
      <c r="Z23" s="266" t="s">
        <v>6226</v>
      </c>
      <c r="AA23" s="267"/>
      <c r="AB23" s="266" t="s">
        <v>6226</v>
      </c>
      <c r="AC23" s="267"/>
      <c r="AD23" s="266" t="s">
        <v>6226</v>
      </c>
      <c r="AE23" s="267"/>
      <c r="AF23" s="266" t="s">
        <v>6226</v>
      </c>
      <c r="AG23" s="268" t="e">
        <f>SUM(SUMIF(L23,"Sí",K23),SUMIF(N23,"Sí",M23),SUMIF(P23,"Sí",O23),SUMIF(R23,"Sí",Q23),SUMIF(T23,"Sí",S23),SUMIF(V23,"Sí",#REF!),SUMIF(X23,"Sí",U23),SUMIF(Z23,"Sí",Y23),SUMIF(AB23,"Sí",AA23),SUMIF(AD23,"Sí",AC23),SUMIF(AF23,"Sí",AE23))</f>
        <v>#REF!</v>
      </c>
      <c r="AH23" s="268">
        <f t="shared" si="0"/>
        <v>23850000</v>
      </c>
      <c r="AI23" s="264">
        <v>45503</v>
      </c>
      <c r="AJ23" s="269">
        <f t="shared" ca="1" si="2"/>
        <v>-39</v>
      </c>
      <c r="AK23" s="270" t="e">
        <f t="shared" si="1"/>
        <v>#REF!</v>
      </c>
      <c r="AL23" s="272" t="s">
        <v>6307</v>
      </c>
    </row>
    <row r="24" spans="1:38" ht="55.5">
      <c r="A24" s="232">
        <v>23</v>
      </c>
      <c r="B24" s="233" t="s">
        <v>6368</v>
      </c>
      <c r="C24" s="245" t="s">
        <v>6369</v>
      </c>
      <c r="D24" s="255">
        <v>7700000</v>
      </c>
      <c r="E24" s="244">
        <v>5.5</v>
      </c>
      <c r="F24" s="261">
        <v>42350000</v>
      </c>
      <c r="G24" s="272">
        <v>7604</v>
      </c>
      <c r="H24" s="266"/>
      <c r="I24" s="288" t="s">
        <v>6370</v>
      </c>
      <c r="J24" s="264">
        <v>45349</v>
      </c>
      <c r="K24" s="273">
        <v>1026666.667</v>
      </c>
      <c r="L24" s="266" t="s">
        <v>6224</v>
      </c>
      <c r="M24" s="273">
        <v>7700000</v>
      </c>
      <c r="N24" s="266" t="s">
        <v>6224</v>
      </c>
      <c r="O24" s="273">
        <v>7700000</v>
      </c>
      <c r="P24" s="266" t="s">
        <v>6224</v>
      </c>
      <c r="Q24" s="273">
        <v>7700000</v>
      </c>
      <c r="R24" s="266" t="s">
        <v>6224</v>
      </c>
      <c r="S24" s="273">
        <v>7700000</v>
      </c>
      <c r="T24" s="266" t="s">
        <v>6224</v>
      </c>
      <c r="U24" s="273">
        <v>7700000</v>
      </c>
      <c r="V24" s="266" t="s">
        <v>6224</v>
      </c>
      <c r="W24" s="267">
        <v>0</v>
      </c>
      <c r="X24" s="266" t="s">
        <v>6226</v>
      </c>
      <c r="Y24" s="267"/>
      <c r="Z24" s="266" t="s">
        <v>6226</v>
      </c>
      <c r="AA24" s="267"/>
      <c r="AB24" s="266" t="s">
        <v>6226</v>
      </c>
      <c r="AC24" s="267"/>
      <c r="AD24" s="266" t="s">
        <v>6226</v>
      </c>
      <c r="AE24" s="267"/>
      <c r="AF24" s="266" t="s">
        <v>6226</v>
      </c>
      <c r="AG24" s="268" t="e">
        <f>SUM(SUMIF(L24,"Sí",K24),SUMIF(N24,"Sí",M24),SUMIF(P24,"Sí",O24),SUMIF(R24,"Sí",Q24),SUMIF(T24,"Sí",S24),SUMIF(V24,"Sí",#REF!),SUMIF(X24,"Sí",U24),SUMIF(Z24,"Sí",Y24),SUMIF(AB24,"Sí",AA24),SUMIF(AD24,"Sí",AC24),SUMIF(AF24,"Sí",AE24))</f>
        <v>#REF!</v>
      </c>
      <c r="AH24" s="268">
        <f t="shared" si="0"/>
        <v>39526666.666999996</v>
      </c>
      <c r="AI24" s="264">
        <v>45503</v>
      </c>
      <c r="AJ24" s="269">
        <f t="shared" ca="1" si="2"/>
        <v>-39</v>
      </c>
      <c r="AK24" s="270" t="e">
        <f t="shared" si="1"/>
        <v>#REF!</v>
      </c>
      <c r="AL24" s="272" t="s">
        <v>6307</v>
      </c>
    </row>
    <row r="25" spans="1:38" ht="78">
      <c r="A25" s="235">
        <v>24</v>
      </c>
      <c r="B25" s="236" t="s">
        <v>6371</v>
      </c>
      <c r="C25" s="238" t="s">
        <v>6372</v>
      </c>
      <c r="D25" s="255">
        <v>4500000</v>
      </c>
      <c r="E25" s="244">
        <v>5.5</v>
      </c>
      <c r="F25" s="261">
        <v>24750000</v>
      </c>
      <c r="G25" s="272">
        <v>7604</v>
      </c>
      <c r="H25" s="266"/>
      <c r="I25" s="288" t="s">
        <v>6373</v>
      </c>
      <c r="J25" s="264">
        <v>45344</v>
      </c>
      <c r="K25" s="273">
        <v>1350000</v>
      </c>
      <c r="L25" s="266" t="s">
        <v>6224</v>
      </c>
      <c r="M25" s="273">
        <v>4500000</v>
      </c>
      <c r="N25" s="266" t="s">
        <v>6224</v>
      </c>
      <c r="O25" s="273">
        <v>4500000</v>
      </c>
      <c r="P25" s="266" t="s">
        <v>6224</v>
      </c>
      <c r="Q25" s="273">
        <v>4500000</v>
      </c>
      <c r="R25" s="266" t="s">
        <v>6224</v>
      </c>
      <c r="S25" s="273">
        <v>4500000</v>
      </c>
      <c r="T25" s="266" t="s">
        <v>6224</v>
      </c>
      <c r="U25" s="273">
        <v>4500000</v>
      </c>
      <c r="V25" s="266" t="s">
        <v>6224</v>
      </c>
      <c r="W25" s="267">
        <v>0</v>
      </c>
      <c r="X25" s="266" t="s">
        <v>6226</v>
      </c>
      <c r="Y25" s="267"/>
      <c r="Z25" s="266" t="s">
        <v>6226</v>
      </c>
      <c r="AA25" s="267"/>
      <c r="AB25" s="266" t="s">
        <v>6226</v>
      </c>
      <c r="AC25" s="267"/>
      <c r="AD25" s="266" t="s">
        <v>6226</v>
      </c>
      <c r="AE25" s="267"/>
      <c r="AF25" s="266" t="s">
        <v>6226</v>
      </c>
      <c r="AG25" s="268" t="e">
        <f>SUM(SUMIF(L25,"Sí",K25),SUMIF(N25,"Sí",M25),SUMIF(P25,"Sí",O25),SUMIF(R25,"Sí",Q25),SUMIF(T25,"Sí",S25),SUMIF(V25,"Sí",#REF!),SUMIF(X25,"Sí",U25),SUMIF(Z25,"Sí",Y25),SUMIF(AB25,"Sí",AA25),SUMIF(AD25,"Sí",AC25),SUMIF(AF25,"Sí",AE25))</f>
        <v>#REF!</v>
      </c>
      <c r="AH25" s="268">
        <f t="shared" si="0"/>
        <v>23850000</v>
      </c>
      <c r="AI25" s="264">
        <v>45503</v>
      </c>
      <c r="AJ25" s="269">
        <f t="shared" ca="1" si="2"/>
        <v>-39</v>
      </c>
      <c r="AK25" s="270" t="e">
        <f t="shared" si="1"/>
        <v>#REF!</v>
      </c>
      <c r="AL25" s="272" t="s">
        <v>6307</v>
      </c>
    </row>
    <row r="26" spans="1:38" ht="66.75">
      <c r="A26" s="232">
        <v>25</v>
      </c>
      <c r="B26" s="233" t="s">
        <v>6374</v>
      </c>
      <c r="C26" s="242" t="s">
        <v>6375</v>
      </c>
      <c r="D26" s="255">
        <v>6500000</v>
      </c>
      <c r="E26" s="244">
        <v>5.5</v>
      </c>
      <c r="F26" s="261">
        <v>35750000</v>
      </c>
      <c r="G26" s="272">
        <v>7604</v>
      </c>
      <c r="H26" s="266"/>
      <c r="I26" s="288" t="s">
        <v>6376</v>
      </c>
      <c r="J26" s="264">
        <v>45344</v>
      </c>
      <c r="K26" s="273">
        <v>1950000</v>
      </c>
      <c r="L26" s="266" t="s">
        <v>6224</v>
      </c>
      <c r="M26" s="273">
        <v>6500000</v>
      </c>
      <c r="N26" s="266" t="s">
        <v>6224</v>
      </c>
      <c r="O26" s="273">
        <v>6500000</v>
      </c>
      <c r="P26" s="266" t="s">
        <v>6224</v>
      </c>
      <c r="Q26" s="273">
        <v>6500000</v>
      </c>
      <c r="R26" s="266" t="s">
        <v>6224</v>
      </c>
      <c r="S26" s="273">
        <v>6500000</v>
      </c>
      <c r="T26" s="266" t="s">
        <v>6224</v>
      </c>
      <c r="U26" s="273">
        <v>6500000</v>
      </c>
      <c r="V26" s="266" t="s">
        <v>6224</v>
      </c>
      <c r="W26" s="267">
        <v>0</v>
      </c>
      <c r="X26" s="266" t="s">
        <v>6226</v>
      </c>
      <c r="Y26" s="267"/>
      <c r="Z26" s="266" t="s">
        <v>6226</v>
      </c>
      <c r="AA26" s="267"/>
      <c r="AB26" s="266" t="s">
        <v>6226</v>
      </c>
      <c r="AC26" s="267"/>
      <c r="AD26" s="266" t="s">
        <v>6226</v>
      </c>
      <c r="AE26" s="267"/>
      <c r="AF26" s="266" t="s">
        <v>6226</v>
      </c>
      <c r="AG26" s="268" t="e">
        <f>SUM(SUMIF(L26,"Sí",K26),SUMIF(N26,"Sí",M26),SUMIF(P26,"Sí",O26),SUMIF(R26,"Sí",Q26),SUMIF(T26,"Sí",S26),SUMIF(V26,"Sí",#REF!),SUMIF(X26,"Sí",U26),SUMIF(Z26,"Sí",Y26),SUMIF(AB26,"Sí",AA26),SUMIF(AD26,"Sí",AC26),SUMIF(AF26,"Sí",AE26))</f>
        <v>#REF!</v>
      </c>
      <c r="AH26" s="268">
        <f t="shared" si="0"/>
        <v>34450000</v>
      </c>
      <c r="AI26" s="264">
        <v>45503</v>
      </c>
      <c r="AJ26" s="269">
        <f t="shared" ca="1" si="2"/>
        <v>-39</v>
      </c>
      <c r="AK26" s="270" t="e">
        <f t="shared" si="1"/>
        <v>#REF!</v>
      </c>
      <c r="AL26" s="272" t="s">
        <v>6307</v>
      </c>
    </row>
    <row r="27" spans="1:38" ht="66.75">
      <c r="A27" s="235">
        <v>26</v>
      </c>
      <c r="B27" s="236" t="s">
        <v>494</v>
      </c>
      <c r="C27" s="246" t="s">
        <v>6377</v>
      </c>
      <c r="D27" s="255">
        <v>2426000</v>
      </c>
      <c r="E27" s="244">
        <v>5.5</v>
      </c>
      <c r="F27" s="261">
        <v>13343000</v>
      </c>
      <c r="G27" s="272">
        <v>7604</v>
      </c>
      <c r="H27" s="266"/>
      <c r="I27" s="288" t="s">
        <v>6378</v>
      </c>
      <c r="J27" s="264">
        <v>45344</v>
      </c>
      <c r="K27" s="273">
        <v>727800</v>
      </c>
      <c r="L27" s="266" t="s">
        <v>6224</v>
      </c>
      <c r="M27" s="273">
        <v>2426000</v>
      </c>
      <c r="N27" s="266" t="s">
        <v>6224</v>
      </c>
      <c r="O27" s="273">
        <v>2426000</v>
      </c>
      <c r="P27" s="266" t="s">
        <v>6224</v>
      </c>
      <c r="Q27" s="273">
        <v>2426000</v>
      </c>
      <c r="R27" s="266" t="s">
        <v>6224</v>
      </c>
      <c r="S27" s="273">
        <v>2426000</v>
      </c>
      <c r="T27" s="266" t="s">
        <v>6224</v>
      </c>
      <c r="U27" s="273">
        <v>2426000</v>
      </c>
      <c r="V27" s="266" t="s">
        <v>6224</v>
      </c>
      <c r="W27" s="267">
        <v>0</v>
      </c>
      <c r="X27" s="266" t="s">
        <v>6226</v>
      </c>
      <c r="Y27" s="267"/>
      <c r="Z27" s="266" t="s">
        <v>6226</v>
      </c>
      <c r="AA27" s="267"/>
      <c r="AB27" s="266" t="s">
        <v>6226</v>
      </c>
      <c r="AC27" s="267"/>
      <c r="AD27" s="266" t="s">
        <v>6226</v>
      </c>
      <c r="AE27" s="267"/>
      <c r="AF27" s="266" t="s">
        <v>6226</v>
      </c>
      <c r="AG27" s="268" t="e">
        <f>SUM(SUMIF(L27,"Sí",K27),SUMIF(N27,"Sí",M27),SUMIF(P27,"Sí",O27),SUMIF(R27,"Sí",Q27),SUMIF(T27,"Sí",S27),SUMIF(V27,"Sí",#REF!),SUMIF(X27,"Sí",U27),SUMIF(Z27,"Sí",Y27),SUMIF(AB27,"Sí",AA27),SUMIF(AD27,"Sí",AC27),SUMIF(AF27,"Sí",AE27))</f>
        <v>#REF!</v>
      </c>
      <c r="AH27" s="268">
        <f t="shared" si="0"/>
        <v>12857800</v>
      </c>
      <c r="AI27" s="264">
        <v>45503</v>
      </c>
      <c r="AJ27" s="269">
        <f t="shared" ca="1" si="2"/>
        <v>-39</v>
      </c>
      <c r="AK27" s="270" t="e">
        <f t="shared" si="1"/>
        <v>#REF!</v>
      </c>
      <c r="AL27" s="272" t="s">
        <v>6307</v>
      </c>
    </row>
    <row r="28" spans="1:38" ht="66.75">
      <c r="A28" s="232">
        <v>27</v>
      </c>
      <c r="B28" s="233" t="s">
        <v>6379</v>
      </c>
      <c r="C28" s="234" t="s">
        <v>6380</v>
      </c>
      <c r="D28" s="255">
        <v>5500000</v>
      </c>
      <c r="E28" s="244">
        <v>5.5</v>
      </c>
      <c r="F28" s="261">
        <v>30250000</v>
      </c>
      <c r="G28" s="272">
        <v>7604</v>
      </c>
      <c r="H28" s="266"/>
      <c r="I28" s="288" t="s">
        <v>6381</v>
      </c>
      <c r="J28" s="264">
        <v>45343</v>
      </c>
      <c r="K28" s="273">
        <v>1833333.3330000001</v>
      </c>
      <c r="L28" s="266" t="s">
        <v>6224</v>
      </c>
      <c r="M28" s="273">
        <v>5500000</v>
      </c>
      <c r="N28" s="266" t="s">
        <v>6224</v>
      </c>
      <c r="O28" s="273">
        <v>5500000</v>
      </c>
      <c r="P28" s="266" t="s">
        <v>6224</v>
      </c>
      <c r="Q28" s="273">
        <v>5500000</v>
      </c>
      <c r="R28" s="266" t="s">
        <v>6224</v>
      </c>
      <c r="S28" s="273">
        <v>5500000</v>
      </c>
      <c r="T28" s="266" t="s">
        <v>6224</v>
      </c>
      <c r="U28" s="273">
        <v>5500000</v>
      </c>
      <c r="V28" s="266" t="s">
        <v>6224</v>
      </c>
      <c r="W28" s="267">
        <v>0</v>
      </c>
      <c r="X28" s="266" t="s">
        <v>6226</v>
      </c>
      <c r="Y28" s="267"/>
      <c r="Z28" s="266" t="s">
        <v>6226</v>
      </c>
      <c r="AA28" s="267"/>
      <c r="AB28" s="266" t="s">
        <v>6226</v>
      </c>
      <c r="AC28" s="267"/>
      <c r="AD28" s="266" t="s">
        <v>6226</v>
      </c>
      <c r="AE28" s="267"/>
      <c r="AF28" s="266" t="s">
        <v>6226</v>
      </c>
      <c r="AG28" s="268" t="e">
        <f>SUM(SUMIF(L28,"Sí",K28),SUMIF(N28,"Sí",M28),SUMIF(P28,"Sí",O28),SUMIF(R28,"Sí",Q28),SUMIF(T28,"Sí",S28),SUMIF(V28,"Sí",#REF!),SUMIF(X28,"Sí",U28),SUMIF(Z28,"Sí",Y28),SUMIF(AB28,"Sí",AA28),SUMIF(AD28,"Sí",AC28),SUMIF(AF28,"Sí",AE28))</f>
        <v>#REF!</v>
      </c>
      <c r="AH28" s="268">
        <f t="shared" si="0"/>
        <v>29333333.333000001</v>
      </c>
      <c r="AI28" s="264">
        <v>45503</v>
      </c>
      <c r="AJ28" s="269">
        <f t="shared" ca="1" si="2"/>
        <v>-39</v>
      </c>
      <c r="AK28" s="270" t="e">
        <f t="shared" si="1"/>
        <v>#REF!</v>
      </c>
      <c r="AL28" s="272" t="s">
        <v>6307</v>
      </c>
    </row>
    <row r="29" spans="1:38" ht="66.75">
      <c r="A29" s="235">
        <v>28</v>
      </c>
      <c r="B29" s="236" t="s">
        <v>6382</v>
      </c>
      <c r="C29" s="234" t="s">
        <v>6383</v>
      </c>
      <c r="D29" s="255">
        <v>2700000</v>
      </c>
      <c r="E29" s="244">
        <v>5.5</v>
      </c>
      <c r="F29" s="261">
        <v>14850000</v>
      </c>
      <c r="G29" s="272">
        <v>7604</v>
      </c>
      <c r="H29" s="266"/>
      <c r="I29" s="288" t="s">
        <v>6384</v>
      </c>
      <c r="J29" s="264">
        <v>45344</v>
      </c>
      <c r="K29" s="273">
        <v>810000</v>
      </c>
      <c r="L29" s="266" t="s">
        <v>6224</v>
      </c>
      <c r="M29" s="273">
        <v>2700000</v>
      </c>
      <c r="N29" s="266" t="s">
        <v>6224</v>
      </c>
      <c r="O29" s="273">
        <v>2700000</v>
      </c>
      <c r="P29" s="266" t="s">
        <v>6224</v>
      </c>
      <c r="Q29" s="273">
        <v>2700000</v>
      </c>
      <c r="R29" s="266" t="s">
        <v>6224</v>
      </c>
      <c r="S29" s="273">
        <v>2700000</v>
      </c>
      <c r="T29" s="266" t="s">
        <v>6224</v>
      </c>
      <c r="U29" s="273">
        <v>2700000</v>
      </c>
      <c r="V29" s="266" t="s">
        <v>6224</v>
      </c>
      <c r="W29" s="267">
        <v>0</v>
      </c>
      <c r="X29" s="266" t="s">
        <v>6226</v>
      </c>
      <c r="Y29" s="267"/>
      <c r="Z29" s="266" t="s">
        <v>6226</v>
      </c>
      <c r="AA29" s="267"/>
      <c r="AB29" s="266" t="s">
        <v>6226</v>
      </c>
      <c r="AC29" s="267"/>
      <c r="AD29" s="266" t="s">
        <v>6226</v>
      </c>
      <c r="AE29" s="267"/>
      <c r="AF29" s="266" t="s">
        <v>6226</v>
      </c>
      <c r="AG29" s="268" t="e">
        <f>SUM(SUMIF(L29,"Sí",K29),SUMIF(N29,"Sí",M29),SUMIF(P29,"Sí",O29),SUMIF(R29,"Sí",Q29),SUMIF(T29,"Sí",S29),SUMIF(V29,"Sí",#REF!),SUMIF(X29,"Sí",U29),SUMIF(Z29,"Sí",Y29),SUMIF(AB29,"Sí",AA29),SUMIF(AD29,"Sí",AC29),SUMIF(AF29,"Sí",AE29))</f>
        <v>#REF!</v>
      </c>
      <c r="AH29" s="268">
        <f t="shared" si="0"/>
        <v>14310000</v>
      </c>
      <c r="AI29" s="264">
        <v>45503</v>
      </c>
      <c r="AJ29" s="269">
        <f t="shared" ca="1" si="2"/>
        <v>-39</v>
      </c>
      <c r="AK29" s="270" t="e">
        <f t="shared" si="1"/>
        <v>#REF!</v>
      </c>
      <c r="AL29" s="272" t="s">
        <v>6307</v>
      </c>
    </row>
    <row r="30" spans="1:38" ht="78">
      <c r="A30" s="232">
        <v>29</v>
      </c>
      <c r="B30" s="233" t="s">
        <v>6385</v>
      </c>
      <c r="C30" s="234" t="s">
        <v>6355</v>
      </c>
      <c r="D30" s="256">
        <v>5500000</v>
      </c>
      <c r="E30" s="244">
        <v>5.5</v>
      </c>
      <c r="F30" s="261">
        <v>30250000</v>
      </c>
      <c r="G30" s="272">
        <v>7604</v>
      </c>
      <c r="H30" s="266"/>
      <c r="I30" s="288" t="s">
        <v>6386</v>
      </c>
      <c r="J30" s="264">
        <v>45343</v>
      </c>
      <c r="K30" s="273">
        <v>1833333.3330000001</v>
      </c>
      <c r="L30" s="266" t="s">
        <v>6224</v>
      </c>
      <c r="M30" s="273">
        <v>5500000</v>
      </c>
      <c r="N30" s="266" t="s">
        <v>6224</v>
      </c>
      <c r="O30" s="273">
        <v>5500000</v>
      </c>
      <c r="P30" s="266" t="s">
        <v>6224</v>
      </c>
      <c r="Q30" s="273">
        <v>5500000</v>
      </c>
      <c r="R30" s="266" t="s">
        <v>6224</v>
      </c>
      <c r="S30" s="273">
        <v>5500000</v>
      </c>
      <c r="T30" s="266" t="s">
        <v>6224</v>
      </c>
      <c r="U30" s="273">
        <v>5500000</v>
      </c>
      <c r="V30" s="266" t="s">
        <v>6224</v>
      </c>
      <c r="W30" s="267">
        <v>0</v>
      </c>
      <c r="X30" s="266" t="s">
        <v>6226</v>
      </c>
      <c r="Y30" s="267"/>
      <c r="Z30" s="266" t="s">
        <v>6226</v>
      </c>
      <c r="AA30" s="267"/>
      <c r="AB30" s="266" t="s">
        <v>6226</v>
      </c>
      <c r="AC30" s="267"/>
      <c r="AD30" s="266" t="s">
        <v>6226</v>
      </c>
      <c r="AE30" s="267"/>
      <c r="AF30" s="266" t="s">
        <v>6226</v>
      </c>
      <c r="AG30" s="268" t="e">
        <f>SUM(SUMIF(L30,"Sí",K30),SUMIF(N30,"Sí",M30),SUMIF(P30,"Sí",O30),SUMIF(R30,"Sí",Q30),SUMIF(T30,"Sí",S30),SUMIF(V30,"Sí",#REF!),SUMIF(X30,"Sí",U30),SUMIF(Z30,"Sí",Y30),SUMIF(AB30,"Sí",AA30),SUMIF(AD30,"Sí",AC30),SUMIF(AF30,"Sí",AE30))</f>
        <v>#REF!</v>
      </c>
      <c r="AH30" s="268">
        <f t="shared" si="0"/>
        <v>29333333.333000001</v>
      </c>
      <c r="AI30" s="264">
        <v>45503</v>
      </c>
      <c r="AJ30" s="269">
        <f t="shared" ca="1" si="2"/>
        <v>-39</v>
      </c>
      <c r="AK30" s="270" t="e">
        <f t="shared" si="1"/>
        <v>#REF!</v>
      </c>
      <c r="AL30" s="272" t="s">
        <v>6307</v>
      </c>
    </row>
    <row r="31" spans="1:38" ht="55.5">
      <c r="A31" s="235">
        <v>30</v>
      </c>
      <c r="B31" s="236" t="s">
        <v>6387</v>
      </c>
      <c r="C31" s="234" t="s">
        <v>6388</v>
      </c>
      <c r="D31" s="252">
        <v>6700000</v>
      </c>
      <c r="E31" s="237">
        <v>5</v>
      </c>
      <c r="F31" s="261">
        <v>33500000</v>
      </c>
      <c r="G31" s="272">
        <v>7604</v>
      </c>
      <c r="H31" s="266"/>
      <c r="I31" s="288" t="s">
        <v>6389</v>
      </c>
      <c r="J31" s="264">
        <v>45358</v>
      </c>
      <c r="K31" s="273" t="s">
        <v>2537</v>
      </c>
      <c r="L31" s="266" t="s">
        <v>6226</v>
      </c>
      <c r="M31" s="273">
        <v>5360000</v>
      </c>
      <c r="N31" s="266" t="s">
        <v>6224</v>
      </c>
      <c r="O31" s="273">
        <v>6700000</v>
      </c>
      <c r="P31" s="266" t="s">
        <v>6224</v>
      </c>
      <c r="Q31" s="273">
        <v>6700000</v>
      </c>
      <c r="R31" s="266" t="s">
        <v>6224</v>
      </c>
      <c r="S31" s="273">
        <v>6700000</v>
      </c>
      <c r="T31" s="266" t="s">
        <v>6224</v>
      </c>
      <c r="U31" s="273">
        <v>6700000</v>
      </c>
      <c r="V31" s="266" t="s">
        <v>6224</v>
      </c>
      <c r="W31" s="267">
        <v>0</v>
      </c>
      <c r="X31" s="266" t="s">
        <v>6226</v>
      </c>
      <c r="Y31" s="267"/>
      <c r="Z31" s="266" t="s">
        <v>6226</v>
      </c>
      <c r="AA31" s="267"/>
      <c r="AB31" s="266" t="s">
        <v>6226</v>
      </c>
      <c r="AC31" s="267"/>
      <c r="AD31" s="266" t="s">
        <v>6226</v>
      </c>
      <c r="AE31" s="267"/>
      <c r="AF31" s="266" t="s">
        <v>6226</v>
      </c>
      <c r="AG31" s="268" t="e">
        <f>SUM(SUMIF(L31,"Sí",K31),SUMIF(N31,"Sí",M31),SUMIF(P31,"Sí",O31),SUMIF(R31,"Sí",Q31),SUMIF(T31,"Sí",S31),SUMIF(V31,"Sí",#REF!),SUMIF(X31,"Sí",U31),SUMIF(Z31,"Sí",Y31),SUMIF(AB31,"Sí",AA31),SUMIF(AD31,"Sí",AC31),SUMIF(AF31,"Sí",AE31))</f>
        <v>#REF!</v>
      </c>
      <c r="AH31" s="268">
        <f t="shared" si="0"/>
        <v>32160000</v>
      </c>
      <c r="AI31" s="264">
        <v>45503</v>
      </c>
      <c r="AJ31" s="269">
        <f t="shared" ca="1" si="2"/>
        <v>-39</v>
      </c>
      <c r="AK31" s="270" t="e">
        <f t="shared" si="1"/>
        <v>#REF!</v>
      </c>
      <c r="AL31" s="272" t="s">
        <v>6307</v>
      </c>
    </row>
    <row r="32" spans="1:38" ht="66.75">
      <c r="A32" s="232">
        <v>31</v>
      </c>
      <c r="B32" s="233" t="s">
        <v>6390</v>
      </c>
      <c r="C32" s="234" t="s">
        <v>6318</v>
      </c>
      <c r="D32" s="252">
        <v>6700000</v>
      </c>
      <c r="E32" s="237">
        <v>5</v>
      </c>
      <c r="F32" s="261">
        <v>33500000</v>
      </c>
      <c r="G32" s="272">
        <v>7604</v>
      </c>
      <c r="H32" s="266"/>
      <c r="I32" s="288" t="s">
        <v>6391</v>
      </c>
      <c r="J32" s="264">
        <v>45357</v>
      </c>
      <c r="K32" s="273" t="s">
        <v>2537</v>
      </c>
      <c r="L32" s="266" t="s">
        <v>6226</v>
      </c>
      <c r="M32" s="273">
        <v>5583333.3329999996</v>
      </c>
      <c r="N32" s="266" t="s">
        <v>6224</v>
      </c>
      <c r="O32" s="273">
        <v>6700000</v>
      </c>
      <c r="P32" s="266" t="s">
        <v>6224</v>
      </c>
      <c r="Q32" s="273">
        <v>6700000</v>
      </c>
      <c r="R32" s="266" t="s">
        <v>6224</v>
      </c>
      <c r="S32" s="273">
        <v>6700000</v>
      </c>
      <c r="T32" s="266" t="s">
        <v>6224</v>
      </c>
      <c r="U32" s="273">
        <v>6700000</v>
      </c>
      <c r="V32" s="266" t="s">
        <v>6224</v>
      </c>
      <c r="W32" s="267">
        <v>0</v>
      </c>
      <c r="X32" s="266" t="s">
        <v>6226</v>
      </c>
      <c r="Y32" s="267"/>
      <c r="Z32" s="266" t="s">
        <v>6226</v>
      </c>
      <c r="AA32" s="267"/>
      <c r="AB32" s="266" t="s">
        <v>6226</v>
      </c>
      <c r="AC32" s="267"/>
      <c r="AD32" s="266" t="s">
        <v>6226</v>
      </c>
      <c r="AE32" s="267"/>
      <c r="AF32" s="266" t="s">
        <v>6226</v>
      </c>
      <c r="AG32" s="268" t="e">
        <f>SUM(SUMIF(L32,"Sí",K32),SUMIF(N32,"Sí",M32),SUMIF(P32,"Sí",O32),SUMIF(R32,"Sí",Q32),SUMIF(T32,"Sí",S32),SUMIF(V32,"Sí",#REF!),SUMIF(X32,"Sí",U32),SUMIF(Z32,"Sí",Y32),SUMIF(AB32,"Sí",AA32),SUMIF(AD32,"Sí",AC32),SUMIF(AF32,"Sí",AE32))</f>
        <v>#REF!</v>
      </c>
      <c r="AH32" s="268">
        <f t="shared" si="0"/>
        <v>32383333.333000001</v>
      </c>
      <c r="AI32" s="264">
        <v>45503</v>
      </c>
      <c r="AJ32" s="269">
        <f t="shared" ca="1" si="2"/>
        <v>-39</v>
      </c>
      <c r="AK32" s="270" t="e">
        <f t="shared" si="1"/>
        <v>#REF!</v>
      </c>
      <c r="AL32" s="272" t="s">
        <v>6307</v>
      </c>
    </row>
    <row r="33" spans="1:38" ht="66.75">
      <c r="A33" s="235">
        <v>32</v>
      </c>
      <c r="B33" s="236" t="s">
        <v>6392</v>
      </c>
      <c r="C33" s="234" t="s">
        <v>6318</v>
      </c>
      <c r="D33" s="252">
        <v>6700000</v>
      </c>
      <c r="E33" s="237">
        <v>5</v>
      </c>
      <c r="F33" s="261">
        <v>33500000</v>
      </c>
      <c r="G33" s="272">
        <v>7604</v>
      </c>
      <c r="H33" s="266"/>
      <c r="I33" s="288" t="s">
        <v>6393</v>
      </c>
      <c r="J33" s="264">
        <v>45357</v>
      </c>
      <c r="K33" s="273" t="s">
        <v>2537</v>
      </c>
      <c r="L33" s="266" t="s">
        <v>6226</v>
      </c>
      <c r="M33" s="273">
        <v>5583333.3329999996</v>
      </c>
      <c r="N33" s="266" t="s">
        <v>6224</v>
      </c>
      <c r="O33" s="273">
        <v>6700000</v>
      </c>
      <c r="P33" s="266" t="s">
        <v>6224</v>
      </c>
      <c r="Q33" s="273">
        <v>6700000</v>
      </c>
      <c r="R33" s="266" t="s">
        <v>6224</v>
      </c>
      <c r="S33" s="273">
        <v>6700000</v>
      </c>
      <c r="T33" s="266" t="s">
        <v>6224</v>
      </c>
      <c r="U33" s="273">
        <v>6700000</v>
      </c>
      <c r="V33" s="266" t="s">
        <v>6224</v>
      </c>
      <c r="W33" s="267">
        <v>0</v>
      </c>
      <c r="X33" s="266" t="s">
        <v>6226</v>
      </c>
      <c r="Y33" s="267"/>
      <c r="Z33" s="266" t="s">
        <v>6226</v>
      </c>
      <c r="AA33" s="267"/>
      <c r="AB33" s="266" t="s">
        <v>6226</v>
      </c>
      <c r="AC33" s="267"/>
      <c r="AD33" s="266" t="s">
        <v>6226</v>
      </c>
      <c r="AE33" s="267"/>
      <c r="AF33" s="266" t="s">
        <v>6226</v>
      </c>
      <c r="AG33" s="268" t="e">
        <f>SUM(SUMIF(L33,"Sí",K33),SUMIF(N33,"Sí",M33),SUMIF(P33,"Sí",O33),SUMIF(R33,"Sí",Q33),SUMIF(T33,"Sí",S33),SUMIF(V33,"Sí",#REF!),SUMIF(X33,"Sí",U33),SUMIF(Z33,"Sí",Y33),SUMIF(AB33,"Sí",AA33),SUMIF(AD33,"Sí",AC33),SUMIF(AF33,"Sí",AE33))</f>
        <v>#REF!</v>
      </c>
      <c r="AH33" s="268">
        <f t="shared" si="0"/>
        <v>32383333.333000001</v>
      </c>
      <c r="AI33" s="264">
        <v>45503</v>
      </c>
      <c r="AJ33" s="269">
        <f t="shared" ca="1" si="2"/>
        <v>-39</v>
      </c>
      <c r="AK33" s="270" t="e">
        <f t="shared" si="1"/>
        <v>#REF!</v>
      </c>
      <c r="AL33" s="272" t="s">
        <v>6307</v>
      </c>
    </row>
    <row r="34" spans="1:38" ht="66.75">
      <c r="A34" s="232">
        <v>33</v>
      </c>
      <c r="B34" s="233" t="s">
        <v>818</v>
      </c>
      <c r="C34" s="234" t="s">
        <v>6318</v>
      </c>
      <c r="D34" s="252">
        <v>6700000</v>
      </c>
      <c r="E34" s="237">
        <v>5</v>
      </c>
      <c r="F34" s="261">
        <v>33500000</v>
      </c>
      <c r="G34" s="272">
        <v>7604</v>
      </c>
      <c r="H34" s="266"/>
      <c r="I34" s="288" t="s">
        <v>6394</v>
      </c>
      <c r="J34" s="264">
        <v>45357</v>
      </c>
      <c r="K34" s="273" t="s">
        <v>2537</v>
      </c>
      <c r="L34" s="266" t="s">
        <v>6226</v>
      </c>
      <c r="M34" s="273">
        <v>5583333.3329999996</v>
      </c>
      <c r="N34" s="266" t="s">
        <v>6224</v>
      </c>
      <c r="O34" s="273">
        <v>6700000</v>
      </c>
      <c r="P34" s="266" t="s">
        <v>6224</v>
      </c>
      <c r="Q34" s="273">
        <v>6700000</v>
      </c>
      <c r="R34" s="266" t="s">
        <v>6224</v>
      </c>
      <c r="S34" s="273">
        <v>6700000</v>
      </c>
      <c r="T34" s="266" t="s">
        <v>6224</v>
      </c>
      <c r="U34" s="273">
        <v>6700000</v>
      </c>
      <c r="V34" s="266" t="s">
        <v>6224</v>
      </c>
      <c r="W34" s="267">
        <v>0</v>
      </c>
      <c r="X34" s="266" t="s">
        <v>6226</v>
      </c>
      <c r="Y34" s="267"/>
      <c r="Z34" s="266" t="s">
        <v>6226</v>
      </c>
      <c r="AA34" s="267"/>
      <c r="AB34" s="266" t="s">
        <v>6226</v>
      </c>
      <c r="AC34" s="267"/>
      <c r="AD34" s="266" t="s">
        <v>6226</v>
      </c>
      <c r="AE34" s="267"/>
      <c r="AF34" s="266" t="s">
        <v>6226</v>
      </c>
      <c r="AG34" s="268" t="e">
        <f>SUM(SUMIF(L34,"Sí",K34),SUMIF(N34,"Sí",M34),SUMIF(P34,"Sí",O34),SUMIF(R34,"Sí",Q34),SUMIF(T34,"Sí",S34),SUMIF(V34,"Sí",#REF!),SUMIF(X34,"Sí",U34),SUMIF(Z34,"Sí",Y34),SUMIF(AB34,"Sí",AA34),SUMIF(AD34,"Sí",AC34),SUMIF(AF34,"Sí",AE34))</f>
        <v>#REF!</v>
      </c>
      <c r="AH34" s="268">
        <f t="shared" ref="AH34:AH60" si="3">SUM(K34:AE34)</f>
        <v>32383333.333000001</v>
      </c>
      <c r="AI34" s="264">
        <v>45503</v>
      </c>
      <c r="AJ34" s="269">
        <f t="shared" ca="1" si="2"/>
        <v>-39</v>
      </c>
      <c r="AK34" s="270" t="e">
        <f t="shared" si="1"/>
        <v>#REF!</v>
      </c>
      <c r="AL34" s="272" t="s">
        <v>6307</v>
      </c>
    </row>
    <row r="35" spans="1:38" ht="66.75">
      <c r="A35" s="235">
        <v>34</v>
      </c>
      <c r="B35" s="236" t="s">
        <v>6395</v>
      </c>
      <c r="C35" s="234" t="s">
        <v>6318</v>
      </c>
      <c r="D35" s="252">
        <v>6700000</v>
      </c>
      <c r="E35" s="237">
        <v>4</v>
      </c>
      <c r="F35" s="261">
        <v>26800000</v>
      </c>
      <c r="G35" s="272">
        <v>7604</v>
      </c>
      <c r="H35" s="266"/>
      <c r="I35" s="288" t="s">
        <v>6396</v>
      </c>
      <c r="J35" s="264">
        <v>45378</v>
      </c>
      <c r="K35" s="273" t="s">
        <v>2537</v>
      </c>
      <c r="L35" s="266" t="s">
        <v>6226</v>
      </c>
      <c r="M35" s="273">
        <v>893333.33330000006</v>
      </c>
      <c r="N35" s="266" t="s">
        <v>6224</v>
      </c>
      <c r="O35" s="273">
        <v>6700000</v>
      </c>
      <c r="P35" s="266" t="s">
        <v>6224</v>
      </c>
      <c r="Q35" s="273">
        <v>6700000</v>
      </c>
      <c r="R35" s="266" t="s">
        <v>6224</v>
      </c>
      <c r="S35" s="273">
        <v>6700000</v>
      </c>
      <c r="T35" s="266" t="s">
        <v>6224</v>
      </c>
      <c r="U35" s="273">
        <v>5806666.6670000004</v>
      </c>
      <c r="V35" s="266" t="s">
        <v>6224</v>
      </c>
      <c r="W35" s="267">
        <v>0</v>
      </c>
      <c r="X35" s="266" t="s">
        <v>6226</v>
      </c>
      <c r="Y35" s="267"/>
      <c r="Z35" s="266" t="s">
        <v>6226</v>
      </c>
      <c r="AA35" s="267"/>
      <c r="AB35" s="266" t="s">
        <v>6226</v>
      </c>
      <c r="AC35" s="267"/>
      <c r="AD35" s="266" t="s">
        <v>6226</v>
      </c>
      <c r="AE35" s="267"/>
      <c r="AF35" s="266" t="s">
        <v>6226</v>
      </c>
      <c r="AG35" s="268" t="e">
        <f>SUM(SUMIF(L35,"Sí",K35),SUMIF(N35,"Sí",M35),SUMIF(P35,"Sí",O35),SUMIF(R35,"Sí",Q35),SUMIF(T35,"Sí",S35),SUMIF(V35,"Sí",#REF!),SUMIF(X35,"Sí",U35),SUMIF(Z35,"Sí",Y35),SUMIF(AB35,"Sí",AA35),SUMIF(AD35,"Sí",AC35),SUMIF(AF35,"Sí",AE35))</f>
        <v>#REF!</v>
      </c>
      <c r="AH35" s="268">
        <f t="shared" si="3"/>
        <v>26800000.000300001</v>
      </c>
      <c r="AI35" s="264">
        <v>45499</v>
      </c>
      <c r="AJ35" s="269">
        <f t="shared" ca="1" si="2"/>
        <v>-43</v>
      </c>
      <c r="AK35" s="270" t="e">
        <f t="shared" si="1"/>
        <v>#REF!</v>
      </c>
      <c r="AL35" s="272" t="s">
        <v>6307</v>
      </c>
    </row>
    <row r="36" spans="1:38" ht="78">
      <c r="A36" s="232">
        <v>35</v>
      </c>
      <c r="B36" s="233" t="s">
        <v>6397</v>
      </c>
      <c r="C36" s="234" t="s">
        <v>6355</v>
      </c>
      <c r="D36" s="252">
        <v>5500000</v>
      </c>
      <c r="E36" s="237">
        <v>5</v>
      </c>
      <c r="F36" s="261">
        <v>27500000</v>
      </c>
      <c r="G36" s="272">
        <v>7604</v>
      </c>
      <c r="H36" s="266"/>
      <c r="I36" s="288" t="s">
        <v>6398</v>
      </c>
      <c r="J36" s="264">
        <v>45356</v>
      </c>
      <c r="K36" s="273" t="s">
        <v>2537</v>
      </c>
      <c r="L36" s="266" t="s">
        <v>6226</v>
      </c>
      <c r="M36" s="273">
        <v>4766666.6670000004</v>
      </c>
      <c r="N36" s="266" t="s">
        <v>6224</v>
      </c>
      <c r="O36" s="273">
        <v>5500000</v>
      </c>
      <c r="P36" s="266" t="s">
        <v>6224</v>
      </c>
      <c r="Q36" s="273">
        <v>5500000</v>
      </c>
      <c r="R36" s="266" t="s">
        <v>6224</v>
      </c>
      <c r="S36" s="273">
        <v>5500000</v>
      </c>
      <c r="T36" s="266" t="s">
        <v>6224</v>
      </c>
      <c r="U36" s="273">
        <v>5500000</v>
      </c>
      <c r="V36" s="266" t="s">
        <v>6224</v>
      </c>
      <c r="W36" s="267">
        <v>0</v>
      </c>
      <c r="X36" s="266" t="s">
        <v>6226</v>
      </c>
      <c r="Y36" s="267"/>
      <c r="Z36" s="266" t="s">
        <v>6226</v>
      </c>
      <c r="AA36" s="267"/>
      <c r="AB36" s="266" t="s">
        <v>6226</v>
      </c>
      <c r="AC36" s="267"/>
      <c r="AD36" s="266" t="s">
        <v>6226</v>
      </c>
      <c r="AE36" s="267"/>
      <c r="AF36" s="266" t="s">
        <v>6226</v>
      </c>
      <c r="AG36" s="268" t="e">
        <f>SUM(SUMIF(L36,"Sí",K36),SUMIF(N36,"Sí",M36),SUMIF(P36,"Sí",O36),SUMIF(R36,"Sí",Q36),SUMIF(T36,"Sí",S36),SUMIF(V36,"Sí",#REF!),SUMIF(X36,"Sí",U36),SUMIF(Z36,"Sí",Y36),SUMIF(AB36,"Sí",AA36),SUMIF(AD36,"Sí",AC36),SUMIF(AF36,"Sí",AE36))</f>
        <v>#REF!</v>
      </c>
      <c r="AH36" s="268">
        <f t="shared" si="3"/>
        <v>26766666.666999999</v>
      </c>
      <c r="AI36" s="264">
        <v>45504</v>
      </c>
      <c r="AJ36" s="269">
        <f t="shared" ca="1" si="2"/>
        <v>-38</v>
      </c>
      <c r="AK36" s="270" t="e">
        <f t="shared" si="1"/>
        <v>#REF!</v>
      </c>
      <c r="AL36" s="272" t="s">
        <v>6307</v>
      </c>
    </row>
    <row r="37" spans="1:38" ht="78">
      <c r="A37" s="235">
        <v>36</v>
      </c>
      <c r="B37" s="236" t="s">
        <v>6399</v>
      </c>
      <c r="C37" s="234" t="s">
        <v>6355</v>
      </c>
      <c r="D37" s="252">
        <v>5500000</v>
      </c>
      <c r="E37" s="237">
        <v>5</v>
      </c>
      <c r="F37" s="261">
        <v>27500000</v>
      </c>
      <c r="G37" s="272">
        <v>7604</v>
      </c>
      <c r="H37" s="266"/>
      <c r="I37" s="288" t="s">
        <v>6400</v>
      </c>
      <c r="J37" s="264">
        <v>45358</v>
      </c>
      <c r="K37" s="273" t="s">
        <v>2537</v>
      </c>
      <c r="L37" s="266" t="s">
        <v>6226</v>
      </c>
      <c r="M37" s="273">
        <v>4400000</v>
      </c>
      <c r="N37" s="266" t="s">
        <v>6224</v>
      </c>
      <c r="O37" s="273">
        <v>5500000</v>
      </c>
      <c r="P37" s="266" t="s">
        <v>6224</v>
      </c>
      <c r="Q37" s="273">
        <v>5500000</v>
      </c>
      <c r="R37" s="266" t="s">
        <v>6224</v>
      </c>
      <c r="S37" s="273">
        <v>5500000</v>
      </c>
      <c r="T37" s="266" t="s">
        <v>6224</v>
      </c>
      <c r="U37" s="273">
        <v>5500000</v>
      </c>
      <c r="V37" s="266" t="s">
        <v>6226</v>
      </c>
      <c r="W37" s="267">
        <v>0</v>
      </c>
      <c r="X37" s="266" t="s">
        <v>6226</v>
      </c>
      <c r="Y37" s="267"/>
      <c r="Z37" s="266" t="s">
        <v>6226</v>
      </c>
      <c r="AA37" s="267"/>
      <c r="AB37" s="266" t="s">
        <v>6226</v>
      </c>
      <c r="AC37" s="267"/>
      <c r="AD37" s="266" t="s">
        <v>6226</v>
      </c>
      <c r="AE37" s="267"/>
      <c r="AF37" s="266" t="s">
        <v>6226</v>
      </c>
      <c r="AG37" s="268" t="e">
        <f>SUM(SUMIF(L37,"Sí",K37),SUMIF(N37,"Sí",M37),SUMIF(P37,"Sí",O37),SUMIF(R37,"Sí",Q37),SUMIF(T37,"Sí",S37),SUMIF(V37,"Sí",#REF!),SUMIF(X37,"Sí",U37),SUMIF(Z37,"Sí",Y37),SUMIF(AB37,"Sí",AA37),SUMIF(AD37,"Sí",AC37),SUMIF(AF37,"Sí",AE37))</f>
        <v>#REF!</v>
      </c>
      <c r="AH37" s="268">
        <f t="shared" si="3"/>
        <v>26400000</v>
      </c>
      <c r="AI37" s="264">
        <v>45503</v>
      </c>
      <c r="AJ37" s="269">
        <f t="shared" ca="1" si="2"/>
        <v>-39</v>
      </c>
      <c r="AK37" s="270" t="e">
        <f t="shared" ref="AK37:AK58" si="4">AG37/AH37</f>
        <v>#REF!</v>
      </c>
      <c r="AL37" s="272" t="s">
        <v>6401</v>
      </c>
    </row>
    <row r="38" spans="1:38" ht="55.5">
      <c r="A38" s="232">
        <v>37</v>
      </c>
      <c r="B38" s="233" t="s">
        <v>6402</v>
      </c>
      <c r="C38" s="238" t="s">
        <v>6330</v>
      </c>
      <c r="D38" s="252">
        <v>4500000</v>
      </c>
      <c r="E38" s="237">
        <v>4.5</v>
      </c>
      <c r="F38" s="261">
        <v>20250000</v>
      </c>
      <c r="G38" s="272">
        <v>7604</v>
      </c>
      <c r="H38" s="266"/>
      <c r="I38" s="288" t="s">
        <v>6403</v>
      </c>
      <c r="J38" s="264">
        <v>45364</v>
      </c>
      <c r="K38" s="273" t="s">
        <v>2537</v>
      </c>
      <c r="L38" s="266" t="s">
        <v>6226</v>
      </c>
      <c r="M38" s="273">
        <v>2700000</v>
      </c>
      <c r="N38" s="266" t="s">
        <v>6224</v>
      </c>
      <c r="O38" s="273">
        <v>4500000</v>
      </c>
      <c r="P38" s="266" t="s">
        <v>6224</v>
      </c>
      <c r="Q38" s="273">
        <v>4500000</v>
      </c>
      <c r="R38" s="266" t="s">
        <v>6224</v>
      </c>
      <c r="S38" s="273">
        <v>4500000</v>
      </c>
      <c r="T38" s="266" t="s">
        <v>6224</v>
      </c>
      <c r="U38" s="273">
        <v>4050000</v>
      </c>
      <c r="V38" s="266" t="s">
        <v>6224</v>
      </c>
      <c r="W38" s="267">
        <v>0</v>
      </c>
      <c r="X38" s="266" t="s">
        <v>6226</v>
      </c>
      <c r="Y38" s="267"/>
      <c r="Z38" s="266" t="s">
        <v>6226</v>
      </c>
      <c r="AA38" s="267"/>
      <c r="AB38" s="266" t="s">
        <v>6226</v>
      </c>
      <c r="AC38" s="267"/>
      <c r="AD38" s="266" t="s">
        <v>6226</v>
      </c>
      <c r="AE38" s="267"/>
      <c r="AF38" s="266" t="s">
        <v>6226</v>
      </c>
      <c r="AG38" s="268" t="e">
        <f>SUM(SUMIF(L38,"Sí",K38),SUMIF(N38,"Sí",M38),SUMIF(P38,"Sí",O38),SUMIF(R38,"Sí",Q38),SUMIF(T38,"Sí",S38),SUMIF(V38,"Sí",#REF!),SUMIF(X38,"Sí",U38),SUMIF(Z38,"Sí",Y38),SUMIF(AB38,"Sí",AA38),SUMIF(AD38,"Sí",AC38),SUMIF(AF38,"Sí",AE38))</f>
        <v>#REF!</v>
      </c>
      <c r="AH38" s="268">
        <f t="shared" si="3"/>
        <v>20250000</v>
      </c>
      <c r="AI38" s="264">
        <v>45500</v>
      </c>
      <c r="AJ38" s="269">
        <f t="shared" ca="1" si="2"/>
        <v>-42</v>
      </c>
      <c r="AK38" s="270" t="e">
        <f t="shared" si="4"/>
        <v>#REF!</v>
      </c>
      <c r="AL38" s="272" t="s">
        <v>6307</v>
      </c>
    </row>
    <row r="39" spans="1:38" ht="66.75">
      <c r="A39" s="235">
        <v>38</v>
      </c>
      <c r="B39" s="236" t="s">
        <v>6404</v>
      </c>
      <c r="C39" s="239" t="s">
        <v>6405</v>
      </c>
      <c r="D39" s="252">
        <v>5500000</v>
      </c>
      <c r="E39" s="237">
        <v>5</v>
      </c>
      <c r="F39" s="261">
        <v>27500000</v>
      </c>
      <c r="G39" s="272">
        <v>7604</v>
      </c>
      <c r="H39" s="266"/>
      <c r="I39" s="288" t="s">
        <v>6406</v>
      </c>
      <c r="J39" s="264">
        <v>45358</v>
      </c>
      <c r="K39" s="273" t="s">
        <v>2537</v>
      </c>
      <c r="L39" s="266" t="s">
        <v>6226</v>
      </c>
      <c r="M39" s="273">
        <v>4400000</v>
      </c>
      <c r="N39" s="266" t="s">
        <v>6224</v>
      </c>
      <c r="O39" s="273">
        <v>5500000</v>
      </c>
      <c r="P39" s="266" t="s">
        <v>6224</v>
      </c>
      <c r="Q39" s="273">
        <v>5500000</v>
      </c>
      <c r="R39" s="266" t="s">
        <v>6224</v>
      </c>
      <c r="S39" s="273">
        <v>5500000</v>
      </c>
      <c r="T39" s="266" t="s">
        <v>6224</v>
      </c>
      <c r="U39" s="273">
        <v>5500000</v>
      </c>
      <c r="V39" s="266" t="s">
        <v>6224</v>
      </c>
      <c r="W39" s="267">
        <v>0</v>
      </c>
      <c r="X39" s="266" t="s">
        <v>6226</v>
      </c>
      <c r="Y39" s="267"/>
      <c r="Z39" s="266" t="s">
        <v>6226</v>
      </c>
      <c r="AA39" s="267"/>
      <c r="AB39" s="266" t="s">
        <v>6226</v>
      </c>
      <c r="AC39" s="267"/>
      <c r="AD39" s="266" t="s">
        <v>6226</v>
      </c>
      <c r="AE39" s="267"/>
      <c r="AF39" s="266" t="s">
        <v>6226</v>
      </c>
      <c r="AG39" s="268" t="e">
        <f>SUM(SUMIF(L39,"Sí",K39),SUMIF(N39,"Sí",M39),SUMIF(P39,"Sí",O39),SUMIF(R39,"Sí",Q39),SUMIF(T39,"Sí",S39),SUMIF(V39,"Sí",#REF!),SUMIF(X39,"Sí",U39),SUMIF(Z39,"Sí",Y39),SUMIF(AB39,"Sí",AA39),SUMIF(AD39,"Sí",AC39),SUMIF(AF39,"Sí",AE39))</f>
        <v>#REF!</v>
      </c>
      <c r="AH39" s="268">
        <f t="shared" si="3"/>
        <v>26400000</v>
      </c>
      <c r="AI39" s="264">
        <v>45503</v>
      </c>
      <c r="AJ39" s="269">
        <f t="shared" ca="1" si="2"/>
        <v>-39</v>
      </c>
      <c r="AK39" s="270" t="e">
        <f t="shared" si="4"/>
        <v>#REF!</v>
      </c>
      <c r="AL39" s="272" t="s">
        <v>6307</v>
      </c>
    </row>
    <row r="40" spans="1:38" ht="78">
      <c r="A40" s="232">
        <v>39</v>
      </c>
      <c r="B40" s="233" t="s">
        <v>6407</v>
      </c>
      <c r="C40" s="234" t="s">
        <v>6355</v>
      </c>
      <c r="D40" s="252">
        <v>5500000</v>
      </c>
      <c r="E40" s="237">
        <v>5</v>
      </c>
      <c r="F40" s="261">
        <v>27500000</v>
      </c>
      <c r="G40" s="272">
        <v>7604</v>
      </c>
      <c r="H40" s="266"/>
      <c r="I40" s="288" t="s">
        <v>6408</v>
      </c>
      <c r="J40" s="264">
        <v>45352</v>
      </c>
      <c r="K40" s="273" t="s">
        <v>2537</v>
      </c>
      <c r="L40" s="266" t="s">
        <v>6226</v>
      </c>
      <c r="M40" s="273">
        <v>5500000</v>
      </c>
      <c r="N40" s="266" t="s">
        <v>6224</v>
      </c>
      <c r="O40" s="273">
        <v>5500000</v>
      </c>
      <c r="P40" s="266" t="s">
        <v>6224</v>
      </c>
      <c r="Q40" s="273">
        <v>5500000</v>
      </c>
      <c r="R40" s="266" t="s">
        <v>6224</v>
      </c>
      <c r="S40" s="273">
        <v>5500000</v>
      </c>
      <c r="T40" s="266" t="s">
        <v>6224</v>
      </c>
      <c r="U40" s="273">
        <v>5500000</v>
      </c>
      <c r="V40" s="266" t="s">
        <v>6224</v>
      </c>
      <c r="W40" s="267">
        <v>0</v>
      </c>
      <c r="X40" s="266" t="s">
        <v>6226</v>
      </c>
      <c r="Y40" s="267"/>
      <c r="Z40" s="266" t="s">
        <v>6226</v>
      </c>
      <c r="AA40" s="267"/>
      <c r="AB40" s="266" t="s">
        <v>6226</v>
      </c>
      <c r="AC40" s="267"/>
      <c r="AD40" s="266" t="s">
        <v>6226</v>
      </c>
      <c r="AE40" s="267"/>
      <c r="AF40" s="266" t="s">
        <v>6226</v>
      </c>
      <c r="AG40" s="268" t="e">
        <f>SUM(SUMIF(L40,"Sí",K40),SUMIF(N40,"Sí",M40),SUMIF(P40,"Sí",O40),SUMIF(R40,"Sí",Q40),SUMIF(T40,"Sí",S40),SUMIF(V40,"Sí",#REF!),SUMIF(X40,"Sí",U40),SUMIF(Z40,"Sí",Y40),SUMIF(AB40,"Sí",AA40),SUMIF(AD40,"Sí",AC40),SUMIF(AF40,"Sí",AE40))</f>
        <v>#REF!</v>
      </c>
      <c r="AH40" s="268">
        <f t="shared" si="3"/>
        <v>27500000</v>
      </c>
      <c r="AI40" s="264">
        <v>45504</v>
      </c>
      <c r="AJ40" s="269">
        <f t="shared" ca="1" si="2"/>
        <v>-38</v>
      </c>
      <c r="AK40" s="270" t="e">
        <f t="shared" si="4"/>
        <v>#REF!</v>
      </c>
      <c r="AL40" s="272" t="s">
        <v>6307</v>
      </c>
    </row>
    <row r="41" spans="1:38" ht="78">
      <c r="A41" s="235">
        <v>40</v>
      </c>
      <c r="B41" s="236" t="s">
        <v>6409</v>
      </c>
      <c r="C41" s="234" t="s">
        <v>6355</v>
      </c>
      <c r="D41" s="252">
        <v>5500000</v>
      </c>
      <c r="E41" s="237">
        <v>4</v>
      </c>
      <c r="F41" s="261">
        <v>22000000</v>
      </c>
      <c r="G41" s="272">
        <v>7604</v>
      </c>
      <c r="H41" s="266"/>
      <c r="I41" s="288" t="s">
        <v>6410</v>
      </c>
      <c r="J41" s="264">
        <v>45385</v>
      </c>
      <c r="K41" s="273" t="s">
        <v>2537</v>
      </c>
      <c r="L41" s="266" t="s">
        <v>6226</v>
      </c>
      <c r="M41" s="273" t="s">
        <v>2537</v>
      </c>
      <c r="N41" s="266" t="s">
        <v>6226</v>
      </c>
      <c r="O41" s="273">
        <v>5133333.3329999996</v>
      </c>
      <c r="P41" s="266" t="s">
        <v>6224</v>
      </c>
      <c r="Q41" s="273">
        <v>5500000</v>
      </c>
      <c r="R41" s="266" t="s">
        <v>6224</v>
      </c>
      <c r="S41" s="273">
        <v>5500000</v>
      </c>
      <c r="T41" s="266" t="s">
        <v>6224</v>
      </c>
      <c r="U41" s="273">
        <v>5500000</v>
      </c>
      <c r="V41" s="266" t="s">
        <v>6224</v>
      </c>
      <c r="W41" s="267">
        <v>366666.6667</v>
      </c>
      <c r="X41" s="266" t="s">
        <v>6226</v>
      </c>
      <c r="Y41" s="267"/>
      <c r="Z41" s="266" t="s">
        <v>6226</v>
      </c>
      <c r="AA41" s="267"/>
      <c r="AB41" s="266" t="s">
        <v>6226</v>
      </c>
      <c r="AC41" s="267"/>
      <c r="AD41" s="266" t="s">
        <v>6226</v>
      </c>
      <c r="AE41" s="267"/>
      <c r="AF41" s="266" t="s">
        <v>6226</v>
      </c>
      <c r="AG41" s="268" t="e">
        <f>SUM(SUMIF(L41,"Sí",K41),SUMIF(N41,"Sí",M41),SUMIF(P41,"Sí",O41),SUMIF(R41,"Sí",Q41),SUMIF(T41,"Sí",S41),SUMIF(V41,"Sí",#REF!),SUMIF(X41,"Sí",U41),SUMIF(Z41,"Sí",Y41),SUMIF(AB41,"Sí",AA41),SUMIF(AD41,"Sí",AC41),SUMIF(AF41,"Sí",AE41))</f>
        <v>#REF!</v>
      </c>
      <c r="AH41" s="268">
        <f t="shared" si="3"/>
        <v>21999999.999700002</v>
      </c>
      <c r="AI41" s="264">
        <v>45506</v>
      </c>
      <c r="AJ41" s="269">
        <f t="shared" ca="1" si="2"/>
        <v>-36</v>
      </c>
      <c r="AK41" s="270" t="e">
        <f t="shared" si="4"/>
        <v>#REF!</v>
      </c>
      <c r="AL41" s="272"/>
    </row>
    <row r="42" spans="1:38" ht="78">
      <c r="A42" s="232">
        <v>41</v>
      </c>
      <c r="B42" s="233" t="s">
        <v>6411</v>
      </c>
      <c r="C42" s="234" t="s">
        <v>6355</v>
      </c>
      <c r="D42" s="252">
        <v>5500000</v>
      </c>
      <c r="E42" s="237">
        <v>5</v>
      </c>
      <c r="F42" s="261">
        <v>27500000</v>
      </c>
      <c r="G42" s="272">
        <v>7604</v>
      </c>
      <c r="H42" s="266"/>
      <c r="I42" s="288" t="s">
        <v>6412</v>
      </c>
      <c r="J42" s="264">
        <v>45352</v>
      </c>
      <c r="K42" s="273" t="s">
        <v>2537</v>
      </c>
      <c r="L42" s="266" t="s">
        <v>6226</v>
      </c>
      <c r="M42" s="273">
        <v>5500000</v>
      </c>
      <c r="N42" s="266" t="s">
        <v>6224</v>
      </c>
      <c r="O42" s="273">
        <v>5500000</v>
      </c>
      <c r="P42" s="266" t="s">
        <v>6224</v>
      </c>
      <c r="Q42" s="273">
        <v>5500000</v>
      </c>
      <c r="R42" s="266" t="s">
        <v>6224</v>
      </c>
      <c r="S42" s="273">
        <v>5500000</v>
      </c>
      <c r="T42" s="266" t="s">
        <v>6224</v>
      </c>
      <c r="U42" s="273">
        <v>5500000</v>
      </c>
      <c r="V42" s="266" t="s">
        <v>6224</v>
      </c>
      <c r="W42" s="267">
        <v>0</v>
      </c>
      <c r="X42" s="266" t="s">
        <v>6226</v>
      </c>
      <c r="Y42" s="267"/>
      <c r="Z42" s="266" t="s">
        <v>6226</v>
      </c>
      <c r="AA42" s="267"/>
      <c r="AB42" s="266" t="s">
        <v>6226</v>
      </c>
      <c r="AC42" s="267"/>
      <c r="AD42" s="266" t="s">
        <v>6226</v>
      </c>
      <c r="AE42" s="267"/>
      <c r="AF42" s="266" t="s">
        <v>6226</v>
      </c>
      <c r="AG42" s="268" t="e">
        <f>SUM(SUMIF(L42,"Sí",K42),SUMIF(N42,"Sí",M42),SUMIF(P42,"Sí",O42),SUMIF(R42,"Sí",Q42),SUMIF(T42,"Sí",S42),SUMIF(V42,"Sí",#REF!),SUMIF(X42,"Sí",U42),SUMIF(Z42,"Sí",Y42),SUMIF(AB42,"Sí",AA42),SUMIF(AD42,"Sí",AC42),SUMIF(AF42,"Sí",AE42))</f>
        <v>#REF!</v>
      </c>
      <c r="AH42" s="268">
        <f t="shared" si="3"/>
        <v>27500000</v>
      </c>
      <c r="AI42" s="264">
        <v>45503</v>
      </c>
      <c r="AJ42" s="269">
        <f t="shared" ca="1" si="2"/>
        <v>-39</v>
      </c>
      <c r="AK42" s="270" t="e">
        <f t="shared" si="4"/>
        <v>#REF!</v>
      </c>
      <c r="AL42" s="272" t="s">
        <v>6307</v>
      </c>
    </row>
    <row r="43" spans="1:38" ht="78">
      <c r="A43" s="235">
        <v>42</v>
      </c>
      <c r="B43" s="236" t="s">
        <v>6413</v>
      </c>
      <c r="C43" s="234" t="s">
        <v>6355</v>
      </c>
      <c r="D43" s="252">
        <v>5500000</v>
      </c>
      <c r="E43" s="237">
        <v>5</v>
      </c>
      <c r="F43" s="261">
        <v>27500000</v>
      </c>
      <c r="G43" s="272">
        <v>7604</v>
      </c>
      <c r="H43" s="266"/>
      <c r="I43" s="288" t="s">
        <v>6414</v>
      </c>
      <c r="J43" s="264">
        <v>45356</v>
      </c>
      <c r="K43" s="273" t="s">
        <v>2537</v>
      </c>
      <c r="L43" s="266" t="s">
        <v>6226</v>
      </c>
      <c r="M43" s="273">
        <v>4766666.6670000004</v>
      </c>
      <c r="N43" s="266" t="s">
        <v>6224</v>
      </c>
      <c r="O43" s="273">
        <v>5500000</v>
      </c>
      <c r="P43" s="266" t="s">
        <v>6224</v>
      </c>
      <c r="Q43" s="273">
        <v>5500000</v>
      </c>
      <c r="R43" s="266" t="s">
        <v>6224</v>
      </c>
      <c r="S43" s="273">
        <v>5500000</v>
      </c>
      <c r="T43" s="266" t="s">
        <v>6224</v>
      </c>
      <c r="U43" s="273">
        <v>5500000</v>
      </c>
      <c r="V43" s="266" t="s">
        <v>6224</v>
      </c>
      <c r="W43" s="267">
        <v>0</v>
      </c>
      <c r="X43" s="266" t="s">
        <v>6226</v>
      </c>
      <c r="Y43" s="267"/>
      <c r="Z43" s="266" t="s">
        <v>6226</v>
      </c>
      <c r="AA43" s="267"/>
      <c r="AB43" s="266" t="s">
        <v>6226</v>
      </c>
      <c r="AC43" s="267"/>
      <c r="AD43" s="266" t="s">
        <v>6226</v>
      </c>
      <c r="AE43" s="267"/>
      <c r="AF43" s="266" t="s">
        <v>6226</v>
      </c>
      <c r="AG43" s="268" t="e">
        <f>SUM(SUMIF(L43,"Sí",K43),SUMIF(N43,"Sí",M43),SUMIF(P43,"Sí",O43),SUMIF(R43,"Sí",Q43),SUMIF(T43,"Sí",S43),SUMIF(V43,"Sí",#REF!),SUMIF(X43,"Sí",U43),SUMIF(Z43,"Sí",Y43),SUMIF(AB43,"Sí",AA43),SUMIF(AD43,"Sí",AC43),SUMIF(AF43,"Sí",AE43))</f>
        <v>#REF!</v>
      </c>
      <c r="AH43" s="268">
        <f t="shared" si="3"/>
        <v>26766666.666999999</v>
      </c>
      <c r="AI43" s="264">
        <v>45503</v>
      </c>
      <c r="AJ43" s="269">
        <f t="shared" ca="1" si="2"/>
        <v>-39</v>
      </c>
      <c r="AK43" s="270" t="e">
        <f t="shared" si="4"/>
        <v>#REF!</v>
      </c>
      <c r="AL43" s="272" t="s">
        <v>6307</v>
      </c>
    </row>
    <row r="44" spans="1:38" ht="66.75">
      <c r="A44" s="232">
        <v>43</v>
      </c>
      <c r="B44" s="233" t="s">
        <v>6415</v>
      </c>
      <c r="C44" s="234" t="s">
        <v>6358</v>
      </c>
      <c r="D44" s="252">
        <v>5500000</v>
      </c>
      <c r="E44" s="237">
        <v>5</v>
      </c>
      <c r="F44" s="261">
        <v>27500000</v>
      </c>
      <c r="G44" s="272">
        <v>7604</v>
      </c>
      <c r="H44" s="266"/>
      <c r="I44" s="288" t="s">
        <v>6416</v>
      </c>
      <c r="J44" s="264">
        <v>45359</v>
      </c>
      <c r="K44" s="273" t="s">
        <v>2537</v>
      </c>
      <c r="L44" s="266" t="s">
        <v>6226</v>
      </c>
      <c r="M44" s="273">
        <v>4216666.6670000004</v>
      </c>
      <c r="N44" s="266" t="s">
        <v>6224</v>
      </c>
      <c r="O44" s="273">
        <v>5500000</v>
      </c>
      <c r="P44" s="266" t="s">
        <v>6224</v>
      </c>
      <c r="Q44" s="273">
        <v>5500000</v>
      </c>
      <c r="R44" s="266" t="s">
        <v>6224</v>
      </c>
      <c r="S44" s="273">
        <v>5500000</v>
      </c>
      <c r="T44" s="266" t="s">
        <v>6224</v>
      </c>
      <c r="U44" s="273">
        <v>5500000</v>
      </c>
      <c r="V44" s="266" t="s">
        <v>6224</v>
      </c>
      <c r="W44" s="267">
        <v>0</v>
      </c>
      <c r="X44" s="266" t="s">
        <v>6226</v>
      </c>
      <c r="Y44" s="267"/>
      <c r="Z44" s="266" t="s">
        <v>6226</v>
      </c>
      <c r="AA44" s="267"/>
      <c r="AB44" s="266" t="s">
        <v>6226</v>
      </c>
      <c r="AC44" s="267"/>
      <c r="AD44" s="266" t="s">
        <v>6226</v>
      </c>
      <c r="AE44" s="267"/>
      <c r="AF44" s="266" t="s">
        <v>6226</v>
      </c>
      <c r="AG44" s="268" t="e">
        <f>SUM(SUMIF(L44,"Sí",K44),SUMIF(N44,"Sí",M44),SUMIF(P44,"Sí",O44),SUMIF(R44,"Sí",Q44),SUMIF(T44,"Sí",S44),SUMIF(V44,"Sí",#REF!),SUMIF(X44,"Sí",U44),SUMIF(Z44,"Sí",Y44),SUMIF(AB44,"Sí",AA44),SUMIF(AD44,"Sí",AC44),SUMIF(AF44,"Sí",AE44))</f>
        <v>#REF!</v>
      </c>
      <c r="AH44" s="268">
        <f t="shared" si="3"/>
        <v>26216666.666999999</v>
      </c>
      <c r="AI44" s="264">
        <v>45503</v>
      </c>
      <c r="AJ44" s="269">
        <f t="shared" ca="1" si="2"/>
        <v>-39</v>
      </c>
      <c r="AK44" s="270" t="e">
        <f t="shared" si="4"/>
        <v>#REF!</v>
      </c>
      <c r="AL44" s="272" t="s">
        <v>6307</v>
      </c>
    </row>
    <row r="45" spans="1:38" ht="78">
      <c r="A45" s="235">
        <v>44</v>
      </c>
      <c r="B45" s="236" t="s">
        <v>6417</v>
      </c>
      <c r="C45" s="234" t="s">
        <v>6324</v>
      </c>
      <c r="D45" s="252">
        <v>5500000</v>
      </c>
      <c r="E45" s="237">
        <v>5</v>
      </c>
      <c r="F45" s="261">
        <v>27500000</v>
      </c>
      <c r="G45" s="272">
        <v>7604</v>
      </c>
      <c r="H45" s="266"/>
      <c r="I45" s="288" t="s">
        <v>6418</v>
      </c>
      <c r="J45" s="264">
        <v>45356</v>
      </c>
      <c r="K45" s="273" t="s">
        <v>2537</v>
      </c>
      <c r="L45" s="266" t="s">
        <v>6226</v>
      </c>
      <c r="M45" s="273">
        <v>4766666.6670000004</v>
      </c>
      <c r="N45" s="266" t="s">
        <v>6224</v>
      </c>
      <c r="O45" s="273">
        <v>5500000</v>
      </c>
      <c r="P45" s="266" t="s">
        <v>6224</v>
      </c>
      <c r="Q45" s="273">
        <v>5500000</v>
      </c>
      <c r="R45" s="266" t="s">
        <v>6224</v>
      </c>
      <c r="S45" s="273">
        <v>733333.33330000006</v>
      </c>
      <c r="T45" s="266" t="s">
        <v>6419</v>
      </c>
      <c r="U45" s="267">
        <v>0</v>
      </c>
      <c r="V45" s="266" t="s">
        <v>6226</v>
      </c>
      <c r="W45" s="267">
        <v>0</v>
      </c>
      <c r="X45" s="266" t="s">
        <v>6226</v>
      </c>
      <c r="Y45" s="267"/>
      <c r="Z45" s="266" t="s">
        <v>6226</v>
      </c>
      <c r="AA45" s="267"/>
      <c r="AB45" s="266" t="s">
        <v>6226</v>
      </c>
      <c r="AC45" s="267"/>
      <c r="AD45" s="266" t="s">
        <v>6226</v>
      </c>
      <c r="AE45" s="267"/>
      <c r="AF45" s="266" t="s">
        <v>6226</v>
      </c>
      <c r="AG45" s="268" t="e">
        <f>SUM(SUMIF(L45,"Sí",K45),SUMIF(N45,"Sí",M45),SUMIF(P45,"Sí",O45),SUMIF(R45,"Sí",Q45),SUMIF(T45,"Sí",S45),SUMIF(V45,"Sí",#REF!),SUMIF(X45,"Sí",U45),SUMIF(Z45,"Sí",Y45),SUMIF(AB45,"Sí",AA45),SUMIF(AD45,"Sí",AC45),SUMIF(AF45,"Sí",AE45))</f>
        <v>#REF!</v>
      </c>
      <c r="AH45" s="268">
        <f t="shared" si="3"/>
        <v>16500000.000299999</v>
      </c>
      <c r="AI45" s="264">
        <v>45503</v>
      </c>
      <c r="AJ45" s="269">
        <f t="shared" ca="1" si="2"/>
        <v>-39</v>
      </c>
      <c r="AK45" s="270" t="e">
        <f t="shared" si="4"/>
        <v>#REF!</v>
      </c>
      <c r="AL45" s="272" t="s">
        <v>6420</v>
      </c>
    </row>
    <row r="46" spans="1:38" ht="99.75">
      <c r="A46" s="232">
        <v>45</v>
      </c>
      <c r="B46" s="233" t="s">
        <v>6421</v>
      </c>
      <c r="C46" s="234" t="s">
        <v>6324</v>
      </c>
      <c r="D46" s="252">
        <v>5500000</v>
      </c>
      <c r="E46" s="237">
        <v>5</v>
      </c>
      <c r="F46" s="261">
        <v>27500000</v>
      </c>
      <c r="G46" s="272">
        <v>7604</v>
      </c>
      <c r="H46" s="266"/>
      <c r="I46" s="288" t="s">
        <v>6422</v>
      </c>
      <c r="J46" s="264">
        <v>45357</v>
      </c>
      <c r="K46" s="273" t="s">
        <v>2537</v>
      </c>
      <c r="L46" s="266" t="s">
        <v>6226</v>
      </c>
      <c r="M46" s="273">
        <v>4583333.3329999996</v>
      </c>
      <c r="N46" s="266" t="s">
        <v>6224</v>
      </c>
      <c r="O46" s="273">
        <v>5500000</v>
      </c>
      <c r="P46" s="266" t="s">
        <v>6224</v>
      </c>
      <c r="Q46" s="273">
        <v>5500000</v>
      </c>
      <c r="R46" s="266" t="s">
        <v>6224</v>
      </c>
      <c r="S46" s="273">
        <v>733333.33330000006</v>
      </c>
      <c r="T46" s="266" t="s">
        <v>6419</v>
      </c>
      <c r="U46" s="267">
        <v>0</v>
      </c>
      <c r="V46" s="266" t="s">
        <v>6226</v>
      </c>
      <c r="W46" s="267">
        <v>0</v>
      </c>
      <c r="X46" s="266" t="s">
        <v>6226</v>
      </c>
      <c r="Y46" s="267"/>
      <c r="Z46" s="266" t="s">
        <v>6226</v>
      </c>
      <c r="AA46" s="267"/>
      <c r="AB46" s="266" t="s">
        <v>6226</v>
      </c>
      <c r="AC46" s="267"/>
      <c r="AD46" s="266" t="s">
        <v>6226</v>
      </c>
      <c r="AE46" s="267"/>
      <c r="AF46" s="266" t="s">
        <v>6226</v>
      </c>
      <c r="AG46" s="268" t="e">
        <f>SUM(SUMIF(L46,"Sí",K46),SUMIF(N46,"Sí",M46),SUMIF(P46,"Sí",O46),SUMIF(R46,"Sí",Q46),SUMIF(T46,"Sí",S46),SUMIF(V46,"Sí",#REF!),SUMIF(X46,"Sí",U46),SUMIF(Z46,"Sí",Y46),SUMIF(AB46,"Sí",AA46),SUMIF(AD46,"Sí",AC46),SUMIF(AF46,"Sí",AE46))</f>
        <v>#REF!</v>
      </c>
      <c r="AH46" s="268">
        <f t="shared" si="3"/>
        <v>16316666.666300001</v>
      </c>
      <c r="AI46" s="264">
        <v>45503</v>
      </c>
      <c r="AJ46" s="269">
        <f t="shared" ca="1" si="2"/>
        <v>-39</v>
      </c>
      <c r="AK46" s="270" t="e">
        <f t="shared" si="4"/>
        <v>#REF!</v>
      </c>
      <c r="AL46" s="272" t="s">
        <v>6423</v>
      </c>
    </row>
    <row r="47" spans="1:38" ht="78">
      <c r="A47" s="235">
        <v>46</v>
      </c>
      <c r="B47" s="236" t="s">
        <v>6424</v>
      </c>
      <c r="C47" s="234" t="s">
        <v>6355</v>
      </c>
      <c r="D47" s="252">
        <v>5500000</v>
      </c>
      <c r="E47" s="237">
        <v>5</v>
      </c>
      <c r="F47" s="261">
        <v>27500000</v>
      </c>
      <c r="G47" s="272">
        <v>7604</v>
      </c>
      <c r="H47" s="266"/>
      <c r="I47" s="288" t="s">
        <v>6425</v>
      </c>
      <c r="J47" s="264">
        <v>45359</v>
      </c>
      <c r="K47" s="273" t="s">
        <v>2537</v>
      </c>
      <c r="L47" s="266" t="s">
        <v>6226</v>
      </c>
      <c r="M47" s="273">
        <v>4216666.6670000004</v>
      </c>
      <c r="N47" s="266" t="s">
        <v>6224</v>
      </c>
      <c r="O47" s="273">
        <v>5500000</v>
      </c>
      <c r="P47" s="266" t="s">
        <v>6224</v>
      </c>
      <c r="Q47" s="273">
        <v>5500000</v>
      </c>
      <c r="R47" s="266" t="s">
        <v>6224</v>
      </c>
      <c r="S47" s="273">
        <v>5500000</v>
      </c>
      <c r="T47" s="266" t="s">
        <v>6224</v>
      </c>
      <c r="U47" s="273">
        <v>5500000</v>
      </c>
      <c r="V47" s="266" t="s">
        <v>6224</v>
      </c>
      <c r="W47" s="267">
        <v>0</v>
      </c>
      <c r="X47" s="266" t="s">
        <v>6226</v>
      </c>
      <c r="Y47" s="267"/>
      <c r="Z47" s="266" t="s">
        <v>6226</v>
      </c>
      <c r="AA47" s="267"/>
      <c r="AB47" s="266" t="s">
        <v>6226</v>
      </c>
      <c r="AC47" s="267"/>
      <c r="AD47" s="266" t="s">
        <v>6226</v>
      </c>
      <c r="AE47" s="267"/>
      <c r="AF47" s="266" t="s">
        <v>6226</v>
      </c>
      <c r="AG47" s="268" t="e">
        <f>SUM(SUMIF(L47,"Sí",K47),SUMIF(N47,"Sí",M47),SUMIF(P47,"Sí",O47),SUMIF(R47,"Sí",Q47),SUMIF(T47,"Sí",S47),SUMIF(V47,"Sí",#REF!),SUMIF(X47,"Sí",U47),SUMIF(Z47,"Sí",Y47),SUMIF(AB47,"Sí",AA47),SUMIF(AD47,"Sí",AC47),SUMIF(AF47,"Sí",AE47))</f>
        <v>#REF!</v>
      </c>
      <c r="AH47" s="268">
        <f t="shared" si="3"/>
        <v>26216666.666999999</v>
      </c>
      <c r="AI47" s="264">
        <v>45503</v>
      </c>
      <c r="AJ47" s="269">
        <f t="shared" ca="1" si="2"/>
        <v>-39</v>
      </c>
      <c r="AK47" s="270" t="e">
        <f t="shared" si="4"/>
        <v>#REF!</v>
      </c>
      <c r="AL47" s="272" t="s">
        <v>6307</v>
      </c>
    </row>
    <row r="48" spans="1:38" ht="66.75">
      <c r="A48" s="232">
        <v>47</v>
      </c>
      <c r="B48" s="233" t="s">
        <v>6426</v>
      </c>
      <c r="C48" s="234" t="s">
        <v>6383</v>
      </c>
      <c r="D48" s="252">
        <v>2700000</v>
      </c>
      <c r="E48" s="237">
        <v>5</v>
      </c>
      <c r="F48" s="261">
        <v>13500000</v>
      </c>
      <c r="G48" s="272">
        <v>7604</v>
      </c>
      <c r="H48" s="266"/>
      <c r="I48" s="288" t="s">
        <v>6427</v>
      </c>
      <c r="J48" s="264">
        <v>45356</v>
      </c>
      <c r="K48" s="273" t="s">
        <v>2537</v>
      </c>
      <c r="L48" s="266" t="s">
        <v>6226</v>
      </c>
      <c r="M48" s="273">
        <v>2340000</v>
      </c>
      <c r="N48" s="266" t="s">
        <v>6224</v>
      </c>
      <c r="O48" s="273">
        <v>2700000</v>
      </c>
      <c r="P48" s="266" t="s">
        <v>6224</v>
      </c>
      <c r="Q48" s="273">
        <v>2700000</v>
      </c>
      <c r="R48" s="266" t="s">
        <v>6224</v>
      </c>
      <c r="S48" s="273">
        <v>2700000</v>
      </c>
      <c r="T48" s="266" t="s">
        <v>6224</v>
      </c>
      <c r="U48" s="273">
        <v>2700000</v>
      </c>
      <c r="V48" s="266" t="s">
        <v>6224</v>
      </c>
      <c r="W48" s="267">
        <v>0</v>
      </c>
      <c r="X48" s="266" t="s">
        <v>6226</v>
      </c>
      <c r="Y48" s="267"/>
      <c r="Z48" s="266" t="s">
        <v>6226</v>
      </c>
      <c r="AA48" s="267"/>
      <c r="AB48" s="266" t="s">
        <v>6226</v>
      </c>
      <c r="AC48" s="267"/>
      <c r="AD48" s="266" t="s">
        <v>6226</v>
      </c>
      <c r="AE48" s="267"/>
      <c r="AF48" s="266" t="s">
        <v>6226</v>
      </c>
      <c r="AG48" s="268" t="e">
        <f>SUM(SUMIF(L48,"Sí",K48),SUMIF(N48,"Sí",M48),SUMIF(P48,"Sí",O48),SUMIF(R48,"Sí",Q48),SUMIF(T48,"Sí",S48),SUMIF(V48,"Sí",#REF!),SUMIF(X48,"Sí",U48),SUMIF(Z48,"Sí",Y48),SUMIF(AB48,"Sí",AA48),SUMIF(AD48,"Sí",AC48),SUMIF(AF48,"Sí",AE48))</f>
        <v>#REF!</v>
      </c>
      <c r="AH48" s="268">
        <f t="shared" si="3"/>
        <v>13140000</v>
      </c>
      <c r="AI48" s="264">
        <v>45503</v>
      </c>
      <c r="AJ48" s="269">
        <f t="shared" ca="1" si="2"/>
        <v>-39</v>
      </c>
      <c r="AK48" s="270" t="e">
        <f t="shared" si="4"/>
        <v>#REF!</v>
      </c>
      <c r="AL48" s="272" t="s">
        <v>6307</v>
      </c>
    </row>
    <row r="49" spans="1:39" ht="78">
      <c r="A49" s="235">
        <v>48</v>
      </c>
      <c r="B49" s="236" t="s">
        <v>6428</v>
      </c>
      <c r="C49" s="234" t="s">
        <v>6355</v>
      </c>
      <c r="D49" s="252">
        <v>5500000</v>
      </c>
      <c r="E49" s="237">
        <v>5</v>
      </c>
      <c r="F49" s="261">
        <v>27500000</v>
      </c>
      <c r="G49" s="272">
        <v>7604</v>
      </c>
      <c r="H49" s="266"/>
      <c r="I49" s="288" t="s">
        <v>6429</v>
      </c>
      <c r="J49" s="264">
        <v>45356</v>
      </c>
      <c r="K49" s="273" t="s">
        <v>2537</v>
      </c>
      <c r="L49" s="266" t="s">
        <v>6226</v>
      </c>
      <c r="M49" s="273">
        <v>4766666.6670000004</v>
      </c>
      <c r="N49" s="266" t="s">
        <v>6224</v>
      </c>
      <c r="O49" s="273">
        <v>5500000</v>
      </c>
      <c r="P49" s="266" t="s">
        <v>6224</v>
      </c>
      <c r="Q49" s="273">
        <v>5500000</v>
      </c>
      <c r="R49" s="266" t="s">
        <v>6224</v>
      </c>
      <c r="S49" s="273">
        <v>5500000</v>
      </c>
      <c r="T49" s="266" t="s">
        <v>6224</v>
      </c>
      <c r="U49" s="273">
        <v>5500000</v>
      </c>
      <c r="V49" s="266" t="s">
        <v>6224</v>
      </c>
      <c r="W49" s="267">
        <v>0</v>
      </c>
      <c r="X49" s="266" t="s">
        <v>6226</v>
      </c>
      <c r="Y49" s="267"/>
      <c r="Z49" s="266" t="s">
        <v>6226</v>
      </c>
      <c r="AA49" s="267"/>
      <c r="AB49" s="266" t="s">
        <v>6226</v>
      </c>
      <c r="AC49" s="267"/>
      <c r="AD49" s="266" t="s">
        <v>6226</v>
      </c>
      <c r="AE49" s="267"/>
      <c r="AF49" s="266" t="s">
        <v>6226</v>
      </c>
      <c r="AG49" s="268" t="e">
        <f>SUM(SUMIF(L49,"Sí",K49),SUMIF(N49,"Sí",M49),SUMIF(P49,"Sí",O49),SUMIF(R49,"Sí",Q49),SUMIF(T49,"Sí",S49),SUMIF(V49,"Sí",#REF!),SUMIF(X49,"Sí",U49),SUMIF(Z49,"Sí",Y49),SUMIF(AB49,"Sí",AA49),SUMIF(AD49,"Sí",AC49),SUMIF(AF49,"Sí",AE49))</f>
        <v>#REF!</v>
      </c>
      <c r="AH49" s="268">
        <f t="shared" si="3"/>
        <v>26766666.666999999</v>
      </c>
      <c r="AI49" s="264">
        <v>45503</v>
      </c>
      <c r="AJ49" s="269">
        <f t="shared" ca="1" si="2"/>
        <v>-39</v>
      </c>
      <c r="AK49" s="270" t="e">
        <f t="shared" si="4"/>
        <v>#REF!</v>
      </c>
      <c r="AL49" s="272" t="s">
        <v>6307</v>
      </c>
    </row>
    <row r="50" spans="1:39" ht="66.75">
      <c r="A50" s="232">
        <v>49</v>
      </c>
      <c r="B50" s="233" t="s">
        <v>6430</v>
      </c>
      <c r="C50" s="234" t="s">
        <v>6383</v>
      </c>
      <c r="D50" s="252">
        <v>2700000</v>
      </c>
      <c r="E50" s="237">
        <v>5</v>
      </c>
      <c r="F50" s="261">
        <v>13500000</v>
      </c>
      <c r="G50" s="272">
        <v>7604</v>
      </c>
      <c r="H50" s="266"/>
      <c r="I50" s="288" t="s">
        <v>6431</v>
      </c>
      <c r="J50" s="264">
        <v>45362</v>
      </c>
      <c r="K50" s="273" t="s">
        <v>2537</v>
      </c>
      <c r="L50" s="266" t="s">
        <v>6226</v>
      </c>
      <c r="M50" s="273">
        <v>1800000</v>
      </c>
      <c r="N50" s="266" t="s">
        <v>6224</v>
      </c>
      <c r="O50" s="273">
        <v>2700000</v>
      </c>
      <c r="P50" s="266" t="s">
        <v>6224</v>
      </c>
      <c r="Q50" s="273">
        <v>2700000</v>
      </c>
      <c r="R50" s="266" t="s">
        <v>6224</v>
      </c>
      <c r="S50" s="273">
        <v>2700000</v>
      </c>
      <c r="T50" s="266" t="s">
        <v>6224</v>
      </c>
      <c r="U50" s="273">
        <v>2700000</v>
      </c>
      <c r="V50" s="266" t="s">
        <v>6224</v>
      </c>
      <c r="W50" s="267">
        <v>0</v>
      </c>
      <c r="X50" s="266" t="s">
        <v>6226</v>
      </c>
      <c r="Y50" s="267"/>
      <c r="Z50" s="266" t="s">
        <v>6226</v>
      </c>
      <c r="AA50" s="267"/>
      <c r="AB50" s="266" t="s">
        <v>6226</v>
      </c>
      <c r="AC50" s="267"/>
      <c r="AD50" s="266" t="s">
        <v>6226</v>
      </c>
      <c r="AE50" s="267"/>
      <c r="AF50" s="266" t="s">
        <v>6226</v>
      </c>
      <c r="AG50" s="268" t="e">
        <f>SUM(SUMIF(L50,"Sí",K50),SUMIF(N50,"Sí",M50),SUMIF(P50,"Sí",O50),SUMIF(R50,"Sí",Q50),SUMIF(T50,"Sí",S50),SUMIF(V50,"Sí",#REF!),SUMIF(X50,"Sí",U50),SUMIF(Z50,"Sí",Y50),SUMIF(AB50,"Sí",AA50),SUMIF(AD50,"Sí",AC50),SUMIF(AF50,"Sí",AE50))</f>
        <v>#REF!</v>
      </c>
      <c r="AH50" s="268">
        <f t="shared" si="3"/>
        <v>12600000</v>
      </c>
      <c r="AI50" s="264">
        <v>45503</v>
      </c>
      <c r="AJ50" s="269">
        <f t="shared" ca="1" si="2"/>
        <v>-39</v>
      </c>
      <c r="AK50" s="270" t="e">
        <f t="shared" si="4"/>
        <v>#REF!</v>
      </c>
      <c r="AL50" s="272" t="s">
        <v>6307</v>
      </c>
    </row>
    <row r="51" spans="1:39" ht="66.75">
      <c r="A51" s="235">
        <v>50</v>
      </c>
      <c r="B51" s="236" t="s">
        <v>6432</v>
      </c>
      <c r="C51" s="234" t="s">
        <v>6318</v>
      </c>
      <c r="D51" s="252">
        <v>6700000</v>
      </c>
      <c r="E51" s="237">
        <v>5</v>
      </c>
      <c r="F51" s="261">
        <v>33500000</v>
      </c>
      <c r="G51" s="272">
        <v>7604</v>
      </c>
      <c r="H51" s="266"/>
      <c r="I51" s="288" t="s">
        <v>6433</v>
      </c>
      <c r="J51" s="264">
        <v>45357</v>
      </c>
      <c r="K51" s="273" t="s">
        <v>2537</v>
      </c>
      <c r="L51" s="266" t="s">
        <v>6226</v>
      </c>
      <c r="M51" s="273">
        <v>5583333.3329999996</v>
      </c>
      <c r="N51" s="266" t="s">
        <v>6224</v>
      </c>
      <c r="O51" s="273">
        <v>6700000</v>
      </c>
      <c r="P51" s="266" t="s">
        <v>6224</v>
      </c>
      <c r="Q51" s="273">
        <v>6700000</v>
      </c>
      <c r="R51" s="266" t="s">
        <v>6224</v>
      </c>
      <c r="S51" s="273">
        <v>6700000</v>
      </c>
      <c r="T51" s="266" t="s">
        <v>6224</v>
      </c>
      <c r="U51" s="273">
        <v>6700000</v>
      </c>
      <c r="V51" s="266" t="s">
        <v>6224</v>
      </c>
      <c r="W51" s="267">
        <v>0</v>
      </c>
      <c r="X51" s="266" t="s">
        <v>6226</v>
      </c>
      <c r="Y51" s="267"/>
      <c r="Z51" s="266" t="s">
        <v>6226</v>
      </c>
      <c r="AA51" s="267"/>
      <c r="AB51" s="266" t="s">
        <v>6226</v>
      </c>
      <c r="AC51" s="267"/>
      <c r="AD51" s="266" t="s">
        <v>6226</v>
      </c>
      <c r="AE51" s="267"/>
      <c r="AF51" s="266" t="s">
        <v>6226</v>
      </c>
      <c r="AG51" s="268" t="e">
        <f>SUM(SUMIF(L51,"Sí",K51),SUMIF(N51,"Sí",M51),SUMIF(P51,"Sí",O51),SUMIF(R51,"Sí",Q51),SUMIF(T51,"Sí",S51),SUMIF(V51,"Sí",#REF!),SUMIF(X51,"Sí",U51),SUMIF(Z51,"Sí",Y51),SUMIF(AB51,"Sí",AA51),SUMIF(AD51,"Sí",AC51),SUMIF(AF51,"Sí",AE51))</f>
        <v>#REF!</v>
      </c>
      <c r="AH51" s="268">
        <f t="shared" si="3"/>
        <v>32383333.333000001</v>
      </c>
      <c r="AI51" s="264">
        <v>45503</v>
      </c>
      <c r="AJ51" s="269">
        <f t="shared" ca="1" si="2"/>
        <v>-39</v>
      </c>
      <c r="AK51" s="270" t="e">
        <f t="shared" si="4"/>
        <v>#REF!</v>
      </c>
      <c r="AL51" s="272" t="s">
        <v>6434</v>
      </c>
    </row>
    <row r="52" spans="1:39" ht="66.75">
      <c r="A52" s="232">
        <v>51</v>
      </c>
      <c r="B52" s="233" t="s">
        <v>6435</v>
      </c>
      <c r="C52" s="234" t="s">
        <v>6377</v>
      </c>
      <c r="D52" s="252">
        <v>2426000</v>
      </c>
      <c r="E52" s="237">
        <v>5</v>
      </c>
      <c r="F52" s="261">
        <v>12130000</v>
      </c>
      <c r="G52" s="272">
        <v>7604</v>
      </c>
      <c r="H52" s="266"/>
      <c r="I52" s="288" t="s">
        <v>6436</v>
      </c>
      <c r="J52" s="264">
        <v>45357</v>
      </c>
      <c r="K52" s="273" t="s">
        <v>2537</v>
      </c>
      <c r="L52" s="266" t="s">
        <v>6226</v>
      </c>
      <c r="M52" s="273">
        <v>2021666.6669999999</v>
      </c>
      <c r="N52" s="266" t="s">
        <v>6224</v>
      </c>
      <c r="O52" s="273">
        <v>2426000</v>
      </c>
      <c r="P52" s="266" t="s">
        <v>6224</v>
      </c>
      <c r="Q52" s="273">
        <v>2426000</v>
      </c>
      <c r="R52" s="266" t="s">
        <v>6224</v>
      </c>
      <c r="S52" s="273">
        <v>2426000</v>
      </c>
      <c r="T52" s="266" t="s">
        <v>6224</v>
      </c>
      <c r="U52" s="273">
        <v>2426000</v>
      </c>
      <c r="V52" s="266" t="s">
        <v>6224</v>
      </c>
      <c r="W52" s="267">
        <v>0</v>
      </c>
      <c r="X52" s="266" t="s">
        <v>6226</v>
      </c>
      <c r="Y52" s="267"/>
      <c r="Z52" s="266" t="s">
        <v>6226</v>
      </c>
      <c r="AA52" s="267"/>
      <c r="AB52" s="266" t="s">
        <v>6226</v>
      </c>
      <c r="AC52" s="267"/>
      <c r="AD52" s="266" t="s">
        <v>6226</v>
      </c>
      <c r="AE52" s="267"/>
      <c r="AF52" s="266" t="s">
        <v>6226</v>
      </c>
      <c r="AG52" s="268" t="e">
        <f>SUM(SUMIF(L52,"Sí",K52),SUMIF(N52,"Sí",M52),SUMIF(P52,"Sí",O52),SUMIF(R52,"Sí",Q52),SUMIF(T52,"Sí",S52),SUMIF(V52,"Sí",#REF!),SUMIF(X52,"Sí",U52),SUMIF(Z52,"Sí",Y52),SUMIF(AB52,"Sí",AA52),SUMIF(AD52,"Sí",AC52),SUMIF(AF52,"Sí",AE52))</f>
        <v>#REF!</v>
      </c>
      <c r="AH52" s="268">
        <f t="shared" si="3"/>
        <v>11725666.666999999</v>
      </c>
      <c r="AI52" s="264">
        <v>45503</v>
      </c>
      <c r="AJ52" s="269">
        <f t="shared" ca="1" si="2"/>
        <v>-39</v>
      </c>
      <c r="AK52" s="270" t="e">
        <f t="shared" si="4"/>
        <v>#REF!</v>
      </c>
      <c r="AL52" s="272" t="s">
        <v>6307</v>
      </c>
    </row>
    <row r="53" spans="1:39" ht="78">
      <c r="A53" s="235">
        <v>52</v>
      </c>
      <c r="B53" s="236" t="s">
        <v>6437</v>
      </c>
      <c r="C53" s="238" t="s">
        <v>6372</v>
      </c>
      <c r="D53" s="252">
        <v>4500000</v>
      </c>
      <c r="E53" s="237">
        <v>4.5</v>
      </c>
      <c r="F53" s="261">
        <v>20250000</v>
      </c>
      <c r="G53" s="272">
        <v>7604</v>
      </c>
      <c r="H53" s="266"/>
      <c r="I53" s="288" t="s">
        <v>6438</v>
      </c>
      <c r="J53" s="264">
        <v>45371</v>
      </c>
      <c r="K53" s="273" t="s">
        <v>2537</v>
      </c>
      <c r="L53" s="266" t="s">
        <v>6226</v>
      </c>
      <c r="M53" s="273">
        <v>1650000</v>
      </c>
      <c r="N53" s="266" t="s">
        <v>6224</v>
      </c>
      <c r="O53" s="273">
        <v>4500000</v>
      </c>
      <c r="P53" s="266" t="s">
        <v>6224</v>
      </c>
      <c r="Q53" s="273">
        <v>4500000</v>
      </c>
      <c r="R53" s="266" t="s">
        <v>6224</v>
      </c>
      <c r="S53" s="273">
        <v>4500000</v>
      </c>
      <c r="T53" s="266" t="s">
        <v>6224</v>
      </c>
      <c r="U53" s="273">
        <v>4500000</v>
      </c>
      <c r="V53" s="266" t="s">
        <v>6224</v>
      </c>
      <c r="W53" s="267">
        <v>600000</v>
      </c>
      <c r="X53" s="266" t="s">
        <v>6226</v>
      </c>
      <c r="Y53" s="267"/>
      <c r="Z53" s="266" t="s">
        <v>6226</v>
      </c>
      <c r="AA53" s="267"/>
      <c r="AB53" s="266" t="s">
        <v>6226</v>
      </c>
      <c r="AC53" s="267"/>
      <c r="AD53" s="266" t="s">
        <v>6226</v>
      </c>
      <c r="AE53" s="267"/>
      <c r="AF53" s="266" t="s">
        <v>6226</v>
      </c>
      <c r="AG53" s="268" t="e">
        <f>SUM(SUMIF(L53,"Sí",K53),SUMIF(N53,"Sí",M53),SUMIF(P53,"Sí",O53),SUMIF(R53,"Sí",Q53),SUMIF(T53,"Sí",S53),SUMIF(V53,"Sí",#REF!),SUMIF(X53,"Sí",U53),SUMIF(Z53,"Sí",Y53),SUMIF(AB53,"Sí",AA53),SUMIF(AD53,"Sí",AC53),SUMIF(AF53,"Sí",AE53))</f>
        <v>#REF!</v>
      </c>
      <c r="AH53" s="268">
        <f t="shared" si="3"/>
        <v>20250000</v>
      </c>
      <c r="AI53" s="264">
        <v>45508</v>
      </c>
      <c r="AJ53" s="269">
        <f t="shared" ca="1" si="2"/>
        <v>-34</v>
      </c>
      <c r="AK53" s="270" t="e">
        <f t="shared" si="4"/>
        <v>#REF!</v>
      </c>
      <c r="AL53" s="272" t="s">
        <v>6439</v>
      </c>
    </row>
    <row r="54" spans="1:39" ht="66.75">
      <c r="A54" s="232">
        <v>53</v>
      </c>
      <c r="B54" s="233" t="s">
        <v>6440</v>
      </c>
      <c r="C54" s="242" t="s">
        <v>6441</v>
      </c>
      <c r="D54" s="252">
        <v>5500000</v>
      </c>
      <c r="E54" s="237">
        <v>4.5</v>
      </c>
      <c r="F54" s="261">
        <v>24750000</v>
      </c>
      <c r="G54" s="272">
        <v>7604</v>
      </c>
      <c r="H54" s="266"/>
      <c r="I54" s="288" t="s">
        <v>6442</v>
      </c>
      <c r="J54" s="264">
        <v>45364</v>
      </c>
      <c r="K54" s="273" t="s">
        <v>2537</v>
      </c>
      <c r="L54" s="266" t="s">
        <v>6226</v>
      </c>
      <c r="M54" s="273">
        <v>3300000</v>
      </c>
      <c r="N54" s="266" t="s">
        <v>6224</v>
      </c>
      <c r="O54" s="273">
        <v>5500000</v>
      </c>
      <c r="P54" s="266" t="s">
        <v>6224</v>
      </c>
      <c r="Q54" s="273">
        <v>5500000</v>
      </c>
      <c r="R54" s="266" t="s">
        <v>6224</v>
      </c>
      <c r="S54" s="273">
        <v>5500000</v>
      </c>
      <c r="T54" s="266" t="s">
        <v>6224</v>
      </c>
      <c r="U54" s="273">
        <v>4950000</v>
      </c>
      <c r="V54" s="266" t="s">
        <v>6224</v>
      </c>
      <c r="W54" s="267">
        <v>0</v>
      </c>
      <c r="X54" s="266" t="s">
        <v>6226</v>
      </c>
      <c r="Y54" s="267"/>
      <c r="Z54" s="266" t="s">
        <v>6226</v>
      </c>
      <c r="AA54" s="267"/>
      <c r="AB54" s="266" t="s">
        <v>6226</v>
      </c>
      <c r="AC54" s="267"/>
      <c r="AD54" s="266" t="s">
        <v>6226</v>
      </c>
      <c r="AE54" s="267"/>
      <c r="AF54" s="266" t="s">
        <v>6226</v>
      </c>
      <c r="AG54" s="268" t="e">
        <f>SUM(SUMIF(L54,"Sí",K54),SUMIF(N54,"Sí",M54),SUMIF(P54,"Sí",O54),SUMIF(R54,"Sí",Q54),SUMIF(T54,"Sí",S54),SUMIF(V54,"Sí",#REF!),SUMIF(X54,"Sí",U54),SUMIF(Z54,"Sí",Y54),SUMIF(AB54,"Sí",AA54),SUMIF(AD54,"Sí",AC54),SUMIF(AF54,"Sí",AE54))</f>
        <v>#REF!</v>
      </c>
      <c r="AH54" s="268">
        <f t="shared" si="3"/>
        <v>24750000</v>
      </c>
      <c r="AI54" s="264">
        <v>45500</v>
      </c>
      <c r="AJ54" s="269">
        <f t="shared" ca="1" si="2"/>
        <v>-42</v>
      </c>
      <c r="AK54" s="270" t="e">
        <f t="shared" si="4"/>
        <v>#REF!</v>
      </c>
      <c r="AL54" s="272" t="s">
        <v>6307</v>
      </c>
    </row>
    <row r="55" spans="1:39" ht="78">
      <c r="A55" s="235">
        <v>54</v>
      </c>
      <c r="B55" s="236" t="s">
        <v>6443</v>
      </c>
      <c r="C55" s="234" t="s">
        <v>6355</v>
      </c>
      <c r="D55" s="257">
        <v>5500000</v>
      </c>
      <c r="E55" s="237">
        <v>5</v>
      </c>
      <c r="F55" s="261">
        <v>27500000</v>
      </c>
      <c r="G55" s="272">
        <v>7604</v>
      </c>
      <c r="H55" s="266"/>
      <c r="I55" s="288" t="s">
        <v>6444</v>
      </c>
      <c r="J55" s="264">
        <v>45357</v>
      </c>
      <c r="K55" s="273" t="s">
        <v>2537</v>
      </c>
      <c r="L55" s="266" t="s">
        <v>6226</v>
      </c>
      <c r="M55" s="273">
        <v>4583333.3329999996</v>
      </c>
      <c r="N55" s="266" t="s">
        <v>6224</v>
      </c>
      <c r="O55" s="273">
        <v>5500000</v>
      </c>
      <c r="P55" s="266" t="s">
        <v>6224</v>
      </c>
      <c r="Q55" s="273">
        <v>5500000</v>
      </c>
      <c r="R55" s="266" t="s">
        <v>6224</v>
      </c>
      <c r="S55" s="273">
        <v>5500000</v>
      </c>
      <c r="T55" s="266" t="s">
        <v>6224</v>
      </c>
      <c r="U55" s="273">
        <v>5500000</v>
      </c>
      <c r="V55" s="266" t="s">
        <v>6224</v>
      </c>
      <c r="W55" s="267">
        <v>0</v>
      </c>
      <c r="X55" s="266" t="s">
        <v>6226</v>
      </c>
      <c r="Y55" s="267"/>
      <c r="Z55" s="266" t="s">
        <v>6226</v>
      </c>
      <c r="AA55" s="267"/>
      <c r="AB55" s="266" t="s">
        <v>6226</v>
      </c>
      <c r="AC55" s="267"/>
      <c r="AD55" s="266" t="s">
        <v>6226</v>
      </c>
      <c r="AE55" s="267"/>
      <c r="AF55" s="266" t="s">
        <v>6226</v>
      </c>
      <c r="AG55" s="268" t="e">
        <f>SUM(SUMIF(L55,"Sí",K55),SUMIF(N55,"Sí",M55),SUMIF(P55,"Sí",O55),SUMIF(R55,"Sí",Q55),SUMIF(T55,"Sí",S55),SUMIF(V55,"Sí",#REF!),SUMIF(X55,"Sí",U55),SUMIF(Z55,"Sí",Y55),SUMIF(AB55,"Sí",AA55),SUMIF(AD55,"Sí",AC55),SUMIF(AF55,"Sí",AE55))</f>
        <v>#REF!</v>
      </c>
      <c r="AH55" s="268">
        <f t="shared" si="3"/>
        <v>26583333.333000001</v>
      </c>
      <c r="AI55" s="264">
        <v>45504</v>
      </c>
      <c r="AJ55" s="269">
        <f t="shared" ca="1" si="2"/>
        <v>-38</v>
      </c>
      <c r="AK55" s="270" t="e">
        <f t="shared" si="4"/>
        <v>#REF!</v>
      </c>
      <c r="AL55" s="272" t="s">
        <v>6307</v>
      </c>
    </row>
    <row r="56" spans="1:39" ht="66.75">
      <c r="A56" s="232">
        <v>55</v>
      </c>
      <c r="B56" s="248" t="s">
        <v>6445</v>
      </c>
      <c r="C56" s="238" t="s">
        <v>6383</v>
      </c>
      <c r="D56" s="258">
        <v>2700000</v>
      </c>
      <c r="E56" s="247">
        <v>5</v>
      </c>
      <c r="F56" s="253">
        <v>13500000</v>
      </c>
      <c r="G56" s="272">
        <v>7604</v>
      </c>
      <c r="H56" s="266"/>
      <c r="I56" s="288" t="s">
        <v>6446</v>
      </c>
      <c r="J56" s="264">
        <v>45356</v>
      </c>
      <c r="K56" s="273" t="s">
        <v>2537</v>
      </c>
      <c r="L56" s="266" t="s">
        <v>6226</v>
      </c>
      <c r="M56" s="273">
        <v>2340000</v>
      </c>
      <c r="N56" s="266" t="s">
        <v>6224</v>
      </c>
      <c r="O56" s="273">
        <v>2700000</v>
      </c>
      <c r="P56" s="266" t="s">
        <v>6224</v>
      </c>
      <c r="Q56" s="273">
        <v>2700000</v>
      </c>
      <c r="R56" s="266" t="s">
        <v>6224</v>
      </c>
      <c r="S56" s="273">
        <v>2700000</v>
      </c>
      <c r="T56" s="266" t="s">
        <v>6224</v>
      </c>
      <c r="U56" s="273">
        <v>2700000</v>
      </c>
      <c r="V56" s="266" t="s">
        <v>6224</v>
      </c>
      <c r="W56" s="267">
        <v>0</v>
      </c>
      <c r="X56" s="266" t="s">
        <v>6226</v>
      </c>
      <c r="Y56" s="267"/>
      <c r="Z56" s="266" t="s">
        <v>6226</v>
      </c>
      <c r="AA56" s="267"/>
      <c r="AB56" s="266" t="s">
        <v>6226</v>
      </c>
      <c r="AC56" s="267"/>
      <c r="AD56" s="266" t="s">
        <v>6226</v>
      </c>
      <c r="AE56" s="267"/>
      <c r="AF56" s="266" t="s">
        <v>6226</v>
      </c>
      <c r="AG56" s="268" t="e">
        <f>SUM(SUMIF(L56,"Sí",K56),SUMIF(N56,"Sí",M56),SUMIF(P56,"Sí",O56),SUMIF(R56,"Sí",Q56),SUMIF(T56,"Sí",S56),SUMIF(V56,"Sí",#REF!),SUMIF(X56,"Sí",U56),SUMIF(Z56,"Sí",Y56),SUMIF(AB56,"Sí",AA56),SUMIF(AD56,"Sí",AC56),SUMIF(AF56,"Sí",AE56))</f>
        <v>#REF!</v>
      </c>
      <c r="AH56" s="268">
        <f t="shared" si="3"/>
        <v>13140000</v>
      </c>
      <c r="AI56" s="264">
        <v>45503</v>
      </c>
      <c r="AJ56" s="269">
        <f t="shared" ca="1" si="2"/>
        <v>-39</v>
      </c>
      <c r="AK56" s="270" t="e">
        <f t="shared" si="4"/>
        <v>#REF!</v>
      </c>
      <c r="AL56" s="272" t="s">
        <v>6307</v>
      </c>
    </row>
    <row r="57" spans="1:39" ht="55.5">
      <c r="A57" s="235">
        <v>56</v>
      </c>
      <c r="B57" s="249" t="s">
        <v>6447</v>
      </c>
      <c r="C57" s="242" t="s">
        <v>6330</v>
      </c>
      <c r="D57" s="259">
        <v>4500000</v>
      </c>
      <c r="E57" s="242">
        <v>2.5</v>
      </c>
      <c r="F57" s="262">
        <v>11250000</v>
      </c>
      <c r="G57" s="272">
        <v>7604</v>
      </c>
      <c r="H57" s="266"/>
      <c r="I57" s="287" t="s">
        <v>6448</v>
      </c>
      <c r="J57" s="274">
        <v>45405</v>
      </c>
      <c r="K57" s="266" t="s">
        <v>2537</v>
      </c>
      <c r="L57" s="266" t="s">
        <v>6226</v>
      </c>
      <c r="M57" s="266" t="s">
        <v>2537</v>
      </c>
      <c r="N57" s="266" t="s">
        <v>6226</v>
      </c>
      <c r="O57" s="266">
        <v>1200000</v>
      </c>
      <c r="P57" s="266" t="s">
        <v>6224</v>
      </c>
      <c r="Q57" s="266">
        <v>4500000</v>
      </c>
      <c r="R57" s="266" t="s">
        <v>6224</v>
      </c>
      <c r="S57" s="266">
        <v>4500000</v>
      </c>
      <c r="T57" s="266" t="s">
        <v>6224</v>
      </c>
      <c r="U57" s="266">
        <v>1050000</v>
      </c>
      <c r="V57" s="266" t="s">
        <v>6224</v>
      </c>
      <c r="W57" s="275">
        <v>0</v>
      </c>
      <c r="X57" s="266" t="s">
        <v>6226</v>
      </c>
      <c r="Y57" s="275"/>
      <c r="Z57" s="266" t="s">
        <v>6226</v>
      </c>
      <c r="AA57" s="275"/>
      <c r="AB57" s="266" t="s">
        <v>6226</v>
      </c>
      <c r="AC57" s="275"/>
      <c r="AD57" s="266" t="s">
        <v>6226</v>
      </c>
      <c r="AE57" s="275"/>
      <c r="AF57" s="266" t="s">
        <v>6226</v>
      </c>
      <c r="AG57" s="268" t="e">
        <f>SUM(SUMIF(L57,"Sí",K57),SUMIF(N57,"Sí",M57),SUMIF(P57,"Sí",O57),SUMIF(R57,"Sí",Q57),SUMIF(T57,"Sí",S57),SUMIF(V57,"Sí",#REF!),SUMIF(X57,"Sí",U57),SUMIF(Z57,"Sí",Y57),SUMIF(AB57,"Sí",AA57),SUMIF(AD57,"Sí",AC57),SUMIF(AF57,"Sí",AE57))</f>
        <v>#REF!</v>
      </c>
      <c r="AH57" s="268">
        <f t="shared" si="3"/>
        <v>11250000</v>
      </c>
      <c r="AI57" s="274">
        <v>45480</v>
      </c>
      <c r="AJ57" s="269">
        <f t="shared" ca="1" si="2"/>
        <v>-62</v>
      </c>
      <c r="AK57" s="270" t="e">
        <f t="shared" si="4"/>
        <v>#REF!</v>
      </c>
      <c r="AL57" s="272" t="s">
        <v>6307</v>
      </c>
    </row>
    <row r="58" spans="1:39" ht="88.5">
      <c r="A58" s="235">
        <v>57</v>
      </c>
      <c r="B58" s="249" t="s">
        <v>6449</v>
      </c>
      <c r="C58" s="242" t="s">
        <v>6450</v>
      </c>
      <c r="D58" s="259">
        <v>13000000</v>
      </c>
      <c r="E58" s="242">
        <v>4</v>
      </c>
      <c r="F58" s="262">
        <v>52000000</v>
      </c>
      <c r="G58" s="272">
        <v>7604</v>
      </c>
      <c r="H58" s="266"/>
      <c r="I58" s="289" t="s">
        <v>6451</v>
      </c>
      <c r="J58" s="279">
        <v>45373</v>
      </c>
      <c r="K58" s="280" t="s">
        <v>2537</v>
      </c>
      <c r="L58" s="280" t="s">
        <v>6226</v>
      </c>
      <c r="M58" s="286">
        <v>3900000</v>
      </c>
      <c r="N58" s="280" t="s">
        <v>6224</v>
      </c>
      <c r="O58" s="286">
        <v>13000000</v>
      </c>
      <c r="P58" s="280" t="s">
        <v>6224</v>
      </c>
      <c r="Q58" s="286">
        <v>13000000</v>
      </c>
      <c r="R58" s="280" t="s">
        <v>6224</v>
      </c>
      <c r="S58" s="286">
        <v>13000000</v>
      </c>
      <c r="T58" s="280" t="s">
        <v>6224</v>
      </c>
      <c r="U58" s="280">
        <v>9100000</v>
      </c>
      <c r="V58" s="280" t="s">
        <v>6224</v>
      </c>
      <c r="W58" s="281">
        <v>0</v>
      </c>
      <c r="X58" s="280" t="s">
        <v>6226</v>
      </c>
      <c r="Y58" s="281"/>
      <c r="Z58" s="280" t="s">
        <v>6226</v>
      </c>
      <c r="AA58" s="281"/>
      <c r="AB58" s="280" t="s">
        <v>6226</v>
      </c>
      <c r="AC58" s="281"/>
      <c r="AD58" s="280" t="s">
        <v>6226</v>
      </c>
      <c r="AE58" s="281"/>
      <c r="AF58" s="280" t="s">
        <v>6226</v>
      </c>
      <c r="AG58" s="282" t="e">
        <f>SUM(SUMIF(L58,"Sí",K58),SUMIF(N58,"Sí",M58),SUMIF(P58,"Sí",O58),SUMIF(R58,"Sí",Q58),SUMIF(T58,"Sí",S58),SUMIF(V58,"Sí",#REF!),SUMIF(X58,"Sí",U58),SUMIF(Z58,"Sí",Y58),SUMIF(AB58,"Sí",AA58),SUMIF(AD58,"Sí",AC58),SUMIF(AF58,"Sí",AE58))</f>
        <v>#REF!</v>
      </c>
      <c r="AH58" s="282">
        <f t="shared" si="3"/>
        <v>52000000</v>
      </c>
      <c r="AI58" s="279">
        <v>45494</v>
      </c>
      <c r="AJ58" s="283">
        <f t="shared" ca="1" si="2"/>
        <v>-48</v>
      </c>
      <c r="AK58" s="284" t="e">
        <f t="shared" si="4"/>
        <v>#REF!</v>
      </c>
      <c r="AL58" s="285" t="s">
        <v>6307</v>
      </c>
    </row>
    <row r="59" spans="1:39" s="260" customFormat="1" ht="66.75">
      <c r="A59" s="235">
        <v>58</v>
      </c>
      <c r="B59" s="249" t="s">
        <v>6452</v>
      </c>
      <c r="C59" s="242" t="s">
        <v>6453</v>
      </c>
      <c r="D59" s="259" t="s">
        <v>6454</v>
      </c>
      <c r="E59" s="242">
        <v>6</v>
      </c>
      <c r="F59" s="262">
        <v>499800000</v>
      </c>
      <c r="G59" s="272" t="s">
        <v>6455</v>
      </c>
      <c r="H59" s="266"/>
      <c r="I59" s="289" t="s">
        <v>6456</v>
      </c>
      <c r="J59" s="279">
        <v>45420</v>
      </c>
      <c r="K59" s="280" t="s">
        <v>2537</v>
      </c>
      <c r="L59" s="280" t="s">
        <v>6226</v>
      </c>
      <c r="M59" s="280" t="s">
        <v>2537</v>
      </c>
      <c r="N59" s="280" t="s">
        <v>6226</v>
      </c>
      <c r="O59" s="280" t="s">
        <v>2537</v>
      </c>
      <c r="P59" s="280" t="s">
        <v>6226</v>
      </c>
      <c r="Q59" s="286">
        <v>30801722</v>
      </c>
      <c r="R59" s="280" t="s">
        <v>6224</v>
      </c>
      <c r="S59" s="286">
        <v>62264370</v>
      </c>
      <c r="T59" s="280" t="s">
        <v>6224</v>
      </c>
      <c r="U59" s="281">
        <v>214755611</v>
      </c>
      <c r="V59" s="280" t="s">
        <v>6224</v>
      </c>
      <c r="W59" s="281">
        <v>0</v>
      </c>
      <c r="X59" s="280" t="s">
        <v>6226</v>
      </c>
      <c r="Y59" s="281"/>
      <c r="Z59" s="280" t="s">
        <v>6226</v>
      </c>
      <c r="AA59" s="281"/>
      <c r="AB59" s="280" t="s">
        <v>6226</v>
      </c>
      <c r="AC59" s="281"/>
      <c r="AD59" s="280" t="s">
        <v>6226</v>
      </c>
      <c r="AE59" s="281"/>
      <c r="AF59" s="280" t="s">
        <v>6226</v>
      </c>
      <c r="AG59" s="282" t="e">
        <f>SUM(SUMIF(L59,"Sí",K59),SUMIF(N59,"Sí",M59),SUMIF(P59,"Sí",O59),SUMIF(R59,"Sí",Q59),SUMIF(T59,"Sí",S59),SUMIF(V59,"Sí",#REF!),SUMIF(X59,"Sí",U59),SUMIF(Z59,"Sí",Y59),SUMIF(AB59,"Sí",AA59),SUMIF(AD59,"Sí",AC59),SUMIF(AF59,"Sí",AE59))</f>
        <v>#REF!</v>
      </c>
      <c r="AH59" s="282">
        <f t="shared" si="3"/>
        <v>307821703</v>
      </c>
      <c r="AI59" s="279">
        <v>45603</v>
      </c>
      <c r="AJ59" s="283">
        <f ca="1">AI59-$AM$2</f>
        <v>61</v>
      </c>
      <c r="AK59" s="284" t="e">
        <f>AG59/AH59</f>
        <v>#REF!</v>
      </c>
      <c r="AL59" s="285"/>
      <c r="AM59" s="231"/>
    </row>
    <row r="60" spans="1:39" ht="78">
      <c r="A60" s="278">
        <v>59</v>
      </c>
      <c r="B60" s="295" t="s">
        <v>6316</v>
      </c>
      <c r="C60" s="296" t="s">
        <v>6457</v>
      </c>
      <c r="D60" s="297" t="s">
        <v>6458</v>
      </c>
      <c r="E60" s="247">
        <v>6</v>
      </c>
      <c r="F60" s="298">
        <v>265000000</v>
      </c>
      <c r="G60" s="285">
        <v>7604</v>
      </c>
      <c r="H60" s="280"/>
      <c r="I60" s="292" t="s">
        <v>6459</v>
      </c>
      <c r="J60" s="293">
        <v>45363</v>
      </c>
      <c r="K60" s="280" t="s">
        <v>2537</v>
      </c>
      <c r="L60" s="280" t="s">
        <v>6226</v>
      </c>
      <c r="M60" s="280" t="s">
        <v>2537</v>
      </c>
      <c r="N60" s="280" t="s">
        <v>6226</v>
      </c>
      <c r="O60" s="280" t="s">
        <v>2537</v>
      </c>
      <c r="P60" s="280" t="s">
        <v>6226</v>
      </c>
      <c r="Q60" s="286">
        <v>106000000</v>
      </c>
      <c r="R60" s="280" t="s">
        <v>6224</v>
      </c>
      <c r="S60" s="280" t="s">
        <v>2537</v>
      </c>
      <c r="T60" s="280" t="s">
        <v>6226</v>
      </c>
      <c r="U60" s="294">
        <v>106000000</v>
      </c>
      <c r="V60" s="280" t="s">
        <v>6224</v>
      </c>
      <c r="W60" s="294">
        <v>0</v>
      </c>
      <c r="X60" s="280" t="s">
        <v>6226</v>
      </c>
      <c r="Y60" s="281"/>
      <c r="Z60" s="280" t="s">
        <v>6226</v>
      </c>
      <c r="AA60" s="281">
        <v>53000000</v>
      </c>
      <c r="AB60" s="280" t="s">
        <v>6226</v>
      </c>
      <c r="AC60" s="281"/>
      <c r="AD60" s="280" t="s">
        <v>6226</v>
      </c>
      <c r="AE60" s="281"/>
      <c r="AF60" s="280" t="s">
        <v>6226</v>
      </c>
      <c r="AG60" s="282" t="e">
        <f>SUM(SUMIF(L60,"Sí",K60),SUMIF(N60,"Sí",M60),SUMIF(P60,"Sí",O60),SUMIF(R60,"Sí",Q60),SUMIF(T60,"Sí",S60),SUMIF(V60,"Sí",#REF!),SUMIF(X60,"Sí",U60),SUMIF(Z60,"Sí",Y60),SUMIF(AB60,"Sí",AA60),SUMIF(AD60,"Sí",AC60),SUMIF(AF60,"Sí",AE60))</f>
        <v>#REF!</v>
      </c>
      <c r="AH60" s="282">
        <f t="shared" si="3"/>
        <v>265000000</v>
      </c>
      <c r="AI60" s="293">
        <v>45546</v>
      </c>
      <c r="AJ60" s="283">
        <f ca="1">AI60-$AM$2</f>
        <v>4</v>
      </c>
      <c r="AK60" s="284" t="e">
        <f>AG60/AH60</f>
        <v>#REF!</v>
      </c>
      <c r="AL60" s="285"/>
    </row>
    <row r="72" spans="38:38">
      <c r="AL72" s="303"/>
    </row>
    <row r="73" spans="38:38">
      <c r="AL73" s="303"/>
    </row>
    <row r="74" spans="38:38">
      <c r="AL74" s="303"/>
    </row>
    <row r="75" spans="38:38">
      <c r="AL75" s="303"/>
    </row>
    <row r="76" spans="38:38">
      <c r="AL76" s="303"/>
    </row>
    <row r="77" spans="38:38">
      <c r="AL77" s="303"/>
    </row>
    <row r="78" spans="38:38">
      <c r="AL78" s="303"/>
    </row>
    <row r="79" spans="38:38">
      <c r="AL79" s="303"/>
    </row>
    <row r="80" spans="38:38">
      <c r="AL80" s="303"/>
    </row>
    <row r="81" spans="38:38">
      <c r="AL81" s="303"/>
    </row>
    <row r="82" spans="38:38">
      <c r="AL82" s="303"/>
    </row>
    <row r="83" spans="38:38">
      <c r="AL83" s="303"/>
    </row>
    <row r="84" spans="38:38">
      <c r="AL84" s="303"/>
    </row>
    <row r="85" spans="38:38">
      <c r="AL85" s="303"/>
    </row>
    <row r="86" spans="38:38">
      <c r="AL86" s="303"/>
    </row>
    <row r="87" spans="38:38">
      <c r="AL87" s="303"/>
    </row>
    <row r="88" spans="38:38">
      <c r="AL88" s="303"/>
    </row>
    <row r="89" spans="38:38">
      <c r="AL89" s="303"/>
    </row>
    <row r="90" spans="38:38">
      <c r="AL90" s="303"/>
    </row>
    <row r="91" spans="38:38">
      <c r="AL91" s="303"/>
    </row>
    <row r="92" spans="38:38">
      <c r="AL92" s="303"/>
    </row>
    <row r="93" spans="38:38">
      <c r="AL93" s="303"/>
    </row>
    <row r="94" spans="38:38">
      <c r="AL94" s="303"/>
    </row>
    <row r="95" spans="38:38">
      <c r="AL95" s="303"/>
    </row>
    <row r="96" spans="38:38">
      <c r="AL96" s="303"/>
    </row>
    <row r="97" spans="38:38">
      <c r="AL97" s="303"/>
    </row>
    <row r="98" spans="38:38">
      <c r="AL98" s="303"/>
    </row>
    <row r="99" spans="38:38">
      <c r="AL99" s="303"/>
    </row>
    <row r="100" spans="38:38">
      <c r="AL100" s="303"/>
    </row>
    <row r="101" spans="38:38">
      <c r="AL101" s="303"/>
    </row>
    <row r="102" spans="38:38">
      <c r="AL102" s="303"/>
    </row>
    <row r="103" spans="38:38">
      <c r="AL103" s="303"/>
    </row>
    <row r="104" spans="38:38">
      <c r="AL104" s="303"/>
    </row>
    <row r="105" spans="38:38">
      <c r="AL105" s="303"/>
    </row>
    <row r="106" spans="38:38">
      <c r="AL106" s="303"/>
    </row>
    <row r="107" spans="38:38">
      <c r="AL107" s="303"/>
    </row>
    <row r="108" spans="38:38">
      <c r="AL108" s="303"/>
    </row>
    <row r="109" spans="38:38">
      <c r="AL109" s="303"/>
    </row>
    <row r="110" spans="38:38">
      <c r="AL110" s="303"/>
    </row>
    <row r="111" spans="38:38">
      <c r="AL111" s="303"/>
    </row>
    <row r="112" spans="38:38">
      <c r="AL112" s="303"/>
    </row>
    <row r="113" spans="38:38">
      <c r="AL113" s="303"/>
    </row>
    <row r="114" spans="38:38">
      <c r="AL114" s="303"/>
    </row>
    <row r="115" spans="38:38">
      <c r="AL115" s="303"/>
    </row>
    <row r="116" spans="38:38">
      <c r="AL116" s="303"/>
    </row>
    <row r="117" spans="38:38">
      <c r="AL117" s="303"/>
    </row>
    <row r="118" spans="38:38">
      <c r="AL118" s="303"/>
    </row>
    <row r="119" spans="38:38">
      <c r="AL119" s="303"/>
    </row>
    <row r="120" spans="38:38">
      <c r="AL120" s="303"/>
    </row>
    <row r="121" spans="38:38">
      <c r="AL121" s="303"/>
    </row>
    <row r="122" spans="38:38">
      <c r="AL122" s="303"/>
    </row>
    <row r="123" spans="38:38">
      <c r="AL123" s="303"/>
    </row>
    <row r="124" spans="38:38">
      <c r="AL124" s="303"/>
    </row>
    <row r="125" spans="38:38">
      <c r="AL125" s="303"/>
    </row>
    <row r="126" spans="38:38">
      <c r="AL126" s="303"/>
    </row>
    <row r="127" spans="38:38">
      <c r="AL127" s="303"/>
    </row>
    <row r="128" spans="38:38">
      <c r="AL128" s="303"/>
    </row>
    <row r="129" spans="38:38">
      <c r="AL129" s="303"/>
    </row>
    <row r="130" spans="38:38">
      <c r="AL130" s="303"/>
    </row>
  </sheetData>
  <conditionalFormatting sqref="K1:S1 L1:L1048576 N1:N1048576 P1:P1048576 R1:R1048576 T1:T1048576 V1:V1048576 X1:X1048576 Z1:Z1048576 AB1:AB1048576 AD1:AD1048576 AF1:AF1048576">
    <cfRule type="cellIs" dxfId="94" priority="1" operator="equal">
      <formula>"En proceso"</formula>
    </cfRule>
    <cfRule type="cellIs" dxfId="93" priority="2" operator="equal">
      <formula>"No"</formula>
    </cfRule>
    <cfRule type="cellIs" dxfId="92" priority="3" operator="equal">
      <formula>"Sí"</formula>
    </cfRule>
  </conditionalFormatting>
  <conditionalFormatting sqref="K1:AF1">
    <cfRule type="cellIs" dxfId="91" priority="6" operator="equal">
      <formula>"Pendiente"</formula>
    </cfRule>
    <cfRule type="cellIs" dxfId="90" priority="7" operator="equal">
      <formula>"No subido"</formula>
    </cfRule>
    <cfRule type="cellIs" dxfId="89" priority="8" operator="equal">
      <formula>"No existente"</formula>
    </cfRule>
    <cfRule type="cellIs" dxfId="88" priority="9" operator="equal">
      <formula>"No aplica"</formula>
    </cfRule>
    <cfRule type="cellIs" dxfId="87" priority="10" operator="equal">
      <formula>"Incompleto"</formula>
    </cfRule>
    <cfRule type="cellIs" dxfId="86" priority="11" operator="equal">
      <formula>"Completo"</formula>
    </cfRule>
  </conditionalFormatting>
  <conditionalFormatting sqref="AI1:AI1048576">
    <cfRule type="timePeriod" dxfId="85" priority="5" timePeriod="thisWeek">
      <formula>AND(TODAY()-ROUNDDOWN(AI1,0)&lt;=WEEKDAY(TODAY())-1,ROUNDDOWN(AI1,0)-TODAY()&lt;=7-WEEKDAY(TODAY()))</formula>
    </cfRule>
  </conditionalFormatting>
  <conditionalFormatting sqref="AK1:AK1048576">
    <cfRule type="cellIs" dxfId="84" priority="4" operator="equal">
      <formula>1</formula>
    </cfRule>
  </conditionalFormatting>
  <dataValidations count="1">
    <dataValidation type="list" allowBlank="1" showInputMessage="1" showErrorMessage="1" sqref="N2:N60 L2:L60 R2:R60 P2:P60 T2:T60 AB2:AB60 Z2:Z60 AD2:AD60 X2:X60 AF2:AF60 V2:V60" xr:uid="{06315710-C685-4517-A3ED-7E88CCC8702A}">
      <formula1>"Sí, No, En proceso"</formula1>
    </dataValidation>
  </dataValidations>
  <pageMargins left="0.7" right="0.7" top="0.75" bottom="0.75" header="0.3" footer="0.3"/>
  <tableParts count="2">
    <tablePart r:id="rId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3AA6-92E5-4C50-AA48-D72A281B9247}">
  <dimension ref="A1:Y759"/>
  <sheetViews>
    <sheetView topLeftCell="Q1" workbookViewId="0">
      <selection activeCell="Y4" sqref="Y4"/>
    </sheetView>
  </sheetViews>
  <sheetFormatPr defaultColWidth="14.7109375" defaultRowHeight="12.75"/>
  <cols>
    <col min="2" max="2" width="39.42578125" customWidth="1"/>
    <col min="8" max="8" width="30.28515625" customWidth="1"/>
    <col min="19" max="19" width="36.140625" customWidth="1"/>
  </cols>
  <sheetData>
    <row r="1" spans="1:25" ht="41.25">
      <c r="A1" s="6" t="s">
        <v>6258</v>
      </c>
      <c r="B1" s="12" t="s">
        <v>6259</v>
      </c>
      <c r="C1" s="18" t="s">
        <v>6260</v>
      </c>
      <c r="D1" s="12" t="s">
        <v>6460</v>
      </c>
      <c r="E1" s="6" t="s">
        <v>6461</v>
      </c>
      <c r="F1" s="6" t="s">
        <v>6208</v>
      </c>
      <c r="G1" s="6" t="s">
        <v>6209</v>
      </c>
      <c r="H1" s="6" t="s">
        <v>6462</v>
      </c>
      <c r="I1" s="6" t="s">
        <v>6463</v>
      </c>
      <c r="J1" s="6" t="s">
        <v>6464</v>
      </c>
      <c r="K1" s="6" t="s">
        <v>6465</v>
      </c>
      <c r="L1" s="7" t="s">
        <v>6466</v>
      </c>
      <c r="M1" s="7" t="s">
        <v>6467</v>
      </c>
      <c r="N1" s="7" t="s">
        <v>6221</v>
      </c>
      <c r="O1" s="8" t="s">
        <v>6468</v>
      </c>
      <c r="P1" s="9" t="s">
        <v>6469</v>
      </c>
      <c r="Q1" s="10" t="s">
        <v>6470</v>
      </c>
      <c r="R1" s="11" t="s">
        <v>6471</v>
      </c>
      <c r="S1" s="7" t="s">
        <v>6472</v>
      </c>
      <c r="T1" s="7" t="s">
        <v>6473</v>
      </c>
      <c r="U1" s="19" t="s">
        <v>6474</v>
      </c>
      <c r="V1" s="19" t="s">
        <v>6475</v>
      </c>
      <c r="W1" s="19" t="s">
        <v>6476</v>
      </c>
      <c r="X1" s="19" t="s">
        <v>6477</v>
      </c>
      <c r="Y1" s="19" t="s">
        <v>6478</v>
      </c>
    </row>
    <row r="2" spans="1:25" ht="49.5">
      <c r="A2" s="20" cm="1">
        <f t="array" ref="A2:A759">_xlfn._xlws.FILTER(MATRIZ_MACRO!$A$5:$A$1842,MATRIZ_MACRO!$F$5:$F$1842="Sí")</f>
        <v>4</v>
      </c>
      <c r="B2" s="20" t="str">
        <f t="shared" ref="B2:B65" si="0">IFERROR(VLOOKUP(A2,DATA_MATRIZ,2,FALSE),"")</f>
        <v>Red institucional de Apoyo a las Veedurías Ciudadanas: Presentación planeación participativa del PDD</v>
      </c>
      <c r="C2" s="21">
        <f t="shared" ref="C2:C65" si="1">IFERROR(VLOOKUP(A2,DATA_MATRIZ,3,FALSE),"")</f>
        <v>45316</v>
      </c>
      <c r="D2" s="20" t="str">
        <f t="shared" ref="D2:D65" si="2">IFERROR(VLOOKUP(A2,DATA_MATRIZ,5,FALSE),"")</f>
        <v>INSTANCIAS</v>
      </c>
      <c r="E2" s="20" t="str">
        <f t="shared" ref="E2:E65" si="3">IFERROR(VLOOKUP(A2,DATA_MATRIZ,9,FALSE),"")</f>
        <v>NO</v>
      </c>
      <c r="F2" s="20" t="str">
        <f t="shared" ref="F2:F65" si="4">IFERROR(VLOOKUP(A2,DATA_MATRIZ,10,FALSE),"")</f>
        <v>Red institucional de veedurías ciudadanas</v>
      </c>
      <c r="G2" s="20" t="str">
        <f t="shared" ref="G2:G65" si="5">IFERROR(VLOOKUP(A2,DATA_MATRIZ,11,FALSE),"")</f>
        <v>Virtual</v>
      </c>
      <c r="H2" s="20" t="str">
        <f t="shared" ref="H2:H65" si="6">IFERROR(VLOOKUP(A2,DATA_MATRIZ,12,FALSE),"")</f>
        <v>Sostener sesión mensual de la Red y en el marco de la agenda hacer la presentación de la planeación participativa del PDD.</v>
      </c>
      <c r="I2" s="20" t="str">
        <f t="shared" ref="I2:I65" si="7">IFERROR(VLOOKUP(A2,DATA_MATRIZ,13,FALSE),"")</f>
        <v>Gestión Institucional</v>
      </c>
      <c r="J2" s="20" t="str">
        <f t="shared" ref="J2:J65" si="8">IFERROR(VLOOKUP(A2,DATA_MATRIZ,41,FALSE),"")</f>
        <v>Público</v>
      </c>
      <c r="K2" s="20" t="str">
        <f t="shared" ref="K2:K65" si="9">IFERROR(VLOOKUP(A2,DATA_MATRIZ,42,FALSE),"")</f>
        <v>Órganos de control</v>
      </c>
      <c r="L2" s="20" t="str">
        <f t="shared" ref="L2:L65" si="10">IFERROR(VLOOKUP(A2,DATA_MATRIZ,46,FALSE),"")</f>
        <v>Distrital</v>
      </c>
      <c r="M2" s="20" t="str">
        <f t="shared" ref="M2:M65" si="11">IFERROR(VLOOKUP(A2,DATA_MATRIZ,53,FALSE),"")</f>
        <v>Distrital</v>
      </c>
      <c r="N2" s="20" t="str">
        <f t="shared" ref="N2:N65" si="12">IFERROR(VLOOKUP(A2,DATA_MATRIZ,60,FALSE),"")</f>
        <v>Distrital</v>
      </c>
      <c r="O2" s="20" t="str">
        <f t="shared" ref="O2:O65" si="13">IFERROR(VLOOKUP(A2,DATA_MATRIZ,75,FALSE),"")</f>
        <v>SÍ</v>
      </c>
      <c r="P2" s="20" t="str">
        <f t="shared" ref="P2:P65" si="14">IFERROR(VLOOKUP(A2,DATA_MATRIZ,76,FALSE),"")</f>
        <v>Gestión interinstitucional</v>
      </c>
      <c r="Q2" s="20">
        <f t="shared" ref="Q2:Q65" si="15">IFERROR(VLOOKUP(A2,DATA_MATRIZ,78,FALSE),"")</f>
        <v>5</v>
      </c>
      <c r="R2" s="20">
        <f t="shared" ref="R2:R65" si="16">IFERROR(VLOOKUP(A2,DATA_MATRIZ,79,FALSE),"")</f>
        <v>3</v>
      </c>
      <c r="S2" s="20" t="str">
        <f t="shared" ref="S2:S65" si="17">IFERROR(VLOOKUP(A2,DATA_MATRIZ,85,FALSE),"")</f>
        <v>Revisión plan de acción, exposición estrategia metodología participativa PDD</v>
      </c>
      <c r="T2" s="20">
        <f t="shared" ref="T2:T256" si="18">COUNTA(A2)</f>
        <v>1</v>
      </c>
      <c r="U2" s="20" t="str">
        <f t="shared" ref="U2:U256" ca="1" si="19">IF(C2="", "Indefinida", (IF(C2&lt;TODAY(),"Realizada","Proyectada")))</f>
        <v>Realizada</v>
      </c>
      <c r="V2" s="22">
        <v>0.55730000000000002</v>
      </c>
      <c r="W2" s="23">
        <v>428</v>
      </c>
      <c r="X2" s="23">
        <v>133</v>
      </c>
      <c r="Y2" s="23">
        <v>449</v>
      </c>
    </row>
    <row r="3" spans="1:25" ht="49.5">
      <c r="A3" s="20">
        <v>5</v>
      </c>
      <c r="B3" s="20" t="str">
        <f t="shared" si="0"/>
        <v>Citación sesión JAL Ciudad Bolivar - Conformación CTPD 2024</v>
      </c>
      <c r="C3" s="21">
        <f t="shared" si="1"/>
        <v>45317</v>
      </c>
      <c r="D3" s="20" t="str">
        <f t="shared" si="2"/>
        <v>INSTANCIAS</v>
      </c>
      <c r="E3" s="20" t="str">
        <f t="shared" si="3"/>
        <v>NO</v>
      </c>
      <c r="F3" s="20" t="str">
        <f t="shared" si="4"/>
        <v>CTPD (Consejo Territorial de Planeación Distrital)</v>
      </c>
      <c r="G3" s="20" t="str">
        <f t="shared" si="5"/>
        <v>Presencial</v>
      </c>
      <c r="H3" s="20" t="str">
        <f t="shared" si="6"/>
        <v>Apoyar y orientar la conformación del CTPD 2024.</v>
      </c>
      <c r="I3" s="20" t="str">
        <f t="shared" si="7"/>
        <v>Gestión Institucional</v>
      </c>
      <c r="J3" s="20" t="str">
        <f t="shared" si="8"/>
        <v>Público</v>
      </c>
      <c r="K3" s="20" t="str">
        <f t="shared" si="9"/>
        <v>JAL</v>
      </c>
      <c r="L3" s="20" t="str">
        <f t="shared" si="10"/>
        <v>Ciudad Bolívar</v>
      </c>
      <c r="M3" s="20" t="str">
        <f t="shared" si="11"/>
        <v>Suroriente, Ruralidad</v>
      </c>
      <c r="N3" s="20" t="str">
        <f t="shared" si="12"/>
        <v>Arborizadora, Lucero, Cuenca del Tunjuelo</v>
      </c>
      <c r="O3" s="20" t="str">
        <f t="shared" si="13"/>
        <v>NO</v>
      </c>
      <c r="P3" s="20" t="str">
        <f t="shared" si="14"/>
        <v>No aplica</v>
      </c>
      <c r="Q3" s="20">
        <f t="shared" si="15"/>
        <v>11</v>
      </c>
      <c r="R3" s="20">
        <f t="shared" si="16"/>
        <v>2</v>
      </c>
      <c r="S3" s="20" t="str">
        <f t="shared" si="17"/>
        <v>Informe CTPD proceso de conformación 2024.</v>
      </c>
      <c r="T3" s="20">
        <f t="shared" si="18"/>
        <v>1</v>
      </c>
      <c r="U3" s="20" t="str">
        <f t="shared" ca="1" si="19"/>
        <v>Realizada</v>
      </c>
      <c r="V3" s="20"/>
      <c r="W3" s="20"/>
      <c r="X3" s="20"/>
      <c r="Y3" s="20"/>
    </row>
    <row r="4" spans="1:25" ht="49.5">
      <c r="A4" s="20">
        <v>6</v>
      </c>
      <c r="B4" s="20" t="str">
        <f t="shared" si="0"/>
        <v>Taller Actuación Estratégica AEDA - Líderes de JAC Engativá</v>
      </c>
      <c r="C4" s="21">
        <f t="shared" si="1"/>
        <v>45317</v>
      </c>
      <c r="D4" s="20" t="str">
        <f t="shared" si="2"/>
        <v>OPDC</v>
      </c>
      <c r="E4" s="20" t="str">
        <f t="shared" si="3"/>
        <v>SÍ</v>
      </c>
      <c r="F4" s="20" t="str">
        <f t="shared" si="4"/>
        <v>Formulación de Actuaciones Estratégicas</v>
      </c>
      <c r="G4" s="20" t="str">
        <f t="shared" si="5"/>
        <v>Presencial</v>
      </c>
      <c r="H4" s="20" t="str">
        <f t="shared" si="6"/>
        <v>Socializar el balance de la Actuación Estratégica Distrito Aeroportuario (AEDA) a los líderes de las Juntas de Acción Comunal de Engativá.</v>
      </c>
      <c r="I4" s="20" t="str">
        <f t="shared" si="7"/>
        <v>Mecanismo de Comunicación para la Participación</v>
      </c>
      <c r="J4" s="20" t="str">
        <f t="shared" si="8"/>
        <v>Comunitario</v>
      </c>
      <c r="K4" s="20" t="str">
        <f t="shared" si="9"/>
        <v>ASOJUNTAS - JAC</v>
      </c>
      <c r="L4" s="20" t="str">
        <f t="shared" si="10"/>
        <v>Engativá</v>
      </c>
      <c r="M4" s="20" t="str">
        <f t="shared" si="11"/>
        <v>Occidente</v>
      </c>
      <c r="N4" s="20" t="str">
        <f t="shared" si="12"/>
        <v>Engativá</v>
      </c>
      <c r="O4" s="20" t="str">
        <f t="shared" si="13"/>
        <v>NO</v>
      </c>
      <c r="P4" s="20" t="str">
        <f t="shared" si="14"/>
        <v>No aplica</v>
      </c>
      <c r="Q4" s="20">
        <f t="shared" si="15"/>
        <v>7</v>
      </c>
      <c r="R4" s="20">
        <f t="shared" si="16"/>
        <v>5</v>
      </c>
      <c r="S4" s="20" t="str">
        <f t="shared" si="17"/>
        <v>Socialización del balance de la Actuación Estratégica Distrito Aeroportuario (AEDA) a los presidentes de las Juntas de Acción Comunal de Engativá.</v>
      </c>
      <c r="T4" s="20">
        <f t="shared" si="18"/>
        <v>1</v>
      </c>
      <c r="U4" s="20" t="str">
        <f t="shared" ca="1" si="19"/>
        <v>Realizada</v>
      </c>
      <c r="V4" s="20"/>
      <c r="W4" s="20"/>
      <c r="X4" s="20"/>
      <c r="Y4" s="20"/>
    </row>
    <row r="5" spans="1:25" ht="61.5">
      <c r="A5" s="20">
        <v>7</v>
      </c>
      <c r="B5" s="20" t="str">
        <f t="shared" si="0"/>
        <v>Entrega de certificados - Plan de Formación CTPD 2023</v>
      </c>
      <c r="C5" s="21">
        <f t="shared" si="1"/>
        <v>45317</v>
      </c>
      <c r="D5" s="20" t="str">
        <f t="shared" si="2"/>
        <v>INSTANCIAS</v>
      </c>
      <c r="E5" s="20" t="str">
        <f t="shared" si="3"/>
        <v>NO</v>
      </c>
      <c r="F5" s="20" t="str">
        <f t="shared" si="4"/>
        <v>CTPD (Consejo Territorial de Planeación Distrital)</v>
      </c>
      <c r="G5" s="20" t="str">
        <f t="shared" si="5"/>
        <v>Presencial</v>
      </c>
      <c r="H5" s="20" t="str">
        <f t="shared" si="6"/>
        <v xml:space="preserve">Entregar certificados de reconocimiento al proceso de formación de consejeros que superaron el plan pedagógico. </v>
      </c>
      <c r="I5" s="20" t="str">
        <f t="shared" si="7"/>
        <v>Mecanismo de Fortalecimiento Ciudadano para la Planeación Participativa</v>
      </c>
      <c r="J5" s="20" t="str">
        <f t="shared" si="8"/>
        <v>Comunitario</v>
      </c>
      <c r="K5" s="20" t="str">
        <f t="shared" si="9"/>
        <v>CTPD</v>
      </c>
      <c r="L5" s="20" t="str">
        <f t="shared" si="10"/>
        <v>Distrital</v>
      </c>
      <c r="M5" s="20" t="str">
        <f t="shared" si="11"/>
        <v>Distrital</v>
      </c>
      <c r="N5" s="20" t="str">
        <f t="shared" si="12"/>
        <v>Distrital</v>
      </c>
      <c r="O5" s="20" t="str">
        <f t="shared" si="13"/>
        <v>NO</v>
      </c>
      <c r="P5" s="20" t="str">
        <f t="shared" si="14"/>
        <v>No aplica</v>
      </c>
      <c r="Q5" s="20">
        <f t="shared" si="15"/>
        <v>9</v>
      </c>
      <c r="R5" s="20">
        <f t="shared" si="16"/>
        <v>4</v>
      </c>
      <c r="S5" s="20" t="str">
        <f t="shared" si="17"/>
        <v>Reconocimiento a consejeros por culminación de proceso formativo de acuerdo al Plan de Formación CTPD 2023</v>
      </c>
      <c r="T5" s="20">
        <f t="shared" si="18"/>
        <v>1</v>
      </c>
      <c r="U5" s="20" t="str">
        <f t="shared" ca="1" si="19"/>
        <v>Realizada</v>
      </c>
      <c r="V5" s="20"/>
      <c r="W5" s="20"/>
      <c r="X5" s="20"/>
      <c r="Y5" s="20"/>
    </row>
    <row r="6" spans="1:25" ht="37.5">
      <c r="A6" s="20">
        <v>11</v>
      </c>
      <c r="B6" s="20" t="str">
        <f t="shared" si="0"/>
        <v>Instalación protocolaria de los Consejos de Planeación Local - CPL</v>
      </c>
      <c r="C6" s="21">
        <f t="shared" si="1"/>
        <v>45324</v>
      </c>
      <c r="D6" s="20" t="str">
        <f t="shared" si="2"/>
        <v>INSTANCIAS</v>
      </c>
      <c r="E6" s="20" t="str">
        <f t="shared" si="3"/>
        <v>NO</v>
      </c>
      <c r="F6" s="20" t="str">
        <f t="shared" si="4"/>
        <v>Escenarios individuales</v>
      </c>
      <c r="G6" s="20" t="str">
        <f t="shared" si="5"/>
        <v>Presencial</v>
      </c>
      <c r="H6" s="20" t="str">
        <f t="shared" si="6"/>
        <v>Acompañar la Instalación protocolaria de la Comisión Intersectorial de Participación</v>
      </c>
      <c r="I6" s="20" t="str">
        <f t="shared" si="7"/>
        <v>Gestión Institucional</v>
      </c>
      <c r="J6" s="20" t="str">
        <f t="shared" si="8"/>
        <v>Público</v>
      </c>
      <c r="K6" s="20" t="str">
        <f t="shared" si="9"/>
        <v>Servidores públicos (Distrital)</v>
      </c>
      <c r="L6" s="20" t="str">
        <f t="shared" si="10"/>
        <v>Distrital</v>
      </c>
      <c r="M6" s="20" t="str">
        <f t="shared" si="11"/>
        <v>Distrital</v>
      </c>
      <c r="N6" s="20" t="str">
        <f t="shared" si="12"/>
        <v>Distrital</v>
      </c>
      <c r="O6" s="20" t="str">
        <f t="shared" si="13"/>
        <v>NO</v>
      </c>
      <c r="P6" s="20" t="str">
        <f t="shared" si="14"/>
        <v>No aplica</v>
      </c>
      <c r="Q6" s="20">
        <f t="shared" si="15"/>
        <v>0</v>
      </c>
      <c r="R6" s="20">
        <f t="shared" si="16"/>
        <v>3</v>
      </c>
      <c r="S6" s="20" t="str">
        <f t="shared" si="17"/>
        <v>La importancia de la participación en los ejercicios locales de planeación estratégica.</v>
      </c>
      <c r="T6" s="20">
        <f t="shared" si="18"/>
        <v>1</v>
      </c>
      <c r="U6" s="20" t="str">
        <f t="shared" ca="1" si="19"/>
        <v>Realizada</v>
      </c>
      <c r="V6" s="20"/>
      <c r="W6" s="20"/>
      <c r="X6" s="20"/>
      <c r="Y6" s="20"/>
    </row>
    <row r="7" spans="1:25" ht="74.25">
      <c r="A7" s="20">
        <v>16</v>
      </c>
      <c r="B7" s="20" t="str">
        <f t="shared" si="0"/>
        <v>Conversatorio Nacional 1-2024 de Red de consejeros territoriales de planeación</v>
      </c>
      <c r="C7" s="21">
        <f t="shared" si="1"/>
        <v>45331</v>
      </c>
      <c r="D7" s="20" t="str">
        <f t="shared" si="2"/>
        <v>INSTANCIAS</v>
      </c>
      <c r="E7" s="20" t="str">
        <f t="shared" si="3"/>
        <v>NO</v>
      </c>
      <c r="F7" s="20" t="str">
        <f t="shared" si="4"/>
        <v>Consejo Territorial de Planeación Nacional</v>
      </c>
      <c r="G7" s="20" t="str">
        <f t="shared" si="5"/>
        <v>Virtual</v>
      </c>
      <c r="H7" s="20" t="str">
        <f t="shared" si="6"/>
        <v>Participar en el Conversatorio Nacional 1-2024 cuyo tema principal será la U.A.P.A Unidad Administrativa Especial de alimentación escolar, alimentos para aprender con la participación de toda la sociedad civil.</v>
      </c>
      <c r="I7" s="20" t="str">
        <f t="shared" si="7"/>
        <v>Mecanismo de Diálogo</v>
      </c>
      <c r="J7" s="20" t="str">
        <f t="shared" si="8"/>
        <v>Multiactor</v>
      </c>
      <c r="K7" s="20">
        <f t="shared" si="9"/>
        <v>0</v>
      </c>
      <c r="L7" s="20" t="str">
        <f t="shared" si="10"/>
        <v>Distrital</v>
      </c>
      <c r="M7" s="20" t="str">
        <f t="shared" si="11"/>
        <v>Distrital</v>
      </c>
      <c r="N7" s="20" t="str">
        <f t="shared" si="12"/>
        <v>Distrital</v>
      </c>
      <c r="O7" s="20" t="str">
        <f t="shared" si="13"/>
        <v>NO</v>
      </c>
      <c r="P7" s="20" t="str">
        <f t="shared" si="14"/>
        <v>No aplica</v>
      </c>
      <c r="Q7" s="20">
        <f t="shared" si="15"/>
        <v>0</v>
      </c>
      <c r="R7" s="20">
        <f t="shared" si="16"/>
        <v>2</v>
      </c>
      <c r="S7" s="20" t="str">
        <f t="shared" si="17"/>
        <v>U.A.P.A Unidad Administrativa Especial de alimentación escolar, alimentos para aprender con la participación de toda la sociedad civil.</v>
      </c>
      <c r="T7" s="20">
        <f t="shared" si="18"/>
        <v>1</v>
      </c>
      <c r="U7" s="20" t="str">
        <f t="shared" ca="1" si="19"/>
        <v>Realizada</v>
      </c>
      <c r="V7" s="20"/>
      <c r="W7" s="20"/>
      <c r="X7" s="20"/>
      <c r="Y7" s="20"/>
    </row>
    <row r="8" spans="1:25" ht="49.5">
      <c r="A8" s="20">
        <v>18</v>
      </c>
      <c r="B8" s="20" t="str">
        <f t="shared" si="0"/>
        <v>Presentación estrategia PDD - Comisión Intersectorial de Participación (CIP)</v>
      </c>
      <c r="C8" s="21">
        <f t="shared" si="1"/>
        <v>45331</v>
      </c>
      <c r="D8" s="20" t="str">
        <f t="shared" si="2"/>
        <v>INSTANCIAS</v>
      </c>
      <c r="E8" s="20" t="str">
        <f t="shared" si="3"/>
        <v>NO</v>
      </c>
      <c r="F8" s="20" t="str">
        <f t="shared" si="4"/>
        <v>CIP (Comisión Intersectorial de Participación)</v>
      </c>
      <c r="G8" s="20" t="str">
        <f t="shared" si="5"/>
        <v>Presencial</v>
      </c>
      <c r="H8" s="20" t="str">
        <f t="shared" si="6"/>
        <v>Presentar la estrategia de Participación para el Plan Distrital de Desarrollo en el marco de la Comisión Intersectorial de Participación.</v>
      </c>
      <c r="I8" s="20" t="str">
        <f t="shared" si="7"/>
        <v>Mecanismo de Comunicación para la Participación</v>
      </c>
      <c r="J8" s="20" t="str">
        <f t="shared" si="8"/>
        <v>Público</v>
      </c>
      <c r="K8" s="20" t="str">
        <f t="shared" si="9"/>
        <v>Servidores públicos (Distrital)</v>
      </c>
      <c r="L8" s="20" t="str">
        <f t="shared" si="10"/>
        <v>Distrital</v>
      </c>
      <c r="M8" s="20" t="str">
        <f t="shared" si="11"/>
        <v>Distrital</v>
      </c>
      <c r="N8" s="20" t="str">
        <f t="shared" si="12"/>
        <v>Distrital</v>
      </c>
      <c r="O8" s="20" t="str">
        <f t="shared" si="13"/>
        <v>SÍ</v>
      </c>
      <c r="P8" s="20" t="str">
        <f t="shared" si="14"/>
        <v>Gestión interinstitucional</v>
      </c>
      <c r="Q8" s="20">
        <f t="shared" si="15"/>
        <v>0</v>
      </c>
      <c r="R8" s="20">
        <f t="shared" si="16"/>
        <v>3</v>
      </c>
      <c r="S8" s="20" t="str">
        <f t="shared" si="17"/>
        <v>Presentación de la estrategia de participación del PDD por parte del Jefe de la OPDC.</v>
      </c>
      <c r="T8" s="20">
        <f t="shared" si="18"/>
        <v>1</v>
      </c>
      <c r="U8" s="20" t="str">
        <f t="shared" ca="1" si="19"/>
        <v>Realizada</v>
      </c>
      <c r="V8" s="20"/>
      <c r="W8" s="20"/>
      <c r="X8" s="20"/>
      <c r="Y8" s="20"/>
    </row>
    <row r="9" spans="1:25" ht="37.5">
      <c r="A9" s="20">
        <v>19</v>
      </c>
      <c r="B9" s="20" t="str">
        <f t="shared" si="0"/>
        <v>Asamblea Acupasa</v>
      </c>
      <c r="C9" s="21">
        <f t="shared" si="1"/>
        <v>45333</v>
      </c>
      <c r="D9" s="20" t="str">
        <f t="shared" si="2"/>
        <v>OPDC</v>
      </c>
      <c r="E9" s="20" t="str">
        <f t="shared" si="3"/>
        <v>NO</v>
      </c>
      <c r="F9" s="20" t="str">
        <f t="shared" si="4"/>
        <v>Plan Distrital de Desarrollo</v>
      </c>
      <c r="G9" s="20" t="str">
        <f t="shared" si="5"/>
        <v>Presencial</v>
      </c>
      <c r="H9" s="20" t="str">
        <f t="shared" si="6"/>
        <v xml:space="preserve">Acompañar la sesión y aplicar el instrumento de Sondeos de la Fase I: Sentires ciudadanos </v>
      </c>
      <c r="I9" s="20" t="str">
        <f t="shared" si="7"/>
        <v>Mecanismo de Consulta Ciudadana</v>
      </c>
      <c r="J9" s="20" t="str">
        <f t="shared" si="8"/>
        <v>Multiactor</v>
      </c>
      <c r="K9" s="20">
        <f t="shared" si="9"/>
        <v>0</v>
      </c>
      <c r="L9" s="20" t="str">
        <f t="shared" si="10"/>
        <v>Ciudad Bolívar</v>
      </c>
      <c r="M9" s="20" t="str">
        <f t="shared" si="11"/>
        <v>Ruralidad</v>
      </c>
      <c r="N9" s="20" t="str">
        <f t="shared" si="12"/>
        <v>Cuenca del Tunjuelo</v>
      </c>
      <c r="O9" s="20" t="str">
        <f t="shared" si="13"/>
        <v>SÍ</v>
      </c>
      <c r="P9" s="20" t="str">
        <f t="shared" si="14"/>
        <v>Fase I: Sentires Ciudadanos</v>
      </c>
      <c r="Q9" s="20">
        <f t="shared" si="15"/>
        <v>22</v>
      </c>
      <c r="R9" s="20">
        <f t="shared" si="16"/>
        <v>3</v>
      </c>
      <c r="S9" s="20" t="str">
        <f t="shared" si="17"/>
        <v>Ruta de participación, aplicación de sondeos y sensibilización ambiental.</v>
      </c>
      <c r="T9" s="20">
        <f t="shared" si="18"/>
        <v>1</v>
      </c>
      <c r="U9" s="20" t="str">
        <f t="shared" ca="1" si="19"/>
        <v>Realizada</v>
      </c>
      <c r="V9" s="20"/>
      <c r="W9" s="20"/>
      <c r="X9" s="20"/>
      <c r="Y9" s="20"/>
    </row>
    <row r="10" spans="1:25" ht="37.5">
      <c r="A10" s="20">
        <v>21</v>
      </c>
      <c r="B10" s="20" t="str">
        <f t="shared" si="0"/>
        <v>Presentación participación PDD y sondeos - Consejo de Participación</v>
      </c>
      <c r="C10" s="21">
        <f t="shared" si="1"/>
        <v>45335</v>
      </c>
      <c r="D10" s="20" t="str">
        <f t="shared" si="2"/>
        <v>OPDC</v>
      </c>
      <c r="E10" s="20" t="str">
        <f t="shared" si="3"/>
        <v>NO</v>
      </c>
      <c r="F10" s="20" t="str">
        <f t="shared" si="4"/>
        <v>Plan Distrital de Desarrollo</v>
      </c>
      <c r="G10" s="20" t="str">
        <f t="shared" si="5"/>
        <v>Presencial</v>
      </c>
      <c r="H10" s="20" t="str">
        <f t="shared" si="6"/>
        <v>Presentar la estrategia de participación para la formulación del PDD y aplicar los sondeos de sentires ciudadanos.</v>
      </c>
      <c r="I10" s="20" t="str">
        <f t="shared" si="7"/>
        <v>Mecanismo de Consulta Ciudadana</v>
      </c>
      <c r="J10" s="20" t="str">
        <f t="shared" si="8"/>
        <v>Comunitario</v>
      </c>
      <c r="K10" s="20" t="str">
        <f t="shared" si="9"/>
        <v>Consejo Consultivo</v>
      </c>
      <c r="L10" s="20" t="str">
        <f t="shared" si="10"/>
        <v>Distrital</v>
      </c>
      <c r="M10" s="20" t="str">
        <f t="shared" si="11"/>
        <v>Distrital</v>
      </c>
      <c r="N10" s="20" t="str">
        <f t="shared" si="12"/>
        <v>Distrital</v>
      </c>
      <c r="O10" s="20" t="str">
        <f t="shared" si="13"/>
        <v>SÍ</v>
      </c>
      <c r="P10" s="20" t="str">
        <f t="shared" si="14"/>
        <v>Fase I: Sentires Ciudadanos</v>
      </c>
      <c r="Q10" s="20">
        <f t="shared" si="15"/>
        <v>27</v>
      </c>
      <c r="R10" s="20">
        <f t="shared" si="16"/>
        <v>5</v>
      </c>
      <c r="S10" s="20" t="str">
        <f t="shared" si="17"/>
        <v>Presentación de la estrategia de participación para la formulación del PDD.</v>
      </c>
      <c r="T10" s="20">
        <f t="shared" si="18"/>
        <v>1</v>
      </c>
      <c r="U10" s="20" t="str">
        <f t="shared" ca="1" si="19"/>
        <v>Realizada</v>
      </c>
      <c r="V10" s="20"/>
      <c r="W10" s="20"/>
      <c r="X10" s="20"/>
      <c r="Y10" s="20"/>
    </row>
    <row r="11" spans="1:25" ht="49.5">
      <c r="A11" s="20">
        <v>22</v>
      </c>
      <c r="B11" s="20" t="str">
        <f t="shared" si="0"/>
        <v>Sesión del Consejo de Planeación Local Chapinero - Articulación Sondeos referente Local de Ruralidad</v>
      </c>
      <c r="C11" s="21">
        <f t="shared" si="1"/>
        <v>45335</v>
      </c>
      <c r="D11" s="20" t="str">
        <f t="shared" si="2"/>
        <v>OPDC</v>
      </c>
      <c r="E11" s="20" t="str">
        <f t="shared" si="3"/>
        <v>NO</v>
      </c>
      <c r="F11" s="20" t="str">
        <f t="shared" si="4"/>
        <v>Plan Distrital de Desarrollo</v>
      </c>
      <c r="G11" s="20" t="str">
        <f t="shared" si="5"/>
        <v>Presencial</v>
      </c>
      <c r="H11" s="20" t="str">
        <f t="shared" si="6"/>
        <v>Realizar articulación con referente Local de Ruralidad de la Localidad de Chapinero para aplicar el instrumento de sondeos.</v>
      </c>
      <c r="I11" s="20" t="str">
        <f t="shared" si="7"/>
        <v>Gestión Institucional</v>
      </c>
      <c r="J11" s="20" t="str">
        <f t="shared" si="8"/>
        <v>Comunitario</v>
      </c>
      <c r="K11" s="20" t="str">
        <f t="shared" si="9"/>
        <v>CPL</v>
      </c>
      <c r="L11" s="20" t="str">
        <f t="shared" si="10"/>
        <v>Chapinero</v>
      </c>
      <c r="M11" s="20" t="str">
        <f t="shared" si="11"/>
        <v>Ruralidad</v>
      </c>
      <c r="N11" s="20" t="str">
        <f t="shared" si="12"/>
        <v>Cerros Orientales</v>
      </c>
      <c r="O11" s="20" t="str">
        <f t="shared" si="13"/>
        <v>SÍ</v>
      </c>
      <c r="P11" s="20" t="str">
        <f t="shared" si="14"/>
        <v>Gestión interinstitucional</v>
      </c>
      <c r="Q11" s="20">
        <f t="shared" si="15"/>
        <v>24</v>
      </c>
      <c r="R11" s="20">
        <f t="shared" si="16"/>
        <v>1</v>
      </c>
      <c r="S11" s="20" t="str">
        <f t="shared" si="17"/>
        <v xml:space="preserve">Ruta de Participación PDD, articulación para aplicación de sondeos en la ruralidad.  </v>
      </c>
      <c r="T11" s="20">
        <f t="shared" si="18"/>
        <v>1</v>
      </c>
      <c r="U11" s="20" t="str">
        <f t="shared" ca="1" si="19"/>
        <v>Realizada</v>
      </c>
      <c r="V11" s="20"/>
      <c r="W11" s="20"/>
      <c r="X11" s="20"/>
      <c r="Y11" s="20"/>
    </row>
    <row r="12" spans="1:25" ht="49.5">
      <c r="A12" s="20">
        <v>23</v>
      </c>
      <c r="B12" s="20" t="str">
        <f t="shared" si="0"/>
        <v xml:space="preserve"> Instalación Comité de Coordinación del PDD</v>
      </c>
      <c r="C12" s="21">
        <f t="shared" si="1"/>
        <v>45336</v>
      </c>
      <c r="D12" s="20" t="str">
        <f t="shared" si="2"/>
        <v>OPDC</v>
      </c>
      <c r="E12" s="20" t="str">
        <f t="shared" si="3"/>
        <v>NO</v>
      </c>
      <c r="F12" s="20" t="str">
        <f t="shared" si="4"/>
        <v>Plan Distrital de Desarrollo</v>
      </c>
      <c r="G12" s="20" t="str">
        <f t="shared" si="5"/>
        <v>Virtual</v>
      </c>
      <c r="H12" s="20" t="str">
        <f t="shared" si="6"/>
        <v>Instalar el Comité Distrital de Coordinación del Plan de Desarrollo Distrital.</v>
      </c>
      <c r="I12" s="20" t="str">
        <f t="shared" si="7"/>
        <v>Mecanismo de Diálogo</v>
      </c>
      <c r="J12" s="20" t="str">
        <f t="shared" si="8"/>
        <v>Público</v>
      </c>
      <c r="K12" s="20" t="str">
        <f t="shared" si="9"/>
        <v>Servidores públicos (Distrital)</v>
      </c>
      <c r="L12" s="20" t="str">
        <f t="shared" si="10"/>
        <v>Distrital</v>
      </c>
      <c r="M12" s="20" t="str">
        <f t="shared" si="11"/>
        <v>Distrital</v>
      </c>
      <c r="N12" s="20" t="str">
        <f t="shared" si="12"/>
        <v>Distrital</v>
      </c>
      <c r="O12" s="20" t="str">
        <f t="shared" si="13"/>
        <v>SÍ</v>
      </c>
      <c r="P12" s="20" t="str">
        <f t="shared" si="14"/>
        <v>Gestión interinstitucional</v>
      </c>
      <c r="Q12" s="20">
        <f t="shared" si="15"/>
        <v>13</v>
      </c>
      <c r="R12" s="20">
        <f t="shared" si="16"/>
        <v>3</v>
      </c>
      <c r="S12" s="20" t="str">
        <f t="shared" si="17"/>
        <v>Instalación del Comité de Coordinación, siguientes fases y actividades en la metodologia de formulación del Plan de Desarrollo, como vamos respecto a la meta de la primera fase.</v>
      </c>
      <c r="T12" s="20">
        <f t="shared" si="18"/>
        <v>1</v>
      </c>
      <c r="U12" s="20" t="str">
        <f t="shared" ca="1" si="19"/>
        <v>Realizada</v>
      </c>
      <c r="V12" s="20"/>
      <c r="W12" s="20"/>
      <c r="X12" s="20"/>
      <c r="Y12" s="20"/>
    </row>
    <row r="13" spans="1:25" ht="49.5">
      <c r="A13" s="20">
        <v>24</v>
      </c>
      <c r="B13" s="20" t="str">
        <f t="shared" si="0"/>
        <v xml:space="preserve">Socialización Estrategia PDD - Comité Técnico Distrital de Discapacidad </v>
      </c>
      <c r="C13" s="21">
        <f t="shared" si="1"/>
        <v>45336</v>
      </c>
      <c r="D13" s="20" t="str">
        <f t="shared" si="2"/>
        <v>OPDC</v>
      </c>
      <c r="E13" s="20" t="str">
        <f t="shared" si="3"/>
        <v>NO</v>
      </c>
      <c r="F13" s="20" t="str">
        <f t="shared" si="4"/>
        <v>Plan Distrital de Desarrollo</v>
      </c>
      <c r="G13" s="20" t="str">
        <f t="shared" si="5"/>
        <v>Virtual</v>
      </c>
      <c r="H13" s="20" t="str">
        <f t="shared" si="6"/>
        <v>Socializar la estrategia de participación ciudadana para la formulación del PDD al Comité Técnico Distrital de Discapacidad</v>
      </c>
      <c r="I13" s="20" t="str">
        <f t="shared" si="7"/>
        <v>Mecanismo de Comunicación para la Participación</v>
      </c>
      <c r="J13" s="20" t="str">
        <f t="shared" si="8"/>
        <v>Comunitario</v>
      </c>
      <c r="K13" s="20" t="str">
        <f t="shared" si="9"/>
        <v>Consejo Consultivo</v>
      </c>
      <c r="L13" s="20" t="str">
        <f t="shared" si="10"/>
        <v>Distrital</v>
      </c>
      <c r="M13" s="20" t="str">
        <f t="shared" si="11"/>
        <v>Distrital</v>
      </c>
      <c r="N13" s="20" t="str">
        <f t="shared" si="12"/>
        <v>Distrital</v>
      </c>
      <c r="O13" s="20" t="str">
        <f t="shared" si="13"/>
        <v>SÍ</v>
      </c>
      <c r="P13" s="20" t="str">
        <f t="shared" si="14"/>
        <v>Gestión interinstitucional</v>
      </c>
      <c r="Q13" s="20">
        <f t="shared" si="15"/>
        <v>19</v>
      </c>
      <c r="R13" s="20">
        <f t="shared" si="16"/>
        <v>4</v>
      </c>
      <c r="S13" s="20" t="str">
        <f t="shared" si="17"/>
        <v>Socialización de la estrategia de participación ciudadana para la formulación del PDD.</v>
      </c>
      <c r="T13" s="20">
        <f t="shared" si="18"/>
        <v>1</v>
      </c>
      <c r="U13" s="20" t="str">
        <f t="shared" ca="1" si="19"/>
        <v>Realizada</v>
      </c>
      <c r="V13" s="20"/>
      <c r="W13" s="20"/>
      <c r="X13" s="20"/>
      <c r="Y13" s="20"/>
    </row>
    <row r="14" spans="1:25" ht="49.5">
      <c r="A14" s="20">
        <v>25</v>
      </c>
      <c r="B14" s="20" t="str">
        <f t="shared" si="0"/>
        <v xml:space="preserve">Grupo Focal de Integración Regional - Taller Subregión Sur - Plan Distrital de Desarrollo </v>
      </c>
      <c r="C14" s="21">
        <f t="shared" si="1"/>
        <v>45337</v>
      </c>
      <c r="D14" s="20" t="str">
        <f t="shared" si="2"/>
        <v>OPDC</v>
      </c>
      <c r="E14" s="20" t="str">
        <f t="shared" si="3"/>
        <v>NO</v>
      </c>
      <c r="F14" s="20" t="str">
        <f t="shared" si="4"/>
        <v>Plan Distrital de Desarrollo</v>
      </c>
      <c r="G14" s="20" t="str">
        <f t="shared" si="5"/>
        <v>Presencial</v>
      </c>
      <c r="H14" s="20" t="str">
        <f t="shared" si="6"/>
        <v>Definir los aspectos a trabajar en el Plan Distrital de Desarrollo de la actual administración en lo correspondiente al componente regional.</v>
      </c>
      <c r="I14" s="20" t="str">
        <f t="shared" si="7"/>
        <v>Mecanismo de Diálogo</v>
      </c>
      <c r="J14" s="20" t="str">
        <f t="shared" si="8"/>
        <v>Multiactor</v>
      </c>
      <c r="K14" s="20">
        <f t="shared" si="9"/>
        <v>0</v>
      </c>
      <c r="L14" s="20" t="str">
        <f t="shared" si="10"/>
        <v>Distrital</v>
      </c>
      <c r="M14" s="20" t="str">
        <f t="shared" si="11"/>
        <v>Distrital</v>
      </c>
      <c r="N14" s="20" t="str">
        <f t="shared" si="12"/>
        <v>Distrital</v>
      </c>
      <c r="O14" s="20" t="str">
        <f t="shared" si="13"/>
        <v>SÍ</v>
      </c>
      <c r="P14" s="20" t="str">
        <f t="shared" si="14"/>
        <v>Fase I: Sentires Ciudadanos</v>
      </c>
      <c r="Q14" s="20">
        <f t="shared" si="15"/>
        <v>22</v>
      </c>
      <c r="R14" s="20">
        <f t="shared" si="16"/>
        <v>12</v>
      </c>
      <c r="S14" s="20" t="str">
        <f t="shared" si="17"/>
        <v xml:space="preserve">Temas comunes del Plan de Desarrollo de cada municipio e identificación de problemáticas y potencialidades de la relación entre la subregión y Bogotá. </v>
      </c>
      <c r="T14" s="20">
        <f t="shared" si="18"/>
        <v>1</v>
      </c>
      <c r="U14" s="20" t="str">
        <f t="shared" ca="1" si="19"/>
        <v>Realizada</v>
      </c>
      <c r="V14" s="20"/>
      <c r="W14" s="20"/>
      <c r="X14" s="20"/>
      <c r="Y14" s="20"/>
    </row>
    <row r="15" spans="1:25" ht="25.5">
      <c r="A15" s="20">
        <v>26</v>
      </c>
      <c r="B15" s="20" t="str">
        <f t="shared" si="0"/>
        <v>Consultorio PDD - Sondeos Sentires Ciudadanos con servidores</v>
      </c>
      <c r="C15" s="21">
        <f t="shared" si="1"/>
        <v>45337</v>
      </c>
      <c r="D15" s="20" t="str">
        <f t="shared" si="2"/>
        <v>OPDC</v>
      </c>
      <c r="E15" s="20" t="str">
        <f t="shared" si="3"/>
        <v>NO</v>
      </c>
      <c r="F15" s="20" t="str">
        <f t="shared" si="4"/>
        <v>Plan Distrital de Desarrollo</v>
      </c>
      <c r="G15" s="20" t="str">
        <f t="shared" si="5"/>
        <v>Presencial</v>
      </c>
      <c r="H15" s="20" t="str">
        <f t="shared" si="6"/>
        <v>Aplicar el sondeo Sentires Ciudadanos a servidores y colaboradores.</v>
      </c>
      <c r="I15" s="20" t="str">
        <f t="shared" si="7"/>
        <v>Gestión Institucional</v>
      </c>
      <c r="J15" s="20" t="str">
        <f t="shared" si="8"/>
        <v>Público</v>
      </c>
      <c r="K15" s="20" t="str">
        <f t="shared" si="9"/>
        <v>Servidores públicos (Distrital)</v>
      </c>
      <c r="L15" s="20" t="str">
        <f t="shared" si="10"/>
        <v>Distrital</v>
      </c>
      <c r="M15" s="20" t="str">
        <f t="shared" si="11"/>
        <v>Distrital</v>
      </c>
      <c r="N15" s="20" t="str">
        <f t="shared" si="12"/>
        <v>Distrital</v>
      </c>
      <c r="O15" s="20" t="str">
        <f t="shared" si="13"/>
        <v>SÍ</v>
      </c>
      <c r="P15" s="20" t="str">
        <f t="shared" si="14"/>
        <v>Fase I: Sentires Ciudadanos</v>
      </c>
      <c r="Q15" s="20">
        <f t="shared" si="15"/>
        <v>0</v>
      </c>
      <c r="R15" s="20">
        <f t="shared" si="16"/>
        <v>100</v>
      </c>
      <c r="S15" s="20" t="str">
        <f t="shared" si="17"/>
        <v>Invitación a participar en la formulación del PDD fase Sentires Ciudadanos.</v>
      </c>
      <c r="T15" s="20">
        <f t="shared" si="18"/>
        <v>1</v>
      </c>
      <c r="U15" s="20" t="str">
        <f t="shared" ca="1" si="19"/>
        <v>Realizada</v>
      </c>
      <c r="V15" s="20"/>
      <c r="W15" s="20"/>
      <c r="X15" s="20"/>
      <c r="Y15" s="20"/>
    </row>
    <row r="16" spans="1:25" ht="49.5">
      <c r="A16" s="20">
        <v>27</v>
      </c>
      <c r="B16" s="20" t="str">
        <f t="shared" si="0"/>
        <v xml:space="preserve">Grupo Focal de Integración Regional - Taller Subregión Occidente - Plan Distrital de Desarrollo </v>
      </c>
      <c r="C16" s="21">
        <f t="shared" si="1"/>
        <v>45337</v>
      </c>
      <c r="D16" s="20" t="str">
        <f t="shared" si="2"/>
        <v>OPDC</v>
      </c>
      <c r="E16" s="20" t="str">
        <f t="shared" si="3"/>
        <v>NO</v>
      </c>
      <c r="F16" s="20" t="str">
        <f t="shared" si="4"/>
        <v>Plan Distrital de Desarrollo</v>
      </c>
      <c r="G16" s="20" t="str">
        <f t="shared" si="5"/>
        <v>Presencial</v>
      </c>
      <c r="H16" s="20" t="str">
        <f t="shared" si="6"/>
        <v>Definir los aspectos a trabajar en el Plan Distrital de Desarrollo de la actual administración en lo correspondiente al componente regional.</v>
      </c>
      <c r="I16" s="20" t="str">
        <f t="shared" si="7"/>
        <v>Mecanismo de Diálogo</v>
      </c>
      <c r="J16" s="20" t="str">
        <f t="shared" si="8"/>
        <v>Multiactor</v>
      </c>
      <c r="K16" s="20">
        <f t="shared" si="9"/>
        <v>0</v>
      </c>
      <c r="L16" s="20" t="str">
        <f t="shared" si="10"/>
        <v>Distrital</v>
      </c>
      <c r="M16" s="20" t="str">
        <f t="shared" si="11"/>
        <v>Distrital</v>
      </c>
      <c r="N16" s="20" t="str">
        <f t="shared" si="12"/>
        <v>Distrital</v>
      </c>
      <c r="O16" s="20" t="str">
        <f t="shared" si="13"/>
        <v>SÍ</v>
      </c>
      <c r="P16" s="20" t="str">
        <f t="shared" si="14"/>
        <v>Fase I: Sentires Ciudadanos</v>
      </c>
      <c r="Q16" s="20">
        <f t="shared" si="15"/>
        <v>33</v>
      </c>
      <c r="R16" s="20">
        <f t="shared" si="16"/>
        <v>10</v>
      </c>
      <c r="S16" s="20" t="str">
        <f t="shared" si="17"/>
        <v xml:space="preserve">Temas comunes del Plan de Desarrollo de cada municipio e identificación de problemáticas y potencialidades de la relación entre la subregión y Bogotá. </v>
      </c>
      <c r="T16" s="20">
        <f t="shared" si="18"/>
        <v>1</v>
      </c>
      <c r="U16" s="20" t="str">
        <f t="shared" ca="1" si="19"/>
        <v>Realizada</v>
      </c>
      <c r="V16" s="20"/>
      <c r="W16" s="20"/>
      <c r="X16" s="20"/>
      <c r="Y16" s="20"/>
    </row>
    <row r="17" spans="1:25" ht="49.5">
      <c r="A17" s="20">
        <v>28</v>
      </c>
      <c r="B17" s="20" t="str">
        <f t="shared" si="0"/>
        <v xml:space="preserve">Grupo Focal de Integración Regional - Taller Subregión Norte - Plan Distrital de Desarrollo </v>
      </c>
      <c r="C17" s="21">
        <f t="shared" si="1"/>
        <v>45338</v>
      </c>
      <c r="D17" s="20" t="str">
        <f t="shared" si="2"/>
        <v>OPDC</v>
      </c>
      <c r="E17" s="20" t="str">
        <f t="shared" si="3"/>
        <v>NO</v>
      </c>
      <c r="F17" s="20" t="str">
        <f t="shared" si="4"/>
        <v>Plan Distrital de Desarrollo</v>
      </c>
      <c r="G17" s="20" t="str">
        <f t="shared" si="5"/>
        <v>Presencial</v>
      </c>
      <c r="H17" s="20" t="str">
        <f t="shared" si="6"/>
        <v>Definir los aspectos a trabajar en el Plan Distrital de Desarrollo de la actual administración en lo correspondiente al componente regional.</v>
      </c>
      <c r="I17" s="20" t="str">
        <f t="shared" si="7"/>
        <v>Mecanismo de Diálogo</v>
      </c>
      <c r="J17" s="20" t="str">
        <f t="shared" si="8"/>
        <v>Multiactor</v>
      </c>
      <c r="K17" s="20">
        <f t="shared" si="9"/>
        <v>0</v>
      </c>
      <c r="L17" s="20" t="str">
        <f t="shared" si="10"/>
        <v>Distrital</v>
      </c>
      <c r="M17" s="20" t="str">
        <f t="shared" si="11"/>
        <v>Distrital</v>
      </c>
      <c r="N17" s="20" t="str">
        <f t="shared" si="12"/>
        <v>Distrital</v>
      </c>
      <c r="O17" s="20" t="str">
        <f t="shared" si="13"/>
        <v>SÍ</v>
      </c>
      <c r="P17" s="20" t="str">
        <f t="shared" si="14"/>
        <v>Fase I: Sentires Ciudadanos</v>
      </c>
      <c r="Q17" s="20">
        <f t="shared" si="15"/>
        <v>44</v>
      </c>
      <c r="R17" s="20">
        <f t="shared" si="16"/>
        <v>12</v>
      </c>
      <c r="S17" s="20" t="str">
        <f t="shared" si="17"/>
        <v xml:space="preserve">Temas comunes por subregión según el Plan de Desarrollo Local e identificación de problemáticas o potencialidades de la relación con Bogotá. </v>
      </c>
      <c r="T17" s="20">
        <f t="shared" si="18"/>
        <v>1</v>
      </c>
      <c r="U17" s="20" t="str">
        <f t="shared" ca="1" si="19"/>
        <v>Realizada</v>
      </c>
      <c r="V17" s="20"/>
      <c r="W17" s="20"/>
      <c r="X17" s="20"/>
      <c r="Y17" s="20"/>
    </row>
    <row r="18" spans="1:25" ht="49.5">
      <c r="A18" s="20">
        <v>29</v>
      </c>
      <c r="B18" s="20" t="str">
        <f t="shared" si="0"/>
        <v>Socialización Estrategia PDD - Sesión JAL Engativá</v>
      </c>
      <c r="C18" s="21">
        <f t="shared" si="1"/>
        <v>45338</v>
      </c>
      <c r="D18" s="20" t="str">
        <f t="shared" si="2"/>
        <v>OPDC</v>
      </c>
      <c r="E18" s="20" t="str">
        <f t="shared" si="3"/>
        <v>NO</v>
      </c>
      <c r="F18" s="20" t="str">
        <f t="shared" si="4"/>
        <v>Plan Distrital de Desarrollo</v>
      </c>
      <c r="G18" s="20" t="str">
        <f t="shared" si="5"/>
        <v>Presencial</v>
      </c>
      <c r="H18" s="20" t="str">
        <f t="shared" si="6"/>
        <v xml:space="preserve">Socializar la estrategia de participación para la formulación del PDD </v>
      </c>
      <c r="I18" s="20" t="str">
        <f t="shared" si="7"/>
        <v>Mecanismo de Comunicación para la Participación</v>
      </c>
      <c r="J18" s="20" t="str">
        <f t="shared" si="8"/>
        <v>Público</v>
      </c>
      <c r="K18" s="20" t="str">
        <f t="shared" si="9"/>
        <v>JAL</v>
      </c>
      <c r="L18" s="20" t="str">
        <f t="shared" si="10"/>
        <v>Engativá</v>
      </c>
      <c r="M18" s="20" t="str">
        <f t="shared" si="11"/>
        <v>Occidente</v>
      </c>
      <c r="N18" s="20" t="str">
        <f t="shared" si="12"/>
        <v>Engativá, Tabora, Salitre</v>
      </c>
      <c r="O18" s="20" t="str">
        <f t="shared" si="13"/>
        <v>SÍ</v>
      </c>
      <c r="P18" s="20" t="str">
        <f t="shared" si="14"/>
        <v>Gestión interinstitucional</v>
      </c>
      <c r="Q18" s="20">
        <f t="shared" si="15"/>
        <v>7</v>
      </c>
      <c r="R18" s="20">
        <f t="shared" si="16"/>
        <v>3</v>
      </c>
      <c r="S18" s="20" t="str">
        <f t="shared" si="17"/>
        <v>Socialización de la estrategia de participación ciudadana para la formulación del PDD.</v>
      </c>
      <c r="T18" s="20">
        <f t="shared" si="18"/>
        <v>1</v>
      </c>
      <c r="U18" s="20" t="str">
        <f t="shared" ca="1" si="19"/>
        <v>Realizada</v>
      </c>
      <c r="V18" s="20"/>
      <c r="W18" s="20"/>
      <c r="X18" s="20"/>
      <c r="Y18" s="20"/>
    </row>
    <row r="19" spans="1:25" ht="61.5">
      <c r="A19" s="20">
        <v>32</v>
      </c>
      <c r="B19" s="20" t="str">
        <f t="shared" si="0"/>
        <v>Comité Coordinador Intersectorial de Participación PDD</v>
      </c>
      <c r="C19" s="21">
        <f t="shared" si="1"/>
        <v>45343</v>
      </c>
      <c r="D19" s="20" t="str">
        <f t="shared" si="2"/>
        <v>OPDC</v>
      </c>
      <c r="E19" s="20" t="str">
        <f t="shared" si="3"/>
        <v>NO</v>
      </c>
      <c r="F19" s="20" t="str">
        <f t="shared" si="4"/>
        <v>Plan Distrital de Desarrollo</v>
      </c>
      <c r="G19" s="20" t="str">
        <f t="shared" si="5"/>
        <v>Virtual</v>
      </c>
      <c r="H19" s="20" t="str">
        <f t="shared" si="6"/>
        <v>Reunión semanal comité coordinador intersectorial PDD</v>
      </c>
      <c r="I19" s="20" t="str">
        <f t="shared" si="7"/>
        <v>Gestión Institucional</v>
      </c>
      <c r="J19" s="20" t="str">
        <f t="shared" si="8"/>
        <v>Público</v>
      </c>
      <c r="K19" s="20" t="str">
        <f t="shared" si="9"/>
        <v>Servidores públicos (Distrital)</v>
      </c>
      <c r="L19" s="20" t="str">
        <f t="shared" si="10"/>
        <v>Distrital</v>
      </c>
      <c r="M19" s="20" t="str">
        <f t="shared" si="11"/>
        <v>Distrital</v>
      </c>
      <c r="N19" s="20" t="str">
        <f t="shared" si="12"/>
        <v>Distrital</v>
      </c>
      <c r="O19" s="20" t="str">
        <f t="shared" si="13"/>
        <v>SÍ</v>
      </c>
      <c r="P19" s="20" t="str">
        <f t="shared" si="14"/>
        <v>Gestión interinstitucional</v>
      </c>
      <c r="Q19" s="20">
        <f t="shared" si="15"/>
        <v>20</v>
      </c>
      <c r="R19" s="20">
        <f t="shared" si="16"/>
        <v>5</v>
      </c>
      <c r="S19" s="20" t="str">
        <f t="shared" si="17"/>
        <v>Reporte Final del Sondeo Sentires ciudadanos fase 1 PDD, Preparacion fase 2 por medio de Chatico, Lista blanca de colaboradores para Chatico, importancia de divulgacion de cronogramas de las Entidades.</v>
      </c>
      <c r="T19" s="20">
        <f t="shared" si="18"/>
        <v>1</v>
      </c>
      <c r="U19" s="20" t="str">
        <f t="shared" ca="1" si="19"/>
        <v>Realizada</v>
      </c>
      <c r="V19" s="20"/>
      <c r="W19" s="20"/>
      <c r="X19" s="20"/>
      <c r="Y19" s="20"/>
    </row>
    <row r="20" spans="1:25" ht="49.5">
      <c r="A20" s="20">
        <v>33</v>
      </c>
      <c r="B20" s="20" t="str">
        <f t="shared" si="0"/>
        <v>Reunión Federación de Juntas - PDD</v>
      </c>
      <c r="C20" s="21">
        <f t="shared" si="1"/>
        <v>45343</v>
      </c>
      <c r="D20" s="20" t="str">
        <f t="shared" si="2"/>
        <v>OPDC</v>
      </c>
      <c r="E20" s="20" t="str">
        <f t="shared" si="3"/>
        <v>NO</v>
      </c>
      <c r="F20" s="20" t="str">
        <f t="shared" si="4"/>
        <v>Plan Distrital de Desarrollo</v>
      </c>
      <c r="G20" s="20" t="str">
        <f t="shared" si="5"/>
        <v>Virtual</v>
      </c>
      <c r="H20" s="20" t="str">
        <f t="shared" si="6"/>
        <v>Presentar la estrategia de participación del PDD.</v>
      </c>
      <c r="I20" s="20" t="str">
        <f t="shared" si="7"/>
        <v>Mecanismo de Comunicación para la Participación</v>
      </c>
      <c r="J20" s="20" t="str">
        <f t="shared" si="8"/>
        <v>Comunitario</v>
      </c>
      <c r="K20" s="20" t="str">
        <f t="shared" si="9"/>
        <v>ASOJUNTAS - JAC</v>
      </c>
      <c r="L20" s="20" t="str">
        <f t="shared" si="10"/>
        <v>Distrital</v>
      </c>
      <c r="M20" s="20" t="str">
        <f t="shared" si="11"/>
        <v>Distrital</v>
      </c>
      <c r="N20" s="20" t="str">
        <f t="shared" si="12"/>
        <v>Distrital</v>
      </c>
      <c r="O20" s="20" t="str">
        <f t="shared" si="13"/>
        <v>SÍ</v>
      </c>
      <c r="P20" s="20" t="str">
        <f t="shared" si="14"/>
        <v>Gestión interinstitucional</v>
      </c>
      <c r="Q20" s="20">
        <f t="shared" si="15"/>
        <v>64</v>
      </c>
      <c r="R20" s="20">
        <f t="shared" si="16"/>
        <v>2</v>
      </c>
      <c r="S20" s="20" t="str">
        <f t="shared" si="17"/>
        <v>Pedagogía e información sobre qué es el PDD, cómo se formula y la ruta de la participación.</v>
      </c>
      <c r="T20" s="20">
        <f t="shared" si="18"/>
        <v>1</v>
      </c>
      <c r="U20" s="20" t="str">
        <f t="shared" ca="1" si="19"/>
        <v>Realizada</v>
      </c>
      <c r="V20" s="20"/>
      <c r="W20" s="20"/>
      <c r="X20" s="20"/>
      <c r="Y20" s="20"/>
    </row>
    <row r="21" spans="1:25" ht="61.5">
      <c r="A21" s="20">
        <v>34</v>
      </c>
      <c r="B21" s="20" t="str">
        <f t="shared" si="0"/>
        <v>Caminandole al Plan Distrital de Desarrollo: Preparación formativa de los consejeros y consejeras del CTPD - Módulo 1 - Jornada 1</v>
      </c>
      <c r="C21" s="21">
        <f t="shared" si="1"/>
        <v>45344</v>
      </c>
      <c r="D21" s="20" t="str">
        <f t="shared" si="2"/>
        <v>INSTANCIAS</v>
      </c>
      <c r="E21" s="20" t="str">
        <f t="shared" si="3"/>
        <v>NO</v>
      </c>
      <c r="F21" s="20" t="str">
        <f t="shared" si="4"/>
        <v>CTPD (Consejo Territorial de Planeación Distrital)</v>
      </c>
      <c r="G21" s="20" t="str">
        <f t="shared" si="5"/>
        <v>Virtual</v>
      </c>
      <c r="H21" s="20" t="str">
        <f t="shared" si="6"/>
        <v>Fortaler los conceptos de planeación y desarrollo con los consejeros y consejeras del CTPD</v>
      </c>
      <c r="I21" s="20" t="str">
        <f t="shared" si="7"/>
        <v>Mecanismo de Fortalecimiento Ciudadano para la Planeación Participativa</v>
      </c>
      <c r="J21" s="20" t="str">
        <f t="shared" si="8"/>
        <v>Público</v>
      </c>
      <c r="K21" s="20" t="str">
        <f t="shared" si="9"/>
        <v>Servidores públicos (Distrital)</v>
      </c>
      <c r="L21" s="20" t="str">
        <f t="shared" si="10"/>
        <v>Distrital</v>
      </c>
      <c r="M21" s="20" t="str">
        <f t="shared" si="11"/>
        <v>Distrital</v>
      </c>
      <c r="N21" s="20" t="str">
        <f t="shared" si="12"/>
        <v>Distrital</v>
      </c>
      <c r="O21" s="20" t="str">
        <f t="shared" si="13"/>
        <v>NO</v>
      </c>
      <c r="P21" s="20" t="str">
        <f t="shared" si="14"/>
        <v>No aplica</v>
      </c>
      <c r="Q21" s="20">
        <f t="shared" si="15"/>
        <v>13</v>
      </c>
      <c r="R21" s="20">
        <f t="shared" si="16"/>
        <v>5</v>
      </c>
      <c r="S21" s="20" t="str">
        <f t="shared" si="17"/>
        <v>Duración del curso para su certificación, Discusiones sobre el desarrollo y sobre la planeación para el desarrollo en Colombia; así mismo, visión de la ciudad y estratégica del PDD.</v>
      </c>
      <c r="T21" s="20">
        <f t="shared" si="18"/>
        <v>1</v>
      </c>
      <c r="U21" s="20" t="str">
        <f t="shared" ca="1" si="19"/>
        <v>Realizada</v>
      </c>
      <c r="V21" s="20"/>
      <c r="W21" s="20"/>
      <c r="X21" s="20"/>
      <c r="Y21" s="20"/>
    </row>
    <row r="22" spans="1:25" ht="61.5">
      <c r="A22" s="20">
        <v>35</v>
      </c>
      <c r="B22" s="20" t="str">
        <f t="shared" si="0"/>
        <v>Caminandole al Plan Distrital de Desarrollo: Preparación formativa de los consejeros y consejeras del CTPD - Módulo 1 - Jornada 2</v>
      </c>
      <c r="C22" s="21">
        <f t="shared" si="1"/>
        <v>45344</v>
      </c>
      <c r="D22" s="20" t="str">
        <f t="shared" si="2"/>
        <v>INSTANCIAS</v>
      </c>
      <c r="E22" s="20" t="str">
        <f t="shared" si="3"/>
        <v>NO</v>
      </c>
      <c r="F22" s="20" t="str">
        <f t="shared" si="4"/>
        <v>CTPD (Consejo Territorial de Planeación Distrital)</v>
      </c>
      <c r="G22" s="20" t="str">
        <f t="shared" si="5"/>
        <v>Virtual</v>
      </c>
      <c r="H22" s="20" t="str">
        <f t="shared" si="6"/>
        <v>Fortalecer los conceptos de los consejeros y consejeras del CTPD sobre el desarrollo y la planeación</v>
      </c>
      <c r="I22" s="20" t="str">
        <f t="shared" si="7"/>
        <v>Mecanismo de Fortalecimiento Ciudadano para la Planeación Participativa</v>
      </c>
      <c r="J22" s="20" t="str">
        <f t="shared" si="8"/>
        <v>Público</v>
      </c>
      <c r="K22" s="20" t="str">
        <f t="shared" si="9"/>
        <v>Servidores públicos (Distrital)</v>
      </c>
      <c r="L22" s="20" t="str">
        <f t="shared" si="10"/>
        <v>Distrital</v>
      </c>
      <c r="M22" s="20" t="str">
        <f t="shared" si="11"/>
        <v>Distrital</v>
      </c>
      <c r="N22" s="20" t="str">
        <f t="shared" si="12"/>
        <v>Distrital</v>
      </c>
      <c r="O22" s="20" t="str">
        <f t="shared" si="13"/>
        <v>NO</v>
      </c>
      <c r="P22" s="20" t="str">
        <f t="shared" si="14"/>
        <v>No aplica</v>
      </c>
      <c r="Q22" s="20">
        <f t="shared" si="15"/>
        <v>7</v>
      </c>
      <c r="R22" s="20">
        <f t="shared" si="16"/>
        <v>4</v>
      </c>
      <c r="S22" s="20" t="str">
        <f t="shared" si="17"/>
        <v>Plan Distrital de Desarrollo, Formación participativa, Percepciones entorno a Bogotá.</v>
      </c>
      <c r="T22" s="20">
        <f t="shared" si="18"/>
        <v>1</v>
      </c>
      <c r="U22" s="20" t="str">
        <f t="shared" ca="1" si="19"/>
        <v>Realizada</v>
      </c>
      <c r="V22" s="20"/>
      <c r="W22" s="20"/>
      <c r="X22" s="20"/>
      <c r="Y22" s="20"/>
    </row>
    <row r="23" spans="1:25" ht="110.25">
      <c r="A23" s="20">
        <v>36</v>
      </c>
      <c r="B23" s="20" t="str">
        <f t="shared" si="0"/>
        <v>Audiencia - Ejercicios de Planeación Participativa del Sistema General de Regalías  2024-2027</v>
      </c>
      <c r="C23" s="21">
        <f t="shared" si="1"/>
        <v>45345</v>
      </c>
      <c r="D23" s="20" t="str">
        <f t="shared" si="2"/>
        <v>OPDC</v>
      </c>
      <c r="E23" s="20" t="str">
        <f t="shared" si="3"/>
        <v>NO</v>
      </c>
      <c r="F23" s="20" t="str">
        <f t="shared" si="4"/>
        <v>Sistema General de Regalías</v>
      </c>
      <c r="G23" s="20" t="str">
        <f t="shared" si="5"/>
        <v>Presencial</v>
      </c>
      <c r="H23" s="20" t="str">
        <f t="shared" si="6"/>
        <v>Socializar las iniciativas y/o proyectos de inversión susceptibles de ser financiados con las Asignaciones Directas y la Asignación para la Inversión Regional del Sistema General de Regalías que posteriormente serán incorporados en el Plan de Desarrollo Distrital en un capítulo de “Inversiones independiente con cargo al SGR”</v>
      </c>
      <c r="I23" s="20" t="str">
        <f t="shared" si="7"/>
        <v>Mecanismo de Comunicación para la Participación</v>
      </c>
      <c r="J23" s="20" t="str">
        <f t="shared" si="8"/>
        <v>Multiactor</v>
      </c>
      <c r="K23" s="20">
        <f t="shared" si="9"/>
        <v>0</v>
      </c>
      <c r="L23" s="20" t="str">
        <f t="shared" si="10"/>
        <v>Distrital</v>
      </c>
      <c r="M23" s="20" t="str">
        <f t="shared" si="11"/>
        <v>Distrital</v>
      </c>
      <c r="N23" s="20" t="str">
        <f t="shared" si="12"/>
        <v>Distrital</v>
      </c>
      <c r="O23" s="20" t="str">
        <f t="shared" si="13"/>
        <v>NO</v>
      </c>
      <c r="P23" s="20">
        <f t="shared" si="14"/>
        <v>0</v>
      </c>
      <c r="Q23" s="20">
        <f t="shared" si="15"/>
        <v>121</v>
      </c>
      <c r="R23" s="20">
        <f t="shared" si="16"/>
        <v>15</v>
      </c>
      <c r="S23" s="20" t="str">
        <f t="shared" si="17"/>
        <v>Metodología priorización iniciativas, Sistema General de Regalias</v>
      </c>
      <c r="T23" s="20">
        <f t="shared" si="18"/>
        <v>1</v>
      </c>
      <c r="U23" s="20" t="str">
        <f t="shared" ca="1" si="19"/>
        <v>Realizada</v>
      </c>
      <c r="V23" s="20"/>
      <c r="W23" s="20"/>
      <c r="X23" s="20"/>
      <c r="Y23" s="20"/>
    </row>
    <row r="24" spans="1:25" ht="74.25">
      <c r="A24" s="20">
        <v>38</v>
      </c>
      <c r="B24" s="20" t="str">
        <f t="shared" si="0"/>
        <v>Mesa de trabajo Preparatoria en Concejo - Foro "Jóvenes Construyendo una Ciudad Sostenible"</v>
      </c>
      <c r="C24" s="21">
        <f t="shared" si="1"/>
        <v>45345</v>
      </c>
      <c r="D24" s="20" t="str">
        <f t="shared" si="2"/>
        <v>OPDC</v>
      </c>
      <c r="E24" s="20" t="str">
        <f t="shared" si="3"/>
        <v>NO</v>
      </c>
      <c r="F24" s="20" t="str">
        <f t="shared" si="4"/>
        <v>Escenarios individuales</v>
      </c>
      <c r="G24" s="20" t="str">
        <f t="shared" si="5"/>
        <v>Presencial</v>
      </c>
      <c r="H24" s="20" t="str">
        <f t="shared" si="6"/>
        <v>Acompañar la mesa de trabajo convocada por el HC Jesús Araque, para coordinar el acompañamiento desde la SDP al Foro  "Jóvenes Construyendo una Ciudad Sostenible" organizado por la YMCA Bogotá.</v>
      </c>
      <c r="I24" s="20" t="str">
        <f t="shared" si="7"/>
        <v>Gestión Institucional</v>
      </c>
      <c r="J24" s="20" t="str">
        <f t="shared" si="8"/>
        <v>Público</v>
      </c>
      <c r="K24" s="20" t="str">
        <f t="shared" si="9"/>
        <v>Concejo de Bogotá</v>
      </c>
      <c r="L24" s="20" t="str">
        <f t="shared" si="10"/>
        <v>Distrital</v>
      </c>
      <c r="M24" s="20" t="str">
        <f t="shared" si="11"/>
        <v>Distrital</v>
      </c>
      <c r="N24" s="20" t="str">
        <f t="shared" si="12"/>
        <v>Distrital</v>
      </c>
      <c r="O24" s="20" t="str">
        <f t="shared" si="13"/>
        <v>NO</v>
      </c>
      <c r="P24" s="20">
        <f t="shared" si="14"/>
        <v>0</v>
      </c>
      <c r="Q24" s="20">
        <f t="shared" si="15"/>
        <v>10</v>
      </c>
      <c r="R24" s="20">
        <f t="shared" si="16"/>
        <v>3</v>
      </c>
      <c r="S24" s="20" t="str">
        <f t="shared" si="17"/>
        <v>Propuesta Foro de Juventudes, metodología y bloques temáticos, Articulación de las Entidades para el Foro organizado por la YMCA, roles de las Entidades, estrategia de participación para la formulación del Plan Distrital de Desarrollo.</v>
      </c>
      <c r="T24" s="20">
        <f t="shared" si="18"/>
        <v>1</v>
      </c>
      <c r="U24" s="20" t="str">
        <f t="shared" ca="1" si="19"/>
        <v>Realizada</v>
      </c>
      <c r="V24" s="20"/>
      <c r="W24" s="20"/>
      <c r="X24" s="20"/>
      <c r="Y24" s="20"/>
    </row>
    <row r="25" spans="1:25" ht="61.5">
      <c r="A25" s="20">
        <v>40</v>
      </c>
      <c r="B25" s="20" t="str">
        <f t="shared" si="0"/>
        <v>Caminandole al Plan Distrital de Desarrollo: Preparación formativa de los consejeros y consejeras del CTPD - Módulo 2 - Jornada 1</v>
      </c>
      <c r="C25" s="21">
        <f t="shared" si="1"/>
        <v>45348</v>
      </c>
      <c r="D25" s="20" t="str">
        <f t="shared" si="2"/>
        <v>INSTANCIAS</v>
      </c>
      <c r="E25" s="20" t="str">
        <f t="shared" si="3"/>
        <v>NO</v>
      </c>
      <c r="F25" s="20" t="str">
        <f t="shared" si="4"/>
        <v>CTPD (Consejo Territorial de Planeación Distrital)</v>
      </c>
      <c r="G25" s="20" t="str">
        <f t="shared" si="5"/>
        <v>Virtual</v>
      </c>
      <c r="H25" s="20" t="str">
        <f t="shared" si="6"/>
        <v>Brindar herramientas a los consejeros y consejeras del CTPD para la formulación del concepto del PDD</v>
      </c>
      <c r="I25" s="20" t="str">
        <f t="shared" si="7"/>
        <v>Mecanismo de Fortalecimiento Ciudadano para la Planeación Participativa</v>
      </c>
      <c r="J25" s="20" t="str">
        <f t="shared" si="8"/>
        <v>Público</v>
      </c>
      <c r="K25" s="20" t="str">
        <f t="shared" si="9"/>
        <v>Servidores públicos (Distrital)</v>
      </c>
      <c r="L25" s="20" t="str">
        <f t="shared" si="10"/>
        <v>Distrital</v>
      </c>
      <c r="M25" s="20" t="str">
        <f t="shared" si="11"/>
        <v>Distrital</v>
      </c>
      <c r="N25" s="20" t="str">
        <f t="shared" si="12"/>
        <v>Distrital</v>
      </c>
      <c r="O25" s="20" t="str">
        <f t="shared" si="13"/>
        <v>NO</v>
      </c>
      <c r="P25" s="20" t="str">
        <f t="shared" si="14"/>
        <v>No aplica</v>
      </c>
      <c r="Q25" s="20">
        <f t="shared" si="15"/>
        <v>14</v>
      </c>
      <c r="R25" s="20">
        <f t="shared" si="16"/>
        <v>5</v>
      </c>
      <c r="S25" s="20" t="str">
        <f t="shared" si="17"/>
        <v>Presentación a consejeros, ¿qué es un Plan de Desarrollo? su importancia, impacto en la ciudad, su formulación, fundamentos jurídicos, la  Visión de Ciudad y roles del CTPD ante el PDD 2024-2028.</v>
      </c>
      <c r="T25" s="20">
        <f t="shared" si="18"/>
        <v>1</v>
      </c>
      <c r="U25" s="20" t="str">
        <f t="shared" ca="1" si="19"/>
        <v>Realizada</v>
      </c>
      <c r="V25" s="20"/>
      <c r="W25" s="20"/>
      <c r="X25" s="20"/>
      <c r="Y25" s="20"/>
    </row>
    <row r="26" spans="1:25" ht="61.5">
      <c r="A26" s="20">
        <v>42</v>
      </c>
      <c r="B26" s="20" t="str">
        <f t="shared" si="0"/>
        <v>Caminandole al Plan Distrital de Desarrollo: Preparación formativa de los consejeros y consejeras del CTPD - Módulo 2 - Jornada 2</v>
      </c>
      <c r="C26" s="21">
        <f t="shared" si="1"/>
        <v>45348</v>
      </c>
      <c r="D26" s="20" t="str">
        <f t="shared" si="2"/>
        <v>INSTANCIAS</v>
      </c>
      <c r="E26" s="20" t="str">
        <f t="shared" si="3"/>
        <v>NO</v>
      </c>
      <c r="F26" s="20" t="str">
        <f t="shared" si="4"/>
        <v>CTPD (Consejo Territorial de Planeación Distrital)</v>
      </c>
      <c r="G26" s="20" t="str">
        <f t="shared" si="5"/>
        <v>Virtual</v>
      </c>
      <c r="H26" s="20" t="str">
        <f t="shared" si="6"/>
        <v>Establecer conocimientos básicos para que los consejeros y consejeras del CTPD aborden el PDD</v>
      </c>
      <c r="I26" s="20" t="str">
        <f t="shared" si="7"/>
        <v>Mecanismo de Fortalecimiento Ciudadano para la Planeación Participativa</v>
      </c>
      <c r="J26" s="20" t="str">
        <f t="shared" si="8"/>
        <v>Público</v>
      </c>
      <c r="K26" s="20" t="str">
        <f t="shared" si="9"/>
        <v>Servidores públicos (Distrital)</v>
      </c>
      <c r="L26" s="20" t="str">
        <f t="shared" si="10"/>
        <v>Distrital</v>
      </c>
      <c r="M26" s="20" t="str">
        <f t="shared" si="11"/>
        <v>Distrital</v>
      </c>
      <c r="N26" s="20" t="str">
        <f t="shared" si="12"/>
        <v>Distrital</v>
      </c>
      <c r="O26" s="20" t="str">
        <f t="shared" si="13"/>
        <v>NO</v>
      </c>
      <c r="P26" s="20" t="str">
        <f t="shared" si="14"/>
        <v>No aplica</v>
      </c>
      <c r="Q26" s="20">
        <f t="shared" si="15"/>
        <v>14</v>
      </c>
      <c r="R26" s="20">
        <f t="shared" si="16"/>
        <v>4</v>
      </c>
      <c r="S26" s="20" t="str">
        <f t="shared" si="17"/>
        <v>Capacitación hacia las y los Consejeros del CTPD,  visiones de la ciudad y objetivos del plan de desarrollo, fases de la estrategia de participación del PDD y el papel del CTPD.</v>
      </c>
      <c r="T26" s="20">
        <f t="shared" si="18"/>
        <v>1</v>
      </c>
      <c r="U26" s="20" t="str">
        <f t="shared" ca="1" si="19"/>
        <v>Realizada</v>
      </c>
      <c r="V26" s="20"/>
      <c r="W26" s="20"/>
      <c r="X26" s="20"/>
      <c r="Y26" s="20"/>
    </row>
    <row r="27" spans="1:25" ht="49.5">
      <c r="A27" s="20">
        <v>43</v>
      </c>
      <c r="B27" s="20" t="str">
        <f t="shared" si="0"/>
        <v>CLIP Sumapaz</v>
      </c>
      <c r="C27" s="21">
        <f t="shared" si="1"/>
        <v>45349</v>
      </c>
      <c r="D27" s="20" t="str">
        <f t="shared" si="2"/>
        <v>INSTANCIAS</v>
      </c>
      <c r="E27" s="20" t="str">
        <f t="shared" si="3"/>
        <v>NO</v>
      </c>
      <c r="F27" s="20" t="str">
        <f t="shared" si="4"/>
        <v>CLIP (Comisión Local Intersectorial de Participación)</v>
      </c>
      <c r="G27" s="20" t="str">
        <f t="shared" si="5"/>
        <v>Virtual</v>
      </c>
      <c r="H27" s="20" t="str">
        <f t="shared" si="6"/>
        <v xml:space="preserve">Acompañar la articulación de los esfuerzos institucionales de participación en la localidad de Sumapaz. </v>
      </c>
      <c r="I27" s="20" t="str">
        <f t="shared" si="7"/>
        <v>Gestión Institucional</v>
      </c>
      <c r="J27" s="20" t="str">
        <f t="shared" si="8"/>
        <v>Público</v>
      </c>
      <c r="K27" s="20" t="str">
        <f t="shared" si="9"/>
        <v>Servidores públicos (local)</v>
      </c>
      <c r="L27" s="20" t="str">
        <f t="shared" si="10"/>
        <v>Sumapaz</v>
      </c>
      <c r="M27" s="20" t="str">
        <f t="shared" si="11"/>
        <v>Ruralidad</v>
      </c>
      <c r="N27" s="20" t="str">
        <f t="shared" si="12"/>
        <v>Sumapaz</v>
      </c>
      <c r="O27" s="20" t="str">
        <f t="shared" si="13"/>
        <v>NO</v>
      </c>
      <c r="P27" s="20" t="str">
        <f t="shared" si="14"/>
        <v>No aplica</v>
      </c>
      <c r="Q27" s="20">
        <f t="shared" si="15"/>
        <v>21</v>
      </c>
      <c r="R27" s="20">
        <f t="shared" si="16"/>
        <v>1</v>
      </c>
      <c r="S27" s="20" t="str">
        <f t="shared" si="17"/>
        <v>Programa Distrital de Estimulos, Invitación a los talleres del PDD, Presentación de la Política Pública de Participación.</v>
      </c>
      <c r="T27" s="20">
        <f t="shared" si="18"/>
        <v>1</v>
      </c>
      <c r="U27" s="20" t="str">
        <f t="shared" ca="1" si="19"/>
        <v>Realizada</v>
      </c>
      <c r="V27" s="20"/>
      <c r="W27" s="20"/>
      <c r="X27" s="20"/>
      <c r="Y27" s="20"/>
    </row>
    <row r="28" spans="1:25" ht="49.5">
      <c r="A28" s="20">
        <v>44</v>
      </c>
      <c r="B28" s="20" t="str">
        <f t="shared" si="0"/>
        <v>CLIP Ciudad Bolívar</v>
      </c>
      <c r="C28" s="21">
        <f t="shared" si="1"/>
        <v>45349</v>
      </c>
      <c r="D28" s="20" t="str">
        <f t="shared" si="2"/>
        <v>INSTANCIAS</v>
      </c>
      <c r="E28" s="20" t="str">
        <f t="shared" si="3"/>
        <v>NO</v>
      </c>
      <c r="F28" s="20" t="str">
        <f t="shared" si="4"/>
        <v>CLIP (Comisión Local Intersectorial de Participación)</v>
      </c>
      <c r="G28" s="20" t="str">
        <f t="shared" si="5"/>
        <v>Virtual</v>
      </c>
      <c r="H28" s="20" t="str">
        <f t="shared" si="6"/>
        <v xml:space="preserve">Acompañar la articulación entre instituciones de participación en la localidad de Ciudad Bolívar.  </v>
      </c>
      <c r="I28" s="20" t="str">
        <f t="shared" si="7"/>
        <v>Gestión Institucional</v>
      </c>
      <c r="J28" s="20" t="str">
        <f t="shared" si="8"/>
        <v>Público</v>
      </c>
      <c r="K28" s="20" t="str">
        <f t="shared" si="9"/>
        <v>Servidores públicos (local)</v>
      </c>
      <c r="L28" s="20" t="str">
        <f t="shared" si="10"/>
        <v>Ciudad Bolívar</v>
      </c>
      <c r="M28" s="20" t="str">
        <f t="shared" si="11"/>
        <v>Suroriente, Ruralidad</v>
      </c>
      <c r="N28" s="20" t="str">
        <f t="shared" si="12"/>
        <v>Arborizadora, Lucero, Cuenca del Tunjuelo</v>
      </c>
      <c r="O28" s="20" t="str">
        <f t="shared" si="13"/>
        <v>NO</v>
      </c>
      <c r="P28" s="20" t="str">
        <f t="shared" si="14"/>
        <v>No aplica</v>
      </c>
      <c r="Q28" s="20">
        <f t="shared" si="15"/>
        <v>13</v>
      </c>
      <c r="R28" s="20">
        <f t="shared" si="16"/>
        <v>1</v>
      </c>
      <c r="S28" s="20" t="str">
        <f t="shared" si="17"/>
        <v xml:space="preserve">Agenda estratégica Subred Sur, programa Distrital de estimulos y Política Pública de participación incidente. </v>
      </c>
      <c r="T28" s="20">
        <f t="shared" si="18"/>
        <v>1</v>
      </c>
      <c r="U28" s="20" t="str">
        <f t="shared" ca="1" si="19"/>
        <v>Realizada</v>
      </c>
      <c r="V28" s="20"/>
      <c r="W28" s="20"/>
      <c r="X28" s="20"/>
      <c r="Y28" s="20"/>
    </row>
    <row r="29" spans="1:25" ht="49.5">
      <c r="A29" s="20">
        <v>45</v>
      </c>
      <c r="B29" s="20" t="str">
        <f t="shared" si="0"/>
        <v>Instalación del CTPD</v>
      </c>
      <c r="C29" s="21">
        <f t="shared" si="1"/>
        <v>45349</v>
      </c>
      <c r="D29" s="20" t="str">
        <f t="shared" si="2"/>
        <v>INSTANCIAS</v>
      </c>
      <c r="E29" s="20" t="str">
        <f t="shared" si="3"/>
        <v>NO</v>
      </c>
      <c r="F29" s="20" t="str">
        <f t="shared" si="4"/>
        <v>CTPD (Consejo Territorial de Planeación Distrital)</v>
      </c>
      <c r="G29" s="20" t="str">
        <f t="shared" si="5"/>
        <v>Presencial</v>
      </c>
      <c r="H29" s="20" t="str">
        <f t="shared" si="6"/>
        <v>Instalación del Consejo Territorial de Planeación Distrital (CTPD): designación y elección de la mesa directiva.</v>
      </c>
      <c r="I29" s="20" t="str">
        <f t="shared" si="7"/>
        <v>Mecanismo de Comunicación para la Participación</v>
      </c>
      <c r="J29" s="20" t="str">
        <f t="shared" si="8"/>
        <v>Comunitario</v>
      </c>
      <c r="K29" s="20" t="str">
        <f t="shared" si="9"/>
        <v>CTPD</v>
      </c>
      <c r="L29" s="20" t="str">
        <f t="shared" si="10"/>
        <v>Distrital</v>
      </c>
      <c r="M29" s="20" t="str">
        <f t="shared" si="11"/>
        <v>Distrital</v>
      </c>
      <c r="N29" s="20" t="str">
        <f t="shared" si="12"/>
        <v>Distrital</v>
      </c>
      <c r="O29" s="20" t="str">
        <f t="shared" si="13"/>
        <v>NO</v>
      </c>
      <c r="P29" s="20" t="str">
        <f t="shared" si="14"/>
        <v>No aplica</v>
      </c>
      <c r="Q29" s="20">
        <f t="shared" si="15"/>
        <v>97</v>
      </c>
      <c r="R29" s="20">
        <f t="shared" si="16"/>
        <v>13</v>
      </c>
      <c r="S29" s="20" t="str">
        <f t="shared" si="17"/>
        <v xml:space="preserve">Instalación del Consejo Territorial de Planeación Distrital. </v>
      </c>
      <c r="T29" s="20">
        <f t="shared" si="18"/>
        <v>1</v>
      </c>
      <c r="U29" s="20" t="str">
        <f t="shared" ca="1" si="19"/>
        <v>Realizada</v>
      </c>
      <c r="V29" s="20"/>
      <c r="W29" s="20"/>
      <c r="X29" s="20"/>
      <c r="Y29" s="20"/>
    </row>
    <row r="30" spans="1:25" ht="49.5">
      <c r="A30" s="20">
        <v>47</v>
      </c>
      <c r="B30" s="20" t="str">
        <f t="shared" si="0"/>
        <v>Entrega de propuesta borrador PDD al CTPD</v>
      </c>
      <c r="C30" s="21">
        <f t="shared" si="1"/>
        <v>45350</v>
      </c>
      <c r="D30" s="20" t="str">
        <f t="shared" si="2"/>
        <v>DESPACHO</v>
      </c>
      <c r="E30" s="20" t="str">
        <f t="shared" si="3"/>
        <v>NO</v>
      </c>
      <c r="F30" s="20" t="str">
        <f t="shared" si="4"/>
        <v>Plan Distrital de Desarrollo</v>
      </c>
      <c r="G30" s="20" t="str">
        <f t="shared" si="5"/>
        <v>Presencial</v>
      </c>
      <c r="H30" s="20" t="str">
        <f t="shared" si="6"/>
        <v>Entregar el anteproyecto del Plan Distrital de Desarrollo "Bogotá Camina Segura" al Consejo Territorial de Planeación Distrital.</v>
      </c>
      <c r="I30" s="20" t="str">
        <f t="shared" si="7"/>
        <v>Mecanismo de Diálogo</v>
      </c>
      <c r="J30" s="20" t="str">
        <f t="shared" si="8"/>
        <v>Multiactor</v>
      </c>
      <c r="K30" s="20">
        <f t="shared" si="9"/>
        <v>0</v>
      </c>
      <c r="L30" s="20" t="str">
        <f t="shared" si="10"/>
        <v>Distrital</v>
      </c>
      <c r="M30" s="20" t="str">
        <f t="shared" si="11"/>
        <v>Distrital</v>
      </c>
      <c r="N30" s="20" t="str">
        <f t="shared" si="12"/>
        <v>Distrital</v>
      </c>
      <c r="O30" s="20" t="str">
        <f t="shared" si="13"/>
        <v>SÍ</v>
      </c>
      <c r="P30" s="20" t="str">
        <f t="shared" si="14"/>
        <v>Fase I: Sentires Ciudadanos</v>
      </c>
      <c r="Q30" s="20">
        <f t="shared" si="15"/>
        <v>383</v>
      </c>
      <c r="R30" s="20">
        <f t="shared" si="16"/>
        <v>94</v>
      </c>
      <c r="S30" s="20" t="str">
        <f t="shared" si="17"/>
        <v xml:space="preserve">Entrega del proyecto de Plan Distrital de Desarrollo al Consejo Territorial de Planeación Distrital. </v>
      </c>
      <c r="T30" s="20">
        <f t="shared" si="18"/>
        <v>1</v>
      </c>
      <c r="U30" s="20" t="str">
        <f t="shared" ca="1" si="19"/>
        <v>Realizada</v>
      </c>
      <c r="V30" s="20"/>
      <c r="W30" s="20"/>
      <c r="X30" s="20"/>
      <c r="Y30" s="20"/>
    </row>
    <row r="31" spans="1:25" ht="123">
      <c r="A31" s="20">
        <v>48</v>
      </c>
      <c r="B31" s="20" t="str">
        <f t="shared" si="0"/>
        <v>Foro de Participación Ciudadana - Apuestas estratégicas del PDD</v>
      </c>
      <c r="C31" s="21">
        <f t="shared" si="1"/>
        <v>45350</v>
      </c>
      <c r="D31" s="20" t="str">
        <f t="shared" si="2"/>
        <v>OPDC</v>
      </c>
      <c r="E31" s="20" t="str">
        <f t="shared" si="3"/>
        <v>NO</v>
      </c>
      <c r="F31" s="20" t="str">
        <f t="shared" si="4"/>
        <v>Plan Distrital de Desarrollo</v>
      </c>
      <c r="G31" s="20" t="str">
        <f t="shared" si="5"/>
        <v>Presencial</v>
      </c>
      <c r="H31" s="20" t="str">
        <f t="shared" si="6"/>
        <v>Promover espacios de pedagogía, diálogo y reflexión colectiva acerca de cada objetivo
estratégico del PDD, desde las perspectivas de distintos tipos de actores para la
identificación de sentires, experiencias e ideas comunes que ayuden a orientar la
formulación del PDD.</v>
      </c>
      <c r="I31" s="20" t="str">
        <f t="shared" si="7"/>
        <v>Mecanismo de Diálogo</v>
      </c>
      <c r="J31" s="20" t="str">
        <f t="shared" si="8"/>
        <v>Multiactor</v>
      </c>
      <c r="K31" s="20">
        <f t="shared" si="9"/>
        <v>0</v>
      </c>
      <c r="L31" s="20" t="str">
        <f t="shared" si="10"/>
        <v>Distrital</v>
      </c>
      <c r="M31" s="20" t="str">
        <f t="shared" si="11"/>
        <v>Distrital</v>
      </c>
      <c r="N31" s="20" t="str">
        <f t="shared" si="12"/>
        <v>Distrital</v>
      </c>
      <c r="O31" s="20" t="str">
        <f t="shared" si="13"/>
        <v>SÍ</v>
      </c>
      <c r="P31" s="20" t="str">
        <f t="shared" si="14"/>
        <v>Fase I: Sentires Ciudadanos</v>
      </c>
      <c r="Q31" s="20">
        <f t="shared" si="15"/>
        <v>137</v>
      </c>
      <c r="R31" s="20">
        <f t="shared" si="16"/>
        <v>15</v>
      </c>
      <c r="S31" s="20" t="str">
        <f t="shared" si="17"/>
        <v>Objetivos del PDD, visión, apuestas, ruta de la participación, panel conversar es el Plan.</v>
      </c>
      <c r="T31" s="20">
        <f t="shared" si="18"/>
        <v>1</v>
      </c>
      <c r="U31" s="20" t="str">
        <f t="shared" ca="1" si="19"/>
        <v>Realizada</v>
      </c>
      <c r="V31" s="20"/>
      <c r="W31" s="20"/>
      <c r="X31" s="20"/>
      <c r="Y31" s="20"/>
    </row>
    <row r="32" spans="1:25" ht="61.5">
      <c r="A32" s="20">
        <v>49</v>
      </c>
      <c r="B32" s="20" t="str">
        <f t="shared" si="0"/>
        <v xml:space="preserve">Rendición de cuentas JAL San Cristóbal </v>
      </c>
      <c r="C32" s="21">
        <f t="shared" si="1"/>
        <v>45351</v>
      </c>
      <c r="D32" s="20" t="str">
        <f t="shared" si="2"/>
        <v>OPDC</v>
      </c>
      <c r="E32" s="20" t="str">
        <f t="shared" si="3"/>
        <v>NO</v>
      </c>
      <c r="F32" s="20" t="str">
        <f t="shared" si="4"/>
        <v>Escenarios individuales</v>
      </c>
      <c r="G32" s="20" t="str">
        <f t="shared" si="5"/>
        <v>Presencial</v>
      </c>
      <c r="H32" s="20" t="str">
        <f t="shared" si="6"/>
        <v>Acompañar institucionalmente la rendición de cuentas de la JAL.</v>
      </c>
      <c r="I32" s="20" t="str">
        <f t="shared" si="7"/>
        <v>Gestión Institucional</v>
      </c>
      <c r="J32" s="20" t="str">
        <f t="shared" si="8"/>
        <v>Público</v>
      </c>
      <c r="K32" s="20" t="str">
        <f t="shared" si="9"/>
        <v>JAL</v>
      </c>
      <c r="L32" s="20" t="str">
        <f t="shared" si="10"/>
        <v>San Cristóbal</v>
      </c>
      <c r="M32" s="20" t="str">
        <f t="shared" si="11"/>
        <v>Suroriente</v>
      </c>
      <c r="N32" s="20" t="str">
        <f t="shared" si="12"/>
        <v>San Cristobal</v>
      </c>
      <c r="O32" s="20" t="str">
        <f t="shared" si="13"/>
        <v>NO</v>
      </c>
      <c r="P32" s="20" t="str">
        <f t="shared" si="14"/>
        <v>No aplica</v>
      </c>
      <c r="Q32" s="20">
        <f t="shared" si="15"/>
        <v>12</v>
      </c>
      <c r="R32" s="20">
        <f t="shared" si="16"/>
        <v>1</v>
      </c>
      <c r="S32" s="20" t="str">
        <f t="shared" si="17"/>
        <v>Presentación de los resultados de la corporación en el año 2023, agradecimientos a los Ediles que hicieron parte de la JAL durante el 2023, y presentación de la nueva conformación para el año 2024.</v>
      </c>
      <c r="T32" s="20">
        <f t="shared" si="18"/>
        <v>1</v>
      </c>
      <c r="U32" s="20" t="str">
        <f t="shared" ca="1" si="19"/>
        <v>Realizada</v>
      </c>
      <c r="V32" s="20"/>
      <c r="W32" s="20"/>
      <c r="X32" s="20"/>
      <c r="Y32" s="20"/>
    </row>
    <row r="33" spans="1:25" ht="37.5">
      <c r="A33" s="20">
        <v>51</v>
      </c>
      <c r="B33" s="20" t="str">
        <f t="shared" si="0"/>
        <v>Primer foro virtual con Servidores Públicos para la formulación del PDD - DASCD/SDP</v>
      </c>
      <c r="C33" s="21">
        <f t="shared" si="1"/>
        <v>45351</v>
      </c>
      <c r="D33" s="20" t="str">
        <f t="shared" si="2"/>
        <v>OPDC</v>
      </c>
      <c r="E33" s="20" t="str">
        <f t="shared" si="3"/>
        <v>NO</v>
      </c>
      <c r="F33" s="20" t="str">
        <f t="shared" si="4"/>
        <v>Plan Distrital de Desarrollo</v>
      </c>
      <c r="G33" s="20" t="str">
        <f t="shared" si="5"/>
        <v>Virtual</v>
      </c>
      <c r="H33" s="20" t="str">
        <f t="shared" si="6"/>
        <v>Socializar las generalidades de la formulación del PDD y fomentar la participación de los servidores públicos.</v>
      </c>
      <c r="I33" s="20" t="str">
        <f t="shared" si="7"/>
        <v>Gestión Institucional</v>
      </c>
      <c r="J33" s="20" t="str">
        <f t="shared" si="8"/>
        <v>Público</v>
      </c>
      <c r="K33" s="20" t="str">
        <f t="shared" si="9"/>
        <v>Servidores públicos (Distrital)</v>
      </c>
      <c r="L33" s="20" t="str">
        <f t="shared" si="10"/>
        <v>Distrital</v>
      </c>
      <c r="M33" s="20" t="str">
        <f t="shared" si="11"/>
        <v>Distrital</v>
      </c>
      <c r="N33" s="20" t="str">
        <f t="shared" si="12"/>
        <v>Distrital</v>
      </c>
      <c r="O33" s="20" t="str">
        <f t="shared" si="13"/>
        <v>SÍ</v>
      </c>
      <c r="P33" s="20" t="str">
        <f t="shared" si="14"/>
        <v>Gestión interinstitucional</v>
      </c>
      <c r="Q33" s="20">
        <f t="shared" si="15"/>
        <v>183</v>
      </c>
      <c r="R33" s="20">
        <f t="shared" si="16"/>
        <v>1</v>
      </c>
      <c r="S33" s="20" t="str">
        <f t="shared" si="17"/>
        <v>Generalidades de la formulación del PDD y  participación de los servidores públicos.</v>
      </c>
      <c r="T33" s="20">
        <f t="shared" si="18"/>
        <v>1</v>
      </c>
      <c r="U33" s="20" t="str">
        <f t="shared" ca="1" si="19"/>
        <v>Realizada</v>
      </c>
      <c r="V33" s="20"/>
      <c r="W33" s="20"/>
      <c r="X33" s="20"/>
      <c r="Y33" s="20"/>
    </row>
    <row r="34" spans="1:25" ht="37.5">
      <c r="A34" s="20">
        <v>53</v>
      </c>
      <c r="B34" s="20" t="str">
        <f t="shared" si="0"/>
        <v>Sesión Red Institucional de Apoyo a las Veedurías Ciudadanas</v>
      </c>
      <c r="C34" s="21">
        <f t="shared" si="1"/>
        <v>45351</v>
      </c>
      <c r="D34" s="20" t="str">
        <f t="shared" si="2"/>
        <v>INSTANCIAS</v>
      </c>
      <c r="E34" s="20" t="str">
        <f t="shared" si="3"/>
        <v>NO</v>
      </c>
      <c r="F34" s="20" t="str">
        <f t="shared" si="4"/>
        <v>Red institucional de veedurías ciudadanas</v>
      </c>
      <c r="G34" s="20" t="str">
        <f t="shared" si="5"/>
        <v>Virtual</v>
      </c>
      <c r="H34" s="20" t="str">
        <f t="shared" si="6"/>
        <v>Acompañar el Seguimiento al Plan de acción</v>
      </c>
      <c r="I34" s="20" t="str">
        <f t="shared" si="7"/>
        <v>Gestión Institucional</v>
      </c>
      <c r="J34" s="20" t="str">
        <f t="shared" si="8"/>
        <v>Público</v>
      </c>
      <c r="K34" s="20" t="str">
        <f t="shared" si="9"/>
        <v>Órganos de control</v>
      </c>
      <c r="L34" s="20" t="str">
        <f t="shared" si="10"/>
        <v>Distrital</v>
      </c>
      <c r="M34" s="20" t="str">
        <f t="shared" si="11"/>
        <v>Distrital</v>
      </c>
      <c r="N34" s="20" t="str">
        <f t="shared" si="12"/>
        <v>Distrital</v>
      </c>
      <c r="O34" s="20" t="str">
        <f t="shared" si="13"/>
        <v>NO</v>
      </c>
      <c r="P34" s="20" t="str">
        <f t="shared" si="14"/>
        <v>No aplica</v>
      </c>
      <c r="Q34" s="20">
        <f t="shared" si="15"/>
        <v>6</v>
      </c>
      <c r="R34" s="20">
        <f t="shared" si="16"/>
        <v>1</v>
      </c>
      <c r="S34" s="20" t="str">
        <f t="shared" si="17"/>
        <v>Seguimiento a cada eje del  Plan de acción.</v>
      </c>
      <c r="T34" s="20">
        <f t="shared" si="18"/>
        <v>1</v>
      </c>
      <c r="U34" s="20" t="str">
        <f t="shared" ca="1" si="19"/>
        <v>Realizada</v>
      </c>
      <c r="V34" s="20"/>
      <c r="W34" s="20"/>
      <c r="X34" s="20"/>
      <c r="Y34" s="20"/>
    </row>
    <row r="35" spans="1:25" ht="37.5">
      <c r="A35" s="20">
        <v>54</v>
      </c>
      <c r="B35" s="20" t="str">
        <f t="shared" si="0"/>
        <v>Dialogo Ciudadano para la Construcción del PDD - UPL Suba Rincón</v>
      </c>
      <c r="C35" s="21">
        <f t="shared" si="1"/>
        <v>45352</v>
      </c>
      <c r="D35" s="20" t="str">
        <f t="shared" si="2"/>
        <v>OPDC</v>
      </c>
      <c r="E35" s="20" t="str">
        <f t="shared" si="3"/>
        <v>NO</v>
      </c>
      <c r="F35" s="20" t="str">
        <f t="shared" si="4"/>
        <v>Plan Distrital de Desarrollo</v>
      </c>
      <c r="G35" s="20" t="str">
        <f t="shared" si="5"/>
        <v>Presencial</v>
      </c>
      <c r="H35" s="20" t="str">
        <f t="shared" si="6"/>
        <v>Identificar las propuestas ciudadanas para la formulación del Plan de Desarrollo Distrital.</v>
      </c>
      <c r="I35" s="20" t="str">
        <f t="shared" si="7"/>
        <v>Mecanismo de Diálogo</v>
      </c>
      <c r="J35" s="20" t="str">
        <f t="shared" si="8"/>
        <v>Multiactor</v>
      </c>
      <c r="K35" s="20">
        <f t="shared" si="9"/>
        <v>0</v>
      </c>
      <c r="L35" s="20" t="str">
        <f t="shared" si="10"/>
        <v>Suba</v>
      </c>
      <c r="M35" s="20" t="str">
        <f t="shared" si="11"/>
        <v>Noroccidente</v>
      </c>
      <c r="N35" s="20" t="str">
        <f t="shared" si="12"/>
        <v>Suba Rincón</v>
      </c>
      <c r="O35" s="20" t="str">
        <f t="shared" si="13"/>
        <v>SÍ</v>
      </c>
      <c r="P35" s="20" t="str">
        <f t="shared" si="14"/>
        <v>Fase II: Aspiraciones Comunes</v>
      </c>
      <c r="Q35" s="20">
        <f t="shared" si="15"/>
        <v>58</v>
      </c>
      <c r="R35" s="20">
        <f t="shared" si="16"/>
        <v>13</v>
      </c>
      <c r="S35" s="20" t="str">
        <f t="shared" si="17"/>
        <v xml:space="preserve">Objetivos, programas y soluciones de la propuesta del Plan de Desarrollo Distrital. </v>
      </c>
      <c r="T35" s="20">
        <f t="shared" si="18"/>
        <v>1</v>
      </c>
      <c r="U35" s="20" t="str">
        <f t="shared" ca="1" si="19"/>
        <v>Realizada</v>
      </c>
      <c r="V35" s="20"/>
      <c r="W35" s="20"/>
      <c r="X35" s="20"/>
      <c r="Y35" s="20"/>
    </row>
    <row r="36" spans="1:25" ht="49.5">
      <c r="A36" s="20">
        <v>55</v>
      </c>
      <c r="B36" s="20" t="str">
        <f t="shared" si="0"/>
        <v>Presentación de la estrategia de Participación del PDD al CCPH</v>
      </c>
      <c r="C36" s="21">
        <f t="shared" si="1"/>
        <v>45352</v>
      </c>
      <c r="D36" s="20" t="str">
        <f t="shared" si="2"/>
        <v>OPDC</v>
      </c>
      <c r="E36" s="20" t="str">
        <f t="shared" si="3"/>
        <v>NO</v>
      </c>
      <c r="F36" s="20" t="str">
        <f t="shared" si="4"/>
        <v>Plan Distrital de Desarrollo</v>
      </c>
      <c r="G36" s="20" t="str">
        <f t="shared" si="5"/>
        <v>Presencial</v>
      </c>
      <c r="H36" s="20" t="str">
        <f t="shared" si="6"/>
        <v>Presentar la estrategia de Participación del PDD al CCPH</v>
      </c>
      <c r="I36" s="20" t="str">
        <f t="shared" si="7"/>
        <v>Mecanismo de Comunicación para la Participación</v>
      </c>
      <c r="J36" s="20" t="str">
        <f t="shared" si="8"/>
        <v>Comunitario</v>
      </c>
      <c r="K36" s="20" t="str">
        <f t="shared" si="9"/>
        <v>Consejo Consultivo</v>
      </c>
      <c r="L36" s="20" t="str">
        <f t="shared" si="10"/>
        <v>Distrital</v>
      </c>
      <c r="M36" s="20" t="str">
        <f t="shared" si="11"/>
        <v>Distrital</v>
      </c>
      <c r="N36" s="20" t="str">
        <f t="shared" si="12"/>
        <v>Distrital</v>
      </c>
      <c r="O36" s="20" t="str">
        <f t="shared" si="13"/>
        <v>SÍ</v>
      </c>
      <c r="P36" s="20" t="str">
        <f t="shared" si="14"/>
        <v>Gestión interinstitucional</v>
      </c>
      <c r="Q36" s="20">
        <f t="shared" si="15"/>
        <v>18</v>
      </c>
      <c r="R36" s="20">
        <f t="shared" si="16"/>
        <v>2</v>
      </c>
      <c r="S36" s="20" t="str">
        <f t="shared" si="17"/>
        <v>Estrategia de Participación del PDD al CCPH</v>
      </c>
      <c r="T36" s="20">
        <f t="shared" si="18"/>
        <v>1</v>
      </c>
      <c r="U36" s="20" t="str">
        <f t="shared" ca="1" si="19"/>
        <v>Realizada</v>
      </c>
      <c r="V36" s="20"/>
      <c r="W36" s="20"/>
      <c r="X36" s="20"/>
      <c r="Y36" s="20"/>
    </row>
    <row r="37" spans="1:25" ht="49.5">
      <c r="A37" s="20">
        <v>56</v>
      </c>
      <c r="B37" s="20" t="str">
        <f t="shared" si="0"/>
        <v>Plenaria Ordinaria - CTPD</v>
      </c>
      <c r="C37" s="21">
        <f t="shared" si="1"/>
        <v>45352</v>
      </c>
      <c r="D37" s="20" t="str">
        <f t="shared" si="2"/>
        <v>INSTANCIAS</v>
      </c>
      <c r="E37" s="20" t="str">
        <f t="shared" si="3"/>
        <v>NO</v>
      </c>
      <c r="F37" s="20" t="str">
        <f t="shared" si="4"/>
        <v>CTPD (Consejo Territorial de Planeación Distrital)</v>
      </c>
      <c r="G37" s="20" t="str">
        <f t="shared" si="5"/>
        <v>Virtual</v>
      </c>
      <c r="H37" s="20" t="str">
        <f t="shared" si="6"/>
        <v>Acompañar la elección de comisiones, conformación de la Mesa Directiva, reglamento interno y concepto PDD.</v>
      </c>
      <c r="I37" s="20" t="str">
        <f t="shared" si="7"/>
        <v>Mecanismo de Seguimiento y Evaluación</v>
      </c>
      <c r="J37" s="20" t="str">
        <f t="shared" si="8"/>
        <v>Comunitario</v>
      </c>
      <c r="K37" s="20" t="str">
        <f t="shared" si="9"/>
        <v>CTPD</v>
      </c>
      <c r="L37" s="20" t="str">
        <f t="shared" si="10"/>
        <v>Distrital</v>
      </c>
      <c r="M37" s="20" t="str">
        <f t="shared" si="11"/>
        <v>Distrital</v>
      </c>
      <c r="N37" s="20" t="str">
        <f t="shared" si="12"/>
        <v>Distrital</v>
      </c>
      <c r="O37" s="20" t="str">
        <f t="shared" si="13"/>
        <v>NO</v>
      </c>
      <c r="P37" s="20" t="str">
        <f t="shared" si="14"/>
        <v>No aplica</v>
      </c>
      <c r="Q37" s="20">
        <f t="shared" si="15"/>
        <v>86</v>
      </c>
      <c r="R37" s="20">
        <f t="shared" si="16"/>
        <v>2</v>
      </c>
      <c r="S37" s="20" t="str">
        <f t="shared" si="17"/>
        <v>Declaratoria de Plenaria permanente para abordar las temáticas de la Instancia.</v>
      </c>
      <c r="T37" s="20">
        <f t="shared" si="18"/>
        <v>1</v>
      </c>
      <c r="U37" s="20" t="str">
        <f t="shared" ca="1" si="19"/>
        <v>Realizada</v>
      </c>
      <c r="V37" s="20"/>
      <c r="W37" s="20"/>
      <c r="X37" s="20"/>
      <c r="Y37" s="20"/>
    </row>
    <row r="38" spans="1:25" ht="37.5">
      <c r="A38" s="20">
        <v>57</v>
      </c>
      <c r="B38" s="20" t="str">
        <f t="shared" si="0"/>
        <v>Dialogo Ciudadano para la Construcción del PDD - UPL Restrepo</v>
      </c>
      <c r="C38" s="21">
        <f t="shared" si="1"/>
        <v>45353</v>
      </c>
      <c r="D38" s="20" t="str">
        <f t="shared" si="2"/>
        <v>OPDC</v>
      </c>
      <c r="E38" s="20" t="str">
        <f t="shared" si="3"/>
        <v>NO</v>
      </c>
      <c r="F38" s="20" t="str">
        <f t="shared" si="4"/>
        <v>Plan Distrital de Desarrollo</v>
      </c>
      <c r="G38" s="20" t="str">
        <f t="shared" si="5"/>
        <v>Presencial</v>
      </c>
      <c r="H38" s="20" t="str">
        <f t="shared" si="6"/>
        <v>Identificar las propuestas ciudadanas para la formulación del Plan de Desarrollo Distrital.</v>
      </c>
      <c r="I38" s="20" t="str">
        <f t="shared" si="7"/>
        <v>Mecanismo de Diálogo</v>
      </c>
      <c r="J38" s="20" t="str">
        <f t="shared" si="8"/>
        <v>Multiactor</v>
      </c>
      <c r="K38" s="20">
        <f t="shared" si="9"/>
        <v>0</v>
      </c>
      <c r="L38" s="20" t="str">
        <f t="shared" si="10"/>
        <v>Antonio Nariño, Rafael Uribe Uribe</v>
      </c>
      <c r="M38" s="20" t="str">
        <f t="shared" si="11"/>
        <v>Centro Ampliado</v>
      </c>
      <c r="N38" s="20" t="str">
        <f t="shared" si="12"/>
        <v>Restrepo</v>
      </c>
      <c r="O38" s="20" t="str">
        <f t="shared" si="13"/>
        <v>SÍ</v>
      </c>
      <c r="P38" s="20" t="str">
        <f t="shared" si="14"/>
        <v>Fase II: Aspiraciones Comunes</v>
      </c>
      <c r="Q38" s="20">
        <f t="shared" si="15"/>
        <v>55</v>
      </c>
      <c r="R38" s="20">
        <f t="shared" si="16"/>
        <v>14</v>
      </c>
      <c r="S38" s="20" t="str">
        <f t="shared" si="17"/>
        <v xml:space="preserve">Objetivos, programas y soluciones de la propuesta del Plan de Desarrollo Distrital. </v>
      </c>
      <c r="T38" s="20">
        <f t="shared" si="18"/>
        <v>1</v>
      </c>
      <c r="U38" s="20" t="str">
        <f t="shared" ca="1" si="19"/>
        <v>Realizada</v>
      </c>
      <c r="V38" s="20"/>
      <c r="W38" s="20"/>
      <c r="X38" s="20"/>
      <c r="Y38" s="20"/>
    </row>
    <row r="39" spans="1:25" ht="37.5">
      <c r="A39" s="20">
        <v>58</v>
      </c>
      <c r="B39" s="20" t="str">
        <f t="shared" si="0"/>
        <v>Dialogo Ciudadano para la Construcción del PDD - UPL Fontibón</v>
      </c>
      <c r="C39" s="21">
        <f t="shared" si="1"/>
        <v>45353</v>
      </c>
      <c r="D39" s="20" t="str">
        <f t="shared" si="2"/>
        <v>OPDC</v>
      </c>
      <c r="E39" s="20" t="str">
        <f t="shared" si="3"/>
        <v>NO</v>
      </c>
      <c r="F39" s="20" t="str">
        <f t="shared" si="4"/>
        <v>Plan Distrital de Desarrollo</v>
      </c>
      <c r="G39" s="20" t="str">
        <f t="shared" si="5"/>
        <v>Presencial</v>
      </c>
      <c r="H39" s="20" t="str">
        <f t="shared" si="6"/>
        <v>Identificar las propuestas ciudadanas para la formulación del Plan de Desarrollo Distrital.</v>
      </c>
      <c r="I39" s="20" t="str">
        <f t="shared" si="7"/>
        <v>Mecanismo de Diálogo</v>
      </c>
      <c r="J39" s="20" t="str">
        <f t="shared" si="8"/>
        <v>Multiactor</v>
      </c>
      <c r="K39" s="20">
        <f t="shared" si="9"/>
        <v>0</v>
      </c>
      <c r="L39" s="20" t="str">
        <f t="shared" si="10"/>
        <v>Fontibón</v>
      </c>
      <c r="M39" s="20" t="str">
        <f t="shared" si="11"/>
        <v>Occidente</v>
      </c>
      <c r="N39" s="20" t="str">
        <f t="shared" si="12"/>
        <v>Fontibón</v>
      </c>
      <c r="O39" s="20" t="str">
        <f t="shared" si="13"/>
        <v>SÍ</v>
      </c>
      <c r="P39" s="20" t="str">
        <f t="shared" si="14"/>
        <v>Fase II: Aspiraciones Comunes</v>
      </c>
      <c r="Q39" s="20">
        <f t="shared" si="15"/>
        <v>50</v>
      </c>
      <c r="R39" s="20">
        <f t="shared" si="16"/>
        <v>13</v>
      </c>
      <c r="S39" s="20" t="str">
        <f t="shared" si="17"/>
        <v xml:space="preserve">Objetivos, programas y soluciones de la propuesta del Plan de Desarrollo Distrital. </v>
      </c>
      <c r="T39" s="20">
        <f t="shared" si="18"/>
        <v>1</v>
      </c>
      <c r="U39" s="20" t="str">
        <f t="shared" ca="1" si="19"/>
        <v>Realizada</v>
      </c>
      <c r="V39" s="20"/>
      <c r="W39" s="20"/>
      <c r="X39" s="20"/>
      <c r="Y39" s="20"/>
    </row>
    <row r="40" spans="1:25" ht="74.25">
      <c r="A40" s="20">
        <v>59</v>
      </c>
      <c r="B40" s="20" t="str">
        <f t="shared" si="0"/>
        <v>Diálogo Ciudadano Poblacional para la Construcción del PDD - Consejo Consultivo de Mujeres</v>
      </c>
      <c r="C40" s="21">
        <f t="shared" si="1"/>
        <v>45355</v>
      </c>
      <c r="D40" s="20" t="str">
        <f t="shared" si="2"/>
        <v>OPDC</v>
      </c>
      <c r="E40" s="20" t="str">
        <f t="shared" si="3"/>
        <v>NO</v>
      </c>
      <c r="F40" s="20" t="str">
        <f t="shared" si="4"/>
        <v>Plan Distrital de Desarrollo</v>
      </c>
      <c r="G40" s="20" t="str">
        <f t="shared" si="5"/>
        <v>Virtual</v>
      </c>
      <c r="H40" s="20" t="str">
        <f t="shared" si="6"/>
        <v>Apoyar a la SDMujer la identificación de propuestas del Consejo Consultivo de Mujeres de Bogotá -CCM en el marco del proceso de formulación del Plan Distrital de Desarrollo en su Fase II ( Aspiraciones Comunes).</v>
      </c>
      <c r="I40" s="20" t="str">
        <f t="shared" si="7"/>
        <v>Mecanismo de Diálogo</v>
      </c>
      <c r="J40" s="20" t="str">
        <f t="shared" si="8"/>
        <v>Comunitario</v>
      </c>
      <c r="K40" s="20" t="str">
        <f t="shared" si="9"/>
        <v>Consejo Consultivo</v>
      </c>
      <c r="L40" s="20" t="str">
        <f t="shared" si="10"/>
        <v>Distrital</v>
      </c>
      <c r="M40" s="20" t="str">
        <f t="shared" si="11"/>
        <v>Distrital</v>
      </c>
      <c r="N40" s="20" t="str">
        <f t="shared" si="12"/>
        <v>Distrital</v>
      </c>
      <c r="O40" s="20" t="str">
        <f t="shared" si="13"/>
        <v>SÍ</v>
      </c>
      <c r="P40" s="20" t="str">
        <f t="shared" si="14"/>
        <v>Fase II: Aspiraciones Comunes</v>
      </c>
      <c r="Q40" s="20">
        <f t="shared" si="15"/>
        <v>18</v>
      </c>
      <c r="R40" s="20">
        <f t="shared" si="16"/>
        <v>5</v>
      </c>
      <c r="S40" s="20" t="str">
        <f t="shared" si="17"/>
        <v>Apoyar a la SDMujer en la identificación de propuestas del Consejo Consultivo de Mujeres de Bogotá -CCM en el marco del proceso de formulación del Plan Distrital de Desarrollo en su Fase II.</v>
      </c>
      <c r="T40" s="20">
        <f t="shared" si="18"/>
        <v>1</v>
      </c>
      <c r="U40" s="20" t="str">
        <f t="shared" ca="1" si="19"/>
        <v>Realizada</v>
      </c>
      <c r="V40" s="20"/>
      <c r="W40" s="20"/>
      <c r="X40" s="20"/>
      <c r="Y40" s="20"/>
    </row>
    <row r="41" spans="1:25" ht="49.5">
      <c r="A41" s="20">
        <v>60</v>
      </c>
      <c r="B41" s="20" t="str">
        <f t="shared" si="0"/>
        <v>Dialogo Ciudadano para la Construcción del PDD - UPL Usaquén</v>
      </c>
      <c r="C41" s="21">
        <f t="shared" si="1"/>
        <v>45355</v>
      </c>
      <c r="D41" s="20" t="str">
        <f t="shared" si="2"/>
        <v>OPDC</v>
      </c>
      <c r="E41" s="20" t="str">
        <f t="shared" si="3"/>
        <v>NO</v>
      </c>
      <c r="F41" s="20" t="str">
        <f t="shared" si="4"/>
        <v>Plan Distrital de Desarrollo</v>
      </c>
      <c r="G41" s="20" t="str">
        <f t="shared" si="5"/>
        <v>Presencial</v>
      </c>
      <c r="H41" s="20" t="str">
        <f t="shared" si="6"/>
        <v>Identificar las propuestas ciudadanas para la formulación del Plan de Desarrollo Distrital.</v>
      </c>
      <c r="I41" s="20" t="str">
        <f t="shared" si="7"/>
        <v>Mecanismo de Diálogo</v>
      </c>
      <c r="J41" s="20" t="str">
        <f t="shared" si="8"/>
        <v>Multiactor</v>
      </c>
      <c r="K41" s="20">
        <f t="shared" si="9"/>
        <v>0</v>
      </c>
      <c r="L41" s="20" t="str">
        <f t="shared" si="10"/>
        <v>Usaquén</v>
      </c>
      <c r="M41" s="20" t="str">
        <f t="shared" si="11"/>
        <v>Norte</v>
      </c>
      <c r="N41" s="20" t="str">
        <f t="shared" si="12"/>
        <v>Usaquén</v>
      </c>
      <c r="O41" s="20" t="str">
        <f t="shared" si="13"/>
        <v>SÍ</v>
      </c>
      <c r="P41" s="20" t="str">
        <f t="shared" si="14"/>
        <v>Fase II: Aspiraciones Comunes</v>
      </c>
      <c r="Q41" s="20">
        <f t="shared" si="15"/>
        <v>35</v>
      </c>
      <c r="R41" s="20">
        <f t="shared" si="16"/>
        <v>16</v>
      </c>
      <c r="S41" s="20" t="str">
        <f t="shared" si="17"/>
        <v>Socialización objetivos estratégicos del PDD; inclusión de percepciones ciudadanos y priorización de programas a través del canal Chatico.</v>
      </c>
      <c r="T41" s="20">
        <f t="shared" si="18"/>
        <v>1</v>
      </c>
      <c r="U41" s="20" t="str">
        <f t="shared" ca="1" si="19"/>
        <v>Realizada</v>
      </c>
      <c r="V41" s="20"/>
      <c r="W41" s="20"/>
      <c r="X41" s="20"/>
      <c r="Y41" s="20"/>
    </row>
    <row r="42" spans="1:25" ht="37.5">
      <c r="A42" s="20">
        <v>61</v>
      </c>
      <c r="B42" s="20" t="str">
        <f t="shared" si="0"/>
        <v>Segundo foro virtual con Servidores Públicos para la formulación del PDD - DASCD/SDP</v>
      </c>
      <c r="C42" s="21">
        <f t="shared" si="1"/>
        <v>45356</v>
      </c>
      <c r="D42" s="20" t="str">
        <f t="shared" si="2"/>
        <v>OPDC</v>
      </c>
      <c r="E42" s="20" t="str">
        <f t="shared" si="3"/>
        <v>NO</v>
      </c>
      <c r="F42" s="20" t="str">
        <f t="shared" si="4"/>
        <v>Plan Distrital de Desarrollo</v>
      </c>
      <c r="G42" s="20" t="str">
        <f t="shared" si="5"/>
        <v>Virtual</v>
      </c>
      <c r="H42" s="20" t="str">
        <f t="shared" si="6"/>
        <v>Socializar las generalidades de la formulación del PDD y fomentar la participación de los servidores públicos.</v>
      </c>
      <c r="I42" s="20" t="str">
        <f t="shared" si="7"/>
        <v>Gestión Institucional</v>
      </c>
      <c r="J42" s="20" t="str">
        <f t="shared" si="8"/>
        <v>Público</v>
      </c>
      <c r="K42" s="20" t="str">
        <f t="shared" si="9"/>
        <v>Servidores públicos (Distrital)</v>
      </c>
      <c r="L42" s="20" t="str">
        <f t="shared" si="10"/>
        <v>Distrital</v>
      </c>
      <c r="M42" s="20" t="str">
        <f t="shared" si="11"/>
        <v>Distrital</v>
      </c>
      <c r="N42" s="20" t="str">
        <f t="shared" si="12"/>
        <v>Distrital</v>
      </c>
      <c r="O42" s="20" t="str">
        <f t="shared" si="13"/>
        <v>SÍ</v>
      </c>
      <c r="P42" s="20" t="str">
        <f t="shared" si="14"/>
        <v>Gestión interinstitucional</v>
      </c>
      <c r="Q42" s="20">
        <f t="shared" si="15"/>
        <v>80</v>
      </c>
      <c r="R42" s="20">
        <f t="shared" si="16"/>
        <v>1</v>
      </c>
      <c r="S42" s="20" t="str">
        <f t="shared" si="17"/>
        <v>Estrategia de participación ciudadana para la formulación del PDD.</v>
      </c>
      <c r="T42" s="20">
        <f t="shared" si="18"/>
        <v>1</v>
      </c>
      <c r="U42" s="20" t="str">
        <f t="shared" ca="1" si="19"/>
        <v>Realizada</v>
      </c>
      <c r="V42" s="20"/>
      <c r="W42" s="20"/>
      <c r="X42" s="20"/>
      <c r="Y42" s="20"/>
    </row>
    <row r="43" spans="1:25" ht="37.5">
      <c r="A43" s="20">
        <v>62</v>
      </c>
      <c r="B43" s="20" t="str">
        <f t="shared" si="0"/>
        <v>Dialogo Ciudadano para la Construcción del PDD - UPL Lucero</v>
      </c>
      <c r="C43" s="21">
        <f t="shared" si="1"/>
        <v>45356</v>
      </c>
      <c r="D43" s="20" t="str">
        <f t="shared" si="2"/>
        <v>OPDC</v>
      </c>
      <c r="E43" s="20" t="str">
        <f t="shared" si="3"/>
        <v>NO</v>
      </c>
      <c r="F43" s="20" t="str">
        <f t="shared" si="4"/>
        <v>Plan Distrital de Desarrollo</v>
      </c>
      <c r="G43" s="20" t="str">
        <f t="shared" si="5"/>
        <v>Presencial</v>
      </c>
      <c r="H43" s="20" t="str">
        <f t="shared" si="6"/>
        <v>Identificar las propuestas ciudadanas para la formulación del Plan de Desarrollo Distrital.</v>
      </c>
      <c r="I43" s="20" t="str">
        <f t="shared" si="7"/>
        <v>Mecanismo de Diálogo</v>
      </c>
      <c r="J43" s="20" t="str">
        <f t="shared" si="8"/>
        <v>Multiactor</v>
      </c>
      <c r="K43" s="20">
        <f t="shared" si="9"/>
        <v>0</v>
      </c>
      <c r="L43" s="20" t="str">
        <f t="shared" si="10"/>
        <v>Ciudad Bolívar</v>
      </c>
      <c r="M43" s="20" t="str">
        <f t="shared" si="11"/>
        <v>Suroriente</v>
      </c>
      <c r="N43" s="20" t="str">
        <f t="shared" si="12"/>
        <v>Lucero</v>
      </c>
      <c r="O43" s="20" t="str">
        <f t="shared" si="13"/>
        <v>SÍ</v>
      </c>
      <c r="P43" s="20" t="str">
        <f t="shared" si="14"/>
        <v>Fase II: Aspiraciones Comunes</v>
      </c>
      <c r="Q43" s="20">
        <f t="shared" si="15"/>
        <v>77</v>
      </c>
      <c r="R43" s="20">
        <f t="shared" si="16"/>
        <v>14</v>
      </c>
      <c r="S43" s="20" t="str">
        <f t="shared" si="17"/>
        <v xml:space="preserve">Objetivos, programas y soluciones de la propuesta del Plan de Desarrollo Distrital. </v>
      </c>
      <c r="T43" s="20">
        <f t="shared" si="18"/>
        <v>1</v>
      </c>
      <c r="U43" s="20" t="str">
        <f t="shared" ca="1" si="19"/>
        <v>Realizada</v>
      </c>
      <c r="V43" s="20"/>
      <c r="W43" s="20"/>
      <c r="X43" s="20"/>
      <c r="Y43" s="20"/>
    </row>
    <row r="44" spans="1:25" ht="49.5">
      <c r="A44" s="20">
        <v>63</v>
      </c>
      <c r="B44" s="20" t="str">
        <f t="shared" si="0"/>
        <v>Plenaria CTPD</v>
      </c>
      <c r="C44" s="21">
        <f t="shared" si="1"/>
        <v>45356</v>
      </c>
      <c r="D44" s="20" t="str">
        <f t="shared" si="2"/>
        <v>INSTANCIAS</v>
      </c>
      <c r="E44" s="20" t="str">
        <f t="shared" si="3"/>
        <v>NO</v>
      </c>
      <c r="F44" s="20" t="str">
        <f t="shared" si="4"/>
        <v>CTPD (Consejo Territorial de Planeación Distrital)</v>
      </c>
      <c r="G44" s="20" t="str">
        <f t="shared" si="5"/>
        <v>Virtual</v>
      </c>
      <c r="H44" s="20" t="str">
        <f t="shared" si="6"/>
        <v>Continuar con el orden del dia de la plenaria del 1 de marzo para la conformación de comisiones y elección de sus coordinadores</v>
      </c>
      <c r="I44" s="20" t="str">
        <f t="shared" si="7"/>
        <v>Mecanismo de Seguimiento y Evaluación</v>
      </c>
      <c r="J44" s="20" t="str">
        <f t="shared" si="8"/>
        <v>Público</v>
      </c>
      <c r="K44" s="20" t="str">
        <f t="shared" si="9"/>
        <v>CTPD</v>
      </c>
      <c r="L44" s="20" t="str">
        <f t="shared" si="10"/>
        <v>Distrital</v>
      </c>
      <c r="M44" s="20" t="str">
        <f t="shared" si="11"/>
        <v>Distrital</v>
      </c>
      <c r="N44" s="20" t="str">
        <f t="shared" si="12"/>
        <v>Distrital</v>
      </c>
      <c r="O44" s="20" t="str">
        <f t="shared" si="13"/>
        <v>NO</v>
      </c>
      <c r="P44" s="20" t="str">
        <f t="shared" si="14"/>
        <v>No aplica</v>
      </c>
      <c r="Q44" s="20">
        <f t="shared" si="15"/>
        <v>92</v>
      </c>
      <c r="R44" s="20">
        <f t="shared" si="16"/>
        <v>3</v>
      </c>
      <c r="S44" s="20" t="str">
        <f t="shared" si="17"/>
        <v>Conformación de las comisiones permanentes del CTPD</v>
      </c>
      <c r="T44" s="20">
        <f t="shared" si="18"/>
        <v>1</v>
      </c>
      <c r="U44" s="20" t="str">
        <f t="shared" ca="1" si="19"/>
        <v>Realizada</v>
      </c>
      <c r="V44" s="20"/>
      <c r="W44" s="20"/>
      <c r="X44" s="20"/>
      <c r="Y44" s="20"/>
    </row>
    <row r="45" spans="1:25" ht="49.5">
      <c r="A45" s="20">
        <v>65</v>
      </c>
      <c r="B45" s="20" t="str">
        <f t="shared" si="0"/>
        <v>Conversatorio "¿Por qué se necesita el Plan de Desarrollo pa' arreglar el hueco de la esquina?"</v>
      </c>
      <c r="C45" s="21">
        <f t="shared" si="1"/>
        <v>45356</v>
      </c>
      <c r="D45" s="20" t="str">
        <f t="shared" si="2"/>
        <v>DESPACHO</v>
      </c>
      <c r="E45" s="20" t="str">
        <f t="shared" si="3"/>
        <v>NO</v>
      </c>
      <c r="F45" s="20" t="str">
        <f t="shared" si="4"/>
        <v>Plan Distrital de Desarrollo</v>
      </c>
      <c r="G45" s="20" t="str">
        <f t="shared" si="5"/>
        <v>Presencial</v>
      </c>
      <c r="H45" s="20" t="str">
        <f t="shared" si="6"/>
        <v>Acompañar el diálogo con el Secretario de Planeación, Miguel Silva, organizado por Combo 2600 para informar sobre el Plan de Desarrollo Distrital.</v>
      </c>
      <c r="I45" s="20" t="str">
        <f t="shared" si="7"/>
        <v>Mecanismo de Diálogo</v>
      </c>
      <c r="J45" s="20" t="str">
        <f t="shared" si="8"/>
        <v>Multiactor</v>
      </c>
      <c r="K45" s="20">
        <f t="shared" si="9"/>
        <v>0</v>
      </c>
      <c r="L45" s="20" t="str">
        <f t="shared" si="10"/>
        <v>Distrital</v>
      </c>
      <c r="M45" s="20" t="str">
        <f t="shared" si="11"/>
        <v>Distrital</v>
      </c>
      <c r="N45" s="20" t="str">
        <f t="shared" si="12"/>
        <v>Distrital</v>
      </c>
      <c r="O45" s="20" t="str">
        <f t="shared" si="13"/>
        <v>NO</v>
      </c>
      <c r="P45" s="20" t="str">
        <f t="shared" si="14"/>
        <v>No aplica</v>
      </c>
      <c r="Q45" s="20">
        <f t="shared" si="15"/>
        <v>33</v>
      </c>
      <c r="R45" s="20">
        <f t="shared" si="16"/>
        <v>7</v>
      </c>
      <c r="S45" s="20" t="str">
        <f t="shared" si="17"/>
        <v>Importancia del Plan Distrital de Desarrollo.</v>
      </c>
      <c r="T45" s="20">
        <f t="shared" si="18"/>
        <v>1</v>
      </c>
      <c r="U45" s="20" t="str">
        <f t="shared" ca="1" si="19"/>
        <v>Realizada</v>
      </c>
      <c r="V45" s="20"/>
      <c r="W45" s="20"/>
      <c r="X45" s="20"/>
      <c r="Y45" s="20"/>
    </row>
    <row r="46" spans="1:25" ht="37.5">
      <c r="A46" s="20">
        <v>68</v>
      </c>
      <c r="B46" s="20" t="str">
        <f t="shared" si="0"/>
        <v>Tercer foro virtual con Servidores Públicos para la formulación del PDD - DASCD/SDP</v>
      </c>
      <c r="C46" s="21">
        <f t="shared" si="1"/>
        <v>45357</v>
      </c>
      <c r="D46" s="20" t="str">
        <f t="shared" si="2"/>
        <v>OPDC</v>
      </c>
      <c r="E46" s="20" t="str">
        <f t="shared" si="3"/>
        <v>NO</v>
      </c>
      <c r="F46" s="20" t="str">
        <f t="shared" si="4"/>
        <v>Plan Distrital de Desarrollo</v>
      </c>
      <c r="G46" s="20" t="str">
        <f t="shared" si="5"/>
        <v>Virtual</v>
      </c>
      <c r="H46" s="20" t="str">
        <f t="shared" si="6"/>
        <v>Socializar las generalidades de la formulación del PDD y fomentar la participación de los servidores públicos.</v>
      </c>
      <c r="I46" s="20" t="str">
        <f t="shared" si="7"/>
        <v>Gestión Institucional</v>
      </c>
      <c r="J46" s="20" t="str">
        <f t="shared" si="8"/>
        <v>Público</v>
      </c>
      <c r="K46" s="20" t="str">
        <f t="shared" si="9"/>
        <v>Servidores públicos (Distrital)</v>
      </c>
      <c r="L46" s="20" t="str">
        <f t="shared" si="10"/>
        <v>Distrital</v>
      </c>
      <c r="M46" s="20" t="str">
        <f t="shared" si="11"/>
        <v>Distrital</v>
      </c>
      <c r="N46" s="20" t="str">
        <f t="shared" si="12"/>
        <v>Distrital</v>
      </c>
      <c r="O46" s="20" t="str">
        <f t="shared" si="13"/>
        <v>SÍ</v>
      </c>
      <c r="P46" s="20" t="str">
        <f t="shared" si="14"/>
        <v>Gestión interinstitucional</v>
      </c>
      <c r="Q46" s="20">
        <f t="shared" si="15"/>
        <v>42</v>
      </c>
      <c r="R46" s="20">
        <f t="shared" si="16"/>
        <v>1</v>
      </c>
      <c r="S46" s="20" t="str">
        <f t="shared" si="17"/>
        <v>Estrategia de participación ciudadana para la formulación del PDD.</v>
      </c>
      <c r="T46" s="20">
        <f t="shared" si="18"/>
        <v>1</v>
      </c>
      <c r="U46" s="20" t="str">
        <f t="shared" ca="1" si="19"/>
        <v>Realizada</v>
      </c>
      <c r="V46" s="20"/>
      <c r="W46" s="20"/>
      <c r="X46" s="20"/>
      <c r="Y46" s="20"/>
    </row>
    <row r="47" spans="1:25" ht="49.5">
      <c r="A47" s="20">
        <v>69</v>
      </c>
      <c r="B47" s="20" t="str">
        <f t="shared" si="0"/>
        <v>CLIP Rafael Uribe Uribe</v>
      </c>
      <c r="C47" s="21">
        <f t="shared" si="1"/>
        <v>45357</v>
      </c>
      <c r="D47" s="20" t="str">
        <f t="shared" si="2"/>
        <v>INSTANCIAS</v>
      </c>
      <c r="E47" s="20" t="str">
        <f t="shared" si="3"/>
        <v>NO</v>
      </c>
      <c r="F47" s="20" t="str">
        <f t="shared" si="4"/>
        <v>CLIP (Comisión Local Intersectorial de Participación)</v>
      </c>
      <c r="G47" s="20" t="str">
        <f t="shared" si="5"/>
        <v>Virtual</v>
      </c>
      <c r="H47" s="20" t="str">
        <f t="shared" si="6"/>
        <v>Acompañar la articulación entre instituciones de participación en la localidad de Rafael Uribe Uribe.</v>
      </c>
      <c r="I47" s="20" t="str">
        <f t="shared" si="7"/>
        <v>Gestión Institucional</v>
      </c>
      <c r="J47" s="20" t="str">
        <f t="shared" si="8"/>
        <v>Público</v>
      </c>
      <c r="K47" s="20" t="str">
        <f t="shared" si="9"/>
        <v>Servidores públicos (local)</v>
      </c>
      <c r="L47" s="20" t="str">
        <f t="shared" si="10"/>
        <v>Rafael Uribe Uribe</v>
      </c>
      <c r="M47" s="20" t="str">
        <f t="shared" si="11"/>
        <v>Suroriente, Centro Ampliado</v>
      </c>
      <c r="N47" s="20" t="str">
        <f t="shared" si="12"/>
        <v>Rafael Uribe, Restrepo, San Cristobal</v>
      </c>
      <c r="O47" s="20" t="str">
        <f t="shared" si="13"/>
        <v>NO</v>
      </c>
      <c r="P47" s="20" t="str">
        <f t="shared" si="14"/>
        <v>No aplica</v>
      </c>
      <c r="Q47" s="20">
        <f t="shared" si="15"/>
        <v>7</v>
      </c>
      <c r="R47" s="20">
        <f t="shared" si="16"/>
        <v>1</v>
      </c>
      <c r="S47" s="20" t="str">
        <f t="shared" si="17"/>
        <v>Socialización de la segunda fase de Estrategia para la formulación PDD.</v>
      </c>
      <c r="T47" s="20">
        <f t="shared" si="18"/>
        <v>1</v>
      </c>
      <c r="U47" s="20" t="str">
        <f t="shared" ca="1" si="19"/>
        <v>Realizada</v>
      </c>
      <c r="V47" s="20"/>
      <c r="W47" s="20"/>
      <c r="X47" s="20"/>
      <c r="Y47" s="20"/>
    </row>
    <row r="48" spans="1:25" ht="49.5">
      <c r="A48" s="20">
        <v>70</v>
      </c>
      <c r="B48" s="20" t="str">
        <f t="shared" si="0"/>
        <v>Dialogo Ciudadano para la Construcción del PDD - UPL Bosa</v>
      </c>
      <c r="C48" s="21">
        <f t="shared" si="1"/>
        <v>45357</v>
      </c>
      <c r="D48" s="20" t="str">
        <f t="shared" si="2"/>
        <v>OPDC</v>
      </c>
      <c r="E48" s="20" t="str">
        <f t="shared" si="3"/>
        <v>NO</v>
      </c>
      <c r="F48" s="20" t="str">
        <f t="shared" si="4"/>
        <v>Plan Distrital de Desarrollo</v>
      </c>
      <c r="G48" s="20" t="str">
        <f t="shared" si="5"/>
        <v>Presencial</v>
      </c>
      <c r="H48" s="20" t="str">
        <f t="shared" si="6"/>
        <v>Identificar las propuestas ciudadanas para la formulación del Plan de Desarrollo Distrital.</v>
      </c>
      <c r="I48" s="20" t="str">
        <f t="shared" si="7"/>
        <v>Mecanismo de Diálogo</v>
      </c>
      <c r="J48" s="20" t="str">
        <f t="shared" si="8"/>
        <v>Multiactor</v>
      </c>
      <c r="K48" s="20">
        <f t="shared" si="9"/>
        <v>0</v>
      </c>
      <c r="L48" s="20" t="str">
        <f t="shared" si="10"/>
        <v>Bosa, Kennedy</v>
      </c>
      <c r="M48" s="20" t="str">
        <f t="shared" si="11"/>
        <v>Suroccidente</v>
      </c>
      <c r="N48" s="20" t="str">
        <f t="shared" si="12"/>
        <v>Bosa</v>
      </c>
      <c r="O48" s="20" t="str">
        <f t="shared" si="13"/>
        <v>SÍ</v>
      </c>
      <c r="P48" s="20" t="str">
        <f t="shared" si="14"/>
        <v>Fase II: Aspiraciones Comunes</v>
      </c>
      <c r="Q48" s="20">
        <f t="shared" si="15"/>
        <v>62</v>
      </c>
      <c r="R48" s="20">
        <f t="shared" si="16"/>
        <v>15</v>
      </c>
      <c r="S48" s="20" t="str">
        <f t="shared" si="17"/>
        <v>Socialización objetivos estratégicos del PDD; inclusión de percepciones ciudadanos y priorización de programas a través del canal Chatico.</v>
      </c>
      <c r="T48" s="20">
        <f t="shared" si="18"/>
        <v>1</v>
      </c>
      <c r="U48" s="20" t="str">
        <f t="shared" ca="1" si="19"/>
        <v>Realizada</v>
      </c>
      <c r="V48" s="20"/>
      <c r="W48" s="20"/>
      <c r="X48" s="20"/>
      <c r="Y48" s="20"/>
    </row>
    <row r="49" spans="1:25" ht="37.5">
      <c r="A49" s="20">
        <v>72</v>
      </c>
      <c r="B49" s="20" t="str">
        <f t="shared" si="0"/>
        <v>Comité Coordinador Intersectorial de Participación PDD</v>
      </c>
      <c r="C49" s="21">
        <f t="shared" si="1"/>
        <v>45358</v>
      </c>
      <c r="D49" s="20" t="str">
        <f t="shared" si="2"/>
        <v>OPDC</v>
      </c>
      <c r="E49" s="20" t="str">
        <f t="shared" si="3"/>
        <v>NO</v>
      </c>
      <c r="F49" s="20" t="str">
        <f t="shared" si="4"/>
        <v>Plan Distrital de Desarrollo</v>
      </c>
      <c r="G49" s="20" t="str">
        <f t="shared" si="5"/>
        <v>Virtual</v>
      </c>
      <c r="H49" s="20" t="str">
        <f t="shared" si="6"/>
        <v>Reunión semanal comité coordinador intersectorial PDD</v>
      </c>
      <c r="I49" s="20" t="str">
        <f t="shared" si="7"/>
        <v>Mecanismo de Diálogo</v>
      </c>
      <c r="J49" s="20" t="str">
        <f t="shared" si="8"/>
        <v>Público</v>
      </c>
      <c r="K49" s="20" t="str">
        <f t="shared" si="9"/>
        <v>Servidores públicos (Distrital)</v>
      </c>
      <c r="L49" s="20" t="str">
        <f t="shared" si="10"/>
        <v>Distrital</v>
      </c>
      <c r="M49" s="20" t="str">
        <f t="shared" si="11"/>
        <v>Distrital</v>
      </c>
      <c r="N49" s="20" t="str">
        <f t="shared" si="12"/>
        <v>Distrital</v>
      </c>
      <c r="O49" s="20" t="str">
        <f t="shared" si="13"/>
        <v>SÍ</v>
      </c>
      <c r="P49" s="20" t="str">
        <f t="shared" si="14"/>
        <v>Gestión interinstitucional</v>
      </c>
      <c r="Q49" s="20">
        <f t="shared" si="15"/>
        <v>18</v>
      </c>
      <c r="R49" s="20">
        <f t="shared" si="16"/>
        <v>3</v>
      </c>
      <c r="S49" s="20" t="str">
        <f t="shared" si="17"/>
        <v>Cronograma de actividades segunda fase PDD, estrategia de generación de aportes al PDD en terrotorio.</v>
      </c>
      <c r="T49" s="20">
        <f t="shared" si="18"/>
        <v>1</v>
      </c>
      <c r="U49" s="20" t="str">
        <f t="shared" ca="1" si="19"/>
        <v>Realizada</v>
      </c>
      <c r="V49" s="20"/>
      <c r="W49" s="20"/>
      <c r="X49" s="20"/>
      <c r="Y49" s="20"/>
    </row>
    <row r="50" spans="1:25" ht="49.5">
      <c r="A50" s="20">
        <v>73</v>
      </c>
      <c r="B50" s="20" t="str">
        <f t="shared" si="0"/>
        <v>CLIP La Candelaria</v>
      </c>
      <c r="C50" s="21">
        <f t="shared" si="1"/>
        <v>45358</v>
      </c>
      <c r="D50" s="20" t="str">
        <f t="shared" si="2"/>
        <v>INSTANCIAS</v>
      </c>
      <c r="E50" s="20" t="str">
        <f t="shared" si="3"/>
        <v>NO</v>
      </c>
      <c r="F50" s="20" t="str">
        <f t="shared" si="4"/>
        <v>CLIP (Comisión Local Intersectorial de Participación)</v>
      </c>
      <c r="G50" s="20" t="str">
        <f t="shared" si="5"/>
        <v>Presencial</v>
      </c>
      <c r="H50" s="20" t="str">
        <f t="shared" si="6"/>
        <v>Acompañar la articulación de los esfuerzos institucionales de participación en la localidad de La Candelaria</v>
      </c>
      <c r="I50" s="20" t="str">
        <f t="shared" si="7"/>
        <v>Gestión Institucional</v>
      </c>
      <c r="J50" s="20" t="str">
        <f t="shared" si="8"/>
        <v>Público</v>
      </c>
      <c r="K50" s="20" t="str">
        <f t="shared" si="9"/>
        <v>Servidores públicos (local)</v>
      </c>
      <c r="L50" s="20" t="str">
        <f t="shared" si="10"/>
        <v>La Candelaria</v>
      </c>
      <c r="M50" s="20" t="str">
        <f t="shared" si="11"/>
        <v>Centro Ampliado</v>
      </c>
      <c r="N50" s="20" t="str">
        <f t="shared" si="12"/>
        <v>Centro Histórico</v>
      </c>
      <c r="O50" s="20" t="str">
        <f t="shared" si="13"/>
        <v>NO</v>
      </c>
      <c r="P50" s="20" t="str">
        <f t="shared" si="14"/>
        <v>No aplica</v>
      </c>
      <c r="Q50" s="20">
        <f t="shared" si="15"/>
        <v>20</v>
      </c>
      <c r="R50" s="20">
        <f t="shared" si="16"/>
        <v>1</v>
      </c>
      <c r="S50" s="20" t="str">
        <f t="shared" si="17"/>
        <v>Agenda actividades participativas del mes de Abril, chatico y PDD.</v>
      </c>
      <c r="T50" s="20">
        <f t="shared" si="18"/>
        <v>1</v>
      </c>
      <c r="U50" s="20" t="str">
        <f t="shared" ca="1" si="19"/>
        <v>Realizada</v>
      </c>
      <c r="V50" s="20"/>
      <c r="W50" s="20"/>
      <c r="X50" s="20"/>
      <c r="Y50" s="20"/>
    </row>
    <row r="51" spans="1:25" ht="37.5">
      <c r="A51" s="20">
        <v>74</v>
      </c>
      <c r="B51" s="20" t="str">
        <f t="shared" si="0"/>
        <v>Cuarto foro virtual con Servidores Públicos para la formulación del PDD - DASCD/SDP</v>
      </c>
      <c r="C51" s="21">
        <f t="shared" si="1"/>
        <v>45358</v>
      </c>
      <c r="D51" s="20" t="str">
        <f t="shared" si="2"/>
        <v>OPDC</v>
      </c>
      <c r="E51" s="20" t="str">
        <f t="shared" si="3"/>
        <v>NO</v>
      </c>
      <c r="F51" s="20" t="str">
        <f t="shared" si="4"/>
        <v>Plan Distrital de Desarrollo</v>
      </c>
      <c r="G51" s="20" t="str">
        <f t="shared" si="5"/>
        <v>Virtual</v>
      </c>
      <c r="H51" s="20" t="str">
        <f t="shared" si="6"/>
        <v>Socializar las generalidades de la formulación del PDD y fomentar la participación de los servidores públicos.</v>
      </c>
      <c r="I51" s="20" t="str">
        <f t="shared" si="7"/>
        <v>Gestión Institucional</v>
      </c>
      <c r="J51" s="20" t="str">
        <f t="shared" si="8"/>
        <v>Público</v>
      </c>
      <c r="K51" s="20" t="str">
        <f t="shared" si="9"/>
        <v>Servidores públicos (Distrital)</v>
      </c>
      <c r="L51" s="20" t="str">
        <f t="shared" si="10"/>
        <v>Distrital</v>
      </c>
      <c r="M51" s="20" t="str">
        <f t="shared" si="11"/>
        <v>Distrital</v>
      </c>
      <c r="N51" s="20" t="str">
        <f t="shared" si="12"/>
        <v>Distrital</v>
      </c>
      <c r="O51" s="20" t="str">
        <f t="shared" si="13"/>
        <v>SÍ</v>
      </c>
      <c r="P51" s="20" t="str">
        <f t="shared" si="14"/>
        <v>Gestión interinstitucional</v>
      </c>
      <c r="Q51" s="20">
        <f t="shared" si="15"/>
        <v>63</v>
      </c>
      <c r="R51" s="20">
        <f t="shared" si="16"/>
        <v>1</v>
      </c>
      <c r="S51" s="20" t="str">
        <f t="shared" si="17"/>
        <v>Socialización de las generalidades del PDD y la estrategia de participación ciudadana.</v>
      </c>
      <c r="T51" s="20">
        <f t="shared" si="18"/>
        <v>1</v>
      </c>
      <c r="U51" s="20" t="str">
        <f t="shared" ca="1" si="19"/>
        <v>Realizada</v>
      </c>
      <c r="V51" s="20"/>
      <c r="W51" s="20"/>
      <c r="X51" s="20"/>
      <c r="Y51" s="20"/>
    </row>
    <row r="52" spans="1:25" ht="49.5">
      <c r="A52" s="20">
        <v>75</v>
      </c>
      <c r="B52" s="20" t="str">
        <f t="shared" si="0"/>
        <v>Socialización estrategia PDD - Consejo Distrital de Sabios y Sabias</v>
      </c>
      <c r="C52" s="21">
        <f t="shared" si="1"/>
        <v>45358</v>
      </c>
      <c r="D52" s="20" t="str">
        <f t="shared" si="2"/>
        <v>OPDC</v>
      </c>
      <c r="E52" s="20" t="str">
        <f t="shared" si="3"/>
        <v>NO</v>
      </c>
      <c r="F52" s="20" t="str">
        <f t="shared" si="4"/>
        <v>Plan Distrital de Desarrollo</v>
      </c>
      <c r="G52" s="20" t="str">
        <f t="shared" si="5"/>
        <v>Presencial</v>
      </c>
      <c r="H52" s="20" t="str">
        <f t="shared" si="6"/>
        <v>Presentar al Consejo Distrital de Sabios y Sabias la estrategia de participación para la formulación del PDD</v>
      </c>
      <c r="I52" s="20" t="str">
        <f t="shared" si="7"/>
        <v>Mecanismo de Comunicación para la Participación</v>
      </c>
      <c r="J52" s="20" t="str">
        <f t="shared" si="8"/>
        <v>Comunitario</v>
      </c>
      <c r="K52" s="20" t="str">
        <f t="shared" si="9"/>
        <v>Consejo Consultivo</v>
      </c>
      <c r="L52" s="20" t="str">
        <f t="shared" si="10"/>
        <v>Distrital</v>
      </c>
      <c r="M52" s="20" t="str">
        <f t="shared" si="11"/>
        <v>Distrital</v>
      </c>
      <c r="N52" s="20" t="str">
        <f t="shared" si="12"/>
        <v>Distrital</v>
      </c>
      <c r="O52" s="20" t="str">
        <f t="shared" si="13"/>
        <v>SÍ</v>
      </c>
      <c r="P52" s="20" t="str">
        <f t="shared" si="14"/>
        <v>Gestión interinstitucional</v>
      </c>
      <c r="Q52" s="20">
        <f t="shared" si="15"/>
        <v>17</v>
      </c>
      <c r="R52" s="20">
        <f t="shared" si="16"/>
        <v>1</v>
      </c>
      <c r="S52" s="20" t="str">
        <f t="shared" si="17"/>
        <v>Estrategia de participación fase 2 para la formulación del PDD.</v>
      </c>
      <c r="T52" s="20">
        <f t="shared" si="18"/>
        <v>1</v>
      </c>
      <c r="U52" s="20" t="str">
        <f t="shared" ca="1" si="19"/>
        <v>Realizada</v>
      </c>
      <c r="V52" s="20"/>
      <c r="W52" s="20"/>
      <c r="X52" s="20"/>
      <c r="Y52" s="20"/>
    </row>
    <row r="53" spans="1:25" ht="49.5">
      <c r="A53" s="20">
        <v>78</v>
      </c>
      <c r="B53" s="20" t="str">
        <f t="shared" si="0"/>
        <v>Reunión de aclaración - Vacancias Víctimas CTPD</v>
      </c>
      <c r="C53" s="21">
        <f t="shared" si="1"/>
        <v>45358</v>
      </c>
      <c r="D53" s="20" t="str">
        <f t="shared" si="2"/>
        <v>INSTANCIAS</v>
      </c>
      <c r="E53" s="20" t="str">
        <f t="shared" si="3"/>
        <v>NO</v>
      </c>
      <c r="F53" s="20" t="str">
        <f t="shared" si="4"/>
        <v>CTPD (Consejo Territorial de Planeación Distrital)</v>
      </c>
      <c r="G53" s="20" t="str">
        <f t="shared" si="5"/>
        <v>Presencial</v>
      </c>
      <c r="H53" s="20" t="str">
        <f t="shared" si="6"/>
        <v>Responder inquietudes sobre las curules de víctimas dentro del CTPD.</v>
      </c>
      <c r="I53" s="20" t="str">
        <f t="shared" si="7"/>
        <v>Mecanismo de Diálogo</v>
      </c>
      <c r="J53" s="20" t="str">
        <f t="shared" si="8"/>
        <v>Comunitario</v>
      </c>
      <c r="K53" s="20" t="str">
        <f t="shared" si="9"/>
        <v>CTPD</v>
      </c>
      <c r="L53" s="20" t="str">
        <f t="shared" si="10"/>
        <v>Distrital</v>
      </c>
      <c r="M53" s="20" t="str">
        <f t="shared" si="11"/>
        <v>Distrital</v>
      </c>
      <c r="N53" s="20" t="str">
        <f t="shared" si="12"/>
        <v>Distrital</v>
      </c>
      <c r="O53" s="20" t="str">
        <f t="shared" si="13"/>
        <v>NO</v>
      </c>
      <c r="P53" s="20" t="str">
        <f t="shared" si="14"/>
        <v>No aplica</v>
      </c>
      <c r="Q53" s="20">
        <f t="shared" si="15"/>
        <v>4</v>
      </c>
      <c r="R53" s="20">
        <f t="shared" si="16"/>
        <v>4</v>
      </c>
      <c r="S53" s="20" t="str">
        <f t="shared" si="17"/>
        <v>Vacancias de organizaciones de víctimas en el CTPD.</v>
      </c>
      <c r="T53" s="20">
        <f t="shared" si="18"/>
        <v>1</v>
      </c>
      <c r="U53" s="20" t="str">
        <f t="shared" ca="1" si="19"/>
        <v>Realizada</v>
      </c>
      <c r="V53" s="20"/>
      <c r="W53" s="20"/>
      <c r="X53" s="20"/>
      <c r="Y53" s="20"/>
    </row>
    <row r="54" spans="1:25" ht="49.5">
      <c r="A54" s="20">
        <v>79</v>
      </c>
      <c r="B54" s="20" t="str">
        <f t="shared" si="0"/>
        <v>CLIP San Cristóbal</v>
      </c>
      <c r="C54" s="21">
        <f t="shared" si="1"/>
        <v>45358</v>
      </c>
      <c r="D54" s="20" t="str">
        <f t="shared" si="2"/>
        <v>INSTANCIAS</v>
      </c>
      <c r="E54" s="20" t="str">
        <f t="shared" si="3"/>
        <v>NO</v>
      </c>
      <c r="F54" s="20" t="str">
        <f t="shared" si="4"/>
        <v>CLIP (Comisión Local Intersectorial de Participación)</v>
      </c>
      <c r="G54" s="20" t="str">
        <f t="shared" si="5"/>
        <v>Presencial</v>
      </c>
      <c r="H54" s="20" t="str">
        <f t="shared" si="6"/>
        <v>Acompañar la articulación de los esfuerzos institucionales de participación en la localidad de San Cristóbal.</v>
      </c>
      <c r="I54" s="20" t="str">
        <f t="shared" si="7"/>
        <v>Gestión Institucional</v>
      </c>
      <c r="J54" s="20" t="str">
        <f t="shared" si="8"/>
        <v>Público</v>
      </c>
      <c r="K54" s="20" t="str">
        <f t="shared" si="9"/>
        <v>Servidores públicos (local)</v>
      </c>
      <c r="L54" s="20" t="str">
        <f t="shared" si="10"/>
        <v>San Cristóbal</v>
      </c>
      <c r="M54" s="20" t="str">
        <f t="shared" si="11"/>
        <v>Suroriente, Ruralidad</v>
      </c>
      <c r="N54" s="20" t="str">
        <f t="shared" si="12"/>
        <v>San Cristobal, Cerros Orientales</v>
      </c>
      <c r="O54" s="20" t="str">
        <f t="shared" si="13"/>
        <v>NO</v>
      </c>
      <c r="P54" s="20" t="str">
        <f t="shared" si="14"/>
        <v>No aplica</v>
      </c>
      <c r="Q54" s="20">
        <f t="shared" si="15"/>
        <v>21</v>
      </c>
      <c r="R54" s="20">
        <f t="shared" si="16"/>
        <v>1</v>
      </c>
      <c r="S54" s="20" t="str">
        <f t="shared" si="17"/>
        <v>Fases que se tienen previstas para los Encuentros Ciudadanos del Plan de Desarrollo Local.</v>
      </c>
      <c r="T54" s="20">
        <f t="shared" si="18"/>
        <v>1</v>
      </c>
      <c r="U54" s="20" t="str">
        <f t="shared" ca="1" si="19"/>
        <v>Realizada</v>
      </c>
      <c r="V54" s="20"/>
      <c r="W54" s="20"/>
      <c r="X54" s="20"/>
      <c r="Y54" s="20"/>
    </row>
    <row r="55" spans="1:25" ht="49.5">
      <c r="A55" s="20">
        <v>80</v>
      </c>
      <c r="B55" s="20" t="str">
        <f t="shared" si="0"/>
        <v>CLIP Usaquén</v>
      </c>
      <c r="C55" s="21">
        <f t="shared" si="1"/>
        <v>45358</v>
      </c>
      <c r="D55" s="20" t="str">
        <f t="shared" si="2"/>
        <v>INSTANCIAS</v>
      </c>
      <c r="E55" s="20" t="str">
        <f t="shared" si="3"/>
        <v>NO</v>
      </c>
      <c r="F55" s="20" t="str">
        <f t="shared" si="4"/>
        <v>CLIP (Comisión Local Intersectorial de Participación)</v>
      </c>
      <c r="G55" s="20" t="str">
        <f t="shared" si="5"/>
        <v>Virtual</v>
      </c>
      <c r="H55" s="20" t="str">
        <f t="shared" si="6"/>
        <v>Acompañar la articulación de los esfuerzos institucionales de participación en la localidad de Usaquén.</v>
      </c>
      <c r="I55" s="20" t="str">
        <f t="shared" si="7"/>
        <v>Gestión Institucional</v>
      </c>
      <c r="J55" s="20" t="str">
        <f t="shared" si="8"/>
        <v>Público</v>
      </c>
      <c r="K55" s="20" t="str">
        <f t="shared" si="9"/>
        <v>Servidores públicos (local)</v>
      </c>
      <c r="L55" s="20" t="str">
        <f t="shared" si="10"/>
        <v>Usaquén</v>
      </c>
      <c r="M55" s="20" t="str">
        <f t="shared" si="11"/>
        <v>Norte, Ruralidad</v>
      </c>
      <c r="N55" s="20" t="str">
        <f t="shared" si="12"/>
        <v>Usaquén, Toberín, Torca, Cerros Orientales</v>
      </c>
      <c r="O55" s="20" t="str">
        <f t="shared" si="13"/>
        <v>NO</v>
      </c>
      <c r="P55" s="20" t="str">
        <f t="shared" si="14"/>
        <v>No aplica</v>
      </c>
      <c r="Q55" s="20">
        <f t="shared" si="15"/>
        <v>15</v>
      </c>
      <c r="R55" s="20">
        <f t="shared" si="16"/>
        <v>1</v>
      </c>
      <c r="S55" s="20" t="str">
        <f t="shared" si="17"/>
        <v>Estrategia de redes del cuidado (SDIS),  Diagnóstico de la localidad (IDPAC) , actulización de la agenda de instancias.</v>
      </c>
      <c r="T55" s="20">
        <f t="shared" si="18"/>
        <v>1</v>
      </c>
      <c r="U55" s="20" t="str">
        <f t="shared" ca="1" si="19"/>
        <v>Realizada</v>
      </c>
      <c r="V55" s="20"/>
      <c r="W55" s="20"/>
      <c r="X55" s="20"/>
      <c r="Y55" s="20"/>
    </row>
    <row r="56" spans="1:25" ht="49.5">
      <c r="A56" s="20">
        <v>81</v>
      </c>
      <c r="B56" s="20" t="str">
        <f t="shared" si="0"/>
        <v>Coordinación proceso de participación - ASOBARES</v>
      </c>
      <c r="C56" s="21">
        <f t="shared" si="1"/>
        <v>45358</v>
      </c>
      <c r="D56" s="20" t="str">
        <f t="shared" si="2"/>
        <v>OPDC</v>
      </c>
      <c r="E56" s="20" t="str">
        <f t="shared" si="3"/>
        <v>NO</v>
      </c>
      <c r="F56" s="20" t="str">
        <f t="shared" si="4"/>
        <v>Plan Distrital de Desarrollo</v>
      </c>
      <c r="G56" s="20" t="str">
        <f t="shared" si="5"/>
        <v>Presencial</v>
      </c>
      <c r="H56" s="20" t="str">
        <f t="shared" si="6"/>
        <v>Presentar la estrategia de participación del PDD y establecer sinergia con la organización.</v>
      </c>
      <c r="I56" s="20" t="str">
        <f t="shared" si="7"/>
        <v>Mecanismo de Comunicación para la Participación</v>
      </c>
      <c r="J56" s="20" t="str">
        <f t="shared" si="8"/>
        <v>Privado</v>
      </c>
      <c r="K56" s="20" t="str">
        <f t="shared" si="9"/>
        <v>Asociación</v>
      </c>
      <c r="L56" s="20" t="str">
        <f t="shared" si="10"/>
        <v>Distrital</v>
      </c>
      <c r="M56" s="20" t="str">
        <f t="shared" si="11"/>
        <v>Distrital</v>
      </c>
      <c r="N56" s="20" t="str">
        <f t="shared" si="12"/>
        <v>Distrital</v>
      </c>
      <c r="O56" s="20" t="str">
        <f t="shared" si="13"/>
        <v>SÍ</v>
      </c>
      <c r="P56" s="20" t="str">
        <f t="shared" si="14"/>
        <v>Fase II: Aspiraciones Comunes</v>
      </c>
      <c r="Q56" s="20">
        <f t="shared" si="15"/>
        <v>3</v>
      </c>
      <c r="R56" s="20">
        <f t="shared" si="16"/>
        <v>2</v>
      </c>
      <c r="S56" s="20" t="str">
        <f t="shared" si="17"/>
        <v>Sinergia entre la organización y el proceso de participación del PDD.</v>
      </c>
      <c r="T56" s="20">
        <f t="shared" si="18"/>
        <v>1</v>
      </c>
      <c r="U56" s="20" t="str">
        <f t="shared" ca="1" si="19"/>
        <v>Realizada</v>
      </c>
      <c r="V56" s="20"/>
      <c r="W56" s="20"/>
      <c r="X56" s="20"/>
      <c r="Y56" s="20"/>
    </row>
    <row r="57" spans="1:25" ht="49.5">
      <c r="A57" s="20">
        <v>82</v>
      </c>
      <c r="B57" s="20" t="str">
        <f t="shared" si="0"/>
        <v>Dialogo Ciudadano para la Construcción del PDD - UPL Centro Histórico</v>
      </c>
      <c r="C57" s="21">
        <f t="shared" si="1"/>
        <v>45358</v>
      </c>
      <c r="D57" s="20" t="str">
        <f t="shared" si="2"/>
        <v>OPDC</v>
      </c>
      <c r="E57" s="20" t="str">
        <f t="shared" si="3"/>
        <v>NO</v>
      </c>
      <c r="F57" s="20" t="str">
        <f t="shared" si="4"/>
        <v>Plan Distrital de Desarrollo</v>
      </c>
      <c r="G57" s="20" t="str">
        <f t="shared" si="5"/>
        <v>Presencial</v>
      </c>
      <c r="H57" s="20" t="str">
        <f t="shared" si="6"/>
        <v>Identificar las propuestas ciudadanas para la formulación del Plan de Desarrollo Distrital.</v>
      </c>
      <c r="I57" s="20" t="str">
        <f t="shared" si="7"/>
        <v>Mecanismo de Diálogo</v>
      </c>
      <c r="J57" s="20" t="str">
        <f t="shared" si="8"/>
        <v>Multiactor</v>
      </c>
      <c r="K57" s="20">
        <f t="shared" si="9"/>
        <v>0</v>
      </c>
      <c r="L57" s="20" t="str">
        <f t="shared" si="10"/>
        <v>Santa Fe, Los Mártires, La Candelaria, Chapinero</v>
      </c>
      <c r="M57" s="20" t="str">
        <f t="shared" si="11"/>
        <v>Centro Ampliado</v>
      </c>
      <c r="N57" s="20" t="str">
        <f t="shared" si="12"/>
        <v>Centro Histórico</v>
      </c>
      <c r="O57" s="20" t="str">
        <f t="shared" si="13"/>
        <v>SÍ</v>
      </c>
      <c r="P57" s="20" t="str">
        <f t="shared" si="14"/>
        <v>Fase II: Aspiraciones Comunes</v>
      </c>
      <c r="Q57" s="20">
        <f t="shared" si="15"/>
        <v>55</v>
      </c>
      <c r="R57" s="20">
        <f t="shared" si="16"/>
        <v>25</v>
      </c>
      <c r="S57" s="20" t="str">
        <f t="shared" si="17"/>
        <v>Socialización objetivos estratégicos del PDD; inclusión de percepciones ciudadanos y priorización de programas a través del canal Chatico.</v>
      </c>
      <c r="T57" s="20">
        <f t="shared" si="18"/>
        <v>1</v>
      </c>
      <c r="U57" s="20" t="str">
        <f t="shared" ca="1" si="19"/>
        <v>Realizada</v>
      </c>
      <c r="V57" s="20"/>
      <c r="W57" s="20"/>
      <c r="X57" s="20"/>
      <c r="Y57" s="20"/>
    </row>
    <row r="58" spans="1:25" ht="49.5">
      <c r="A58" s="20">
        <v>84</v>
      </c>
      <c r="B58" s="20" t="str">
        <f t="shared" si="0"/>
        <v>Plenaria Permanente - CTPD</v>
      </c>
      <c r="C58" s="21">
        <f t="shared" si="1"/>
        <v>45358</v>
      </c>
      <c r="D58" s="20" t="str">
        <f t="shared" si="2"/>
        <v>INSTANCIAS</v>
      </c>
      <c r="E58" s="20" t="str">
        <f t="shared" si="3"/>
        <v>NO</v>
      </c>
      <c r="F58" s="20" t="str">
        <f t="shared" si="4"/>
        <v>CTPD (Consejo Territorial de Planeación Distrital)</v>
      </c>
      <c r="G58" s="20" t="str">
        <f t="shared" si="5"/>
        <v>Virtual</v>
      </c>
      <c r="H58" s="20" t="str">
        <f t="shared" si="6"/>
        <v>Elección de cargos en las Comisiones del CTPD.</v>
      </c>
      <c r="I58" s="20" t="str">
        <f t="shared" si="7"/>
        <v>Mecanismo de Seguimiento y Evaluación</v>
      </c>
      <c r="J58" s="20" t="str">
        <f t="shared" si="8"/>
        <v>Comunitario</v>
      </c>
      <c r="K58" s="20" t="str">
        <f t="shared" si="9"/>
        <v>CTPD</v>
      </c>
      <c r="L58" s="20" t="str">
        <f t="shared" si="10"/>
        <v>Distrital</v>
      </c>
      <c r="M58" s="20" t="str">
        <f t="shared" si="11"/>
        <v>Distrital</v>
      </c>
      <c r="N58" s="20" t="str">
        <f t="shared" si="12"/>
        <v>Distrital</v>
      </c>
      <c r="O58" s="20" t="str">
        <f t="shared" si="13"/>
        <v>NO</v>
      </c>
      <c r="P58" s="20" t="str">
        <f t="shared" si="14"/>
        <v>No aplica</v>
      </c>
      <c r="Q58" s="20">
        <f t="shared" si="15"/>
        <v>96</v>
      </c>
      <c r="R58" s="20">
        <f t="shared" si="16"/>
        <v>8</v>
      </c>
      <c r="S58" s="20" t="str">
        <f t="shared" si="17"/>
        <v>Elección de cargos en las Comisiónes del CTPD.</v>
      </c>
      <c r="T58" s="20">
        <f t="shared" si="18"/>
        <v>1</v>
      </c>
      <c r="U58" s="20" t="str">
        <f t="shared" ca="1" si="19"/>
        <v>Realizada</v>
      </c>
      <c r="V58" s="20"/>
      <c r="W58" s="20"/>
      <c r="X58" s="20"/>
      <c r="Y58" s="20"/>
    </row>
    <row r="59" spans="1:25" ht="37.5">
      <c r="A59" s="20">
        <v>85</v>
      </c>
      <c r="B59" s="20" t="str">
        <f t="shared" si="0"/>
        <v>Reunión de coordinación - ACODRES</v>
      </c>
      <c r="C59" s="21">
        <f t="shared" si="1"/>
        <v>45359</v>
      </c>
      <c r="D59" s="20" t="str">
        <f t="shared" si="2"/>
        <v>OPDC</v>
      </c>
      <c r="E59" s="20" t="str">
        <f t="shared" si="3"/>
        <v>NO</v>
      </c>
      <c r="F59" s="20" t="str">
        <f t="shared" si="4"/>
        <v>Plan Distrital de Desarrollo</v>
      </c>
      <c r="G59" s="20" t="str">
        <f t="shared" si="5"/>
        <v>Virtual</v>
      </c>
      <c r="H59" s="20" t="str">
        <f t="shared" si="6"/>
        <v>Generar proceso de articulación con el gremio para garantizar su participación en el PDD.</v>
      </c>
      <c r="I59" s="20" t="str">
        <f t="shared" si="7"/>
        <v>Mecanismo de Diálogo</v>
      </c>
      <c r="J59" s="20" t="str">
        <f t="shared" si="8"/>
        <v>Privado</v>
      </c>
      <c r="K59" s="20" t="str">
        <f t="shared" si="9"/>
        <v>Gremio</v>
      </c>
      <c r="L59" s="20" t="str">
        <f t="shared" si="10"/>
        <v>Distrital</v>
      </c>
      <c r="M59" s="20" t="str">
        <f t="shared" si="11"/>
        <v>Distrital</v>
      </c>
      <c r="N59" s="20" t="str">
        <f t="shared" si="12"/>
        <v>Distrital</v>
      </c>
      <c r="O59" s="20" t="str">
        <f t="shared" si="13"/>
        <v>SÍ</v>
      </c>
      <c r="P59" s="20" t="str">
        <f t="shared" si="14"/>
        <v>Fase II: Aspiraciones Comunes</v>
      </c>
      <c r="Q59" s="20">
        <f t="shared" si="15"/>
        <v>1</v>
      </c>
      <c r="R59" s="20">
        <f t="shared" si="16"/>
        <v>2</v>
      </c>
      <c r="S59" s="20" t="str">
        <f t="shared" si="17"/>
        <v>Estrategia de participación del PDD.</v>
      </c>
      <c r="T59" s="20">
        <f t="shared" si="18"/>
        <v>1</v>
      </c>
      <c r="U59" s="20" t="str">
        <f t="shared" ca="1" si="19"/>
        <v>Realizada</v>
      </c>
      <c r="V59" s="20"/>
      <c r="W59" s="20"/>
      <c r="X59" s="20"/>
      <c r="Y59" s="20"/>
    </row>
    <row r="60" spans="1:25" ht="61.5">
      <c r="A60" s="20">
        <v>86</v>
      </c>
      <c r="B60" s="20" t="str">
        <f t="shared" si="0"/>
        <v>Diálogo Ciudadano Poblacional para la Construcción del PDD - Discapacidad se articula para Caminar Segura por Bogotá</v>
      </c>
      <c r="C60" s="21">
        <f t="shared" si="1"/>
        <v>45360</v>
      </c>
      <c r="D60" s="20" t="str">
        <f t="shared" si="2"/>
        <v>GENERAL SDP</v>
      </c>
      <c r="E60" s="20" t="str">
        <f t="shared" si="3"/>
        <v>NO</v>
      </c>
      <c r="F60" s="20" t="str">
        <f t="shared" si="4"/>
        <v>Plan Distrital de Desarrollo</v>
      </c>
      <c r="G60" s="20" t="str">
        <f t="shared" si="5"/>
        <v>Presencial</v>
      </c>
      <c r="H60" s="20" t="str">
        <f t="shared" si="6"/>
        <v>Recibir las Propuestas al Plan de Desarrollo de Bogotá con Enfoque de Discapacidad - Reflexiones de Aceptación Universal en el Marco del Desarrollo Tecnológico y de Sistemas.</v>
      </c>
      <c r="I60" s="20" t="str">
        <f t="shared" si="7"/>
        <v>Mecanismo de Diálogo</v>
      </c>
      <c r="J60" s="20" t="str">
        <f t="shared" si="8"/>
        <v>Multiactor</v>
      </c>
      <c r="K60" s="20">
        <f t="shared" si="9"/>
        <v>0</v>
      </c>
      <c r="L60" s="20" t="str">
        <f t="shared" si="10"/>
        <v>Distrital</v>
      </c>
      <c r="M60" s="20" t="str">
        <f t="shared" si="11"/>
        <v>Distrital</v>
      </c>
      <c r="N60" s="20" t="str">
        <f t="shared" si="12"/>
        <v>Distrital</v>
      </c>
      <c r="O60" s="20" t="str">
        <f t="shared" si="13"/>
        <v>SÍ</v>
      </c>
      <c r="P60" s="20" t="str">
        <f t="shared" si="14"/>
        <v>Fase II: Aspiraciones Comunes</v>
      </c>
      <c r="Q60" s="20">
        <f t="shared" si="15"/>
        <v>79</v>
      </c>
      <c r="R60" s="20">
        <f t="shared" si="16"/>
        <v>8</v>
      </c>
      <c r="S60" s="20" t="str">
        <f t="shared" si="17"/>
        <v>Plan Distrital de Desarrollo con Enfoque a la Población con Discapacidad.</v>
      </c>
      <c r="T60" s="20">
        <f t="shared" si="18"/>
        <v>1</v>
      </c>
      <c r="U60" s="20" t="str">
        <f t="shared" ca="1" si="19"/>
        <v>Realizada</v>
      </c>
      <c r="V60" s="20"/>
      <c r="W60" s="20"/>
      <c r="X60" s="20"/>
      <c r="Y60" s="20"/>
    </row>
    <row r="61" spans="1:25" ht="37.5">
      <c r="A61" s="20">
        <v>87</v>
      </c>
      <c r="B61" s="20" t="str">
        <f t="shared" si="0"/>
        <v>Dialogo Ciudadano para la Construcción del PDD - UPL Niza</v>
      </c>
      <c r="C61" s="21">
        <f t="shared" si="1"/>
        <v>45360</v>
      </c>
      <c r="D61" s="20" t="str">
        <f t="shared" si="2"/>
        <v>OPDC</v>
      </c>
      <c r="E61" s="20" t="str">
        <f t="shared" si="3"/>
        <v>NO</v>
      </c>
      <c r="F61" s="20" t="str">
        <f t="shared" si="4"/>
        <v>Plan Distrital de Desarrollo</v>
      </c>
      <c r="G61" s="20" t="str">
        <f t="shared" si="5"/>
        <v>Presencial</v>
      </c>
      <c r="H61" s="20" t="str">
        <f t="shared" si="6"/>
        <v>Identificar las propuestas ciudadanas para la formulación del Plan de Desarrollo Distrital.</v>
      </c>
      <c r="I61" s="20" t="str">
        <f t="shared" si="7"/>
        <v>Mecanismo de Diálogo</v>
      </c>
      <c r="J61" s="20" t="str">
        <f t="shared" si="8"/>
        <v>Multiactor</v>
      </c>
      <c r="K61" s="20">
        <f t="shared" si="9"/>
        <v>0</v>
      </c>
      <c r="L61" s="20" t="str">
        <f t="shared" si="10"/>
        <v>Suba</v>
      </c>
      <c r="M61" s="20" t="str">
        <f t="shared" si="11"/>
        <v>Norte</v>
      </c>
      <c r="N61" s="20" t="str">
        <f t="shared" si="12"/>
        <v>Niza</v>
      </c>
      <c r="O61" s="20" t="str">
        <f t="shared" si="13"/>
        <v>SÍ</v>
      </c>
      <c r="P61" s="20" t="str">
        <f t="shared" si="14"/>
        <v>Fase II: Aspiraciones Comunes</v>
      </c>
      <c r="Q61" s="20">
        <f t="shared" si="15"/>
        <v>57</v>
      </c>
      <c r="R61" s="20">
        <f t="shared" si="16"/>
        <v>14</v>
      </c>
      <c r="S61" s="20" t="str">
        <f t="shared" si="17"/>
        <v xml:space="preserve"> Obtetivos, programas y soluciones en el marco de la formulación del Plan Distrital de Desarrollo (PDD)</v>
      </c>
      <c r="T61" s="20">
        <f t="shared" si="18"/>
        <v>1</v>
      </c>
      <c r="U61" s="20" t="str">
        <f t="shared" ca="1" si="19"/>
        <v>Realizada</v>
      </c>
      <c r="V61" s="20"/>
      <c r="W61" s="20"/>
      <c r="X61" s="20"/>
      <c r="Y61" s="20"/>
    </row>
    <row r="62" spans="1:25" ht="37.5">
      <c r="A62" s="20">
        <v>88</v>
      </c>
      <c r="B62" s="20" t="str">
        <f t="shared" si="0"/>
        <v>Dialogo Ciudadano para la Construcción del PDD - UPL Tabora</v>
      </c>
      <c r="C62" s="21">
        <f t="shared" si="1"/>
        <v>45360</v>
      </c>
      <c r="D62" s="20" t="str">
        <f t="shared" si="2"/>
        <v>OPDC</v>
      </c>
      <c r="E62" s="20" t="str">
        <f t="shared" si="3"/>
        <v>NO</v>
      </c>
      <c r="F62" s="20" t="str">
        <f t="shared" si="4"/>
        <v>Plan Distrital de Desarrollo</v>
      </c>
      <c r="G62" s="20" t="str">
        <f t="shared" si="5"/>
        <v>Presencial</v>
      </c>
      <c r="H62" s="20" t="str">
        <f t="shared" si="6"/>
        <v>Identificar las propuestas ciudadanas para la formulación del Plan de Desarrollo Distrital.</v>
      </c>
      <c r="I62" s="20" t="str">
        <f t="shared" si="7"/>
        <v>Mecanismo de Diálogo</v>
      </c>
      <c r="J62" s="20" t="str">
        <f t="shared" si="8"/>
        <v>Multiactor</v>
      </c>
      <c r="K62" s="20">
        <f t="shared" si="9"/>
        <v>0</v>
      </c>
      <c r="L62" s="20" t="str">
        <f t="shared" si="10"/>
        <v>Engativá</v>
      </c>
      <c r="M62" s="20" t="str">
        <f t="shared" si="11"/>
        <v>Occidente</v>
      </c>
      <c r="N62" s="20" t="str">
        <f t="shared" si="12"/>
        <v>Tabora</v>
      </c>
      <c r="O62" s="20" t="str">
        <f t="shared" si="13"/>
        <v>SÍ</v>
      </c>
      <c r="P62" s="20" t="str">
        <f t="shared" si="14"/>
        <v>Fase II: Aspiraciones Comunes</v>
      </c>
      <c r="Q62" s="20">
        <f t="shared" si="15"/>
        <v>84</v>
      </c>
      <c r="R62" s="20">
        <f t="shared" si="16"/>
        <v>17</v>
      </c>
      <c r="S62" s="20" t="str">
        <f t="shared" si="17"/>
        <v>Objetivos, programas y soluciones del PDD.</v>
      </c>
      <c r="T62" s="20">
        <f t="shared" si="18"/>
        <v>1</v>
      </c>
      <c r="U62" s="20" t="str">
        <f t="shared" ca="1" si="19"/>
        <v>Realizada</v>
      </c>
      <c r="V62" s="20"/>
      <c r="W62" s="20"/>
      <c r="X62" s="20"/>
      <c r="Y62" s="20"/>
    </row>
    <row r="63" spans="1:25" ht="37.5">
      <c r="A63" s="20">
        <v>89</v>
      </c>
      <c r="B63" s="20" t="str">
        <f t="shared" si="0"/>
        <v>Jornada Pégate al Plan: Pedagogía ciudadana para el manejo e implementación de la herramienta chatico - Ciclovía - Parque de Lourdes</v>
      </c>
      <c r="C63" s="21">
        <f t="shared" si="1"/>
        <v>45361</v>
      </c>
      <c r="D63" s="20" t="str">
        <f t="shared" si="2"/>
        <v>OPDC</v>
      </c>
      <c r="E63" s="20" t="str">
        <f t="shared" si="3"/>
        <v>NO</v>
      </c>
      <c r="F63" s="20" t="str">
        <f t="shared" si="4"/>
        <v>Plan Distrital de Desarrollo</v>
      </c>
      <c r="G63" s="20" t="str">
        <f t="shared" si="5"/>
        <v>Presencial</v>
      </c>
      <c r="H63" s="20" t="str">
        <f t="shared" si="6"/>
        <v>Identificar las propuestas ciudadanas para la formulación del Plan de Desarrollo Distrital.</v>
      </c>
      <c r="I63" s="20" t="str">
        <f t="shared" si="7"/>
        <v>Mecanismo de Consulta Ciudadana</v>
      </c>
      <c r="J63" s="20" t="str">
        <f t="shared" si="8"/>
        <v>Multiactor</v>
      </c>
      <c r="K63" s="20">
        <f t="shared" si="9"/>
        <v>0</v>
      </c>
      <c r="L63" s="20" t="str">
        <f t="shared" si="10"/>
        <v>Chapinero</v>
      </c>
      <c r="M63" s="20" t="str">
        <f t="shared" si="11"/>
        <v>Centro Ampliado</v>
      </c>
      <c r="N63" s="20" t="str">
        <f t="shared" si="12"/>
        <v>Chapinero</v>
      </c>
      <c r="O63" s="20" t="str">
        <f t="shared" si="13"/>
        <v>SÍ</v>
      </c>
      <c r="P63" s="20" t="str">
        <f t="shared" si="14"/>
        <v>Fase II: Aspiraciones Comunes</v>
      </c>
      <c r="Q63" s="20">
        <f t="shared" si="15"/>
        <v>65</v>
      </c>
      <c r="R63" s="20">
        <f t="shared" si="16"/>
        <v>8</v>
      </c>
      <c r="S63" s="20" t="str">
        <f t="shared" si="17"/>
        <v>Objetivos, programas y soluciones del PDD.</v>
      </c>
      <c r="T63" s="20">
        <f t="shared" si="18"/>
        <v>1</v>
      </c>
      <c r="U63" s="20" t="str">
        <f t="shared" ca="1" si="19"/>
        <v>Realizada</v>
      </c>
      <c r="V63" s="20"/>
      <c r="W63" s="20"/>
      <c r="X63" s="20"/>
      <c r="Y63" s="20"/>
    </row>
    <row r="64" spans="1:25" ht="61.5">
      <c r="A64" s="20">
        <v>93</v>
      </c>
      <c r="B64" s="20" t="str">
        <f t="shared" si="0"/>
        <v>CLIP extraordinaria Rafael Uribe Uribe</v>
      </c>
      <c r="C64" s="21">
        <f t="shared" si="1"/>
        <v>45362</v>
      </c>
      <c r="D64" s="20" t="str">
        <f t="shared" si="2"/>
        <v>INSTANCIAS</v>
      </c>
      <c r="E64" s="20" t="str">
        <f t="shared" si="3"/>
        <v>NO</v>
      </c>
      <c r="F64" s="20" t="str">
        <f t="shared" si="4"/>
        <v>CLIP (Comisión Local Intersectorial de Participación)</v>
      </c>
      <c r="G64" s="20" t="str">
        <f t="shared" si="5"/>
        <v>Presencial</v>
      </c>
      <c r="H64" s="20" t="str">
        <f t="shared" si="6"/>
        <v>Acompañar la articulación de los esfuerzos institucionales de participación en la localidad de Rafael Uribe Uribe, Definir el cronograma de actividades de Pegate al Plan.</v>
      </c>
      <c r="I64" s="20" t="str">
        <f t="shared" si="7"/>
        <v>Gestión Institucional</v>
      </c>
      <c r="J64" s="20" t="str">
        <f t="shared" si="8"/>
        <v>Público</v>
      </c>
      <c r="K64" s="20" t="str">
        <f t="shared" si="9"/>
        <v>Servidores públicos (local)</v>
      </c>
      <c r="L64" s="20" t="str">
        <f t="shared" si="10"/>
        <v>Rafael Uribe Uribe</v>
      </c>
      <c r="M64" s="20" t="str">
        <f t="shared" si="11"/>
        <v>Centro Ampliado, Suroriente</v>
      </c>
      <c r="N64" s="20" t="str">
        <f t="shared" si="12"/>
        <v>Rafael Uribe, Restrepo, San Cristobal</v>
      </c>
      <c r="O64" s="20" t="str">
        <f t="shared" si="13"/>
        <v>NO</v>
      </c>
      <c r="P64" s="20" t="str">
        <f t="shared" si="14"/>
        <v>No aplica</v>
      </c>
      <c r="Q64" s="20">
        <f t="shared" si="15"/>
        <v>4</v>
      </c>
      <c r="R64" s="20">
        <f t="shared" si="16"/>
        <v>1</v>
      </c>
      <c r="S64" s="20" t="str">
        <f t="shared" si="17"/>
        <v>Programación talleres locales para ala formulación  del Plan de Desarollo.</v>
      </c>
      <c r="T64" s="20">
        <f t="shared" si="18"/>
        <v>1</v>
      </c>
      <c r="U64" s="20" t="str">
        <f t="shared" ca="1" si="19"/>
        <v>Realizada</v>
      </c>
      <c r="V64" s="20"/>
      <c r="W64" s="20"/>
      <c r="X64" s="20"/>
      <c r="Y64" s="20"/>
    </row>
    <row r="65" spans="1:25" ht="49.5">
      <c r="A65" s="20">
        <v>95</v>
      </c>
      <c r="B65" s="20" t="str">
        <f t="shared" si="0"/>
        <v>Socialización de PDD a la Mesa Distrital de Víctimas del Conflicto Armado</v>
      </c>
      <c r="C65" s="21">
        <f t="shared" si="1"/>
        <v>45362</v>
      </c>
      <c r="D65" s="20" t="str">
        <f t="shared" si="2"/>
        <v>OPDC</v>
      </c>
      <c r="E65" s="20" t="str">
        <f t="shared" si="3"/>
        <v>NO</v>
      </c>
      <c r="F65" s="20" t="str">
        <f t="shared" si="4"/>
        <v>Plan Distrital de Desarrollo</v>
      </c>
      <c r="G65" s="20" t="str">
        <f t="shared" si="5"/>
        <v>Presencial</v>
      </c>
      <c r="H65" s="20" t="str">
        <f t="shared" si="6"/>
        <v xml:space="preserve">Socializar Plan de Desarrollo Distrital y la estrategia de participación con la Mesa Distrital de Participación Efectiva para Víctimas del Conflicto. </v>
      </c>
      <c r="I65" s="20" t="str">
        <f t="shared" si="7"/>
        <v>Mecanismo de Comunicación para la Participación</v>
      </c>
      <c r="J65" s="20" t="str">
        <f t="shared" si="8"/>
        <v>Comunitario</v>
      </c>
      <c r="K65" s="20" t="str">
        <f t="shared" si="9"/>
        <v>Grupos focales</v>
      </c>
      <c r="L65" s="20" t="str">
        <f t="shared" si="10"/>
        <v>Distrital</v>
      </c>
      <c r="M65" s="20" t="str">
        <f t="shared" si="11"/>
        <v>Distrital</v>
      </c>
      <c r="N65" s="20" t="str">
        <f t="shared" si="12"/>
        <v>Distrital</v>
      </c>
      <c r="O65" s="20" t="str">
        <f t="shared" si="13"/>
        <v>SÍ</v>
      </c>
      <c r="P65" s="20" t="str">
        <f t="shared" si="14"/>
        <v>Fase II: Aspiraciones Comunes</v>
      </c>
      <c r="Q65" s="20">
        <f t="shared" si="15"/>
        <v>14</v>
      </c>
      <c r="R65" s="20">
        <f t="shared" si="16"/>
        <v>4</v>
      </c>
      <c r="S65" s="20" t="str">
        <f t="shared" si="17"/>
        <v xml:space="preserve">Socialización del PDD, estrategia de participación, uso de chatico, propuestas y recursos. </v>
      </c>
      <c r="T65" s="20">
        <f t="shared" si="18"/>
        <v>1</v>
      </c>
      <c r="U65" s="20" t="str">
        <f t="shared" ca="1" si="19"/>
        <v>Realizada</v>
      </c>
      <c r="V65" s="20"/>
      <c r="W65" s="20"/>
      <c r="X65" s="20"/>
      <c r="Y65" s="20"/>
    </row>
    <row r="66" spans="1:25" ht="61.5">
      <c r="A66" s="20">
        <v>97</v>
      </c>
      <c r="B66" s="20" t="str">
        <f t="shared" ref="B66:B129" si="20">IFERROR(VLOOKUP(A66,DATA_MATRIZ,2,FALSE),"")</f>
        <v>Dialogo Ciudadano para la Construcción del PDD - UPL Tunjuelito</v>
      </c>
      <c r="C66" s="21">
        <f t="shared" ref="C66:C129" si="21">IFERROR(VLOOKUP(A66,DATA_MATRIZ,3,FALSE),"")</f>
        <v>45362</v>
      </c>
      <c r="D66" s="20" t="str">
        <f t="shared" ref="D66:D129" si="22">IFERROR(VLOOKUP(A66,DATA_MATRIZ,5,FALSE),"")</f>
        <v>OPDC</v>
      </c>
      <c r="E66" s="20" t="str">
        <f t="shared" ref="E66:E129" si="23">IFERROR(VLOOKUP(A66,DATA_MATRIZ,9,FALSE),"")</f>
        <v>NO</v>
      </c>
      <c r="F66" s="20" t="str">
        <f t="shared" ref="F66:F129" si="24">IFERROR(VLOOKUP(A66,DATA_MATRIZ,10,FALSE),"")</f>
        <v>Plan Distrital de Desarrollo</v>
      </c>
      <c r="G66" s="20" t="str">
        <f t="shared" ref="G66:G129" si="25">IFERROR(VLOOKUP(A66,DATA_MATRIZ,11,FALSE),"")</f>
        <v>Presencial</v>
      </c>
      <c r="H66" s="20" t="str">
        <f t="shared" ref="H66:H129" si="26">IFERROR(VLOOKUP(A66,DATA_MATRIZ,12,FALSE),"")</f>
        <v>Identificar las propuestas ciudadanas para la formulación del Plan de Desarrollo Distrital.</v>
      </c>
      <c r="I66" s="20" t="str">
        <f t="shared" ref="I66:I129" si="27">IFERROR(VLOOKUP(A66,DATA_MATRIZ,13,FALSE),"")</f>
        <v>Mecanismo de Diálogo</v>
      </c>
      <c r="J66" s="20" t="str">
        <f t="shared" ref="J66:J129" si="28">IFERROR(VLOOKUP(A66,DATA_MATRIZ,41,FALSE),"")</f>
        <v>Multiactor</v>
      </c>
      <c r="K66" s="20">
        <f t="shared" ref="K66:K129" si="29">IFERROR(VLOOKUP(A66,DATA_MATRIZ,42,FALSE),"")</f>
        <v>0</v>
      </c>
      <c r="L66" s="20" t="str">
        <f t="shared" ref="L66:L129" si="30">IFERROR(VLOOKUP(A66,DATA_MATRIZ,46,FALSE),"")</f>
        <v>Tunjuelito</v>
      </c>
      <c r="M66" s="20" t="str">
        <f t="shared" ref="M66:M129" si="31">IFERROR(VLOOKUP(A66,DATA_MATRIZ,53,FALSE),"")</f>
        <v>Suroriente</v>
      </c>
      <c r="N66" s="20" t="str">
        <f t="shared" ref="N66:N129" si="32">IFERROR(VLOOKUP(A66,DATA_MATRIZ,60,FALSE),"")</f>
        <v>Tunjuelito</v>
      </c>
      <c r="O66" s="20" t="str">
        <f t="shared" ref="O66:O129" si="33">IFERROR(VLOOKUP(A66,DATA_MATRIZ,75,FALSE),"")</f>
        <v>SÍ</v>
      </c>
      <c r="P66" s="20" t="str">
        <f t="shared" ref="P66:P129" si="34">IFERROR(VLOOKUP(A66,DATA_MATRIZ,76,FALSE),"")</f>
        <v>Fase II: Aspiraciones Comunes</v>
      </c>
      <c r="Q66" s="20">
        <f t="shared" ref="Q66:Q129" si="35">IFERROR(VLOOKUP(A66,DATA_MATRIZ,78,FALSE),"")</f>
        <v>80</v>
      </c>
      <c r="R66" s="20">
        <f t="shared" ref="R66:R129" si="36">IFERROR(VLOOKUP(A66,DATA_MATRIZ,79,FALSE),"")</f>
        <v>13</v>
      </c>
      <c r="S66" s="20" t="str">
        <f t="shared" ref="S66:S129" si="37">IFERROR(VLOOKUP(A66,DATA_MATRIZ,85,FALSE),"")</f>
        <v>Obtetivos, programas y soluciones en el marco de la formulación del Plan Distrital de Desarrollo (PDD), trabajo y educación para el empleo, mantenimiento malla vial, Salud en territorio.</v>
      </c>
      <c r="T66" s="20">
        <f t="shared" si="18"/>
        <v>1</v>
      </c>
      <c r="U66" s="20" t="str">
        <f t="shared" ca="1" si="19"/>
        <v>Realizada</v>
      </c>
      <c r="V66" s="20"/>
      <c r="W66" s="20"/>
      <c r="X66" s="20"/>
      <c r="Y66" s="20"/>
    </row>
    <row r="67" spans="1:25" ht="49.5">
      <c r="A67" s="20">
        <v>98</v>
      </c>
      <c r="B67" s="20" t="str">
        <f t="shared" si="20"/>
        <v>Plenaria Permanente - CTPD</v>
      </c>
      <c r="C67" s="21">
        <f t="shared" si="21"/>
        <v>45362</v>
      </c>
      <c r="D67" s="20" t="str">
        <f t="shared" si="22"/>
        <v>INSTANCIAS</v>
      </c>
      <c r="E67" s="20" t="str">
        <f t="shared" si="23"/>
        <v>NO</v>
      </c>
      <c r="F67" s="20" t="str">
        <f t="shared" si="24"/>
        <v>CTPD (Consejo Territorial de Planeación Distrital)</v>
      </c>
      <c r="G67" s="20" t="str">
        <f t="shared" si="25"/>
        <v>Virtual</v>
      </c>
      <c r="H67" s="20" t="str">
        <f t="shared" si="26"/>
        <v>Acompañar la continuidad del orden del día aprobado: Conformación de la mesa Directiva y Reglamento Interno.</v>
      </c>
      <c r="I67" s="20" t="str">
        <f t="shared" si="27"/>
        <v>Mecanismo de Seguimiento y Evaluación</v>
      </c>
      <c r="J67" s="20" t="str">
        <f t="shared" si="28"/>
        <v>Comunitario</v>
      </c>
      <c r="K67" s="20" t="str">
        <f t="shared" si="29"/>
        <v>CTPD</v>
      </c>
      <c r="L67" s="20" t="str">
        <f t="shared" si="30"/>
        <v>Distrital</v>
      </c>
      <c r="M67" s="20" t="str">
        <f t="shared" si="31"/>
        <v>Distrital</v>
      </c>
      <c r="N67" s="20" t="str">
        <f t="shared" si="32"/>
        <v>Distrital</v>
      </c>
      <c r="O67" s="20" t="str">
        <f t="shared" si="33"/>
        <v>NO</v>
      </c>
      <c r="P67" s="20" t="str">
        <f t="shared" si="34"/>
        <v>No aplica</v>
      </c>
      <c r="Q67" s="20">
        <f t="shared" si="35"/>
        <v>88</v>
      </c>
      <c r="R67" s="20">
        <f t="shared" si="36"/>
        <v>4</v>
      </c>
      <c r="S67" s="20" t="str">
        <f t="shared" si="37"/>
        <v>Conformación de la Mesa Directiva del CTPD, Reglamento Interno</v>
      </c>
      <c r="T67" s="20">
        <f t="shared" si="18"/>
        <v>1</v>
      </c>
      <c r="U67" s="20" t="str">
        <f t="shared" ca="1" si="19"/>
        <v>Realizada</v>
      </c>
      <c r="V67" s="20"/>
      <c r="W67" s="20"/>
      <c r="X67" s="20"/>
      <c r="Y67" s="20"/>
    </row>
    <row r="68" spans="1:25" ht="49.5">
      <c r="A68" s="20">
        <v>100</v>
      </c>
      <c r="B68" s="20" t="str">
        <f t="shared" si="20"/>
        <v>CLIP Engativá</v>
      </c>
      <c r="C68" s="21">
        <f t="shared" si="21"/>
        <v>45363</v>
      </c>
      <c r="D68" s="20" t="str">
        <f t="shared" si="22"/>
        <v>INSTANCIAS</v>
      </c>
      <c r="E68" s="20" t="str">
        <f t="shared" si="23"/>
        <v>NO</v>
      </c>
      <c r="F68" s="20" t="str">
        <f t="shared" si="24"/>
        <v>CLIP (Comisión Local Intersectorial de Participación)</v>
      </c>
      <c r="G68" s="20" t="str">
        <f t="shared" si="25"/>
        <v>Presencial</v>
      </c>
      <c r="H68" s="20" t="str">
        <f t="shared" si="26"/>
        <v>Acompañar la articulación de los esfuerzos institucionales de participación en la localidad de Engativá.</v>
      </c>
      <c r="I68" s="20" t="str">
        <f t="shared" si="27"/>
        <v>Gestión Institucional</v>
      </c>
      <c r="J68" s="20" t="str">
        <f t="shared" si="28"/>
        <v>Público</v>
      </c>
      <c r="K68" s="20" t="str">
        <f t="shared" si="29"/>
        <v>Servidores públicos (local)</v>
      </c>
      <c r="L68" s="20" t="str">
        <f t="shared" si="30"/>
        <v>Engativá</v>
      </c>
      <c r="M68" s="20" t="str">
        <f t="shared" si="31"/>
        <v>Occidente</v>
      </c>
      <c r="N68" s="20" t="str">
        <f t="shared" si="32"/>
        <v>Engativá, Tabora, Salitre</v>
      </c>
      <c r="O68" s="20" t="str">
        <f t="shared" si="33"/>
        <v>NO</v>
      </c>
      <c r="P68" s="20" t="str">
        <f t="shared" si="34"/>
        <v>No aplica</v>
      </c>
      <c r="Q68" s="20">
        <f t="shared" si="35"/>
        <v>20</v>
      </c>
      <c r="R68" s="20">
        <f t="shared" si="36"/>
        <v>1</v>
      </c>
      <c r="S68" s="20" t="str">
        <f t="shared" si="37"/>
        <v>Aprobación actas sesiones CLIP febrero, Presentación CLIP naturaleza y funciones (Dec. 606-202) ,capacitación agentes educativos ICBF, Manejo de violencia intrafamiliar</v>
      </c>
      <c r="T68" s="20">
        <f t="shared" si="18"/>
        <v>1</v>
      </c>
      <c r="U68" s="20" t="str">
        <f t="shared" ca="1" si="19"/>
        <v>Realizada</v>
      </c>
      <c r="V68" s="20"/>
      <c r="W68" s="20"/>
      <c r="X68" s="20"/>
      <c r="Y68" s="20"/>
    </row>
    <row r="69" spans="1:25" ht="37.5">
      <c r="A69" s="20">
        <v>101</v>
      </c>
      <c r="B69" s="20" t="str">
        <f t="shared" si="20"/>
        <v>Dialogo Ciudadano para la Construcción del PDD - UPL Patio Bonito</v>
      </c>
      <c r="C69" s="21">
        <f t="shared" si="21"/>
        <v>45363</v>
      </c>
      <c r="D69" s="20" t="str">
        <f t="shared" si="22"/>
        <v>OPDC</v>
      </c>
      <c r="E69" s="20" t="str">
        <f t="shared" si="23"/>
        <v>NO</v>
      </c>
      <c r="F69" s="20" t="str">
        <f t="shared" si="24"/>
        <v>Plan Distrital de Desarrollo</v>
      </c>
      <c r="G69" s="20" t="str">
        <f t="shared" si="25"/>
        <v>Presencial</v>
      </c>
      <c r="H69" s="20" t="str">
        <f t="shared" si="26"/>
        <v>Identificar las propuestas ciudadanas para la formulación del Plan de Desarrollo Distrital.</v>
      </c>
      <c r="I69" s="20" t="str">
        <f t="shared" si="27"/>
        <v>Mecanismo de Diálogo</v>
      </c>
      <c r="J69" s="20" t="str">
        <f t="shared" si="28"/>
        <v>Multiactor</v>
      </c>
      <c r="K69" s="20">
        <f t="shared" si="29"/>
        <v>0</v>
      </c>
      <c r="L69" s="20" t="str">
        <f t="shared" si="30"/>
        <v>Kennedy</v>
      </c>
      <c r="M69" s="20" t="str">
        <f t="shared" si="31"/>
        <v>Suroccidente</v>
      </c>
      <c r="N69" s="20" t="str">
        <f t="shared" si="32"/>
        <v>Patio Bonito</v>
      </c>
      <c r="O69" s="20" t="str">
        <f t="shared" si="33"/>
        <v>SÍ</v>
      </c>
      <c r="P69" s="20" t="str">
        <f t="shared" si="34"/>
        <v>Fase II: Aspiraciones Comunes</v>
      </c>
      <c r="Q69" s="20">
        <f t="shared" si="35"/>
        <v>57</v>
      </c>
      <c r="R69" s="20">
        <f t="shared" si="36"/>
        <v>19</v>
      </c>
      <c r="S69" s="20" t="str">
        <f t="shared" si="37"/>
        <v>Obtetivos, programas y soluciones en el marco de la formulación del Plan Distrital de Desarrollo (PDD)</v>
      </c>
      <c r="T69" s="20">
        <f t="shared" si="18"/>
        <v>1</v>
      </c>
      <c r="U69" s="20" t="str">
        <f t="shared" ca="1" si="19"/>
        <v>Realizada</v>
      </c>
      <c r="V69" s="20"/>
      <c r="W69" s="20"/>
      <c r="X69" s="20"/>
      <c r="Y69" s="20"/>
    </row>
    <row r="70" spans="1:25" ht="49.5">
      <c r="A70" s="20">
        <v>102</v>
      </c>
      <c r="B70" s="20" t="str">
        <f t="shared" si="20"/>
        <v>Presentación metodología para los talleres de diálogos ciudadanos PDD - JAL Sumapaz</v>
      </c>
      <c r="C70" s="21">
        <f t="shared" si="21"/>
        <v>45363</v>
      </c>
      <c r="D70" s="20" t="str">
        <f t="shared" si="22"/>
        <v>OPDC</v>
      </c>
      <c r="E70" s="20" t="str">
        <f t="shared" si="23"/>
        <v>NO</v>
      </c>
      <c r="F70" s="20" t="str">
        <f t="shared" si="24"/>
        <v>Plan Distrital de Desarrollo</v>
      </c>
      <c r="G70" s="20" t="str">
        <f t="shared" si="25"/>
        <v>Virtual</v>
      </c>
      <c r="H70" s="20" t="str">
        <f t="shared" si="26"/>
        <v>Realizar articulación de actores para definir los espacios en la Localidad de Sumapaz.</v>
      </c>
      <c r="I70" s="20" t="str">
        <f t="shared" si="27"/>
        <v>Mecanismo de Comunicación para la Participación</v>
      </c>
      <c r="J70" s="20" t="str">
        <f t="shared" si="28"/>
        <v>Público</v>
      </c>
      <c r="K70" s="20" t="str">
        <f t="shared" si="29"/>
        <v>JAL</v>
      </c>
      <c r="L70" s="20" t="str">
        <f t="shared" si="30"/>
        <v>Sumapaz</v>
      </c>
      <c r="M70" s="20" t="str">
        <f t="shared" si="31"/>
        <v>Ruralidad</v>
      </c>
      <c r="N70" s="20" t="str">
        <f t="shared" si="32"/>
        <v>Sumapaz</v>
      </c>
      <c r="O70" s="20" t="str">
        <f t="shared" si="33"/>
        <v>SÍ</v>
      </c>
      <c r="P70" s="20" t="str">
        <f t="shared" si="34"/>
        <v>Gestión interinstitucional</v>
      </c>
      <c r="Q70" s="20">
        <f t="shared" si="35"/>
        <v>7</v>
      </c>
      <c r="R70" s="20">
        <f t="shared" si="36"/>
        <v>2</v>
      </c>
      <c r="S70" s="20" t="str">
        <f t="shared" si="37"/>
        <v xml:space="preserve">Plan Distrital de Desarrollo </v>
      </c>
      <c r="T70" s="20">
        <f t="shared" si="18"/>
        <v>1</v>
      </c>
      <c r="U70" s="20" t="str">
        <f t="shared" ca="1" si="19"/>
        <v>Realizada</v>
      </c>
      <c r="V70" s="20"/>
      <c r="W70" s="20"/>
      <c r="X70" s="20"/>
      <c r="Y70" s="20"/>
    </row>
    <row r="71" spans="1:25" ht="49.5">
      <c r="A71" s="20">
        <v>103</v>
      </c>
      <c r="B71" s="20" t="str">
        <f t="shared" si="20"/>
        <v>Plenaria Permanente - CTPD</v>
      </c>
      <c r="C71" s="21">
        <f t="shared" si="21"/>
        <v>45363</v>
      </c>
      <c r="D71" s="20" t="str">
        <f t="shared" si="22"/>
        <v>INSTANCIAS</v>
      </c>
      <c r="E71" s="20" t="str">
        <f t="shared" si="23"/>
        <v>NO</v>
      </c>
      <c r="F71" s="20" t="str">
        <f t="shared" si="24"/>
        <v>CTPD (Consejo Territorial de Planeación Distrital)</v>
      </c>
      <c r="G71" s="20" t="str">
        <f t="shared" si="25"/>
        <v>Virtual</v>
      </c>
      <c r="H71" s="20" t="str">
        <f t="shared" si="26"/>
        <v>Acompañar la definición de la metodología de evaluación del PDD.</v>
      </c>
      <c r="I71" s="20" t="str">
        <f t="shared" si="27"/>
        <v>Mecanismo de Seguimiento y Evaluación</v>
      </c>
      <c r="J71" s="20" t="str">
        <f t="shared" si="28"/>
        <v>Comunitario</v>
      </c>
      <c r="K71" s="20" t="str">
        <f t="shared" si="29"/>
        <v>CTPD</v>
      </c>
      <c r="L71" s="20" t="str">
        <f t="shared" si="30"/>
        <v>Distrital</v>
      </c>
      <c r="M71" s="20" t="str">
        <f t="shared" si="31"/>
        <v>Distrital</v>
      </c>
      <c r="N71" s="20" t="str">
        <f t="shared" si="32"/>
        <v>Distrital</v>
      </c>
      <c r="O71" s="20" t="str">
        <f t="shared" si="33"/>
        <v>NO</v>
      </c>
      <c r="P71" s="20" t="str">
        <f t="shared" si="34"/>
        <v>No aplica</v>
      </c>
      <c r="Q71" s="20">
        <f t="shared" si="35"/>
        <v>86</v>
      </c>
      <c r="R71" s="20">
        <f t="shared" si="36"/>
        <v>1</v>
      </c>
      <c r="S71" s="20" t="str">
        <f t="shared" si="37"/>
        <v>Metodología para elaborar el concepto del Plan Dsitrital de Desarrollo.</v>
      </c>
      <c r="T71" s="20">
        <f t="shared" si="18"/>
        <v>1</v>
      </c>
      <c r="U71" s="20" t="str">
        <f t="shared" ca="1" si="19"/>
        <v>Realizada</v>
      </c>
      <c r="V71" s="20"/>
      <c r="W71" s="20"/>
      <c r="X71" s="20"/>
      <c r="Y71" s="20"/>
    </row>
    <row r="72" spans="1:25" ht="37.5">
      <c r="A72" s="20">
        <v>104</v>
      </c>
      <c r="B72" s="20" t="str">
        <f t="shared" si="20"/>
        <v>Comité Coordinador Intersectorial de Participación PDD</v>
      </c>
      <c r="C72" s="21">
        <f t="shared" si="21"/>
        <v>45364</v>
      </c>
      <c r="D72" s="20" t="str">
        <f t="shared" si="22"/>
        <v>OPDC</v>
      </c>
      <c r="E72" s="20" t="str">
        <f t="shared" si="23"/>
        <v>NO</v>
      </c>
      <c r="F72" s="20" t="str">
        <f t="shared" si="24"/>
        <v>Plan Distrital de Desarrollo</v>
      </c>
      <c r="G72" s="20" t="str">
        <f t="shared" si="25"/>
        <v>Virtual</v>
      </c>
      <c r="H72" s="20" t="str">
        <f t="shared" si="26"/>
        <v>Compartir los avances entre las entidades en la aplicación de la segunda fase del PDD</v>
      </c>
      <c r="I72" s="20" t="str">
        <f t="shared" si="27"/>
        <v>Mecanismo de Diálogo</v>
      </c>
      <c r="J72" s="20" t="str">
        <f t="shared" si="28"/>
        <v>Público</v>
      </c>
      <c r="K72" s="20" t="str">
        <f t="shared" si="29"/>
        <v>Servidores públicos (Distrital)</v>
      </c>
      <c r="L72" s="20" t="str">
        <f t="shared" si="30"/>
        <v>Distrital</v>
      </c>
      <c r="M72" s="20" t="str">
        <f t="shared" si="31"/>
        <v>Distrital</v>
      </c>
      <c r="N72" s="20" t="str">
        <f t="shared" si="32"/>
        <v>Distrital</v>
      </c>
      <c r="O72" s="20" t="str">
        <f t="shared" si="33"/>
        <v>SÍ</v>
      </c>
      <c r="P72" s="20" t="str">
        <f t="shared" si="34"/>
        <v>Gestión interinstitucional</v>
      </c>
      <c r="Q72" s="20">
        <f t="shared" si="35"/>
        <v>11</v>
      </c>
      <c r="R72" s="20">
        <f t="shared" si="36"/>
        <v>15</v>
      </c>
      <c r="S72" s="20" t="str">
        <f t="shared" si="37"/>
        <v>Encuentro con Padrinasgos, avance en el desarrollo de metodologias, cronogramas</v>
      </c>
      <c r="T72" s="20">
        <f t="shared" si="18"/>
        <v>1</v>
      </c>
      <c r="U72" s="20" t="str">
        <f t="shared" ca="1" si="19"/>
        <v>Realizada</v>
      </c>
      <c r="V72" s="20"/>
      <c r="W72" s="20"/>
      <c r="X72" s="20"/>
      <c r="Y72" s="20"/>
    </row>
    <row r="73" spans="1:25" ht="49.5">
      <c r="A73" s="20">
        <v>105</v>
      </c>
      <c r="B73" s="20" t="str">
        <f t="shared" si="20"/>
        <v>CLIP Antonio Nariño</v>
      </c>
      <c r="C73" s="21">
        <f t="shared" si="21"/>
        <v>45364</v>
      </c>
      <c r="D73" s="20" t="str">
        <f t="shared" si="22"/>
        <v>INSTANCIAS</v>
      </c>
      <c r="E73" s="20" t="str">
        <f t="shared" si="23"/>
        <v>NO</v>
      </c>
      <c r="F73" s="20" t="str">
        <f t="shared" si="24"/>
        <v>CLIP (Comisión Local Intersectorial de Participación)</v>
      </c>
      <c r="G73" s="20" t="str">
        <f t="shared" si="25"/>
        <v>Presencial</v>
      </c>
      <c r="H73" s="20" t="str">
        <f t="shared" si="26"/>
        <v>Acompañar la articulación de los esfuerzos institucionales de participación en la localidad de Antonio Nariño.</v>
      </c>
      <c r="I73" s="20" t="str">
        <f t="shared" si="27"/>
        <v>Gestión Institucional</v>
      </c>
      <c r="J73" s="20" t="str">
        <f t="shared" si="28"/>
        <v>Público</v>
      </c>
      <c r="K73" s="20" t="str">
        <f t="shared" si="29"/>
        <v>Servidores públicos (local)</v>
      </c>
      <c r="L73" s="20" t="str">
        <f t="shared" si="30"/>
        <v>Antonio Nariño</v>
      </c>
      <c r="M73" s="20" t="str">
        <f t="shared" si="31"/>
        <v>Centro Ampliado</v>
      </c>
      <c r="N73" s="20" t="str">
        <f t="shared" si="32"/>
        <v>Restrepo</v>
      </c>
      <c r="O73" s="20" t="str">
        <f t="shared" si="33"/>
        <v>NO</v>
      </c>
      <c r="P73" s="20" t="str">
        <f t="shared" si="34"/>
        <v>No aplica</v>
      </c>
      <c r="Q73" s="20">
        <f t="shared" si="35"/>
        <v>18</v>
      </c>
      <c r="R73" s="20">
        <f t="shared" si="36"/>
        <v>1</v>
      </c>
      <c r="S73" s="20" t="str">
        <f t="shared" si="37"/>
        <v>Eventos de participación mes Abril</v>
      </c>
      <c r="T73" s="20">
        <f t="shared" si="18"/>
        <v>1</v>
      </c>
      <c r="U73" s="20" t="str">
        <f t="shared" ca="1" si="19"/>
        <v>Realizada</v>
      </c>
      <c r="V73" s="20"/>
      <c r="W73" s="20"/>
      <c r="X73" s="20"/>
      <c r="Y73" s="20"/>
    </row>
    <row r="74" spans="1:25" ht="49.5">
      <c r="A74" s="20">
        <v>106</v>
      </c>
      <c r="B74" s="20" t="str">
        <f t="shared" si="20"/>
        <v>CLIP Teusaquillo</v>
      </c>
      <c r="C74" s="21">
        <f t="shared" si="21"/>
        <v>45364</v>
      </c>
      <c r="D74" s="20" t="str">
        <f t="shared" si="22"/>
        <v>INSTANCIAS</v>
      </c>
      <c r="E74" s="20" t="str">
        <f t="shared" si="23"/>
        <v>NO</v>
      </c>
      <c r="F74" s="20" t="str">
        <f t="shared" si="24"/>
        <v>CLIP (Comisión Local Intersectorial de Participación)</v>
      </c>
      <c r="G74" s="20" t="str">
        <f t="shared" si="25"/>
        <v>Presencial</v>
      </c>
      <c r="H74" s="20" t="str">
        <f t="shared" si="26"/>
        <v>Acompañar la articulación de los esfuerzos institucionales de participación en la localidad de Teusaquillo.</v>
      </c>
      <c r="I74" s="20" t="str">
        <f t="shared" si="27"/>
        <v>Gestión Institucional</v>
      </c>
      <c r="J74" s="20" t="str">
        <f t="shared" si="28"/>
        <v>Público</v>
      </c>
      <c r="K74" s="20" t="str">
        <f t="shared" si="29"/>
        <v>Servidores públicos (local)</v>
      </c>
      <c r="L74" s="20" t="str">
        <f t="shared" si="30"/>
        <v>Teusaquillo</v>
      </c>
      <c r="M74" s="20" t="str">
        <f t="shared" si="31"/>
        <v>Centro Ampliado</v>
      </c>
      <c r="N74" s="20" t="str">
        <f t="shared" si="32"/>
        <v>Teusaquillo</v>
      </c>
      <c r="O74" s="20" t="str">
        <f t="shared" si="33"/>
        <v>NO</v>
      </c>
      <c r="P74" s="20" t="str">
        <f t="shared" si="34"/>
        <v>No aplica</v>
      </c>
      <c r="Q74" s="20">
        <f t="shared" si="35"/>
        <v>24</v>
      </c>
      <c r="R74" s="20">
        <f t="shared" si="36"/>
        <v>1</v>
      </c>
      <c r="S74" s="20" t="str">
        <f t="shared" si="37"/>
        <v>Plan de acción 2024 CLIP, presentación empresa Metro , articulación  CPL Teusaquillo</v>
      </c>
      <c r="T74" s="20">
        <f t="shared" si="18"/>
        <v>1</v>
      </c>
      <c r="U74" s="20" t="str">
        <f t="shared" ca="1" si="19"/>
        <v>Realizada</v>
      </c>
      <c r="V74" s="20"/>
      <c r="W74" s="20"/>
      <c r="X74" s="20"/>
      <c r="Y74" s="20"/>
    </row>
    <row r="75" spans="1:25" ht="61.5">
      <c r="A75" s="20">
        <v>107</v>
      </c>
      <c r="B75" s="20" t="str">
        <f t="shared" si="20"/>
        <v>CLIP Usme</v>
      </c>
      <c r="C75" s="21">
        <f t="shared" si="21"/>
        <v>45364</v>
      </c>
      <c r="D75" s="20" t="str">
        <f t="shared" si="22"/>
        <v>INSTANCIAS</v>
      </c>
      <c r="E75" s="20" t="str">
        <f t="shared" si="23"/>
        <v>NO</v>
      </c>
      <c r="F75" s="20" t="str">
        <f t="shared" si="24"/>
        <v>CLIP (Comisión Local Intersectorial de Participación)</v>
      </c>
      <c r="G75" s="20" t="str">
        <f t="shared" si="25"/>
        <v>Presencial</v>
      </c>
      <c r="H75" s="20" t="str">
        <f t="shared" si="26"/>
        <v>Acompañar la articulación de los esfuerzos institucionales de participación en la localidad de Usme.</v>
      </c>
      <c r="I75" s="20" t="str">
        <f t="shared" si="27"/>
        <v>Gestión Institucional</v>
      </c>
      <c r="J75" s="20" t="str">
        <f t="shared" si="28"/>
        <v>Público</v>
      </c>
      <c r="K75" s="20" t="str">
        <f t="shared" si="29"/>
        <v>Servidores públicos (local)</v>
      </c>
      <c r="L75" s="20" t="str">
        <f t="shared" si="30"/>
        <v>Usme</v>
      </c>
      <c r="M75" s="20" t="str">
        <f t="shared" si="31"/>
        <v>Suroriente, Ruralidad</v>
      </c>
      <c r="N75" s="20" t="str">
        <f t="shared" si="32"/>
        <v>Usme Entrenubes, Rafael Uribe, Cuenca del Tunjuelo, Cerros Orientales</v>
      </c>
      <c r="O75" s="20" t="str">
        <f t="shared" si="33"/>
        <v>NO</v>
      </c>
      <c r="P75" s="20" t="str">
        <f t="shared" si="34"/>
        <v>No aplica</v>
      </c>
      <c r="Q75" s="20">
        <f t="shared" si="35"/>
        <v>17</v>
      </c>
      <c r="R75" s="20">
        <f t="shared" si="36"/>
        <v>1</v>
      </c>
      <c r="S75" s="20" t="str">
        <f t="shared" si="37"/>
        <v xml:space="preserve">Encuentros ciudadanos por parte del CPl , Reglamento interno de la instancia de participación CLIP, (funciones y roles) </v>
      </c>
      <c r="T75" s="20">
        <f t="shared" si="18"/>
        <v>1</v>
      </c>
      <c r="U75" s="20" t="str">
        <f t="shared" ca="1" si="19"/>
        <v>Realizada</v>
      </c>
      <c r="V75" s="20"/>
      <c r="W75" s="20"/>
      <c r="X75" s="20"/>
      <c r="Y75" s="20"/>
    </row>
    <row r="76" spans="1:25" ht="37.5">
      <c r="A76" s="20">
        <v>108</v>
      </c>
      <c r="B76" s="20" t="str">
        <f t="shared" si="20"/>
        <v>Quinto foro virtual con Servidores Públicos para la formulación del PDD - DASCD/SDP</v>
      </c>
      <c r="C76" s="21">
        <f t="shared" si="21"/>
        <v>45364</v>
      </c>
      <c r="D76" s="20" t="str">
        <f t="shared" si="22"/>
        <v>OPDC</v>
      </c>
      <c r="E76" s="20" t="str">
        <f t="shared" si="23"/>
        <v>NO</v>
      </c>
      <c r="F76" s="20" t="str">
        <f t="shared" si="24"/>
        <v>Plan Distrital de Desarrollo</v>
      </c>
      <c r="G76" s="20" t="str">
        <f t="shared" si="25"/>
        <v>Virtual</v>
      </c>
      <c r="H76" s="20" t="str">
        <f t="shared" si="26"/>
        <v>Socializar las generalidades de la formulación del PDD y fomentar la participación de los servidores públicos.</v>
      </c>
      <c r="I76" s="20" t="str">
        <f t="shared" si="27"/>
        <v>Gestión Institucional</v>
      </c>
      <c r="J76" s="20" t="str">
        <f t="shared" si="28"/>
        <v>Público</v>
      </c>
      <c r="K76" s="20" t="str">
        <f t="shared" si="29"/>
        <v>Servidores públicos (Distrital)</v>
      </c>
      <c r="L76" s="20" t="str">
        <f t="shared" si="30"/>
        <v>Distrital</v>
      </c>
      <c r="M76" s="20" t="str">
        <f t="shared" si="31"/>
        <v>Distrital</v>
      </c>
      <c r="N76" s="20" t="str">
        <f t="shared" si="32"/>
        <v>Distrital</v>
      </c>
      <c r="O76" s="20" t="str">
        <f t="shared" si="33"/>
        <v>SÍ</v>
      </c>
      <c r="P76" s="20" t="str">
        <f t="shared" si="34"/>
        <v>Gestión interinstitucional</v>
      </c>
      <c r="Q76" s="20">
        <f t="shared" si="35"/>
        <v>47</v>
      </c>
      <c r="R76" s="20">
        <f t="shared" si="36"/>
        <v>1</v>
      </c>
      <c r="S76" s="20" t="str">
        <f t="shared" si="37"/>
        <v>Generalidades de la formulación del PDD,  participación de los servidores públicos.</v>
      </c>
      <c r="T76" s="20">
        <f t="shared" si="18"/>
        <v>1</v>
      </c>
      <c r="U76" s="20" t="str">
        <f t="shared" ca="1" si="19"/>
        <v>Realizada</v>
      </c>
      <c r="V76" s="20"/>
      <c r="W76" s="20"/>
      <c r="X76" s="20"/>
      <c r="Y76" s="20"/>
    </row>
    <row r="77" spans="1:25" ht="61.5">
      <c r="A77" s="20">
        <v>109</v>
      </c>
      <c r="B77" s="20" t="str">
        <f t="shared" si="20"/>
        <v>Gestión: Concertación con la Consultiva negra - afrocolombiana de la metodología de participación del PDD</v>
      </c>
      <c r="C77" s="21">
        <f t="shared" si="21"/>
        <v>45364</v>
      </c>
      <c r="D77" s="20" t="str">
        <f t="shared" si="22"/>
        <v>OPDC</v>
      </c>
      <c r="E77" s="20" t="str">
        <f t="shared" si="23"/>
        <v>NO</v>
      </c>
      <c r="F77" s="20" t="str">
        <f t="shared" si="24"/>
        <v>Plan Distrital de Desarrollo</v>
      </c>
      <c r="G77" s="20" t="str">
        <f t="shared" si="25"/>
        <v>Presencial</v>
      </c>
      <c r="H77" s="20" t="str">
        <f t="shared" si="26"/>
        <v>Concertar la metodología de recolección de aportes para la Fase II de la estrategia de participación del PDD con la consultiva de la comunidad negra-afrocolombiana.</v>
      </c>
      <c r="I77" s="20" t="str">
        <f t="shared" si="27"/>
        <v>Gestión Institucional</v>
      </c>
      <c r="J77" s="20" t="str">
        <f t="shared" si="28"/>
        <v>Multiactor</v>
      </c>
      <c r="K77" s="20">
        <f t="shared" si="29"/>
        <v>0</v>
      </c>
      <c r="L77" s="20" t="str">
        <f t="shared" si="30"/>
        <v>Distrital</v>
      </c>
      <c r="M77" s="20" t="str">
        <f t="shared" si="31"/>
        <v>Distrital</v>
      </c>
      <c r="N77" s="20" t="str">
        <f t="shared" si="32"/>
        <v>Distrital</v>
      </c>
      <c r="O77" s="20" t="str">
        <f t="shared" si="33"/>
        <v>SÍ</v>
      </c>
      <c r="P77" s="20" t="str">
        <f t="shared" si="34"/>
        <v>Gestión interinstitucional</v>
      </c>
      <c r="Q77" s="20">
        <f t="shared" si="35"/>
        <v>14</v>
      </c>
      <c r="R77" s="20">
        <f t="shared" si="36"/>
        <v>3</v>
      </c>
      <c r="S77" s="20" t="str">
        <f t="shared" si="37"/>
        <v>Socialización del PDD,Definición de la metodología a desarrollar para la recolección de aportes de la comunidad Negra-afrocolombiana en la formulación del PDD</v>
      </c>
      <c r="T77" s="20">
        <f t="shared" si="18"/>
        <v>1</v>
      </c>
      <c r="U77" s="20" t="str">
        <f t="shared" ca="1" si="19"/>
        <v>Realizada</v>
      </c>
      <c r="V77" s="20"/>
      <c r="W77" s="20"/>
      <c r="X77" s="20"/>
      <c r="Y77" s="20"/>
    </row>
    <row r="78" spans="1:25" ht="37.5">
      <c r="A78" s="20">
        <v>111</v>
      </c>
      <c r="B78" s="20" t="str">
        <f t="shared" si="20"/>
        <v>Dialogo Ciudadano para la Construcción del PDD - UPL Barrios Unidos</v>
      </c>
      <c r="C78" s="21">
        <f t="shared" si="21"/>
        <v>45364</v>
      </c>
      <c r="D78" s="20" t="str">
        <f t="shared" si="22"/>
        <v>OPDC</v>
      </c>
      <c r="E78" s="20" t="str">
        <f t="shared" si="23"/>
        <v>NO</v>
      </c>
      <c r="F78" s="20" t="str">
        <f t="shared" si="24"/>
        <v>Plan Distrital de Desarrollo</v>
      </c>
      <c r="G78" s="20" t="str">
        <f t="shared" si="25"/>
        <v>Presencial</v>
      </c>
      <c r="H78" s="20" t="str">
        <f t="shared" si="26"/>
        <v>Identificar las propuestas ciudadanas para la formulación del Plan de Desarrollo Distrital.</v>
      </c>
      <c r="I78" s="20" t="str">
        <f t="shared" si="27"/>
        <v>Mecanismo de Diálogo</v>
      </c>
      <c r="J78" s="20" t="str">
        <f t="shared" si="28"/>
        <v>Multiactor</v>
      </c>
      <c r="K78" s="20">
        <f t="shared" si="29"/>
        <v>0</v>
      </c>
      <c r="L78" s="20" t="str">
        <f t="shared" si="30"/>
        <v>Barrios Unidos</v>
      </c>
      <c r="M78" s="20" t="str">
        <f t="shared" si="31"/>
        <v>Centro Ampliado</v>
      </c>
      <c r="N78" s="20" t="str">
        <f t="shared" si="32"/>
        <v>Barrios Unidos</v>
      </c>
      <c r="O78" s="20" t="str">
        <f t="shared" si="33"/>
        <v>SÍ</v>
      </c>
      <c r="P78" s="20" t="str">
        <f t="shared" si="34"/>
        <v>Fase II: Aspiraciones Comunes</v>
      </c>
      <c r="Q78" s="20">
        <f t="shared" si="35"/>
        <v>69</v>
      </c>
      <c r="R78" s="20">
        <f t="shared" si="36"/>
        <v>17</v>
      </c>
      <c r="S78" s="20" t="str">
        <f t="shared" si="37"/>
        <v xml:space="preserve">Obtetivos, programas y soluciones en el marco de la formulación del Plan Distrital de Desarrollo </v>
      </c>
      <c r="T78" s="20">
        <f t="shared" si="18"/>
        <v>1</v>
      </c>
      <c r="U78" s="20" t="str">
        <f t="shared" ca="1" si="19"/>
        <v>Realizada</v>
      </c>
      <c r="V78" s="20"/>
      <c r="W78" s="20"/>
      <c r="X78" s="20"/>
      <c r="Y78" s="20"/>
    </row>
    <row r="79" spans="1:25" ht="49.5">
      <c r="A79" s="20">
        <v>112</v>
      </c>
      <c r="B79" s="20" t="str">
        <f t="shared" si="20"/>
        <v>Comisión Poblacional</v>
      </c>
      <c r="C79" s="21">
        <f t="shared" si="21"/>
        <v>45364</v>
      </c>
      <c r="D79" s="20" t="str">
        <f t="shared" si="22"/>
        <v>INSTANCIAS</v>
      </c>
      <c r="E79" s="20" t="str">
        <f t="shared" si="23"/>
        <v>NO</v>
      </c>
      <c r="F79" s="20" t="str">
        <f t="shared" si="24"/>
        <v>CTPD (Consejo Territorial de Planeación Distrital)</v>
      </c>
      <c r="G79" s="20" t="str">
        <f t="shared" si="25"/>
        <v>Virtual</v>
      </c>
      <c r="H79" s="20" t="str">
        <f t="shared" si="26"/>
        <v>Reunión consolidación documento para el concepto técnico del PDD</v>
      </c>
      <c r="I79" s="20" t="str">
        <f t="shared" si="27"/>
        <v>Mecanismo de Seguimiento y Evaluación</v>
      </c>
      <c r="J79" s="20" t="str">
        <f t="shared" si="28"/>
        <v>Comunitario</v>
      </c>
      <c r="K79" s="20" t="str">
        <f t="shared" si="29"/>
        <v>CTPD</v>
      </c>
      <c r="L79" s="20" t="str">
        <f t="shared" si="30"/>
        <v>Distrital</v>
      </c>
      <c r="M79" s="20" t="str">
        <f t="shared" si="31"/>
        <v>Distrital</v>
      </c>
      <c r="N79" s="20" t="str">
        <f t="shared" si="32"/>
        <v>Distrital</v>
      </c>
      <c r="O79" s="20" t="str">
        <f t="shared" si="33"/>
        <v>SÍ</v>
      </c>
      <c r="P79" s="20" t="str">
        <f t="shared" si="34"/>
        <v>Gestión interinstitucional</v>
      </c>
      <c r="Q79" s="20">
        <f t="shared" si="35"/>
        <v>17</v>
      </c>
      <c r="R79" s="20">
        <f t="shared" si="36"/>
        <v>1</v>
      </c>
      <c r="S79" s="20" t="str">
        <f t="shared" si="37"/>
        <v>Consolidación del documento para el concepto técnico del PDD</v>
      </c>
      <c r="T79" s="20">
        <f t="shared" si="18"/>
        <v>1</v>
      </c>
      <c r="U79" s="20" t="str">
        <f t="shared" ca="1" si="19"/>
        <v>Realizada</v>
      </c>
      <c r="V79" s="20"/>
      <c r="W79" s="20"/>
      <c r="X79" s="20"/>
      <c r="Y79" s="20"/>
    </row>
    <row r="80" spans="1:25" ht="49.5">
      <c r="A80" s="20">
        <v>113</v>
      </c>
      <c r="B80" s="20" t="str">
        <f t="shared" si="20"/>
        <v>CLIP extraordinaria San Cristóbal</v>
      </c>
      <c r="C80" s="21">
        <f t="shared" si="21"/>
        <v>45365</v>
      </c>
      <c r="D80" s="20" t="str">
        <f t="shared" si="22"/>
        <v>INSTANCIAS</v>
      </c>
      <c r="E80" s="20" t="str">
        <f t="shared" si="23"/>
        <v>NO</v>
      </c>
      <c r="F80" s="20" t="str">
        <f t="shared" si="24"/>
        <v>CLIP (Comisión Local Intersectorial de Participación)</v>
      </c>
      <c r="G80" s="20" t="str">
        <f t="shared" si="25"/>
        <v>Virtual</v>
      </c>
      <c r="H80" s="20" t="str">
        <f t="shared" si="26"/>
        <v>Acompañar la articulación de los esfuerzos institucionales de participación en la localidad de San Cristóbal.</v>
      </c>
      <c r="I80" s="20" t="str">
        <f t="shared" si="27"/>
        <v>Gestión Institucional</v>
      </c>
      <c r="J80" s="20" t="str">
        <f t="shared" si="28"/>
        <v>Público</v>
      </c>
      <c r="K80" s="20" t="str">
        <f t="shared" si="29"/>
        <v>Servidores públicos (local)</v>
      </c>
      <c r="L80" s="20" t="str">
        <f t="shared" si="30"/>
        <v>San Cristóbal</v>
      </c>
      <c r="M80" s="20" t="str">
        <f t="shared" si="31"/>
        <v>Suroriente, Ruralidad</v>
      </c>
      <c r="N80" s="20" t="str">
        <f t="shared" si="32"/>
        <v>San Cristobal, Cerros Orientales</v>
      </c>
      <c r="O80" s="20" t="str">
        <f t="shared" si="33"/>
        <v>NO</v>
      </c>
      <c r="P80" s="20" t="str">
        <f t="shared" si="34"/>
        <v>No aplica</v>
      </c>
      <c r="Q80" s="20">
        <f t="shared" si="35"/>
        <v>14</v>
      </c>
      <c r="R80" s="20">
        <f t="shared" si="36"/>
        <v>1</v>
      </c>
      <c r="S80" s="20" t="str">
        <f t="shared" si="37"/>
        <v xml:space="preserve">Metodología por parte del CPL de encuentros ciudadanos para Plan de Desarrollo Local </v>
      </c>
      <c r="T80" s="20">
        <f t="shared" si="18"/>
        <v>1</v>
      </c>
      <c r="U80" s="20" t="str">
        <f t="shared" ca="1" si="19"/>
        <v>Realizada</v>
      </c>
      <c r="V80" s="20"/>
      <c r="W80" s="20"/>
      <c r="X80" s="20"/>
      <c r="Y80" s="20"/>
    </row>
    <row r="81" spans="1:25" ht="49.5">
      <c r="A81" s="20">
        <v>114</v>
      </c>
      <c r="B81" s="20" t="str">
        <f t="shared" si="20"/>
        <v>CLIP Bosa</v>
      </c>
      <c r="C81" s="21">
        <f t="shared" si="21"/>
        <v>45365</v>
      </c>
      <c r="D81" s="20" t="str">
        <f t="shared" si="22"/>
        <v>INSTANCIAS</v>
      </c>
      <c r="E81" s="20" t="str">
        <f t="shared" si="23"/>
        <v>NO</v>
      </c>
      <c r="F81" s="20" t="str">
        <f t="shared" si="24"/>
        <v>CLIP (Comisión Local Intersectorial de Participación)</v>
      </c>
      <c r="G81" s="20" t="str">
        <f t="shared" si="25"/>
        <v>Presencial</v>
      </c>
      <c r="H81" s="20" t="str">
        <f t="shared" si="26"/>
        <v>Acompañar la articulación de los esfuerzos institucionales de participación en la localidad de Bosa.</v>
      </c>
      <c r="I81" s="20" t="str">
        <f t="shared" si="27"/>
        <v>Gestión Institucional</v>
      </c>
      <c r="J81" s="20" t="str">
        <f t="shared" si="28"/>
        <v>Público</v>
      </c>
      <c r="K81" s="20" t="str">
        <f t="shared" si="29"/>
        <v>Servidores públicos (local)</v>
      </c>
      <c r="L81" s="20" t="str">
        <f t="shared" si="30"/>
        <v>Bosa</v>
      </c>
      <c r="M81" s="20" t="str">
        <f t="shared" si="31"/>
        <v>Suroccidente</v>
      </c>
      <c r="N81" s="20" t="str">
        <f t="shared" si="32"/>
        <v>Bosa, Edén, Porvenir</v>
      </c>
      <c r="O81" s="20" t="str">
        <f t="shared" si="33"/>
        <v>NO</v>
      </c>
      <c r="P81" s="20" t="str">
        <f t="shared" si="34"/>
        <v>No aplica</v>
      </c>
      <c r="Q81" s="20">
        <f t="shared" si="35"/>
        <v>22</v>
      </c>
      <c r="R81" s="20">
        <f t="shared" si="36"/>
        <v>1</v>
      </c>
      <c r="S81" s="20" t="str">
        <f t="shared" si="37"/>
        <v>Aprobación acta anterior, Encuentros ciudadanos Alcaldía Local, Política Pública Participación en Salud,Resolución 984 de 2023,Estímulos 2024, Chatico</v>
      </c>
      <c r="T81" s="20">
        <f t="shared" si="18"/>
        <v>1</v>
      </c>
      <c r="U81" s="20" t="str">
        <f t="shared" ca="1" si="19"/>
        <v>Realizada</v>
      </c>
      <c r="V81" s="20"/>
      <c r="W81" s="20"/>
      <c r="X81" s="20"/>
      <c r="Y81" s="20"/>
    </row>
    <row r="82" spans="1:25" ht="49.5">
      <c r="A82" s="20">
        <v>115</v>
      </c>
      <c r="B82" s="20" t="str">
        <f t="shared" si="20"/>
        <v>CLIP Sumapaz</v>
      </c>
      <c r="C82" s="21">
        <f t="shared" si="21"/>
        <v>45365</v>
      </c>
      <c r="D82" s="20" t="str">
        <f t="shared" si="22"/>
        <v>INSTANCIAS</v>
      </c>
      <c r="E82" s="20" t="str">
        <f t="shared" si="23"/>
        <v>NO</v>
      </c>
      <c r="F82" s="20" t="str">
        <f t="shared" si="24"/>
        <v>CLIP (Comisión Local Intersectorial de Participación)</v>
      </c>
      <c r="G82" s="20" t="str">
        <f t="shared" si="25"/>
        <v>Virtual</v>
      </c>
      <c r="H82" s="20" t="str">
        <f t="shared" si="26"/>
        <v xml:space="preserve">Acompañar la articulación de los esfuerzos institucionales de participación en la localidad de Sumapaz. </v>
      </c>
      <c r="I82" s="20" t="str">
        <f t="shared" si="27"/>
        <v>Gestión Institucional</v>
      </c>
      <c r="J82" s="20" t="str">
        <f t="shared" si="28"/>
        <v>Público</v>
      </c>
      <c r="K82" s="20" t="str">
        <f t="shared" si="29"/>
        <v>Servidores públicos (local)</v>
      </c>
      <c r="L82" s="20" t="str">
        <f t="shared" si="30"/>
        <v>Sumapaz</v>
      </c>
      <c r="M82" s="20" t="str">
        <f t="shared" si="31"/>
        <v>Ruralidad</v>
      </c>
      <c r="N82" s="20" t="str">
        <f t="shared" si="32"/>
        <v>Sumapaz</v>
      </c>
      <c r="O82" s="20" t="str">
        <f t="shared" si="33"/>
        <v>NO</v>
      </c>
      <c r="P82" s="20" t="str">
        <f t="shared" si="34"/>
        <v>No aplica</v>
      </c>
      <c r="Q82" s="20">
        <f t="shared" si="35"/>
        <v>21</v>
      </c>
      <c r="R82" s="20">
        <f t="shared" si="36"/>
        <v>1</v>
      </c>
      <c r="S82" s="20" t="str">
        <f t="shared" si="37"/>
        <v>Plan de Acción de la CLIP , Actividades de participación para el PDD</v>
      </c>
      <c r="T82" s="20">
        <f t="shared" si="18"/>
        <v>1</v>
      </c>
      <c r="U82" s="20" t="str">
        <f t="shared" ca="1" si="19"/>
        <v>Realizada</v>
      </c>
      <c r="V82" s="20"/>
      <c r="W82" s="20"/>
      <c r="X82" s="20"/>
      <c r="Y82" s="20"/>
    </row>
    <row r="83" spans="1:25" ht="37.5">
      <c r="A83" s="20">
        <v>116</v>
      </c>
      <c r="B83" s="20" t="str">
        <f t="shared" si="20"/>
        <v>Jornada Pégate al Plan: Pedagogía ciudadana para el manejo e implementación de la herramienta chatico - STARTCO</v>
      </c>
      <c r="C83" s="21">
        <f t="shared" si="21"/>
        <v>45365</v>
      </c>
      <c r="D83" s="20" t="str">
        <f t="shared" si="22"/>
        <v>OPDC</v>
      </c>
      <c r="E83" s="20" t="str">
        <f t="shared" si="23"/>
        <v>NO</v>
      </c>
      <c r="F83" s="20" t="str">
        <f t="shared" si="24"/>
        <v>Plan Distrital de Desarrollo</v>
      </c>
      <c r="G83" s="20" t="str">
        <f t="shared" si="25"/>
        <v>Presencial</v>
      </c>
      <c r="H83" s="20" t="str">
        <f t="shared" si="26"/>
        <v xml:space="preserve">Aplicar instrumento de fase II a través de chatico a patrocinadores, emprendedores, inversionistas, pymes. </v>
      </c>
      <c r="I83" s="20" t="str">
        <f t="shared" si="27"/>
        <v>Mecanismo de Consulta Ciudadana</v>
      </c>
      <c r="J83" s="20" t="str">
        <f t="shared" si="28"/>
        <v>Multiactor</v>
      </c>
      <c r="K83" s="20">
        <f t="shared" si="29"/>
        <v>0</v>
      </c>
      <c r="L83" s="20" t="str">
        <f t="shared" si="30"/>
        <v>Teusaquillo</v>
      </c>
      <c r="M83" s="20" t="str">
        <f t="shared" si="31"/>
        <v>Distrital</v>
      </c>
      <c r="N83" s="20" t="str">
        <f t="shared" si="32"/>
        <v>Distrital</v>
      </c>
      <c r="O83" s="20" t="str">
        <f t="shared" si="33"/>
        <v>SÍ</v>
      </c>
      <c r="P83" s="20" t="str">
        <f t="shared" si="34"/>
        <v>Fase II: Aspiraciones Comunes</v>
      </c>
      <c r="Q83" s="20">
        <f t="shared" si="35"/>
        <v>65</v>
      </c>
      <c r="R83" s="20">
        <f t="shared" si="36"/>
        <v>4</v>
      </c>
      <c r="S83" s="20" t="str">
        <f t="shared" si="37"/>
        <v>Priorizacion desde  Chatico la construcción  el PDD</v>
      </c>
      <c r="T83" s="20">
        <f t="shared" si="18"/>
        <v>1</v>
      </c>
      <c r="U83" s="20" t="str">
        <f t="shared" ca="1" si="19"/>
        <v>Realizada</v>
      </c>
      <c r="V83" s="20"/>
      <c r="W83" s="20"/>
      <c r="X83" s="20"/>
      <c r="Y83" s="20"/>
    </row>
    <row r="84" spans="1:25" ht="74.25">
      <c r="A84" s="20">
        <v>118</v>
      </c>
      <c r="B84" s="20" t="str">
        <f t="shared" si="20"/>
        <v>Gestión: Concertación con la Consultiva Indígena de la metodología de participación del PDD</v>
      </c>
      <c r="C84" s="21">
        <f t="shared" si="21"/>
        <v>45365</v>
      </c>
      <c r="D84" s="20" t="str">
        <f t="shared" si="22"/>
        <v>OPDC</v>
      </c>
      <c r="E84" s="20" t="str">
        <f t="shared" si="23"/>
        <v>NO</v>
      </c>
      <c r="F84" s="20" t="str">
        <f t="shared" si="24"/>
        <v>Plan Distrital de Desarrollo</v>
      </c>
      <c r="G84" s="20" t="str">
        <f t="shared" si="25"/>
        <v>Presencial</v>
      </c>
      <c r="H84" s="20" t="str">
        <f t="shared" si="26"/>
        <v>Concertar con la Consultiva Indígena la metodología de participación en el proceso de recolección de aportes de la II Fase del Plan Distrital de Desarrollo correspondiente a "Aspiraciones Comunes".</v>
      </c>
      <c r="I84" s="20" t="str">
        <f t="shared" si="27"/>
        <v>Gestión Institucional</v>
      </c>
      <c r="J84" s="20" t="str">
        <f t="shared" si="28"/>
        <v>Multiactor</v>
      </c>
      <c r="K84" s="20">
        <f t="shared" si="29"/>
        <v>0</v>
      </c>
      <c r="L84" s="20" t="str">
        <f t="shared" si="30"/>
        <v>Distrital</v>
      </c>
      <c r="M84" s="20" t="str">
        <f t="shared" si="31"/>
        <v>Distrital</v>
      </c>
      <c r="N84" s="20" t="str">
        <f t="shared" si="32"/>
        <v>Distrital</v>
      </c>
      <c r="O84" s="20" t="str">
        <f t="shared" si="33"/>
        <v>SÍ</v>
      </c>
      <c r="P84" s="20" t="str">
        <f t="shared" si="34"/>
        <v>Gestión interinstitucional</v>
      </c>
      <c r="Q84" s="20">
        <f t="shared" si="35"/>
        <v>8</v>
      </c>
      <c r="R84" s="20">
        <f t="shared" si="36"/>
        <v>4</v>
      </c>
      <c r="S84" s="20" t="str">
        <f t="shared" si="37"/>
        <v xml:space="preserve">Estrategia participación PDD , Nueva fecha para el abordaje de la metodología </v>
      </c>
      <c r="T84" s="20">
        <f t="shared" si="18"/>
        <v>1</v>
      </c>
      <c r="U84" s="20" t="str">
        <f t="shared" ca="1" si="19"/>
        <v>Realizada</v>
      </c>
      <c r="V84" s="20"/>
      <c r="W84" s="20"/>
      <c r="X84" s="20"/>
      <c r="Y84" s="20"/>
    </row>
    <row r="85" spans="1:25" ht="74.25">
      <c r="A85" s="20">
        <v>120</v>
      </c>
      <c r="B85" s="20" t="str">
        <f t="shared" si="20"/>
        <v>Gestión: Concertación con la Consultiva Raizal de la metodología de participación del PDD</v>
      </c>
      <c r="C85" s="21">
        <f t="shared" si="21"/>
        <v>45365</v>
      </c>
      <c r="D85" s="20" t="str">
        <f t="shared" si="22"/>
        <v>OPDC</v>
      </c>
      <c r="E85" s="20" t="str">
        <f t="shared" si="23"/>
        <v>NO</v>
      </c>
      <c r="F85" s="20" t="str">
        <f t="shared" si="24"/>
        <v>Plan Distrital de Desarrollo</v>
      </c>
      <c r="G85" s="20" t="str">
        <f t="shared" si="25"/>
        <v>Virtual</v>
      </c>
      <c r="H85" s="20" t="str">
        <f t="shared" si="26"/>
        <v>Concertar con la Consultiva Raizal la metodología de participación en el proceso de recolección de aportes de la II Fase del Plan Distrital de Desarrollo correspondiente a "Aspiraciones Comunes".</v>
      </c>
      <c r="I85" s="20" t="str">
        <f t="shared" si="27"/>
        <v>Gestión Institucional</v>
      </c>
      <c r="J85" s="20" t="str">
        <f t="shared" si="28"/>
        <v>Multiactor</v>
      </c>
      <c r="K85" s="20">
        <f t="shared" si="29"/>
        <v>0</v>
      </c>
      <c r="L85" s="20" t="str">
        <f t="shared" si="30"/>
        <v>Distrital</v>
      </c>
      <c r="M85" s="20" t="str">
        <f t="shared" si="31"/>
        <v>Distrital</v>
      </c>
      <c r="N85" s="20" t="str">
        <f t="shared" si="32"/>
        <v>Distrital</v>
      </c>
      <c r="O85" s="20" t="str">
        <f t="shared" si="33"/>
        <v>SÍ</v>
      </c>
      <c r="P85" s="20" t="str">
        <f t="shared" si="34"/>
        <v>Gestión interinstitucional</v>
      </c>
      <c r="Q85" s="20">
        <f t="shared" si="35"/>
        <v>18</v>
      </c>
      <c r="R85" s="20">
        <f t="shared" si="36"/>
        <v>2</v>
      </c>
      <c r="S85" s="20" t="str">
        <f t="shared" si="37"/>
        <v>Socialización de la estructura general del PDD. acuerdo sobre la metodología de participación para la recolección de propuestas de la comunidad raizal</v>
      </c>
      <c r="T85" s="20">
        <f t="shared" si="18"/>
        <v>1</v>
      </c>
      <c r="U85" s="20" t="str">
        <f t="shared" ca="1" si="19"/>
        <v>Realizada</v>
      </c>
      <c r="V85" s="20"/>
      <c r="W85" s="20"/>
      <c r="X85" s="20"/>
      <c r="Y85" s="20"/>
    </row>
    <row r="86" spans="1:25" ht="37.5">
      <c r="A86" s="20">
        <v>121</v>
      </c>
      <c r="B86" s="20" t="str">
        <f t="shared" si="20"/>
        <v>Dialogo Ciudadano para la Construcción del PDD - UPL Engativá</v>
      </c>
      <c r="C86" s="21">
        <f t="shared" si="21"/>
        <v>45365</v>
      </c>
      <c r="D86" s="20" t="str">
        <f t="shared" si="22"/>
        <v>OPDC</v>
      </c>
      <c r="E86" s="20" t="str">
        <f t="shared" si="23"/>
        <v>NO</v>
      </c>
      <c r="F86" s="20" t="str">
        <f t="shared" si="24"/>
        <v>Plan Distrital de Desarrollo</v>
      </c>
      <c r="G86" s="20" t="str">
        <f t="shared" si="25"/>
        <v>Presencial</v>
      </c>
      <c r="H86" s="20" t="str">
        <f t="shared" si="26"/>
        <v>Identificar las propuestas ciudadanas para la formulación del Plan de Desarrollo Distrital.</v>
      </c>
      <c r="I86" s="20" t="str">
        <f t="shared" si="27"/>
        <v>Mecanismo de Diálogo</v>
      </c>
      <c r="J86" s="20" t="str">
        <f t="shared" si="28"/>
        <v>Multiactor</v>
      </c>
      <c r="K86" s="20">
        <f t="shared" si="29"/>
        <v>0</v>
      </c>
      <c r="L86" s="20" t="str">
        <f t="shared" si="30"/>
        <v>Engativá</v>
      </c>
      <c r="M86" s="20" t="str">
        <f t="shared" si="31"/>
        <v>Occidente</v>
      </c>
      <c r="N86" s="20" t="str">
        <f t="shared" si="32"/>
        <v>Engativá</v>
      </c>
      <c r="O86" s="20" t="str">
        <f t="shared" si="33"/>
        <v>SÍ</v>
      </c>
      <c r="P86" s="20" t="str">
        <f t="shared" si="34"/>
        <v>Fase II: Aspiraciones Comunes</v>
      </c>
      <c r="Q86" s="20">
        <f t="shared" si="35"/>
        <v>50</v>
      </c>
      <c r="R86" s="20">
        <f t="shared" si="36"/>
        <v>15</v>
      </c>
      <c r="S86" s="20" t="str">
        <f t="shared" si="37"/>
        <v>Plan Distrital de Desarrollo</v>
      </c>
      <c r="T86" s="20">
        <f t="shared" si="18"/>
        <v>1</v>
      </c>
      <c r="U86" s="20" t="str">
        <f t="shared" ca="1" si="19"/>
        <v>Realizada</v>
      </c>
      <c r="V86" s="20"/>
      <c r="W86" s="20"/>
      <c r="X86" s="20"/>
      <c r="Y86" s="20"/>
    </row>
    <row r="87" spans="1:25" ht="49.5">
      <c r="A87" s="20">
        <v>122</v>
      </c>
      <c r="B87" s="20" t="str">
        <f t="shared" si="20"/>
        <v>Comisión de Participación Ordinaria - CTPD</v>
      </c>
      <c r="C87" s="21">
        <f t="shared" si="21"/>
        <v>45365</v>
      </c>
      <c r="D87" s="20" t="str">
        <f t="shared" si="22"/>
        <v>INSTANCIAS</v>
      </c>
      <c r="E87" s="20" t="str">
        <f t="shared" si="23"/>
        <v>NO</v>
      </c>
      <c r="F87" s="20" t="str">
        <f t="shared" si="24"/>
        <v>CTPD (Consejo Territorial de Planeación Distrital)</v>
      </c>
      <c r="G87" s="20" t="str">
        <f t="shared" si="25"/>
        <v>Virtual</v>
      </c>
      <c r="H87" s="20" t="str">
        <f t="shared" si="26"/>
        <v>Acompañar la realización de la primer  sesión de la Comisíón de Participación del CTPD.</v>
      </c>
      <c r="I87" s="20" t="str">
        <f t="shared" si="27"/>
        <v>Mecanismo de Seguimiento y Evaluación</v>
      </c>
      <c r="J87" s="20" t="str">
        <f t="shared" si="28"/>
        <v>Comunitario</v>
      </c>
      <c r="K87" s="20" t="str">
        <f t="shared" si="29"/>
        <v>CTPD</v>
      </c>
      <c r="L87" s="20" t="str">
        <f t="shared" si="30"/>
        <v>Distrital</v>
      </c>
      <c r="M87" s="20" t="str">
        <f t="shared" si="31"/>
        <v>Distrital</v>
      </c>
      <c r="N87" s="20" t="str">
        <f t="shared" si="32"/>
        <v>Distrital</v>
      </c>
      <c r="O87" s="20" t="str">
        <f t="shared" si="33"/>
        <v>NO</v>
      </c>
      <c r="P87" s="20" t="str">
        <f t="shared" si="34"/>
        <v>No aplica</v>
      </c>
      <c r="Q87" s="20">
        <f t="shared" si="35"/>
        <v>14</v>
      </c>
      <c r="R87" s="20">
        <f t="shared" si="36"/>
        <v>1</v>
      </c>
      <c r="S87" s="20" t="str">
        <f t="shared" si="37"/>
        <v>Plan Distrital de Desarollo</v>
      </c>
      <c r="T87" s="20">
        <f t="shared" si="18"/>
        <v>1</v>
      </c>
      <c r="U87" s="20" t="str">
        <f t="shared" ca="1" si="19"/>
        <v>Realizada</v>
      </c>
      <c r="V87" s="20"/>
      <c r="W87" s="20"/>
      <c r="X87" s="20"/>
      <c r="Y87" s="20"/>
    </row>
    <row r="88" spans="1:25" ht="37.5">
      <c r="A88" s="20">
        <v>123</v>
      </c>
      <c r="B88" s="20" t="str">
        <f t="shared" si="20"/>
        <v>Sexto foro virtual con Servidores Públicos para la formulación del PDD - DASCD/SDP</v>
      </c>
      <c r="C88" s="21">
        <f t="shared" si="21"/>
        <v>45366</v>
      </c>
      <c r="D88" s="20" t="str">
        <f t="shared" si="22"/>
        <v>OPDC</v>
      </c>
      <c r="E88" s="20" t="str">
        <f t="shared" si="23"/>
        <v>NO</v>
      </c>
      <c r="F88" s="20" t="str">
        <f t="shared" si="24"/>
        <v>Plan Distrital de Desarrollo</v>
      </c>
      <c r="G88" s="20" t="str">
        <f t="shared" si="25"/>
        <v>Virtual</v>
      </c>
      <c r="H88" s="20" t="str">
        <f t="shared" si="26"/>
        <v>Socializar las generalidades de la formulación del PDD y fomentar la participación de los servidores públicos.</v>
      </c>
      <c r="I88" s="20" t="str">
        <f t="shared" si="27"/>
        <v>Gestión Institucional</v>
      </c>
      <c r="J88" s="20" t="str">
        <f t="shared" si="28"/>
        <v>Público</v>
      </c>
      <c r="K88" s="20" t="str">
        <f t="shared" si="29"/>
        <v>Servidores públicos (Distrital)</v>
      </c>
      <c r="L88" s="20" t="str">
        <f t="shared" si="30"/>
        <v>Distrital</v>
      </c>
      <c r="M88" s="20" t="str">
        <f t="shared" si="31"/>
        <v>Distrital</v>
      </c>
      <c r="N88" s="20" t="str">
        <f t="shared" si="32"/>
        <v>Distrital</v>
      </c>
      <c r="O88" s="20" t="str">
        <f t="shared" si="33"/>
        <v>SÍ</v>
      </c>
      <c r="P88" s="20" t="str">
        <f t="shared" si="34"/>
        <v>Gestión interinstitucional</v>
      </c>
      <c r="Q88" s="20">
        <f t="shared" si="35"/>
        <v>34</v>
      </c>
      <c r="R88" s="20">
        <f t="shared" si="36"/>
        <v>1</v>
      </c>
      <c r="S88" s="20" t="str">
        <f t="shared" si="37"/>
        <v>Generalidades de la formulación del PDD , fomentar la participación de los servidores públicos.</v>
      </c>
      <c r="T88" s="20">
        <f t="shared" si="18"/>
        <v>1</v>
      </c>
      <c r="U88" s="20" t="str">
        <f t="shared" ca="1" si="19"/>
        <v>Realizada</v>
      </c>
      <c r="V88" s="20"/>
      <c r="W88" s="20"/>
      <c r="X88" s="20"/>
      <c r="Y88" s="20"/>
    </row>
    <row r="89" spans="1:25" ht="37.5">
      <c r="A89" s="20">
        <v>124</v>
      </c>
      <c r="B89" s="20" t="str">
        <f t="shared" si="20"/>
        <v>Sesión Mesa de Cultura Ciudadana</v>
      </c>
      <c r="C89" s="21">
        <f t="shared" si="21"/>
        <v>45366</v>
      </c>
      <c r="D89" s="20" t="str">
        <f t="shared" si="22"/>
        <v>INSTANCIAS</v>
      </c>
      <c r="E89" s="20" t="str">
        <f t="shared" si="23"/>
        <v>NO</v>
      </c>
      <c r="F89" s="20" t="str">
        <f t="shared" si="24"/>
        <v>Mesa de Cultura Ciudadana</v>
      </c>
      <c r="G89" s="20" t="str">
        <f t="shared" si="25"/>
        <v>Presencial</v>
      </c>
      <c r="H89" s="20" t="str">
        <f t="shared" si="26"/>
        <v>Conocer las directrices para garantizar el avance de propuestas sectoriales frente al tema.</v>
      </c>
      <c r="I89" s="20" t="str">
        <f t="shared" si="27"/>
        <v>Gestión Institucional</v>
      </c>
      <c r="J89" s="20" t="str">
        <f t="shared" si="28"/>
        <v>Público</v>
      </c>
      <c r="K89" s="20" t="str">
        <f t="shared" si="29"/>
        <v>Servidores públicos (Distrital)</v>
      </c>
      <c r="L89" s="20" t="str">
        <f t="shared" si="30"/>
        <v>Distrital</v>
      </c>
      <c r="M89" s="20" t="str">
        <f t="shared" si="31"/>
        <v>Distrital</v>
      </c>
      <c r="N89" s="20" t="str">
        <f t="shared" si="32"/>
        <v>Distrital</v>
      </c>
      <c r="O89" s="20" t="str">
        <f t="shared" si="33"/>
        <v>SÍ</v>
      </c>
      <c r="P89" s="20" t="str">
        <f t="shared" si="34"/>
        <v>Gestión interinstitucional</v>
      </c>
      <c r="Q89" s="20">
        <f t="shared" si="35"/>
        <v>50</v>
      </c>
      <c r="R89" s="20">
        <f t="shared" si="36"/>
        <v>1</v>
      </c>
      <c r="S89" s="20" t="str">
        <f t="shared" si="37"/>
        <v xml:space="preserve">Presentación de las perspectivas de la Mesa de Cultura Ciudadana </v>
      </c>
      <c r="T89" s="20">
        <f t="shared" si="18"/>
        <v>1</v>
      </c>
      <c r="U89" s="20" t="str">
        <f t="shared" ca="1" si="19"/>
        <v>Realizada</v>
      </c>
      <c r="V89" s="20"/>
      <c r="W89" s="20"/>
      <c r="X89" s="20"/>
      <c r="Y89" s="20"/>
    </row>
    <row r="90" spans="1:25" ht="74.25">
      <c r="A90" s="20">
        <v>125</v>
      </c>
      <c r="B90" s="20" t="str">
        <f t="shared" si="20"/>
        <v>Gestión: Concertación con la Consultiva Rrom - Gitana de la metodología de participación del PDD</v>
      </c>
      <c r="C90" s="21">
        <f t="shared" si="21"/>
        <v>45366</v>
      </c>
      <c r="D90" s="20" t="str">
        <f t="shared" si="22"/>
        <v>OPDC</v>
      </c>
      <c r="E90" s="20" t="str">
        <f t="shared" si="23"/>
        <v>NO</v>
      </c>
      <c r="F90" s="20" t="str">
        <f t="shared" si="24"/>
        <v>Plan Distrital de Desarrollo</v>
      </c>
      <c r="G90" s="20" t="str">
        <f t="shared" si="25"/>
        <v>Virtual</v>
      </c>
      <c r="H90" s="20" t="str">
        <f t="shared" si="26"/>
        <v>Concertar con la Consultiva Rrom-Gitana la metodología de participación en el proceso de recolección de aportes de la II Fase del Plan Distrital de Desarrollo correspondiente a "Aspiraciones Comunes".</v>
      </c>
      <c r="I90" s="20" t="str">
        <f t="shared" si="27"/>
        <v>Gestión Institucional</v>
      </c>
      <c r="J90" s="20" t="str">
        <f t="shared" si="28"/>
        <v>Multiactor</v>
      </c>
      <c r="K90" s="20">
        <f t="shared" si="29"/>
        <v>0</v>
      </c>
      <c r="L90" s="20" t="str">
        <f t="shared" si="30"/>
        <v>Distrital</v>
      </c>
      <c r="M90" s="20" t="str">
        <f t="shared" si="31"/>
        <v>Distrital</v>
      </c>
      <c r="N90" s="20" t="str">
        <f t="shared" si="32"/>
        <v>Distrital</v>
      </c>
      <c r="O90" s="20" t="str">
        <f t="shared" si="33"/>
        <v>SÍ</v>
      </c>
      <c r="P90" s="20" t="str">
        <f t="shared" si="34"/>
        <v>Gestión interinstitucional</v>
      </c>
      <c r="Q90" s="20">
        <f t="shared" si="35"/>
        <v>14</v>
      </c>
      <c r="R90" s="20">
        <f t="shared" si="36"/>
        <v>4</v>
      </c>
      <c r="S90" s="20" t="str">
        <f t="shared" si="37"/>
        <v>Solicitud de vortechias con los sectores por parte del Pueblo Rrom-Gitano</v>
      </c>
      <c r="T90" s="20">
        <f t="shared" si="18"/>
        <v>1</v>
      </c>
      <c r="U90" s="20" t="str">
        <f t="shared" ca="1" si="19"/>
        <v>Realizada</v>
      </c>
      <c r="V90" s="20"/>
      <c r="W90" s="20"/>
      <c r="X90" s="20"/>
      <c r="Y90" s="20"/>
    </row>
    <row r="91" spans="1:25" ht="37.5">
      <c r="A91" s="20">
        <v>126</v>
      </c>
      <c r="B91" s="20" t="str">
        <f t="shared" si="20"/>
        <v>Jornada Pégate al Plan: Pedagogía ciudadana para el manejo e implementación de la herramienta chatico - STARTCO II</v>
      </c>
      <c r="C91" s="21">
        <f t="shared" si="21"/>
        <v>45366</v>
      </c>
      <c r="D91" s="20" t="str">
        <f t="shared" si="22"/>
        <v>OPDC</v>
      </c>
      <c r="E91" s="20" t="str">
        <f t="shared" si="23"/>
        <v>NO</v>
      </c>
      <c r="F91" s="20" t="str">
        <f t="shared" si="24"/>
        <v>Plan Distrital de Desarrollo</v>
      </c>
      <c r="G91" s="20" t="str">
        <f t="shared" si="25"/>
        <v>Presencial</v>
      </c>
      <c r="H91" s="20" t="str">
        <f t="shared" si="26"/>
        <v xml:space="preserve">Aplicar instrumento de fase II a través de chatico a patrocinadores, emprendedores, inversionistas, pymes. </v>
      </c>
      <c r="I91" s="20" t="str">
        <f t="shared" si="27"/>
        <v>Mecanismo de Consulta Ciudadana</v>
      </c>
      <c r="J91" s="20" t="str">
        <f t="shared" si="28"/>
        <v>Multiactor</v>
      </c>
      <c r="K91" s="20">
        <f t="shared" si="29"/>
        <v>0</v>
      </c>
      <c r="L91" s="20" t="str">
        <f t="shared" si="30"/>
        <v>Teusaquillo</v>
      </c>
      <c r="M91" s="20" t="str">
        <f t="shared" si="31"/>
        <v>Distrital</v>
      </c>
      <c r="N91" s="20" t="str">
        <f t="shared" si="32"/>
        <v>Distrital</v>
      </c>
      <c r="O91" s="20" t="str">
        <f t="shared" si="33"/>
        <v>SÍ</v>
      </c>
      <c r="P91" s="20" t="str">
        <f t="shared" si="34"/>
        <v>Fase II: Aspiraciones Comunes</v>
      </c>
      <c r="Q91" s="20">
        <f t="shared" si="35"/>
        <v>50</v>
      </c>
      <c r="R91" s="20">
        <f t="shared" si="36"/>
        <v>3</v>
      </c>
      <c r="S91" s="20" t="str">
        <f t="shared" si="37"/>
        <v>Aplicación de instrumento  fase Il a través de chatico a patrocinadores, emprendedores, inversionistas, pymes</v>
      </c>
      <c r="T91" s="20">
        <f t="shared" si="18"/>
        <v>1</v>
      </c>
      <c r="U91" s="20" t="str">
        <f t="shared" ca="1" si="19"/>
        <v>Realizada</v>
      </c>
      <c r="V91" s="20"/>
      <c r="W91" s="20"/>
      <c r="X91" s="20"/>
      <c r="Y91" s="20"/>
    </row>
    <row r="92" spans="1:25" ht="74.25">
      <c r="A92" s="20">
        <v>127</v>
      </c>
      <c r="B92" s="20" t="str">
        <f t="shared" si="20"/>
        <v>Gestión: Concertación con la Consultiva Palenquera de la metodología de participación del PDD</v>
      </c>
      <c r="C92" s="21">
        <f t="shared" si="21"/>
        <v>45366</v>
      </c>
      <c r="D92" s="20" t="str">
        <f t="shared" si="22"/>
        <v>OPDC</v>
      </c>
      <c r="E92" s="20" t="str">
        <f t="shared" si="23"/>
        <v>NO</v>
      </c>
      <c r="F92" s="20" t="str">
        <f t="shared" si="24"/>
        <v>Plan Distrital de Desarrollo</v>
      </c>
      <c r="G92" s="20" t="str">
        <f t="shared" si="25"/>
        <v>Presencial</v>
      </c>
      <c r="H92" s="20" t="str">
        <f t="shared" si="26"/>
        <v>Concertar con la Consultiva Palenquera la metodología de participación en el proceso de recolección de aportes de la II Fase del Plan Distrital de Desarrollo correspondiente a "Aspiraciones Comunes".</v>
      </c>
      <c r="I92" s="20" t="str">
        <f t="shared" si="27"/>
        <v>Gestión Institucional</v>
      </c>
      <c r="J92" s="20" t="str">
        <f t="shared" si="28"/>
        <v>Multiactor</v>
      </c>
      <c r="K92" s="20">
        <f t="shared" si="29"/>
        <v>0</v>
      </c>
      <c r="L92" s="20" t="str">
        <f t="shared" si="30"/>
        <v>Distrital</v>
      </c>
      <c r="M92" s="20" t="str">
        <f t="shared" si="31"/>
        <v>Distrital</v>
      </c>
      <c r="N92" s="20" t="str">
        <f t="shared" si="32"/>
        <v>Distrital</v>
      </c>
      <c r="O92" s="20" t="str">
        <f t="shared" si="33"/>
        <v>SÍ</v>
      </c>
      <c r="P92" s="20" t="str">
        <f t="shared" si="34"/>
        <v>Gestión interinstitucional</v>
      </c>
      <c r="Q92" s="20">
        <f t="shared" si="35"/>
        <v>24</v>
      </c>
      <c r="R92" s="20">
        <f t="shared" si="36"/>
        <v>2</v>
      </c>
      <c r="S92" s="20" t="str">
        <f t="shared" si="37"/>
        <v>Estructura general del PDD , co-creación de  metodología  para la recoleccion de propuestas de la comunidad palenquera en el PDD</v>
      </c>
      <c r="T92" s="20">
        <f t="shared" si="18"/>
        <v>1</v>
      </c>
      <c r="U92" s="20" t="str">
        <f t="shared" ca="1" si="19"/>
        <v>Realizada</v>
      </c>
      <c r="V92" s="20"/>
      <c r="W92" s="20"/>
      <c r="X92" s="20"/>
      <c r="Y92" s="20"/>
    </row>
    <row r="93" spans="1:25" ht="49.5">
      <c r="A93" s="20">
        <v>128</v>
      </c>
      <c r="B93" s="20" t="str">
        <f t="shared" si="20"/>
        <v>Plenaria Extraordinaria - CTPD</v>
      </c>
      <c r="C93" s="21">
        <f t="shared" si="21"/>
        <v>45366</v>
      </c>
      <c r="D93" s="20" t="str">
        <f t="shared" si="22"/>
        <v>INSTANCIAS</v>
      </c>
      <c r="E93" s="20" t="str">
        <f t="shared" si="23"/>
        <v>NO</v>
      </c>
      <c r="F93" s="20" t="str">
        <f t="shared" si="24"/>
        <v>CTPD (Consejo Territorial de Planeación Distrital)</v>
      </c>
      <c r="G93" s="20" t="str">
        <f t="shared" si="25"/>
        <v>Virtual</v>
      </c>
      <c r="H93" s="20" t="str">
        <f t="shared" si="26"/>
        <v>Acompañar la aprobación del reglamento interno.</v>
      </c>
      <c r="I93" s="20" t="str">
        <f t="shared" si="27"/>
        <v>Mecanismo de Seguimiento y Evaluación</v>
      </c>
      <c r="J93" s="20" t="str">
        <f t="shared" si="28"/>
        <v>Comunitario</v>
      </c>
      <c r="K93" s="20" t="str">
        <f t="shared" si="29"/>
        <v>CTPD</v>
      </c>
      <c r="L93" s="20" t="str">
        <f t="shared" si="30"/>
        <v>Distrital</v>
      </c>
      <c r="M93" s="20" t="str">
        <f t="shared" si="31"/>
        <v>Distrital</v>
      </c>
      <c r="N93" s="20" t="str">
        <f t="shared" si="32"/>
        <v>Distrital</v>
      </c>
      <c r="O93" s="20" t="str">
        <f t="shared" si="33"/>
        <v>NO</v>
      </c>
      <c r="P93" s="20" t="str">
        <f t="shared" si="34"/>
        <v>No aplica</v>
      </c>
      <c r="Q93" s="20">
        <f t="shared" si="35"/>
        <v>62</v>
      </c>
      <c r="R93" s="20">
        <f t="shared" si="36"/>
        <v>1</v>
      </c>
      <c r="S93" s="20" t="str">
        <f t="shared" si="37"/>
        <v>Aprobación del reglamento interno</v>
      </c>
      <c r="T93" s="20">
        <f t="shared" si="18"/>
        <v>1</v>
      </c>
      <c r="U93" s="20" t="str">
        <f t="shared" ca="1" si="19"/>
        <v>Realizada</v>
      </c>
      <c r="V93" s="20"/>
      <c r="W93" s="20"/>
      <c r="X93" s="20"/>
      <c r="Y93" s="20"/>
    </row>
    <row r="94" spans="1:25" ht="98.25">
      <c r="A94" s="20">
        <v>129</v>
      </c>
      <c r="B94" s="20" t="str">
        <f t="shared" si="20"/>
        <v>Diálogo con personas cuidadoras de personas con discapacidad (DDSPG)</v>
      </c>
      <c r="C94" s="21">
        <f t="shared" si="21"/>
        <v>45367</v>
      </c>
      <c r="D94" s="20" t="str">
        <f t="shared" si="22"/>
        <v>GENERAL SDP</v>
      </c>
      <c r="E94" s="20" t="str">
        <f t="shared" si="23"/>
        <v>NO</v>
      </c>
      <c r="F94" s="20" t="str">
        <f t="shared" si="24"/>
        <v>Plan Distrital de Desarrollo</v>
      </c>
      <c r="G94" s="20" t="str">
        <f t="shared" si="25"/>
        <v>Presencial</v>
      </c>
      <c r="H94" s="20" t="str">
        <f t="shared" si="26"/>
        <v xml:space="preserve">Orientar la construcción de propuestas ciudadanas para a formulación del PDD a través de información, diálogo, pedagogía y fortalecimiento de la confianza desde la planeación participativa, con las personas cuidadoras de personas con discapacidad. </v>
      </c>
      <c r="I94" s="20" t="str">
        <f t="shared" si="27"/>
        <v>Mecanismo de Fortalecimiento Ciudadano para la Planeación Participativa</v>
      </c>
      <c r="J94" s="20" t="str">
        <f t="shared" si="28"/>
        <v>Comunitario</v>
      </c>
      <c r="K94" s="20" t="str">
        <f t="shared" si="29"/>
        <v>Grupos focales</v>
      </c>
      <c r="L94" s="20" t="str">
        <f t="shared" si="30"/>
        <v>Distrital</v>
      </c>
      <c r="M94" s="20" t="str">
        <f t="shared" si="31"/>
        <v>Distrital</v>
      </c>
      <c r="N94" s="20" t="str">
        <f t="shared" si="32"/>
        <v>Distrital</v>
      </c>
      <c r="O94" s="20" t="str">
        <f t="shared" si="33"/>
        <v>SÍ</v>
      </c>
      <c r="P94" s="20" t="str">
        <f t="shared" si="34"/>
        <v>Fase II: Aspiraciones Comunes</v>
      </c>
      <c r="Q94" s="20">
        <f t="shared" si="35"/>
        <v>25</v>
      </c>
      <c r="R94" s="20">
        <f t="shared" si="36"/>
        <v>13</v>
      </c>
      <c r="S94" s="20" t="str">
        <f t="shared" si="37"/>
        <v xml:space="preserve">objetivos estratégicos del PDD, se priorizaron algunas metas y programas, se dejaron propuestas abiertas en los cinco objetivos </v>
      </c>
      <c r="T94" s="20">
        <f t="shared" si="18"/>
        <v>1</v>
      </c>
      <c r="U94" s="20" t="str">
        <f t="shared" ca="1" si="19"/>
        <v>Realizada</v>
      </c>
      <c r="V94" s="20"/>
      <c r="W94" s="20"/>
      <c r="X94" s="20"/>
      <c r="Y94" s="20"/>
    </row>
    <row r="95" spans="1:25" ht="37.5">
      <c r="A95" s="20">
        <v>130</v>
      </c>
      <c r="B95" s="20" t="str">
        <f t="shared" si="20"/>
        <v>Dialogo Ciudadano para la Construcción del PDD - UPL Kennedy</v>
      </c>
      <c r="C95" s="21">
        <f t="shared" si="21"/>
        <v>45367</v>
      </c>
      <c r="D95" s="20" t="str">
        <f t="shared" si="22"/>
        <v>OPDC</v>
      </c>
      <c r="E95" s="20" t="str">
        <f t="shared" si="23"/>
        <v>NO</v>
      </c>
      <c r="F95" s="20" t="str">
        <f t="shared" si="24"/>
        <v>Plan Distrital de Desarrollo</v>
      </c>
      <c r="G95" s="20" t="str">
        <f t="shared" si="25"/>
        <v>Presencial</v>
      </c>
      <c r="H95" s="20" t="str">
        <f t="shared" si="26"/>
        <v>Identificar las propuestas ciudadanas para la formulación del Plan de Desarrollo Distrital.</v>
      </c>
      <c r="I95" s="20" t="str">
        <f t="shared" si="27"/>
        <v>Mecanismo de Diálogo</v>
      </c>
      <c r="J95" s="20" t="str">
        <f t="shared" si="28"/>
        <v>Multiactor</v>
      </c>
      <c r="K95" s="20">
        <f t="shared" si="29"/>
        <v>0</v>
      </c>
      <c r="L95" s="20" t="str">
        <f t="shared" si="30"/>
        <v>Kennedy</v>
      </c>
      <c r="M95" s="20" t="str">
        <f t="shared" si="31"/>
        <v>Suroccidente</v>
      </c>
      <c r="N95" s="20" t="str">
        <f t="shared" si="32"/>
        <v>Kennedy</v>
      </c>
      <c r="O95" s="20" t="str">
        <f t="shared" si="33"/>
        <v>SÍ</v>
      </c>
      <c r="P95" s="20" t="str">
        <f t="shared" si="34"/>
        <v>Fase II: Aspiraciones Comunes</v>
      </c>
      <c r="Q95" s="20">
        <f t="shared" si="35"/>
        <v>61</v>
      </c>
      <c r="R95" s="20">
        <f t="shared" si="36"/>
        <v>18</v>
      </c>
      <c r="S95" s="20" t="str">
        <f t="shared" si="37"/>
        <v>Plan Dristrital de Desarrollo, uso de Chatico</v>
      </c>
      <c r="T95" s="20">
        <f t="shared" si="18"/>
        <v>1</v>
      </c>
      <c r="U95" s="20" t="str">
        <f t="shared" ca="1" si="19"/>
        <v>Realizada</v>
      </c>
      <c r="V95" s="20"/>
      <c r="W95" s="20"/>
      <c r="X95" s="20"/>
      <c r="Y95" s="20"/>
    </row>
    <row r="96" spans="1:25" ht="37.5">
      <c r="A96" s="20">
        <v>131</v>
      </c>
      <c r="B96" s="20" t="str">
        <f t="shared" si="20"/>
        <v>Dialogo Ciudadano para la Construcción del PDD - UPL Cerros Orientales -  Sector San Luis y La Sureña</v>
      </c>
      <c r="C96" s="21">
        <f t="shared" si="21"/>
        <v>45367</v>
      </c>
      <c r="D96" s="20" t="str">
        <f t="shared" si="22"/>
        <v>OPDC</v>
      </c>
      <c r="E96" s="20" t="str">
        <f t="shared" si="23"/>
        <v>NO</v>
      </c>
      <c r="F96" s="20" t="str">
        <f t="shared" si="24"/>
        <v>Plan Distrital de Desarrollo</v>
      </c>
      <c r="G96" s="20" t="str">
        <f t="shared" si="25"/>
        <v>Presencial</v>
      </c>
      <c r="H96" s="20" t="str">
        <f t="shared" si="26"/>
        <v>Identificar las propuestas ciudadanas para la formulación del Plan de Desarrollo Distrital.</v>
      </c>
      <c r="I96" s="20" t="str">
        <f t="shared" si="27"/>
        <v>Mecanismo de Diálogo</v>
      </c>
      <c r="J96" s="20" t="str">
        <f t="shared" si="28"/>
        <v>Multiactor</v>
      </c>
      <c r="K96" s="20">
        <f t="shared" si="29"/>
        <v>0</v>
      </c>
      <c r="L96" s="20" t="str">
        <f t="shared" si="30"/>
        <v>Chapinero, Santa Fe</v>
      </c>
      <c r="M96" s="20" t="str">
        <f t="shared" si="31"/>
        <v>Ruralidad</v>
      </c>
      <c r="N96" s="20" t="str">
        <f t="shared" si="32"/>
        <v>Cerros Orientales</v>
      </c>
      <c r="O96" s="20" t="str">
        <f t="shared" si="33"/>
        <v>SÍ</v>
      </c>
      <c r="P96" s="20" t="str">
        <f t="shared" si="34"/>
        <v>Fase II: Aspiraciones Comunes</v>
      </c>
      <c r="Q96" s="20">
        <f t="shared" si="35"/>
        <v>64</v>
      </c>
      <c r="R96" s="20">
        <f t="shared" si="36"/>
        <v>11</v>
      </c>
      <c r="S96" s="20" t="str">
        <f t="shared" si="37"/>
        <v xml:space="preserve">Seguridad, Servicios, productividad, empleo y sostenibilidad en la ruralidad </v>
      </c>
      <c r="T96" s="20">
        <f t="shared" si="18"/>
        <v>1</v>
      </c>
      <c r="U96" s="20" t="str">
        <f t="shared" ca="1" si="19"/>
        <v>Realizada</v>
      </c>
      <c r="V96" s="20"/>
      <c r="W96" s="20"/>
      <c r="X96" s="20"/>
      <c r="Y96" s="20"/>
    </row>
    <row r="97" spans="1:25" ht="37.5">
      <c r="A97" s="20">
        <v>132</v>
      </c>
      <c r="B97" s="20" t="str">
        <f t="shared" si="20"/>
        <v>Dialogo Ciudadano para la Construcción del PDD - UPL Cerros Orientales -  Verjones</v>
      </c>
      <c r="C97" s="21">
        <f t="shared" si="21"/>
        <v>45367</v>
      </c>
      <c r="D97" s="20" t="str">
        <f t="shared" si="22"/>
        <v>OPDC</v>
      </c>
      <c r="E97" s="20" t="str">
        <f t="shared" si="23"/>
        <v>NO</v>
      </c>
      <c r="F97" s="20" t="str">
        <f t="shared" si="24"/>
        <v>Plan Distrital de Desarrollo</v>
      </c>
      <c r="G97" s="20" t="str">
        <f t="shared" si="25"/>
        <v>Presencial</v>
      </c>
      <c r="H97" s="20" t="str">
        <f t="shared" si="26"/>
        <v>Identificar las propuestas ciudadanas para la formulación del Plan de Desarrollo Distrital.</v>
      </c>
      <c r="I97" s="20" t="str">
        <f t="shared" si="27"/>
        <v>Mecanismo de Diálogo</v>
      </c>
      <c r="J97" s="20" t="str">
        <f t="shared" si="28"/>
        <v>Multiactor</v>
      </c>
      <c r="K97" s="20">
        <f t="shared" si="29"/>
        <v>0</v>
      </c>
      <c r="L97" s="20" t="str">
        <f t="shared" si="30"/>
        <v>Chapinero, Santa Fe</v>
      </c>
      <c r="M97" s="20" t="str">
        <f t="shared" si="31"/>
        <v>Ruralidad</v>
      </c>
      <c r="N97" s="20" t="str">
        <f t="shared" si="32"/>
        <v>Cerros Orientales</v>
      </c>
      <c r="O97" s="20" t="str">
        <f t="shared" si="33"/>
        <v>SÍ</v>
      </c>
      <c r="P97" s="20" t="str">
        <f t="shared" si="34"/>
        <v>Fase II: Aspiraciones Comunes</v>
      </c>
      <c r="Q97" s="20">
        <f t="shared" si="35"/>
        <v>23</v>
      </c>
      <c r="R97" s="20">
        <f t="shared" si="36"/>
        <v>7</v>
      </c>
      <c r="S97" s="20" t="str">
        <f t="shared" si="37"/>
        <v xml:space="preserve">Seguridad, Servicios, productividad, empleo y sostenibilidad en la ruralidad </v>
      </c>
      <c r="T97" s="20">
        <f t="shared" si="18"/>
        <v>1</v>
      </c>
      <c r="U97" s="20" t="str">
        <f t="shared" ca="1" si="19"/>
        <v>Realizada</v>
      </c>
      <c r="V97" s="20"/>
      <c r="W97" s="20"/>
      <c r="X97" s="20"/>
      <c r="Y97" s="20"/>
    </row>
    <row r="98" spans="1:25" ht="37.5">
      <c r="A98" s="20">
        <v>133</v>
      </c>
      <c r="B98" s="20" t="str">
        <f t="shared" si="20"/>
        <v>Jornada Pégate al Plan: Pedagogía ciudadana para el manejo de la herramienta chatico - Alimentarte</v>
      </c>
      <c r="C98" s="21">
        <f t="shared" si="21"/>
        <v>45367</v>
      </c>
      <c r="D98" s="20" t="str">
        <f t="shared" si="22"/>
        <v>OPDC</v>
      </c>
      <c r="E98" s="20" t="str">
        <f t="shared" si="23"/>
        <v>NO</v>
      </c>
      <c r="F98" s="20" t="str">
        <f t="shared" si="24"/>
        <v>Plan Distrital de Desarrollo</v>
      </c>
      <c r="G98" s="20" t="str">
        <f t="shared" si="25"/>
        <v>Presencial</v>
      </c>
      <c r="H98" s="20" t="str">
        <f t="shared" si="26"/>
        <v>Identificar las propuestas ciudadanas para la formulación del Plan de Desarrollo Distrital.</v>
      </c>
      <c r="I98" s="20" t="str">
        <f t="shared" si="27"/>
        <v>Mecanismo de Consulta Ciudadana</v>
      </c>
      <c r="J98" s="20" t="str">
        <f t="shared" si="28"/>
        <v>Multiactor</v>
      </c>
      <c r="K98" s="20">
        <f t="shared" si="29"/>
        <v>0</v>
      </c>
      <c r="L98" s="20" t="str">
        <f t="shared" si="30"/>
        <v>Usaquén</v>
      </c>
      <c r="M98" s="20" t="str">
        <f t="shared" si="31"/>
        <v>Distrital</v>
      </c>
      <c r="N98" s="20" t="str">
        <f t="shared" si="32"/>
        <v>Distrital</v>
      </c>
      <c r="O98" s="20" t="str">
        <f t="shared" si="33"/>
        <v>SÍ</v>
      </c>
      <c r="P98" s="20" t="str">
        <f t="shared" si="34"/>
        <v>Fase II: Aspiraciones Comunes</v>
      </c>
      <c r="Q98" s="20">
        <f t="shared" si="35"/>
        <v>55</v>
      </c>
      <c r="R98" s="20">
        <f t="shared" si="36"/>
        <v>5</v>
      </c>
      <c r="S98" s="20" t="str">
        <f t="shared" si="37"/>
        <v>Herramienta chatico</v>
      </c>
      <c r="T98" s="20">
        <f t="shared" si="18"/>
        <v>1</v>
      </c>
      <c r="U98" s="20" t="str">
        <f t="shared" ca="1" si="19"/>
        <v>Realizada</v>
      </c>
      <c r="V98" s="20"/>
      <c r="W98" s="20"/>
      <c r="X98" s="20"/>
      <c r="Y98" s="20"/>
    </row>
    <row r="99" spans="1:25" ht="37.5">
      <c r="A99" s="20">
        <v>134</v>
      </c>
      <c r="B99" s="20" t="str">
        <f t="shared" si="20"/>
        <v>Jornada Pégate al Plan: Pedagogía ciudadana para el manejo e implementación de la herramienta chatico - Parkway</v>
      </c>
      <c r="C99" s="21">
        <f t="shared" si="21"/>
        <v>45368</v>
      </c>
      <c r="D99" s="20" t="str">
        <f t="shared" si="22"/>
        <v>OPDC</v>
      </c>
      <c r="E99" s="20" t="str">
        <f t="shared" si="23"/>
        <v>NO</v>
      </c>
      <c r="F99" s="20" t="str">
        <f t="shared" si="24"/>
        <v>Plan Distrital de Desarrollo</v>
      </c>
      <c r="G99" s="20" t="str">
        <f t="shared" si="25"/>
        <v>Presencial</v>
      </c>
      <c r="H99" s="20" t="str">
        <f t="shared" si="26"/>
        <v>Identificar las propuestas ciudadanas para la formulación del Plan de Desarrollo Distrital.</v>
      </c>
      <c r="I99" s="20" t="str">
        <f t="shared" si="27"/>
        <v>Mecanismo de Consulta Ciudadana</v>
      </c>
      <c r="J99" s="20" t="str">
        <f t="shared" si="28"/>
        <v>Multiactor</v>
      </c>
      <c r="K99" s="20">
        <f t="shared" si="29"/>
        <v>0</v>
      </c>
      <c r="L99" s="20" t="str">
        <f t="shared" si="30"/>
        <v>Teusaquillo</v>
      </c>
      <c r="M99" s="20" t="str">
        <f t="shared" si="31"/>
        <v>Centro Ampliado</v>
      </c>
      <c r="N99" s="20" t="str">
        <f t="shared" si="32"/>
        <v>Teusaquillo</v>
      </c>
      <c r="O99" s="20" t="str">
        <f t="shared" si="33"/>
        <v>SÍ</v>
      </c>
      <c r="P99" s="20" t="str">
        <f t="shared" si="34"/>
        <v>Fase II: Aspiraciones Comunes</v>
      </c>
      <c r="Q99" s="20">
        <f t="shared" si="35"/>
        <v>219</v>
      </c>
      <c r="R99" s="20">
        <f t="shared" si="36"/>
        <v>18</v>
      </c>
      <c r="S99" s="20" t="str">
        <f t="shared" si="37"/>
        <v>Pedagogía uso de herramienta chatico</v>
      </c>
      <c r="T99" s="20">
        <f t="shared" si="18"/>
        <v>1</v>
      </c>
      <c r="U99" s="20" t="str">
        <f t="shared" ca="1" si="19"/>
        <v>Realizada</v>
      </c>
      <c r="V99" s="20"/>
      <c r="W99" s="20"/>
      <c r="X99" s="20"/>
      <c r="Y99" s="20"/>
    </row>
    <row r="100" spans="1:25" ht="37.5">
      <c r="A100" s="20">
        <v>135</v>
      </c>
      <c r="B100" s="20" t="str">
        <f t="shared" si="20"/>
        <v>Jornada Pégate al Plan: Pedagogía ciudadana para el manejo e implementación de la herramienta chatico - Conmemoración del día de la Mujer Sumapaceña</v>
      </c>
      <c r="C100" s="21">
        <f t="shared" si="21"/>
        <v>45368</v>
      </c>
      <c r="D100" s="20" t="str">
        <f t="shared" si="22"/>
        <v>OPDC</v>
      </c>
      <c r="E100" s="20" t="str">
        <f t="shared" si="23"/>
        <v>NO</v>
      </c>
      <c r="F100" s="20" t="str">
        <f t="shared" si="24"/>
        <v>Plan Distrital de Desarrollo</v>
      </c>
      <c r="G100" s="20" t="str">
        <f t="shared" si="25"/>
        <v>Presencial</v>
      </c>
      <c r="H100" s="20" t="str">
        <f t="shared" si="26"/>
        <v>Identificar las propuestas ciudadanas para la formulación del Plan de Desarrollo Distrital.</v>
      </c>
      <c r="I100" s="20" t="str">
        <f t="shared" si="27"/>
        <v>Mecanismo de Consulta Ciudadana</v>
      </c>
      <c r="J100" s="20" t="str">
        <f t="shared" si="28"/>
        <v>Multiactor</v>
      </c>
      <c r="K100" s="20">
        <f t="shared" si="29"/>
        <v>0</v>
      </c>
      <c r="L100" s="20" t="str">
        <f t="shared" si="30"/>
        <v>Sumapaz</v>
      </c>
      <c r="M100" s="20" t="str">
        <f t="shared" si="31"/>
        <v>Ruralidad</v>
      </c>
      <c r="N100" s="20" t="str">
        <f t="shared" si="32"/>
        <v>Sumapaz</v>
      </c>
      <c r="O100" s="20" t="str">
        <f t="shared" si="33"/>
        <v>SÍ</v>
      </c>
      <c r="P100" s="20" t="str">
        <f t="shared" si="34"/>
        <v>Fase II: Aspiraciones Comunes</v>
      </c>
      <c r="Q100" s="20">
        <f t="shared" si="35"/>
        <v>21</v>
      </c>
      <c r="R100" s="20">
        <f t="shared" si="36"/>
        <v>3</v>
      </c>
      <c r="S100" s="20" t="str">
        <f t="shared" si="37"/>
        <v xml:space="preserve">Propuestas para el Plan Distrital de Desarrollo </v>
      </c>
      <c r="T100" s="20">
        <f t="shared" si="18"/>
        <v>1</v>
      </c>
      <c r="U100" s="20" t="str">
        <f t="shared" ca="1" si="19"/>
        <v>Realizada</v>
      </c>
      <c r="V100" s="20"/>
      <c r="W100" s="20"/>
      <c r="X100" s="20"/>
      <c r="Y100" s="20"/>
    </row>
    <row r="101" spans="1:25" ht="37.5">
      <c r="A101" s="20">
        <v>136</v>
      </c>
      <c r="B101" s="20" t="str">
        <f t="shared" si="20"/>
        <v>Jornada Pégate al Plan: Pedagogía ciudadana para el manejo de la herramienta chatico - Alimentarte II</v>
      </c>
      <c r="C101" s="21">
        <f t="shared" si="21"/>
        <v>45368</v>
      </c>
      <c r="D101" s="20" t="str">
        <f t="shared" si="22"/>
        <v>OPDC</v>
      </c>
      <c r="E101" s="20" t="str">
        <f t="shared" si="23"/>
        <v>NO</v>
      </c>
      <c r="F101" s="20" t="str">
        <f t="shared" si="24"/>
        <v>Plan Distrital de Desarrollo</v>
      </c>
      <c r="G101" s="20" t="str">
        <f t="shared" si="25"/>
        <v>Presencial</v>
      </c>
      <c r="H101" s="20" t="str">
        <f t="shared" si="26"/>
        <v>Identificar las propuestas ciudadanas para la formulación del Plan de Desarrollo Distrital.</v>
      </c>
      <c r="I101" s="20" t="str">
        <f t="shared" si="27"/>
        <v>Mecanismo de Consulta Ciudadana</v>
      </c>
      <c r="J101" s="20" t="str">
        <f t="shared" si="28"/>
        <v>Multiactor</v>
      </c>
      <c r="K101" s="20">
        <f t="shared" si="29"/>
        <v>0</v>
      </c>
      <c r="L101" s="20" t="str">
        <f t="shared" si="30"/>
        <v>Usaquén</v>
      </c>
      <c r="M101" s="20" t="str">
        <f t="shared" si="31"/>
        <v>Distrital</v>
      </c>
      <c r="N101" s="20" t="str">
        <f t="shared" si="32"/>
        <v>Distrital</v>
      </c>
      <c r="O101" s="20" t="str">
        <f t="shared" si="33"/>
        <v>SÍ</v>
      </c>
      <c r="P101" s="20" t="str">
        <f t="shared" si="34"/>
        <v>Fase II: Aspiraciones Comunes</v>
      </c>
      <c r="Q101" s="20">
        <f t="shared" si="35"/>
        <v>44</v>
      </c>
      <c r="R101" s="20">
        <f t="shared" si="36"/>
        <v>5</v>
      </c>
      <c r="S101" s="20" t="str">
        <f t="shared" si="37"/>
        <v xml:space="preserve"> Propuestas ciudadanas para la formulación del Plan de Desarrollo Distrital</v>
      </c>
      <c r="T101" s="20">
        <f t="shared" si="18"/>
        <v>1</v>
      </c>
      <c r="U101" s="20" t="str">
        <f t="shared" ca="1" si="19"/>
        <v>Realizada</v>
      </c>
      <c r="V101" s="20"/>
      <c r="W101" s="20"/>
      <c r="X101" s="20"/>
      <c r="Y101" s="20"/>
    </row>
    <row r="102" spans="1:25" ht="61.5">
      <c r="A102" s="20">
        <v>138</v>
      </c>
      <c r="B102" s="20" t="str">
        <f t="shared" si="20"/>
        <v>Reunión preparatoria para la realización de Diálogos Ciudadanos con Grupos Étnicos</v>
      </c>
      <c r="C102" s="21">
        <f t="shared" si="21"/>
        <v>45369</v>
      </c>
      <c r="D102" s="20" t="str">
        <f t="shared" si="22"/>
        <v>OPDC</v>
      </c>
      <c r="E102" s="20" t="str">
        <f t="shared" si="23"/>
        <v>NO</v>
      </c>
      <c r="F102" s="20" t="str">
        <f t="shared" si="24"/>
        <v>Plan Distrital de Desarrollo</v>
      </c>
      <c r="G102" s="20" t="str">
        <f t="shared" si="25"/>
        <v>Presencial</v>
      </c>
      <c r="H102" s="20" t="str">
        <f t="shared" si="26"/>
        <v>Realizar reunión preparatoria para los Diálogos Ciudadanos con Grupos Étnicos con los enlaces de grupos étnicos de la Secretaría Distrital de Planeacion</v>
      </c>
      <c r="I102" s="20" t="str">
        <f t="shared" si="27"/>
        <v>Gestión Institucional</v>
      </c>
      <c r="J102" s="20" t="str">
        <f t="shared" si="28"/>
        <v>Público</v>
      </c>
      <c r="K102" s="20" t="str">
        <f t="shared" si="29"/>
        <v>Servidores públicos (Distrital)</v>
      </c>
      <c r="L102" s="20" t="str">
        <f t="shared" si="30"/>
        <v>Distrital</v>
      </c>
      <c r="M102" s="20" t="str">
        <f t="shared" si="31"/>
        <v>Distrital</v>
      </c>
      <c r="N102" s="20" t="str">
        <f t="shared" si="32"/>
        <v>Distrital</v>
      </c>
      <c r="O102" s="20" t="str">
        <f t="shared" si="33"/>
        <v>SÍ</v>
      </c>
      <c r="P102" s="20" t="str">
        <f t="shared" si="34"/>
        <v>Gestión interinstitucional</v>
      </c>
      <c r="Q102" s="20">
        <f t="shared" si="35"/>
        <v>5</v>
      </c>
      <c r="R102" s="20">
        <f t="shared" si="36"/>
        <v>2</v>
      </c>
      <c r="S102" s="20" t="str">
        <f t="shared" si="37"/>
        <v>Metodología para diálogos ciudadanos; grupos étnicos; articulación institucional</v>
      </c>
      <c r="T102" s="20">
        <f t="shared" si="18"/>
        <v>1</v>
      </c>
      <c r="U102" s="20" t="str">
        <f t="shared" ca="1" si="19"/>
        <v>Realizada</v>
      </c>
      <c r="V102" s="20"/>
      <c r="W102" s="20"/>
      <c r="X102" s="20"/>
      <c r="Y102" s="20"/>
    </row>
    <row r="103" spans="1:25" ht="37.5">
      <c r="A103" s="20">
        <v>141</v>
      </c>
      <c r="B103" s="20" t="str">
        <f t="shared" si="20"/>
        <v>Dialogo Ciudadano para la Construcción del PDD - UPL Chapinero</v>
      </c>
      <c r="C103" s="21">
        <f t="shared" si="21"/>
        <v>45369</v>
      </c>
      <c r="D103" s="20" t="str">
        <f t="shared" si="22"/>
        <v>OPDC</v>
      </c>
      <c r="E103" s="20" t="str">
        <f t="shared" si="23"/>
        <v>NO</v>
      </c>
      <c r="F103" s="20" t="str">
        <f t="shared" si="24"/>
        <v>Plan Distrital de Desarrollo</v>
      </c>
      <c r="G103" s="20" t="str">
        <f t="shared" si="25"/>
        <v>Presencial</v>
      </c>
      <c r="H103" s="20" t="str">
        <f t="shared" si="26"/>
        <v>Identificar las propuestas ciudadanas para la formulación del Plan de Desarrollo Distrital.</v>
      </c>
      <c r="I103" s="20" t="str">
        <f t="shared" si="27"/>
        <v>Mecanismo de Diálogo</v>
      </c>
      <c r="J103" s="20" t="str">
        <f t="shared" si="28"/>
        <v>Multiactor</v>
      </c>
      <c r="K103" s="20">
        <f t="shared" si="29"/>
        <v>0</v>
      </c>
      <c r="L103" s="20" t="str">
        <f t="shared" si="30"/>
        <v>Chapinero</v>
      </c>
      <c r="M103" s="20" t="str">
        <f t="shared" si="31"/>
        <v>Centro Ampliado</v>
      </c>
      <c r="N103" s="20" t="str">
        <f t="shared" si="32"/>
        <v>Chapinero</v>
      </c>
      <c r="O103" s="20" t="str">
        <f t="shared" si="33"/>
        <v>SÍ</v>
      </c>
      <c r="P103" s="20" t="str">
        <f t="shared" si="34"/>
        <v>Fase II: Aspiraciones Comunes</v>
      </c>
      <c r="Q103" s="20">
        <f t="shared" si="35"/>
        <v>66</v>
      </c>
      <c r="R103" s="20">
        <f t="shared" si="36"/>
        <v>17</v>
      </c>
      <c r="S103" s="20" t="str">
        <f t="shared" si="37"/>
        <v>Obtetivos, programas , soluciones en el marco de la formulación del PDD</v>
      </c>
      <c r="T103" s="20">
        <f t="shared" si="18"/>
        <v>1</v>
      </c>
      <c r="U103" s="20" t="str">
        <f t="shared" ca="1" si="19"/>
        <v>Realizada</v>
      </c>
      <c r="V103" s="20"/>
      <c r="W103" s="20"/>
      <c r="X103" s="20"/>
      <c r="Y103" s="20"/>
    </row>
    <row r="104" spans="1:25" ht="49.5">
      <c r="A104" s="20">
        <v>142</v>
      </c>
      <c r="B104" s="20" t="str">
        <f t="shared" si="20"/>
        <v>Plenaria Permantente Extraordinaria - CTPD</v>
      </c>
      <c r="C104" s="21">
        <f t="shared" si="21"/>
        <v>45369</v>
      </c>
      <c r="D104" s="20" t="str">
        <f t="shared" si="22"/>
        <v>INSTANCIAS</v>
      </c>
      <c r="E104" s="20" t="str">
        <f t="shared" si="23"/>
        <v>NO</v>
      </c>
      <c r="F104" s="20" t="str">
        <f t="shared" si="24"/>
        <v>CTPD (Consejo Territorial de Planeación Distrital)</v>
      </c>
      <c r="G104" s="20" t="str">
        <f t="shared" si="25"/>
        <v>Virtual</v>
      </c>
      <c r="H104" s="20" t="str">
        <f t="shared" si="26"/>
        <v>Acompañar la aprobación del Reglamento Interno.</v>
      </c>
      <c r="I104" s="20" t="str">
        <f t="shared" si="27"/>
        <v>Mecanismo de Seguimiento y Evaluación</v>
      </c>
      <c r="J104" s="20" t="str">
        <f t="shared" si="28"/>
        <v>Comunitario</v>
      </c>
      <c r="K104" s="20" t="str">
        <f t="shared" si="29"/>
        <v>CTPD</v>
      </c>
      <c r="L104" s="20" t="str">
        <f t="shared" si="30"/>
        <v>Distrital</v>
      </c>
      <c r="M104" s="20" t="str">
        <f t="shared" si="31"/>
        <v>Distrital</v>
      </c>
      <c r="N104" s="20" t="str">
        <f t="shared" si="32"/>
        <v>Distrital</v>
      </c>
      <c r="O104" s="20" t="str">
        <f t="shared" si="33"/>
        <v>NO</v>
      </c>
      <c r="P104" s="20" t="str">
        <f t="shared" si="34"/>
        <v>No aplica</v>
      </c>
      <c r="Q104" s="20">
        <f t="shared" si="35"/>
        <v>86</v>
      </c>
      <c r="R104" s="20">
        <f t="shared" si="36"/>
        <v>5</v>
      </c>
      <c r="S104" s="20" t="str">
        <f t="shared" si="37"/>
        <v>Aprobación del reglamento interno CTPD</v>
      </c>
      <c r="T104" s="20">
        <f t="shared" si="18"/>
        <v>1</v>
      </c>
      <c r="U104" s="20" t="str">
        <f t="shared" ca="1" si="19"/>
        <v>Realizada</v>
      </c>
      <c r="V104" s="20"/>
      <c r="W104" s="20"/>
      <c r="X104" s="20"/>
      <c r="Y104" s="20"/>
    </row>
    <row r="105" spans="1:25" ht="49.5">
      <c r="A105" s="20">
        <v>143</v>
      </c>
      <c r="B105" s="20" t="str">
        <f t="shared" si="20"/>
        <v>I Diálogo Ciudadano Poblacional para la Construcción del PDD - Taller Niños, Niñas y Adolescentes - SED-SDP</v>
      </c>
      <c r="C105" s="21">
        <f t="shared" si="21"/>
        <v>45370</v>
      </c>
      <c r="D105" s="20" t="str">
        <f t="shared" si="22"/>
        <v>OPDC</v>
      </c>
      <c r="E105" s="20" t="str">
        <f t="shared" si="23"/>
        <v>NO</v>
      </c>
      <c r="F105" s="20" t="str">
        <f t="shared" si="24"/>
        <v>Plan Distrital de Desarrollo</v>
      </c>
      <c r="G105" s="20" t="str">
        <f t="shared" si="25"/>
        <v>Presencial</v>
      </c>
      <c r="H105" s="20" t="str">
        <f t="shared" si="26"/>
        <v>Recoger las propuestas de los Niños, Niñas y Adolescentes con respecto a la fase de aspiraciones comunes del Plan Distrital de Desarrollo.</v>
      </c>
      <c r="I105" s="20" t="str">
        <f t="shared" si="27"/>
        <v>Mecanismo de Diálogo</v>
      </c>
      <c r="J105" s="20" t="str">
        <f t="shared" si="28"/>
        <v>Individual</v>
      </c>
      <c r="K105" s="20">
        <f t="shared" si="29"/>
        <v>0</v>
      </c>
      <c r="L105" s="20" t="str">
        <f t="shared" si="30"/>
        <v>Distrital</v>
      </c>
      <c r="M105" s="20" t="str">
        <f t="shared" si="31"/>
        <v>Distrital</v>
      </c>
      <c r="N105" s="20" t="str">
        <f t="shared" si="32"/>
        <v>Distrital</v>
      </c>
      <c r="O105" s="20" t="str">
        <f t="shared" si="33"/>
        <v>SÍ</v>
      </c>
      <c r="P105" s="20" t="str">
        <f t="shared" si="34"/>
        <v>Fase II: Aspiraciones Comunes</v>
      </c>
      <c r="Q105" s="20">
        <f t="shared" si="35"/>
        <v>29</v>
      </c>
      <c r="R105" s="20">
        <f t="shared" si="36"/>
        <v>1</v>
      </c>
      <c r="S105" s="20" t="str">
        <f t="shared" si="37"/>
        <v>Fase II PDD</v>
      </c>
      <c r="T105" s="20">
        <f t="shared" si="18"/>
        <v>1</v>
      </c>
      <c r="U105" s="20" t="str">
        <f t="shared" ca="1" si="19"/>
        <v>Realizada</v>
      </c>
      <c r="V105" s="20"/>
      <c r="W105" s="20"/>
      <c r="X105" s="20"/>
      <c r="Y105" s="20"/>
    </row>
    <row r="106" spans="1:25" ht="49.5">
      <c r="A106" s="20">
        <v>144</v>
      </c>
      <c r="B106" s="20" t="str">
        <f t="shared" si="20"/>
        <v>CLIP Puente Aranda</v>
      </c>
      <c r="C106" s="21">
        <f t="shared" si="21"/>
        <v>45370</v>
      </c>
      <c r="D106" s="20" t="str">
        <f t="shared" si="22"/>
        <v>INSTANCIAS</v>
      </c>
      <c r="E106" s="20" t="str">
        <f t="shared" si="23"/>
        <v>NO</v>
      </c>
      <c r="F106" s="20" t="str">
        <f t="shared" si="24"/>
        <v>CLIP (Comisión Local Intersectorial de Participación)</v>
      </c>
      <c r="G106" s="20" t="str">
        <f t="shared" si="25"/>
        <v>Presencial</v>
      </c>
      <c r="H106" s="20" t="str">
        <f t="shared" si="26"/>
        <v>Acompañar la articulación de los esfuerzos institucionales de participación en la localidad de Puente Aranda.</v>
      </c>
      <c r="I106" s="20" t="str">
        <f t="shared" si="27"/>
        <v>Gestión Institucional</v>
      </c>
      <c r="J106" s="20" t="str">
        <f t="shared" si="28"/>
        <v>Público</v>
      </c>
      <c r="K106" s="20" t="str">
        <f t="shared" si="29"/>
        <v>Servidores públicos (local)</v>
      </c>
      <c r="L106" s="20" t="str">
        <f t="shared" si="30"/>
        <v>Puente Aranda</v>
      </c>
      <c r="M106" s="20" t="str">
        <f t="shared" si="31"/>
        <v>Centro Ampliado</v>
      </c>
      <c r="N106" s="20" t="str">
        <f t="shared" si="32"/>
        <v>Puente Aranda</v>
      </c>
      <c r="O106" s="20" t="str">
        <f t="shared" si="33"/>
        <v>NO</v>
      </c>
      <c r="P106" s="20" t="str">
        <f t="shared" si="34"/>
        <v>No aplica</v>
      </c>
      <c r="Q106" s="20">
        <f t="shared" si="35"/>
        <v>20</v>
      </c>
      <c r="R106" s="20">
        <f t="shared" si="36"/>
        <v>1</v>
      </c>
      <c r="S106" s="20" t="str">
        <f t="shared" si="37"/>
        <v>Agenda participación Abril, Presentación estrategias formulación PDD</v>
      </c>
      <c r="T106" s="20">
        <f t="shared" si="18"/>
        <v>1</v>
      </c>
      <c r="U106" s="20" t="str">
        <f t="shared" ca="1" si="19"/>
        <v>Realizada</v>
      </c>
      <c r="V106" s="20"/>
      <c r="W106" s="20"/>
      <c r="X106" s="20"/>
      <c r="Y106" s="20"/>
    </row>
    <row r="107" spans="1:25" ht="49.5">
      <c r="A107" s="20">
        <v>145</v>
      </c>
      <c r="B107" s="20" t="str">
        <f t="shared" si="20"/>
        <v xml:space="preserve">I Diálogo Ciudadano Poblacional para la Construcción del PDD - Consultiva Negra-afrocolombiana </v>
      </c>
      <c r="C107" s="21">
        <f t="shared" si="21"/>
        <v>45370</v>
      </c>
      <c r="D107" s="20" t="str">
        <f t="shared" si="22"/>
        <v>OPDC</v>
      </c>
      <c r="E107" s="20" t="str">
        <f t="shared" si="23"/>
        <v>NO</v>
      </c>
      <c r="F107" s="20" t="str">
        <f t="shared" si="24"/>
        <v>Plan Distrital de Desarrollo</v>
      </c>
      <c r="G107" s="20" t="str">
        <f t="shared" si="25"/>
        <v>Virtual</v>
      </c>
      <c r="H107" s="20" t="str">
        <f t="shared" si="26"/>
        <v>Recoger las propuestas de la consultiva negra-afrocolombiana con respecto a la fase de aspiraciones comunes del Plan Distrital de Desarrollo.</v>
      </c>
      <c r="I107" s="20" t="str">
        <f t="shared" si="27"/>
        <v>Mecanismo de Diálogo</v>
      </c>
      <c r="J107" s="20" t="str">
        <f t="shared" si="28"/>
        <v>Comunitario</v>
      </c>
      <c r="K107" s="20" t="str">
        <f t="shared" si="29"/>
        <v>Consejo Consultivo</v>
      </c>
      <c r="L107" s="20" t="str">
        <f t="shared" si="30"/>
        <v>Distrital</v>
      </c>
      <c r="M107" s="20" t="str">
        <f t="shared" si="31"/>
        <v>Distrital</v>
      </c>
      <c r="N107" s="20" t="str">
        <f t="shared" si="32"/>
        <v>Distrital</v>
      </c>
      <c r="O107" s="20" t="str">
        <f t="shared" si="33"/>
        <v>SÍ</v>
      </c>
      <c r="P107" s="20" t="str">
        <f t="shared" si="34"/>
        <v>Fase II: Aspiraciones Comunes</v>
      </c>
      <c r="Q107" s="20">
        <f t="shared" si="35"/>
        <v>52</v>
      </c>
      <c r="R107" s="20">
        <f t="shared" si="36"/>
        <v>5</v>
      </c>
      <c r="S107" s="20" t="str">
        <f t="shared" si="37"/>
        <v>Propuestas sobre las metas del objetivo estratégico "Bogotá camina segura" del proyecto del PDD por parte de las comunidades negras</v>
      </c>
      <c r="T107" s="20">
        <f t="shared" si="18"/>
        <v>1</v>
      </c>
      <c r="U107" s="20" t="str">
        <f t="shared" ca="1" si="19"/>
        <v>Realizada</v>
      </c>
      <c r="V107" s="20"/>
      <c r="W107" s="20"/>
      <c r="X107" s="20"/>
      <c r="Y107" s="20"/>
    </row>
    <row r="108" spans="1:25" ht="49.5">
      <c r="A108" s="20">
        <v>146</v>
      </c>
      <c r="B108" s="20" t="str">
        <f t="shared" si="20"/>
        <v>I Foro - reglamentación del Manual de Ecourbanismo y Construcción Sostenible - Bienestar</v>
      </c>
      <c r="C108" s="21">
        <f t="shared" si="21"/>
        <v>45370</v>
      </c>
      <c r="D108" s="20" t="str">
        <f t="shared" si="22"/>
        <v>GENERAL SDP</v>
      </c>
      <c r="E108" s="20" t="str">
        <f t="shared" si="23"/>
        <v>SÍ</v>
      </c>
      <c r="F108" s="20" t="str">
        <f t="shared" si="24"/>
        <v>Reglamentación de Ecourbanismo y Construcción Sostenible</v>
      </c>
      <c r="G108" s="20" t="str">
        <f t="shared" si="25"/>
        <v>Virtual</v>
      </c>
      <c r="H108" s="20" t="str">
        <f t="shared" si="26"/>
        <v>Socializar la reglamentación de las disposiciones de Ecourbanismo y Construcción Sostenible - Decreto 582 de 2023 (generalidades).</v>
      </c>
      <c r="I108" s="20" t="str">
        <f t="shared" si="27"/>
        <v>Mecanismo de Comunicación para la Participación</v>
      </c>
      <c r="J108" s="20" t="str">
        <f t="shared" si="28"/>
        <v>Público</v>
      </c>
      <c r="K108" s="20" t="str">
        <f t="shared" si="29"/>
        <v>Servidores públicos (Distrital)</v>
      </c>
      <c r="L108" s="20" t="str">
        <f t="shared" si="30"/>
        <v>Distrital</v>
      </c>
      <c r="M108" s="20" t="str">
        <f t="shared" si="31"/>
        <v>Distrital</v>
      </c>
      <c r="N108" s="20" t="str">
        <f t="shared" si="32"/>
        <v>Distrital</v>
      </c>
      <c r="O108" s="20" t="str">
        <f t="shared" si="33"/>
        <v>NO</v>
      </c>
      <c r="P108" s="20" t="str">
        <f t="shared" si="34"/>
        <v>No aplica</v>
      </c>
      <c r="Q108" s="20">
        <f t="shared" si="35"/>
        <v>16</v>
      </c>
      <c r="R108" s="20">
        <f t="shared" si="36"/>
        <v>2</v>
      </c>
      <c r="S108" s="20" t="str">
        <f t="shared" si="37"/>
        <v>Manual de Eco urbanismo</v>
      </c>
      <c r="T108" s="20">
        <f t="shared" si="18"/>
        <v>1</v>
      </c>
      <c r="U108" s="20" t="str">
        <f t="shared" ca="1" si="19"/>
        <v>Realizada</v>
      </c>
      <c r="V108" s="20"/>
      <c r="W108" s="20"/>
      <c r="X108" s="20"/>
      <c r="Y108" s="20"/>
    </row>
    <row r="109" spans="1:25" ht="37.5">
      <c r="A109" s="20">
        <v>147</v>
      </c>
      <c r="B109" s="20" t="str">
        <f t="shared" si="20"/>
        <v>Abordaje Plan Distrital de Desarrollo -  Summa</v>
      </c>
      <c r="C109" s="21">
        <f t="shared" si="21"/>
        <v>45370</v>
      </c>
      <c r="D109" s="20" t="str">
        <f t="shared" si="22"/>
        <v>OPDC</v>
      </c>
      <c r="E109" s="20" t="str">
        <f t="shared" si="23"/>
        <v>NO</v>
      </c>
      <c r="F109" s="20" t="str">
        <f t="shared" si="24"/>
        <v>Plan Distrital de Desarrollo</v>
      </c>
      <c r="G109" s="20" t="str">
        <f t="shared" si="25"/>
        <v>Virtual</v>
      </c>
      <c r="H109" s="20" t="str">
        <f t="shared" si="26"/>
        <v>Acompañar el espacio para abordar las generalidades del Plan Distrital de Desarrollo.</v>
      </c>
      <c r="I109" s="20" t="str">
        <f t="shared" si="27"/>
        <v>Mecanismo de Diálogo</v>
      </c>
      <c r="J109" s="20" t="str">
        <f t="shared" si="28"/>
        <v>Privado</v>
      </c>
      <c r="K109" s="20">
        <f t="shared" si="29"/>
        <v>0</v>
      </c>
      <c r="L109" s="20" t="str">
        <f t="shared" si="30"/>
        <v>Distrital</v>
      </c>
      <c r="M109" s="20" t="str">
        <f t="shared" si="31"/>
        <v>Distrital</v>
      </c>
      <c r="N109" s="20" t="str">
        <f t="shared" si="32"/>
        <v>Distrital</v>
      </c>
      <c r="O109" s="20" t="str">
        <f t="shared" si="33"/>
        <v>SÍ</v>
      </c>
      <c r="P109" s="20" t="str">
        <f t="shared" si="34"/>
        <v>Gestión interinstitucional</v>
      </c>
      <c r="Q109" s="20">
        <f t="shared" si="35"/>
        <v>2</v>
      </c>
      <c r="R109" s="20">
        <f t="shared" si="36"/>
        <v>4</v>
      </c>
      <c r="S109" s="20" t="str">
        <f t="shared" si="37"/>
        <v>Apoyo por parte de suma a los espacios de incidencia, apoyo al plan de desarrollo distrital</v>
      </c>
      <c r="T109" s="20">
        <f t="shared" si="18"/>
        <v>1</v>
      </c>
      <c r="U109" s="20" t="str">
        <f t="shared" ca="1" si="19"/>
        <v>Realizada</v>
      </c>
      <c r="V109" s="20"/>
      <c r="W109" s="20"/>
      <c r="X109" s="20"/>
      <c r="Y109" s="20"/>
    </row>
    <row r="110" spans="1:25" ht="37.5">
      <c r="A110" s="20">
        <v>148</v>
      </c>
      <c r="B110" s="20" t="str">
        <f t="shared" si="20"/>
        <v>Dialogo Ciudadano para la Construcción del PDD - UPL Sumapaz - Cuenca Río Blanco</v>
      </c>
      <c r="C110" s="21">
        <f t="shared" si="21"/>
        <v>45370</v>
      </c>
      <c r="D110" s="20" t="str">
        <f t="shared" si="22"/>
        <v>OPDC</v>
      </c>
      <c r="E110" s="20" t="str">
        <f t="shared" si="23"/>
        <v>NO</v>
      </c>
      <c r="F110" s="20" t="str">
        <f t="shared" si="24"/>
        <v>Plan Distrital de Desarrollo</v>
      </c>
      <c r="G110" s="20" t="str">
        <f t="shared" si="25"/>
        <v>Presencial</v>
      </c>
      <c r="H110" s="20" t="str">
        <f t="shared" si="26"/>
        <v>Identificar las propuestas ciudadanas para la formulación del Plan de Desarrollo Distrital.</v>
      </c>
      <c r="I110" s="20" t="str">
        <f t="shared" si="27"/>
        <v>Mecanismo de Diálogo</v>
      </c>
      <c r="J110" s="20" t="str">
        <f t="shared" si="28"/>
        <v>Multiactor</v>
      </c>
      <c r="K110" s="20">
        <f t="shared" si="29"/>
        <v>0</v>
      </c>
      <c r="L110" s="20" t="str">
        <f t="shared" si="30"/>
        <v>Sumapaz</v>
      </c>
      <c r="M110" s="20" t="str">
        <f t="shared" si="31"/>
        <v>Ruralidad</v>
      </c>
      <c r="N110" s="20" t="str">
        <f t="shared" si="32"/>
        <v>Sumapaz</v>
      </c>
      <c r="O110" s="20" t="str">
        <f t="shared" si="33"/>
        <v>SÍ</v>
      </c>
      <c r="P110" s="20" t="str">
        <f t="shared" si="34"/>
        <v>Fase II: Aspiraciones Comunes</v>
      </c>
      <c r="Q110" s="20">
        <f t="shared" si="35"/>
        <v>59</v>
      </c>
      <c r="R110" s="20">
        <f t="shared" si="36"/>
        <v>11</v>
      </c>
      <c r="S110" s="20" t="str">
        <f t="shared" si="37"/>
        <v>Propuestas Plan Distrital de Desarrollo</v>
      </c>
      <c r="T110" s="20">
        <f t="shared" si="18"/>
        <v>1</v>
      </c>
      <c r="U110" s="20" t="str">
        <f t="shared" ca="1" si="19"/>
        <v>Realizada</v>
      </c>
      <c r="V110" s="20"/>
      <c r="W110" s="20"/>
      <c r="X110" s="20"/>
      <c r="Y110" s="20"/>
    </row>
    <row r="111" spans="1:25" ht="37.5">
      <c r="A111" s="20">
        <v>149</v>
      </c>
      <c r="B111" s="20" t="str">
        <f t="shared" si="20"/>
        <v>Dialogo Ciudadano para la Construcción del PDD - UPL Salitre</v>
      </c>
      <c r="C111" s="21">
        <f t="shared" si="21"/>
        <v>45370</v>
      </c>
      <c r="D111" s="20" t="str">
        <f t="shared" si="22"/>
        <v>OPDC</v>
      </c>
      <c r="E111" s="20" t="str">
        <f t="shared" si="23"/>
        <v>NO</v>
      </c>
      <c r="F111" s="20" t="str">
        <f t="shared" si="24"/>
        <v>Plan Distrital de Desarrollo</v>
      </c>
      <c r="G111" s="20" t="str">
        <f t="shared" si="25"/>
        <v>Presencial</v>
      </c>
      <c r="H111" s="20" t="str">
        <f t="shared" si="26"/>
        <v>Identificar las propuestas ciudadanas para la formulación del Plan de Desarrollo Distrital.</v>
      </c>
      <c r="I111" s="20" t="str">
        <f t="shared" si="27"/>
        <v>Mecanismo de Diálogo</v>
      </c>
      <c r="J111" s="20" t="str">
        <f t="shared" si="28"/>
        <v>Multiactor</v>
      </c>
      <c r="K111" s="20">
        <f t="shared" si="29"/>
        <v>0</v>
      </c>
      <c r="L111" s="20" t="str">
        <f t="shared" si="30"/>
        <v>Fontibón, Engativá</v>
      </c>
      <c r="M111" s="20" t="str">
        <f t="shared" si="31"/>
        <v>Occidente</v>
      </c>
      <c r="N111" s="20" t="str">
        <f t="shared" si="32"/>
        <v>Salitre</v>
      </c>
      <c r="O111" s="20" t="str">
        <f t="shared" si="33"/>
        <v>SÍ</v>
      </c>
      <c r="P111" s="20" t="str">
        <f t="shared" si="34"/>
        <v>Fase II: Aspiraciones Comunes</v>
      </c>
      <c r="Q111" s="20">
        <f t="shared" si="35"/>
        <v>53</v>
      </c>
      <c r="R111" s="20">
        <f t="shared" si="36"/>
        <v>18</v>
      </c>
      <c r="S111" s="20" t="str">
        <f t="shared" si="37"/>
        <v>Popuestas Plan Distrital de Desarrollo</v>
      </c>
      <c r="T111" s="20">
        <f t="shared" si="18"/>
        <v>1</v>
      </c>
      <c r="U111" s="20" t="str">
        <f t="shared" ca="1" si="19"/>
        <v>Realizada</v>
      </c>
      <c r="V111" s="20"/>
      <c r="W111" s="20"/>
      <c r="X111" s="20"/>
      <c r="Y111" s="20"/>
    </row>
    <row r="112" spans="1:25" ht="98.25">
      <c r="A112" s="20">
        <v>150</v>
      </c>
      <c r="B112" s="20" t="str">
        <f t="shared" si="20"/>
        <v>Diálogo ciudadano para la formulación del Plan Distrital de Desarrollo PDD- LGBTI</v>
      </c>
      <c r="C112" s="21">
        <f t="shared" si="21"/>
        <v>45370</v>
      </c>
      <c r="D112" s="20" t="str">
        <f t="shared" si="22"/>
        <v>GENERAL SDP</v>
      </c>
      <c r="E112" s="20" t="str">
        <f t="shared" si="23"/>
        <v>NO</v>
      </c>
      <c r="F112" s="20" t="str">
        <f t="shared" si="24"/>
        <v>Plan Distrital de Desarrollo</v>
      </c>
      <c r="G112" s="20" t="str">
        <f t="shared" si="25"/>
        <v>Presencial</v>
      </c>
      <c r="H112" s="20" t="str">
        <f t="shared" si="26"/>
        <v>Orientar la construcción de propuestas ciudadanas para la formulación del PDD a través de información, diálogo, pedagogía y fortalecimiento de la confianza desde la planeación participativa, con personas de los sectores LGBTI y consejeros/as consultivos</v>
      </c>
      <c r="I112" s="20" t="str">
        <f t="shared" si="27"/>
        <v>Gestión Institucional</v>
      </c>
      <c r="J112" s="20" t="str">
        <f t="shared" si="28"/>
        <v>Multiactor</v>
      </c>
      <c r="K112" s="20">
        <f t="shared" si="29"/>
        <v>0</v>
      </c>
      <c r="L112" s="20" t="str">
        <f t="shared" si="30"/>
        <v>Santa Fe</v>
      </c>
      <c r="M112" s="20" t="str">
        <f t="shared" si="31"/>
        <v>Centro Ampliado, Ruralidad</v>
      </c>
      <c r="N112" s="20" t="str">
        <f t="shared" si="32"/>
        <v>Cerros Orientales, Centro Histórico</v>
      </c>
      <c r="O112" s="20" t="str">
        <f t="shared" si="33"/>
        <v>NO</v>
      </c>
      <c r="P112" s="20" t="str">
        <f t="shared" si="34"/>
        <v>No aplica</v>
      </c>
      <c r="Q112" s="20">
        <f t="shared" si="35"/>
        <v>21</v>
      </c>
      <c r="R112" s="20">
        <f t="shared" si="36"/>
        <v>15</v>
      </c>
      <c r="S112" s="20" t="str">
        <f t="shared" si="37"/>
        <v>Construcción de propuestas ciudadanas para la formulación del PDD a través de información, diálogo, pedagogía y fortalecimiento de la confianza desde la planeación participativa, con personas de los sectores LGBTI y consejeros/as consultivos</v>
      </c>
      <c r="T112" s="20">
        <f t="shared" si="18"/>
        <v>1</v>
      </c>
      <c r="U112" s="20" t="str">
        <f t="shared" ca="1" si="19"/>
        <v>Realizada</v>
      </c>
      <c r="V112" s="20"/>
      <c r="W112" s="20"/>
      <c r="X112" s="20"/>
      <c r="Y112" s="20"/>
    </row>
    <row r="113" spans="1:25" ht="86.25">
      <c r="A113" s="20">
        <v>151</v>
      </c>
      <c r="B113" s="20" t="str">
        <f t="shared" si="20"/>
        <v>Socialización Plan Plurianual de Inversiones - Comisión PDD - CTPD</v>
      </c>
      <c r="C113" s="21">
        <f t="shared" si="21"/>
        <v>45370</v>
      </c>
      <c r="D113" s="20" t="str">
        <f t="shared" si="22"/>
        <v>INSTANCIAS</v>
      </c>
      <c r="E113" s="20" t="str">
        <f t="shared" si="23"/>
        <v>NO</v>
      </c>
      <c r="F113" s="20" t="str">
        <f t="shared" si="24"/>
        <v>CTPD (Consejo Territorial de Planeación Distrital)</v>
      </c>
      <c r="G113" s="20" t="str">
        <f t="shared" si="25"/>
        <v>Virtual</v>
      </c>
      <c r="H113" s="20" t="str">
        <f t="shared" si="26"/>
        <v>Socializar desde la Subsecretaría de Planeación de la Inversión, de los criterios de asignación sectorial o territorial del plan plurianual de inversiones y los respectivos planes operativos anuales de inversión - POAI en la formulación del borrador del Plan.</v>
      </c>
      <c r="I113" s="20" t="str">
        <f t="shared" si="27"/>
        <v>Mecanismo de Comunicación para la Participación</v>
      </c>
      <c r="J113" s="20" t="str">
        <f t="shared" si="28"/>
        <v>Comunitario</v>
      </c>
      <c r="K113" s="20" t="str">
        <f t="shared" si="29"/>
        <v>CTPD</v>
      </c>
      <c r="L113" s="20" t="str">
        <f t="shared" si="30"/>
        <v>Distrital</v>
      </c>
      <c r="M113" s="20" t="str">
        <f t="shared" si="31"/>
        <v>Distrital</v>
      </c>
      <c r="N113" s="20" t="str">
        <f t="shared" si="32"/>
        <v>Distrital</v>
      </c>
      <c r="O113" s="20" t="str">
        <f t="shared" si="33"/>
        <v>NO</v>
      </c>
      <c r="P113" s="20" t="str">
        <f t="shared" si="34"/>
        <v>No aplica</v>
      </c>
      <c r="Q113" s="20">
        <f t="shared" si="35"/>
        <v>48</v>
      </c>
      <c r="R113" s="20">
        <f t="shared" si="36"/>
        <v>1</v>
      </c>
      <c r="S113" s="20" t="str">
        <f t="shared" si="37"/>
        <v>Plan Plurianual de Inversiones</v>
      </c>
      <c r="T113" s="20">
        <f t="shared" si="18"/>
        <v>1</v>
      </c>
      <c r="U113" s="20" t="str">
        <f t="shared" ca="1" si="19"/>
        <v>Realizada</v>
      </c>
      <c r="V113" s="20"/>
      <c r="W113" s="20"/>
      <c r="X113" s="20"/>
      <c r="Y113" s="20"/>
    </row>
    <row r="114" spans="1:25" ht="37.5">
      <c r="A114" s="20">
        <v>152</v>
      </c>
      <c r="B114" s="20" t="str">
        <f t="shared" si="20"/>
        <v>Comité Coordinador Intersectorial de Participación PDD</v>
      </c>
      <c r="C114" s="21">
        <f t="shared" si="21"/>
        <v>45371</v>
      </c>
      <c r="D114" s="20" t="str">
        <f t="shared" si="22"/>
        <v>OPDC</v>
      </c>
      <c r="E114" s="20" t="str">
        <f t="shared" si="23"/>
        <v>NO</v>
      </c>
      <c r="F114" s="20" t="str">
        <f t="shared" si="24"/>
        <v>Plan Distrital de Desarrollo</v>
      </c>
      <c r="G114" s="20" t="str">
        <f t="shared" si="25"/>
        <v>Virtual</v>
      </c>
      <c r="H114" s="20" t="str">
        <f t="shared" si="26"/>
        <v>Compartir los avances entre las entidades en la aplicación de la segunda fase del PDD</v>
      </c>
      <c r="I114" s="20" t="str">
        <f t="shared" si="27"/>
        <v>Mecanismo de Diálogo</v>
      </c>
      <c r="J114" s="20" t="str">
        <f t="shared" si="28"/>
        <v>Público</v>
      </c>
      <c r="K114" s="20" t="str">
        <f t="shared" si="29"/>
        <v>Servidores públicos (Distrital)</v>
      </c>
      <c r="L114" s="20" t="str">
        <f t="shared" si="30"/>
        <v>Distrital</v>
      </c>
      <c r="M114" s="20" t="str">
        <f t="shared" si="31"/>
        <v>Distrital</v>
      </c>
      <c r="N114" s="20" t="str">
        <f t="shared" si="32"/>
        <v>Distrital</v>
      </c>
      <c r="O114" s="20" t="str">
        <f t="shared" si="33"/>
        <v>SÍ</v>
      </c>
      <c r="P114" s="20" t="str">
        <f t="shared" si="34"/>
        <v>Gestión interinstitucional</v>
      </c>
      <c r="Q114" s="20">
        <f t="shared" si="35"/>
        <v>15</v>
      </c>
      <c r="R114" s="20">
        <f t="shared" si="36"/>
        <v>14</v>
      </c>
      <c r="S114" s="20" t="str">
        <f t="shared" si="37"/>
        <v>Avance del estatus de actividades adelantadas en el marco de la segunda fase de la estrategia de participación del PDD Aspiraciones Comunes</v>
      </c>
      <c r="T114" s="20">
        <f t="shared" si="18"/>
        <v>1</v>
      </c>
      <c r="U114" s="20" t="str">
        <f t="shared" ca="1" si="19"/>
        <v>Realizada</v>
      </c>
      <c r="V114" s="20"/>
      <c r="W114" s="20"/>
      <c r="X114" s="20"/>
      <c r="Y114" s="20"/>
    </row>
    <row r="115" spans="1:25" ht="49.5">
      <c r="A115" s="20">
        <v>153</v>
      </c>
      <c r="B115" s="20" t="str">
        <f t="shared" si="20"/>
        <v>II Diálogo Ciudadano Poblacional para la Construcción del PDD - Taller Niños, Niñas y Adolescentes - SED-SDP</v>
      </c>
      <c r="C115" s="21">
        <f t="shared" si="21"/>
        <v>45371</v>
      </c>
      <c r="D115" s="20" t="str">
        <f t="shared" si="22"/>
        <v>OPDC</v>
      </c>
      <c r="E115" s="20" t="str">
        <f t="shared" si="23"/>
        <v>NO</v>
      </c>
      <c r="F115" s="20" t="str">
        <f t="shared" si="24"/>
        <v>Plan Distrital de Desarrollo</v>
      </c>
      <c r="G115" s="20" t="str">
        <f t="shared" si="25"/>
        <v>Presencial</v>
      </c>
      <c r="H115" s="20" t="str">
        <f t="shared" si="26"/>
        <v>Recoger las propuestas de los Niños, Niñas y Adolescentes con respecto a la fase de aspiraciones comunes del Plan Distrital de Desarrollo.</v>
      </c>
      <c r="I115" s="20" t="str">
        <f t="shared" si="27"/>
        <v>Mecanismo de Diálogo</v>
      </c>
      <c r="J115" s="20" t="str">
        <f t="shared" si="28"/>
        <v>Individual</v>
      </c>
      <c r="K115" s="20">
        <f t="shared" si="29"/>
        <v>0</v>
      </c>
      <c r="L115" s="20" t="str">
        <f t="shared" si="30"/>
        <v>Distrital</v>
      </c>
      <c r="M115" s="20" t="str">
        <f t="shared" si="31"/>
        <v>Distrital</v>
      </c>
      <c r="N115" s="20" t="str">
        <f t="shared" si="32"/>
        <v>Distrital</v>
      </c>
      <c r="O115" s="20" t="str">
        <f t="shared" si="33"/>
        <v>SÍ</v>
      </c>
      <c r="P115" s="20" t="str">
        <f t="shared" si="34"/>
        <v>Fase II: Aspiraciones Comunes</v>
      </c>
      <c r="Q115" s="20">
        <f t="shared" si="35"/>
        <v>49</v>
      </c>
      <c r="R115" s="20">
        <f t="shared" si="36"/>
        <v>1</v>
      </c>
      <c r="S115" s="20" t="str">
        <f t="shared" si="37"/>
        <v>Fase II PDD</v>
      </c>
      <c r="T115" s="20">
        <f t="shared" si="18"/>
        <v>1</v>
      </c>
      <c r="U115" s="20" t="str">
        <f t="shared" ca="1" si="19"/>
        <v>Realizada</v>
      </c>
      <c r="V115" s="20"/>
      <c r="W115" s="20"/>
      <c r="X115" s="20"/>
      <c r="Y115" s="20"/>
    </row>
    <row r="116" spans="1:25" ht="49.5">
      <c r="A116" s="20">
        <v>154</v>
      </c>
      <c r="B116" s="20" t="str">
        <f t="shared" si="20"/>
        <v>CLIP Ciudad Bolívar</v>
      </c>
      <c r="C116" s="21">
        <f t="shared" si="21"/>
        <v>45371</v>
      </c>
      <c r="D116" s="20" t="str">
        <f t="shared" si="22"/>
        <v>INSTANCIAS</v>
      </c>
      <c r="E116" s="20" t="str">
        <f t="shared" si="23"/>
        <v>NO</v>
      </c>
      <c r="F116" s="20" t="str">
        <f t="shared" si="24"/>
        <v>CLIP (Comisión Local Intersectorial de Participación)</v>
      </c>
      <c r="G116" s="20" t="str">
        <f t="shared" si="25"/>
        <v>Virtual</v>
      </c>
      <c r="H116" s="20" t="str">
        <f t="shared" si="26"/>
        <v>Acompañar la articulación de los esfuerzos institucionales de participación en la localidad de Ciudad Bolívar.</v>
      </c>
      <c r="I116" s="20" t="str">
        <f t="shared" si="27"/>
        <v>Gestión Institucional</v>
      </c>
      <c r="J116" s="20" t="str">
        <f t="shared" si="28"/>
        <v>Público</v>
      </c>
      <c r="K116" s="20" t="str">
        <f t="shared" si="29"/>
        <v>Servidores públicos (local)</v>
      </c>
      <c r="L116" s="20" t="str">
        <f t="shared" si="30"/>
        <v>Ciudad Bolívar</v>
      </c>
      <c r="M116" s="20" t="str">
        <f t="shared" si="31"/>
        <v>Suroriente, Ruralidad</v>
      </c>
      <c r="N116" s="20" t="str">
        <f t="shared" si="32"/>
        <v>Lucero, Arborizadora, Cuenca del Tunjuelo</v>
      </c>
      <c r="O116" s="20" t="str">
        <f t="shared" si="33"/>
        <v>NO</v>
      </c>
      <c r="P116" s="20" t="str">
        <f t="shared" si="34"/>
        <v>No aplica</v>
      </c>
      <c r="Q116" s="20">
        <f t="shared" si="35"/>
        <v>12</v>
      </c>
      <c r="R116" s="20">
        <f t="shared" si="36"/>
        <v>1</v>
      </c>
      <c r="S116" s="20" t="str">
        <f t="shared" si="37"/>
        <v xml:space="preserve">Presentación de la estrategia para la formulación del Plan Distrital de Desarrollo y su fase II, Aspiraciones Comunes </v>
      </c>
      <c r="T116" s="20">
        <f t="shared" si="18"/>
        <v>1</v>
      </c>
      <c r="U116" s="20" t="str">
        <f t="shared" ca="1" si="19"/>
        <v>Realizada</v>
      </c>
      <c r="V116" s="20"/>
      <c r="W116" s="20"/>
      <c r="X116" s="20"/>
      <c r="Y116" s="20"/>
    </row>
    <row r="117" spans="1:25" ht="37.5">
      <c r="A117" s="20">
        <v>155</v>
      </c>
      <c r="B117" s="20" t="str">
        <f t="shared" si="20"/>
        <v>Dialogo Ciudadano para la Construcción del PDD - UPL Britalia</v>
      </c>
      <c r="C117" s="21">
        <f t="shared" si="21"/>
        <v>45371</v>
      </c>
      <c r="D117" s="20" t="str">
        <f t="shared" si="22"/>
        <v>OPDC</v>
      </c>
      <c r="E117" s="20" t="str">
        <f t="shared" si="23"/>
        <v>NO</v>
      </c>
      <c r="F117" s="20" t="str">
        <f t="shared" si="24"/>
        <v>Plan Distrital de Desarrollo</v>
      </c>
      <c r="G117" s="20" t="str">
        <f t="shared" si="25"/>
        <v>Presencial</v>
      </c>
      <c r="H117" s="20" t="str">
        <f t="shared" si="26"/>
        <v>Identificar las propuestas ciudadanas para la formulación del Plan de Desarrollo Distrital.</v>
      </c>
      <c r="I117" s="20" t="str">
        <f t="shared" si="27"/>
        <v>Mecanismo de Diálogo</v>
      </c>
      <c r="J117" s="20" t="str">
        <f t="shared" si="28"/>
        <v>Multiactor</v>
      </c>
      <c r="K117" s="20">
        <f t="shared" si="29"/>
        <v>0</v>
      </c>
      <c r="L117" s="20" t="str">
        <f t="shared" si="30"/>
        <v>Suba</v>
      </c>
      <c r="M117" s="20" t="str">
        <f t="shared" si="31"/>
        <v>Norte</v>
      </c>
      <c r="N117" s="20" t="str">
        <f t="shared" si="32"/>
        <v>Britalia</v>
      </c>
      <c r="O117" s="20" t="str">
        <f t="shared" si="33"/>
        <v>SÍ</v>
      </c>
      <c r="P117" s="20" t="str">
        <f t="shared" si="34"/>
        <v>Fase II: Aspiraciones Comunes</v>
      </c>
      <c r="Q117" s="20">
        <f t="shared" si="35"/>
        <v>52</v>
      </c>
      <c r="R117" s="20">
        <f t="shared" si="36"/>
        <v>18</v>
      </c>
      <c r="S117" s="20" t="str">
        <f t="shared" si="37"/>
        <v>Identificar las propuestas ciudadanas para la formulación del Plan de Desarrollo Distrital</v>
      </c>
      <c r="T117" s="20">
        <f t="shared" si="18"/>
        <v>1</v>
      </c>
      <c r="U117" s="20" t="str">
        <f t="shared" ca="1" si="19"/>
        <v>Realizada</v>
      </c>
      <c r="V117" s="20"/>
      <c r="W117" s="20"/>
      <c r="X117" s="20"/>
      <c r="Y117" s="20"/>
    </row>
    <row r="118" spans="1:25" ht="74.25">
      <c r="A118" s="20">
        <v>156</v>
      </c>
      <c r="B118" s="20" t="str">
        <f t="shared" si="20"/>
        <v>Sesión Extraordinaria Comisión de Desarrollo Regional, Descentralización y Desconcentración del CTPD</v>
      </c>
      <c r="C118" s="21">
        <f t="shared" si="21"/>
        <v>45371</v>
      </c>
      <c r="D118" s="20" t="str">
        <f t="shared" si="22"/>
        <v>INSTANCIAS</v>
      </c>
      <c r="E118" s="20" t="str">
        <f t="shared" si="23"/>
        <v>NO</v>
      </c>
      <c r="F118" s="20" t="str">
        <f t="shared" si="24"/>
        <v>CTPD (Consejo Territorial de Planeación Distrital)</v>
      </c>
      <c r="G118" s="20" t="str">
        <f t="shared" si="25"/>
        <v>Virtual</v>
      </c>
      <c r="H118" s="20" t="str">
        <f t="shared" si="26"/>
        <v>Acompañar como Secretaría Técnica de la sesión extraordinaria de la Comisión de Desarrollo Regional, Descentralización y Desconcentración, para revisar la metodología de aportes al PDD</v>
      </c>
      <c r="I118" s="20" t="str">
        <f t="shared" si="27"/>
        <v>Mecanismo de Seguimiento y Evaluación</v>
      </c>
      <c r="J118" s="20" t="str">
        <f t="shared" si="28"/>
        <v>Comunitario</v>
      </c>
      <c r="K118" s="20" t="str">
        <f t="shared" si="29"/>
        <v>CTPD</v>
      </c>
      <c r="L118" s="20" t="str">
        <f t="shared" si="30"/>
        <v>Distrital</v>
      </c>
      <c r="M118" s="20" t="str">
        <f t="shared" si="31"/>
        <v>Distrital</v>
      </c>
      <c r="N118" s="20" t="str">
        <f t="shared" si="32"/>
        <v>Distrital</v>
      </c>
      <c r="O118" s="20" t="str">
        <f t="shared" si="33"/>
        <v>NO</v>
      </c>
      <c r="P118" s="20" t="str">
        <f t="shared" si="34"/>
        <v>No aplica</v>
      </c>
      <c r="Q118" s="20">
        <f t="shared" si="35"/>
        <v>8</v>
      </c>
      <c r="R118" s="20">
        <f t="shared" si="36"/>
        <v>1</v>
      </c>
      <c r="S118" s="20" t="str">
        <f t="shared" si="37"/>
        <v>Aportes Proyecto de PDD</v>
      </c>
      <c r="T118" s="20">
        <f t="shared" si="18"/>
        <v>1</v>
      </c>
      <c r="U118" s="20" t="str">
        <f t="shared" ca="1" si="19"/>
        <v>Realizada</v>
      </c>
      <c r="V118" s="20"/>
      <c r="W118" s="20"/>
      <c r="X118" s="20"/>
      <c r="Y118" s="20"/>
    </row>
    <row r="119" spans="1:25" ht="49.5">
      <c r="A119" s="20">
        <v>157</v>
      </c>
      <c r="B119" s="20" t="str">
        <f t="shared" si="20"/>
        <v>Comisión Poblacional</v>
      </c>
      <c r="C119" s="21">
        <f t="shared" si="21"/>
        <v>45371</v>
      </c>
      <c r="D119" s="20" t="str">
        <f t="shared" si="22"/>
        <v>INSTANCIAS</v>
      </c>
      <c r="E119" s="20" t="str">
        <f t="shared" si="23"/>
        <v>NO</v>
      </c>
      <c r="F119" s="20" t="str">
        <f t="shared" si="24"/>
        <v>CTPD (Consejo Territorial de Planeación Distrital)</v>
      </c>
      <c r="G119" s="20" t="str">
        <f t="shared" si="25"/>
        <v>Virtual</v>
      </c>
      <c r="H119" s="20" t="str">
        <f t="shared" si="26"/>
        <v>Construir documento de la comisión poblacional para la consolidación del concepto técnico del PDD.</v>
      </c>
      <c r="I119" s="20" t="str">
        <f t="shared" si="27"/>
        <v>Mecanismo de Seguimiento y Evaluación</v>
      </c>
      <c r="J119" s="20" t="str">
        <f t="shared" si="28"/>
        <v>Comunitario</v>
      </c>
      <c r="K119" s="20" t="str">
        <f t="shared" si="29"/>
        <v>CTPD</v>
      </c>
      <c r="L119" s="20" t="str">
        <f t="shared" si="30"/>
        <v>Distrital</v>
      </c>
      <c r="M119" s="20" t="str">
        <f t="shared" si="31"/>
        <v>Distrital</v>
      </c>
      <c r="N119" s="20" t="str">
        <f t="shared" si="32"/>
        <v>Distrital</v>
      </c>
      <c r="O119" s="20" t="str">
        <f t="shared" si="33"/>
        <v>SÍ</v>
      </c>
      <c r="P119" s="20" t="str">
        <f t="shared" si="34"/>
        <v>Gestión interinstitucional</v>
      </c>
      <c r="Q119" s="20">
        <f t="shared" si="35"/>
        <v>13</v>
      </c>
      <c r="R119" s="20">
        <f t="shared" si="36"/>
        <v>1</v>
      </c>
      <c r="S119" s="20" t="str">
        <f t="shared" si="37"/>
        <v>Consolidación documento para el concepto técnico del PDD, formulación de preguntas para la Audiencia Pública del CTPD</v>
      </c>
      <c r="T119" s="20">
        <f t="shared" si="18"/>
        <v>1</v>
      </c>
      <c r="U119" s="20" t="str">
        <f t="shared" ca="1" si="19"/>
        <v>Realizada</v>
      </c>
      <c r="V119" s="20"/>
      <c r="W119" s="20"/>
      <c r="X119" s="20"/>
      <c r="Y119" s="20"/>
    </row>
    <row r="120" spans="1:25" ht="49.5">
      <c r="A120" s="20">
        <v>158</v>
      </c>
      <c r="B120" s="20" t="str">
        <f t="shared" si="20"/>
        <v>Comisión POT Ordinaria - CTPD</v>
      </c>
      <c r="C120" s="21">
        <f t="shared" si="21"/>
        <v>45371</v>
      </c>
      <c r="D120" s="20" t="str">
        <f t="shared" si="22"/>
        <v>INSTANCIAS</v>
      </c>
      <c r="E120" s="20" t="str">
        <f t="shared" si="23"/>
        <v>NO</v>
      </c>
      <c r="F120" s="20" t="str">
        <f t="shared" si="24"/>
        <v>CTPD (Consejo Territorial de Planeación Distrital)</v>
      </c>
      <c r="G120" s="20" t="str">
        <f t="shared" si="25"/>
        <v>Virtual</v>
      </c>
      <c r="H120" s="20" t="str">
        <f t="shared" si="26"/>
        <v>Acompañar la realización de la primer  sesión de la Comisíón del Plan de Ordenamiento Territorial del CTPD.</v>
      </c>
      <c r="I120" s="20" t="str">
        <f t="shared" si="27"/>
        <v>Mecanismo de Seguimiento y Evaluación</v>
      </c>
      <c r="J120" s="20" t="str">
        <f t="shared" si="28"/>
        <v>Comunitario</v>
      </c>
      <c r="K120" s="20" t="str">
        <f t="shared" si="29"/>
        <v>CTPD</v>
      </c>
      <c r="L120" s="20" t="str">
        <f t="shared" si="30"/>
        <v>Distrital</v>
      </c>
      <c r="M120" s="20" t="str">
        <f t="shared" si="31"/>
        <v>Distrital</v>
      </c>
      <c r="N120" s="20" t="str">
        <f t="shared" si="32"/>
        <v>Distrital</v>
      </c>
      <c r="O120" s="20" t="str">
        <f t="shared" si="33"/>
        <v>NO</v>
      </c>
      <c r="P120" s="20" t="str">
        <f t="shared" si="34"/>
        <v>No aplica</v>
      </c>
      <c r="Q120" s="20">
        <f t="shared" si="35"/>
        <v>22</v>
      </c>
      <c r="R120" s="20">
        <f t="shared" si="36"/>
        <v>1</v>
      </c>
      <c r="S120" s="20" t="str">
        <f t="shared" si="37"/>
        <v>Metodología para las propuestas , observaciónes del PDD</v>
      </c>
      <c r="T120" s="20">
        <f t="shared" si="18"/>
        <v>1</v>
      </c>
      <c r="U120" s="20" t="str">
        <f t="shared" ca="1" si="19"/>
        <v>Realizada</v>
      </c>
      <c r="V120" s="20"/>
      <c r="W120" s="20"/>
      <c r="X120" s="20"/>
      <c r="Y120" s="20"/>
    </row>
    <row r="121" spans="1:25" ht="49.5">
      <c r="A121" s="20">
        <v>159</v>
      </c>
      <c r="B121" s="20" t="str">
        <f t="shared" si="20"/>
        <v>Comisión Ordinaria de Participación - CTPD</v>
      </c>
      <c r="C121" s="21">
        <f t="shared" si="21"/>
        <v>45371</v>
      </c>
      <c r="D121" s="20" t="str">
        <f t="shared" si="22"/>
        <v>INSTANCIAS</v>
      </c>
      <c r="E121" s="20" t="str">
        <f t="shared" si="23"/>
        <v>NO</v>
      </c>
      <c r="F121" s="20" t="str">
        <f t="shared" si="24"/>
        <v>CTPD (Consejo Territorial de Planeación Distrital)</v>
      </c>
      <c r="G121" s="20" t="str">
        <f t="shared" si="25"/>
        <v>Virtual</v>
      </c>
      <c r="H121" s="20" t="str">
        <f t="shared" si="26"/>
        <v>Acompañar la Segunda Reunión Comisión de Participación</v>
      </c>
      <c r="I121" s="20" t="str">
        <f t="shared" si="27"/>
        <v>Mecanismo de Seguimiento y Evaluación</v>
      </c>
      <c r="J121" s="20" t="str">
        <f t="shared" si="28"/>
        <v>Comunitario</v>
      </c>
      <c r="K121" s="20" t="str">
        <f t="shared" si="29"/>
        <v>CTPD</v>
      </c>
      <c r="L121" s="20" t="str">
        <f t="shared" si="30"/>
        <v>Distrital</v>
      </c>
      <c r="M121" s="20" t="str">
        <f t="shared" si="31"/>
        <v>Distrital</v>
      </c>
      <c r="N121" s="20" t="str">
        <f t="shared" si="32"/>
        <v>Distrital</v>
      </c>
      <c r="O121" s="20" t="str">
        <f t="shared" si="33"/>
        <v>NO</v>
      </c>
      <c r="P121" s="20" t="str">
        <f t="shared" si="34"/>
        <v>No aplica</v>
      </c>
      <c r="Q121" s="20">
        <f t="shared" si="35"/>
        <v>10</v>
      </c>
      <c r="R121" s="20">
        <f t="shared" si="36"/>
        <v>1</v>
      </c>
      <c r="S121" s="20" t="str">
        <f t="shared" si="37"/>
        <v xml:space="preserve"> Plan Indicativo y Plurianual con acompañamiento de la Subsecretaría de la Inversión</v>
      </c>
      <c r="T121" s="20">
        <f t="shared" si="18"/>
        <v>1</v>
      </c>
      <c r="U121" s="20" t="str">
        <f t="shared" ca="1" si="19"/>
        <v>Realizada</v>
      </c>
      <c r="V121" s="20"/>
      <c r="W121" s="20"/>
      <c r="X121" s="20"/>
      <c r="Y121" s="20"/>
    </row>
    <row r="122" spans="1:25" ht="37.5">
      <c r="A122" s="20">
        <v>160</v>
      </c>
      <c r="B122" s="20" t="str">
        <f t="shared" si="20"/>
        <v>Sesión Ordinaria - Comisión Intersectorial Diferencial Poblacional</v>
      </c>
      <c r="C122" s="21">
        <f t="shared" si="21"/>
        <v>45372</v>
      </c>
      <c r="D122" s="20" t="str">
        <f t="shared" si="22"/>
        <v>OPDC</v>
      </c>
      <c r="E122" s="20" t="str">
        <f t="shared" si="23"/>
        <v>NO</v>
      </c>
      <c r="F122" s="20" t="str">
        <f t="shared" si="24"/>
        <v>Plan Distrital de Desarrollo</v>
      </c>
      <c r="G122" s="20" t="str">
        <f t="shared" si="25"/>
        <v>Presencial</v>
      </c>
      <c r="H122" s="20" t="str">
        <f t="shared" si="26"/>
        <v>Participar de la sesión ordinaria de la Comisión Intersectorial Poblacional Diferencial.</v>
      </c>
      <c r="I122" s="20" t="str">
        <f t="shared" si="27"/>
        <v>Gestión Institucional</v>
      </c>
      <c r="J122" s="20" t="str">
        <f t="shared" si="28"/>
        <v>Público</v>
      </c>
      <c r="K122" s="20" t="str">
        <f t="shared" si="29"/>
        <v>Servidores públicos (Distrital)</v>
      </c>
      <c r="L122" s="20" t="str">
        <f t="shared" si="30"/>
        <v>Distrital</v>
      </c>
      <c r="M122" s="20" t="str">
        <f t="shared" si="31"/>
        <v>Distrital</v>
      </c>
      <c r="N122" s="20" t="str">
        <f t="shared" si="32"/>
        <v>Distrital</v>
      </c>
      <c r="O122" s="20" t="str">
        <f t="shared" si="33"/>
        <v>SÍ</v>
      </c>
      <c r="P122" s="20" t="str">
        <f t="shared" si="34"/>
        <v>Gestión interinstitucional</v>
      </c>
      <c r="Q122" s="20">
        <f t="shared" si="35"/>
        <v>22</v>
      </c>
      <c r="R122" s="20">
        <f t="shared" si="36"/>
        <v>4</v>
      </c>
      <c r="S122" s="20" t="str">
        <f t="shared" si="37"/>
        <v>Avances de la CIPD , definición del plan de acción.</v>
      </c>
      <c r="T122" s="20">
        <f t="shared" si="18"/>
        <v>1</v>
      </c>
      <c r="U122" s="20" t="str">
        <f t="shared" ca="1" si="19"/>
        <v>Realizada</v>
      </c>
      <c r="V122" s="20"/>
      <c r="W122" s="20"/>
      <c r="X122" s="20"/>
      <c r="Y122" s="20"/>
    </row>
    <row r="123" spans="1:25" ht="74.25">
      <c r="A123" s="20">
        <v>161</v>
      </c>
      <c r="B123" s="20" t="str">
        <f t="shared" si="20"/>
        <v>Sesión Extraordinaria de la  Comisión Plan de Desarrollo Distrital</v>
      </c>
      <c r="C123" s="21">
        <f t="shared" si="21"/>
        <v>45372</v>
      </c>
      <c r="D123" s="20" t="str">
        <f t="shared" si="22"/>
        <v>INSTANCIAS</v>
      </c>
      <c r="E123" s="20" t="str">
        <f t="shared" si="23"/>
        <v>NO</v>
      </c>
      <c r="F123" s="20" t="str">
        <f t="shared" si="24"/>
        <v>CTPD (Consejo Territorial de Planeación Distrital)</v>
      </c>
      <c r="G123" s="20" t="str">
        <f t="shared" si="25"/>
        <v>Virtual</v>
      </c>
      <c r="H123" s="20" t="str">
        <f t="shared" si="26"/>
        <v>Realizar la explicación y aclaración de uso de la matriz , la metodología , las inquietudes por parte del apoyo técnico de la Universidad Nacional sobre la construcción del criterio técnico del PDD por parte del CTPD.</v>
      </c>
      <c r="I123" s="20" t="str">
        <f t="shared" si="27"/>
        <v>Mecanismo de Seguimiento y Evaluación</v>
      </c>
      <c r="J123" s="20" t="str">
        <f t="shared" si="28"/>
        <v>Comunitario</v>
      </c>
      <c r="K123" s="20" t="str">
        <f t="shared" si="29"/>
        <v>CTPD</v>
      </c>
      <c r="L123" s="20" t="str">
        <f t="shared" si="30"/>
        <v>Distrital</v>
      </c>
      <c r="M123" s="20" t="str">
        <f t="shared" si="31"/>
        <v>Distrital</v>
      </c>
      <c r="N123" s="20" t="str">
        <f t="shared" si="32"/>
        <v>Distrital</v>
      </c>
      <c r="O123" s="20" t="str">
        <f t="shared" si="33"/>
        <v>NO</v>
      </c>
      <c r="P123" s="20" t="str">
        <f t="shared" si="34"/>
        <v>No aplica</v>
      </c>
      <c r="Q123" s="20">
        <f t="shared" si="35"/>
        <v>31</v>
      </c>
      <c r="R123" s="20">
        <f t="shared" si="36"/>
        <v>1</v>
      </c>
      <c r="S123" s="20" t="str">
        <f t="shared" si="37"/>
        <v>Explicación y aclaración de uso de la matriz y la metodología, aclaración de inquietudes por parte del apoyo técnico de la Universidad Nacional</v>
      </c>
      <c r="T123" s="20">
        <f t="shared" si="18"/>
        <v>1</v>
      </c>
      <c r="U123" s="20" t="str">
        <f t="shared" ca="1" si="19"/>
        <v>Realizada</v>
      </c>
      <c r="V123" s="20"/>
      <c r="W123" s="20"/>
      <c r="X123" s="20"/>
      <c r="Y123" s="20"/>
    </row>
    <row r="124" spans="1:25" ht="49.5">
      <c r="A124" s="20">
        <v>162</v>
      </c>
      <c r="B124" s="20" t="str">
        <f t="shared" si="20"/>
        <v>CLIP Tunjuelito</v>
      </c>
      <c r="C124" s="21">
        <f t="shared" si="21"/>
        <v>45372</v>
      </c>
      <c r="D124" s="20" t="str">
        <f t="shared" si="22"/>
        <v>INSTANCIAS</v>
      </c>
      <c r="E124" s="20" t="str">
        <f t="shared" si="23"/>
        <v>NO</v>
      </c>
      <c r="F124" s="20" t="str">
        <f t="shared" si="24"/>
        <v>CLIP (Comisión Local Intersectorial de Participación)</v>
      </c>
      <c r="G124" s="20" t="str">
        <f t="shared" si="25"/>
        <v>Presencial</v>
      </c>
      <c r="H124" s="20" t="str">
        <f t="shared" si="26"/>
        <v>Acompañar la articulación de los esfuerzos institucionales de participación en la localidad de Tunjuelito.</v>
      </c>
      <c r="I124" s="20" t="str">
        <f t="shared" si="27"/>
        <v>Gestión Institucional</v>
      </c>
      <c r="J124" s="20" t="str">
        <f t="shared" si="28"/>
        <v>Público</v>
      </c>
      <c r="K124" s="20" t="str">
        <f t="shared" si="29"/>
        <v>Servidores públicos (local)</v>
      </c>
      <c r="L124" s="20" t="str">
        <f t="shared" si="30"/>
        <v>Tunjuelito</v>
      </c>
      <c r="M124" s="20" t="str">
        <f t="shared" si="31"/>
        <v>Suroriente</v>
      </c>
      <c r="N124" s="20" t="str">
        <f t="shared" si="32"/>
        <v>Tunjuelito, Arborizadora</v>
      </c>
      <c r="O124" s="20" t="str">
        <f t="shared" si="33"/>
        <v>NO</v>
      </c>
      <c r="P124" s="20" t="str">
        <f t="shared" si="34"/>
        <v>No aplica</v>
      </c>
      <c r="Q124" s="20">
        <f t="shared" si="35"/>
        <v>13</v>
      </c>
      <c r="R124" s="20">
        <f t="shared" si="36"/>
        <v>1</v>
      </c>
      <c r="S124" s="20" t="str">
        <f t="shared" si="37"/>
        <v>Promoción de la paridad en instancias de participación; Estrategia participación Plan de Desarrollo Distrital; Diálogos ciudadanos</v>
      </c>
      <c r="T124" s="20">
        <f t="shared" si="18"/>
        <v>1</v>
      </c>
      <c r="U124" s="20" t="str">
        <f t="shared" ca="1" si="19"/>
        <v>Realizada</v>
      </c>
      <c r="V124" s="20"/>
      <c r="W124" s="20"/>
      <c r="X124" s="20"/>
      <c r="Y124" s="20"/>
    </row>
    <row r="125" spans="1:25" ht="98.25">
      <c r="A125" s="20">
        <v>164</v>
      </c>
      <c r="B125" s="20" t="str">
        <f t="shared" si="20"/>
        <v>Diálogo ciudadano para la formulación del Plan Distrital de Desarrollo PDD- LGBTI</v>
      </c>
      <c r="C125" s="21">
        <f t="shared" si="21"/>
        <v>45372</v>
      </c>
      <c r="D125" s="20" t="str">
        <f t="shared" si="22"/>
        <v>GENERAL SDP</v>
      </c>
      <c r="E125" s="20" t="str">
        <f t="shared" si="23"/>
        <v>NO</v>
      </c>
      <c r="F125" s="20" t="str">
        <f t="shared" si="24"/>
        <v>Plan Distrital de Desarrollo</v>
      </c>
      <c r="G125" s="20" t="str">
        <f t="shared" si="25"/>
        <v>Presencial</v>
      </c>
      <c r="H125" s="20" t="str">
        <f t="shared" si="26"/>
        <v>Orientar la construcción de propuestas ciudadanas para la formulación del PDD a través de información, diálogo, pedagogía y fortalecimiento de la confianza desde la planeación participativa, con la población perteneciente a los sectores sociales LGBTI en la localidad de Suba.</v>
      </c>
      <c r="I125" s="20" t="str">
        <f t="shared" si="27"/>
        <v>Gestión Institucional</v>
      </c>
      <c r="J125" s="20" t="str">
        <f t="shared" si="28"/>
        <v>Multiactor</v>
      </c>
      <c r="K125" s="20">
        <f t="shared" si="29"/>
        <v>0</v>
      </c>
      <c r="L125" s="20" t="str">
        <f t="shared" si="30"/>
        <v>Suba</v>
      </c>
      <c r="M125" s="20" t="str">
        <f t="shared" si="31"/>
        <v>Noroccidente, Norte</v>
      </c>
      <c r="N125" s="20" t="str">
        <f t="shared" si="32"/>
        <v>Suba, Suba Rincón, Tibabuyes, Niza, Britalia, Torca</v>
      </c>
      <c r="O125" s="20" t="str">
        <f t="shared" si="33"/>
        <v>NO</v>
      </c>
      <c r="P125" s="20" t="str">
        <f t="shared" si="34"/>
        <v>No aplica</v>
      </c>
      <c r="Q125" s="20">
        <f t="shared" si="35"/>
        <v>15</v>
      </c>
      <c r="R125" s="20">
        <f t="shared" si="36"/>
        <v>7</v>
      </c>
      <c r="S125" s="20" t="str">
        <f t="shared" si="37"/>
        <v>Construcción de propuestas ciudadanas para la formulación del PDD a través de información, diálogo, pedagogía y fortalecimiento de la confianza desde la planeación participativa, con la población perteneciente a los sectores sociales LGBTI en la localidad de Suba.</v>
      </c>
      <c r="T125" s="20">
        <f t="shared" si="18"/>
        <v>1</v>
      </c>
      <c r="U125" s="20" t="str">
        <f t="shared" ca="1" si="19"/>
        <v>Realizada</v>
      </c>
      <c r="V125" s="20"/>
      <c r="W125" s="20"/>
      <c r="X125" s="20"/>
      <c r="Y125" s="20"/>
    </row>
    <row r="126" spans="1:25" ht="37.5">
      <c r="A126" s="20">
        <v>165</v>
      </c>
      <c r="B126" s="20" t="str">
        <f t="shared" si="20"/>
        <v>Dialogo Ciudadano para la Construcción del PDD - UPL Arborizadora</v>
      </c>
      <c r="C126" s="21">
        <f t="shared" si="21"/>
        <v>45372</v>
      </c>
      <c r="D126" s="20" t="str">
        <f t="shared" si="22"/>
        <v>OPDC</v>
      </c>
      <c r="E126" s="20" t="str">
        <f t="shared" si="23"/>
        <v>NO</v>
      </c>
      <c r="F126" s="20" t="str">
        <f t="shared" si="24"/>
        <v>Plan Distrital de Desarrollo</v>
      </c>
      <c r="G126" s="20" t="str">
        <f t="shared" si="25"/>
        <v>Presencial</v>
      </c>
      <c r="H126" s="20" t="str">
        <f t="shared" si="26"/>
        <v>Identificar las propuestas ciudadanas para la formulación del Plan de Desarrollo Distrital.</v>
      </c>
      <c r="I126" s="20" t="str">
        <f t="shared" si="27"/>
        <v>Mecanismo de Diálogo</v>
      </c>
      <c r="J126" s="20" t="str">
        <f t="shared" si="28"/>
        <v>Multiactor</v>
      </c>
      <c r="K126" s="20">
        <f t="shared" si="29"/>
        <v>0</v>
      </c>
      <c r="L126" s="20" t="str">
        <f t="shared" si="30"/>
        <v>Ciudad Bolívar, Tunjuelito</v>
      </c>
      <c r="M126" s="20" t="str">
        <f t="shared" si="31"/>
        <v>Suroriente</v>
      </c>
      <c r="N126" s="20" t="str">
        <f t="shared" si="32"/>
        <v>Arborizadora</v>
      </c>
      <c r="O126" s="20" t="str">
        <f t="shared" si="33"/>
        <v>SÍ</v>
      </c>
      <c r="P126" s="20" t="str">
        <f t="shared" si="34"/>
        <v>Fase II: Aspiraciones Comunes</v>
      </c>
      <c r="Q126" s="20">
        <f t="shared" si="35"/>
        <v>75</v>
      </c>
      <c r="R126" s="20">
        <f t="shared" si="36"/>
        <v>19</v>
      </c>
      <c r="S126" s="20" t="str">
        <f t="shared" si="37"/>
        <v xml:space="preserve">Superación de la pobreza, actualización del SISBEN, Formalización de organizaciones de recicladores, </v>
      </c>
      <c r="T126" s="20">
        <f t="shared" si="18"/>
        <v>1</v>
      </c>
      <c r="U126" s="20" t="str">
        <f t="shared" ca="1" si="19"/>
        <v>Realizada</v>
      </c>
      <c r="V126" s="20"/>
      <c r="W126" s="20"/>
      <c r="X126" s="20"/>
      <c r="Y126" s="20"/>
    </row>
    <row r="127" spans="1:25" ht="49.5">
      <c r="A127" s="20">
        <v>166</v>
      </c>
      <c r="B127" s="20" t="str">
        <f t="shared" si="20"/>
        <v>Gestión: reunión con ACNUR sobre la participación de migrantes en el marco de la formulación del PDD</v>
      </c>
      <c r="C127" s="21">
        <f t="shared" si="21"/>
        <v>45372</v>
      </c>
      <c r="D127" s="20" t="str">
        <f t="shared" si="22"/>
        <v>OPDC</v>
      </c>
      <c r="E127" s="20" t="str">
        <f t="shared" si="23"/>
        <v>NO</v>
      </c>
      <c r="F127" s="20" t="str">
        <f t="shared" si="24"/>
        <v>Plan Distrital de Desarrollo</v>
      </c>
      <c r="G127" s="20" t="str">
        <f t="shared" si="25"/>
        <v>Virtual</v>
      </c>
      <c r="H127" s="20" t="str">
        <f t="shared" si="26"/>
        <v>Definir la estrategia de recolección de aportes de la población migrante en Bogotá en el marco de la formulación del Plan Distrital de Desarrollo</v>
      </c>
      <c r="I127" s="20" t="str">
        <f t="shared" si="27"/>
        <v>Gestión Institucional</v>
      </c>
      <c r="J127" s="20" t="str">
        <f t="shared" si="28"/>
        <v>Comunitario</v>
      </c>
      <c r="K127" s="20">
        <f t="shared" si="29"/>
        <v>0</v>
      </c>
      <c r="L127" s="20" t="str">
        <f t="shared" si="30"/>
        <v>Distrital</v>
      </c>
      <c r="M127" s="20" t="str">
        <f t="shared" si="31"/>
        <v>Distrital</v>
      </c>
      <c r="N127" s="20" t="str">
        <f t="shared" si="32"/>
        <v>Distrital</v>
      </c>
      <c r="O127" s="20" t="str">
        <f t="shared" si="33"/>
        <v>SÍ</v>
      </c>
      <c r="P127" s="20" t="str">
        <f t="shared" si="34"/>
        <v>Gestión interinstitucional</v>
      </c>
      <c r="Q127" s="20">
        <f t="shared" si="35"/>
        <v>2</v>
      </c>
      <c r="R127" s="20">
        <f t="shared" si="36"/>
        <v>1</v>
      </c>
      <c r="S127" s="20" t="str">
        <f t="shared" si="37"/>
        <v>Propuestas metodológicas para la participación de las y los migrantes en el marco de la formulación del PDD</v>
      </c>
      <c r="T127" s="20">
        <f t="shared" si="18"/>
        <v>1</v>
      </c>
      <c r="U127" s="20" t="str">
        <f t="shared" ca="1" si="19"/>
        <v>Realizada</v>
      </c>
      <c r="V127" s="20"/>
      <c r="W127" s="20"/>
      <c r="X127" s="20"/>
      <c r="Y127" s="20"/>
    </row>
    <row r="128" spans="1:25" ht="61.5">
      <c r="A128" s="20">
        <v>167</v>
      </c>
      <c r="B128" s="20" t="str">
        <f t="shared" si="20"/>
        <v>I Diálogo Ciudadano Poblacional para la Construcción del PDD - Comunidad Palenquera</v>
      </c>
      <c r="C128" s="21">
        <f t="shared" si="21"/>
        <v>45372</v>
      </c>
      <c r="D128" s="20" t="str">
        <f t="shared" si="22"/>
        <v>OPDC</v>
      </c>
      <c r="E128" s="20" t="str">
        <f t="shared" si="23"/>
        <v>NO</v>
      </c>
      <c r="F128" s="20" t="str">
        <f t="shared" si="24"/>
        <v>Plan Distrital de Desarrollo</v>
      </c>
      <c r="G128" s="20" t="str">
        <f t="shared" si="25"/>
        <v>Presencial</v>
      </c>
      <c r="H128" s="20" t="str">
        <f t="shared" si="26"/>
        <v>Recoger los aportes de la comunidad palenquera en el marco de la fase de aspiraciones comunes de la planeación participativa del Plan Distrital de Desarrollo.</v>
      </c>
      <c r="I128" s="20" t="str">
        <f t="shared" si="27"/>
        <v>Mecanismo de Diálogo</v>
      </c>
      <c r="J128" s="20" t="str">
        <f t="shared" si="28"/>
        <v>Comunitario</v>
      </c>
      <c r="K128" s="20" t="str">
        <f t="shared" si="29"/>
        <v>Grupos focales</v>
      </c>
      <c r="L128" s="20" t="str">
        <f t="shared" si="30"/>
        <v>Distrital</v>
      </c>
      <c r="M128" s="20" t="str">
        <f t="shared" si="31"/>
        <v>Distrital</v>
      </c>
      <c r="N128" s="20" t="str">
        <f t="shared" si="32"/>
        <v>Distrital</v>
      </c>
      <c r="O128" s="20" t="str">
        <f t="shared" si="33"/>
        <v>SÍ</v>
      </c>
      <c r="P128" s="20" t="str">
        <f t="shared" si="34"/>
        <v>Fase II: Aspiraciones Comunes</v>
      </c>
      <c r="Q128" s="20">
        <f t="shared" si="35"/>
        <v>14</v>
      </c>
      <c r="R128" s="20">
        <f t="shared" si="36"/>
        <v>4</v>
      </c>
      <c r="S128" s="20" t="str">
        <f t="shared" si="37"/>
        <v>Socialización de insumos para el proceso de recoleccion de propuestas de la comunidad palenquera en el PDD</v>
      </c>
      <c r="T128" s="20">
        <f t="shared" si="18"/>
        <v>1</v>
      </c>
      <c r="U128" s="20" t="str">
        <f t="shared" ca="1" si="19"/>
        <v>Realizada</v>
      </c>
      <c r="V128" s="20"/>
      <c r="W128" s="20"/>
      <c r="X128" s="20"/>
      <c r="Y128" s="20"/>
    </row>
    <row r="129" spans="1:25" ht="74.25">
      <c r="A129" s="20">
        <v>168</v>
      </c>
      <c r="B129" s="20" t="str">
        <f t="shared" si="20"/>
        <v>Sesión Comisión Intersectorial de Participación (CIP)</v>
      </c>
      <c r="C129" s="21">
        <f t="shared" si="21"/>
        <v>45373</v>
      </c>
      <c r="D129" s="20" t="str">
        <f t="shared" si="22"/>
        <v>INSTANCIAS</v>
      </c>
      <c r="E129" s="20" t="str">
        <f t="shared" si="23"/>
        <v>NO</v>
      </c>
      <c r="F129" s="20" t="str">
        <f t="shared" si="24"/>
        <v>CIP (Comisión Intersectorial de Participación)</v>
      </c>
      <c r="G129" s="20" t="str">
        <f t="shared" si="25"/>
        <v>Virtual</v>
      </c>
      <c r="H129" s="20" t="str">
        <f t="shared" si="26"/>
        <v>Acompañar la Construcción y aprobación del Plan de Acción de la Comisión, la modificación al Reglamento Interno de la Comisión y la elección de los miembros de la Unidad Técnica de Apoyo de la Comisión.</v>
      </c>
      <c r="I129" s="20" t="str">
        <f t="shared" si="27"/>
        <v>Gestión Institucional</v>
      </c>
      <c r="J129" s="20" t="str">
        <f t="shared" si="28"/>
        <v>Público</v>
      </c>
      <c r="K129" s="20" t="str">
        <f t="shared" si="29"/>
        <v>Servidores públicos (Distrital)</v>
      </c>
      <c r="L129" s="20" t="str">
        <f t="shared" si="30"/>
        <v>Distrital</v>
      </c>
      <c r="M129" s="20" t="str">
        <f t="shared" si="31"/>
        <v>Distrital</v>
      </c>
      <c r="N129" s="20" t="str">
        <f t="shared" si="32"/>
        <v>Distrital</v>
      </c>
      <c r="O129" s="20" t="str">
        <f t="shared" si="33"/>
        <v>NO</v>
      </c>
      <c r="P129" s="20" t="str">
        <f t="shared" si="34"/>
        <v>No aplica</v>
      </c>
      <c r="Q129" s="20">
        <f t="shared" si="35"/>
        <v>26</v>
      </c>
      <c r="R129" s="20">
        <f t="shared" si="36"/>
        <v>2</v>
      </c>
      <c r="S129" s="20" t="str">
        <f t="shared" si="37"/>
        <v>Plan de acción y reglamento interno de la CIP</v>
      </c>
      <c r="T129" s="20">
        <f t="shared" si="18"/>
        <v>1</v>
      </c>
      <c r="U129" s="20" t="str">
        <f t="shared" ca="1" si="19"/>
        <v>Realizada</v>
      </c>
      <c r="V129" s="20"/>
      <c r="W129" s="20"/>
      <c r="X129" s="20"/>
      <c r="Y129" s="20"/>
    </row>
    <row r="130" spans="1:25" ht="49.5">
      <c r="A130" s="20">
        <v>169</v>
      </c>
      <c r="B130" s="20" t="str">
        <f t="shared" ref="B130:B193" si="38">IFERROR(VLOOKUP(A130,DATA_MATRIZ,2,FALSE),"")</f>
        <v xml:space="preserve">II Diálogo Ciudadano Poblacional para la Construcción del PDD - Consultiva Negra-afrocolombiana </v>
      </c>
      <c r="C130" s="21">
        <f t="shared" ref="C130:C193" si="39">IFERROR(VLOOKUP(A130,DATA_MATRIZ,3,FALSE),"")</f>
        <v>45373</v>
      </c>
      <c r="D130" s="20" t="str">
        <f t="shared" ref="D130:D193" si="40">IFERROR(VLOOKUP(A130,DATA_MATRIZ,5,FALSE),"")</f>
        <v>OPDC</v>
      </c>
      <c r="E130" s="20" t="str">
        <f t="shared" ref="E130:E193" si="41">IFERROR(VLOOKUP(A130,DATA_MATRIZ,9,FALSE),"")</f>
        <v>NO</v>
      </c>
      <c r="F130" s="20" t="str">
        <f t="shared" ref="F130:F193" si="42">IFERROR(VLOOKUP(A130,DATA_MATRIZ,10,FALSE),"")</f>
        <v>Plan Distrital de Desarrollo</v>
      </c>
      <c r="G130" s="20" t="str">
        <f t="shared" ref="G130:G193" si="43">IFERROR(VLOOKUP(A130,DATA_MATRIZ,11,FALSE),"")</f>
        <v>Virtual</v>
      </c>
      <c r="H130" s="20" t="str">
        <f t="shared" ref="H130:H193" si="44">IFERROR(VLOOKUP(A130,DATA_MATRIZ,12,FALSE),"")</f>
        <v>Recoger las propuestas de la consultiva negra-afrocolombiana con respecto a la fase de aspiraciones comunes del Plan Distrital de Desarrollo.</v>
      </c>
      <c r="I130" s="20" t="str">
        <f t="shared" ref="I130:I193" si="45">IFERROR(VLOOKUP(A130,DATA_MATRIZ,13,FALSE),"")</f>
        <v>Mecanismo de Diálogo</v>
      </c>
      <c r="J130" s="20" t="str">
        <f t="shared" ref="J130:J193" si="46">IFERROR(VLOOKUP(A130,DATA_MATRIZ,41,FALSE),"")</f>
        <v>Comunitario</v>
      </c>
      <c r="K130" s="20" t="str">
        <f t="shared" ref="K130:K193" si="47">IFERROR(VLOOKUP(A130,DATA_MATRIZ,42,FALSE),"")</f>
        <v>Consejo Consultivo</v>
      </c>
      <c r="L130" s="20" t="str">
        <f t="shared" ref="L130:L193" si="48">IFERROR(VLOOKUP(A130,DATA_MATRIZ,46,FALSE),"")</f>
        <v>Distrital</v>
      </c>
      <c r="M130" s="20" t="str">
        <f t="shared" ref="M130:M193" si="49">IFERROR(VLOOKUP(A130,DATA_MATRIZ,53,FALSE),"")</f>
        <v>Distrital</v>
      </c>
      <c r="N130" s="20" t="str">
        <f t="shared" ref="N130:N193" si="50">IFERROR(VLOOKUP(A130,DATA_MATRIZ,60,FALSE),"")</f>
        <v>Distrital</v>
      </c>
      <c r="O130" s="20" t="str">
        <f t="shared" ref="O130:O193" si="51">IFERROR(VLOOKUP(A130,DATA_MATRIZ,75,FALSE),"")</f>
        <v>SÍ</v>
      </c>
      <c r="P130" s="20" t="str">
        <f t="shared" ref="P130:P193" si="52">IFERROR(VLOOKUP(A130,DATA_MATRIZ,76,FALSE),"")</f>
        <v>Fase II: Aspiraciones Comunes</v>
      </c>
      <c r="Q130" s="20">
        <f t="shared" ref="Q130:Q193" si="53">IFERROR(VLOOKUP(A130,DATA_MATRIZ,78,FALSE),"")</f>
        <v>14</v>
      </c>
      <c r="R130" s="20">
        <f t="shared" ref="R130:R193" si="54">IFERROR(VLOOKUP(A130,DATA_MATRIZ,79,FALSE),"")</f>
        <v>4</v>
      </c>
      <c r="S130" s="20" t="str">
        <f t="shared" ref="S130:S193" si="55">IFERROR(VLOOKUP(A130,DATA_MATRIZ,85,FALSE),"")</f>
        <v>Propuestas alrededor del objetivo 2 del PDD</v>
      </c>
      <c r="T130" s="20">
        <f t="shared" si="18"/>
        <v>1</v>
      </c>
      <c r="U130" s="20" t="str">
        <f t="shared" ca="1" si="19"/>
        <v>Realizada</v>
      </c>
      <c r="V130" s="20"/>
      <c r="W130" s="20"/>
      <c r="X130" s="20"/>
      <c r="Y130" s="20"/>
    </row>
    <row r="131" spans="1:25" ht="49.5">
      <c r="A131" s="20">
        <v>170</v>
      </c>
      <c r="B131" s="20" t="str">
        <f t="shared" si="38"/>
        <v xml:space="preserve">Socialización de PDD a la Mesa de Indígenas Víctimas del Conflicto Armado </v>
      </c>
      <c r="C131" s="21">
        <f t="shared" si="39"/>
        <v>45373</v>
      </c>
      <c r="D131" s="20" t="str">
        <f t="shared" si="40"/>
        <v>OPDC</v>
      </c>
      <c r="E131" s="20" t="str">
        <f t="shared" si="41"/>
        <v>NO</v>
      </c>
      <c r="F131" s="20" t="str">
        <f t="shared" si="42"/>
        <v>Plan Distrital de Desarrollo</v>
      </c>
      <c r="G131" s="20" t="str">
        <f t="shared" si="43"/>
        <v>Presencial</v>
      </c>
      <c r="H131" s="20" t="str">
        <f t="shared" si="44"/>
        <v>Presentar a los Pueblos Indígenas víctimas del conflicto armado los avances en el Plan Distrital de Desarrollo.</v>
      </c>
      <c r="I131" s="20" t="str">
        <f t="shared" si="45"/>
        <v>Mecanismo de Comunicación para la Participación</v>
      </c>
      <c r="J131" s="20" t="str">
        <f t="shared" si="46"/>
        <v>Comunitario</v>
      </c>
      <c r="K131" s="20" t="str">
        <f t="shared" si="47"/>
        <v>Grupos focales</v>
      </c>
      <c r="L131" s="20" t="str">
        <f t="shared" si="48"/>
        <v>Distrital</v>
      </c>
      <c r="M131" s="20" t="str">
        <f t="shared" si="49"/>
        <v>Distrital</v>
      </c>
      <c r="N131" s="20" t="str">
        <f t="shared" si="50"/>
        <v>Distrital</v>
      </c>
      <c r="O131" s="20" t="str">
        <f t="shared" si="51"/>
        <v>SÍ</v>
      </c>
      <c r="P131" s="20" t="str">
        <f t="shared" si="52"/>
        <v>Gestión interinstitucional</v>
      </c>
      <c r="Q131" s="20">
        <f t="shared" si="53"/>
        <v>31</v>
      </c>
      <c r="R131" s="20">
        <f t="shared" si="54"/>
        <v>2</v>
      </c>
      <c r="S131" s="20" t="str">
        <f t="shared" si="55"/>
        <v>Metodología para las propuestas de la Mesa en el marco del PDD</v>
      </c>
      <c r="T131" s="20">
        <f t="shared" si="18"/>
        <v>1</v>
      </c>
      <c r="U131" s="20" t="str">
        <f t="shared" ca="1" si="19"/>
        <v>Realizada</v>
      </c>
      <c r="V131" s="20"/>
      <c r="W131" s="20"/>
      <c r="X131" s="20"/>
      <c r="Y131" s="20"/>
    </row>
    <row r="132" spans="1:25" ht="37.5">
      <c r="A132" s="20">
        <v>171</v>
      </c>
      <c r="B132" s="20" t="str">
        <f t="shared" si="38"/>
        <v>Dialogo Ciudadano para la Construcción del PDD - UPL Tibabuyes</v>
      </c>
      <c r="C132" s="21">
        <f t="shared" si="39"/>
        <v>45373</v>
      </c>
      <c r="D132" s="20" t="str">
        <f t="shared" si="40"/>
        <v>OPDC</v>
      </c>
      <c r="E132" s="20" t="str">
        <f t="shared" si="41"/>
        <v>NO</v>
      </c>
      <c r="F132" s="20" t="str">
        <f t="shared" si="42"/>
        <v>Plan Distrital de Desarrollo</v>
      </c>
      <c r="G132" s="20" t="str">
        <f t="shared" si="43"/>
        <v>Presencial</v>
      </c>
      <c r="H132" s="20" t="str">
        <f t="shared" si="44"/>
        <v>Identificar las propuestas ciudadanas para la formulación del Plan de Desarrollo Distrital.</v>
      </c>
      <c r="I132" s="20" t="str">
        <f t="shared" si="45"/>
        <v>Mecanismo de Diálogo</v>
      </c>
      <c r="J132" s="20" t="str">
        <f t="shared" si="46"/>
        <v>Multiactor</v>
      </c>
      <c r="K132" s="20">
        <f t="shared" si="47"/>
        <v>0</v>
      </c>
      <c r="L132" s="20" t="str">
        <f t="shared" si="48"/>
        <v>Suba</v>
      </c>
      <c r="M132" s="20" t="str">
        <f t="shared" si="49"/>
        <v>Noroccidente</v>
      </c>
      <c r="N132" s="20" t="str">
        <f t="shared" si="50"/>
        <v>Tibabuyes</v>
      </c>
      <c r="O132" s="20" t="str">
        <f t="shared" si="51"/>
        <v>SÍ</v>
      </c>
      <c r="P132" s="20" t="str">
        <f t="shared" si="52"/>
        <v>Fase II: Aspiraciones Comunes</v>
      </c>
      <c r="Q132" s="20">
        <f t="shared" si="53"/>
        <v>54</v>
      </c>
      <c r="R132" s="20">
        <f t="shared" si="54"/>
        <v>14</v>
      </c>
      <c r="S132" s="20" t="str">
        <f t="shared" si="55"/>
        <v xml:space="preserve">Contenidos del proyecto del Plan Distrital de Desarrollo, guía de uso de Chatico </v>
      </c>
      <c r="T132" s="20">
        <f t="shared" si="18"/>
        <v>1</v>
      </c>
      <c r="U132" s="20" t="str">
        <f t="shared" ca="1" si="19"/>
        <v>Realizada</v>
      </c>
      <c r="V132" s="20"/>
      <c r="W132" s="20"/>
      <c r="X132" s="20"/>
      <c r="Y132" s="20"/>
    </row>
    <row r="133" spans="1:25" ht="49.5">
      <c r="A133" s="20">
        <v>172</v>
      </c>
      <c r="B133" s="20" t="str">
        <f t="shared" si="38"/>
        <v>Socialización de la estrategia de participación PDD - Autoridades Indígenas Bakata (AIB)</v>
      </c>
      <c r="C133" s="21">
        <f t="shared" si="39"/>
        <v>45373</v>
      </c>
      <c r="D133" s="20" t="str">
        <f t="shared" si="40"/>
        <v>OPDC</v>
      </c>
      <c r="E133" s="20" t="str">
        <f t="shared" si="41"/>
        <v>NO</v>
      </c>
      <c r="F133" s="20" t="str">
        <f t="shared" si="42"/>
        <v>Plan Distrital de Desarrollo</v>
      </c>
      <c r="G133" s="20" t="str">
        <f t="shared" si="43"/>
        <v>Presencial</v>
      </c>
      <c r="H133" s="20" t="str">
        <f t="shared" si="44"/>
        <v>Atender la invitación para Socialización de la estrategia de participación PDD - Autoridades Indígenas Bakata (AIB)</v>
      </c>
      <c r="I133" s="20" t="str">
        <f t="shared" si="45"/>
        <v>Mecanismo de Comunicación para la Participación</v>
      </c>
      <c r="J133" s="20" t="str">
        <f t="shared" si="46"/>
        <v>Comunitario</v>
      </c>
      <c r="K133" s="20" t="str">
        <f t="shared" si="47"/>
        <v>Grupos focales</v>
      </c>
      <c r="L133" s="20" t="str">
        <f t="shared" si="48"/>
        <v>Distrital</v>
      </c>
      <c r="M133" s="20" t="str">
        <f t="shared" si="49"/>
        <v>Distrital</v>
      </c>
      <c r="N133" s="20" t="str">
        <f t="shared" si="50"/>
        <v/>
      </c>
      <c r="O133" s="20" t="str">
        <f t="shared" si="51"/>
        <v>SÍ</v>
      </c>
      <c r="P133" s="20" t="str">
        <f t="shared" si="52"/>
        <v>Gestión interinstitucional</v>
      </c>
      <c r="Q133" s="20">
        <f t="shared" si="53"/>
        <v>12</v>
      </c>
      <c r="R133" s="20">
        <f t="shared" si="54"/>
        <v>3</v>
      </c>
      <c r="S133" s="20" t="str">
        <f t="shared" si="55"/>
        <v>Estrategia de participación PDD, Chatico y contenidos PDD</v>
      </c>
      <c r="T133" s="20">
        <f t="shared" si="18"/>
        <v>1</v>
      </c>
      <c r="U133" s="20" t="str">
        <f t="shared" ca="1" si="19"/>
        <v>Realizada</v>
      </c>
      <c r="V133" s="20"/>
      <c r="W133" s="20"/>
      <c r="X133" s="20"/>
      <c r="Y133" s="20"/>
    </row>
    <row r="134" spans="1:25" ht="74.25">
      <c r="A134" s="20">
        <v>173</v>
      </c>
      <c r="B134" s="20" t="str">
        <f t="shared" si="38"/>
        <v>Sesión Extraordinaria Comisión de Desarrollo Regional, Descentralización y Desconcentración del CTPD</v>
      </c>
      <c r="C134" s="21">
        <f t="shared" si="39"/>
        <v>45373</v>
      </c>
      <c r="D134" s="20" t="str">
        <f t="shared" si="40"/>
        <v>INSTANCIAS</v>
      </c>
      <c r="E134" s="20" t="str">
        <f t="shared" si="41"/>
        <v>NO</v>
      </c>
      <c r="F134" s="20" t="str">
        <f t="shared" si="42"/>
        <v>CTPD (Consejo Territorial de Planeación Distrital)</v>
      </c>
      <c r="G134" s="20" t="str">
        <f t="shared" si="43"/>
        <v>Virtual</v>
      </c>
      <c r="H134" s="20" t="str">
        <f t="shared" si="44"/>
        <v>Acompañamiento como Secretaría Técnica a la sesión extraordinaria de la Comisión de Desarrollo Regional, Descentralización y Desconcentración, para revisar la metodología de aportes al PDD</v>
      </c>
      <c r="I134" s="20" t="str">
        <f t="shared" si="45"/>
        <v>Mecanismo de Seguimiento y Evaluación</v>
      </c>
      <c r="J134" s="20" t="str">
        <f t="shared" si="46"/>
        <v>Comunitario</v>
      </c>
      <c r="K134" s="20" t="str">
        <f t="shared" si="47"/>
        <v>CTPD</v>
      </c>
      <c r="L134" s="20" t="str">
        <f t="shared" si="48"/>
        <v>Distrital</v>
      </c>
      <c r="M134" s="20" t="str">
        <f t="shared" si="49"/>
        <v>Distrital</v>
      </c>
      <c r="N134" s="20" t="str">
        <f t="shared" si="50"/>
        <v>Distrital</v>
      </c>
      <c r="O134" s="20" t="str">
        <f t="shared" si="51"/>
        <v>NO</v>
      </c>
      <c r="P134" s="20" t="str">
        <f t="shared" si="52"/>
        <v>No aplica</v>
      </c>
      <c r="Q134" s="20">
        <f t="shared" si="53"/>
        <v>9</v>
      </c>
      <c r="R134" s="20">
        <f t="shared" si="54"/>
        <v>1</v>
      </c>
      <c r="S134" s="20" t="str">
        <f t="shared" si="55"/>
        <v>Propuestas PDD</v>
      </c>
      <c r="T134" s="20">
        <f t="shared" si="18"/>
        <v>1</v>
      </c>
      <c r="U134" s="20" t="str">
        <f t="shared" ca="1" si="19"/>
        <v>Realizada</v>
      </c>
      <c r="V134" s="20"/>
      <c r="W134" s="20"/>
      <c r="X134" s="20"/>
      <c r="Y134" s="20"/>
    </row>
    <row r="135" spans="1:25" ht="37.5">
      <c r="A135" s="20">
        <v>174</v>
      </c>
      <c r="B135" s="20" t="str">
        <f t="shared" si="38"/>
        <v>Dialogo Ciudadano para la Construcción del PDD - UPL Toberín</v>
      </c>
      <c r="C135" s="21">
        <f t="shared" si="39"/>
        <v>45373</v>
      </c>
      <c r="D135" s="20" t="str">
        <f t="shared" si="40"/>
        <v>OPDC</v>
      </c>
      <c r="E135" s="20" t="str">
        <f t="shared" si="41"/>
        <v>NO</v>
      </c>
      <c r="F135" s="20" t="str">
        <f t="shared" si="42"/>
        <v>Plan Distrital de Desarrollo</v>
      </c>
      <c r="G135" s="20" t="str">
        <f t="shared" si="43"/>
        <v>Presencial</v>
      </c>
      <c r="H135" s="20" t="str">
        <f t="shared" si="44"/>
        <v>Identificar las propuestas ciudadanas para la formulación del Plan de Desarrollo Distrital.</v>
      </c>
      <c r="I135" s="20" t="str">
        <f t="shared" si="45"/>
        <v>Mecanismo de Diálogo</v>
      </c>
      <c r="J135" s="20" t="str">
        <f t="shared" si="46"/>
        <v>Multiactor</v>
      </c>
      <c r="K135" s="20">
        <f t="shared" si="47"/>
        <v>0</v>
      </c>
      <c r="L135" s="20" t="str">
        <f t="shared" si="48"/>
        <v>Usaquén</v>
      </c>
      <c r="M135" s="20" t="str">
        <f t="shared" si="49"/>
        <v>Norte</v>
      </c>
      <c r="N135" s="20" t="str">
        <f t="shared" si="50"/>
        <v>Toberín</v>
      </c>
      <c r="O135" s="20" t="str">
        <f t="shared" si="51"/>
        <v>SÍ</v>
      </c>
      <c r="P135" s="20" t="str">
        <f t="shared" si="52"/>
        <v>Fase II: Aspiraciones Comunes</v>
      </c>
      <c r="Q135" s="20">
        <f t="shared" si="53"/>
        <v>54</v>
      </c>
      <c r="R135" s="20">
        <f t="shared" si="54"/>
        <v>14</v>
      </c>
      <c r="S135" s="20" t="str">
        <f t="shared" si="55"/>
        <v>Identificar las propuestas ciudadanas para la formulación del Plan de Desarrollo Distrital.</v>
      </c>
      <c r="T135" s="20">
        <f t="shared" si="18"/>
        <v>1</v>
      </c>
      <c r="U135" s="20" t="str">
        <f t="shared" ca="1" si="19"/>
        <v>Realizada</v>
      </c>
      <c r="V135" s="20"/>
      <c r="W135" s="20"/>
      <c r="X135" s="20"/>
      <c r="Y135" s="20"/>
    </row>
    <row r="136" spans="1:25" ht="61.5">
      <c r="A136" s="20">
        <v>175</v>
      </c>
      <c r="B136" s="20" t="str">
        <f t="shared" si="38"/>
        <v>Gestión: Preparatoria metodología de participación Pueblos Indígenas</v>
      </c>
      <c r="C136" s="21">
        <f t="shared" si="39"/>
        <v>45373</v>
      </c>
      <c r="D136" s="20" t="str">
        <f t="shared" si="40"/>
        <v>OPDC</v>
      </c>
      <c r="E136" s="20" t="str">
        <f t="shared" si="41"/>
        <v>NO</v>
      </c>
      <c r="F136" s="20" t="str">
        <f t="shared" si="42"/>
        <v>Plan Distrital de Desarrollo</v>
      </c>
      <c r="G136" s="20" t="str">
        <f t="shared" si="43"/>
        <v>Presencial</v>
      </c>
      <c r="H136" s="20" t="str">
        <f t="shared" si="44"/>
        <v>Realizar  reunión preparatoria para mostrarle a la Gobernadora Paulina Majis la metodología para la recolección de aportes de II fase del PDD</v>
      </c>
      <c r="I136" s="20" t="str">
        <f t="shared" si="45"/>
        <v>Gestión Institucional</v>
      </c>
      <c r="J136" s="20" t="str">
        <f t="shared" si="46"/>
        <v>Comunitario</v>
      </c>
      <c r="K136" s="20" t="str">
        <f t="shared" si="47"/>
        <v>Consejo Consultivo</v>
      </c>
      <c r="L136" s="20" t="str">
        <f t="shared" si="48"/>
        <v>Distrital</v>
      </c>
      <c r="M136" s="20" t="str">
        <f t="shared" si="49"/>
        <v>Distrital</v>
      </c>
      <c r="N136" s="20" t="str">
        <f t="shared" si="50"/>
        <v>Distrital</v>
      </c>
      <c r="O136" s="20" t="str">
        <f t="shared" si="51"/>
        <v>SÍ</v>
      </c>
      <c r="P136" s="20" t="str">
        <f t="shared" si="52"/>
        <v>Gestión interinstitucional</v>
      </c>
      <c r="Q136" s="20">
        <f t="shared" si="53"/>
        <v>2</v>
      </c>
      <c r="R136" s="20">
        <f t="shared" si="54"/>
        <v>2</v>
      </c>
      <c r="S136" s="20" t="str">
        <f t="shared" si="55"/>
        <v>Preparatoria del espacio de concertación de la metodologia de participación de los pueblos indígenas en el PDD</v>
      </c>
      <c r="T136" s="20">
        <f t="shared" si="18"/>
        <v>1</v>
      </c>
      <c r="U136" s="20" t="str">
        <f t="shared" ca="1" si="19"/>
        <v>Realizada</v>
      </c>
      <c r="V136" s="20"/>
      <c r="W136" s="20"/>
      <c r="X136" s="20"/>
      <c r="Y136" s="20"/>
    </row>
    <row r="137" spans="1:25" ht="37.5">
      <c r="A137" s="20">
        <v>176</v>
      </c>
      <c r="B137" s="20" t="str">
        <f t="shared" si="38"/>
        <v>Dialogo Ciudadano para la Construcción del PDD - UPL Porvenir</v>
      </c>
      <c r="C137" s="21">
        <f t="shared" si="39"/>
        <v>45373</v>
      </c>
      <c r="D137" s="20" t="str">
        <f t="shared" si="40"/>
        <v>OPDC</v>
      </c>
      <c r="E137" s="20" t="str">
        <f t="shared" si="41"/>
        <v>NO</v>
      </c>
      <c r="F137" s="20" t="str">
        <f t="shared" si="42"/>
        <v>Plan Distrital de Desarrollo</v>
      </c>
      <c r="G137" s="20" t="str">
        <f t="shared" si="43"/>
        <v>Presencial</v>
      </c>
      <c r="H137" s="20" t="str">
        <f t="shared" si="44"/>
        <v>Identificar las propuestas ciudadanas para la formulación del Plan de Desarrollo Distrital.</v>
      </c>
      <c r="I137" s="20" t="str">
        <f t="shared" si="45"/>
        <v>Mecanismo de Diálogo</v>
      </c>
      <c r="J137" s="20" t="str">
        <f t="shared" si="46"/>
        <v>Multiactor</v>
      </c>
      <c r="K137" s="20">
        <f t="shared" si="47"/>
        <v>0</v>
      </c>
      <c r="L137" s="20" t="str">
        <f t="shared" si="48"/>
        <v>Bosa, Kennedy</v>
      </c>
      <c r="M137" s="20" t="str">
        <f t="shared" si="49"/>
        <v>Suroccidente</v>
      </c>
      <c r="N137" s="20" t="str">
        <f t="shared" si="50"/>
        <v>Porvenir</v>
      </c>
      <c r="O137" s="20" t="str">
        <f t="shared" si="51"/>
        <v>SÍ</v>
      </c>
      <c r="P137" s="20" t="str">
        <f t="shared" si="52"/>
        <v>Fase II: Aspiraciones Comunes</v>
      </c>
      <c r="Q137" s="20">
        <f t="shared" si="53"/>
        <v>54</v>
      </c>
      <c r="R137" s="20">
        <f t="shared" si="54"/>
        <v>15</v>
      </c>
      <c r="S137" s="20" t="str">
        <f t="shared" si="55"/>
        <v>Propuestas ciudadanas para la construcción del plan distrital de desarrollo</v>
      </c>
      <c r="T137" s="20">
        <f t="shared" si="18"/>
        <v>1</v>
      </c>
      <c r="U137" s="20" t="str">
        <f t="shared" ca="1" si="19"/>
        <v>Realizada</v>
      </c>
      <c r="V137" s="20"/>
      <c r="W137" s="20"/>
      <c r="X137" s="20"/>
      <c r="Y137" s="20"/>
    </row>
    <row r="138" spans="1:25" ht="49.5">
      <c r="A138" s="20">
        <v>177</v>
      </c>
      <c r="B138" s="20" t="str">
        <f t="shared" si="38"/>
        <v>Sesión Comisión POT -CTPD</v>
      </c>
      <c r="C138" s="21">
        <f t="shared" si="39"/>
        <v>45373</v>
      </c>
      <c r="D138" s="20" t="str">
        <f t="shared" si="40"/>
        <v>INSTANCIAS</v>
      </c>
      <c r="E138" s="20" t="str">
        <f t="shared" si="41"/>
        <v>NO</v>
      </c>
      <c r="F138" s="20" t="str">
        <f t="shared" si="42"/>
        <v>CTPD (Consejo Territorial de Planeación Distrital)</v>
      </c>
      <c r="G138" s="20" t="str">
        <f t="shared" si="43"/>
        <v>Virtual</v>
      </c>
      <c r="H138" s="20" t="str">
        <f t="shared" si="44"/>
        <v>Acompañar la finalización de la comisión POT realizada el dia 20 de marzo de 2024</v>
      </c>
      <c r="I138" s="20" t="str">
        <f t="shared" si="45"/>
        <v>Mecanismo de Seguimiento y Evaluación</v>
      </c>
      <c r="J138" s="20" t="str">
        <f t="shared" si="46"/>
        <v>Comunitario</v>
      </c>
      <c r="K138" s="20" t="str">
        <f t="shared" si="47"/>
        <v>CTPD</v>
      </c>
      <c r="L138" s="20" t="str">
        <f t="shared" si="48"/>
        <v>Distrital</v>
      </c>
      <c r="M138" s="20" t="str">
        <f t="shared" si="49"/>
        <v>Distrital</v>
      </c>
      <c r="N138" s="20" t="str">
        <f t="shared" si="50"/>
        <v>Distrital</v>
      </c>
      <c r="O138" s="20" t="str">
        <f t="shared" si="51"/>
        <v>NO</v>
      </c>
      <c r="P138" s="20" t="str">
        <f t="shared" si="52"/>
        <v>No aplica</v>
      </c>
      <c r="Q138" s="20">
        <f t="shared" si="53"/>
        <v>14</v>
      </c>
      <c r="R138" s="20">
        <f t="shared" si="54"/>
        <v>1</v>
      </c>
      <c r="S138" s="20" t="str">
        <f t="shared" si="55"/>
        <v xml:space="preserve">Formulación de las preguntas sobre el PDD a los secretarios </v>
      </c>
      <c r="T138" s="20">
        <f t="shared" si="18"/>
        <v>1</v>
      </c>
      <c r="U138" s="20" t="str">
        <f t="shared" ca="1" si="19"/>
        <v>Realizada</v>
      </c>
      <c r="V138" s="20"/>
      <c r="W138" s="20"/>
      <c r="X138" s="20"/>
      <c r="Y138" s="20"/>
    </row>
    <row r="139" spans="1:25" ht="37.5">
      <c r="A139" s="20">
        <v>178</v>
      </c>
      <c r="B139" s="20" t="str">
        <f t="shared" si="38"/>
        <v>Dialogo Ciudadano para la Construcción del PDD - UPL Sumapaz - Cuenca Río Sumapaz</v>
      </c>
      <c r="C139" s="21">
        <f t="shared" si="39"/>
        <v>45374</v>
      </c>
      <c r="D139" s="20" t="str">
        <f t="shared" si="40"/>
        <v>OPDC</v>
      </c>
      <c r="E139" s="20" t="str">
        <f t="shared" si="41"/>
        <v>NO</v>
      </c>
      <c r="F139" s="20" t="str">
        <f t="shared" si="42"/>
        <v>Plan Distrital de Desarrollo</v>
      </c>
      <c r="G139" s="20" t="str">
        <f t="shared" si="43"/>
        <v>Presencial</v>
      </c>
      <c r="H139" s="20" t="str">
        <f t="shared" si="44"/>
        <v>Identificar las propuestas ciudadanas para la formulación del Plan de Desarrollo Distrital.</v>
      </c>
      <c r="I139" s="20" t="str">
        <f t="shared" si="45"/>
        <v>Mecanismo de Diálogo</v>
      </c>
      <c r="J139" s="20" t="str">
        <f t="shared" si="46"/>
        <v>Multiactor</v>
      </c>
      <c r="K139" s="20">
        <f t="shared" si="47"/>
        <v>0</v>
      </c>
      <c r="L139" s="20" t="str">
        <f t="shared" si="48"/>
        <v>Sumapaz</v>
      </c>
      <c r="M139" s="20" t="str">
        <f t="shared" si="49"/>
        <v>Ruralidad</v>
      </c>
      <c r="N139" s="20" t="str">
        <f t="shared" si="50"/>
        <v>Sumapaz</v>
      </c>
      <c r="O139" s="20" t="str">
        <f t="shared" si="51"/>
        <v>SÍ</v>
      </c>
      <c r="P139" s="20" t="str">
        <f t="shared" si="52"/>
        <v>Fase II: Aspiraciones Comunes</v>
      </c>
      <c r="Q139" s="20">
        <f t="shared" si="53"/>
        <v>27</v>
      </c>
      <c r="R139" s="20">
        <f t="shared" si="54"/>
        <v>7</v>
      </c>
      <c r="S139" s="20" t="str">
        <f t="shared" si="55"/>
        <v>Aportes rurales para el Plan Distrital de Desarrollo</v>
      </c>
      <c r="T139" s="20">
        <f t="shared" si="18"/>
        <v>1</v>
      </c>
      <c r="U139" s="20" t="str">
        <f t="shared" ca="1" si="19"/>
        <v>Realizada</v>
      </c>
      <c r="V139" s="20"/>
      <c r="W139" s="20"/>
      <c r="X139" s="20"/>
      <c r="Y139" s="20"/>
    </row>
    <row r="140" spans="1:25" ht="61.5">
      <c r="A140" s="20">
        <v>179</v>
      </c>
      <c r="B140" s="20" t="str">
        <f t="shared" si="38"/>
        <v>Audiencia Pública del CTPD con Sectores Distritales</v>
      </c>
      <c r="C140" s="21">
        <f t="shared" si="39"/>
        <v>45374</v>
      </c>
      <c r="D140" s="20" t="str">
        <f t="shared" si="40"/>
        <v>INSTANCIAS</v>
      </c>
      <c r="E140" s="20" t="str">
        <f t="shared" si="41"/>
        <v>NO</v>
      </c>
      <c r="F140" s="20" t="str">
        <f t="shared" si="42"/>
        <v>CTPD (Consejo Territorial de Planeación Distrital)</v>
      </c>
      <c r="G140" s="20" t="str">
        <f t="shared" si="43"/>
        <v>Presencial</v>
      </c>
      <c r="H140" s="20" t="str">
        <f t="shared" si="44"/>
        <v>Clarificar dudas, inquietudes y preguntas que tienen las Consejeras y los Consejeros del CTPD y ciudadanía respecto del Proyecto de Plan Distrital de Desarrollo</v>
      </c>
      <c r="I140" s="20" t="str">
        <f t="shared" si="45"/>
        <v>Mecanismo de Comunicación para la Participación</v>
      </c>
      <c r="J140" s="20" t="str">
        <f t="shared" si="46"/>
        <v>Multiactor</v>
      </c>
      <c r="K140" s="20">
        <f t="shared" si="47"/>
        <v>0</v>
      </c>
      <c r="L140" s="20" t="str">
        <f t="shared" si="48"/>
        <v>Distrital</v>
      </c>
      <c r="M140" s="20" t="str">
        <f t="shared" si="49"/>
        <v>Distrital</v>
      </c>
      <c r="N140" s="20" t="str">
        <f t="shared" si="50"/>
        <v/>
      </c>
      <c r="O140" s="20" t="str">
        <f t="shared" si="51"/>
        <v>NO</v>
      </c>
      <c r="P140" s="20" t="str">
        <f t="shared" si="52"/>
        <v>No aplica</v>
      </c>
      <c r="Q140" s="20">
        <f t="shared" si="53"/>
        <v>124</v>
      </c>
      <c r="R140" s="20">
        <f t="shared" si="54"/>
        <v>18</v>
      </c>
      <c r="S140" s="20" t="str">
        <f t="shared" si="55"/>
        <v>Recibir propuestas para el concepto del PDD</v>
      </c>
      <c r="T140" s="20">
        <f t="shared" si="18"/>
        <v>1</v>
      </c>
      <c r="U140" s="20" t="str">
        <f t="shared" ca="1" si="19"/>
        <v>Realizada</v>
      </c>
      <c r="V140" s="20"/>
      <c r="W140" s="20"/>
      <c r="X140" s="20"/>
      <c r="Y140" s="20"/>
    </row>
    <row r="141" spans="1:25" ht="49.5">
      <c r="A141" s="20">
        <v>180</v>
      </c>
      <c r="B141" s="20" t="str">
        <f t="shared" si="38"/>
        <v>Comisión poblacional CTPD</v>
      </c>
      <c r="C141" s="21">
        <f t="shared" si="39"/>
        <v>45374</v>
      </c>
      <c r="D141" s="20" t="str">
        <f t="shared" si="40"/>
        <v>INSTANCIAS</v>
      </c>
      <c r="E141" s="20" t="str">
        <f t="shared" si="41"/>
        <v>NO</v>
      </c>
      <c r="F141" s="20" t="str">
        <f t="shared" si="42"/>
        <v>CTPD (Consejo Territorial de Planeación Distrital)</v>
      </c>
      <c r="G141" s="20" t="str">
        <f t="shared" si="43"/>
        <v>Virtual</v>
      </c>
      <c r="H141" s="20" t="str">
        <f t="shared" si="44"/>
        <v>Aprobar el documento de aportes al concepto del PDD</v>
      </c>
      <c r="I141" s="20" t="str">
        <f t="shared" si="45"/>
        <v>Mecanismo de Seguimiento y Evaluación</v>
      </c>
      <c r="J141" s="20" t="str">
        <f t="shared" si="46"/>
        <v>Comunitario</v>
      </c>
      <c r="K141" s="20" t="str">
        <f t="shared" si="47"/>
        <v>CTPD</v>
      </c>
      <c r="L141" s="20" t="str">
        <f t="shared" si="48"/>
        <v>Distrital</v>
      </c>
      <c r="M141" s="20" t="str">
        <f t="shared" si="49"/>
        <v>Distrital</v>
      </c>
      <c r="N141" s="20" t="str">
        <f t="shared" si="50"/>
        <v>Distrital</v>
      </c>
      <c r="O141" s="20" t="str">
        <f t="shared" si="51"/>
        <v>NO</v>
      </c>
      <c r="P141" s="20" t="str">
        <f t="shared" si="52"/>
        <v>No aplica</v>
      </c>
      <c r="Q141" s="20">
        <f t="shared" si="53"/>
        <v>7</v>
      </c>
      <c r="R141" s="20">
        <f t="shared" si="54"/>
        <v>1</v>
      </c>
      <c r="S141" s="20" t="str">
        <f t="shared" si="55"/>
        <v>Propuestas comisión poblacional para el concepto del PDD</v>
      </c>
      <c r="T141" s="20">
        <f t="shared" si="18"/>
        <v>1</v>
      </c>
      <c r="U141" s="20" t="str">
        <f t="shared" ca="1" si="19"/>
        <v>Realizada</v>
      </c>
      <c r="V141" s="20"/>
      <c r="W141" s="20"/>
      <c r="X141" s="20"/>
      <c r="Y141" s="20"/>
    </row>
    <row r="142" spans="1:25" ht="49.5">
      <c r="A142" s="20">
        <v>181</v>
      </c>
      <c r="B142" s="20" t="str">
        <f t="shared" si="38"/>
        <v>Mesas de trabajo para redacción y consolidación del concepto PDD</v>
      </c>
      <c r="C142" s="21">
        <f t="shared" si="39"/>
        <v>45375</v>
      </c>
      <c r="D142" s="20" t="str">
        <f t="shared" si="40"/>
        <v>INSTANCIAS</v>
      </c>
      <c r="E142" s="20" t="str">
        <f t="shared" si="41"/>
        <v>NO</v>
      </c>
      <c r="F142" s="20" t="str">
        <f t="shared" si="42"/>
        <v>CTPD (Consejo Territorial de Planeación Distrital)</v>
      </c>
      <c r="G142" s="20" t="str">
        <f t="shared" si="43"/>
        <v>Presencial</v>
      </c>
      <c r="H142" s="20" t="str">
        <f t="shared" si="44"/>
        <v>Realizar el documento concepto del CTPD sobre el PDD</v>
      </c>
      <c r="I142" s="20" t="str">
        <f t="shared" si="45"/>
        <v>Mecanismo de Seguimiento y Evaluación</v>
      </c>
      <c r="J142" s="20" t="str">
        <f t="shared" si="46"/>
        <v>Comunitario</v>
      </c>
      <c r="K142" s="20" t="str">
        <f t="shared" si="47"/>
        <v>CTPD</v>
      </c>
      <c r="L142" s="20" t="str">
        <f t="shared" si="48"/>
        <v>Distrital</v>
      </c>
      <c r="M142" s="20" t="str">
        <f t="shared" si="49"/>
        <v>Distrital</v>
      </c>
      <c r="N142" s="20" t="str">
        <f t="shared" si="50"/>
        <v>Distrital</v>
      </c>
      <c r="O142" s="20" t="str">
        <f t="shared" si="51"/>
        <v>SÍ</v>
      </c>
      <c r="P142" s="20" t="str">
        <f t="shared" si="52"/>
        <v>Gestión interinstitucional</v>
      </c>
      <c r="Q142" s="20">
        <f t="shared" si="53"/>
        <v>14</v>
      </c>
      <c r="R142" s="20">
        <f t="shared" si="54"/>
        <v>2</v>
      </c>
      <c r="S142" s="20" t="str">
        <f t="shared" si="55"/>
        <v>Borrador del Plan Distrital de Desarrollo 2024-2028</v>
      </c>
      <c r="T142" s="20">
        <f t="shared" si="18"/>
        <v>1</v>
      </c>
      <c r="U142" s="20" t="str">
        <f t="shared" ca="1" si="19"/>
        <v>Realizada</v>
      </c>
      <c r="V142" s="20"/>
      <c r="W142" s="20"/>
      <c r="X142" s="20"/>
      <c r="Y142" s="20"/>
    </row>
    <row r="143" spans="1:25" ht="37.5">
      <c r="A143" s="20">
        <v>182</v>
      </c>
      <c r="B143" s="20" t="str">
        <f t="shared" si="38"/>
        <v>Jornada Pégate al Plan: Pedagogía ciudadana para el manejo de la herramienta chatico - Señor de los Milagros</v>
      </c>
      <c r="C143" s="21">
        <f t="shared" si="39"/>
        <v>45375</v>
      </c>
      <c r="D143" s="20" t="str">
        <f t="shared" si="40"/>
        <v>OPDC</v>
      </c>
      <c r="E143" s="20" t="str">
        <f t="shared" si="41"/>
        <v>NO</v>
      </c>
      <c r="F143" s="20" t="str">
        <f t="shared" si="42"/>
        <v>Plan Distrital de Desarrollo</v>
      </c>
      <c r="G143" s="20" t="str">
        <f t="shared" si="43"/>
        <v>Presencial</v>
      </c>
      <c r="H143" s="20" t="str">
        <f t="shared" si="44"/>
        <v>Identificar las propuestas ciudadanas para la formulación del Plan de Desarrollo Distrital.</v>
      </c>
      <c r="I143" s="20" t="str">
        <f t="shared" si="45"/>
        <v>Mecanismo de Consulta Ciudadana</v>
      </c>
      <c r="J143" s="20" t="str">
        <f t="shared" si="46"/>
        <v>Multiactor</v>
      </c>
      <c r="K143" s="20">
        <f t="shared" si="47"/>
        <v>0</v>
      </c>
      <c r="L143" s="20" t="str">
        <f t="shared" si="48"/>
        <v>Teusaquillo</v>
      </c>
      <c r="M143" s="20" t="str">
        <f t="shared" si="49"/>
        <v>Distrital</v>
      </c>
      <c r="N143" s="20" t="str">
        <f t="shared" si="50"/>
        <v>Distrital</v>
      </c>
      <c r="O143" s="20" t="str">
        <f t="shared" si="51"/>
        <v>SÍ</v>
      </c>
      <c r="P143" s="20" t="str">
        <f t="shared" si="52"/>
        <v>Fase II: Aspiraciones Comunes</v>
      </c>
      <c r="Q143" s="20">
        <f t="shared" si="53"/>
        <v>100</v>
      </c>
      <c r="R143" s="20">
        <f t="shared" si="54"/>
        <v>11</v>
      </c>
      <c r="S143" s="20" t="str">
        <f t="shared" si="55"/>
        <v>Contrucción iniciativas plan de desarrollo</v>
      </c>
      <c r="T143" s="20">
        <f t="shared" si="18"/>
        <v>1</v>
      </c>
      <c r="U143" s="20" t="str">
        <f t="shared" ca="1" si="19"/>
        <v>Realizada</v>
      </c>
      <c r="V143" s="20"/>
      <c r="W143" s="20"/>
      <c r="X143" s="20"/>
      <c r="Y143" s="20"/>
    </row>
    <row r="144" spans="1:25" ht="49.5">
      <c r="A144" s="20">
        <v>183</v>
      </c>
      <c r="B144" s="20" t="str">
        <f t="shared" si="38"/>
        <v>Comisión accidental redactora concepto PDD</v>
      </c>
      <c r="C144" s="21">
        <f t="shared" si="39"/>
        <v>45376</v>
      </c>
      <c r="D144" s="20" t="str">
        <f t="shared" si="40"/>
        <v>INSTANCIAS</v>
      </c>
      <c r="E144" s="20" t="str">
        <f t="shared" si="41"/>
        <v>NO</v>
      </c>
      <c r="F144" s="20" t="str">
        <f t="shared" si="42"/>
        <v>CTPD (Consejo Territorial de Planeación Distrital)</v>
      </c>
      <c r="G144" s="20" t="str">
        <f t="shared" si="43"/>
        <v>Virtual</v>
      </c>
      <c r="H144" s="20" t="str">
        <f t="shared" si="44"/>
        <v xml:space="preserve">Redacción concepto Plan Distrital de  Desarrollo </v>
      </c>
      <c r="I144" s="20" t="str">
        <f t="shared" si="45"/>
        <v>Mecanismo de Seguimiento y Evaluación</v>
      </c>
      <c r="J144" s="20" t="str">
        <f t="shared" si="46"/>
        <v>Comunitario</v>
      </c>
      <c r="K144" s="20" t="str">
        <f t="shared" si="47"/>
        <v>CTPD</v>
      </c>
      <c r="L144" s="20" t="str">
        <f t="shared" si="48"/>
        <v>Distrital</v>
      </c>
      <c r="M144" s="20" t="str">
        <f t="shared" si="49"/>
        <v>Distrital</v>
      </c>
      <c r="N144" s="20" t="str">
        <f t="shared" si="50"/>
        <v>Distrital</v>
      </c>
      <c r="O144" s="20" t="str">
        <f t="shared" si="51"/>
        <v>NO</v>
      </c>
      <c r="P144" s="20" t="str">
        <f t="shared" si="52"/>
        <v>No aplica</v>
      </c>
      <c r="Q144" s="20">
        <f t="shared" si="53"/>
        <v>24</v>
      </c>
      <c r="R144" s="20">
        <f t="shared" si="54"/>
        <v>3</v>
      </c>
      <c r="S144" s="20" t="str">
        <f t="shared" si="55"/>
        <v>Redacción concepto PDD</v>
      </c>
      <c r="T144" s="20">
        <f t="shared" si="18"/>
        <v>1</v>
      </c>
      <c r="U144" s="20" t="str">
        <f t="shared" ca="1" si="19"/>
        <v>Realizada</v>
      </c>
      <c r="V144" s="20"/>
      <c r="W144" s="20"/>
      <c r="X144" s="20"/>
      <c r="Y144" s="20"/>
    </row>
    <row r="145" spans="1:25" ht="49.5">
      <c r="A145" s="20">
        <v>184</v>
      </c>
      <c r="B145" s="20" t="str">
        <f t="shared" si="38"/>
        <v xml:space="preserve">Comisión POT extraordinaria </v>
      </c>
      <c r="C145" s="21">
        <f t="shared" si="39"/>
        <v>45376</v>
      </c>
      <c r="D145" s="20" t="str">
        <f t="shared" si="40"/>
        <v>INSTANCIAS</v>
      </c>
      <c r="E145" s="20" t="str">
        <f t="shared" si="41"/>
        <v>NO</v>
      </c>
      <c r="F145" s="20" t="str">
        <f t="shared" si="42"/>
        <v>CTPD (Consejo Territorial de Planeación Distrital)</v>
      </c>
      <c r="G145" s="20" t="str">
        <f t="shared" si="43"/>
        <v>Virtual</v>
      </c>
      <c r="H145" s="20" t="str">
        <f t="shared" si="44"/>
        <v xml:space="preserve">Realizar lor aportes por parte de la Comisón para el concepto PDD </v>
      </c>
      <c r="I145" s="20" t="str">
        <f t="shared" si="45"/>
        <v>Mecanismo de Seguimiento y Evaluación</v>
      </c>
      <c r="J145" s="20" t="str">
        <f t="shared" si="46"/>
        <v>Comunitario</v>
      </c>
      <c r="K145" s="20" t="str">
        <f t="shared" si="47"/>
        <v>CTPD</v>
      </c>
      <c r="L145" s="20" t="str">
        <f t="shared" si="48"/>
        <v>Distrital</v>
      </c>
      <c r="M145" s="20" t="str">
        <f t="shared" si="49"/>
        <v>Distrital</v>
      </c>
      <c r="N145" s="20" t="str">
        <f t="shared" si="50"/>
        <v>Distrital</v>
      </c>
      <c r="O145" s="20" t="str">
        <f t="shared" si="51"/>
        <v>NO</v>
      </c>
      <c r="P145" s="20" t="str">
        <f t="shared" si="52"/>
        <v>No aplica</v>
      </c>
      <c r="Q145" s="20">
        <f t="shared" si="53"/>
        <v>12</v>
      </c>
      <c r="R145" s="20">
        <f t="shared" si="54"/>
        <v>1</v>
      </c>
      <c r="S145" s="20" t="str">
        <f t="shared" si="55"/>
        <v>Concepto PDD de la comisión POT</v>
      </c>
      <c r="T145" s="20">
        <f t="shared" si="18"/>
        <v>1</v>
      </c>
      <c r="U145" s="20" t="str">
        <f t="shared" ca="1" si="19"/>
        <v>Realizada</v>
      </c>
      <c r="V145" s="20"/>
      <c r="W145" s="20"/>
      <c r="X145" s="20"/>
      <c r="Y145" s="20"/>
    </row>
    <row r="146" spans="1:25" ht="49.5">
      <c r="A146" s="20">
        <v>185</v>
      </c>
      <c r="B146" s="20" t="str">
        <f t="shared" si="38"/>
        <v xml:space="preserve">III Diálogo Ciudadano Poblacional para la Construcción del PDD - Consultiva Negra-afrocolombiana </v>
      </c>
      <c r="C146" s="21">
        <f t="shared" si="39"/>
        <v>45377</v>
      </c>
      <c r="D146" s="20" t="str">
        <f t="shared" si="40"/>
        <v>OPDC</v>
      </c>
      <c r="E146" s="20" t="str">
        <f t="shared" si="41"/>
        <v>NO</v>
      </c>
      <c r="F146" s="20" t="str">
        <f t="shared" si="42"/>
        <v>Plan Distrital de Desarrollo</v>
      </c>
      <c r="G146" s="20" t="str">
        <f t="shared" si="43"/>
        <v>Presencial</v>
      </c>
      <c r="H146" s="20" t="str">
        <f t="shared" si="44"/>
        <v>Recoger las propuestas de la consultiva negra-afrocolombiana con respecto a la fase de aspiraciones comunes del Plan Distrital de Desarrollo</v>
      </c>
      <c r="I146" s="20" t="str">
        <f t="shared" si="45"/>
        <v>Mecanismo de Diálogo</v>
      </c>
      <c r="J146" s="20" t="str">
        <f t="shared" si="46"/>
        <v>Comunitario</v>
      </c>
      <c r="K146" s="20" t="str">
        <f t="shared" si="47"/>
        <v>Consejo Consultivo</v>
      </c>
      <c r="L146" s="20" t="str">
        <f t="shared" si="48"/>
        <v>Distrital</v>
      </c>
      <c r="M146" s="20" t="str">
        <f t="shared" si="49"/>
        <v>Distrital</v>
      </c>
      <c r="N146" s="20" t="str">
        <f t="shared" si="50"/>
        <v>Distrital</v>
      </c>
      <c r="O146" s="20" t="str">
        <f t="shared" si="51"/>
        <v>SÍ</v>
      </c>
      <c r="P146" s="20" t="str">
        <f t="shared" si="52"/>
        <v>Fase II: Aspiraciones Comunes</v>
      </c>
      <c r="Q146" s="20">
        <f t="shared" si="53"/>
        <v>17</v>
      </c>
      <c r="R146" s="20">
        <f t="shared" si="54"/>
        <v>2</v>
      </c>
      <c r="S146" s="20" t="str">
        <f t="shared" si="55"/>
        <v xml:space="preserve">Recolección de propuestas alrededor del objetivo 3, 4 y 5 del PDD </v>
      </c>
      <c r="T146" s="20">
        <f t="shared" si="18"/>
        <v>1</v>
      </c>
      <c r="U146" s="20" t="str">
        <f t="shared" ca="1" si="19"/>
        <v>Realizada</v>
      </c>
      <c r="V146" s="20"/>
      <c r="W146" s="20"/>
      <c r="X146" s="20"/>
      <c r="Y146" s="20"/>
    </row>
    <row r="147" spans="1:25" ht="49.5">
      <c r="A147" s="20">
        <v>186</v>
      </c>
      <c r="B147" s="20" t="str">
        <f t="shared" si="38"/>
        <v>Sesión Extraordinaria de la Comisión de Plan Distrital de Desarrollo del CTPD</v>
      </c>
      <c r="C147" s="21">
        <f t="shared" si="39"/>
        <v>45377</v>
      </c>
      <c r="D147" s="20" t="str">
        <f t="shared" si="40"/>
        <v>INSTANCIAS</v>
      </c>
      <c r="E147" s="20" t="str">
        <f t="shared" si="41"/>
        <v>NO</v>
      </c>
      <c r="F147" s="20" t="str">
        <f t="shared" si="42"/>
        <v>CTPD (Consejo Territorial de Planeación Distrital)</v>
      </c>
      <c r="G147" s="20" t="str">
        <f t="shared" si="43"/>
        <v>Virtual</v>
      </c>
      <c r="H147" s="20" t="str">
        <f t="shared" si="44"/>
        <v>Consolidar el texto que el Coordinador leerá en nombre de la comisión en el Acto Protocolario de entrega del concepto del CPTD.</v>
      </c>
      <c r="I147" s="20" t="str">
        <f t="shared" si="45"/>
        <v>Mecanismo de Seguimiento y Evaluación</v>
      </c>
      <c r="J147" s="20" t="str">
        <f t="shared" si="46"/>
        <v>Comunitario</v>
      </c>
      <c r="K147" s="20" t="str">
        <f t="shared" si="47"/>
        <v>CTPD</v>
      </c>
      <c r="L147" s="20" t="str">
        <f t="shared" si="48"/>
        <v>Distrital</v>
      </c>
      <c r="M147" s="20" t="str">
        <f t="shared" si="49"/>
        <v>Distrital</v>
      </c>
      <c r="N147" s="20" t="str">
        <f t="shared" si="50"/>
        <v>Distrital</v>
      </c>
      <c r="O147" s="20" t="str">
        <f t="shared" si="51"/>
        <v>NO</v>
      </c>
      <c r="P147" s="20" t="str">
        <f t="shared" si="52"/>
        <v>No aplica</v>
      </c>
      <c r="Q147" s="20">
        <f t="shared" si="53"/>
        <v>39</v>
      </c>
      <c r="R147" s="20">
        <f t="shared" si="54"/>
        <v>1</v>
      </c>
      <c r="S147" s="20" t="str">
        <f t="shared" si="55"/>
        <v>Consolidar el texto que el Coordinador leerá en nombre de la comisión en el Acto Protocolario de entrega del concepto del CPTD</v>
      </c>
      <c r="T147" s="20">
        <f t="shared" si="18"/>
        <v>1</v>
      </c>
      <c r="U147" s="20" t="str">
        <f t="shared" ca="1" si="19"/>
        <v>Realizada</v>
      </c>
      <c r="V147" s="20"/>
      <c r="W147" s="20"/>
      <c r="X147" s="20"/>
      <c r="Y147" s="20"/>
    </row>
    <row r="148" spans="1:25" ht="49.5">
      <c r="A148" s="20">
        <v>187</v>
      </c>
      <c r="B148" s="20" t="str">
        <f t="shared" si="38"/>
        <v>Plenaria extraordinaria CTPD</v>
      </c>
      <c r="C148" s="21">
        <f t="shared" si="39"/>
        <v>45377</v>
      </c>
      <c r="D148" s="20" t="str">
        <f t="shared" si="40"/>
        <v>INSTANCIAS</v>
      </c>
      <c r="E148" s="20" t="str">
        <f t="shared" si="41"/>
        <v>NO</v>
      </c>
      <c r="F148" s="20" t="str">
        <f t="shared" si="42"/>
        <v>CTPD (Consejo Territorial de Planeación Distrital)</v>
      </c>
      <c r="G148" s="20" t="str">
        <f t="shared" si="43"/>
        <v>Virtual</v>
      </c>
      <c r="H148" s="20" t="str">
        <f t="shared" si="44"/>
        <v>Aprobar el concepto frente aL PDD</v>
      </c>
      <c r="I148" s="20" t="str">
        <f t="shared" si="45"/>
        <v>Mecanismo de Seguimiento y Evaluación</v>
      </c>
      <c r="J148" s="20" t="str">
        <f t="shared" si="46"/>
        <v>Comunitario</v>
      </c>
      <c r="K148" s="20" t="str">
        <f t="shared" si="47"/>
        <v>CTPD</v>
      </c>
      <c r="L148" s="20" t="str">
        <f t="shared" si="48"/>
        <v>Distrital</v>
      </c>
      <c r="M148" s="20" t="str">
        <f t="shared" si="49"/>
        <v>Distrital</v>
      </c>
      <c r="N148" s="20" t="str">
        <f t="shared" si="50"/>
        <v>Distrital</v>
      </c>
      <c r="O148" s="20" t="str">
        <f t="shared" si="51"/>
        <v>NO</v>
      </c>
      <c r="P148" s="20" t="str">
        <f t="shared" si="52"/>
        <v>No aplica</v>
      </c>
      <c r="Q148" s="20">
        <f t="shared" si="53"/>
        <v>73</v>
      </c>
      <c r="R148" s="20">
        <f t="shared" si="54"/>
        <v>3</v>
      </c>
      <c r="S148" s="20" t="str">
        <f t="shared" si="55"/>
        <v>Aprobación del concepto del PDD</v>
      </c>
      <c r="T148" s="20">
        <f t="shared" si="18"/>
        <v>1</v>
      </c>
      <c r="U148" s="20" t="str">
        <f t="shared" ca="1" si="19"/>
        <v>Realizada</v>
      </c>
      <c r="V148" s="20"/>
      <c r="W148" s="20"/>
      <c r="X148" s="20"/>
      <c r="Y148" s="20"/>
    </row>
    <row r="149" spans="1:25" ht="37.5">
      <c r="A149" s="20">
        <v>188</v>
      </c>
      <c r="B149" s="20" t="str">
        <f t="shared" si="38"/>
        <v>Diálogo Ciudadano para la Construcción del PDD - Recicladores</v>
      </c>
      <c r="C149" s="21">
        <f t="shared" si="39"/>
        <v>45377</v>
      </c>
      <c r="D149" s="20" t="str">
        <f t="shared" si="40"/>
        <v>OPDC</v>
      </c>
      <c r="E149" s="20" t="str">
        <f t="shared" si="41"/>
        <v>NO</v>
      </c>
      <c r="F149" s="20" t="str">
        <f t="shared" si="42"/>
        <v>Plan Distrital de Desarrollo</v>
      </c>
      <c r="G149" s="20" t="str">
        <f t="shared" si="43"/>
        <v>Presencial</v>
      </c>
      <c r="H149" s="20" t="str">
        <f t="shared" si="44"/>
        <v>Identificar las propuestas ciudadanas para la formulación del Plan de Desarrollo Distrital.</v>
      </c>
      <c r="I149" s="20" t="str">
        <f t="shared" si="45"/>
        <v>Mecanismo de Diálogo</v>
      </c>
      <c r="J149" s="20" t="str">
        <f t="shared" si="46"/>
        <v>Multiactor</v>
      </c>
      <c r="K149" s="20">
        <f t="shared" si="47"/>
        <v>0</v>
      </c>
      <c r="L149" s="20" t="str">
        <f t="shared" si="48"/>
        <v>Distrital</v>
      </c>
      <c r="M149" s="20" t="str">
        <f t="shared" si="49"/>
        <v>Distrital</v>
      </c>
      <c r="N149" s="20" t="str">
        <f t="shared" si="50"/>
        <v>Distrital</v>
      </c>
      <c r="O149" s="20" t="str">
        <f t="shared" si="51"/>
        <v>SÍ</v>
      </c>
      <c r="P149" s="20" t="str">
        <f t="shared" si="52"/>
        <v>Fase II: Aspiraciones Comunes</v>
      </c>
      <c r="Q149" s="20">
        <f t="shared" si="53"/>
        <v>24</v>
      </c>
      <c r="R149" s="20">
        <f t="shared" si="54"/>
        <v>6</v>
      </c>
      <c r="S149" s="20" t="str">
        <f t="shared" si="55"/>
        <v>Inclusión de propuestas de líderes recicladores a la formulación del PDD</v>
      </c>
      <c r="T149" s="20">
        <f t="shared" si="18"/>
        <v>1</v>
      </c>
      <c r="U149" s="20" t="str">
        <f t="shared" ca="1" si="19"/>
        <v>Realizada</v>
      </c>
      <c r="V149" s="20"/>
      <c r="W149" s="20"/>
      <c r="X149" s="20"/>
      <c r="Y149" s="20"/>
    </row>
    <row r="150" spans="1:25" ht="49.5">
      <c r="A150" s="20">
        <v>189</v>
      </c>
      <c r="B150" s="20" t="str">
        <f t="shared" si="38"/>
        <v>Sesión Extraordinaria de la Comisión de Plan Distrital de Desarrollo del CTPD</v>
      </c>
      <c r="C150" s="21">
        <f t="shared" si="39"/>
        <v>45378</v>
      </c>
      <c r="D150" s="20" t="str">
        <f t="shared" si="40"/>
        <v>INSTANCIAS</v>
      </c>
      <c r="E150" s="20" t="str">
        <f t="shared" si="41"/>
        <v>NO</v>
      </c>
      <c r="F150" s="20" t="str">
        <f t="shared" si="42"/>
        <v>CTPD (Consejo Territorial de Planeación Distrital)</v>
      </c>
      <c r="G150" s="20" t="str">
        <f t="shared" si="43"/>
        <v>Virtual</v>
      </c>
      <c r="H150" s="20" t="str">
        <f t="shared" si="44"/>
        <v>Construir el documento de la Comisión PDD para la entrega del concepto del CPTD del PDD</v>
      </c>
      <c r="I150" s="20" t="str">
        <f t="shared" si="45"/>
        <v>Mecanismo de Seguimiento y Evaluación</v>
      </c>
      <c r="J150" s="20" t="str">
        <f t="shared" si="46"/>
        <v>Comunitario</v>
      </c>
      <c r="K150" s="20" t="str">
        <f t="shared" si="47"/>
        <v>CTPD</v>
      </c>
      <c r="L150" s="20" t="str">
        <f t="shared" si="48"/>
        <v>Distrital</v>
      </c>
      <c r="M150" s="20" t="str">
        <f t="shared" si="49"/>
        <v>Distrital</v>
      </c>
      <c r="N150" s="20" t="str">
        <f t="shared" si="50"/>
        <v>Distrital</v>
      </c>
      <c r="O150" s="20" t="str">
        <f t="shared" si="51"/>
        <v>NO</v>
      </c>
      <c r="P150" s="20" t="str">
        <f t="shared" si="52"/>
        <v>No aplica</v>
      </c>
      <c r="Q150" s="20">
        <f t="shared" si="53"/>
        <v>39</v>
      </c>
      <c r="R150" s="20">
        <f t="shared" si="54"/>
        <v>1</v>
      </c>
      <c r="S150" s="20" t="str">
        <f t="shared" si="55"/>
        <v>Construcción del documento de la Comisión de Pla Distrital de Desarrollo sobre el Concepto del PDD del CTPD</v>
      </c>
      <c r="T150" s="20">
        <f t="shared" si="18"/>
        <v>1</v>
      </c>
      <c r="U150" s="20" t="str">
        <f t="shared" ca="1" si="19"/>
        <v>Realizada</v>
      </c>
      <c r="V150" s="20"/>
      <c r="W150" s="20"/>
      <c r="X150" s="20"/>
      <c r="Y150" s="20"/>
    </row>
    <row r="151" spans="1:25" ht="49.5">
      <c r="A151" s="20">
        <v>190</v>
      </c>
      <c r="B151" s="20" t="str">
        <f t="shared" si="38"/>
        <v xml:space="preserve">Comisión POT extraordinaria del CTPD </v>
      </c>
      <c r="C151" s="21">
        <f t="shared" si="39"/>
        <v>45378</v>
      </c>
      <c r="D151" s="20" t="str">
        <f t="shared" si="40"/>
        <v>INSTANCIAS</v>
      </c>
      <c r="E151" s="20" t="str">
        <f t="shared" si="41"/>
        <v>NO</v>
      </c>
      <c r="F151" s="20" t="str">
        <f t="shared" si="42"/>
        <v>CTPD (Consejo Territorial de Planeación Distrital)</v>
      </c>
      <c r="G151" s="20" t="str">
        <f t="shared" si="43"/>
        <v>Virtual</v>
      </c>
      <c r="H151" s="20" t="str">
        <f t="shared" si="44"/>
        <v>Ajustar  el documento del concepto PDD</v>
      </c>
      <c r="I151" s="20" t="str">
        <f t="shared" si="45"/>
        <v>Mecanismo de Seguimiento y Evaluación</v>
      </c>
      <c r="J151" s="20" t="str">
        <f t="shared" si="46"/>
        <v>Comunitario</v>
      </c>
      <c r="K151" s="20" t="str">
        <f t="shared" si="47"/>
        <v>CTPD</v>
      </c>
      <c r="L151" s="20" t="str">
        <f t="shared" si="48"/>
        <v>Distrital</v>
      </c>
      <c r="M151" s="20" t="str">
        <f t="shared" si="49"/>
        <v>Distrital</v>
      </c>
      <c r="N151" s="20" t="str">
        <f t="shared" si="50"/>
        <v>Distrital</v>
      </c>
      <c r="O151" s="20" t="str">
        <f t="shared" si="51"/>
        <v>SÍ</v>
      </c>
      <c r="P151" s="20" t="str">
        <f t="shared" si="52"/>
        <v>Gestión interinstitucional</v>
      </c>
      <c r="Q151" s="20">
        <f t="shared" si="53"/>
        <v>18</v>
      </c>
      <c r="R151" s="20">
        <f t="shared" si="54"/>
        <v>1</v>
      </c>
      <c r="S151" s="20" t="str">
        <f t="shared" si="55"/>
        <v xml:space="preserve">Elaboración del documento concepto PDD </v>
      </c>
      <c r="T151" s="20">
        <f t="shared" si="18"/>
        <v>1</v>
      </c>
      <c r="U151" s="20" t="str">
        <f t="shared" ca="1" si="19"/>
        <v>Realizada</v>
      </c>
      <c r="V151" s="20"/>
      <c r="W151" s="20"/>
      <c r="X151" s="20"/>
      <c r="Y151" s="20"/>
    </row>
    <row r="152" spans="1:25" ht="49.5">
      <c r="A152" s="20">
        <v>191</v>
      </c>
      <c r="B152" s="20" t="str">
        <f t="shared" si="38"/>
        <v>Comisión Extraordinaria de Participación</v>
      </c>
      <c r="C152" s="21">
        <f t="shared" si="39"/>
        <v>45378</v>
      </c>
      <c r="D152" s="20" t="str">
        <f t="shared" si="40"/>
        <v>INSTANCIAS</v>
      </c>
      <c r="E152" s="20" t="str">
        <f t="shared" si="41"/>
        <v>NO</v>
      </c>
      <c r="F152" s="20" t="str">
        <f t="shared" si="42"/>
        <v>CTPD (Consejo Territorial de Planeación Distrital)</v>
      </c>
      <c r="G152" s="20" t="str">
        <f t="shared" si="43"/>
        <v>Virtual</v>
      </c>
      <c r="H152" s="20" t="str">
        <f t="shared" si="44"/>
        <v>Revisar los aportes de la comisión para el Concepto del PDD</v>
      </c>
      <c r="I152" s="20" t="str">
        <f t="shared" si="45"/>
        <v>Mecanismo de Seguimiento y Evaluación</v>
      </c>
      <c r="J152" s="20" t="str">
        <f t="shared" si="46"/>
        <v>Comunitario</v>
      </c>
      <c r="K152" s="20" t="str">
        <f t="shared" si="47"/>
        <v>CTPD</v>
      </c>
      <c r="L152" s="20" t="str">
        <f t="shared" si="48"/>
        <v>Distrital</v>
      </c>
      <c r="M152" s="20" t="str">
        <f t="shared" si="49"/>
        <v>Distrital</v>
      </c>
      <c r="N152" s="20" t="str">
        <f t="shared" si="50"/>
        <v>Distrital</v>
      </c>
      <c r="O152" s="20" t="str">
        <f t="shared" si="51"/>
        <v>SÍ</v>
      </c>
      <c r="P152" s="20" t="str">
        <f t="shared" si="52"/>
        <v>Gestión interinstitucional</v>
      </c>
      <c r="Q152" s="20">
        <f t="shared" si="53"/>
        <v>8</v>
      </c>
      <c r="R152" s="20">
        <f t="shared" si="54"/>
        <v>2</v>
      </c>
      <c r="S152" s="20" t="str">
        <f t="shared" si="55"/>
        <v>Redacción del Concepto del PDD</v>
      </c>
      <c r="T152" s="20">
        <f t="shared" si="18"/>
        <v>1</v>
      </c>
      <c r="U152" s="20" t="str">
        <f t="shared" ca="1" si="19"/>
        <v>Realizada</v>
      </c>
      <c r="V152" s="20"/>
      <c r="W152" s="20"/>
      <c r="X152" s="20"/>
      <c r="Y152" s="20"/>
    </row>
    <row r="153" spans="1:25" ht="49.5">
      <c r="A153" s="20">
        <v>192</v>
      </c>
      <c r="B153" s="20" t="str">
        <f t="shared" si="38"/>
        <v>Comisión de Participación del CTPD</v>
      </c>
      <c r="C153" s="21">
        <f t="shared" si="39"/>
        <v>45380</v>
      </c>
      <c r="D153" s="20" t="str">
        <f t="shared" si="40"/>
        <v>INSTANCIAS</v>
      </c>
      <c r="E153" s="20" t="str">
        <f t="shared" si="41"/>
        <v>NO</v>
      </c>
      <c r="F153" s="20" t="str">
        <f t="shared" si="42"/>
        <v>CTPD (Consejo Territorial de Planeación Distrital)</v>
      </c>
      <c r="G153" s="20" t="str">
        <f t="shared" si="43"/>
        <v>Virtual</v>
      </c>
      <c r="H153" s="20" t="str">
        <f t="shared" si="44"/>
        <v>Avanzar en la Construcción del Concepto del PDD</v>
      </c>
      <c r="I153" s="20" t="str">
        <f t="shared" si="45"/>
        <v>Mecanismo de Seguimiento y Evaluación</v>
      </c>
      <c r="J153" s="20" t="str">
        <f t="shared" si="46"/>
        <v>Comunitario</v>
      </c>
      <c r="K153" s="20" t="str">
        <f t="shared" si="47"/>
        <v>CTPD</v>
      </c>
      <c r="L153" s="20" t="str">
        <f t="shared" si="48"/>
        <v>Distrital</v>
      </c>
      <c r="M153" s="20" t="str">
        <f t="shared" si="49"/>
        <v>Distrital</v>
      </c>
      <c r="N153" s="20" t="str">
        <f t="shared" si="50"/>
        <v>Distrital</v>
      </c>
      <c r="O153" s="20" t="str">
        <f t="shared" si="51"/>
        <v>SÍ</v>
      </c>
      <c r="P153" s="20" t="str">
        <f t="shared" si="52"/>
        <v>Gestión interinstitucional</v>
      </c>
      <c r="Q153" s="20">
        <f t="shared" si="53"/>
        <v>8</v>
      </c>
      <c r="R153" s="20">
        <f t="shared" si="54"/>
        <v>3</v>
      </c>
      <c r="S153" s="20" t="str">
        <f t="shared" si="55"/>
        <v>Construcción del Concepto del PDD</v>
      </c>
      <c r="T153" s="20">
        <f t="shared" si="18"/>
        <v>1</v>
      </c>
      <c r="U153" s="20" t="str">
        <f t="shared" ca="1" si="19"/>
        <v>Realizada</v>
      </c>
      <c r="V153" s="20"/>
      <c r="W153" s="20"/>
      <c r="X153" s="20"/>
      <c r="Y153" s="20"/>
    </row>
    <row r="154" spans="1:25" ht="49.5">
      <c r="A154" s="20">
        <v>193</v>
      </c>
      <c r="B154" s="20" t="str">
        <f t="shared" si="38"/>
        <v>Comisión extarordinaria POT del CTPD</v>
      </c>
      <c r="C154" s="21">
        <f t="shared" si="39"/>
        <v>45380</v>
      </c>
      <c r="D154" s="20" t="str">
        <f t="shared" si="40"/>
        <v>INSTANCIAS</v>
      </c>
      <c r="E154" s="20" t="str">
        <f t="shared" si="41"/>
        <v>NO</v>
      </c>
      <c r="F154" s="20" t="str">
        <f t="shared" si="42"/>
        <v>CTPD (Consejo Territorial de Planeación Distrital)</v>
      </c>
      <c r="G154" s="20" t="str">
        <f t="shared" si="43"/>
        <v>Virtual</v>
      </c>
      <c r="H154" s="20" t="str">
        <f t="shared" si="44"/>
        <v xml:space="preserve">Terminar el documento concepto PDD por parte de la comisión POT </v>
      </c>
      <c r="I154" s="20" t="str">
        <f t="shared" si="45"/>
        <v>Mecanismo de Seguimiento y Evaluación</v>
      </c>
      <c r="J154" s="20" t="str">
        <f t="shared" si="46"/>
        <v>Comunitario</v>
      </c>
      <c r="K154" s="20" t="str">
        <f t="shared" si="47"/>
        <v>CTPD</v>
      </c>
      <c r="L154" s="20" t="str">
        <f t="shared" si="48"/>
        <v>Distrital</v>
      </c>
      <c r="M154" s="20" t="str">
        <f t="shared" si="49"/>
        <v>Distrital</v>
      </c>
      <c r="N154" s="20" t="str">
        <f t="shared" si="50"/>
        <v>Distrital</v>
      </c>
      <c r="O154" s="20" t="str">
        <f t="shared" si="51"/>
        <v>SÍ</v>
      </c>
      <c r="P154" s="20" t="str">
        <f t="shared" si="52"/>
        <v>Gestión interinstitucional</v>
      </c>
      <c r="Q154" s="20">
        <f t="shared" si="53"/>
        <v>11</v>
      </c>
      <c r="R154" s="20">
        <f t="shared" si="54"/>
        <v>1</v>
      </c>
      <c r="S154" s="20" t="str">
        <f t="shared" si="55"/>
        <v>Aportes para el documento concepto PDD</v>
      </c>
      <c r="T154" s="20">
        <f t="shared" si="18"/>
        <v>1</v>
      </c>
      <c r="U154" s="20" t="str">
        <f t="shared" ca="1" si="19"/>
        <v>Realizada</v>
      </c>
      <c r="V154" s="20"/>
      <c r="W154" s="20"/>
      <c r="X154" s="20"/>
      <c r="Y154" s="20"/>
    </row>
    <row r="155" spans="1:25" ht="49.5">
      <c r="A155" s="20">
        <v>194</v>
      </c>
      <c r="B155" s="20" t="str">
        <f t="shared" si="38"/>
        <v>Comisión Extraordinaria Poblacional</v>
      </c>
      <c r="C155" s="21">
        <f t="shared" si="39"/>
        <v>45380</v>
      </c>
      <c r="D155" s="20" t="str">
        <f t="shared" si="40"/>
        <v>INSTANCIAS</v>
      </c>
      <c r="E155" s="20" t="str">
        <f t="shared" si="41"/>
        <v>NO</v>
      </c>
      <c r="F155" s="20" t="str">
        <f t="shared" si="42"/>
        <v>CTPD (Consejo Territorial de Planeación Distrital)</v>
      </c>
      <c r="G155" s="20" t="str">
        <f t="shared" si="43"/>
        <v>Virtual</v>
      </c>
      <c r="H155" s="20" t="str">
        <f t="shared" si="44"/>
        <v>Consolidar el concepto técnico del Plan Distrital de Desarrollo</v>
      </c>
      <c r="I155" s="20" t="str">
        <f t="shared" si="45"/>
        <v>Mecanismo de Seguimiento y Evaluación</v>
      </c>
      <c r="J155" s="20" t="str">
        <f t="shared" si="46"/>
        <v>Comunitario</v>
      </c>
      <c r="K155" s="20" t="str">
        <f t="shared" si="47"/>
        <v>CTPD</v>
      </c>
      <c r="L155" s="20" t="str">
        <f t="shared" si="48"/>
        <v>Distrital</v>
      </c>
      <c r="M155" s="20" t="str">
        <f t="shared" si="49"/>
        <v>Distrital</v>
      </c>
      <c r="N155" s="20" t="str">
        <f t="shared" si="50"/>
        <v>Distrital</v>
      </c>
      <c r="O155" s="20" t="str">
        <f t="shared" si="51"/>
        <v>SÍ</v>
      </c>
      <c r="P155" s="20" t="str">
        <f t="shared" si="52"/>
        <v>Gestión interinstitucional</v>
      </c>
      <c r="Q155" s="20">
        <f t="shared" si="53"/>
        <v>7</v>
      </c>
      <c r="R155" s="20">
        <f t="shared" si="54"/>
        <v>1</v>
      </c>
      <c r="S155" s="20" t="str">
        <f t="shared" si="55"/>
        <v>Construcción de documento para la consolidación del concepto técnico del PDD</v>
      </c>
      <c r="T155" s="20">
        <f t="shared" si="18"/>
        <v>1</v>
      </c>
      <c r="U155" s="20" t="str">
        <f t="shared" ca="1" si="19"/>
        <v>Realizada</v>
      </c>
      <c r="V155" s="20"/>
      <c r="W155" s="20"/>
      <c r="X155" s="20"/>
      <c r="Y155" s="20"/>
    </row>
    <row r="156" spans="1:25" ht="49.5">
      <c r="A156" s="20">
        <v>195</v>
      </c>
      <c r="B156" s="20" t="str">
        <f t="shared" si="38"/>
        <v>Sesión Extraordinaria de la Comisión Desarrollo Regional,  Descentralización y Desconcentración</v>
      </c>
      <c r="C156" s="21">
        <f t="shared" si="39"/>
        <v>45380</v>
      </c>
      <c r="D156" s="20" t="str">
        <f t="shared" si="40"/>
        <v>INSTANCIAS</v>
      </c>
      <c r="E156" s="20" t="str">
        <f t="shared" si="41"/>
        <v>NO</v>
      </c>
      <c r="F156" s="20" t="str">
        <f t="shared" si="42"/>
        <v>CTPD (Consejo Territorial de Planeación Distrital)</v>
      </c>
      <c r="G156" s="20" t="str">
        <f t="shared" si="43"/>
        <v>Virtual</v>
      </c>
      <c r="H156" s="20" t="str">
        <f t="shared" si="44"/>
        <v>Revisar la metodología de aportes al PDD</v>
      </c>
      <c r="I156" s="20" t="str">
        <f t="shared" si="45"/>
        <v>Mecanismo de Seguimiento y Evaluación</v>
      </c>
      <c r="J156" s="20" t="str">
        <f t="shared" si="46"/>
        <v>Comunitario</v>
      </c>
      <c r="K156" s="20" t="str">
        <f t="shared" si="47"/>
        <v>CTPD</v>
      </c>
      <c r="L156" s="20" t="str">
        <f t="shared" si="48"/>
        <v>Distrital</v>
      </c>
      <c r="M156" s="20" t="str">
        <f t="shared" si="49"/>
        <v>Distrital</v>
      </c>
      <c r="N156" s="20" t="str">
        <f t="shared" si="50"/>
        <v>Distrital</v>
      </c>
      <c r="O156" s="20" t="str">
        <f t="shared" si="51"/>
        <v>NO</v>
      </c>
      <c r="P156" s="20" t="str">
        <f t="shared" si="52"/>
        <v>No aplica</v>
      </c>
      <c r="Q156" s="20">
        <f t="shared" si="53"/>
        <v>7</v>
      </c>
      <c r="R156" s="20">
        <f t="shared" si="54"/>
        <v>1</v>
      </c>
      <c r="S156" s="20" t="str">
        <f t="shared" si="55"/>
        <v>Construcción de propuestas para el PDD por parte de la Comisión de Desarrollo Regional del CTPD</v>
      </c>
      <c r="T156" s="20">
        <f t="shared" si="18"/>
        <v>1</v>
      </c>
      <c r="U156" s="20" t="str">
        <f t="shared" ca="1" si="19"/>
        <v>Realizada</v>
      </c>
      <c r="V156" s="20"/>
      <c r="W156" s="20"/>
      <c r="X156" s="20"/>
      <c r="Y156" s="20"/>
    </row>
    <row r="157" spans="1:25" ht="49.5">
      <c r="A157" s="20">
        <v>196</v>
      </c>
      <c r="B157" s="20" t="str">
        <f t="shared" si="38"/>
        <v>Comisión redactora concepto PDD</v>
      </c>
      <c r="C157" s="21">
        <f t="shared" si="39"/>
        <v>45381</v>
      </c>
      <c r="D157" s="20" t="str">
        <f t="shared" si="40"/>
        <v>INSTANCIAS</v>
      </c>
      <c r="E157" s="20" t="str">
        <f t="shared" si="41"/>
        <v>NO</v>
      </c>
      <c r="F157" s="20" t="str">
        <f t="shared" si="42"/>
        <v>CTPD (Consejo Territorial de Planeación Distrital)</v>
      </c>
      <c r="G157" s="20" t="str">
        <f t="shared" si="43"/>
        <v>Virtual</v>
      </c>
      <c r="H157" s="20" t="str">
        <f t="shared" si="44"/>
        <v>Emitir concepto PDD</v>
      </c>
      <c r="I157" s="20" t="str">
        <f t="shared" si="45"/>
        <v>Mecanismo de Seguimiento y Evaluación</v>
      </c>
      <c r="J157" s="20" t="str">
        <f t="shared" si="46"/>
        <v>Comunitario</v>
      </c>
      <c r="K157" s="20" t="str">
        <f t="shared" si="47"/>
        <v>CTPD</v>
      </c>
      <c r="L157" s="20" t="str">
        <f t="shared" si="48"/>
        <v>Distrital</v>
      </c>
      <c r="M157" s="20" t="str">
        <f t="shared" si="49"/>
        <v>Distrital</v>
      </c>
      <c r="N157" s="20" t="str">
        <f t="shared" si="50"/>
        <v>Distrital</v>
      </c>
      <c r="O157" s="20" t="str">
        <f t="shared" si="51"/>
        <v>SÍ</v>
      </c>
      <c r="P157" s="20" t="str">
        <f t="shared" si="52"/>
        <v>Gestión interinstitucional</v>
      </c>
      <c r="Q157" s="20">
        <f t="shared" si="53"/>
        <v>24</v>
      </c>
      <c r="R157" s="20">
        <f t="shared" si="54"/>
        <v>1</v>
      </c>
      <c r="S157" s="20" t="str">
        <f t="shared" si="55"/>
        <v>Redacción del concepto PDD</v>
      </c>
      <c r="T157" s="20">
        <f t="shared" si="18"/>
        <v>1</v>
      </c>
      <c r="U157" s="20" t="str">
        <f t="shared" ca="1" si="19"/>
        <v>Realizada</v>
      </c>
      <c r="V157" s="20"/>
      <c r="W157" s="20"/>
      <c r="X157" s="20"/>
      <c r="Y157" s="20"/>
    </row>
    <row r="158" spans="1:25" ht="49.5">
      <c r="A158" s="20">
        <v>197</v>
      </c>
      <c r="B158" s="20" t="str">
        <f t="shared" si="38"/>
        <v>Plenaria extraordinaria permanente CTPD</v>
      </c>
      <c r="C158" s="21">
        <f t="shared" si="39"/>
        <v>45381</v>
      </c>
      <c r="D158" s="20" t="str">
        <f t="shared" si="40"/>
        <v>INSTANCIAS</v>
      </c>
      <c r="E158" s="20" t="str">
        <f t="shared" si="41"/>
        <v>NO</v>
      </c>
      <c r="F158" s="20" t="str">
        <f t="shared" si="42"/>
        <v>CTPD (Consejo Territorial de Planeación Distrital)</v>
      </c>
      <c r="G158" s="20" t="str">
        <f t="shared" si="43"/>
        <v>Virtual</v>
      </c>
      <c r="H158" s="20" t="str">
        <f t="shared" si="44"/>
        <v>Redacción concepto PDD</v>
      </c>
      <c r="I158" s="20" t="str">
        <f t="shared" si="45"/>
        <v>Mecanismo de Seguimiento y Evaluación</v>
      </c>
      <c r="J158" s="20" t="str">
        <f t="shared" si="46"/>
        <v>Comunitario</v>
      </c>
      <c r="K158" s="20" t="str">
        <f t="shared" si="47"/>
        <v>CTPD</v>
      </c>
      <c r="L158" s="20" t="str">
        <f t="shared" si="48"/>
        <v>Distrital</v>
      </c>
      <c r="M158" s="20" t="str">
        <f t="shared" si="49"/>
        <v>Distrital</v>
      </c>
      <c r="N158" s="20" t="str">
        <f t="shared" si="50"/>
        <v>Distrital</v>
      </c>
      <c r="O158" s="20" t="str">
        <f t="shared" si="51"/>
        <v>SÍ</v>
      </c>
      <c r="P158" s="20" t="str">
        <f t="shared" si="52"/>
        <v>Gestión interinstitucional</v>
      </c>
      <c r="Q158" s="20">
        <f t="shared" si="53"/>
        <v>66</v>
      </c>
      <c r="R158" s="20">
        <f t="shared" si="54"/>
        <v>3</v>
      </c>
      <c r="S158" s="20" t="str">
        <f t="shared" si="55"/>
        <v>Aprobación del concepto del PDD</v>
      </c>
      <c r="T158" s="20">
        <f t="shared" si="18"/>
        <v>1</v>
      </c>
      <c r="U158" s="20" t="str">
        <f t="shared" ca="1" si="19"/>
        <v>Realizada</v>
      </c>
      <c r="V158" s="20"/>
      <c r="W158" s="20"/>
      <c r="X158" s="20"/>
      <c r="Y158" s="20"/>
    </row>
    <row r="159" spans="1:25" ht="74.25">
      <c r="A159" s="20">
        <v>198</v>
      </c>
      <c r="B159" s="20" t="str">
        <f t="shared" si="38"/>
        <v>Gestión: Concertación con la Consultiva Indígena de la metodología de participación del PDD</v>
      </c>
      <c r="C159" s="21">
        <f t="shared" si="39"/>
        <v>45383</v>
      </c>
      <c r="D159" s="20" t="str">
        <f t="shared" si="40"/>
        <v>OPDC</v>
      </c>
      <c r="E159" s="20" t="str">
        <f t="shared" si="41"/>
        <v>NO</v>
      </c>
      <c r="F159" s="20" t="str">
        <f t="shared" si="42"/>
        <v>Plan Distrital de Desarrollo</v>
      </c>
      <c r="G159" s="20" t="str">
        <f t="shared" si="43"/>
        <v>Presencial</v>
      </c>
      <c r="H159" s="20" t="str">
        <f t="shared" si="44"/>
        <v>Concertar con la Consultiva Indígena la metodología de participación en el proceso de recolección de aportes de la II Fase del Plan Distrital de Desarrollo correspondiente a "Aspiraciones Comunes".</v>
      </c>
      <c r="I159" s="20" t="str">
        <f t="shared" si="45"/>
        <v>Gestión Institucional</v>
      </c>
      <c r="J159" s="20" t="str">
        <f t="shared" si="46"/>
        <v>Comunitario</v>
      </c>
      <c r="K159" s="20" t="str">
        <f t="shared" si="47"/>
        <v>Consejo Consultivo</v>
      </c>
      <c r="L159" s="20" t="str">
        <f t="shared" si="48"/>
        <v>Distrital</v>
      </c>
      <c r="M159" s="20" t="str">
        <f t="shared" si="49"/>
        <v>Distrital</v>
      </c>
      <c r="N159" s="20" t="str">
        <f t="shared" si="50"/>
        <v>Distrital</v>
      </c>
      <c r="O159" s="20" t="str">
        <f t="shared" si="51"/>
        <v>SÍ</v>
      </c>
      <c r="P159" s="20" t="str">
        <f t="shared" si="52"/>
        <v>Gestión interinstitucional</v>
      </c>
      <c r="Q159" s="20">
        <f t="shared" si="53"/>
        <v>9</v>
      </c>
      <c r="R159" s="20">
        <f t="shared" si="54"/>
        <v>2</v>
      </c>
      <c r="S159" s="20" t="str">
        <f t="shared" si="55"/>
        <v>Metodología de participación PDD; Conpes 37; armonización de PDD y PP</v>
      </c>
      <c r="T159" s="20">
        <f t="shared" si="18"/>
        <v>1</v>
      </c>
      <c r="U159" s="20" t="str">
        <f t="shared" ca="1" si="19"/>
        <v>Realizada</v>
      </c>
      <c r="V159" s="20"/>
      <c r="W159" s="20"/>
      <c r="X159" s="20"/>
      <c r="Y159" s="20"/>
    </row>
    <row r="160" spans="1:25" ht="37.5">
      <c r="A160" s="20">
        <v>199</v>
      </c>
      <c r="B160" s="20" t="str">
        <f t="shared" si="38"/>
        <v>Diálogo Ciudadano para la Construcción del PDD - UPL Torca</v>
      </c>
      <c r="C160" s="21">
        <f t="shared" si="39"/>
        <v>45383</v>
      </c>
      <c r="D160" s="20" t="str">
        <f t="shared" si="40"/>
        <v>OPDC</v>
      </c>
      <c r="E160" s="20" t="str">
        <f t="shared" si="41"/>
        <v>NO</v>
      </c>
      <c r="F160" s="20" t="str">
        <f t="shared" si="42"/>
        <v>Plan Distrital de Desarrollo</v>
      </c>
      <c r="G160" s="20" t="str">
        <f t="shared" si="43"/>
        <v>Presencial</v>
      </c>
      <c r="H160" s="20" t="str">
        <f t="shared" si="44"/>
        <v>Identificar las propuestas ciudadanas para la formulación del Plan de Desarrollo Distrital.</v>
      </c>
      <c r="I160" s="20" t="str">
        <f t="shared" si="45"/>
        <v>Mecanismo de Diálogo</v>
      </c>
      <c r="J160" s="20" t="str">
        <f t="shared" si="46"/>
        <v>Multiactor</v>
      </c>
      <c r="K160" s="20">
        <f t="shared" si="47"/>
        <v>0</v>
      </c>
      <c r="L160" s="20" t="str">
        <f t="shared" si="48"/>
        <v>Suba</v>
      </c>
      <c r="M160" s="20" t="str">
        <f t="shared" si="49"/>
        <v>Norte</v>
      </c>
      <c r="N160" s="20" t="str">
        <f t="shared" si="50"/>
        <v>Torca</v>
      </c>
      <c r="O160" s="20" t="str">
        <f t="shared" si="51"/>
        <v>SÍ</v>
      </c>
      <c r="P160" s="20" t="str">
        <f t="shared" si="52"/>
        <v>Fase II: Aspiraciones Comunes</v>
      </c>
      <c r="Q160" s="20">
        <f t="shared" si="53"/>
        <v>73</v>
      </c>
      <c r="R160" s="20">
        <f t="shared" si="54"/>
        <v>16</v>
      </c>
      <c r="S160" s="20" t="str">
        <f t="shared" si="55"/>
        <v>Identificar las propuestas ciudadanas para la formulación del Plan de Desarrollo Distrital.</v>
      </c>
      <c r="T160" s="20">
        <f t="shared" si="18"/>
        <v>1</v>
      </c>
      <c r="U160" s="20" t="str">
        <f t="shared" ca="1" si="19"/>
        <v>Realizada</v>
      </c>
      <c r="V160" s="20"/>
      <c r="W160" s="20"/>
      <c r="X160" s="20"/>
      <c r="Y160" s="20"/>
    </row>
    <row r="161" spans="1:25" ht="61.5">
      <c r="A161" s="20">
        <v>201</v>
      </c>
      <c r="B161" s="20" t="str">
        <f t="shared" si="38"/>
        <v>Entrega de concepto del PDD por parte del CTPD al Alcalde Mayor</v>
      </c>
      <c r="C161" s="21">
        <f t="shared" si="39"/>
        <v>45383</v>
      </c>
      <c r="D161" s="20" t="str">
        <f t="shared" si="40"/>
        <v>DESPACHO</v>
      </c>
      <c r="E161" s="20" t="str">
        <f t="shared" si="41"/>
        <v>NO</v>
      </c>
      <c r="F161" s="20" t="str">
        <f t="shared" si="42"/>
        <v>Plan Distrital de Desarrollo</v>
      </c>
      <c r="G161" s="20" t="str">
        <f t="shared" si="43"/>
        <v>Presencial</v>
      </c>
      <c r="H161" s="20" t="str">
        <f t="shared" si="44"/>
        <v>Entregar el concepto emitido por el Consejo Territorial de Planeación Distrital del PDD al Alcalde Mayor.</v>
      </c>
      <c r="I161" s="20" t="str">
        <f t="shared" si="45"/>
        <v>Mecanismo de Diálogo</v>
      </c>
      <c r="J161" s="20" t="str">
        <f t="shared" si="46"/>
        <v>Multiactor</v>
      </c>
      <c r="K161" s="20">
        <f t="shared" si="47"/>
        <v>0</v>
      </c>
      <c r="L161" s="20" t="str">
        <f t="shared" si="48"/>
        <v>Distrital</v>
      </c>
      <c r="M161" s="20" t="str">
        <f t="shared" si="49"/>
        <v>Distrital</v>
      </c>
      <c r="N161" s="20" t="str">
        <f t="shared" si="50"/>
        <v>Distrital</v>
      </c>
      <c r="O161" s="20" t="str">
        <f t="shared" si="51"/>
        <v>SÍ</v>
      </c>
      <c r="P161" s="20" t="str">
        <f t="shared" si="52"/>
        <v>Fase II: Aspiraciones Comunes</v>
      </c>
      <c r="Q161" s="20">
        <f t="shared" si="53"/>
        <v>61</v>
      </c>
      <c r="R161" s="20">
        <f t="shared" si="54"/>
        <v>16</v>
      </c>
      <c r="S161" s="20" t="str">
        <f t="shared" si="55"/>
        <v>Despliegue del concepto técnico del PDD por objetivos estratégicos en cada una de las comisiones del CTPD (Plan Distrital de Desarrollo, Regional, Participación, Poblacional, POT)</v>
      </c>
      <c r="T161" s="20">
        <f t="shared" si="18"/>
        <v>1</v>
      </c>
      <c r="U161" s="20" t="str">
        <f t="shared" ca="1" si="19"/>
        <v>Realizada</v>
      </c>
      <c r="V161" s="20"/>
      <c r="W161" s="20"/>
      <c r="X161" s="20"/>
      <c r="Y161" s="20"/>
    </row>
    <row r="162" spans="1:25" ht="49.5">
      <c r="A162" s="20">
        <v>202</v>
      </c>
      <c r="B162" s="20" t="str">
        <f t="shared" si="38"/>
        <v>Clip Santa Fé</v>
      </c>
      <c r="C162" s="21">
        <f t="shared" si="39"/>
        <v>45384</v>
      </c>
      <c r="D162" s="20" t="str">
        <f t="shared" si="40"/>
        <v>INSTANCIAS</v>
      </c>
      <c r="E162" s="20" t="str">
        <f t="shared" si="41"/>
        <v>NO</v>
      </c>
      <c r="F162" s="20" t="str">
        <f t="shared" si="42"/>
        <v>CLIP (Comisión Local Intersectorial de Participación)</v>
      </c>
      <c r="G162" s="20" t="str">
        <f t="shared" si="43"/>
        <v>Presencial</v>
      </c>
      <c r="H162" s="20" t="str">
        <f t="shared" si="44"/>
        <v>Acompañar la articulación de los esfuerzos institucionales de participación en la localidad de Santa Fé</v>
      </c>
      <c r="I162" s="20" t="str">
        <f t="shared" si="45"/>
        <v>Gestión Institucional</v>
      </c>
      <c r="J162" s="20" t="str">
        <f t="shared" si="46"/>
        <v>Público</v>
      </c>
      <c r="K162" s="20" t="str">
        <f t="shared" si="47"/>
        <v>Servidores públicos (local)</v>
      </c>
      <c r="L162" s="20" t="str">
        <f t="shared" si="48"/>
        <v>Santa Fe</v>
      </c>
      <c r="M162" s="20" t="str">
        <f t="shared" si="49"/>
        <v>Centro Ampliado</v>
      </c>
      <c r="N162" s="20" t="str">
        <f t="shared" si="50"/>
        <v>Centro Histórico, Cerros Orientales</v>
      </c>
      <c r="O162" s="20" t="str">
        <f t="shared" si="51"/>
        <v>NO</v>
      </c>
      <c r="P162" s="20" t="str">
        <f t="shared" si="52"/>
        <v>No aplica</v>
      </c>
      <c r="Q162" s="20">
        <f t="shared" si="53"/>
        <v>12</v>
      </c>
      <c r="R162" s="20">
        <f t="shared" si="54"/>
        <v>1</v>
      </c>
      <c r="S162" s="20" t="str">
        <f t="shared" si="55"/>
        <v>Dia de la niñez, Estrategia Formulación PDL , Estatrategia formulación PDD</v>
      </c>
      <c r="T162" s="20">
        <f t="shared" si="18"/>
        <v>1</v>
      </c>
      <c r="U162" s="20" t="str">
        <f t="shared" ca="1" si="19"/>
        <v>Realizada</v>
      </c>
      <c r="V162" s="20"/>
      <c r="W162" s="20"/>
      <c r="X162" s="20"/>
      <c r="Y162" s="20"/>
    </row>
    <row r="163" spans="1:25" ht="37.5">
      <c r="A163" s="20">
        <v>203</v>
      </c>
      <c r="B163" s="20" t="str">
        <f t="shared" si="38"/>
        <v>Jornada Pégate al Plan: Pedagogía ciudadana para el manejo e implementación de la herramienta chatico - Universidad Agustiniana</v>
      </c>
      <c r="C163" s="21">
        <f t="shared" si="39"/>
        <v>45384</v>
      </c>
      <c r="D163" s="20" t="str">
        <f t="shared" si="40"/>
        <v>OPDC</v>
      </c>
      <c r="E163" s="20" t="str">
        <f t="shared" si="41"/>
        <v>NO</v>
      </c>
      <c r="F163" s="20" t="str">
        <f t="shared" si="42"/>
        <v>Plan Distrital de Desarrollo</v>
      </c>
      <c r="G163" s="20" t="str">
        <f t="shared" si="43"/>
        <v>Presencial</v>
      </c>
      <c r="H163" s="20" t="str">
        <f t="shared" si="44"/>
        <v>Identificar las propuestas ciudadanas para la formulación del Plan de Desarrollo Distrital.</v>
      </c>
      <c r="I163" s="20" t="str">
        <f t="shared" si="45"/>
        <v>Mecanismo de Consulta Ciudadana</v>
      </c>
      <c r="J163" s="20" t="str">
        <f t="shared" si="46"/>
        <v>Multiactor</v>
      </c>
      <c r="K163" s="20">
        <f t="shared" si="47"/>
        <v>0</v>
      </c>
      <c r="L163" s="20" t="str">
        <f t="shared" si="48"/>
        <v>Kennedy</v>
      </c>
      <c r="M163" s="20" t="str">
        <f t="shared" si="49"/>
        <v>Suroccidente</v>
      </c>
      <c r="N163" s="20" t="str">
        <f t="shared" si="50"/>
        <v>Kennedy</v>
      </c>
      <c r="O163" s="20" t="str">
        <f t="shared" si="51"/>
        <v>SÍ</v>
      </c>
      <c r="P163" s="20" t="str">
        <f t="shared" si="52"/>
        <v>Fase II: Aspiraciones Comunes</v>
      </c>
      <c r="Q163" s="20">
        <f t="shared" si="53"/>
        <v>114</v>
      </c>
      <c r="R163" s="20">
        <f t="shared" si="54"/>
        <v>17</v>
      </c>
      <c r="S163" s="20" t="str">
        <f t="shared" si="55"/>
        <v xml:space="preserve">Plan de desarrollo distrital, 5 objetivos, propuestas. </v>
      </c>
      <c r="T163" s="20">
        <f t="shared" si="18"/>
        <v>1</v>
      </c>
      <c r="U163" s="20" t="str">
        <f t="shared" ca="1" si="19"/>
        <v>Realizada</v>
      </c>
      <c r="V163" s="20"/>
      <c r="W163" s="20"/>
      <c r="X163" s="20"/>
      <c r="Y163" s="20"/>
    </row>
    <row r="164" spans="1:25" ht="49.5">
      <c r="A164" s="20">
        <v>204</v>
      </c>
      <c r="B164" s="20" t="str">
        <f t="shared" si="38"/>
        <v>CLIP Fontibón</v>
      </c>
      <c r="C164" s="21">
        <f t="shared" si="39"/>
        <v>45384</v>
      </c>
      <c r="D164" s="20" t="str">
        <f t="shared" si="40"/>
        <v>INSTANCIAS</v>
      </c>
      <c r="E164" s="20" t="str">
        <f t="shared" si="41"/>
        <v>NO</v>
      </c>
      <c r="F164" s="20" t="str">
        <f t="shared" si="42"/>
        <v>CLIP (Comisión Local Intersectorial de Participación)</v>
      </c>
      <c r="G164" s="20" t="str">
        <f t="shared" si="43"/>
        <v>Presencial</v>
      </c>
      <c r="H164" s="20" t="str">
        <f t="shared" si="44"/>
        <v>Acompañar la articulación de los esfuerzos institucionales de participación en la localidad de Fontibón en el mes de abril.</v>
      </c>
      <c r="I164" s="20" t="str">
        <f t="shared" si="45"/>
        <v>Gestión Institucional</v>
      </c>
      <c r="J164" s="20" t="str">
        <f t="shared" si="46"/>
        <v>Público</v>
      </c>
      <c r="K164" s="20" t="str">
        <f t="shared" si="47"/>
        <v>Servidores públicos (local)</v>
      </c>
      <c r="L164" s="20" t="str">
        <f t="shared" si="48"/>
        <v>Fontibón</v>
      </c>
      <c r="M164" s="20" t="str">
        <f t="shared" si="49"/>
        <v>Occidente</v>
      </c>
      <c r="N164" s="20" t="str">
        <f t="shared" si="50"/>
        <v>Fontibón, Salitre</v>
      </c>
      <c r="O164" s="20" t="str">
        <f t="shared" si="51"/>
        <v>NO</v>
      </c>
      <c r="P164" s="20" t="str">
        <f t="shared" si="52"/>
        <v>No aplica</v>
      </c>
      <c r="Q164" s="20">
        <f t="shared" si="53"/>
        <v>20</v>
      </c>
      <c r="R164" s="20">
        <f t="shared" si="54"/>
        <v>1</v>
      </c>
      <c r="S164" s="20" t="str">
        <f t="shared" si="55"/>
        <v xml:space="preserve">Encuentros Ciudadanos,  Estrategia segunda Fase de la Formulación del PDD y Fortalecimiento de instancias </v>
      </c>
      <c r="T164" s="20">
        <f t="shared" si="18"/>
        <v>1</v>
      </c>
      <c r="U164" s="20" t="str">
        <f t="shared" ca="1" si="19"/>
        <v>Realizada</v>
      </c>
      <c r="V164" s="20"/>
      <c r="W164" s="20"/>
      <c r="X164" s="20"/>
      <c r="Y164" s="20"/>
    </row>
    <row r="165" spans="1:25" ht="37.5">
      <c r="A165" s="20">
        <v>205</v>
      </c>
      <c r="B165" s="20" t="str">
        <f t="shared" si="38"/>
        <v xml:space="preserve">Gestión: Preparatoria Vortacko I con el pueblo Rrom </v>
      </c>
      <c r="C165" s="21">
        <f t="shared" si="39"/>
        <v>45384</v>
      </c>
      <c r="D165" s="20" t="str">
        <f t="shared" si="40"/>
        <v>OPDC</v>
      </c>
      <c r="E165" s="20" t="str">
        <f t="shared" si="41"/>
        <v>NO</v>
      </c>
      <c r="F165" s="20" t="str">
        <f t="shared" si="42"/>
        <v>Plan Distrital de Desarrollo</v>
      </c>
      <c r="G165" s="20" t="str">
        <f t="shared" si="43"/>
        <v>Virtual</v>
      </c>
      <c r="H165" s="20" t="str">
        <f t="shared" si="44"/>
        <v>Cocertar con el pueblo Rrom la metolodogia para el Vortacko I</v>
      </c>
      <c r="I165" s="20" t="str">
        <f t="shared" si="45"/>
        <v>Gestión Institucional</v>
      </c>
      <c r="J165" s="20" t="str">
        <f t="shared" si="46"/>
        <v>Público</v>
      </c>
      <c r="K165" s="20">
        <f t="shared" si="47"/>
        <v>0</v>
      </c>
      <c r="L165" s="20" t="str">
        <f t="shared" si="48"/>
        <v>Distrital</v>
      </c>
      <c r="M165" s="20" t="str">
        <f t="shared" si="49"/>
        <v>Distrital</v>
      </c>
      <c r="N165" s="20" t="str">
        <f t="shared" si="50"/>
        <v>Distrital</v>
      </c>
      <c r="O165" s="20" t="str">
        <f t="shared" si="51"/>
        <v>SÍ</v>
      </c>
      <c r="P165" s="20" t="str">
        <f t="shared" si="52"/>
        <v>Gestión interinstitucional</v>
      </c>
      <c r="Q165" s="20">
        <f t="shared" si="53"/>
        <v>3</v>
      </c>
      <c r="R165" s="20">
        <f t="shared" si="54"/>
        <v>2</v>
      </c>
      <c r="S165" s="20" t="str">
        <f t="shared" si="55"/>
        <v>Roles de la SDG y la SDP en el abordaje del Vortacko Rrom alrededor del proceso de formulación del PDD</v>
      </c>
      <c r="T165" s="20">
        <f t="shared" si="18"/>
        <v>1</v>
      </c>
      <c r="U165" s="20" t="str">
        <f t="shared" ca="1" si="19"/>
        <v>Realizada</v>
      </c>
      <c r="V165" s="20"/>
      <c r="W165" s="20"/>
      <c r="X165" s="20"/>
      <c r="Y165" s="20"/>
    </row>
    <row r="166" spans="1:25" ht="37.5">
      <c r="A166" s="20">
        <v>206</v>
      </c>
      <c r="B166" s="20" t="str">
        <f t="shared" si="38"/>
        <v>Secretarios a la calle</v>
      </c>
      <c r="C166" s="21">
        <f t="shared" si="39"/>
        <v>45384</v>
      </c>
      <c r="D166" s="20" t="str">
        <f t="shared" si="40"/>
        <v>DESPACHO</v>
      </c>
      <c r="E166" s="20" t="str">
        <f t="shared" si="41"/>
        <v>NO</v>
      </c>
      <c r="F166" s="20" t="str">
        <f t="shared" si="42"/>
        <v>Plan Distrital de Desarrollo</v>
      </c>
      <c r="G166" s="20" t="str">
        <f t="shared" si="43"/>
        <v>Presencial</v>
      </c>
      <c r="H166" s="20" t="str">
        <f t="shared" si="44"/>
        <v>Acompañar la articulación de Dialogos ciudadanos para la formulación del Plan Distrital de Desarrollo</v>
      </c>
      <c r="I166" s="20" t="str">
        <f t="shared" si="45"/>
        <v>Mecanismo de Diálogo</v>
      </c>
      <c r="J166" s="20" t="str">
        <f t="shared" si="46"/>
        <v>Multiactor</v>
      </c>
      <c r="K166" s="20">
        <f t="shared" si="47"/>
        <v>0</v>
      </c>
      <c r="L166" s="20" t="str">
        <f t="shared" si="48"/>
        <v>Teusaquillo</v>
      </c>
      <c r="M166" s="20" t="str">
        <f t="shared" si="49"/>
        <v>Distrital, Centro Ampliado</v>
      </c>
      <c r="N166" s="20" t="str">
        <f t="shared" si="50"/>
        <v>Teusaquillo</v>
      </c>
      <c r="O166" s="20" t="str">
        <f t="shared" si="51"/>
        <v>SÍ</v>
      </c>
      <c r="P166" s="20" t="str">
        <f t="shared" si="52"/>
        <v>Fase II: Aspiraciones Comunes</v>
      </c>
      <c r="Q166" s="20">
        <f t="shared" si="53"/>
        <v>10</v>
      </c>
      <c r="R166" s="20">
        <f t="shared" si="54"/>
        <v>4</v>
      </c>
      <c r="S166" s="20" t="str">
        <f t="shared" si="55"/>
        <v>Formulación de PDD con enfasis en segurididad e infraestructuras de seguridad</v>
      </c>
      <c r="T166" s="20">
        <f t="shared" si="18"/>
        <v>1</v>
      </c>
      <c r="U166" s="20" t="str">
        <f t="shared" ca="1" si="19"/>
        <v>Realizada</v>
      </c>
      <c r="V166" s="20"/>
      <c r="W166" s="20"/>
      <c r="X166" s="20"/>
      <c r="Y166" s="20"/>
    </row>
    <row r="167" spans="1:25" ht="49.5">
      <c r="A167" s="20">
        <v>207</v>
      </c>
      <c r="B167" s="20" t="str">
        <f t="shared" si="38"/>
        <v>Comité Coordinador Intersectorial de Participación PDD</v>
      </c>
      <c r="C167" s="21">
        <f t="shared" si="39"/>
        <v>45385</v>
      </c>
      <c r="D167" s="20" t="str">
        <f t="shared" si="40"/>
        <v>OPDC</v>
      </c>
      <c r="E167" s="20" t="str">
        <f t="shared" si="41"/>
        <v>NO</v>
      </c>
      <c r="F167" s="20" t="str">
        <f t="shared" si="42"/>
        <v>Plan Distrital de Desarrollo</v>
      </c>
      <c r="G167" s="20" t="str">
        <f t="shared" si="43"/>
        <v>Virtual</v>
      </c>
      <c r="H167" s="20" t="str">
        <f t="shared" si="44"/>
        <v>Compartir los avances entre las entidades en la aplicación de la segunda fase del PDD</v>
      </c>
      <c r="I167" s="20" t="str">
        <f t="shared" si="45"/>
        <v>Mecanismo de Comunicación para la Participación</v>
      </c>
      <c r="J167" s="20" t="str">
        <f t="shared" si="46"/>
        <v>Público</v>
      </c>
      <c r="K167" s="20" t="str">
        <f t="shared" si="47"/>
        <v>Servidores públicos (Distrital)</v>
      </c>
      <c r="L167" s="20" t="str">
        <f t="shared" si="48"/>
        <v>Distrital</v>
      </c>
      <c r="M167" s="20" t="str">
        <f t="shared" si="49"/>
        <v>Distrital</v>
      </c>
      <c r="N167" s="20" t="str">
        <f t="shared" si="50"/>
        <v>Distrital</v>
      </c>
      <c r="O167" s="20" t="str">
        <f t="shared" si="51"/>
        <v>SÍ</v>
      </c>
      <c r="P167" s="20" t="str">
        <f t="shared" si="52"/>
        <v>Gestión interinstitucional</v>
      </c>
      <c r="Q167" s="20">
        <f t="shared" si="53"/>
        <v>19</v>
      </c>
      <c r="R167" s="20">
        <f t="shared" si="54"/>
        <v>13</v>
      </c>
      <c r="S167" s="20" t="str">
        <f t="shared" si="55"/>
        <v>Avance por entidad en la estrategia de participación del Plan Distrital de Desarrollo</v>
      </c>
      <c r="T167" s="20">
        <f t="shared" si="18"/>
        <v>1</v>
      </c>
      <c r="U167" s="20" t="str">
        <f t="shared" ca="1" si="19"/>
        <v>Realizada</v>
      </c>
      <c r="V167" s="20"/>
      <c r="W167" s="20"/>
      <c r="X167" s="20"/>
      <c r="Y167" s="20"/>
    </row>
    <row r="168" spans="1:25" ht="61.5">
      <c r="A168" s="20">
        <v>208</v>
      </c>
      <c r="B168" s="20" t="str">
        <f t="shared" si="38"/>
        <v>I Diálogo Ciudadano Poblacional para la Construcción del PDD - Consultiva Indígena</v>
      </c>
      <c r="C168" s="21">
        <f t="shared" si="39"/>
        <v>45385</v>
      </c>
      <c r="D168" s="20" t="str">
        <f t="shared" si="40"/>
        <v>OPDC</v>
      </c>
      <c r="E168" s="20" t="str">
        <f t="shared" si="41"/>
        <v>NO</v>
      </c>
      <c r="F168" s="20" t="str">
        <f t="shared" si="42"/>
        <v>Plan Distrital de Desarrollo</v>
      </c>
      <c r="G168" s="20" t="str">
        <f t="shared" si="43"/>
        <v>Presencial</v>
      </c>
      <c r="H168" s="20" t="str">
        <f t="shared" si="44"/>
        <v>Recoger los aportes de los pueblos indígenas en el marco de la fase de aspiraciones comunes de la planeación participativa del Plan Distrital de Desarrollo</v>
      </c>
      <c r="I168" s="20" t="str">
        <f t="shared" si="45"/>
        <v>Mecanismo de Diálogo</v>
      </c>
      <c r="J168" s="20" t="str">
        <f t="shared" si="46"/>
        <v>Comunitario</v>
      </c>
      <c r="K168" s="20" t="str">
        <f t="shared" si="47"/>
        <v>Consejo Consultivo</v>
      </c>
      <c r="L168" s="20" t="str">
        <f t="shared" si="48"/>
        <v>Distrital</v>
      </c>
      <c r="M168" s="20" t="str">
        <f t="shared" si="49"/>
        <v>Distrital</v>
      </c>
      <c r="N168" s="20" t="str">
        <f t="shared" si="50"/>
        <v>Distrital</v>
      </c>
      <c r="O168" s="20" t="str">
        <f t="shared" si="51"/>
        <v>SÍ</v>
      </c>
      <c r="P168" s="20" t="str">
        <f t="shared" si="52"/>
        <v>Fase II: Aspiraciones Comunes</v>
      </c>
      <c r="Q168" s="20">
        <f t="shared" si="53"/>
        <v>22</v>
      </c>
      <c r="R168" s="20">
        <f t="shared" si="54"/>
        <v>2</v>
      </c>
      <c r="S168" s="20" t="str">
        <f t="shared" si="55"/>
        <v xml:space="preserve">Plan Distrital de Desarrollo Pueblos Indígenas </v>
      </c>
      <c r="T168" s="20">
        <f t="shared" si="18"/>
        <v>1</v>
      </c>
      <c r="U168" s="20" t="str">
        <f t="shared" ca="1" si="19"/>
        <v>Realizada</v>
      </c>
      <c r="V168" s="20"/>
      <c r="W168" s="20"/>
      <c r="X168" s="20"/>
      <c r="Y168" s="20"/>
    </row>
    <row r="169" spans="1:25" ht="49.5">
      <c r="A169" s="20">
        <v>209</v>
      </c>
      <c r="B169" s="20" t="str">
        <f t="shared" si="38"/>
        <v>Taller diálogos ciudadanos - Mesa de trabajo con Sociedad Civil de cara a la construcción del PDD-SUMMA</v>
      </c>
      <c r="C169" s="21">
        <f t="shared" si="39"/>
        <v>45385</v>
      </c>
      <c r="D169" s="20" t="str">
        <f t="shared" si="40"/>
        <v>OPDC</v>
      </c>
      <c r="E169" s="20" t="str">
        <f t="shared" si="41"/>
        <v>NO</v>
      </c>
      <c r="F169" s="20" t="str">
        <f t="shared" si="42"/>
        <v>Plan Distrital de Desarrollo</v>
      </c>
      <c r="G169" s="20" t="str">
        <f t="shared" si="43"/>
        <v>Presencial</v>
      </c>
      <c r="H169" s="20" t="str">
        <f t="shared" si="44"/>
        <v xml:space="preserve">Acompañar la identificación de propuestas del PDD mediante taller con diálogos ciudadanos en mesa de trabajo con Sociedad Civil </v>
      </c>
      <c r="I169" s="20" t="str">
        <f t="shared" si="45"/>
        <v>Mecanismo de Diálogo</v>
      </c>
      <c r="J169" s="20" t="str">
        <f t="shared" si="46"/>
        <v>Multiactor</v>
      </c>
      <c r="K169" s="20">
        <f t="shared" si="47"/>
        <v>0</v>
      </c>
      <c r="L169" s="20" t="str">
        <f t="shared" si="48"/>
        <v>Distrital</v>
      </c>
      <c r="M169" s="20" t="str">
        <f t="shared" si="49"/>
        <v>Distrital</v>
      </c>
      <c r="N169" s="20" t="str">
        <f t="shared" si="50"/>
        <v>Distrital</v>
      </c>
      <c r="O169" s="20" t="str">
        <f t="shared" si="51"/>
        <v>SÍ</v>
      </c>
      <c r="P169" s="20" t="str">
        <f t="shared" si="52"/>
        <v>Fase II: Aspiraciones Comunes</v>
      </c>
      <c r="Q169" s="20">
        <f t="shared" si="53"/>
        <v>66</v>
      </c>
      <c r="R169" s="20">
        <f t="shared" si="54"/>
        <v>15</v>
      </c>
      <c r="S169" s="20" t="str">
        <f t="shared" si="55"/>
        <v>10 mesas en torno a los 5 objetivos de cara a la construcción del plan distrital de desarrollo con los ciudadanos</v>
      </c>
      <c r="T169" s="20">
        <f t="shared" si="18"/>
        <v>1</v>
      </c>
      <c r="U169" s="20" t="str">
        <f t="shared" ca="1" si="19"/>
        <v>Realizada</v>
      </c>
      <c r="V169" s="20"/>
      <c r="W169" s="20"/>
      <c r="X169" s="20"/>
      <c r="Y169" s="20"/>
    </row>
    <row r="170" spans="1:25" ht="61.5">
      <c r="A170" s="20">
        <v>210</v>
      </c>
      <c r="B170" s="20" t="str">
        <f t="shared" si="38"/>
        <v>CLIP Rafael Uribe Uribe</v>
      </c>
      <c r="C170" s="21">
        <f t="shared" si="39"/>
        <v>45385</v>
      </c>
      <c r="D170" s="20" t="str">
        <f t="shared" si="40"/>
        <v>INSTANCIAS</v>
      </c>
      <c r="E170" s="20" t="str">
        <f t="shared" si="41"/>
        <v>NO</v>
      </c>
      <c r="F170" s="20" t="str">
        <f t="shared" si="42"/>
        <v>CLIP (Comisión Local Intersectorial de Participación)</v>
      </c>
      <c r="G170" s="20" t="str">
        <f t="shared" si="43"/>
        <v>Presencial</v>
      </c>
      <c r="H170" s="20" t="str">
        <f t="shared" si="44"/>
        <v>Acompañar la articulación de los esfuerzos institucionales de participación en la localidad de Rafel Uribe Uribe en el mes de abril.</v>
      </c>
      <c r="I170" s="20" t="str">
        <f t="shared" si="45"/>
        <v>Gestión Institucional</v>
      </c>
      <c r="J170" s="20" t="str">
        <f t="shared" si="46"/>
        <v>Público</v>
      </c>
      <c r="K170" s="20" t="str">
        <f t="shared" si="47"/>
        <v>Servidores públicos (local)</v>
      </c>
      <c r="L170" s="20" t="str">
        <f t="shared" si="48"/>
        <v>Rafael Uribe Uribe</v>
      </c>
      <c r="M170" s="20" t="str">
        <f t="shared" si="49"/>
        <v>Suroriente</v>
      </c>
      <c r="N170" s="20" t="str">
        <f t="shared" si="50"/>
        <v>Rafael Uribe, Restrepo, San Cristobal</v>
      </c>
      <c r="O170" s="20" t="str">
        <f t="shared" si="51"/>
        <v>NO</v>
      </c>
      <c r="P170" s="20" t="str">
        <f t="shared" si="52"/>
        <v>No aplica</v>
      </c>
      <c r="Q170" s="20">
        <f t="shared" si="53"/>
        <v>13</v>
      </c>
      <c r="R170" s="20">
        <f t="shared" si="54"/>
        <v>1</v>
      </c>
      <c r="S170" s="20" t="str">
        <f t="shared" si="55"/>
        <v>Diligenciamiento  de 25 formatos con diversas propuestas PDD , programación 4 acciones "Toma alcaldia local " , toma centro comercial caracas, toma cdc, toma 10 comedores comunitarios</v>
      </c>
      <c r="T170" s="20">
        <f t="shared" si="18"/>
        <v>1</v>
      </c>
      <c r="U170" s="20" t="str">
        <f t="shared" ca="1" si="19"/>
        <v>Realizada</v>
      </c>
      <c r="V170" s="20"/>
      <c r="W170" s="20"/>
      <c r="X170" s="20"/>
      <c r="Y170" s="20"/>
    </row>
    <row r="171" spans="1:25" ht="37.5">
      <c r="A171" s="20">
        <v>211</v>
      </c>
      <c r="B171" s="20" t="str">
        <f t="shared" si="38"/>
        <v xml:space="preserve">I Vortako Virtual 1 Sesión: Participación Consejo </v>
      </c>
      <c r="C171" s="21">
        <f t="shared" si="39"/>
        <v>45385</v>
      </c>
      <c r="D171" s="20" t="str">
        <f t="shared" si="40"/>
        <v>OPDC</v>
      </c>
      <c r="E171" s="20" t="str">
        <f t="shared" si="41"/>
        <v>NO</v>
      </c>
      <c r="F171" s="20" t="str">
        <f t="shared" si="42"/>
        <v>Plan Distrital de Desarrollo</v>
      </c>
      <c r="G171" s="20" t="str">
        <f t="shared" si="43"/>
        <v>Virtual</v>
      </c>
      <c r="H171" s="20" t="str">
        <f t="shared" si="44"/>
        <v>Escuchar a la consultiva Rrom  en relación con derecho de petición radicada a la SDG</v>
      </c>
      <c r="I171" s="20" t="str">
        <f t="shared" si="45"/>
        <v>Mecanismo de Diálogo</v>
      </c>
      <c r="J171" s="20" t="str">
        <f t="shared" si="46"/>
        <v>Comunitario</v>
      </c>
      <c r="K171" s="20" t="str">
        <f t="shared" si="47"/>
        <v>Consejo Consultivo</v>
      </c>
      <c r="L171" s="20" t="str">
        <f t="shared" si="48"/>
        <v>Distrital</v>
      </c>
      <c r="M171" s="20" t="str">
        <f t="shared" si="49"/>
        <v>Distrital</v>
      </c>
      <c r="N171" s="20" t="str">
        <f t="shared" si="50"/>
        <v>Distrital</v>
      </c>
      <c r="O171" s="20" t="str">
        <f t="shared" si="51"/>
        <v>SÍ</v>
      </c>
      <c r="P171" s="20" t="str">
        <f t="shared" si="52"/>
        <v>Gestión interinstitucional</v>
      </c>
      <c r="Q171" s="20">
        <f t="shared" si="53"/>
        <v>72</v>
      </c>
      <c r="R171" s="20">
        <f t="shared" si="54"/>
        <v>2</v>
      </c>
      <c r="S171" s="20" t="str">
        <f t="shared" si="55"/>
        <v>Armonización de los productos concertados de política pública en los programas y metas del plan distrital de desarrollo</v>
      </c>
      <c r="T171" s="20">
        <f t="shared" si="18"/>
        <v>1</v>
      </c>
      <c r="U171" s="20" t="str">
        <f t="shared" ca="1" si="19"/>
        <v>Realizada</v>
      </c>
      <c r="V171" s="20"/>
      <c r="W171" s="20"/>
      <c r="X171" s="20"/>
      <c r="Y171" s="20"/>
    </row>
    <row r="172" spans="1:25" ht="98.25">
      <c r="A172" s="20">
        <v>212</v>
      </c>
      <c r="B172" s="20" t="str">
        <f t="shared" si="38"/>
        <v>Diálogo ciudadano para la formulación del Plan Distrital de Desarrollo PDD- LGBTI</v>
      </c>
      <c r="C172" s="21">
        <f t="shared" si="39"/>
        <v>45385</v>
      </c>
      <c r="D172" s="20" t="str">
        <f t="shared" si="40"/>
        <v>GENERAL SDP</v>
      </c>
      <c r="E172" s="20" t="str">
        <f t="shared" si="41"/>
        <v>NO</v>
      </c>
      <c r="F172" s="20" t="str">
        <f t="shared" si="42"/>
        <v>Plan Distrital de Desarrollo</v>
      </c>
      <c r="G172" s="20" t="str">
        <f t="shared" si="43"/>
        <v>Presencial</v>
      </c>
      <c r="H172" s="20" t="str">
        <f t="shared" si="44"/>
        <v>Orientar la construcción de propuestas ciudadanas para la formulación del PDD a través de información, diálogo, pedagogía y fortalecimiento de la confianza desde la planeación participativa, con las personas de los sectores sociales LGBTI del Sur en la Casa Edward Hernández.</v>
      </c>
      <c r="I172" s="20" t="str">
        <f t="shared" si="45"/>
        <v>Gestión Institucional</v>
      </c>
      <c r="J172" s="20" t="str">
        <f t="shared" si="46"/>
        <v>Multiactor</v>
      </c>
      <c r="K172" s="20">
        <f t="shared" si="47"/>
        <v>0</v>
      </c>
      <c r="L172" s="20" t="str">
        <f t="shared" si="48"/>
        <v>Kennedy</v>
      </c>
      <c r="M172" s="20" t="str">
        <f t="shared" si="49"/>
        <v>Suroccidente</v>
      </c>
      <c r="N172" s="20" t="str">
        <f t="shared" si="50"/>
        <v>Kennedy, Tintal, Bosa, Patio Bonito, Porvenir, Edén</v>
      </c>
      <c r="O172" s="20" t="str">
        <f t="shared" si="51"/>
        <v>SÍ</v>
      </c>
      <c r="P172" s="20" t="str">
        <f t="shared" si="52"/>
        <v>Fase II: Aspiraciones Comunes</v>
      </c>
      <c r="Q172" s="20">
        <f t="shared" si="53"/>
        <v>34</v>
      </c>
      <c r="R172" s="20">
        <f t="shared" si="54"/>
        <v>7</v>
      </c>
      <c r="S172" s="20" t="str">
        <f t="shared" si="55"/>
        <v>Construcción de propuestas ciudadanas para la formulación del PDD a través de información, diálogo, pedagogía y fortalecimiento de la confianza desde la planeación participativa, con las personas de los sectores sociales LGBTI del Sur en la Casa Edward Hernández.</v>
      </c>
      <c r="T172" s="20">
        <f t="shared" si="18"/>
        <v>1</v>
      </c>
      <c r="U172" s="20" t="str">
        <f t="shared" ca="1" si="19"/>
        <v>Realizada</v>
      </c>
      <c r="V172" s="20"/>
      <c r="W172" s="20"/>
      <c r="X172" s="20"/>
      <c r="Y172" s="20"/>
    </row>
    <row r="173" spans="1:25" ht="37.5">
      <c r="A173" s="20">
        <v>213</v>
      </c>
      <c r="B173" s="20" t="str">
        <f t="shared" si="38"/>
        <v>Dialogo Ciudadano para la Construcción del PDD - UPL Puente Aranda</v>
      </c>
      <c r="C173" s="21">
        <f t="shared" si="39"/>
        <v>45385</v>
      </c>
      <c r="D173" s="20" t="str">
        <f t="shared" si="40"/>
        <v>OPDC</v>
      </c>
      <c r="E173" s="20" t="str">
        <f t="shared" si="41"/>
        <v>NO</v>
      </c>
      <c r="F173" s="20" t="str">
        <f t="shared" si="42"/>
        <v>Plan Distrital de Desarrollo</v>
      </c>
      <c r="G173" s="20" t="str">
        <f t="shared" si="43"/>
        <v>Presencial</v>
      </c>
      <c r="H173" s="20" t="str">
        <f t="shared" si="44"/>
        <v>Identificar las propuestas ciudadanas para la formulación del Plan de Desarrollo Distrital.</v>
      </c>
      <c r="I173" s="20" t="str">
        <f t="shared" si="45"/>
        <v>Mecanismo de Diálogo</v>
      </c>
      <c r="J173" s="20" t="str">
        <f t="shared" si="46"/>
        <v>Multiactor</v>
      </c>
      <c r="K173" s="20">
        <f t="shared" si="47"/>
        <v>0</v>
      </c>
      <c r="L173" s="20" t="str">
        <f t="shared" si="48"/>
        <v>Puente Aranda</v>
      </c>
      <c r="M173" s="20" t="str">
        <f t="shared" si="49"/>
        <v>Centro Ampliado</v>
      </c>
      <c r="N173" s="20" t="str">
        <f t="shared" si="50"/>
        <v>Puente Aranda</v>
      </c>
      <c r="O173" s="20" t="str">
        <f t="shared" si="51"/>
        <v>SÍ</v>
      </c>
      <c r="P173" s="20" t="str">
        <f t="shared" si="52"/>
        <v>Fase II: Aspiraciones Comunes</v>
      </c>
      <c r="Q173" s="20">
        <f t="shared" si="53"/>
        <v>50</v>
      </c>
      <c r="R173" s="20">
        <f t="shared" si="54"/>
        <v>14</v>
      </c>
      <c r="S173" s="20" t="str">
        <f t="shared" si="55"/>
        <v>Identificación de  las propuestas ciudadanas para la formulación del Plan de Desarrollo Distrital.</v>
      </c>
      <c r="T173" s="20">
        <f t="shared" si="18"/>
        <v>1</v>
      </c>
      <c r="U173" s="20" t="str">
        <f t="shared" ca="1" si="19"/>
        <v>Realizada</v>
      </c>
      <c r="V173" s="20"/>
      <c r="W173" s="20"/>
      <c r="X173" s="20"/>
      <c r="Y173" s="20"/>
    </row>
    <row r="174" spans="1:25" ht="61.5">
      <c r="A174" s="20">
        <v>214</v>
      </c>
      <c r="B174" s="20" t="str">
        <f t="shared" si="38"/>
        <v>Plan de trabajo Acciones Afirmativas art 66 - Comunidad Palenquera</v>
      </c>
      <c r="C174" s="21">
        <f t="shared" si="39"/>
        <v>45386</v>
      </c>
      <c r="D174" s="20" t="str">
        <f t="shared" si="40"/>
        <v>OPDC</v>
      </c>
      <c r="E174" s="20" t="str">
        <f t="shared" si="41"/>
        <v>NO</v>
      </c>
      <c r="F174" s="20" t="str">
        <f t="shared" si="42"/>
        <v>Políticas Públicas</v>
      </c>
      <c r="G174" s="20" t="str">
        <f t="shared" si="43"/>
        <v>Presencial</v>
      </c>
      <c r="H174" s="20" t="str">
        <f t="shared" si="44"/>
        <v>Establecer el plan de trabajo con la comunidad palenquera para el cumplimiento del Plan Integral de Acciones Afirmativas establecido en el articulo 66 del PDD 2020-2024.</v>
      </c>
      <c r="I174" s="20" t="str">
        <f t="shared" si="45"/>
        <v>Mecanismo de Diálogo</v>
      </c>
      <c r="J174" s="20" t="str">
        <f t="shared" si="46"/>
        <v>Comunitario</v>
      </c>
      <c r="K174" s="20">
        <f t="shared" si="47"/>
        <v>0</v>
      </c>
      <c r="L174" s="20" t="str">
        <f t="shared" si="48"/>
        <v>Distrital</v>
      </c>
      <c r="M174" s="20" t="str">
        <f t="shared" si="49"/>
        <v>Distrital</v>
      </c>
      <c r="N174" s="20" t="str">
        <f t="shared" si="50"/>
        <v>Distrital</v>
      </c>
      <c r="O174" s="20" t="str">
        <f t="shared" si="51"/>
        <v>NO</v>
      </c>
      <c r="P174" s="20" t="str">
        <f t="shared" si="52"/>
        <v>No aplica</v>
      </c>
      <c r="Q174" s="20">
        <f t="shared" si="53"/>
        <v>25</v>
      </c>
      <c r="R174" s="20">
        <f t="shared" si="54"/>
        <v>4</v>
      </c>
      <c r="S174" s="20" t="str">
        <f t="shared" si="55"/>
        <v>Plan de trabajo para ejecutar acciones afirmativas; articulo 66</v>
      </c>
      <c r="T174" s="20">
        <f t="shared" si="18"/>
        <v>1</v>
      </c>
      <c r="U174" s="20" t="str">
        <f t="shared" ca="1" si="19"/>
        <v>Realizada</v>
      </c>
      <c r="V174" s="20"/>
      <c r="W174" s="20"/>
      <c r="X174" s="20"/>
      <c r="Y174" s="20"/>
    </row>
    <row r="175" spans="1:25" ht="49.5">
      <c r="A175" s="20">
        <v>215</v>
      </c>
      <c r="B175" s="20" t="str">
        <f t="shared" si="38"/>
        <v>III Diálogo Ciudadano Poblacional para la Construcción del PDD - Taller Niños, Niñas y Adolescentes - SED-SDP</v>
      </c>
      <c r="C175" s="21">
        <f t="shared" si="39"/>
        <v>45386</v>
      </c>
      <c r="D175" s="20" t="str">
        <f t="shared" si="40"/>
        <v>OPDC</v>
      </c>
      <c r="E175" s="20" t="str">
        <f t="shared" si="41"/>
        <v>NO</v>
      </c>
      <c r="F175" s="20" t="str">
        <f t="shared" si="42"/>
        <v>Plan Distrital de Desarrollo</v>
      </c>
      <c r="G175" s="20" t="str">
        <f t="shared" si="43"/>
        <v>Presencial</v>
      </c>
      <c r="H175" s="20" t="str">
        <f t="shared" si="44"/>
        <v>Recoger las propuestas de los Niños, Niñas y Adolescentes con respecto a la fase de aspiraciones comunes del Plan Distrital de Desarrollo.</v>
      </c>
      <c r="I175" s="20" t="str">
        <f t="shared" si="45"/>
        <v>Mecanismo de Diálogo</v>
      </c>
      <c r="J175" s="20" t="str">
        <f t="shared" si="46"/>
        <v>Individual</v>
      </c>
      <c r="K175" s="20">
        <f t="shared" si="47"/>
        <v>0</v>
      </c>
      <c r="L175" s="20" t="str">
        <f t="shared" si="48"/>
        <v>Distrital</v>
      </c>
      <c r="M175" s="20" t="str">
        <f t="shared" si="49"/>
        <v>Distrital</v>
      </c>
      <c r="N175" s="20" t="str">
        <f t="shared" si="50"/>
        <v>Distrital</v>
      </c>
      <c r="O175" s="20" t="str">
        <f t="shared" si="51"/>
        <v>SÍ</v>
      </c>
      <c r="P175" s="20" t="str">
        <f t="shared" si="52"/>
        <v>Fase II: Aspiraciones Comunes</v>
      </c>
      <c r="Q175" s="20">
        <f t="shared" si="53"/>
        <v>30</v>
      </c>
      <c r="R175" s="20">
        <f t="shared" si="54"/>
        <v>1</v>
      </c>
      <c r="S175" s="20" t="str">
        <f t="shared" si="55"/>
        <v xml:space="preserve">PDD Fase II Aspiraciones comunes </v>
      </c>
      <c r="T175" s="20">
        <f t="shared" si="18"/>
        <v>1</v>
      </c>
      <c r="U175" s="20" t="str">
        <f t="shared" ca="1" si="19"/>
        <v>Realizada</v>
      </c>
      <c r="V175" s="20"/>
      <c r="W175" s="20"/>
      <c r="X175" s="20"/>
      <c r="Y175" s="20"/>
    </row>
    <row r="176" spans="1:25" ht="61.5">
      <c r="A176" s="20">
        <v>216</v>
      </c>
      <c r="B176" s="20" t="str">
        <f t="shared" si="38"/>
        <v>II Foro - reglamentación del Manual de Ecourbanismo y Construcción Sostenible - Ambiente</v>
      </c>
      <c r="C176" s="21">
        <f t="shared" si="39"/>
        <v>45386</v>
      </c>
      <c r="D176" s="20" t="str">
        <f t="shared" si="40"/>
        <v>GENERAL SDP</v>
      </c>
      <c r="E176" s="20" t="str">
        <f t="shared" si="41"/>
        <v>SÍ</v>
      </c>
      <c r="F176" s="20" t="str">
        <f t="shared" si="42"/>
        <v>Reglamentación de Ecourbanismo y Construcción Sostenible</v>
      </c>
      <c r="G176" s="20" t="str">
        <f t="shared" si="43"/>
        <v>Virtual</v>
      </c>
      <c r="H176" s="20" t="str">
        <f t="shared" si="44"/>
        <v xml:space="preserve"> Acompañar el foro Eco urbanismo con enfasis en Bienestar: aspectos relacionados con el confort acústico, térmico, lumínico y la calidad del aire al interior de las edificaciones.</v>
      </c>
      <c r="I176" s="20" t="str">
        <f t="shared" si="45"/>
        <v>Mecanismo de Comunicación para la Participación</v>
      </c>
      <c r="J176" s="20" t="str">
        <f t="shared" si="46"/>
        <v>Multiactor</v>
      </c>
      <c r="K176" s="20">
        <f t="shared" si="47"/>
        <v>0</v>
      </c>
      <c r="L176" s="20" t="str">
        <f t="shared" si="48"/>
        <v>Distrital</v>
      </c>
      <c r="M176" s="20" t="str">
        <f t="shared" si="49"/>
        <v>Distrital</v>
      </c>
      <c r="N176" s="20" t="str">
        <f t="shared" si="50"/>
        <v>Distrital</v>
      </c>
      <c r="O176" s="20" t="str">
        <f t="shared" si="51"/>
        <v>NO</v>
      </c>
      <c r="P176" s="20" t="str">
        <f t="shared" si="52"/>
        <v>No aplica</v>
      </c>
      <c r="Q176" s="20">
        <f t="shared" si="53"/>
        <v>140</v>
      </c>
      <c r="R176" s="20">
        <f t="shared" si="54"/>
        <v>2</v>
      </c>
      <c r="S176" s="20" t="str">
        <f t="shared" si="55"/>
        <v xml:space="preserve">Socialización de norma urbana bioclimática </v>
      </c>
      <c r="T176" s="20">
        <f t="shared" si="18"/>
        <v>1</v>
      </c>
      <c r="U176" s="20" t="str">
        <f t="shared" ca="1" si="19"/>
        <v>Realizada</v>
      </c>
      <c r="V176" s="20"/>
      <c r="W176" s="20"/>
      <c r="X176" s="20"/>
      <c r="Y176" s="20"/>
    </row>
    <row r="177" spans="1:25" ht="61.5">
      <c r="A177" s="20">
        <v>217</v>
      </c>
      <c r="B177" s="20" t="str">
        <f t="shared" si="38"/>
        <v>CLIP Usaquén</v>
      </c>
      <c r="C177" s="21">
        <f t="shared" si="39"/>
        <v>45386</v>
      </c>
      <c r="D177" s="20" t="str">
        <f t="shared" si="40"/>
        <v>INSTANCIAS</v>
      </c>
      <c r="E177" s="20" t="str">
        <f t="shared" si="41"/>
        <v>NO</v>
      </c>
      <c r="F177" s="20" t="str">
        <f t="shared" si="42"/>
        <v>CLIP (Comisión Local Intersectorial de Participación)</v>
      </c>
      <c r="G177" s="20" t="str">
        <f t="shared" si="43"/>
        <v>Presencial</v>
      </c>
      <c r="H177" s="20" t="str">
        <f t="shared" si="44"/>
        <v>Acompañar la articulación de los esfuerzos institucionales de participación en la localidad de Usaquén.</v>
      </c>
      <c r="I177" s="20" t="str">
        <f t="shared" si="45"/>
        <v>Gestión Institucional</v>
      </c>
      <c r="J177" s="20" t="str">
        <f t="shared" si="46"/>
        <v>Público</v>
      </c>
      <c r="K177" s="20" t="str">
        <f t="shared" si="47"/>
        <v>Servidores públicos (local)</v>
      </c>
      <c r="L177" s="20" t="str">
        <f t="shared" si="48"/>
        <v>Usaquén</v>
      </c>
      <c r="M177" s="20" t="str">
        <f t="shared" si="49"/>
        <v>Norte</v>
      </c>
      <c r="N177" s="20" t="str">
        <f t="shared" si="50"/>
        <v>Usaquén, Toberín, Torca, Cerros Orientales</v>
      </c>
      <c r="O177" s="20" t="str">
        <f t="shared" si="51"/>
        <v>NO</v>
      </c>
      <c r="P177" s="20" t="str">
        <f t="shared" si="52"/>
        <v>No aplica</v>
      </c>
      <c r="Q177" s="20">
        <f t="shared" si="53"/>
        <v>14</v>
      </c>
      <c r="R177" s="20">
        <f t="shared" si="54"/>
        <v>1</v>
      </c>
      <c r="S177" s="20" t="str">
        <f t="shared" si="55"/>
        <v xml:space="preserve">Explicación de Encuentros Ciudadanos Locales en Usaquén, explicación del proceso adelantado por la SDP en la formulación del PDD, invitación a taller de Diálogos Cidadanos UPL Usaquén y UPL Cerros </v>
      </c>
      <c r="T177" s="20">
        <f t="shared" si="18"/>
        <v>1</v>
      </c>
      <c r="U177" s="20" t="str">
        <f t="shared" ca="1" si="19"/>
        <v>Realizada</v>
      </c>
      <c r="V177" s="20"/>
      <c r="W177" s="20"/>
      <c r="X177" s="20"/>
      <c r="Y177" s="20"/>
    </row>
    <row r="178" spans="1:25" ht="74.25">
      <c r="A178" s="20">
        <v>218</v>
      </c>
      <c r="B178" s="20" t="str">
        <f t="shared" si="38"/>
        <v>Mesa de Seguimiento en Concejo - Foro "Jóvenes Construyendo una Ciudad Sostenible"</v>
      </c>
      <c r="C178" s="21">
        <f t="shared" si="39"/>
        <v>45386</v>
      </c>
      <c r="D178" s="20" t="str">
        <f t="shared" si="40"/>
        <v>OPDC</v>
      </c>
      <c r="E178" s="20" t="str">
        <f t="shared" si="41"/>
        <v>NO</v>
      </c>
      <c r="F178" s="20" t="str">
        <f t="shared" si="42"/>
        <v>Plan Distrital de Desarrollo</v>
      </c>
      <c r="G178" s="20" t="str">
        <f t="shared" si="43"/>
        <v>Presencial</v>
      </c>
      <c r="H178" s="20" t="str">
        <f t="shared" si="44"/>
        <v>Acompañar la articulación entre la ACJ_YMCA y Secretaría Distrital de Integración Social para la recepción de las propuestas de los Jóvenes producto del Foro "Jóvenes Construyendo una Ciudad Sostenible"</v>
      </c>
      <c r="I178" s="20" t="str">
        <f t="shared" si="45"/>
        <v>Mecanismo de Seguimiento y Evaluación</v>
      </c>
      <c r="J178" s="20" t="str">
        <f t="shared" si="46"/>
        <v>Público</v>
      </c>
      <c r="K178" s="20" t="str">
        <f t="shared" si="47"/>
        <v>Concejo de Bogotá</v>
      </c>
      <c r="L178" s="20" t="str">
        <f t="shared" si="48"/>
        <v>Distrital</v>
      </c>
      <c r="M178" s="20" t="str">
        <f t="shared" si="49"/>
        <v>Distrital</v>
      </c>
      <c r="N178" s="20" t="str">
        <f t="shared" si="50"/>
        <v>Distrital</v>
      </c>
      <c r="O178" s="20" t="str">
        <f t="shared" si="51"/>
        <v>SÍ</v>
      </c>
      <c r="P178" s="20" t="str">
        <f t="shared" si="52"/>
        <v>Gestión interinstitucional</v>
      </c>
      <c r="Q178" s="20">
        <f t="shared" si="53"/>
        <v>15</v>
      </c>
      <c r="R178" s="20">
        <f t="shared" si="54"/>
        <v>5</v>
      </c>
      <c r="S178" s="20" t="str">
        <f t="shared" si="55"/>
        <v>Propuestas de los Jóvenes para el Plan Distrital de Desarrollo orientadas a las temáticas de  Convivencia, Paz y Cuidado de la Vida; Desarrollo y superación de la pobreza y Planeta Sostenible.</v>
      </c>
      <c r="T178" s="20">
        <f t="shared" si="18"/>
        <v>1</v>
      </c>
      <c r="U178" s="20" t="str">
        <f t="shared" ca="1" si="19"/>
        <v>Realizada</v>
      </c>
      <c r="V178" s="20"/>
      <c r="W178" s="20"/>
      <c r="X178" s="20"/>
      <c r="Y178" s="20"/>
    </row>
    <row r="179" spans="1:25" ht="74.25">
      <c r="A179" s="20">
        <v>220</v>
      </c>
      <c r="B179" s="20" t="str">
        <f t="shared" si="38"/>
        <v>Encuentro Estratégico Grupo de Juventud Bogotá Cali.</v>
      </c>
      <c r="C179" s="21">
        <f t="shared" si="39"/>
        <v>45386</v>
      </c>
      <c r="D179" s="20" t="str">
        <f t="shared" si="40"/>
        <v>OPDC</v>
      </c>
      <c r="E179" s="20" t="str">
        <f t="shared" si="41"/>
        <v>NO</v>
      </c>
      <c r="F179" s="20" t="str">
        <f t="shared" si="42"/>
        <v>Plan Distrital de Desarrollo</v>
      </c>
      <c r="G179" s="20" t="str">
        <f t="shared" si="43"/>
        <v>Virtual</v>
      </c>
      <c r="H179" s="20" t="str">
        <f t="shared" si="44"/>
        <v>Identificar las propuestas ciudadanas para formularlas en el PDD, del grupo de juventud "Incidir para Existir" acompañado por Movilizatorio y financiado por el Fondo de las Naciones Unidas para la Democracia.</v>
      </c>
      <c r="I179" s="20" t="str">
        <f t="shared" si="45"/>
        <v>Mecanismo de Diálogo</v>
      </c>
      <c r="J179" s="20" t="str">
        <f t="shared" si="46"/>
        <v>Multiactor</v>
      </c>
      <c r="K179" s="20">
        <f t="shared" si="47"/>
        <v>0</v>
      </c>
      <c r="L179" s="20" t="str">
        <f t="shared" si="48"/>
        <v>Distrital</v>
      </c>
      <c r="M179" s="20" t="str">
        <f t="shared" si="49"/>
        <v>Distrital</v>
      </c>
      <c r="N179" s="20" t="str">
        <f t="shared" si="50"/>
        <v>Distrital</v>
      </c>
      <c r="O179" s="20" t="str">
        <f t="shared" si="51"/>
        <v>SÍ</v>
      </c>
      <c r="P179" s="20" t="str">
        <f t="shared" si="52"/>
        <v>Fase II: Aspiraciones Comunes</v>
      </c>
      <c r="Q179" s="20">
        <f t="shared" si="53"/>
        <v>3</v>
      </c>
      <c r="R179" s="20">
        <f t="shared" si="54"/>
        <v>2</v>
      </c>
      <c r="S179" s="20" t="str">
        <f t="shared" si="55"/>
        <v>Incidencias futuras de parte del grupo de juventud del Movilizatorio de Bogotá, en decisiones en materia de administración pública.</v>
      </c>
      <c r="T179" s="20">
        <f t="shared" si="18"/>
        <v>1</v>
      </c>
      <c r="U179" s="20" t="str">
        <f t="shared" ca="1" si="19"/>
        <v>Realizada</v>
      </c>
      <c r="V179" s="20"/>
      <c r="W179" s="20"/>
      <c r="X179" s="20"/>
      <c r="Y179" s="20"/>
    </row>
    <row r="180" spans="1:25" ht="61.5">
      <c r="A180" s="20">
        <v>221</v>
      </c>
      <c r="B180" s="20" t="str">
        <f t="shared" si="38"/>
        <v>Gestión: Diálogo Ciudadano Población Migrante - ACNUR / SDP</v>
      </c>
      <c r="C180" s="21">
        <f t="shared" si="39"/>
        <v>45386</v>
      </c>
      <c r="D180" s="20" t="str">
        <f t="shared" si="40"/>
        <v>OPDC</v>
      </c>
      <c r="E180" s="20" t="str">
        <f t="shared" si="41"/>
        <v>NO</v>
      </c>
      <c r="F180" s="20" t="str">
        <f t="shared" si="42"/>
        <v>Plan Distrital de Desarrollo</v>
      </c>
      <c r="G180" s="20" t="str">
        <f t="shared" si="43"/>
        <v>Presencial</v>
      </c>
      <c r="H180" s="20" t="str">
        <f t="shared" si="44"/>
        <v>Recolectar las propuestas de la población migrante en la fase de "Aspiraciones Comunes" en el marco de la planeación participativa del Plan de Desarrollo Distrital</v>
      </c>
      <c r="I180" s="20" t="str">
        <f t="shared" si="45"/>
        <v>Mecanismo de Diálogo</v>
      </c>
      <c r="J180" s="20" t="str">
        <f t="shared" si="46"/>
        <v>Comunitario</v>
      </c>
      <c r="K180" s="20" t="str">
        <f t="shared" si="47"/>
        <v>Grupos focales</v>
      </c>
      <c r="L180" s="20" t="str">
        <f t="shared" si="48"/>
        <v>Ciudad Bolívar</v>
      </c>
      <c r="M180" s="20" t="str">
        <f t="shared" si="49"/>
        <v>Suroriente</v>
      </c>
      <c r="N180" s="20" t="str">
        <f t="shared" si="50"/>
        <v>Lucero, Arborizadora</v>
      </c>
      <c r="O180" s="20" t="str">
        <f t="shared" si="51"/>
        <v>SÍ</v>
      </c>
      <c r="P180" s="20" t="str">
        <f t="shared" si="52"/>
        <v>Fase II: Aspiraciones Comunes</v>
      </c>
      <c r="Q180" s="20">
        <f t="shared" si="53"/>
        <v>4</v>
      </c>
      <c r="R180" s="20">
        <f t="shared" si="54"/>
        <v>5</v>
      </c>
      <c r="S180" s="20" t="str">
        <f t="shared" si="55"/>
        <v>Concertacion de metodología para la recolección de aportes al PDD</v>
      </c>
      <c r="T180" s="20">
        <f t="shared" si="18"/>
        <v>1</v>
      </c>
      <c r="U180" s="20" t="str">
        <f t="shared" ca="1" si="19"/>
        <v>Realizada</v>
      </c>
      <c r="V180" s="20"/>
      <c r="W180" s="20"/>
      <c r="X180" s="20"/>
      <c r="Y180" s="20"/>
    </row>
    <row r="181" spans="1:25" ht="49.5">
      <c r="A181" s="20">
        <v>222</v>
      </c>
      <c r="B181" s="20" t="str">
        <f t="shared" si="38"/>
        <v>CLIP San Cristóbal</v>
      </c>
      <c r="C181" s="21">
        <f t="shared" si="39"/>
        <v>45386</v>
      </c>
      <c r="D181" s="20" t="str">
        <f t="shared" si="40"/>
        <v>INSTANCIAS</v>
      </c>
      <c r="E181" s="20" t="str">
        <f t="shared" si="41"/>
        <v>NO</v>
      </c>
      <c r="F181" s="20" t="str">
        <f t="shared" si="42"/>
        <v>CLIP (Comisión Local Intersectorial de Participación)</v>
      </c>
      <c r="G181" s="20" t="str">
        <f t="shared" si="43"/>
        <v>Presencial</v>
      </c>
      <c r="H181" s="20" t="str">
        <f t="shared" si="44"/>
        <v>Acompañar la articulación de los esfuerzos institucionales de participación en la localidad de San Cristóbal en el mes de abril</v>
      </c>
      <c r="I181" s="20" t="str">
        <f t="shared" si="45"/>
        <v>Gestión Institucional</v>
      </c>
      <c r="J181" s="20" t="str">
        <f t="shared" si="46"/>
        <v>Público</v>
      </c>
      <c r="K181" s="20" t="str">
        <f t="shared" si="47"/>
        <v>Servidores públicos (local)</v>
      </c>
      <c r="L181" s="20" t="str">
        <f t="shared" si="48"/>
        <v>Rafael Uribe Uribe</v>
      </c>
      <c r="M181" s="20" t="str">
        <f t="shared" si="49"/>
        <v>Suroriente</v>
      </c>
      <c r="N181" s="20" t="str">
        <f t="shared" si="50"/>
        <v>San Cristobal, Cerros Orientales</v>
      </c>
      <c r="O181" s="20" t="str">
        <f t="shared" si="51"/>
        <v>NO</v>
      </c>
      <c r="P181" s="20" t="str">
        <f t="shared" si="52"/>
        <v>No aplica</v>
      </c>
      <c r="Q181" s="20">
        <f t="shared" si="53"/>
        <v>20</v>
      </c>
      <c r="R181" s="20">
        <f t="shared" si="54"/>
        <v>1</v>
      </c>
      <c r="S181" s="20" t="str">
        <f t="shared" si="55"/>
        <v>Exposición de estrategia de participación del PDD, explicación de la metodología para los encuentros ciudadanos (capacitación para las entidades)</v>
      </c>
      <c r="T181" s="20">
        <f t="shared" si="18"/>
        <v>1</v>
      </c>
      <c r="U181" s="20" t="str">
        <f t="shared" ca="1" si="19"/>
        <v>Realizada</v>
      </c>
      <c r="V181" s="20"/>
      <c r="W181" s="20"/>
      <c r="X181" s="20"/>
      <c r="Y181" s="20"/>
    </row>
    <row r="182" spans="1:25" ht="49.5">
      <c r="A182" s="20">
        <v>223</v>
      </c>
      <c r="B182" s="20" t="str">
        <f t="shared" si="38"/>
        <v>Presentación Normatividad y Planos UPL Tabora</v>
      </c>
      <c r="C182" s="21">
        <f t="shared" si="39"/>
        <v>45386</v>
      </c>
      <c r="D182" s="20" t="str">
        <f t="shared" si="40"/>
        <v>OPDC</v>
      </c>
      <c r="E182" s="20" t="str">
        <f t="shared" si="41"/>
        <v>SÍ</v>
      </c>
      <c r="F182" s="20" t="str">
        <f t="shared" si="42"/>
        <v>Proyectos Integrales de Proximidad</v>
      </c>
      <c r="G182" s="20" t="str">
        <f t="shared" si="43"/>
        <v>Presencial</v>
      </c>
      <c r="H182" s="20" t="str">
        <f t="shared" si="44"/>
        <v xml:space="preserve">Presentación Normatividad y Planos UPL Tabora , dando respuesta a un derecho de petición </v>
      </c>
      <c r="I182" s="20" t="str">
        <f t="shared" si="45"/>
        <v>Mecanismo de Comunicación para la Participación</v>
      </c>
      <c r="J182" s="20" t="str">
        <f t="shared" si="46"/>
        <v>Multiactor</v>
      </c>
      <c r="K182" s="20">
        <f t="shared" si="47"/>
        <v>0</v>
      </c>
      <c r="L182" s="20" t="str">
        <f t="shared" si="48"/>
        <v>Engativá</v>
      </c>
      <c r="M182" s="20" t="str">
        <f t="shared" si="49"/>
        <v>Occidente</v>
      </c>
      <c r="N182" s="20" t="str">
        <f t="shared" si="50"/>
        <v>Tabora</v>
      </c>
      <c r="O182" s="20" t="str">
        <f t="shared" si="51"/>
        <v>NO</v>
      </c>
      <c r="P182" s="20" t="str">
        <f t="shared" si="52"/>
        <v>No aplica</v>
      </c>
      <c r="Q182" s="20">
        <f t="shared" si="53"/>
        <v>64</v>
      </c>
      <c r="R182" s="20">
        <f t="shared" si="54"/>
        <v>4</v>
      </c>
      <c r="S182" s="20" t="str">
        <f t="shared" si="55"/>
        <v xml:space="preserve">Presentación Normativa y afectación residencial de proyecto avenida ciudad de Cali por obra de Troncal Transmilenio  </v>
      </c>
      <c r="T182" s="20">
        <f t="shared" si="18"/>
        <v>1</v>
      </c>
      <c r="U182" s="20" t="str">
        <f t="shared" ca="1" si="19"/>
        <v>Realizada</v>
      </c>
      <c r="V182" s="20"/>
      <c r="W182" s="20"/>
      <c r="X182" s="20"/>
      <c r="Y182" s="20"/>
    </row>
    <row r="183" spans="1:25" ht="37.5">
      <c r="A183" s="20">
        <v>224</v>
      </c>
      <c r="B183" s="20" t="str">
        <f t="shared" si="38"/>
        <v>Dialogo Ciudadano para la Construcción del PDD - UPL Usme Entrenubes</v>
      </c>
      <c r="C183" s="21">
        <f t="shared" si="39"/>
        <v>45386</v>
      </c>
      <c r="D183" s="20" t="str">
        <f t="shared" si="40"/>
        <v>OPDC</v>
      </c>
      <c r="E183" s="20" t="str">
        <f t="shared" si="41"/>
        <v>NO</v>
      </c>
      <c r="F183" s="20" t="str">
        <f t="shared" si="42"/>
        <v>Plan Distrital de Desarrollo</v>
      </c>
      <c r="G183" s="20" t="str">
        <f t="shared" si="43"/>
        <v>Presencial</v>
      </c>
      <c r="H183" s="20" t="str">
        <f t="shared" si="44"/>
        <v>Identificar las propuestas ciudadanas para la formulación del Plan de Desarrollo Distrital.</v>
      </c>
      <c r="I183" s="20" t="str">
        <f t="shared" si="45"/>
        <v>Mecanismo de Diálogo</v>
      </c>
      <c r="J183" s="20" t="str">
        <f t="shared" si="46"/>
        <v>Multiactor</v>
      </c>
      <c r="K183" s="20">
        <f t="shared" si="47"/>
        <v>0</v>
      </c>
      <c r="L183" s="20" t="str">
        <f t="shared" si="48"/>
        <v>Usme</v>
      </c>
      <c r="M183" s="20" t="str">
        <f t="shared" si="49"/>
        <v>Suroriente</v>
      </c>
      <c r="N183" s="20" t="str">
        <f t="shared" si="50"/>
        <v>Usme Entrenubes</v>
      </c>
      <c r="O183" s="20" t="str">
        <f t="shared" si="51"/>
        <v>SÍ</v>
      </c>
      <c r="P183" s="20" t="str">
        <f t="shared" si="52"/>
        <v>Fase II: Aspiraciones Comunes</v>
      </c>
      <c r="Q183" s="20">
        <f t="shared" si="53"/>
        <v>50</v>
      </c>
      <c r="R183" s="20">
        <f t="shared" si="54"/>
        <v>16</v>
      </c>
      <c r="S183" s="20" t="str">
        <f t="shared" si="55"/>
        <v>Propuestas ciudadanas para la construcción del plan distrital de desarrollo</v>
      </c>
      <c r="T183" s="20">
        <f t="shared" si="18"/>
        <v>1</v>
      </c>
      <c r="U183" s="20" t="str">
        <f t="shared" ca="1" si="19"/>
        <v>Realizada</v>
      </c>
      <c r="V183" s="20"/>
      <c r="W183" s="20"/>
      <c r="X183" s="20"/>
      <c r="Y183" s="20"/>
    </row>
    <row r="184" spans="1:25" ht="37.5">
      <c r="A184" s="20">
        <v>225</v>
      </c>
      <c r="B184" s="20" t="str">
        <f t="shared" si="38"/>
        <v>Dialogo Ciudadano para la Construcción del PDD - UPL Rafael Uribe Uribe</v>
      </c>
      <c r="C184" s="21">
        <f t="shared" si="39"/>
        <v>45386</v>
      </c>
      <c r="D184" s="20" t="str">
        <f t="shared" si="40"/>
        <v>OPDC</v>
      </c>
      <c r="E184" s="20" t="str">
        <f t="shared" si="41"/>
        <v>NO</v>
      </c>
      <c r="F184" s="20" t="str">
        <f t="shared" si="42"/>
        <v>Plan Distrital de Desarrollo</v>
      </c>
      <c r="G184" s="20" t="str">
        <f t="shared" si="43"/>
        <v>Presencial</v>
      </c>
      <c r="H184" s="20" t="str">
        <f t="shared" si="44"/>
        <v>Identificar las propuestas ciudadanas para la formulación del Plan de Desarrollo Distrital.</v>
      </c>
      <c r="I184" s="20" t="str">
        <f t="shared" si="45"/>
        <v>Mecanismo de Diálogo</v>
      </c>
      <c r="J184" s="20" t="str">
        <f t="shared" si="46"/>
        <v>Multiactor</v>
      </c>
      <c r="K184" s="20">
        <f t="shared" si="47"/>
        <v>0</v>
      </c>
      <c r="L184" s="20" t="str">
        <f t="shared" si="48"/>
        <v>Rafael Uribe Uribe, Usme</v>
      </c>
      <c r="M184" s="20" t="str">
        <f t="shared" si="49"/>
        <v>Suroriente</v>
      </c>
      <c r="N184" s="20" t="str">
        <f t="shared" si="50"/>
        <v>Rafael Uribe</v>
      </c>
      <c r="O184" s="20" t="str">
        <f t="shared" si="51"/>
        <v>SÍ</v>
      </c>
      <c r="P184" s="20" t="str">
        <f t="shared" si="52"/>
        <v>Fase II: Aspiraciones Comunes</v>
      </c>
      <c r="Q184" s="20">
        <f t="shared" si="53"/>
        <v>54</v>
      </c>
      <c r="R184" s="20">
        <f t="shared" si="54"/>
        <v>14</v>
      </c>
      <c r="S184" s="20" t="str">
        <f t="shared" si="55"/>
        <v>Propuestas ciudadanas para la construcción del plan distrital de desarrollo</v>
      </c>
      <c r="T184" s="20">
        <f t="shared" si="18"/>
        <v>1</v>
      </c>
      <c r="U184" s="20" t="str">
        <f t="shared" ca="1" si="19"/>
        <v>Realizada</v>
      </c>
      <c r="V184" s="20"/>
      <c r="W184" s="20"/>
      <c r="X184" s="20"/>
      <c r="Y184" s="20"/>
    </row>
    <row r="185" spans="1:25" ht="37.5">
      <c r="A185" s="20">
        <v>226</v>
      </c>
      <c r="B185" s="20" t="str">
        <f t="shared" si="38"/>
        <v>Sesión extraordinaria de la Red de Veedurías</v>
      </c>
      <c r="C185" s="21">
        <f t="shared" si="39"/>
        <v>45387</v>
      </c>
      <c r="D185" s="20" t="str">
        <f t="shared" si="40"/>
        <v>INSTANCIAS</v>
      </c>
      <c r="E185" s="20" t="str">
        <f t="shared" si="41"/>
        <v>NO</v>
      </c>
      <c r="F185" s="20" t="str">
        <f t="shared" si="42"/>
        <v>Red institucional de veedurías ciudadanas</v>
      </c>
      <c r="G185" s="20" t="str">
        <f t="shared" si="43"/>
        <v>Virtual</v>
      </c>
      <c r="H185" s="20" t="str">
        <f t="shared" si="44"/>
        <v xml:space="preserve">Definir hoja de ruta taller PDD con Veedurías Ciudadanas </v>
      </c>
      <c r="I185" s="20" t="str">
        <f t="shared" si="45"/>
        <v>Gestión Institucional</v>
      </c>
      <c r="J185" s="20" t="str">
        <f t="shared" si="46"/>
        <v>Público</v>
      </c>
      <c r="K185" s="20" t="str">
        <f t="shared" si="47"/>
        <v>Órganos de control</v>
      </c>
      <c r="L185" s="20" t="str">
        <f t="shared" si="48"/>
        <v>Distrital</v>
      </c>
      <c r="M185" s="20" t="str">
        <f t="shared" si="49"/>
        <v>Distrital</v>
      </c>
      <c r="N185" s="20" t="str">
        <f t="shared" si="50"/>
        <v>Distrital</v>
      </c>
      <c r="O185" s="20" t="str">
        <f t="shared" si="51"/>
        <v>SÍ</v>
      </c>
      <c r="P185" s="20" t="str">
        <f t="shared" si="52"/>
        <v>Gestión interinstitucional</v>
      </c>
      <c r="Q185" s="20">
        <f t="shared" si="53"/>
        <v>6</v>
      </c>
      <c r="R185" s="20">
        <f t="shared" si="54"/>
        <v>1</v>
      </c>
      <c r="S185" s="20" t="str">
        <f t="shared" si="55"/>
        <v>Planeación taller PDD con veedurías, Metodología fase II aspiraciones comunes</v>
      </c>
      <c r="T185" s="20">
        <f t="shared" si="18"/>
        <v>1</v>
      </c>
      <c r="U185" s="20" t="str">
        <f t="shared" ca="1" si="19"/>
        <v>Realizada</v>
      </c>
      <c r="V185" s="20"/>
      <c r="W185" s="20"/>
      <c r="X185" s="20"/>
      <c r="Y185" s="20"/>
    </row>
    <row r="186" spans="1:25" ht="37.5">
      <c r="A186" s="20">
        <v>227</v>
      </c>
      <c r="B186" s="20" t="str">
        <f t="shared" si="38"/>
        <v>Dialogo Ciudadano para la Construcción del PDD - UPL Sumapaz - Cuenca Río Sumapaz - Santo Domingo</v>
      </c>
      <c r="C186" s="21">
        <f t="shared" si="39"/>
        <v>45387</v>
      </c>
      <c r="D186" s="20" t="str">
        <f t="shared" si="40"/>
        <v>OPDC</v>
      </c>
      <c r="E186" s="20" t="str">
        <f t="shared" si="41"/>
        <v>NO</v>
      </c>
      <c r="F186" s="20" t="str">
        <f t="shared" si="42"/>
        <v>Plan Distrital de Desarrollo</v>
      </c>
      <c r="G186" s="20" t="str">
        <f t="shared" si="43"/>
        <v>Presencial</v>
      </c>
      <c r="H186" s="20" t="str">
        <f t="shared" si="44"/>
        <v>Identificar las propuestas ciudadanas para la formulación del Plan de Desarrollo Distrital.</v>
      </c>
      <c r="I186" s="20" t="str">
        <f t="shared" si="45"/>
        <v>Mecanismo de Diálogo</v>
      </c>
      <c r="J186" s="20" t="str">
        <f t="shared" si="46"/>
        <v>Multiactor</v>
      </c>
      <c r="K186" s="20">
        <f t="shared" si="47"/>
        <v>0</v>
      </c>
      <c r="L186" s="20" t="str">
        <f t="shared" si="48"/>
        <v>Sumapaz</v>
      </c>
      <c r="M186" s="20" t="str">
        <f t="shared" si="49"/>
        <v>Ruralidad</v>
      </c>
      <c r="N186" s="20" t="str">
        <f t="shared" si="50"/>
        <v>Sumapaz</v>
      </c>
      <c r="O186" s="20" t="str">
        <f t="shared" si="51"/>
        <v>SÍ</v>
      </c>
      <c r="P186" s="20" t="str">
        <f t="shared" si="52"/>
        <v>Fase II: Aspiraciones Comunes</v>
      </c>
      <c r="Q186" s="20">
        <f t="shared" si="53"/>
        <v>20</v>
      </c>
      <c r="R186" s="20">
        <f t="shared" si="54"/>
        <v>9</v>
      </c>
      <c r="S186" s="20" t="str">
        <f t="shared" si="55"/>
        <v xml:space="preserve">Necesidades de la ruralidad frente a seguridad, bien-estar, desarrollo económico, ordenamiento territorial y gobernabilidad. </v>
      </c>
      <c r="T186" s="20">
        <f t="shared" si="18"/>
        <v>1</v>
      </c>
      <c r="U186" s="20" t="str">
        <f t="shared" ca="1" si="19"/>
        <v>Realizada</v>
      </c>
      <c r="V186" s="20"/>
      <c r="W186" s="20"/>
      <c r="X186" s="20"/>
      <c r="Y186" s="20"/>
    </row>
    <row r="187" spans="1:25" ht="49.5">
      <c r="A187" s="20">
        <v>228</v>
      </c>
      <c r="B187" s="20" t="str">
        <f t="shared" si="38"/>
        <v>Diálogo con el Cabildo Indígena Muisca de Suba</v>
      </c>
      <c r="C187" s="21">
        <f t="shared" si="39"/>
        <v>45387</v>
      </c>
      <c r="D187" s="20" t="str">
        <f t="shared" si="40"/>
        <v>OPDC</v>
      </c>
      <c r="E187" s="20" t="str">
        <f t="shared" si="41"/>
        <v>SÍ</v>
      </c>
      <c r="F187" s="20" t="str">
        <f t="shared" si="42"/>
        <v>Sistema de Sitios Sagrados Muyscas</v>
      </c>
      <c r="G187" s="20" t="str">
        <f t="shared" si="43"/>
        <v>Presencial</v>
      </c>
      <c r="H187" s="20" t="str">
        <f t="shared" si="44"/>
        <v>Realizar un espacio de Diálogo con el Gobernador Muisca de Suba y el Secretario de Planeción.</v>
      </c>
      <c r="I187" s="20" t="str">
        <f t="shared" si="45"/>
        <v>Mecanismo de Diálogo</v>
      </c>
      <c r="J187" s="20" t="str">
        <f t="shared" si="46"/>
        <v>Comunitario</v>
      </c>
      <c r="K187" s="20" t="str">
        <f t="shared" si="47"/>
        <v>Grupos focales</v>
      </c>
      <c r="L187" s="20" t="str">
        <f t="shared" si="48"/>
        <v>Suba</v>
      </c>
      <c r="M187" s="20" t="str">
        <f t="shared" si="49"/>
        <v>Noroccidente, Norte</v>
      </c>
      <c r="N187" s="20" t="str">
        <f t="shared" si="50"/>
        <v>Suba, Tibabuyes, Suba Rincón, Britalia, Torca, Niza</v>
      </c>
      <c r="O187" s="20" t="str">
        <f t="shared" si="51"/>
        <v>NO</v>
      </c>
      <c r="P187" s="20" t="str">
        <f t="shared" si="52"/>
        <v>No aplica</v>
      </c>
      <c r="Q187" s="20">
        <f t="shared" si="53"/>
        <v>40</v>
      </c>
      <c r="R187" s="20">
        <f t="shared" si="54"/>
        <v>3</v>
      </c>
      <c r="S187" s="20" t="str">
        <f t="shared" si="55"/>
        <v>Plan de vida Muisca; Plan de Desarrollo; Política Publica</v>
      </c>
      <c r="T187" s="20">
        <f t="shared" si="18"/>
        <v>1</v>
      </c>
      <c r="U187" s="20" t="str">
        <f t="shared" ca="1" si="19"/>
        <v>Realizada</v>
      </c>
      <c r="V187" s="20"/>
      <c r="W187" s="20"/>
      <c r="X187" s="20"/>
      <c r="Y187" s="20"/>
    </row>
    <row r="188" spans="1:25" ht="61.5">
      <c r="A188" s="20">
        <v>229</v>
      </c>
      <c r="B188" s="20" t="str">
        <f t="shared" si="38"/>
        <v>II Diálogo Ciudadano Poblacional para la Construcción del PDD - Comunidad Palenquera</v>
      </c>
      <c r="C188" s="21">
        <f t="shared" si="39"/>
        <v>45387</v>
      </c>
      <c r="D188" s="20" t="str">
        <f t="shared" si="40"/>
        <v>OPDC</v>
      </c>
      <c r="E188" s="20" t="str">
        <f t="shared" si="41"/>
        <v>NO</v>
      </c>
      <c r="F188" s="20" t="str">
        <f t="shared" si="42"/>
        <v>Plan Distrital de Desarrollo</v>
      </c>
      <c r="G188" s="20" t="str">
        <f t="shared" si="43"/>
        <v>Presencial</v>
      </c>
      <c r="H188" s="20" t="str">
        <f t="shared" si="44"/>
        <v>Recoger los aportes de la comunidad palenquera en el marco de la fase de aspiraciones comunes de la planeación participativa del Plan Distrital de Desarrollo.</v>
      </c>
      <c r="I188" s="20" t="str">
        <f t="shared" si="45"/>
        <v>Mecanismo de Diálogo</v>
      </c>
      <c r="J188" s="20" t="str">
        <f t="shared" si="46"/>
        <v>Comunitario</v>
      </c>
      <c r="K188" s="20" t="str">
        <f t="shared" si="47"/>
        <v>Grupos focales</v>
      </c>
      <c r="L188" s="20" t="str">
        <f t="shared" si="48"/>
        <v>Distrital</v>
      </c>
      <c r="M188" s="20" t="str">
        <f t="shared" si="49"/>
        <v>Distrital</v>
      </c>
      <c r="N188" s="20" t="str">
        <f t="shared" si="50"/>
        <v>Distrital</v>
      </c>
      <c r="O188" s="20" t="str">
        <f t="shared" si="51"/>
        <v>SÍ</v>
      </c>
      <c r="P188" s="20" t="str">
        <f t="shared" si="52"/>
        <v>Fase II: Aspiraciones Comunes</v>
      </c>
      <c r="Q188" s="20">
        <f t="shared" si="53"/>
        <v>13</v>
      </c>
      <c r="R188" s="20">
        <f t="shared" si="54"/>
        <v>5</v>
      </c>
      <c r="S188" s="20" t="str">
        <f t="shared" si="55"/>
        <v xml:space="preserve">Recolección de propuestas de la comunidad palenquera alrededor de la formulación del Plan Distrital de Desarrollo </v>
      </c>
      <c r="T188" s="20">
        <f t="shared" si="18"/>
        <v>1</v>
      </c>
      <c r="U188" s="20" t="str">
        <f t="shared" ca="1" si="19"/>
        <v>Realizada</v>
      </c>
      <c r="V188" s="20"/>
      <c r="W188" s="20"/>
      <c r="X188" s="20"/>
      <c r="Y188" s="20"/>
    </row>
    <row r="189" spans="1:25" ht="37.5">
      <c r="A189" s="20">
        <v>230</v>
      </c>
      <c r="B189" s="20" t="str">
        <f t="shared" si="38"/>
        <v>Dialogo Ciudadano para la Construcción del PDD - UPL Suba</v>
      </c>
      <c r="C189" s="21">
        <f t="shared" si="39"/>
        <v>45387</v>
      </c>
      <c r="D189" s="20" t="str">
        <f t="shared" si="40"/>
        <v>OPDC</v>
      </c>
      <c r="E189" s="20" t="str">
        <f t="shared" si="41"/>
        <v>NO</v>
      </c>
      <c r="F189" s="20" t="str">
        <f t="shared" si="42"/>
        <v>Plan Distrital de Desarrollo</v>
      </c>
      <c r="G189" s="20" t="str">
        <f t="shared" si="43"/>
        <v>Presencial</v>
      </c>
      <c r="H189" s="20" t="str">
        <f t="shared" si="44"/>
        <v>Identificar las propuestas ciudadanas para la formulación del Plan de Desarrollo Distrital.</v>
      </c>
      <c r="I189" s="20" t="str">
        <f t="shared" si="45"/>
        <v>Mecanismo de Diálogo</v>
      </c>
      <c r="J189" s="20" t="str">
        <f t="shared" si="46"/>
        <v>Multiactor</v>
      </c>
      <c r="K189" s="20">
        <f t="shared" si="47"/>
        <v>0</v>
      </c>
      <c r="L189" s="20" t="str">
        <f t="shared" si="48"/>
        <v>Suba</v>
      </c>
      <c r="M189" s="20" t="str">
        <f t="shared" si="49"/>
        <v>Noroccidente</v>
      </c>
      <c r="N189" s="20" t="str">
        <f t="shared" si="50"/>
        <v>Suba</v>
      </c>
      <c r="O189" s="20" t="str">
        <f t="shared" si="51"/>
        <v>SÍ</v>
      </c>
      <c r="P189" s="20" t="str">
        <f t="shared" si="52"/>
        <v>Fase II: Aspiraciones Comunes</v>
      </c>
      <c r="Q189" s="20">
        <f t="shared" si="53"/>
        <v>52</v>
      </c>
      <c r="R189" s="20">
        <f t="shared" si="54"/>
        <v>15</v>
      </c>
      <c r="S189" s="20" t="str">
        <f t="shared" si="55"/>
        <v>Propuestas ciudadanas para la formulación del Plan de Desarrollo Distrital.</v>
      </c>
      <c r="T189" s="20">
        <f t="shared" si="18"/>
        <v>1</v>
      </c>
      <c r="U189" s="20" t="str">
        <f t="shared" ca="1" si="19"/>
        <v>Realizada</v>
      </c>
      <c r="V189" s="20"/>
      <c r="W189" s="20"/>
      <c r="X189" s="20"/>
      <c r="Y189" s="20"/>
    </row>
    <row r="190" spans="1:25" ht="37.5">
      <c r="A190" s="20">
        <v>231</v>
      </c>
      <c r="B190" s="20" t="str">
        <f t="shared" si="38"/>
        <v>Dialogo Ciudadano para la Construcción del PDD - UPL El Edén</v>
      </c>
      <c r="C190" s="21">
        <f t="shared" si="39"/>
        <v>45387</v>
      </c>
      <c r="D190" s="20" t="str">
        <f t="shared" si="40"/>
        <v>OPDC</v>
      </c>
      <c r="E190" s="20" t="str">
        <f t="shared" si="41"/>
        <v>NO</v>
      </c>
      <c r="F190" s="20" t="str">
        <f t="shared" si="42"/>
        <v>Plan Distrital de Desarrollo</v>
      </c>
      <c r="G190" s="20" t="str">
        <f t="shared" si="43"/>
        <v>Presencial</v>
      </c>
      <c r="H190" s="20" t="str">
        <f t="shared" si="44"/>
        <v>Identificar las propuestas ciudadanas para la formulación del Plan de Desarrollo Distrital.</v>
      </c>
      <c r="I190" s="20" t="str">
        <f t="shared" si="45"/>
        <v>Mecanismo de Diálogo</v>
      </c>
      <c r="J190" s="20" t="str">
        <f t="shared" si="46"/>
        <v>Multiactor</v>
      </c>
      <c r="K190" s="20">
        <f t="shared" si="47"/>
        <v>0</v>
      </c>
      <c r="L190" s="20" t="str">
        <f t="shared" si="48"/>
        <v>Bosa, Kennedy</v>
      </c>
      <c r="M190" s="20" t="str">
        <f t="shared" si="49"/>
        <v>Suroccidente</v>
      </c>
      <c r="N190" s="20" t="str">
        <f t="shared" si="50"/>
        <v>Edén</v>
      </c>
      <c r="O190" s="20" t="str">
        <f t="shared" si="51"/>
        <v>SÍ</v>
      </c>
      <c r="P190" s="20" t="str">
        <f t="shared" si="52"/>
        <v>Fase II: Aspiraciones Comunes</v>
      </c>
      <c r="Q190" s="20">
        <f t="shared" si="53"/>
        <v>60</v>
      </c>
      <c r="R190" s="20">
        <f t="shared" si="54"/>
        <v>14</v>
      </c>
      <c r="S190" s="20" t="str">
        <f t="shared" si="55"/>
        <v>Propuestas ciudadanas para la formulación del Plan de Desarrollo Distrital.</v>
      </c>
      <c r="T190" s="20">
        <f t="shared" si="18"/>
        <v>1</v>
      </c>
      <c r="U190" s="20" t="str">
        <f t="shared" ca="1" si="19"/>
        <v>Realizada</v>
      </c>
      <c r="V190" s="20"/>
      <c r="W190" s="20"/>
      <c r="X190" s="20"/>
      <c r="Y190" s="20"/>
    </row>
    <row r="191" spans="1:25" ht="98.25">
      <c r="A191" s="20">
        <v>232</v>
      </c>
      <c r="B191" s="20" t="str">
        <f t="shared" si="38"/>
        <v>Diálogo con personas cuidadoras de personas con discapacidad (DDSPG)</v>
      </c>
      <c r="C191" s="21">
        <f t="shared" si="39"/>
        <v>45388</v>
      </c>
      <c r="D191" s="20" t="str">
        <f t="shared" si="40"/>
        <v>GENERAL SDP</v>
      </c>
      <c r="E191" s="20" t="str">
        <f t="shared" si="41"/>
        <v>NO</v>
      </c>
      <c r="F191" s="20" t="str">
        <f t="shared" si="42"/>
        <v>Plan Distrital de Desarrollo</v>
      </c>
      <c r="G191" s="20" t="str">
        <f t="shared" si="43"/>
        <v>Presencial</v>
      </c>
      <c r="H191" s="20" t="str">
        <f t="shared" si="44"/>
        <v>Orientar la construcción de propuestas ciudadanas para a formulación del PDD a través de información, diálogo, pedagogía y fortalecimiento de la confianza desde la planeación participativa, con las personas cuidadoras de personas con discapacidad.</v>
      </c>
      <c r="I191" s="20" t="str">
        <f t="shared" si="45"/>
        <v>Mecanismo de Diálogo</v>
      </c>
      <c r="J191" s="20" t="str">
        <f t="shared" si="46"/>
        <v>Comunitario</v>
      </c>
      <c r="K191" s="20" t="str">
        <f t="shared" si="47"/>
        <v>Grupos focales</v>
      </c>
      <c r="L191" s="20" t="str">
        <f t="shared" si="48"/>
        <v>Distrital</v>
      </c>
      <c r="M191" s="20" t="str">
        <f t="shared" si="49"/>
        <v>Distrital</v>
      </c>
      <c r="N191" s="20" t="str">
        <f t="shared" si="50"/>
        <v>Distrital</v>
      </c>
      <c r="O191" s="20" t="str">
        <f t="shared" si="51"/>
        <v>SÍ</v>
      </c>
      <c r="P191" s="20" t="str">
        <f t="shared" si="52"/>
        <v>Fase II: Aspiraciones Comunes</v>
      </c>
      <c r="Q191" s="20">
        <f t="shared" si="53"/>
        <v>35</v>
      </c>
      <c r="R191" s="20">
        <f t="shared" si="54"/>
        <v>10</v>
      </c>
      <c r="S191" s="20" t="str">
        <f t="shared" si="55"/>
        <v xml:space="preserve">objetivos estratégicos del PDD, se priorizaron algunas metas y programas, se dejaron propuestas abiertas en los cinco objetivos </v>
      </c>
      <c r="T191" s="20">
        <f t="shared" si="18"/>
        <v>1</v>
      </c>
      <c r="U191" s="20" t="str">
        <f t="shared" ca="1" si="19"/>
        <v>Realizada</v>
      </c>
      <c r="V191" s="20"/>
      <c r="W191" s="20"/>
      <c r="X191" s="20"/>
      <c r="Y191" s="20"/>
    </row>
    <row r="192" spans="1:25" ht="37.5">
      <c r="A192" s="20">
        <v>233</v>
      </c>
      <c r="B192" s="20" t="str">
        <f t="shared" si="38"/>
        <v>Dialogo Ciudadano para la Construcción del PDD - UPL Teusaquillo</v>
      </c>
      <c r="C192" s="21">
        <f t="shared" si="39"/>
        <v>45388</v>
      </c>
      <c r="D192" s="20" t="str">
        <f t="shared" si="40"/>
        <v>OPDC</v>
      </c>
      <c r="E192" s="20" t="str">
        <f t="shared" si="41"/>
        <v>NO</v>
      </c>
      <c r="F192" s="20" t="str">
        <f t="shared" si="42"/>
        <v>Plan Distrital de Desarrollo</v>
      </c>
      <c r="G192" s="20" t="str">
        <f t="shared" si="43"/>
        <v>Presencial</v>
      </c>
      <c r="H192" s="20" t="str">
        <f t="shared" si="44"/>
        <v>Identificar las propuestas ciudadanas para la formulación del Plan de Desarrollo Distrital.</v>
      </c>
      <c r="I192" s="20" t="str">
        <f t="shared" si="45"/>
        <v>Mecanismo de Diálogo</v>
      </c>
      <c r="J192" s="20" t="str">
        <f t="shared" si="46"/>
        <v>Multiactor</v>
      </c>
      <c r="K192" s="20">
        <f t="shared" si="47"/>
        <v>0</v>
      </c>
      <c r="L192" s="20" t="str">
        <f t="shared" si="48"/>
        <v>Teusaquillo</v>
      </c>
      <c r="M192" s="20" t="str">
        <f t="shared" si="49"/>
        <v>Centro Ampliado</v>
      </c>
      <c r="N192" s="20" t="str">
        <f t="shared" si="50"/>
        <v>Teusaquillo</v>
      </c>
      <c r="O192" s="20" t="str">
        <f t="shared" si="51"/>
        <v>SÍ</v>
      </c>
      <c r="P192" s="20" t="str">
        <f t="shared" si="52"/>
        <v>Fase II: Aspiraciones Comunes</v>
      </c>
      <c r="Q192" s="20">
        <f t="shared" si="53"/>
        <v>87</v>
      </c>
      <c r="R192" s="20">
        <f t="shared" si="54"/>
        <v>17</v>
      </c>
      <c r="S192" s="20" t="str">
        <f t="shared" si="55"/>
        <v>Identificar las propuestas ciudadanas para la formulación del Plan de Desarrollo Distrital</v>
      </c>
      <c r="T192" s="20">
        <f t="shared" si="18"/>
        <v>1</v>
      </c>
      <c r="U192" s="20" t="str">
        <f t="shared" ca="1" si="19"/>
        <v>Realizada</v>
      </c>
      <c r="V192" s="20"/>
      <c r="W192" s="20"/>
      <c r="X192" s="20"/>
      <c r="Y192" s="20"/>
    </row>
    <row r="193" spans="1:25" ht="49.5">
      <c r="A193" s="20">
        <v>234</v>
      </c>
      <c r="B193" s="20" t="str">
        <f t="shared" si="38"/>
        <v>Diálogo Ciudadano Poblacional para la Construcción del PDD - Pueblo Raizal</v>
      </c>
      <c r="C193" s="21">
        <f t="shared" si="39"/>
        <v>45388</v>
      </c>
      <c r="D193" s="20" t="str">
        <f t="shared" si="40"/>
        <v>OPDC</v>
      </c>
      <c r="E193" s="20" t="str">
        <f t="shared" si="41"/>
        <v>NO</v>
      </c>
      <c r="F193" s="20" t="str">
        <f t="shared" si="42"/>
        <v>Plan Distrital de Desarrollo</v>
      </c>
      <c r="G193" s="20" t="str">
        <f t="shared" si="43"/>
        <v>Presencial</v>
      </c>
      <c r="H193" s="20" t="str">
        <f t="shared" si="44"/>
        <v>Recoger los aportes del pueblo raizal en el marco de la fase de aspiraciones comunes de la planeación participativa del Plan Distrital de Desarrollo</v>
      </c>
      <c r="I193" s="20" t="str">
        <f t="shared" si="45"/>
        <v>Mecanismo de Diálogo</v>
      </c>
      <c r="J193" s="20" t="str">
        <f t="shared" si="46"/>
        <v>Comunitario</v>
      </c>
      <c r="K193" s="20" t="str">
        <f t="shared" si="47"/>
        <v>Grupos focales</v>
      </c>
      <c r="L193" s="20" t="str">
        <f t="shared" si="48"/>
        <v>Distrital</v>
      </c>
      <c r="M193" s="20" t="str">
        <f t="shared" si="49"/>
        <v>Distrital</v>
      </c>
      <c r="N193" s="20" t="str">
        <f t="shared" si="50"/>
        <v>Distrital</v>
      </c>
      <c r="O193" s="20" t="str">
        <f t="shared" si="51"/>
        <v>SÍ</v>
      </c>
      <c r="P193" s="20" t="str">
        <f t="shared" si="52"/>
        <v>Fase II: Aspiraciones Comunes</v>
      </c>
      <c r="Q193" s="20">
        <f t="shared" si="53"/>
        <v>52</v>
      </c>
      <c r="R193" s="20">
        <f t="shared" si="54"/>
        <v>4</v>
      </c>
      <c r="S193" s="20" t="str">
        <f t="shared" si="55"/>
        <v>Aportes de la comunidad Raizal alrededor de la formulación del Plan Distrital de Desarrollo</v>
      </c>
      <c r="T193" s="20">
        <f t="shared" si="18"/>
        <v>1</v>
      </c>
      <c r="U193" s="20" t="str">
        <f t="shared" ca="1" si="19"/>
        <v>Realizada</v>
      </c>
      <c r="V193" s="20"/>
      <c r="W193" s="20"/>
      <c r="X193" s="20"/>
      <c r="Y193" s="20"/>
    </row>
    <row r="194" spans="1:25" ht="37.5">
      <c r="A194" s="20">
        <v>235</v>
      </c>
      <c r="B194" s="20" t="str">
        <f t="shared" ref="B194:B257" si="56">IFERROR(VLOOKUP(A194,DATA_MATRIZ,2,FALSE),"")</f>
        <v>Dialogo Ciudadano para la Construcción del PDD - UPL Cuenca del Tunjuelo</v>
      </c>
      <c r="C194" s="21">
        <f t="shared" ref="C194:C257" si="57">IFERROR(VLOOKUP(A194,DATA_MATRIZ,3,FALSE),"")</f>
        <v>45388</v>
      </c>
      <c r="D194" s="20" t="str">
        <f t="shared" ref="D194:D257" si="58">IFERROR(VLOOKUP(A194,DATA_MATRIZ,5,FALSE),"")</f>
        <v>OPDC</v>
      </c>
      <c r="E194" s="20" t="str">
        <f t="shared" ref="E194:E257" si="59">IFERROR(VLOOKUP(A194,DATA_MATRIZ,9,FALSE),"")</f>
        <v>NO</v>
      </c>
      <c r="F194" s="20" t="str">
        <f t="shared" ref="F194:F257" si="60">IFERROR(VLOOKUP(A194,DATA_MATRIZ,10,FALSE),"")</f>
        <v>Plan Distrital de Desarrollo</v>
      </c>
      <c r="G194" s="20" t="str">
        <f t="shared" ref="G194:G257" si="61">IFERROR(VLOOKUP(A194,DATA_MATRIZ,11,FALSE),"")</f>
        <v>Presencial</v>
      </c>
      <c r="H194" s="20" t="str">
        <f t="shared" ref="H194:H257" si="62">IFERROR(VLOOKUP(A194,DATA_MATRIZ,12,FALSE),"")</f>
        <v>Identificar las propuestas ciudadanas para la formulación del Plan de Desarrollo Distrital.</v>
      </c>
      <c r="I194" s="20" t="str">
        <f t="shared" ref="I194:I257" si="63">IFERROR(VLOOKUP(A194,DATA_MATRIZ,13,FALSE),"")</f>
        <v>Mecanismo de Diálogo</v>
      </c>
      <c r="J194" s="20" t="str">
        <f t="shared" ref="J194:J257" si="64">IFERROR(VLOOKUP(A194,DATA_MATRIZ,41,FALSE),"")</f>
        <v>Multiactor</v>
      </c>
      <c r="K194" s="20">
        <f t="shared" ref="K194:K257" si="65">IFERROR(VLOOKUP(A194,DATA_MATRIZ,42,FALSE),"")</f>
        <v>0</v>
      </c>
      <c r="L194" s="20" t="str">
        <f t="shared" ref="L194:L257" si="66">IFERROR(VLOOKUP(A194,DATA_MATRIZ,46,FALSE),"")</f>
        <v>Usme, Ciudad Bolívar</v>
      </c>
      <c r="M194" s="20" t="str">
        <f t="shared" ref="M194:M257" si="67">IFERROR(VLOOKUP(A194,DATA_MATRIZ,53,FALSE),"")</f>
        <v>Ruralidad</v>
      </c>
      <c r="N194" s="20" t="str">
        <f t="shared" ref="N194:N257" si="68">IFERROR(VLOOKUP(A194,DATA_MATRIZ,60,FALSE),"")</f>
        <v>Cuenca del Tunjuelo</v>
      </c>
      <c r="O194" s="20" t="str">
        <f t="shared" ref="O194:O257" si="69">IFERROR(VLOOKUP(A194,DATA_MATRIZ,75,FALSE),"")</f>
        <v>SÍ</v>
      </c>
      <c r="P194" s="20" t="str">
        <f t="shared" ref="P194:P257" si="70">IFERROR(VLOOKUP(A194,DATA_MATRIZ,76,FALSE),"")</f>
        <v>Fase II: Aspiraciones Comunes</v>
      </c>
      <c r="Q194" s="20">
        <f t="shared" ref="Q194:Q257" si="71">IFERROR(VLOOKUP(A194,DATA_MATRIZ,78,FALSE),"")</f>
        <v>52</v>
      </c>
      <c r="R194" s="20">
        <f t="shared" ref="R194:R257" si="72">IFERROR(VLOOKUP(A194,DATA_MATRIZ,79,FALSE),"")</f>
        <v>13</v>
      </c>
      <c r="S194" s="20" t="str">
        <f t="shared" ref="S194:S257" si="73">IFERROR(VLOOKUP(A194,DATA_MATRIZ,85,FALSE),"")</f>
        <v>Propuestas para el PDD con enfoque Ruralidad.</v>
      </c>
      <c r="T194" s="20">
        <f t="shared" si="18"/>
        <v>1</v>
      </c>
      <c r="U194" s="20" t="str">
        <f t="shared" ca="1" si="19"/>
        <v>Realizada</v>
      </c>
      <c r="V194" s="20"/>
      <c r="W194" s="20"/>
      <c r="X194" s="20"/>
      <c r="Y194" s="20"/>
    </row>
    <row r="195" spans="1:25" ht="37.5">
      <c r="A195" s="20">
        <v>236</v>
      </c>
      <c r="B195" s="20" t="str">
        <f t="shared" si="56"/>
        <v>Jornada Pégate al Plan: Pedagogía ciudadana para el manejo de la herramienta chatico - Theatron</v>
      </c>
      <c r="C195" s="21">
        <f t="shared" si="57"/>
        <v>45388</v>
      </c>
      <c r="D195" s="20" t="str">
        <f t="shared" si="58"/>
        <v>OPDC</v>
      </c>
      <c r="E195" s="20" t="str">
        <f t="shared" si="59"/>
        <v>NO</v>
      </c>
      <c r="F195" s="20" t="str">
        <f t="shared" si="60"/>
        <v>Plan Distrital de Desarrollo</v>
      </c>
      <c r="G195" s="20" t="str">
        <f t="shared" si="61"/>
        <v>Presencial</v>
      </c>
      <c r="H195" s="20" t="str">
        <f t="shared" si="62"/>
        <v>Identificar las propuestas ciudadanas para la formulación del Plan de Desarrollo Distrital.</v>
      </c>
      <c r="I195" s="20" t="str">
        <f t="shared" si="63"/>
        <v>Mecanismo de Consulta Ciudadana</v>
      </c>
      <c r="J195" s="20" t="str">
        <f t="shared" si="64"/>
        <v>Multiactor</v>
      </c>
      <c r="K195" s="20">
        <f t="shared" si="65"/>
        <v>0</v>
      </c>
      <c r="L195" s="20" t="str">
        <f t="shared" si="66"/>
        <v>Chapinero</v>
      </c>
      <c r="M195" s="20" t="str">
        <f t="shared" si="67"/>
        <v>Centro Ampliado</v>
      </c>
      <c r="N195" s="20" t="str">
        <f t="shared" si="68"/>
        <v>Chapinero</v>
      </c>
      <c r="O195" s="20" t="str">
        <f t="shared" si="69"/>
        <v>SÍ</v>
      </c>
      <c r="P195" s="20" t="str">
        <f t="shared" si="70"/>
        <v>Fase II: Aspiraciones Comunes</v>
      </c>
      <c r="Q195" s="20">
        <f t="shared" si="71"/>
        <v>217</v>
      </c>
      <c r="R195" s="20">
        <f t="shared" si="72"/>
        <v>10</v>
      </c>
      <c r="S195" s="20" t="str">
        <f t="shared" si="73"/>
        <v>Identificar las propuestas ciudadanas para la formulación del Plan de Desarrollo Distrital.</v>
      </c>
      <c r="T195" s="20">
        <f t="shared" si="18"/>
        <v>1</v>
      </c>
      <c r="U195" s="20" t="str">
        <f t="shared" ca="1" si="19"/>
        <v>Realizada</v>
      </c>
      <c r="V195" s="20"/>
      <c r="W195" s="20"/>
      <c r="X195" s="20"/>
      <c r="Y195" s="20"/>
    </row>
    <row r="196" spans="1:25" ht="49.5">
      <c r="A196" s="20">
        <v>237</v>
      </c>
      <c r="B196" s="20" t="str">
        <f t="shared" si="56"/>
        <v xml:space="preserve">Pedagogía Chatico CPL Usaquen </v>
      </c>
      <c r="C196" s="21">
        <f t="shared" si="57"/>
        <v>45388</v>
      </c>
      <c r="D196" s="20" t="str">
        <f t="shared" si="58"/>
        <v>OPDC</v>
      </c>
      <c r="E196" s="20" t="str">
        <f t="shared" si="59"/>
        <v>NO</v>
      </c>
      <c r="F196" s="20" t="str">
        <f t="shared" si="60"/>
        <v>Plan Distrital de Desarrollo</v>
      </c>
      <c r="G196" s="20" t="str">
        <f t="shared" si="61"/>
        <v>Virtual</v>
      </c>
      <c r="H196" s="20" t="str">
        <f t="shared" si="62"/>
        <v>Realizar un taller  con el CPL de la localidad de Usaquen sobre la herramienta chatico para la presentación de propuestas al PDD.</v>
      </c>
      <c r="I196" s="20" t="str">
        <f t="shared" si="63"/>
        <v>Mecanismo de Diálogo</v>
      </c>
      <c r="J196" s="20" t="str">
        <f t="shared" si="64"/>
        <v>Comunitario</v>
      </c>
      <c r="K196" s="20" t="str">
        <f t="shared" si="65"/>
        <v>CPL</v>
      </c>
      <c r="L196" s="20" t="str">
        <f t="shared" si="66"/>
        <v>Usaquén</v>
      </c>
      <c r="M196" s="20" t="str">
        <f t="shared" si="67"/>
        <v>Norte, Ruralidad</v>
      </c>
      <c r="N196" s="20" t="str">
        <f t="shared" si="68"/>
        <v>Usaquén, Toberín, Cerros Orientales</v>
      </c>
      <c r="O196" s="20" t="str">
        <f t="shared" si="69"/>
        <v>SÍ</v>
      </c>
      <c r="P196" s="20" t="str">
        <f t="shared" si="70"/>
        <v>Fase II: Aspiraciones Comunes</v>
      </c>
      <c r="Q196" s="20">
        <f t="shared" si="71"/>
        <v>9</v>
      </c>
      <c r="R196" s="20">
        <f t="shared" si="72"/>
        <v>2</v>
      </c>
      <c r="S196" s="20" t="str">
        <f t="shared" si="73"/>
        <v>Pedagogía a los representantes del CPL Usaquen sobre el manejo de la herramienta Chatico para la presentación de propuestas  del PDD</v>
      </c>
      <c r="T196" s="20">
        <f t="shared" si="18"/>
        <v>1</v>
      </c>
      <c r="U196" s="20" t="str">
        <f t="shared" ca="1" si="19"/>
        <v>Realizada</v>
      </c>
      <c r="V196" s="20"/>
      <c r="W196" s="20"/>
      <c r="X196" s="20"/>
      <c r="Y196" s="20"/>
    </row>
    <row r="197" spans="1:25" ht="37.5">
      <c r="A197" s="20">
        <v>238</v>
      </c>
      <c r="B197" s="20" t="str">
        <f t="shared" si="56"/>
        <v>Dialogo Ciudadano para la Construcción del PDD - UPL Cerros Orientales - Altos de Serrezuela</v>
      </c>
      <c r="C197" s="21">
        <f t="shared" si="57"/>
        <v>45389</v>
      </c>
      <c r="D197" s="20" t="str">
        <f t="shared" si="58"/>
        <v>OPDC</v>
      </c>
      <c r="E197" s="20" t="str">
        <f t="shared" si="59"/>
        <v>NO</v>
      </c>
      <c r="F197" s="20" t="str">
        <f t="shared" si="60"/>
        <v>Plan Distrital de Desarrollo</v>
      </c>
      <c r="G197" s="20" t="str">
        <f t="shared" si="61"/>
        <v>Presencial</v>
      </c>
      <c r="H197" s="20" t="str">
        <f t="shared" si="62"/>
        <v>Identificar las propuestas ciudadanas para la formulación del Plan de Desarrollo Distrital</v>
      </c>
      <c r="I197" s="20" t="str">
        <f t="shared" si="63"/>
        <v>Mecanismo de Diálogo</v>
      </c>
      <c r="J197" s="20" t="str">
        <f t="shared" si="64"/>
        <v>Multiactor</v>
      </c>
      <c r="K197" s="20">
        <f t="shared" si="65"/>
        <v>0</v>
      </c>
      <c r="L197" s="20" t="str">
        <f t="shared" si="66"/>
        <v>Usaquén</v>
      </c>
      <c r="M197" s="20" t="str">
        <f t="shared" si="67"/>
        <v>Ruralidad</v>
      </c>
      <c r="N197" s="20" t="str">
        <f t="shared" si="68"/>
        <v>Cerros Orientales</v>
      </c>
      <c r="O197" s="20" t="str">
        <f t="shared" si="69"/>
        <v>SÍ</v>
      </c>
      <c r="P197" s="20" t="str">
        <f t="shared" si="70"/>
        <v>Fase II: Aspiraciones Comunes</v>
      </c>
      <c r="Q197" s="20">
        <f t="shared" si="71"/>
        <v>20</v>
      </c>
      <c r="R197" s="20">
        <f t="shared" si="72"/>
        <v>9</v>
      </c>
      <c r="S197" s="20" t="str">
        <f t="shared" si="73"/>
        <v>Seguridad, servicios sociales y publicos, educacion, vivienda y gobernanza</v>
      </c>
      <c r="T197" s="20">
        <f t="shared" si="18"/>
        <v>1</v>
      </c>
      <c r="U197" s="20" t="str">
        <f t="shared" ca="1" si="19"/>
        <v>Realizada</v>
      </c>
      <c r="V197" s="20"/>
      <c r="W197" s="20"/>
      <c r="X197" s="20"/>
      <c r="Y197" s="20"/>
    </row>
    <row r="198" spans="1:25" ht="37.5">
      <c r="A198" s="20">
        <v>239</v>
      </c>
      <c r="B198" s="20" t="str">
        <f t="shared" si="56"/>
        <v>Dialogo Ciudadano para la Construcción del PDD - UPL Cerros Orientales - Manantial y El Triangulo</v>
      </c>
      <c r="C198" s="21">
        <f t="shared" si="57"/>
        <v>45389</v>
      </c>
      <c r="D198" s="20" t="str">
        <f t="shared" si="58"/>
        <v>OPDC</v>
      </c>
      <c r="E198" s="20" t="str">
        <f t="shared" si="59"/>
        <v>NO</v>
      </c>
      <c r="F198" s="20" t="str">
        <f t="shared" si="60"/>
        <v>Plan Distrital de Desarrollo</v>
      </c>
      <c r="G198" s="20" t="str">
        <f t="shared" si="61"/>
        <v>Presencial</v>
      </c>
      <c r="H198" s="20" t="str">
        <f t="shared" si="62"/>
        <v>Identificar las propuestas ciudadanas para la formulación del Plan de Desarrollo Distrital</v>
      </c>
      <c r="I198" s="20" t="str">
        <f t="shared" si="63"/>
        <v>Mecanismo de Diálogo</v>
      </c>
      <c r="J198" s="20" t="str">
        <f t="shared" si="64"/>
        <v>Multiactor</v>
      </c>
      <c r="K198" s="20">
        <f t="shared" si="65"/>
        <v>0</v>
      </c>
      <c r="L198" s="20" t="str">
        <f t="shared" si="66"/>
        <v>San Cristóbal</v>
      </c>
      <c r="M198" s="20" t="str">
        <f t="shared" si="67"/>
        <v>Ruralidad</v>
      </c>
      <c r="N198" s="20" t="str">
        <f t="shared" si="68"/>
        <v>Cerros Orientales</v>
      </c>
      <c r="O198" s="20" t="str">
        <f t="shared" si="69"/>
        <v>SÍ</v>
      </c>
      <c r="P198" s="20" t="str">
        <f t="shared" si="70"/>
        <v>Fase II: Aspiraciones Comunes</v>
      </c>
      <c r="Q198" s="20">
        <f t="shared" si="71"/>
        <v>36</v>
      </c>
      <c r="R198" s="20">
        <f t="shared" si="72"/>
        <v>8</v>
      </c>
      <c r="S198" s="20" t="str">
        <f t="shared" si="73"/>
        <v>Propuestas al Plan Distrital de Desarrollo</v>
      </c>
      <c r="T198" s="20">
        <f t="shared" si="18"/>
        <v>1</v>
      </c>
      <c r="U198" s="20" t="str">
        <f t="shared" ca="1" si="19"/>
        <v>Realizada</v>
      </c>
      <c r="V198" s="20"/>
      <c r="W198" s="20"/>
      <c r="X198" s="20"/>
      <c r="Y198" s="20"/>
    </row>
    <row r="199" spans="1:25" ht="37.5">
      <c r="A199" s="20">
        <v>240</v>
      </c>
      <c r="B199" s="20" t="str">
        <f t="shared" si="56"/>
        <v>Jornada Pégate al Plan: Pedagogía ciudadana para el manejo de la herramienta chatico - Evento Gran Estación</v>
      </c>
      <c r="C199" s="21">
        <f t="shared" si="57"/>
        <v>45389</v>
      </c>
      <c r="D199" s="20" t="str">
        <f t="shared" si="58"/>
        <v>OPDC</v>
      </c>
      <c r="E199" s="20" t="str">
        <f t="shared" si="59"/>
        <v>NO</v>
      </c>
      <c r="F199" s="20" t="str">
        <f t="shared" si="60"/>
        <v>Plan Distrital de Desarrollo</v>
      </c>
      <c r="G199" s="20" t="str">
        <f t="shared" si="61"/>
        <v>Presencial</v>
      </c>
      <c r="H199" s="20" t="str">
        <f t="shared" si="62"/>
        <v>Identificar las propuestas ciudadanas para la formulación del Plan de Desarrollo Distrital.</v>
      </c>
      <c r="I199" s="20" t="str">
        <f t="shared" si="63"/>
        <v>Mecanismo de Consulta Ciudadana</v>
      </c>
      <c r="J199" s="20" t="str">
        <f t="shared" si="64"/>
        <v>Multiactor</v>
      </c>
      <c r="K199" s="20">
        <f t="shared" si="65"/>
        <v>0</v>
      </c>
      <c r="L199" s="20" t="str">
        <f t="shared" si="66"/>
        <v>Teusaquillo</v>
      </c>
      <c r="M199" s="20" t="str">
        <f t="shared" si="67"/>
        <v>Centro Ampliado</v>
      </c>
      <c r="N199" s="20" t="str">
        <f t="shared" si="68"/>
        <v>Teusaquillo</v>
      </c>
      <c r="O199" s="20" t="str">
        <f t="shared" si="69"/>
        <v>SÍ</v>
      </c>
      <c r="P199" s="20" t="str">
        <f t="shared" si="70"/>
        <v>Fase II: Aspiraciones Comunes</v>
      </c>
      <c r="Q199" s="20">
        <f t="shared" si="71"/>
        <v>45</v>
      </c>
      <c r="R199" s="20">
        <f t="shared" si="72"/>
        <v>8</v>
      </c>
      <c r="S199" s="20" t="str">
        <f t="shared" si="73"/>
        <v>Identificar las propuestas ciudadanas para la formulación del Plan de Desarrollo Distrital.</v>
      </c>
      <c r="T199" s="20">
        <f t="shared" si="18"/>
        <v>1</v>
      </c>
      <c r="U199" s="20" t="str">
        <f t="shared" ca="1" si="19"/>
        <v>Realizada</v>
      </c>
      <c r="V199" s="20"/>
      <c r="W199" s="20"/>
      <c r="X199" s="20"/>
      <c r="Y199" s="20"/>
    </row>
    <row r="200" spans="1:25" ht="37.5">
      <c r="A200" s="20">
        <v>241</v>
      </c>
      <c r="B200" s="20" t="str">
        <f t="shared" si="56"/>
        <v>Encuentro Estratégico - integrantes del proyecto "Incidir para existir"- Jovenes</v>
      </c>
      <c r="C200" s="21">
        <f t="shared" si="57"/>
        <v>45390</v>
      </c>
      <c r="D200" s="20" t="str">
        <f t="shared" si="58"/>
        <v>OPDC</v>
      </c>
      <c r="E200" s="20" t="str">
        <f t="shared" si="59"/>
        <v>NO</v>
      </c>
      <c r="F200" s="20" t="str">
        <f t="shared" si="60"/>
        <v>Plan Distrital de Desarrollo</v>
      </c>
      <c r="G200" s="20" t="str">
        <f t="shared" si="61"/>
        <v>Presencial</v>
      </c>
      <c r="H200" s="20" t="str">
        <f t="shared" si="62"/>
        <v>Formular propuestas para el PDD con el enfoque de juventud.</v>
      </c>
      <c r="I200" s="20" t="str">
        <f t="shared" si="63"/>
        <v>Mecanismo de Diálogo</v>
      </c>
      <c r="J200" s="20" t="str">
        <f t="shared" si="64"/>
        <v>Multiactor</v>
      </c>
      <c r="K200" s="20">
        <f t="shared" si="65"/>
        <v>0</v>
      </c>
      <c r="L200" s="20" t="str">
        <f t="shared" si="66"/>
        <v>Distrital</v>
      </c>
      <c r="M200" s="20" t="str">
        <f t="shared" si="67"/>
        <v>Distrital</v>
      </c>
      <c r="N200" s="20" t="str">
        <f t="shared" si="68"/>
        <v>Distrital</v>
      </c>
      <c r="O200" s="20" t="str">
        <f t="shared" si="69"/>
        <v>SÍ</v>
      </c>
      <c r="P200" s="20" t="str">
        <f t="shared" si="70"/>
        <v>Fase II: Aspiraciones Comunes</v>
      </c>
      <c r="Q200" s="20">
        <f t="shared" si="71"/>
        <v>10</v>
      </c>
      <c r="R200" s="20">
        <f t="shared" si="72"/>
        <v>5</v>
      </c>
      <c r="S200" s="20" t="str">
        <f t="shared" si="73"/>
        <v>Propuestas para el PDD con el enfoque de juventud</v>
      </c>
      <c r="T200" s="20">
        <f t="shared" si="18"/>
        <v>1</v>
      </c>
      <c r="U200" s="20" t="str">
        <f t="shared" ca="1" si="19"/>
        <v>Realizada</v>
      </c>
      <c r="V200" s="20"/>
      <c r="W200" s="20"/>
      <c r="X200" s="20"/>
      <c r="Y200" s="20"/>
    </row>
    <row r="201" spans="1:25" ht="74.25">
      <c r="A201" s="20">
        <v>242</v>
      </c>
      <c r="B201" s="20" t="str">
        <f t="shared" si="56"/>
        <v>Gestión: Documento Estrategia Participación Regalías y Plan de Acción</v>
      </c>
      <c r="C201" s="21">
        <f t="shared" si="57"/>
        <v>45390</v>
      </c>
      <c r="D201" s="20" t="str">
        <f t="shared" si="58"/>
        <v>OPDC</v>
      </c>
      <c r="E201" s="20" t="str">
        <f t="shared" si="59"/>
        <v>NO</v>
      </c>
      <c r="F201" s="20" t="str">
        <f t="shared" si="60"/>
        <v>Gestión del Plan Institucional de Participación Ciudadana</v>
      </c>
      <c r="G201" s="20" t="str">
        <f t="shared" si="61"/>
        <v>Virtual</v>
      </c>
      <c r="H201" s="20" t="str">
        <f t="shared" si="62"/>
        <v>Facilitar la socialización del documento a diseñar dentro del contexto de la estrategia de participación, así como realizar un seguimiento a las acciones proyectadas dentro del componente de regalias</v>
      </c>
      <c r="I201" s="20" t="str">
        <f t="shared" si="63"/>
        <v>Mecanismo de Comunicación para la Participación</v>
      </c>
      <c r="J201" s="20" t="str">
        <f t="shared" si="64"/>
        <v>Público</v>
      </c>
      <c r="K201" s="20" t="str">
        <f t="shared" si="65"/>
        <v>Servidores públicos (Distrital)</v>
      </c>
      <c r="L201" s="20" t="str">
        <f t="shared" si="66"/>
        <v>Distrital</v>
      </c>
      <c r="M201" s="20" t="str">
        <f t="shared" si="67"/>
        <v>Distrital</v>
      </c>
      <c r="N201" s="20" t="str">
        <f t="shared" si="68"/>
        <v>Distrital</v>
      </c>
      <c r="O201" s="20" t="str">
        <f t="shared" si="69"/>
        <v>NO</v>
      </c>
      <c r="P201" s="20" t="str">
        <f t="shared" si="70"/>
        <v>No aplica</v>
      </c>
      <c r="Q201" s="20">
        <f t="shared" si="71"/>
        <v>0</v>
      </c>
      <c r="R201" s="20">
        <f t="shared" si="72"/>
        <v>4</v>
      </c>
      <c r="S201" s="20" t="str">
        <f t="shared" si="73"/>
        <v>Plan de Acción de Regalías, Documento de la Estrategia y Evento de Audiencia para el 29 de abril</v>
      </c>
      <c r="T201" s="20">
        <f t="shared" si="18"/>
        <v>1</v>
      </c>
      <c r="U201" s="20" t="str">
        <f t="shared" ca="1" si="19"/>
        <v>Realizada</v>
      </c>
      <c r="V201" s="20"/>
      <c r="W201" s="20"/>
      <c r="X201" s="20"/>
      <c r="Y201" s="20"/>
    </row>
    <row r="202" spans="1:25" ht="37.5">
      <c r="A202" s="20">
        <v>243</v>
      </c>
      <c r="B202" s="20" t="str">
        <f t="shared" si="56"/>
        <v>Jornada Pégate al Plan: Pedagogía ciudadana para el manejo de la herramienta chatico - Universidad Nacional</v>
      </c>
      <c r="C202" s="21">
        <f t="shared" si="57"/>
        <v>45390</v>
      </c>
      <c r="D202" s="20" t="str">
        <f t="shared" si="58"/>
        <v>OPDC</v>
      </c>
      <c r="E202" s="20" t="str">
        <f t="shared" si="59"/>
        <v>NO</v>
      </c>
      <c r="F202" s="20" t="str">
        <f t="shared" si="60"/>
        <v>Plan Distrital de Desarrollo</v>
      </c>
      <c r="G202" s="20" t="str">
        <f t="shared" si="61"/>
        <v>Presencial</v>
      </c>
      <c r="H202" s="20" t="str">
        <f t="shared" si="62"/>
        <v>Identificar las propuestas ciudadanas para la formulación del Plan de Desarrollo Distrital.</v>
      </c>
      <c r="I202" s="20" t="str">
        <f t="shared" si="63"/>
        <v>Mecanismo de Consulta Ciudadana</v>
      </c>
      <c r="J202" s="20" t="str">
        <f t="shared" si="64"/>
        <v>Multiactor</v>
      </c>
      <c r="K202" s="20">
        <f t="shared" si="65"/>
        <v>0</v>
      </c>
      <c r="L202" s="20" t="str">
        <f t="shared" si="66"/>
        <v>Teusaquillo</v>
      </c>
      <c r="M202" s="20" t="str">
        <f t="shared" si="67"/>
        <v>Centro Ampliado</v>
      </c>
      <c r="N202" s="20" t="str">
        <f t="shared" si="68"/>
        <v>Teusaquillo</v>
      </c>
      <c r="O202" s="20" t="str">
        <f t="shared" si="69"/>
        <v>SÍ</v>
      </c>
      <c r="P202" s="20" t="str">
        <f t="shared" si="70"/>
        <v>Fase II: Aspiraciones Comunes</v>
      </c>
      <c r="Q202" s="20">
        <f t="shared" si="71"/>
        <v>74</v>
      </c>
      <c r="R202" s="20">
        <f t="shared" si="72"/>
        <v>10</v>
      </c>
      <c r="S202" s="20" t="str">
        <f t="shared" si="73"/>
        <v xml:space="preserve">  Propuestas ciudadanas para la construcción del plan distrital de desarrollo</v>
      </c>
      <c r="T202" s="20">
        <f t="shared" si="18"/>
        <v>1</v>
      </c>
      <c r="U202" s="20" t="str">
        <f t="shared" ca="1" si="19"/>
        <v>Realizada</v>
      </c>
      <c r="V202" s="20"/>
      <c r="W202" s="20"/>
      <c r="X202" s="20"/>
      <c r="Y202" s="20"/>
    </row>
    <row r="203" spans="1:25" ht="37.5">
      <c r="A203" s="20">
        <v>244</v>
      </c>
      <c r="B203" s="20" t="str">
        <f t="shared" si="56"/>
        <v>Dialogo Ciudadano -Mesa de Víctimas Indígenas del Conflicto Armado</v>
      </c>
      <c r="C203" s="21">
        <f t="shared" si="57"/>
        <v>45390</v>
      </c>
      <c r="D203" s="20" t="str">
        <f t="shared" si="58"/>
        <v>OPDC</v>
      </c>
      <c r="E203" s="20" t="str">
        <f t="shared" si="59"/>
        <v>NO</v>
      </c>
      <c r="F203" s="20" t="str">
        <f t="shared" si="60"/>
        <v>Plan Distrital de Desarrollo</v>
      </c>
      <c r="G203" s="20" t="str">
        <f t="shared" si="61"/>
        <v>Presencial</v>
      </c>
      <c r="H203" s="20" t="str">
        <f t="shared" si="62"/>
        <v>Analizar las proupuestas de la Mesa en el marco del PDD</v>
      </c>
      <c r="I203" s="20" t="str">
        <f t="shared" si="63"/>
        <v>Mecanismo de Diálogo</v>
      </c>
      <c r="J203" s="20" t="str">
        <f t="shared" si="64"/>
        <v>Comunitario</v>
      </c>
      <c r="K203" s="20">
        <f t="shared" si="65"/>
        <v>0</v>
      </c>
      <c r="L203" s="20" t="str">
        <f t="shared" si="66"/>
        <v>Distrital</v>
      </c>
      <c r="M203" s="20" t="str">
        <f t="shared" si="67"/>
        <v>Distrital</v>
      </c>
      <c r="N203" s="20" t="str">
        <f t="shared" si="68"/>
        <v>Distrital</v>
      </c>
      <c r="O203" s="20" t="str">
        <f t="shared" si="69"/>
        <v>SÍ</v>
      </c>
      <c r="P203" s="20" t="str">
        <f t="shared" si="70"/>
        <v>Fase II: Aspiraciones Comunes</v>
      </c>
      <c r="Q203" s="20">
        <f t="shared" si="71"/>
        <v>15</v>
      </c>
      <c r="R203" s="20">
        <f t="shared" si="72"/>
        <v>1</v>
      </c>
      <c r="S203" s="20" t="str">
        <f t="shared" si="73"/>
        <v>Propuestas de la MIV al PDD</v>
      </c>
      <c r="T203" s="20">
        <f t="shared" si="18"/>
        <v>1</v>
      </c>
      <c r="U203" s="20" t="str">
        <f t="shared" ca="1" si="19"/>
        <v>Realizada</v>
      </c>
      <c r="V203" s="20"/>
      <c r="W203" s="20"/>
      <c r="X203" s="20"/>
      <c r="Y203" s="20"/>
    </row>
    <row r="204" spans="1:25" ht="49.5">
      <c r="A204" s="20">
        <v>245</v>
      </c>
      <c r="B204" s="20" t="str">
        <f t="shared" si="56"/>
        <v>Gestión: socialización ruta de trabajo grupos étnicos PDD al Concejal Oscar Bastidas</v>
      </c>
      <c r="C204" s="21">
        <f t="shared" si="57"/>
        <v>45390</v>
      </c>
      <c r="D204" s="20" t="str">
        <f t="shared" si="58"/>
        <v>OPDC</v>
      </c>
      <c r="E204" s="20" t="str">
        <f t="shared" si="59"/>
        <v>NO</v>
      </c>
      <c r="F204" s="20" t="str">
        <f t="shared" si="60"/>
        <v>Plan Distrital de Desarrollo</v>
      </c>
      <c r="G204" s="20" t="str">
        <f t="shared" si="61"/>
        <v>Presencial</v>
      </c>
      <c r="H204" s="20" t="str">
        <f t="shared" si="62"/>
        <v>Socializar la ruta de trabajo desarrollada con los grupos étnicos en Bogotá en el marco de la formulación del PDD</v>
      </c>
      <c r="I204" s="20" t="str">
        <f t="shared" si="63"/>
        <v>Mecanismo de Comunicación para la Participación</v>
      </c>
      <c r="J204" s="20" t="str">
        <f t="shared" si="64"/>
        <v>Público</v>
      </c>
      <c r="K204" s="20">
        <f t="shared" si="65"/>
        <v>0</v>
      </c>
      <c r="L204" s="20" t="str">
        <f t="shared" si="66"/>
        <v>Distrital</v>
      </c>
      <c r="M204" s="20" t="str">
        <f t="shared" si="67"/>
        <v>Distrital</v>
      </c>
      <c r="N204" s="20" t="str">
        <f t="shared" si="68"/>
        <v>Distrital</v>
      </c>
      <c r="O204" s="20" t="str">
        <f t="shared" si="69"/>
        <v>SÍ</v>
      </c>
      <c r="P204" s="20" t="str">
        <f t="shared" si="70"/>
        <v>Gestión interinstitucional</v>
      </c>
      <c r="Q204" s="20">
        <f t="shared" si="71"/>
        <v>5</v>
      </c>
      <c r="R204" s="20">
        <f t="shared" si="72"/>
        <v>3</v>
      </c>
      <c r="S204" s="20" t="str">
        <f t="shared" si="73"/>
        <v>Ruta de la participación de los grupos étnicos en torno a la formulación del Plan Distrital de Desarrollo</v>
      </c>
      <c r="T204" s="20">
        <f t="shared" si="18"/>
        <v>1</v>
      </c>
      <c r="U204" s="20" t="str">
        <f t="shared" ca="1" si="19"/>
        <v>Realizada</v>
      </c>
      <c r="V204" s="20"/>
      <c r="W204" s="20"/>
      <c r="X204" s="20"/>
      <c r="Y204" s="20"/>
    </row>
    <row r="205" spans="1:25" ht="49.5">
      <c r="A205" s="20">
        <v>246</v>
      </c>
      <c r="B205" s="20" t="str">
        <f t="shared" si="56"/>
        <v>Vortako Consejo Consultivo Rrom</v>
      </c>
      <c r="C205" s="21">
        <f t="shared" si="57"/>
        <v>45390</v>
      </c>
      <c r="D205" s="20" t="str">
        <f t="shared" si="58"/>
        <v>OPDC</v>
      </c>
      <c r="E205" s="20" t="str">
        <f t="shared" si="59"/>
        <v>NO</v>
      </c>
      <c r="F205" s="20" t="str">
        <f t="shared" si="60"/>
        <v>Plan Distrital de Desarrollo</v>
      </c>
      <c r="G205" s="20" t="str">
        <f t="shared" si="61"/>
        <v>Virtual</v>
      </c>
      <c r="H205" s="20" t="str">
        <f t="shared" si="62"/>
        <v>Verificación del diligenciamiento de la matriz de armonización de los productos de Política Pública y Plan Distrital de Desarrollo.</v>
      </c>
      <c r="I205" s="20" t="str">
        <f t="shared" si="63"/>
        <v>Gestión Institucional</v>
      </c>
      <c r="J205" s="20" t="str">
        <f t="shared" si="64"/>
        <v>Comunitario</v>
      </c>
      <c r="K205" s="20" t="str">
        <f t="shared" si="65"/>
        <v>Consejo Consultivo</v>
      </c>
      <c r="L205" s="20" t="str">
        <f t="shared" si="66"/>
        <v>Distrital</v>
      </c>
      <c r="M205" s="20" t="str">
        <f t="shared" si="67"/>
        <v>Distrital</v>
      </c>
      <c r="N205" s="20" t="str">
        <f t="shared" si="68"/>
        <v>Distrital</v>
      </c>
      <c r="O205" s="20" t="str">
        <f t="shared" si="69"/>
        <v>SÍ</v>
      </c>
      <c r="P205" s="20" t="str">
        <f t="shared" si="70"/>
        <v>Gestión interinstitucional</v>
      </c>
      <c r="Q205" s="20">
        <f t="shared" si="71"/>
        <v>190</v>
      </c>
      <c r="R205" s="20">
        <f t="shared" si="72"/>
        <v>6</v>
      </c>
      <c r="S205" s="20" t="str">
        <f t="shared" si="73"/>
        <v>Vortako de verificación productos de politica pública en PDD</v>
      </c>
      <c r="T205" s="20">
        <f t="shared" si="18"/>
        <v>1</v>
      </c>
      <c r="U205" s="20" t="str">
        <f t="shared" ca="1" si="19"/>
        <v>Realizada</v>
      </c>
      <c r="V205" s="20"/>
      <c r="W205" s="20"/>
      <c r="X205" s="20"/>
      <c r="Y205" s="20"/>
    </row>
    <row r="206" spans="1:25" ht="49.5">
      <c r="A206" s="20">
        <v>247</v>
      </c>
      <c r="B206" s="20" t="str">
        <f t="shared" si="56"/>
        <v>Diálogo Ciudadano para la Construcción del PDD - UPL Usaquén</v>
      </c>
      <c r="C206" s="21">
        <f t="shared" si="57"/>
        <v>45390</v>
      </c>
      <c r="D206" s="20" t="str">
        <f t="shared" si="58"/>
        <v>OPDC</v>
      </c>
      <c r="E206" s="20" t="str">
        <f t="shared" si="59"/>
        <v>NO</v>
      </c>
      <c r="F206" s="20" t="str">
        <f t="shared" si="60"/>
        <v>Plan Distrital de Desarrollo</v>
      </c>
      <c r="G206" s="20" t="str">
        <f t="shared" si="61"/>
        <v>Presencial</v>
      </c>
      <c r="H206" s="20" t="str">
        <f t="shared" si="62"/>
        <v>Identificar las propuestas ciudadanas para la formulación del Plan de Desarrollo Distrital</v>
      </c>
      <c r="I206" s="20" t="str">
        <f t="shared" si="63"/>
        <v>Mecanismo de Diálogo</v>
      </c>
      <c r="J206" s="20" t="str">
        <f t="shared" si="64"/>
        <v>Multiactor</v>
      </c>
      <c r="K206" s="20">
        <f t="shared" si="65"/>
        <v>0</v>
      </c>
      <c r="L206" s="20" t="str">
        <f t="shared" si="66"/>
        <v>Usaquén</v>
      </c>
      <c r="M206" s="20" t="str">
        <f t="shared" si="67"/>
        <v>Norte</v>
      </c>
      <c r="N206" s="20" t="str">
        <f t="shared" si="68"/>
        <v>Usaquén</v>
      </c>
      <c r="O206" s="20" t="str">
        <f t="shared" si="69"/>
        <v>SÍ</v>
      </c>
      <c r="P206" s="20" t="str">
        <f t="shared" si="70"/>
        <v>Fase II: Aspiraciones Comunes</v>
      </c>
      <c r="Q206" s="20">
        <f t="shared" si="71"/>
        <v>51</v>
      </c>
      <c r="R206" s="20">
        <f t="shared" si="72"/>
        <v>13</v>
      </c>
      <c r="S206" s="20" t="str">
        <f t="shared" si="73"/>
        <v xml:space="preserve">Priorización y diligenciamiento de nuevas propuestas para la formulación del Plan Distrital de formulación dentro de los 5 objetivos estratégicos </v>
      </c>
      <c r="T206" s="20">
        <f t="shared" si="18"/>
        <v>1</v>
      </c>
      <c r="U206" s="20" t="str">
        <f t="shared" ca="1" si="19"/>
        <v>Realizada</v>
      </c>
      <c r="V206" s="20"/>
      <c r="W206" s="20"/>
      <c r="X206" s="20"/>
      <c r="Y206" s="20"/>
    </row>
    <row r="207" spans="1:25" ht="37.5">
      <c r="A207" s="20">
        <v>248</v>
      </c>
      <c r="B207" s="20" t="str">
        <f t="shared" si="56"/>
        <v>Dialogo Ciudadano para la Construcción del PDD - UPL Tintal</v>
      </c>
      <c r="C207" s="21">
        <f t="shared" si="57"/>
        <v>45390</v>
      </c>
      <c r="D207" s="20" t="str">
        <f t="shared" si="58"/>
        <v>OPDC</v>
      </c>
      <c r="E207" s="20" t="str">
        <f t="shared" si="59"/>
        <v>NO</v>
      </c>
      <c r="F207" s="20" t="str">
        <f t="shared" si="60"/>
        <v>Plan Distrital de Desarrollo</v>
      </c>
      <c r="G207" s="20" t="str">
        <f t="shared" si="61"/>
        <v>Presencial</v>
      </c>
      <c r="H207" s="20" t="str">
        <f t="shared" si="62"/>
        <v>Identificar las propuestas ciudadanas para la formulación del Plan de Desarrollo Distrital.</v>
      </c>
      <c r="I207" s="20" t="str">
        <f t="shared" si="63"/>
        <v>Mecanismo de Diálogo</v>
      </c>
      <c r="J207" s="20" t="str">
        <f t="shared" si="64"/>
        <v>Multiactor</v>
      </c>
      <c r="K207" s="20">
        <f t="shared" si="65"/>
        <v>0</v>
      </c>
      <c r="L207" s="20" t="str">
        <f t="shared" si="66"/>
        <v>Kennedy</v>
      </c>
      <c r="M207" s="20" t="str">
        <f t="shared" si="67"/>
        <v>Suroccidente</v>
      </c>
      <c r="N207" s="20" t="str">
        <f t="shared" si="68"/>
        <v>Tintal</v>
      </c>
      <c r="O207" s="20" t="str">
        <f t="shared" si="69"/>
        <v>SÍ</v>
      </c>
      <c r="P207" s="20" t="str">
        <f t="shared" si="70"/>
        <v>Fase II: Aspiraciones Comunes</v>
      </c>
      <c r="Q207" s="20">
        <f t="shared" si="71"/>
        <v>60</v>
      </c>
      <c r="R207" s="20">
        <f t="shared" si="72"/>
        <v>17</v>
      </c>
      <c r="S207" s="20" t="str">
        <f t="shared" si="73"/>
        <v xml:space="preserve">Segunda fase de formulación del Plan Distristal de Desarrollo, recolección de propuestas, pedagogía de la plataforma chatico   </v>
      </c>
      <c r="T207" s="20">
        <f t="shared" si="18"/>
        <v>1</v>
      </c>
      <c r="U207" s="20" t="str">
        <f t="shared" ca="1" si="19"/>
        <v>Realizada</v>
      </c>
      <c r="V207" s="20"/>
      <c r="W207" s="20"/>
      <c r="X207" s="20"/>
      <c r="Y207" s="20"/>
    </row>
    <row r="208" spans="1:25" ht="61.5">
      <c r="A208" s="20">
        <v>249</v>
      </c>
      <c r="B208" s="20" t="str">
        <f t="shared" si="56"/>
        <v>Reunión Junta Directiva del CTPD</v>
      </c>
      <c r="C208" s="21">
        <f t="shared" si="57"/>
        <v>45390</v>
      </c>
      <c r="D208" s="20" t="str">
        <f t="shared" si="58"/>
        <v>INSTANCIAS</v>
      </c>
      <c r="E208" s="20" t="str">
        <f t="shared" si="59"/>
        <v>NO</v>
      </c>
      <c r="F208" s="20" t="str">
        <f t="shared" si="60"/>
        <v>CTPD (Consejo Territorial de Planeación Distrital)</v>
      </c>
      <c r="G208" s="20" t="str">
        <f t="shared" si="61"/>
        <v>Virtual</v>
      </c>
      <c r="H208" s="20" t="str">
        <f t="shared" si="62"/>
        <v>Organización y solicitud de mesas de trabajo - Revisión de requerimientos y solicitudes de consejeros al correo del CTPD y Comité técnico de seguimiento - convenio con UNAD</v>
      </c>
      <c r="I208" s="20" t="str">
        <f t="shared" si="63"/>
        <v>Mecanismo de Seguimiento y Evaluación</v>
      </c>
      <c r="J208" s="20" t="str">
        <f t="shared" si="64"/>
        <v>Comunitario</v>
      </c>
      <c r="K208" s="20" t="str">
        <f t="shared" si="65"/>
        <v>CTPD</v>
      </c>
      <c r="L208" s="20" t="str">
        <f t="shared" si="66"/>
        <v>Distrital</v>
      </c>
      <c r="M208" s="20" t="str">
        <f t="shared" si="67"/>
        <v>Distrital</v>
      </c>
      <c r="N208" s="20" t="str">
        <f t="shared" si="68"/>
        <v>Distrital</v>
      </c>
      <c r="O208" s="20" t="str">
        <f t="shared" si="69"/>
        <v>NO</v>
      </c>
      <c r="P208" s="20" t="str">
        <f t="shared" si="70"/>
        <v>No aplica</v>
      </c>
      <c r="Q208" s="20">
        <f t="shared" si="71"/>
        <v>3</v>
      </c>
      <c r="R208" s="20">
        <f t="shared" si="72"/>
        <v>1</v>
      </c>
      <c r="S208" s="20" t="str">
        <f t="shared" si="73"/>
        <v>Organización y solicitud de mesas de trabajo , Revisión de requerimientos y solicitudes de consejeros al correo del CTPD , Comité técnico de seguimiento - convenio con UNAD</v>
      </c>
      <c r="T208" s="20">
        <f t="shared" si="18"/>
        <v>1</v>
      </c>
      <c r="U208" s="20" t="str">
        <f t="shared" ca="1" si="19"/>
        <v>Realizada</v>
      </c>
      <c r="V208" s="20"/>
      <c r="W208" s="20"/>
      <c r="X208" s="20"/>
      <c r="Y208" s="20"/>
    </row>
    <row r="209" spans="1:25" ht="49.5">
      <c r="A209" s="20">
        <v>250</v>
      </c>
      <c r="B209" s="20" t="str">
        <f t="shared" si="56"/>
        <v>Diálogo Ciudadano Poblacional para la Construcción del PDD - Vendedores informales</v>
      </c>
      <c r="C209" s="21">
        <f t="shared" si="57"/>
        <v>45390</v>
      </c>
      <c r="D209" s="20" t="str">
        <f t="shared" si="58"/>
        <v>OPDC</v>
      </c>
      <c r="E209" s="20" t="str">
        <f t="shared" si="59"/>
        <v>NO</v>
      </c>
      <c r="F209" s="20" t="str">
        <f t="shared" si="60"/>
        <v>Plan Distrital de Desarrollo</v>
      </c>
      <c r="G209" s="20" t="str">
        <f t="shared" si="61"/>
        <v>Virtual</v>
      </c>
      <c r="H209" s="20" t="str">
        <f t="shared" si="62"/>
        <v>Identificar las propuestas ciudadanas para la formulación del Plan Distrital de Desarrollo por parte de Vendedores Informalles</v>
      </c>
      <c r="I209" s="20" t="str">
        <f t="shared" si="63"/>
        <v>Mecanismo de Diálogo</v>
      </c>
      <c r="J209" s="20" t="str">
        <f t="shared" si="64"/>
        <v>Multiactor</v>
      </c>
      <c r="K209" s="20">
        <f t="shared" si="65"/>
        <v>0</v>
      </c>
      <c r="L209" s="20" t="str">
        <f t="shared" si="66"/>
        <v>Distrital</v>
      </c>
      <c r="M209" s="20" t="str">
        <f t="shared" si="67"/>
        <v>Distrital</v>
      </c>
      <c r="N209" s="20" t="str">
        <f t="shared" si="68"/>
        <v>Distrital</v>
      </c>
      <c r="O209" s="20" t="str">
        <f t="shared" si="69"/>
        <v>SÍ</v>
      </c>
      <c r="P209" s="20" t="str">
        <f t="shared" si="70"/>
        <v>Fase II: Aspiraciones Comunes</v>
      </c>
      <c r="Q209" s="20">
        <f t="shared" si="71"/>
        <v>4</v>
      </c>
      <c r="R209" s="20">
        <f t="shared" si="72"/>
        <v>3</v>
      </c>
      <c r="S209" s="20" t="str">
        <f t="shared" si="73"/>
        <v>Propuestas para la formulación del PDD</v>
      </c>
      <c r="T209" s="20">
        <f t="shared" si="18"/>
        <v>1</v>
      </c>
      <c r="U209" s="20" t="str">
        <f t="shared" ca="1" si="19"/>
        <v>Realizada</v>
      </c>
      <c r="V209" s="20"/>
      <c r="W209" s="20"/>
      <c r="X209" s="20"/>
      <c r="Y209" s="20"/>
    </row>
    <row r="210" spans="1:25" ht="37.5">
      <c r="A210" s="20">
        <v>251</v>
      </c>
      <c r="B210" s="20" t="str">
        <f t="shared" si="56"/>
        <v>Jornada Pégate al Plan: Pedagogía ciudadana para el manejo de la herramienta chatico -Universidad UNINPAHU</v>
      </c>
      <c r="C210" s="21">
        <f t="shared" si="57"/>
        <v>45391</v>
      </c>
      <c r="D210" s="20" t="str">
        <f t="shared" si="58"/>
        <v>OPDC</v>
      </c>
      <c r="E210" s="20" t="str">
        <f t="shared" si="59"/>
        <v>NO</v>
      </c>
      <c r="F210" s="20" t="str">
        <f t="shared" si="60"/>
        <v>Plan Distrital de Desarrollo</v>
      </c>
      <c r="G210" s="20" t="str">
        <f t="shared" si="61"/>
        <v>Presencial</v>
      </c>
      <c r="H210" s="20" t="str">
        <f t="shared" si="62"/>
        <v>Identificar las propuestas ciudadanas para la formulación del Plan de Desarrollo Distrital</v>
      </c>
      <c r="I210" s="20" t="str">
        <f t="shared" si="63"/>
        <v>Mecanismo de Consulta Ciudadana</v>
      </c>
      <c r="J210" s="20" t="str">
        <f t="shared" si="64"/>
        <v>Multiactor</v>
      </c>
      <c r="K210" s="20">
        <f t="shared" si="65"/>
        <v>0</v>
      </c>
      <c r="L210" s="20" t="str">
        <f t="shared" si="66"/>
        <v>Teusaquillo</v>
      </c>
      <c r="M210" s="20" t="str">
        <f t="shared" si="67"/>
        <v>Centro Ampliado</v>
      </c>
      <c r="N210" s="20" t="str">
        <f t="shared" si="68"/>
        <v>Teusaquillo</v>
      </c>
      <c r="O210" s="20" t="str">
        <f t="shared" si="69"/>
        <v>SÍ</v>
      </c>
      <c r="P210" s="20" t="str">
        <f t="shared" si="70"/>
        <v>Fase II: Aspiraciones Comunes</v>
      </c>
      <c r="Q210" s="20">
        <f t="shared" si="71"/>
        <v>51</v>
      </c>
      <c r="R210" s="20">
        <f t="shared" si="72"/>
        <v>9</v>
      </c>
      <c r="S210" s="20" t="str">
        <f t="shared" si="73"/>
        <v>Identificación de las propuestas ciudadanas para la formulación del Plan de Desarrollo Distrital</v>
      </c>
      <c r="T210" s="20">
        <f t="shared" si="18"/>
        <v>1</v>
      </c>
      <c r="U210" s="20" t="str">
        <f t="shared" ca="1" si="19"/>
        <v>Realizada</v>
      </c>
      <c r="V210" s="20"/>
      <c r="W210" s="20"/>
      <c r="X210" s="20"/>
      <c r="Y210" s="20"/>
    </row>
    <row r="211" spans="1:25" ht="37.5">
      <c r="A211" s="20">
        <v>252</v>
      </c>
      <c r="B211" s="20" t="str">
        <f t="shared" si="56"/>
        <v>Jornada Pégate al Plan: Pedagogía ciudadana para el manejo de la herramienta chatico -Universidad UNAD</v>
      </c>
      <c r="C211" s="21">
        <f t="shared" si="57"/>
        <v>45391</v>
      </c>
      <c r="D211" s="20" t="str">
        <f t="shared" si="58"/>
        <v>OPDC</v>
      </c>
      <c r="E211" s="20" t="str">
        <f t="shared" si="59"/>
        <v>NO</v>
      </c>
      <c r="F211" s="20" t="str">
        <f t="shared" si="60"/>
        <v>Plan Distrital de Desarrollo</v>
      </c>
      <c r="G211" s="20" t="str">
        <f t="shared" si="61"/>
        <v>Presencial</v>
      </c>
      <c r="H211" s="20" t="str">
        <f t="shared" si="62"/>
        <v>Identificar las propuestas ciudadanas para la formulación del Plan de Desarrollo Distrital</v>
      </c>
      <c r="I211" s="20" t="str">
        <f t="shared" si="63"/>
        <v>Mecanismo de Consulta Ciudadana</v>
      </c>
      <c r="J211" s="20" t="str">
        <f t="shared" si="64"/>
        <v>Multiactor</v>
      </c>
      <c r="K211" s="20">
        <f t="shared" si="65"/>
        <v>0</v>
      </c>
      <c r="L211" s="20" t="str">
        <f t="shared" si="66"/>
        <v>Antonio Nariño</v>
      </c>
      <c r="M211" s="20" t="str">
        <f t="shared" si="67"/>
        <v>Centro Ampliado</v>
      </c>
      <c r="N211" s="20" t="str">
        <f t="shared" si="68"/>
        <v>Restrepo</v>
      </c>
      <c r="O211" s="20" t="str">
        <f t="shared" si="69"/>
        <v>SÍ</v>
      </c>
      <c r="P211" s="20" t="str">
        <f t="shared" si="70"/>
        <v>Fase II: Aspiraciones Comunes</v>
      </c>
      <c r="Q211" s="20">
        <f t="shared" si="71"/>
        <v>50</v>
      </c>
      <c r="R211" s="20">
        <f t="shared" si="72"/>
        <v>8</v>
      </c>
      <c r="S211" s="20" t="str">
        <f t="shared" si="73"/>
        <v>Objetivos Plan Distrital de Desarrollo, Recolección propuestas</v>
      </c>
      <c r="T211" s="20">
        <f t="shared" si="18"/>
        <v>1</v>
      </c>
      <c r="U211" s="20" t="str">
        <f t="shared" ca="1" si="19"/>
        <v>Realizada</v>
      </c>
      <c r="V211" s="20"/>
      <c r="W211" s="20"/>
      <c r="X211" s="20"/>
      <c r="Y211" s="20"/>
    </row>
    <row r="212" spans="1:25" ht="61.5">
      <c r="A212" s="20">
        <v>253</v>
      </c>
      <c r="B212" s="20" t="str">
        <f t="shared" si="56"/>
        <v xml:space="preserve">II Diálogo Ciudadano Poblacional para la Construcción del PDD - Consultiva Indígena </v>
      </c>
      <c r="C212" s="21">
        <f t="shared" si="57"/>
        <v>45391</v>
      </c>
      <c r="D212" s="20" t="str">
        <f t="shared" si="58"/>
        <v>OPDC</v>
      </c>
      <c r="E212" s="20" t="str">
        <f t="shared" si="59"/>
        <v>NO</v>
      </c>
      <c r="F212" s="20" t="str">
        <f t="shared" si="60"/>
        <v>Plan Distrital de Desarrollo</v>
      </c>
      <c r="G212" s="20" t="str">
        <f t="shared" si="61"/>
        <v>Presencial</v>
      </c>
      <c r="H212" s="20" t="str">
        <f t="shared" si="62"/>
        <v xml:space="preserve">Recoger los aportes de los Pueblos Indígenas en el marco de la fase de aspiraciones comunes de la planeacion participativa del Plan Distrital de Desarrollo </v>
      </c>
      <c r="I212" s="20" t="str">
        <f t="shared" si="63"/>
        <v>Mecanismo de Diálogo</v>
      </c>
      <c r="J212" s="20" t="str">
        <f t="shared" si="64"/>
        <v>Comunitario</v>
      </c>
      <c r="K212" s="20" t="str">
        <f t="shared" si="65"/>
        <v>Consejo Consultivo</v>
      </c>
      <c r="L212" s="20" t="str">
        <f t="shared" si="66"/>
        <v>Distrital</v>
      </c>
      <c r="M212" s="20" t="str">
        <f t="shared" si="67"/>
        <v>Distrital</v>
      </c>
      <c r="N212" s="20" t="str">
        <f t="shared" si="68"/>
        <v>Distrital</v>
      </c>
      <c r="O212" s="20" t="str">
        <f t="shared" si="69"/>
        <v>SÍ</v>
      </c>
      <c r="P212" s="20" t="str">
        <f t="shared" si="70"/>
        <v>Fase II: Aspiraciones Comunes</v>
      </c>
      <c r="Q212" s="20">
        <f t="shared" si="71"/>
        <v>15</v>
      </c>
      <c r="R212" s="20">
        <f t="shared" si="72"/>
        <v>4</v>
      </c>
      <c r="S212" s="20" t="str">
        <f t="shared" si="73"/>
        <v>Plan Distrital de Desarrollo; Consultiva de Pueblos Insigenss; Conpes 37</v>
      </c>
      <c r="T212" s="20">
        <f t="shared" si="18"/>
        <v>1</v>
      </c>
      <c r="U212" s="20" t="str">
        <f t="shared" ca="1" si="19"/>
        <v>Realizada</v>
      </c>
      <c r="V212" s="20"/>
      <c r="W212" s="20"/>
      <c r="X212" s="20"/>
      <c r="Y212" s="20"/>
    </row>
    <row r="213" spans="1:25" ht="49.5">
      <c r="A213" s="20">
        <v>254</v>
      </c>
      <c r="B213" s="20" t="str">
        <f t="shared" si="56"/>
        <v>Pedagogía ciudadana para el manejo de la herramienta chatico -JAL Usaquén</v>
      </c>
      <c r="C213" s="21">
        <f t="shared" si="57"/>
        <v>45391</v>
      </c>
      <c r="D213" s="20" t="str">
        <f t="shared" si="58"/>
        <v>OPDC</v>
      </c>
      <c r="E213" s="20" t="str">
        <f t="shared" si="59"/>
        <v>NO</v>
      </c>
      <c r="F213" s="20" t="str">
        <f t="shared" si="60"/>
        <v>Plan Distrital de Desarrollo</v>
      </c>
      <c r="G213" s="20" t="str">
        <f t="shared" si="61"/>
        <v>Presencial</v>
      </c>
      <c r="H213" s="20" t="str">
        <f t="shared" si="62"/>
        <v>Realizar un espacio pedagógico con la JAL de la localidad de Usaquén sobre la herramienta Chatico para participar en la formulación del PDD.</v>
      </c>
      <c r="I213" s="20" t="str">
        <f t="shared" si="63"/>
        <v>Mecanismo de Consulta Ciudadana</v>
      </c>
      <c r="J213" s="20" t="str">
        <f t="shared" si="64"/>
        <v>Comunitario</v>
      </c>
      <c r="K213" s="20" t="str">
        <f t="shared" si="65"/>
        <v>JAL</v>
      </c>
      <c r="L213" s="20" t="str">
        <f t="shared" si="66"/>
        <v>Usaquén</v>
      </c>
      <c r="M213" s="20" t="str">
        <f t="shared" si="67"/>
        <v>Norte</v>
      </c>
      <c r="N213" s="20" t="str">
        <f t="shared" si="68"/>
        <v>Usaquén</v>
      </c>
      <c r="O213" s="20" t="str">
        <f t="shared" si="69"/>
        <v>SÍ</v>
      </c>
      <c r="P213" s="20" t="str">
        <f t="shared" si="70"/>
        <v>Gestión interinstitucional</v>
      </c>
      <c r="Q213" s="20">
        <f t="shared" si="71"/>
        <v>10</v>
      </c>
      <c r="R213" s="20">
        <f t="shared" si="72"/>
        <v>2</v>
      </c>
      <c r="S213" s="20" t="str">
        <f t="shared" si="73"/>
        <v xml:space="preserve">Fases para la estrategia de participación del PDD, explicación de los 5 objetivos estratégicos  sus programas,  preguntas y respuestas del proceso adelantado por la SDP </v>
      </c>
      <c r="T213" s="20">
        <f t="shared" si="18"/>
        <v>1</v>
      </c>
      <c r="U213" s="20" t="str">
        <f t="shared" ca="1" si="19"/>
        <v>Realizada</v>
      </c>
      <c r="V213" s="20"/>
      <c r="W213" s="20"/>
      <c r="X213" s="20"/>
      <c r="Y213" s="20"/>
    </row>
    <row r="214" spans="1:25" ht="37.5">
      <c r="A214" s="20">
        <v>255</v>
      </c>
      <c r="B214" s="20" t="str">
        <f t="shared" si="56"/>
        <v>Pedagogía ciudadana para el manejo de la herramienta chatico -JAL  Kennedy</v>
      </c>
      <c r="C214" s="21">
        <f t="shared" si="57"/>
        <v>45391</v>
      </c>
      <c r="D214" s="20" t="str">
        <f t="shared" si="58"/>
        <v>OPDC</v>
      </c>
      <c r="E214" s="20" t="str">
        <f t="shared" si="59"/>
        <v>NO</v>
      </c>
      <c r="F214" s="20" t="str">
        <f t="shared" si="60"/>
        <v>Plan Distrital de Desarrollo</v>
      </c>
      <c r="G214" s="20" t="str">
        <f t="shared" si="61"/>
        <v>Presencial</v>
      </c>
      <c r="H214" s="20" t="str">
        <f t="shared" si="62"/>
        <v>Presentar la propuesta de formulación del PDD</v>
      </c>
      <c r="I214" s="20" t="str">
        <f t="shared" si="63"/>
        <v>Mecanismo de Consulta Ciudadana</v>
      </c>
      <c r="J214" s="20" t="str">
        <f t="shared" si="64"/>
        <v>Comunitario</v>
      </c>
      <c r="K214" s="20" t="str">
        <f t="shared" si="65"/>
        <v>JAL</v>
      </c>
      <c r="L214" s="20" t="str">
        <f t="shared" si="66"/>
        <v>Kennedy</v>
      </c>
      <c r="M214" s="20" t="str">
        <f t="shared" si="67"/>
        <v>Suroccidente</v>
      </c>
      <c r="N214" s="20" t="str">
        <f t="shared" si="68"/>
        <v>Kennedy, Edén, Patio Bonito, Tintal</v>
      </c>
      <c r="O214" s="20" t="str">
        <f t="shared" si="69"/>
        <v>SÍ</v>
      </c>
      <c r="P214" s="20" t="str">
        <f t="shared" si="70"/>
        <v>Gestión interinstitucional</v>
      </c>
      <c r="Q214" s="20">
        <f t="shared" si="71"/>
        <v>10</v>
      </c>
      <c r="R214" s="20">
        <f t="shared" si="72"/>
        <v>1</v>
      </c>
      <c r="S214" s="20" t="str">
        <f t="shared" si="73"/>
        <v>Fase de la  formulación del PDD</v>
      </c>
      <c r="T214" s="20">
        <f t="shared" si="18"/>
        <v>1</v>
      </c>
      <c r="U214" s="20" t="str">
        <f t="shared" ca="1" si="19"/>
        <v>Realizada</v>
      </c>
      <c r="V214" s="20"/>
      <c r="W214" s="20"/>
      <c r="X214" s="20"/>
      <c r="Y214" s="20"/>
    </row>
    <row r="215" spans="1:25" ht="37.5">
      <c r="A215" s="20">
        <v>256</v>
      </c>
      <c r="B215" s="20" t="str">
        <f t="shared" si="56"/>
        <v>Diálogo Ciudadano para la Construcción del PDD -  Veedurías Ciudadanas</v>
      </c>
      <c r="C215" s="21">
        <f t="shared" si="57"/>
        <v>45391</v>
      </c>
      <c r="D215" s="20" t="str">
        <f t="shared" si="58"/>
        <v>OPDC</v>
      </c>
      <c r="E215" s="20" t="str">
        <f t="shared" si="59"/>
        <v>NO</v>
      </c>
      <c r="F215" s="20" t="str">
        <f t="shared" si="60"/>
        <v>Plan Distrital de Desarrollo</v>
      </c>
      <c r="G215" s="20" t="str">
        <f t="shared" si="61"/>
        <v>Presencial</v>
      </c>
      <c r="H215" s="20" t="str">
        <f t="shared" si="62"/>
        <v>Identificar las propuestas ciudadanas para la formulación del Plan de Desarrollo Distrital</v>
      </c>
      <c r="I215" s="20" t="str">
        <f t="shared" si="63"/>
        <v>Mecanismo de Diálogo</v>
      </c>
      <c r="J215" s="20" t="str">
        <f t="shared" si="64"/>
        <v>Público</v>
      </c>
      <c r="K215" s="20" t="str">
        <f t="shared" si="65"/>
        <v>Organización o veeduría ciudadana</v>
      </c>
      <c r="L215" s="20" t="str">
        <f t="shared" si="66"/>
        <v>Distrital</v>
      </c>
      <c r="M215" s="20" t="str">
        <f t="shared" si="67"/>
        <v>Distrital</v>
      </c>
      <c r="N215" s="20" t="str">
        <f t="shared" si="68"/>
        <v>Distrital</v>
      </c>
      <c r="O215" s="20" t="str">
        <f t="shared" si="69"/>
        <v>SÍ</v>
      </c>
      <c r="P215" s="20" t="str">
        <f t="shared" si="70"/>
        <v>Fase II: Aspiraciones Comunes</v>
      </c>
      <c r="Q215" s="20">
        <f t="shared" si="71"/>
        <v>25</v>
      </c>
      <c r="R215" s="20">
        <f t="shared" si="72"/>
        <v>10</v>
      </c>
      <c r="S215" s="20" t="str">
        <f t="shared" si="73"/>
        <v>Objetivos del PDD, priorización propuestas chatico</v>
      </c>
      <c r="T215" s="20">
        <f t="shared" si="18"/>
        <v>1</v>
      </c>
      <c r="U215" s="20" t="str">
        <f t="shared" ca="1" si="19"/>
        <v>Realizada</v>
      </c>
      <c r="V215" s="20"/>
      <c r="W215" s="20"/>
      <c r="X215" s="20"/>
      <c r="Y215" s="20"/>
    </row>
    <row r="216" spans="1:25" ht="37.5">
      <c r="A216" s="20">
        <v>257</v>
      </c>
      <c r="B216" s="20" t="str">
        <f t="shared" si="56"/>
        <v xml:space="preserve">Diálogo Ciudadano para la Construcción del PDD - UPL San Cristóbal </v>
      </c>
      <c r="C216" s="21">
        <f t="shared" si="57"/>
        <v>45391</v>
      </c>
      <c r="D216" s="20" t="str">
        <f t="shared" si="58"/>
        <v>OPDC</v>
      </c>
      <c r="E216" s="20" t="str">
        <f t="shared" si="59"/>
        <v>NO</v>
      </c>
      <c r="F216" s="20" t="str">
        <f t="shared" si="60"/>
        <v>Plan Distrital de Desarrollo</v>
      </c>
      <c r="G216" s="20" t="str">
        <f t="shared" si="61"/>
        <v>Presencial</v>
      </c>
      <c r="H216" s="20" t="str">
        <f t="shared" si="62"/>
        <v>Identificar las propuestas ciudadanas para la formulación del Plan de Desarrollo Distrital</v>
      </c>
      <c r="I216" s="20" t="str">
        <f t="shared" si="63"/>
        <v>Mecanismo de Diálogo</v>
      </c>
      <c r="J216" s="20" t="str">
        <f t="shared" si="64"/>
        <v>Multiactor</v>
      </c>
      <c r="K216" s="20">
        <f t="shared" si="65"/>
        <v>0</v>
      </c>
      <c r="L216" s="20" t="str">
        <f t="shared" si="66"/>
        <v>Rafael Uribe Uribe, San Cristóbal</v>
      </c>
      <c r="M216" s="20" t="str">
        <f t="shared" si="67"/>
        <v>Suroriente</v>
      </c>
      <c r="N216" s="20" t="str">
        <f t="shared" si="68"/>
        <v>San Cristobal</v>
      </c>
      <c r="O216" s="20" t="str">
        <f t="shared" si="69"/>
        <v>SÍ</v>
      </c>
      <c r="P216" s="20" t="str">
        <f t="shared" si="70"/>
        <v>Fase II: Aspiraciones Comunes</v>
      </c>
      <c r="Q216" s="20">
        <f t="shared" si="71"/>
        <v>51</v>
      </c>
      <c r="R216" s="20">
        <f t="shared" si="72"/>
        <v>15</v>
      </c>
      <c r="S216" s="20" t="str">
        <f t="shared" si="73"/>
        <v xml:space="preserve">  Propuestas ciudadanas para la construcción del plan distrital de desarrollo</v>
      </c>
      <c r="T216" s="20">
        <f t="shared" si="18"/>
        <v>1</v>
      </c>
      <c r="U216" s="20" t="str">
        <f t="shared" ca="1" si="19"/>
        <v>Realizada</v>
      </c>
      <c r="V216" s="20"/>
      <c r="W216" s="20"/>
      <c r="X216" s="20"/>
      <c r="Y216" s="20"/>
    </row>
    <row r="217" spans="1:25" ht="49.5">
      <c r="A217" s="20">
        <v>258</v>
      </c>
      <c r="B217" s="20" t="str">
        <f t="shared" si="56"/>
        <v>Capacitación Chatico - Jornadas Pegate al Plan</v>
      </c>
      <c r="C217" s="21">
        <f t="shared" si="57"/>
        <v>45391</v>
      </c>
      <c r="D217" s="20" t="str">
        <f t="shared" si="58"/>
        <v>OPDC</v>
      </c>
      <c r="E217" s="20" t="str">
        <f t="shared" si="59"/>
        <v>NO</v>
      </c>
      <c r="F217" s="20" t="str">
        <f t="shared" si="60"/>
        <v>Plan Distrital de Desarrollo</v>
      </c>
      <c r="G217" s="20" t="str">
        <f t="shared" si="61"/>
        <v>Virtual</v>
      </c>
      <c r="H217" s="20" t="str">
        <f t="shared" si="62"/>
        <v>Capacitar al equipo de IDIPRON en la herramienta chatico para el desarrollo de Jornadas Pégate al Plan</v>
      </c>
      <c r="I217" s="20" t="str">
        <f t="shared" si="63"/>
        <v>Mecanismo de Comunicación para la Participación</v>
      </c>
      <c r="J217" s="20" t="str">
        <f t="shared" si="64"/>
        <v>Multiactor</v>
      </c>
      <c r="K217" s="20">
        <f t="shared" si="65"/>
        <v>0</v>
      </c>
      <c r="L217" s="20" t="str">
        <f t="shared" si="66"/>
        <v>Distrital</v>
      </c>
      <c r="M217" s="20" t="str">
        <f t="shared" si="67"/>
        <v>Distrital</v>
      </c>
      <c r="N217" s="20" t="str">
        <f t="shared" si="68"/>
        <v>Distrital</v>
      </c>
      <c r="O217" s="20" t="str">
        <f t="shared" si="69"/>
        <v>SÍ</v>
      </c>
      <c r="P217" s="20" t="str">
        <f t="shared" si="70"/>
        <v>Gestión interinstitucional</v>
      </c>
      <c r="Q217" s="20">
        <f t="shared" si="71"/>
        <v>7</v>
      </c>
      <c r="R217" s="20">
        <f t="shared" si="72"/>
        <v>30</v>
      </c>
      <c r="S217" s="20" t="str">
        <f t="shared" si="73"/>
        <v>Pedagogía Herramienta Chatico</v>
      </c>
      <c r="T217" s="20">
        <f t="shared" si="18"/>
        <v>1</v>
      </c>
      <c r="U217" s="20" t="str">
        <f t="shared" ca="1" si="19"/>
        <v>Realizada</v>
      </c>
      <c r="V217" s="20"/>
      <c r="W217" s="20"/>
      <c r="X217" s="20"/>
      <c r="Y217" s="20"/>
    </row>
    <row r="218" spans="1:25" ht="49.5">
      <c r="A218" s="20">
        <v>259</v>
      </c>
      <c r="B218" s="20" t="str">
        <f t="shared" si="56"/>
        <v>CLIP Teusaquillo</v>
      </c>
      <c r="C218" s="21">
        <f t="shared" si="57"/>
        <v>45392</v>
      </c>
      <c r="D218" s="20" t="str">
        <f t="shared" si="58"/>
        <v>INSTANCIAS</v>
      </c>
      <c r="E218" s="20" t="str">
        <f t="shared" si="59"/>
        <v>NO</v>
      </c>
      <c r="F218" s="20" t="str">
        <f t="shared" si="60"/>
        <v>CLIP (Comisión Local Intersectorial de Participación)</v>
      </c>
      <c r="G218" s="20" t="str">
        <f t="shared" si="61"/>
        <v>Presencial</v>
      </c>
      <c r="H218" s="20" t="str">
        <f t="shared" si="62"/>
        <v>Acompañar la articulación de los esfuerzos institucionales de participación en la localidad de Teusaquillo.</v>
      </c>
      <c r="I218" s="20" t="str">
        <f t="shared" si="63"/>
        <v>Gestión Institucional</v>
      </c>
      <c r="J218" s="20" t="str">
        <f t="shared" si="64"/>
        <v>Público</v>
      </c>
      <c r="K218" s="20" t="str">
        <f t="shared" si="65"/>
        <v>Servidores públicos (local)</v>
      </c>
      <c r="L218" s="20" t="str">
        <f t="shared" si="66"/>
        <v>Teusaquillo</v>
      </c>
      <c r="M218" s="20" t="str">
        <f t="shared" si="67"/>
        <v>Centro Ampliado</v>
      </c>
      <c r="N218" s="20" t="str">
        <f t="shared" si="68"/>
        <v>Teusaquillo</v>
      </c>
      <c r="O218" s="20" t="str">
        <f t="shared" si="69"/>
        <v>NO</v>
      </c>
      <c r="P218" s="20" t="str">
        <f t="shared" si="70"/>
        <v>No aplica</v>
      </c>
      <c r="Q218" s="20">
        <f t="shared" si="71"/>
        <v>16</v>
      </c>
      <c r="R218" s="20">
        <f t="shared" si="72"/>
        <v>1</v>
      </c>
      <c r="S218" s="20" t="str">
        <f t="shared" si="73"/>
        <v>Plan de acción de la instancia: IDPAC y Encuentros Ciudadanos: A. Local</v>
      </c>
      <c r="T218" s="20">
        <f t="shared" si="18"/>
        <v>1</v>
      </c>
      <c r="U218" s="20" t="str">
        <f t="shared" ca="1" si="19"/>
        <v>Realizada</v>
      </c>
      <c r="V218" s="20"/>
      <c r="W218" s="20"/>
      <c r="X218" s="20"/>
      <c r="Y218" s="20"/>
    </row>
    <row r="219" spans="1:25" ht="37.5">
      <c r="A219" s="20">
        <v>260</v>
      </c>
      <c r="B219" s="20" t="str">
        <f t="shared" si="56"/>
        <v>Jornada Pégate al Plan: Pedagogía ciudadana para el manejo de la herramienta chatico -Toma chatico a la Konrad</v>
      </c>
      <c r="C219" s="21">
        <f t="shared" si="57"/>
        <v>45392</v>
      </c>
      <c r="D219" s="20" t="str">
        <f t="shared" si="58"/>
        <v>OPDC</v>
      </c>
      <c r="E219" s="20" t="str">
        <f t="shared" si="59"/>
        <v>NO</v>
      </c>
      <c r="F219" s="20" t="str">
        <f t="shared" si="60"/>
        <v>Plan Distrital de Desarrollo</v>
      </c>
      <c r="G219" s="20" t="str">
        <f t="shared" si="61"/>
        <v>Presencial</v>
      </c>
      <c r="H219" s="20" t="str">
        <f t="shared" si="62"/>
        <v>Identificar las propuestas ciudadanas para la formulación del Plan de Desarrollo Distrital</v>
      </c>
      <c r="I219" s="20" t="str">
        <f t="shared" si="63"/>
        <v>Mecanismo de Consulta Ciudadana</v>
      </c>
      <c r="J219" s="20" t="str">
        <f t="shared" si="64"/>
        <v>Multiactor</v>
      </c>
      <c r="K219" s="20">
        <f t="shared" si="65"/>
        <v>0</v>
      </c>
      <c r="L219" s="20" t="str">
        <f t="shared" si="66"/>
        <v>Chapinero</v>
      </c>
      <c r="M219" s="20" t="str">
        <f t="shared" si="67"/>
        <v>Distrital</v>
      </c>
      <c r="N219" s="20" t="str">
        <f t="shared" si="68"/>
        <v>Chapinero</v>
      </c>
      <c r="O219" s="20" t="str">
        <f t="shared" si="69"/>
        <v>SÍ</v>
      </c>
      <c r="P219" s="20" t="str">
        <f t="shared" si="70"/>
        <v>Fase II: Aspiraciones Comunes</v>
      </c>
      <c r="Q219" s="20">
        <f t="shared" si="71"/>
        <v>145</v>
      </c>
      <c r="R219" s="20">
        <f t="shared" si="72"/>
        <v>18</v>
      </c>
      <c r="S219" s="20" t="str">
        <f t="shared" si="73"/>
        <v>Pedagógia del PDD, Uso de la herramienta chatico</v>
      </c>
      <c r="T219" s="20">
        <f t="shared" si="18"/>
        <v>1</v>
      </c>
      <c r="U219" s="20" t="str">
        <f t="shared" ca="1" si="19"/>
        <v>Realizada</v>
      </c>
      <c r="V219" s="20"/>
      <c r="W219" s="20"/>
      <c r="X219" s="20"/>
      <c r="Y219" s="20"/>
    </row>
    <row r="220" spans="1:25" ht="37.5">
      <c r="A220" s="20">
        <v>261</v>
      </c>
      <c r="B220" s="20" t="str">
        <f t="shared" si="56"/>
        <v>Diálogo ciudadano Participación en el PDD (programa radial)</v>
      </c>
      <c r="C220" s="21">
        <f t="shared" si="57"/>
        <v>45392</v>
      </c>
      <c r="D220" s="20" t="str">
        <f t="shared" si="58"/>
        <v>OPDC</v>
      </c>
      <c r="E220" s="20" t="str">
        <f t="shared" si="59"/>
        <v>NO</v>
      </c>
      <c r="F220" s="20" t="str">
        <f t="shared" si="60"/>
        <v>Rendición de Cuentas - GAB</v>
      </c>
      <c r="G220" s="20" t="str">
        <f t="shared" si="61"/>
        <v>Presencial</v>
      </c>
      <c r="H220" s="20" t="str">
        <f t="shared" si="62"/>
        <v>Rendir cuentas sobre el avance del proceso de participación en el marco del PDD</v>
      </c>
      <c r="I220" s="20" t="str">
        <f t="shared" si="63"/>
        <v>Mecanismo de Consulta Ciudadana</v>
      </c>
      <c r="J220" s="20" t="str">
        <f t="shared" si="64"/>
        <v>Multiactor</v>
      </c>
      <c r="K220" s="20">
        <f t="shared" si="65"/>
        <v>0</v>
      </c>
      <c r="L220" s="20" t="str">
        <f t="shared" si="66"/>
        <v>Distrital</v>
      </c>
      <c r="M220" s="20" t="str">
        <f t="shared" si="67"/>
        <v>Distrital</v>
      </c>
      <c r="N220" s="20" t="str">
        <f t="shared" si="68"/>
        <v>Distrital</v>
      </c>
      <c r="O220" s="20" t="str">
        <f t="shared" si="69"/>
        <v>SÍ</v>
      </c>
      <c r="P220" s="20" t="str">
        <f t="shared" si="70"/>
        <v>Fase II: Aspiraciones Comunes</v>
      </c>
      <c r="Q220" s="20">
        <f t="shared" si="71"/>
        <v>0</v>
      </c>
      <c r="R220" s="20">
        <f t="shared" si="72"/>
        <v>5</v>
      </c>
      <c r="S220" s="20" t="str">
        <f t="shared" si="73"/>
        <v>rendir cuentas sobre resultados estrategia de participación, avances de gestión, actores participantes, Chatico, ruta del PDD</v>
      </c>
      <c r="T220" s="20">
        <f t="shared" si="18"/>
        <v>1</v>
      </c>
      <c r="U220" s="20" t="str">
        <f t="shared" ca="1" si="19"/>
        <v>Realizada</v>
      </c>
      <c r="V220" s="20"/>
      <c r="W220" s="20"/>
      <c r="X220" s="20"/>
      <c r="Y220" s="20"/>
    </row>
    <row r="221" spans="1:25" ht="49.5">
      <c r="A221" s="20">
        <v>262</v>
      </c>
      <c r="B221" s="20" t="str">
        <f t="shared" si="56"/>
        <v>Comite Tecnico- CTPD</v>
      </c>
      <c r="C221" s="21">
        <f t="shared" si="57"/>
        <v>45392</v>
      </c>
      <c r="D221" s="20" t="str">
        <f t="shared" si="58"/>
        <v>INSTANCIAS</v>
      </c>
      <c r="E221" s="20" t="str">
        <f t="shared" si="59"/>
        <v>NO</v>
      </c>
      <c r="F221" s="20" t="str">
        <f t="shared" si="60"/>
        <v>CTPD (Consejo Territorial de Planeación Distrital)</v>
      </c>
      <c r="G221" s="20" t="str">
        <f t="shared" si="61"/>
        <v>Presencial</v>
      </c>
      <c r="H221" s="20" t="str">
        <f t="shared" si="62"/>
        <v>Realizar el seguimiento al convenio 339 de 2024</v>
      </c>
      <c r="I221" s="20" t="str">
        <f t="shared" si="63"/>
        <v>Mecanismo de Seguimiento y Evaluación</v>
      </c>
      <c r="J221" s="20" t="str">
        <f t="shared" si="64"/>
        <v>Comunitario</v>
      </c>
      <c r="K221" s="20" t="str">
        <f t="shared" si="65"/>
        <v>CTPD</v>
      </c>
      <c r="L221" s="20" t="str">
        <f t="shared" si="66"/>
        <v>Distrital</v>
      </c>
      <c r="M221" s="20" t="str">
        <f t="shared" si="67"/>
        <v>Distrital</v>
      </c>
      <c r="N221" s="20" t="str">
        <f t="shared" si="68"/>
        <v>Distrital</v>
      </c>
      <c r="O221" s="20" t="str">
        <f t="shared" si="69"/>
        <v>NO</v>
      </c>
      <c r="P221" s="20" t="str">
        <f t="shared" si="70"/>
        <v>No aplica</v>
      </c>
      <c r="Q221" s="20">
        <f t="shared" si="71"/>
        <v>5</v>
      </c>
      <c r="R221" s="20">
        <f t="shared" si="72"/>
        <v>7</v>
      </c>
      <c r="S221" s="20" t="str">
        <f t="shared" si="73"/>
        <v>Seguimiento al convenio 339 de 2024</v>
      </c>
      <c r="T221" s="20">
        <f t="shared" si="18"/>
        <v>1</v>
      </c>
      <c r="U221" s="20" t="str">
        <f t="shared" ca="1" si="19"/>
        <v>Realizada</v>
      </c>
      <c r="V221" s="20"/>
      <c r="W221" s="20"/>
      <c r="X221" s="20"/>
      <c r="Y221" s="20"/>
    </row>
    <row r="222" spans="1:25" ht="49.5">
      <c r="A222" s="20">
        <v>263</v>
      </c>
      <c r="B222" s="20" t="str">
        <f t="shared" si="56"/>
        <v>Diálogo Ciudadano Población Migrante</v>
      </c>
      <c r="C222" s="21">
        <f t="shared" si="57"/>
        <v>45392</v>
      </c>
      <c r="D222" s="20" t="str">
        <f t="shared" si="58"/>
        <v>OPDC</v>
      </c>
      <c r="E222" s="20" t="str">
        <f t="shared" si="59"/>
        <v>NO</v>
      </c>
      <c r="F222" s="20" t="str">
        <f t="shared" si="60"/>
        <v>Plan Distrital de Desarrollo</v>
      </c>
      <c r="G222" s="20" t="str">
        <f t="shared" si="61"/>
        <v>Presencial</v>
      </c>
      <c r="H222" s="20" t="str">
        <f t="shared" si="62"/>
        <v>Recolectar las propuestas de la población migrante en torno a la formulación del Plan Distrital de Desarrollo</v>
      </c>
      <c r="I222" s="20" t="str">
        <f t="shared" si="63"/>
        <v>Mecanismo de Diálogo</v>
      </c>
      <c r="J222" s="20" t="str">
        <f t="shared" si="64"/>
        <v>Comunitario</v>
      </c>
      <c r="K222" s="20" t="str">
        <f t="shared" si="65"/>
        <v>Grupos focales</v>
      </c>
      <c r="L222" s="20" t="str">
        <f t="shared" si="66"/>
        <v>Ciudad Bolívar</v>
      </c>
      <c r="M222" s="20" t="str">
        <f t="shared" si="67"/>
        <v>Suroriente</v>
      </c>
      <c r="N222" s="20" t="str">
        <f t="shared" si="68"/>
        <v>Lucero, Arborizadora</v>
      </c>
      <c r="O222" s="20" t="str">
        <f t="shared" si="69"/>
        <v>SÍ</v>
      </c>
      <c r="P222" s="20" t="str">
        <f t="shared" si="70"/>
        <v>Fase II: Aspiraciones Comunes</v>
      </c>
      <c r="Q222" s="20">
        <f t="shared" si="71"/>
        <v>24</v>
      </c>
      <c r="R222" s="20">
        <f t="shared" si="72"/>
        <v>2</v>
      </c>
      <c r="S222" s="20" t="str">
        <f t="shared" si="73"/>
        <v xml:space="preserve">Recolección de propuestas alrededor de los 5 objetivos estratégicos del Plan Distrital de Desarrollo </v>
      </c>
      <c r="T222" s="20">
        <f t="shared" si="18"/>
        <v>1</v>
      </c>
      <c r="U222" s="20" t="str">
        <f t="shared" ca="1" si="19"/>
        <v>Realizada</v>
      </c>
      <c r="V222" s="20"/>
      <c r="W222" s="20"/>
      <c r="X222" s="20"/>
      <c r="Y222" s="20"/>
    </row>
    <row r="223" spans="1:25" ht="49.5">
      <c r="A223" s="20">
        <v>264</v>
      </c>
      <c r="B223" s="20" t="str">
        <f t="shared" si="56"/>
        <v>CLIP Antonio Nariño</v>
      </c>
      <c r="C223" s="21">
        <f t="shared" si="57"/>
        <v>45392</v>
      </c>
      <c r="D223" s="20" t="str">
        <f t="shared" si="58"/>
        <v>INSTANCIAS</v>
      </c>
      <c r="E223" s="20" t="str">
        <f t="shared" si="59"/>
        <v>NO</v>
      </c>
      <c r="F223" s="20" t="str">
        <f t="shared" si="60"/>
        <v>CLIP (Comisión Local Intersectorial de Participación)</v>
      </c>
      <c r="G223" s="20" t="str">
        <f t="shared" si="61"/>
        <v>Presencial</v>
      </c>
      <c r="H223" s="20" t="str">
        <f t="shared" si="62"/>
        <v>Acompañar la articulación de los esfuerzos institucionales de participación en la localidad de Antonio Nariño</v>
      </c>
      <c r="I223" s="20" t="str">
        <f t="shared" si="63"/>
        <v>Gestión Institucional</v>
      </c>
      <c r="J223" s="20" t="str">
        <f t="shared" si="64"/>
        <v>Público</v>
      </c>
      <c r="K223" s="20" t="str">
        <f t="shared" si="65"/>
        <v>Servidores públicos (local)</v>
      </c>
      <c r="L223" s="20" t="str">
        <f t="shared" si="66"/>
        <v>Antonio Nariño</v>
      </c>
      <c r="M223" s="20" t="str">
        <f t="shared" si="67"/>
        <v>Centro Ampliado</v>
      </c>
      <c r="N223" s="20" t="str">
        <f t="shared" si="68"/>
        <v>Restrepo</v>
      </c>
      <c r="O223" s="20" t="str">
        <f t="shared" si="69"/>
        <v>NO</v>
      </c>
      <c r="P223" s="20" t="str">
        <f t="shared" si="70"/>
        <v>No aplica</v>
      </c>
      <c r="Q223" s="20">
        <f t="shared" si="71"/>
        <v>21</v>
      </c>
      <c r="R223" s="20">
        <f t="shared" si="72"/>
        <v>1</v>
      </c>
      <c r="S223" s="20" t="str">
        <f t="shared" si="73"/>
        <v>Proceso de Participación PDD, Encuentros ciudadanos para la estructuración de los Planes de Desarrollo Locales</v>
      </c>
      <c r="T223" s="20">
        <f t="shared" si="18"/>
        <v>1</v>
      </c>
      <c r="U223" s="20" t="str">
        <f t="shared" ca="1" si="19"/>
        <v>Realizada</v>
      </c>
      <c r="V223" s="20"/>
      <c r="W223" s="20"/>
      <c r="X223" s="20"/>
      <c r="Y223" s="20"/>
    </row>
    <row r="224" spans="1:25" ht="49.5">
      <c r="A224" s="20">
        <v>265</v>
      </c>
      <c r="B224" s="20" t="str">
        <f t="shared" si="56"/>
        <v>CLIP extraordinaria Rafael Uribe Uribe</v>
      </c>
      <c r="C224" s="21">
        <f t="shared" si="57"/>
        <v>45392</v>
      </c>
      <c r="D224" s="20" t="str">
        <f t="shared" si="58"/>
        <v>INSTANCIAS</v>
      </c>
      <c r="E224" s="20" t="str">
        <f t="shared" si="59"/>
        <v>NO</v>
      </c>
      <c r="F224" s="20" t="str">
        <f t="shared" si="60"/>
        <v>CLIP (Comisión Local Intersectorial de Participación)</v>
      </c>
      <c r="G224" s="20" t="str">
        <f t="shared" si="61"/>
        <v>Presencial</v>
      </c>
      <c r="H224" s="20" t="str">
        <f t="shared" si="62"/>
        <v>Definir encuentros ciudadanos y plan de acción 2024</v>
      </c>
      <c r="I224" s="20" t="str">
        <f t="shared" si="63"/>
        <v>Gestión Institucional</v>
      </c>
      <c r="J224" s="20" t="str">
        <f t="shared" si="64"/>
        <v>Público</v>
      </c>
      <c r="K224" s="20" t="str">
        <f t="shared" si="65"/>
        <v>Servidores públicos (local)</v>
      </c>
      <c r="L224" s="20" t="str">
        <f t="shared" si="66"/>
        <v>Rafael Uribe Uribe</v>
      </c>
      <c r="M224" s="20" t="str">
        <f t="shared" si="67"/>
        <v>Suroriente</v>
      </c>
      <c r="N224" s="20" t="str">
        <f t="shared" si="68"/>
        <v>Restrepo, Rafael Uribe, San Cristobal</v>
      </c>
      <c r="O224" s="20" t="str">
        <f t="shared" si="69"/>
        <v>NO</v>
      </c>
      <c r="P224" s="20" t="str">
        <f t="shared" si="70"/>
        <v>No aplica</v>
      </c>
      <c r="Q224" s="20">
        <f t="shared" si="71"/>
        <v>8</v>
      </c>
      <c r="R224" s="20">
        <f t="shared" si="72"/>
        <v>1</v>
      </c>
      <c r="S224" s="20" t="str">
        <f t="shared" si="73"/>
        <v>Metodologia Encuentros Ciudadanos y Rendición de cuentas</v>
      </c>
      <c r="T224" s="20">
        <f t="shared" si="18"/>
        <v>1</v>
      </c>
      <c r="U224" s="20" t="str">
        <f t="shared" ca="1" si="19"/>
        <v>Realizada</v>
      </c>
      <c r="V224" s="20"/>
      <c r="W224" s="20"/>
      <c r="X224" s="20"/>
      <c r="Y224" s="20"/>
    </row>
    <row r="225" spans="1:25" ht="49.5">
      <c r="A225" s="20">
        <v>266</v>
      </c>
      <c r="B225" s="20" t="str">
        <f t="shared" si="56"/>
        <v>Pedagogía Chatico - Comisión Local de Movilidad de Suba</v>
      </c>
      <c r="C225" s="21">
        <f t="shared" si="57"/>
        <v>45392</v>
      </c>
      <c r="D225" s="20" t="str">
        <f t="shared" si="58"/>
        <v>OPDC</v>
      </c>
      <c r="E225" s="20" t="str">
        <f t="shared" si="59"/>
        <v>NO</v>
      </c>
      <c r="F225" s="20" t="str">
        <f t="shared" si="60"/>
        <v>Plan Distrital de Desarrollo</v>
      </c>
      <c r="G225" s="20" t="str">
        <f t="shared" si="61"/>
        <v>Presencial</v>
      </c>
      <c r="H225" s="20" t="str">
        <f t="shared" si="62"/>
        <v xml:space="preserve"> Socializar el  PDD ,  explicar el uso de Chatico</v>
      </c>
      <c r="I225" s="20" t="str">
        <f t="shared" si="63"/>
        <v>Mecanismo de Comunicación para la Participación</v>
      </c>
      <c r="J225" s="20" t="str">
        <f t="shared" si="64"/>
        <v>Comunitario</v>
      </c>
      <c r="K225" s="20" t="str">
        <f t="shared" si="65"/>
        <v>Consejo Local</v>
      </c>
      <c r="L225" s="20" t="str">
        <f t="shared" si="66"/>
        <v>Suba</v>
      </c>
      <c r="M225" s="20" t="str">
        <f t="shared" si="67"/>
        <v>Noroccidente</v>
      </c>
      <c r="N225" s="20" t="str">
        <f t="shared" si="68"/>
        <v>Suba</v>
      </c>
      <c r="O225" s="20" t="str">
        <f t="shared" si="69"/>
        <v>SÍ</v>
      </c>
      <c r="P225" s="20" t="str">
        <f t="shared" si="70"/>
        <v>Gestión interinstitucional</v>
      </c>
      <c r="Q225" s="20">
        <f t="shared" si="71"/>
        <v>14</v>
      </c>
      <c r="R225" s="20">
        <f t="shared" si="72"/>
        <v>1</v>
      </c>
      <c r="S225" s="20" t="str">
        <f t="shared" si="73"/>
        <v>Socialización PDD y Chatico</v>
      </c>
      <c r="T225" s="20">
        <f t="shared" si="18"/>
        <v>1</v>
      </c>
      <c r="U225" s="20" t="str">
        <f t="shared" ca="1" si="19"/>
        <v>Realizada</v>
      </c>
      <c r="V225" s="20"/>
      <c r="W225" s="20"/>
      <c r="X225" s="20"/>
      <c r="Y225" s="20"/>
    </row>
    <row r="226" spans="1:25" ht="49.5">
      <c r="A226" s="20">
        <v>267</v>
      </c>
      <c r="B226" s="20" t="str">
        <f t="shared" si="56"/>
        <v>CLIP Bosa</v>
      </c>
      <c r="C226" s="21">
        <f t="shared" si="57"/>
        <v>45393</v>
      </c>
      <c r="D226" s="20" t="str">
        <f t="shared" si="58"/>
        <v>INSTANCIAS</v>
      </c>
      <c r="E226" s="20" t="str">
        <f t="shared" si="59"/>
        <v>NO</v>
      </c>
      <c r="F226" s="20" t="str">
        <f t="shared" si="60"/>
        <v>CLIP (Comisión Local Intersectorial de Participación)</v>
      </c>
      <c r="G226" s="20" t="str">
        <f t="shared" si="61"/>
        <v>Presencial</v>
      </c>
      <c r="H226" s="20" t="str">
        <f t="shared" si="62"/>
        <v>Acompañar la articulación de los esfuerzos institucionales de participación en la localidad de Bosa</v>
      </c>
      <c r="I226" s="20" t="str">
        <f t="shared" si="63"/>
        <v>Gestión Institucional</v>
      </c>
      <c r="J226" s="20" t="str">
        <f t="shared" si="64"/>
        <v>Público</v>
      </c>
      <c r="K226" s="20" t="str">
        <f t="shared" si="65"/>
        <v>Servidores públicos (local)</v>
      </c>
      <c r="L226" s="20" t="str">
        <f t="shared" si="66"/>
        <v>Bosa</v>
      </c>
      <c r="M226" s="20" t="str">
        <f t="shared" si="67"/>
        <v>Suroccidente</v>
      </c>
      <c r="N226" s="20" t="str">
        <f t="shared" si="68"/>
        <v>Bosa, Edén, Porvenir</v>
      </c>
      <c r="O226" s="20" t="str">
        <f t="shared" si="69"/>
        <v>NO</v>
      </c>
      <c r="P226" s="20" t="str">
        <f t="shared" si="70"/>
        <v>No aplica</v>
      </c>
      <c r="Q226" s="20">
        <f t="shared" si="71"/>
        <v>16</v>
      </c>
      <c r="R226" s="20">
        <f t="shared" si="72"/>
        <v>1</v>
      </c>
      <c r="S226" s="20" t="str">
        <f t="shared" si="73"/>
        <v xml:space="preserve">Fases PDD y encuentros ciudadanos </v>
      </c>
      <c r="T226" s="20">
        <f t="shared" si="18"/>
        <v>1</v>
      </c>
      <c r="U226" s="20" t="str">
        <f t="shared" ca="1" si="19"/>
        <v>Realizada</v>
      </c>
      <c r="V226" s="20"/>
      <c r="W226" s="20"/>
      <c r="X226" s="20"/>
      <c r="Y226" s="20"/>
    </row>
    <row r="227" spans="1:25" ht="49.5">
      <c r="A227" s="20">
        <v>269</v>
      </c>
      <c r="B227" s="20" t="str">
        <f t="shared" si="56"/>
        <v>Socialización de proyecto de Decreto AE Distrito Aeroportuario</v>
      </c>
      <c r="C227" s="21">
        <f t="shared" si="57"/>
        <v>45393</v>
      </c>
      <c r="D227" s="20" t="str">
        <f t="shared" si="58"/>
        <v>OPDC</v>
      </c>
      <c r="E227" s="20" t="str">
        <f t="shared" si="59"/>
        <v>SÍ</v>
      </c>
      <c r="F227" s="20" t="str">
        <f t="shared" si="60"/>
        <v>Formulación de Actuaciones Estratégicas</v>
      </c>
      <c r="G227" s="20" t="str">
        <f t="shared" si="61"/>
        <v>Presencial</v>
      </c>
      <c r="H227" s="20" t="str">
        <f t="shared" si="62"/>
        <v>Socializar el proyecto de Decreto de adopción para la AEDA y recibir aportes de líderes comunitarios para la formulación del instrumento</v>
      </c>
      <c r="I227" s="20" t="str">
        <f t="shared" si="63"/>
        <v>Mecanismo de Comunicación para la Participación</v>
      </c>
      <c r="J227" s="20" t="str">
        <f t="shared" si="64"/>
        <v>Comunitario</v>
      </c>
      <c r="K227" s="20" t="str">
        <f t="shared" si="65"/>
        <v>ASOJUNTAS - JAC</v>
      </c>
      <c r="L227" s="20" t="str">
        <f t="shared" si="66"/>
        <v>Engativá</v>
      </c>
      <c r="M227" s="20" t="str">
        <f t="shared" si="67"/>
        <v>Occidente</v>
      </c>
      <c r="N227" s="20" t="str">
        <f t="shared" si="68"/>
        <v>Engativá</v>
      </c>
      <c r="O227" s="20" t="str">
        <f t="shared" si="69"/>
        <v>NO</v>
      </c>
      <c r="P227" s="20" t="str">
        <f t="shared" si="70"/>
        <v>No aplica</v>
      </c>
      <c r="Q227" s="20">
        <f t="shared" si="71"/>
        <v>15</v>
      </c>
      <c r="R227" s="20">
        <f t="shared" si="72"/>
        <v>2</v>
      </c>
      <c r="S227" s="20" t="str">
        <f t="shared" si="73"/>
        <v>Socialización del proyecto de Decreto de adopción para la AEDA</v>
      </c>
      <c r="T227" s="20">
        <f t="shared" si="18"/>
        <v>1</v>
      </c>
      <c r="U227" s="20" t="str">
        <f t="shared" ca="1" si="19"/>
        <v>Realizada</v>
      </c>
      <c r="V227" s="20"/>
      <c r="W227" s="20"/>
      <c r="X227" s="20"/>
      <c r="Y227" s="20"/>
    </row>
    <row r="228" spans="1:25" ht="86.25">
      <c r="A228" s="20">
        <v>270</v>
      </c>
      <c r="B228" s="20" t="str">
        <f t="shared" si="56"/>
        <v>Diálogo Ciudadano para la construcción de PDD - Organizaciones de defensa de derechos de la población migrante</v>
      </c>
      <c r="C228" s="21">
        <f t="shared" si="57"/>
        <v>45393</v>
      </c>
      <c r="D228" s="20" t="str">
        <f t="shared" si="58"/>
        <v>OPDC</v>
      </c>
      <c r="E228" s="20" t="str">
        <f t="shared" si="59"/>
        <v>NO</v>
      </c>
      <c r="F228" s="20" t="str">
        <f t="shared" si="60"/>
        <v>Plan Distrital de Desarrollo</v>
      </c>
      <c r="G228" s="20" t="str">
        <f t="shared" si="61"/>
        <v>Presencial</v>
      </c>
      <c r="H228" s="20" t="str">
        <f t="shared" si="62"/>
        <v>Recolectar las propuestas y recomendaciones de las organizaciones no gubernamentales en pro de los derechos de la población migrante internacional en el marco de la formulación del Plan Distrital de Desarrollo</v>
      </c>
      <c r="I228" s="20" t="str">
        <f t="shared" si="63"/>
        <v>Mecanismo de Diálogo</v>
      </c>
      <c r="J228" s="20" t="str">
        <f t="shared" si="64"/>
        <v>Comunitario</v>
      </c>
      <c r="K228" s="20">
        <f t="shared" si="65"/>
        <v>0</v>
      </c>
      <c r="L228" s="20" t="str">
        <f t="shared" si="66"/>
        <v>Distrital</v>
      </c>
      <c r="M228" s="20" t="str">
        <f t="shared" si="67"/>
        <v>Distrital</v>
      </c>
      <c r="N228" s="20" t="str">
        <f t="shared" si="68"/>
        <v>Distrital</v>
      </c>
      <c r="O228" s="20" t="str">
        <f t="shared" si="69"/>
        <v>SÍ</v>
      </c>
      <c r="P228" s="20" t="str">
        <f t="shared" si="70"/>
        <v>Fase II: Aspiraciones Comunes</v>
      </c>
      <c r="Q228" s="20">
        <f t="shared" si="71"/>
        <v>10</v>
      </c>
      <c r="R228" s="20">
        <f t="shared" si="72"/>
        <v>2</v>
      </c>
      <c r="S228" s="20" t="str">
        <f t="shared" si="73"/>
        <v>Recolección de propuestas y recomendaciones a los sectores sobre las metas del PDD</v>
      </c>
      <c r="T228" s="20">
        <f t="shared" si="18"/>
        <v>1</v>
      </c>
      <c r="U228" s="20" t="str">
        <f t="shared" ca="1" si="19"/>
        <v>Realizada</v>
      </c>
      <c r="V228" s="20"/>
      <c r="W228" s="20"/>
      <c r="X228" s="20"/>
      <c r="Y228" s="20"/>
    </row>
    <row r="229" spans="1:25" ht="61.5">
      <c r="A229" s="20">
        <v>271</v>
      </c>
      <c r="B229" s="20" t="str">
        <f t="shared" si="56"/>
        <v>III Diálogo Ciudadano para la construcción de PDD - Consultiva Indigena</v>
      </c>
      <c r="C229" s="21">
        <f t="shared" si="57"/>
        <v>45393</v>
      </c>
      <c r="D229" s="20" t="str">
        <f t="shared" si="58"/>
        <v>OPDC</v>
      </c>
      <c r="E229" s="20" t="str">
        <f t="shared" si="59"/>
        <v>NO</v>
      </c>
      <c r="F229" s="20" t="str">
        <f t="shared" si="60"/>
        <v>Plan Distrital de Desarrollo</v>
      </c>
      <c r="G229" s="20" t="str">
        <f t="shared" si="61"/>
        <v>Presencial</v>
      </c>
      <c r="H229" s="20" t="str">
        <f t="shared" si="62"/>
        <v xml:space="preserve">Recoger los aportes de los Pueblos Indígenas en el marco de aspiraciones comunes para la planeación participativa del Plan Distrital de Desarrollo. </v>
      </c>
      <c r="I229" s="20" t="str">
        <f t="shared" si="63"/>
        <v>Mecanismo de Diálogo</v>
      </c>
      <c r="J229" s="20" t="str">
        <f t="shared" si="64"/>
        <v>Comunitario</v>
      </c>
      <c r="K229" s="20" t="str">
        <f t="shared" si="65"/>
        <v>Consejo Consultivo</v>
      </c>
      <c r="L229" s="20" t="str">
        <f t="shared" si="66"/>
        <v>Distrital</v>
      </c>
      <c r="M229" s="20" t="str">
        <f t="shared" si="67"/>
        <v>Distrital</v>
      </c>
      <c r="N229" s="20" t="str">
        <f t="shared" si="68"/>
        <v>Distrital</v>
      </c>
      <c r="O229" s="20" t="str">
        <f t="shared" si="69"/>
        <v>SÍ</v>
      </c>
      <c r="P229" s="20" t="str">
        <f t="shared" si="70"/>
        <v>Fase II: Aspiraciones Comunes</v>
      </c>
      <c r="Q229" s="20">
        <f t="shared" si="71"/>
        <v>19</v>
      </c>
      <c r="R229" s="20">
        <f t="shared" si="72"/>
        <v>2</v>
      </c>
      <c r="S229" s="20" t="str">
        <f t="shared" si="73"/>
        <v>Plan distrital de desarrollo: Consultiva de Pueblos Indigenas</v>
      </c>
      <c r="T229" s="20">
        <f t="shared" si="18"/>
        <v>1</v>
      </c>
      <c r="U229" s="20" t="str">
        <f t="shared" ca="1" si="19"/>
        <v>Realizada</v>
      </c>
      <c r="V229" s="20"/>
      <c r="W229" s="20"/>
      <c r="X229" s="20"/>
      <c r="Y229" s="20"/>
    </row>
    <row r="230" spans="1:25" ht="74.25">
      <c r="A230" s="20">
        <v>272</v>
      </c>
      <c r="B230" s="20" t="str">
        <f t="shared" si="56"/>
        <v>Mesa Directiva CTPD</v>
      </c>
      <c r="C230" s="21">
        <f t="shared" si="57"/>
        <v>45393</v>
      </c>
      <c r="D230" s="20" t="str">
        <f t="shared" si="58"/>
        <v>INSTANCIAS</v>
      </c>
      <c r="E230" s="20" t="str">
        <f t="shared" si="59"/>
        <v>NO</v>
      </c>
      <c r="F230" s="20" t="str">
        <f t="shared" si="60"/>
        <v>CTPD (Consejo Territorial de Planeación Distrital)</v>
      </c>
      <c r="G230" s="20" t="str">
        <f t="shared" si="61"/>
        <v>Virtual</v>
      </c>
      <c r="H230" s="20" t="str">
        <f t="shared" si="62"/>
        <v xml:space="preserve">
Propuesta para mesas técnicas de trabajo - Presentación ante la mesa directiva de y solicitudes de inclusión de sectores en el CTPD (voluntarios, jueces de paz y otros).</v>
      </c>
      <c r="I230" s="20" t="str">
        <f t="shared" si="63"/>
        <v>Mecanismo de Seguimiento y Evaluación</v>
      </c>
      <c r="J230" s="20" t="str">
        <f t="shared" si="64"/>
        <v>Comunitario</v>
      </c>
      <c r="K230" s="20" t="str">
        <f t="shared" si="65"/>
        <v>CTPD</v>
      </c>
      <c r="L230" s="20" t="str">
        <f t="shared" si="66"/>
        <v>Distrital</v>
      </c>
      <c r="M230" s="20" t="str">
        <f t="shared" si="67"/>
        <v>Distrital</v>
      </c>
      <c r="N230" s="20" t="str">
        <f t="shared" si="68"/>
        <v>Distrital</v>
      </c>
      <c r="O230" s="20" t="str">
        <f t="shared" si="69"/>
        <v>NO</v>
      </c>
      <c r="P230" s="20" t="str">
        <f t="shared" si="70"/>
        <v>No aplica</v>
      </c>
      <c r="Q230" s="20">
        <f t="shared" si="71"/>
        <v>33</v>
      </c>
      <c r="R230" s="20">
        <f t="shared" si="72"/>
        <v>2</v>
      </c>
      <c r="S230" s="20" t="str">
        <f t="shared" si="73"/>
        <v>Propuesta para mesas técnicas de trabajo - Presentación ante la mesa directiva de y solicitudes de inclusión de sectores en el CTPD (voluntarios, jueces de paz y otros).</v>
      </c>
      <c r="T230" s="20">
        <f t="shared" si="18"/>
        <v>1</v>
      </c>
      <c r="U230" s="20" t="str">
        <f t="shared" ca="1" si="19"/>
        <v>Realizada</v>
      </c>
      <c r="V230" s="20"/>
      <c r="W230" s="20"/>
      <c r="X230" s="20"/>
      <c r="Y230" s="20"/>
    </row>
    <row r="231" spans="1:25" ht="37.5">
      <c r="A231" s="20">
        <v>273</v>
      </c>
      <c r="B231" s="20" t="str">
        <f t="shared" si="56"/>
        <v>Jornada Pégate al Plan: Pedagogía ciudadana para el manejo de la herramienta chatico - Supercade CAD</v>
      </c>
      <c r="C231" s="21">
        <f t="shared" si="57"/>
        <v>45394</v>
      </c>
      <c r="D231" s="20" t="str">
        <f t="shared" si="58"/>
        <v>OPDC</v>
      </c>
      <c r="E231" s="20" t="str">
        <f t="shared" si="59"/>
        <v>NO</v>
      </c>
      <c r="F231" s="20" t="str">
        <f t="shared" si="60"/>
        <v>Plan Distrital de Desarrollo</v>
      </c>
      <c r="G231" s="20" t="str">
        <f t="shared" si="61"/>
        <v>Presencial</v>
      </c>
      <c r="H231" s="20" t="str">
        <f t="shared" si="62"/>
        <v>Identificar las propuestas ciudadanas para la formulación del Plan de Desarrollo Distrital</v>
      </c>
      <c r="I231" s="20" t="str">
        <f t="shared" si="63"/>
        <v>Mecanismo de Consulta Ciudadana</v>
      </c>
      <c r="J231" s="20" t="str">
        <f t="shared" si="64"/>
        <v>Multiactor</v>
      </c>
      <c r="K231" s="20">
        <f t="shared" si="65"/>
        <v>0</v>
      </c>
      <c r="L231" s="20" t="str">
        <f t="shared" si="66"/>
        <v>Teusaquillo</v>
      </c>
      <c r="M231" s="20" t="str">
        <f t="shared" si="67"/>
        <v>Centro Ampliado</v>
      </c>
      <c r="N231" s="20" t="str">
        <f t="shared" si="68"/>
        <v>Teusaquillo</v>
      </c>
      <c r="O231" s="20" t="str">
        <f t="shared" si="69"/>
        <v>SÍ</v>
      </c>
      <c r="P231" s="20" t="str">
        <f t="shared" si="70"/>
        <v>Fase II: Aspiraciones Comunes</v>
      </c>
      <c r="Q231" s="20">
        <f t="shared" si="71"/>
        <v>43</v>
      </c>
      <c r="R231" s="20">
        <f t="shared" si="72"/>
        <v>7</v>
      </c>
      <c r="S231" s="20" t="str">
        <f t="shared" si="73"/>
        <v>Identificación de nuevas propuesta y priorización de propuestas en el marco de la formulación del PDD</v>
      </c>
      <c r="T231" s="20">
        <f t="shared" si="18"/>
        <v>1</v>
      </c>
      <c r="U231" s="20" t="str">
        <f t="shared" ca="1" si="19"/>
        <v>Realizada</v>
      </c>
      <c r="V231" s="20"/>
      <c r="W231" s="20"/>
      <c r="X231" s="20"/>
      <c r="Y231" s="20"/>
    </row>
    <row r="232" spans="1:25" ht="37.5">
      <c r="A232" s="20">
        <v>274</v>
      </c>
      <c r="B232" s="20" t="str">
        <f t="shared" si="56"/>
        <v>Jornada Pégate al Plan: Pedagogía ciudadana para el manejo de la herramienta chatico - Alcaldia Teusaquillo</v>
      </c>
      <c r="C232" s="21">
        <f t="shared" si="57"/>
        <v>45394</v>
      </c>
      <c r="D232" s="20" t="str">
        <f t="shared" si="58"/>
        <v>OPDC</v>
      </c>
      <c r="E232" s="20" t="str">
        <f t="shared" si="59"/>
        <v>NO</v>
      </c>
      <c r="F232" s="20" t="str">
        <f t="shared" si="60"/>
        <v>Plan Distrital de Desarrollo</v>
      </c>
      <c r="G232" s="20" t="str">
        <f t="shared" si="61"/>
        <v>Presencial</v>
      </c>
      <c r="H232" s="20" t="str">
        <f t="shared" si="62"/>
        <v>Identificar las propuestas ciudadanas para la formulación del Plan de Desarrollo Distrital</v>
      </c>
      <c r="I232" s="20" t="str">
        <f t="shared" si="63"/>
        <v>Mecanismo de Consulta Ciudadana</v>
      </c>
      <c r="J232" s="20" t="str">
        <f t="shared" si="64"/>
        <v>Multiactor</v>
      </c>
      <c r="K232" s="20">
        <f t="shared" si="65"/>
        <v>0</v>
      </c>
      <c r="L232" s="20" t="str">
        <f t="shared" si="66"/>
        <v>Teusaquillo</v>
      </c>
      <c r="M232" s="20" t="str">
        <f t="shared" si="67"/>
        <v>Centro Ampliado</v>
      </c>
      <c r="N232" s="20" t="str">
        <f t="shared" si="68"/>
        <v>Teusaquillo</v>
      </c>
      <c r="O232" s="20" t="str">
        <f t="shared" si="69"/>
        <v>SÍ</v>
      </c>
      <c r="P232" s="20" t="str">
        <f t="shared" si="70"/>
        <v>Fase II: Aspiraciones Comunes</v>
      </c>
      <c r="Q232" s="20">
        <f t="shared" si="71"/>
        <v>60</v>
      </c>
      <c r="R232" s="20">
        <f t="shared" si="72"/>
        <v>7</v>
      </c>
      <c r="S232" s="20" t="str">
        <f t="shared" si="73"/>
        <v xml:space="preserve"> Pedagogía ciudadana para el manejo de la herramienta chatico - Alcaldia Teusaquillo</v>
      </c>
      <c r="T232" s="20">
        <f t="shared" si="18"/>
        <v>1</v>
      </c>
      <c r="U232" s="20" t="str">
        <f t="shared" ca="1" si="19"/>
        <v>Realizada</v>
      </c>
      <c r="V232" s="20"/>
      <c r="W232" s="20"/>
      <c r="X232" s="20"/>
      <c r="Y232" s="20"/>
    </row>
    <row r="233" spans="1:25" ht="37.5">
      <c r="A233" s="20">
        <v>275</v>
      </c>
      <c r="B233" s="20" t="str">
        <f t="shared" si="56"/>
        <v>Jornada Pégate al Plan: Pedagogía ciudadana para el manejo de la herramienta chatico - Movistar Arena</v>
      </c>
      <c r="C233" s="21">
        <f t="shared" si="57"/>
        <v>45394</v>
      </c>
      <c r="D233" s="20" t="str">
        <f t="shared" si="58"/>
        <v>OPDC</v>
      </c>
      <c r="E233" s="20" t="str">
        <f t="shared" si="59"/>
        <v>NO</v>
      </c>
      <c r="F233" s="20" t="str">
        <f t="shared" si="60"/>
        <v>Plan Distrital de Desarrollo</v>
      </c>
      <c r="G233" s="20" t="str">
        <f t="shared" si="61"/>
        <v>Presencial</v>
      </c>
      <c r="H233" s="20" t="str">
        <f t="shared" si="62"/>
        <v>Identificar las propuestas ciudadanas para la formulación del Plan de Desarrollo Distrital.</v>
      </c>
      <c r="I233" s="20" t="str">
        <f t="shared" si="63"/>
        <v>Mecanismo de Consulta Ciudadana</v>
      </c>
      <c r="J233" s="20" t="str">
        <f t="shared" si="64"/>
        <v>Multiactor</v>
      </c>
      <c r="K233" s="20">
        <f t="shared" si="65"/>
        <v>0</v>
      </c>
      <c r="L233" s="20" t="str">
        <f t="shared" si="66"/>
        <v>Teusaquillo</v>
      </c>
      <c r="M233" s="20" t="str">
        <f t="shared" si="67"/>
        <v>Centro Ampliado</v>
      </c>
      <c r="N233" s="20" t="str">
        <f t="shared" si="68"/>
        <v>Teusaquillo</v>
      </c>
      <c r="O233" s="20" t="str">
        <f t="shared" si="69"/>
        <v>SÍ</v>
      </c>
      <c r="P233" s="20" t="str">
        <f t="shared" si="70"/>
        <v>Fase II: Aspiraciones Comunes</v>
      </c>
      <c r="Q233" s="20">
        <f t="shared" si="71"/>
        <v>41</v>
      </c>
      <c r="R233" s="20">
        <f t="shared" si="72"/>
        <v>7</v>
      </c>
      <c r="S233" s="20" t="str">
        <f t="shared" si="73"/>
        <v>Pedagogía sobre Plan Distrital de Desarrollo; Priorización de propuestas</v>
      </c>
      <c r="T233" s="20">
        <f t="shared" si="18"/>
        <v>1</v>
      </c>
      <c r="U233" s="20" t="str">
        <f t="shared" ca="1" si="19"/>
        <v>Realizada</v>
      </c>
      <c r="V233" s="20"/>
      <c r="W233" s="20"/>
      <c r="X233" s="20"/>
      <c r="Y233" s="20"/>
    </row>
    <row r="234" spans="1:25" ht="37.5">
      <c r="A234" s="20">
        <v>276</v>
      </c>
      <c r="B234" s="20" t="str">
        <f t="shared" si="56"/>
        <v>Jornada Pégate al Plan: Pedagogía ciudadana para el manejo de la herramienta chatico - Universidad Católica</v>
      </c>
      <c r="C234" s="21">
        <f t="shared" si="57"/>
        <v>45394</v>
      </c>
      <c r="D234" s="20" t="str">
        <f t="shared" si="58"/>
        <v>OPDC</v>
      </c>
      <c r="E234" s="20" t="str">
        <f t="shared" si="59"/>
        <v>NO</v>
      </c>
      <c r="F234" s="20" t="str">
        <f t="shared" si="60"/>
        <v>Plan Distrital de Desarrollo</v>
      </c>
      <c r="G234" s="20" t="str">
        <f t="shared" si="61"/>
        <v>Presencial</v>
      </c>
      <c r="H234" s="20" t="str">
        <f t="shared" si="62"/>
        <v>Identificar las propuestas ciudadanas para la formulación del Plan de Desarrollo Distrital</v>
      </c>
      <c r="I234" s="20" t="str">
        <f t="shared" si="63"/>
        <v>Mecanismo de Consulta Ciudadana</v>
      </c>
      <c r="J234" s="20" t="str">
        <f t="shared" si="64"/>
        <v>Multiactor</v>
      </c>
      <c r="K234" s="20">
        <f t="shared" si="65"/>
        <v>0</v>
      </c>
      <c r="L234" s="20" t="str">
        <f t="shared" si="66"/>
        <v>Teusaquillo</v>
      </c>
      <c r="M234" s="20" t="str">
        <f t="shared" si="67"/>
        <v>Distrital</v>
      </c>
      <c r="N234" s="20" t="str">
        <f t="shared" si="68"/>
        <v>Distrital</v>
      </c>
      <c r="O234" s="20" t="str">
        <f t="shared" si="69"/>
        <v>SÍ</v>
      </c>
      <c r="P234" s="20" t="str">
        <f t="shared" si="70"/>
        <v>Fase II: Aspiraciones Comunes</v>
      </c>
      <c r="Q234" s="20">
        <f t="shared" si="71"/>
        <v>74</v>
      </c>
      <c r="R234" s="20">
        <f t="shared" si="72"/>
        <v>7</v>
      </c>
      <c r="S234" s="20" t="str">
        <f t="shared" si="73"/>
        <v>Aplicar Chatico para recoger aporte de Plan Distrital de Desarrollo</v>
      </c>
      <c r="T234" s="20">
        <f t="shared" si="18"/>
        <v>1</v>
      </c>
      <c r="U234" s="20" t="str">
        <f t="shared" ca="1" si="19"/>
        <v>Realizada</v>
      </c>
      <c r="V234" s="20"/>
      <c r="W234" s="20"/>
      <c r="X234" s="20"/>
      <c r="Y234" s="20"/>
    </row>
    <row r="235" spans="1:25" ht="61.5">
      <c r="A235" s="20">
        <v>277</v>
      </c>
      <c r="B235" s="20" t="str">
        <f t="shared" si="56"/>
        <v>Comité Coordinador Intersectorial de Participación PDD</v>
      </c>
      <c r="C235" s="21">
        <f t="shared" si="57"/>
        <v>45394</v>
      </c>
      <c r="D235" s="20" t="str">
        <f t="shared" si="58"/>
        <v>OPDC</v>
      </c>
      <c r="E235" s="20" t="str">
        <f t="shared" si="59"/>
        <v>NO</v>
      </c>
      <c r="F235" s="20" t="str">
        <f t="shared" si="60"/>
        <v>Plan Distrital de Desarrollo</v>
      </c>
      <c r="G235" s="20" t="str">
        <f t="shared" si="61"/>
        <v>Virtual</v>
      </c>
      <c r="H235" s="20" t="str">
        <f t="shared" si="62"/>
        <v xml:space="preserve">Compartir entre las entidades cabezas de sector los avances y retos de la aplicación de la segunda fase de la estrategia de participación del PDD: “Aspiraciones Comunes”  </v>
      </c>
      <c r="I235" s="20" t="str">
        <f t="shared" si="63"/>
        <v>Mecanismo de Comunicación para la Participación</v>
      </c>
      <c r="J235" s="20" t="str">
        <f t="shared" si="64"/>
        <v>Público</v>
      </c>
      <c r="K235" s="20" t="str">
        <f t="shared" si="65"/>
        <v>Servidores públicos (Distrital)</v>
      </c>
      <c r="L235" s="20" t="str">
        <f t="shared" si="66"/>
        <v>Distrital</v>
      </c>
      <c r="M235" s="20" t="str">
        <f t="shared" si="67"/>
        <v>Distrital</v>
      </c>
      <c r="N235" s="20" t="str">
        <f t="shared" si="68"/>
        <v>Distrital</v>
      </c>
      <c r="O235" s="20" t="str">
        <f t="shared" si="69"/>
        <v>SÍ</v>
      </c>
      <c r="P235" s="20" t="str">
        <f t="shared" si="70"/>
        <v>Gestión interinstitucional</v>
      </c>
      <c r="Q235" s="20">
        <f t="shared" si="71"/>
        <v>17</v>
      </c>
      <c r="R235" s="20">
        <f t="shared" si="72"/>
        <v>12</v>
      </c>
      <c r="S235" s="20" t="str">
        <f t="shared" si="73"/>
        <v>Reporte de participación en Chatico a corte del 11 de abril, Reporte por entidad en el desarrollo de las actividades y almacenamiento de evidencias</v>
      </c>
      <c r="T235" s="20">
        <f t="shared" si="18"/>
        <v>1</v>
      </c>
      <c r="U235" s="20" t="str">
        <f t="shared" ca="1" si="19"/>
        <v>Realizada</v>
      </c>
      <c r="V235" s="20"/>
      <c r="W235" s="20"/>
      <c r="X235" s="20"/>
      <c r="Y235" s="20"/>
    </row>
    <row r="236" spans="1:25" ht="37.5">
      <c r="A236" s="20">
        <v>278</v>
      </c>
      <c r="B236" s="20" t="str">
        <f t="shared" si="56"/>
        <v>Jornada Pégate al Plan: Pedagogía ciudadana para el manejo de la herramienta chatico - Audiencia de Rendición de Cuentas 2023 - FDL Kennedy</v>
      </c>
      <c r="C236" s="21">
        <f t="shared" si="57"/>
        <v>45394</v>
      </c>
      <c r="D236" s="20" t="str">
        <f t="shared" si="58"/>
        <v>OPDC</v>
      </c>
      <c r="E236" s="20" t="str">
        <f t="shared" si="59"/>
        <v>NO</v>
      </c>
      <c r="F236" s="20" t="str">
        <f t="shared" si="60"/>
        <v>Plan Distrital de Desarrollo</v>
      </c>
      <c r="G236" s="20" t="str">
        <f t="shared" si="61"/>
        <v>Presencial</v>
      </c>
      <c r="H236" s="20" t="str">
        <f t="shared" si="62"/>
        <v>Aplicar el instrumento de fase II  en el marco de la Audiencia Pública de Rendición de Cuentas 2023</v>
      </c>
      <c r="I236" s="20" t="str">
        <f t="shared" si="63"/>
        <v>Mecanismo de Consulta Ciudadana</v>
      </c>
      <c r="J236" s="20" t="str">
        <f t="shared" si="64"/>
        <v>Multiactor</v>
      </c>
      <c r="K236" s="20">
        <f t="shared" si="65"/>
        <v>0</v>
      </c>
      <c r="L236" s="20" t="str">
        <f t="shared" si="66"/>
        <v>Kennedy</v>
      </c>
      <c r="M236" s="20" t="str">
        <f t="shared" si="67"/>
        <v>Suroccidente</v>
      </c>
      <c r="N236" s="20" t="str">
        <f t="shared" si="68"/>
        <v>Kennedy</v>
      </c>
      <c r="O236" s="20" t="str">
        <f t="shared" si="69"/>
        <v>SÍ</v>
      </c>
      <c r="P236" s="20" t="str">
        <f t="shared" si="70"/>
        <v>Fase II: Aspiraciones Comunes</v>
      </c>
      <c r="Q236" s="20">
        <f t="shared" si="71"/>
        <v>150</v>
      </c>
      <c r="R236" s="20">
        <f t="shared" si="72"/>
        <v>2</v>
      </c>
      <c r="S236" s="20" t="str">
        <f t="shared" si="73"/>
        <v xml:space="preserve">Metas cumplidas, indicadores, presupuestos. </v>
      </c>
      <c r="T236" s="20">
        <f t="shared" si="18"/>
        <v>1</v>
      </c>
      <c r="U236" s="20" t="str">
        <f t="shared" ca="1" si="19"/>
        <v>Realizada</v>
      </c>
      <c r="V236" s="20"/>
      <c r="W236" s="20"/>
      <c r="X236" s="20"/>
      <c r="Y236" s="20"/>
    </row>
    <row r="237" spans="1:25" ht="49.5">
      <c r="A237" s="20">
        <v>279</v>
      </c>
      <c r="B237" s="20" t="str">
        <f t="shared" si="56"/>
        <v>Reunión Pueblo Muisca para recepción de sus propuestas en torno al PDD</v>
      </c>
      <c r="C237" s="21">
        <f t="shared" si="57"/>
        <v>45394</v>
      </c>
      <c r="D237" s="20" t="str">
        <f t="shared" si="58"/>
        <v>OPDC</v>
      </c>
      <c r="E237" s="20" t="str">
        <f t="shared" si="59"/>
        <v>NO</v>
      </c>
      <c r="F237" s="20" t="str">
        <f t="shared" si="60"/>
        <v>Plan Distrital de Desarrollo</v>
      </c>
      <c r="G237" s="20" t="str">
        <f t="shared" si="61"/>
        <v>Presencial</v>
      </c>
      <c r="H237" s="20" t="str">
        <f t="shared" si="62"/>
        <v>Realizar reunión con los Cabildos Muiscas de Suba y Bosa con la finalidad de recibir sus propuestas para el Plan Distrital de Desarrollo.</v>
      </c>
      <c r="I237" s="20" t="str">
        <f t="shared" si="63"/>
        <v>Mecanismo de Diálogo</v>
      </c>
      <c r="J237" s="20" t="str">
        <f t="shared" si="64"/>
        <v>Comunitario</v>
      </c>
      <c r="K237" s="20" t="str">
        <f t="shared" si="65"/>
        <v>Grupos focales</v>
      </c>
      <c r="L237" s="20" t="str">
        <f t="shared" si="66"/>
        <v>Distrital</v>
      </c>
      <c r="M237" s="20" t="str">
        <f t="shared" si="67"/>
        <v>Distrital</v>
      </c>
      <c r="N237" s="20" t="str">
        <f t="shared" si="68"/>
        <v>Distrital</v>
      </c>
      <c r="O237" s="20" t="str">
        <f t="shared" si="69"/>
        <v>SÍ</v>
      </c>
      <c r="P237" s="20" t="str">
        <f t="shared" si="70"/>
        <v>Fase II: Aspiraciones Comunes</v>
      </c>
      <c r="Q237" s="20">
        <f t="shared" si="71"/>
        <v>14</v>
      </c>
      <c r="R237" s="20">
        <f t="shared" si="72"/>
        <v>2</v>
      </c>
      <c r="S237" s="20" t="str">
        <f t="shared" si="73"/>
        <v xml:space="preserve">Plan Distrital de Desarrollo; Plan de Vida Muisca </v>
      </c>
      <c r="T237" s="20">
        <f t="shared" si="18"/>
        <v>1</v>
      </c>
      <c r="U237" s="20" t="str">
        <f t="shared" ca="1" si="19"/>
        <v>Realizada</v>
      </c>
      <c r="V237" s="20"/>
      <c r="W237" s="20"/>
      <c r="X237" s="20"/>
      <c r="Y237" s="20"/>
    </row>
    <row r="238" spans="1:25" ht="49.5">
      <c r="A238" s="20">
        <v>281</v>
      </c>
      <c r="B238" s="20" t="str">
        <f t="shared" si="56"/>
        <v>Plenaria CTPD</v>
      </c>
      <c r="C238" s="21">
        <f t="shared" si="57"/>
        <v>45394</v>
      </c>
      <c r="D238" s="20" t="str">
        <f t="shared" si="58"/>
        <v>INSTANCIAS</v>
      </c>
      <c r="E238" s="20" t="str">
        <f t="shared" si="59"/>
        <v>NO</v>
      </c>
      <c r="F238" s="20" t="str">
        <f t="shared" si="60"/>
        <v>CTPD (Consejo Territorial de Planeación Distrital)</v>
      </c>
      <c r="G238" s="20" t="str">
        <f t="shared" si="61"/>
        <v>Presencial</v>
      </c>
      <c r="H238" s="20" t="str">
        <f t="shared" si="62"/>
        <v>Identificar Mesas de trabajo en el marco del  PDD</v>
      </c>
      <c r="I238" s="20" t="str">
        <f t="shared" si="63"/>
        <v>Mecanismo de Seguimiento y Evaluación</v>
      </c>
      <c r="J238" s="20" t="str">
        <f t="shared" si="64"/>
        <v>Comunitario</v>
      </c>
      <c r="K238" s="20" t="str">
        <f t="shared" si="65"/>
        <v>CTPD</v>
      </c>
      <c r="L238" s="20" t="str">
        <f t="shared" si="66"/>
        <v>Distrital</v>
      </c>
      <c r="M238" s="20" t="str">
        <f t="shared" si="67"/>
        <v>Distrital</v>
      </c>
      <c r="N238" s="20" t="str">
        <f t="shared" si="68"/>
        <v>Distrital</v>
      </c>
      <c r="O238" s="20" t="str">
        <f t="shared" si="69"/>
        <v>SÍ</v>
      </c>
      <c r="P238" s="20" t="str">
        <f t="shared" si="70"/>
        <v>Gestión interinstitucional</v>
      </c>
      <c r="Q238" s="20">
        <f t="shared" si="71"/>
        <v>73</v>
      </c>
      <c r="R238" s="20">
        <f t="shared" si="72"/>
        <v>1</v>
      </c>
      <c r="S238" s="20" t="str">
        <f t="shared" si="73"/>
        <v>Mesas de trabajo CTPD y Distrito Capital para el PDD</v>
      </c>
      <c r="T238" s="20">
        <f t="shared" si="18"/>
        <v>1</v>
      </c>
      <c r="U238" s="20" t="str">
        <f t="shared" ca="1" si="19"/>
        <v>Realizada</v>
      </c>
      <c r="V238" s="20"/>
      <c r="W238" s="20"/>
      <c r="X238" s="20"/>
      <c r="Y238" s="20"/>
    </row>
    <row r="239" spans="1:25" ht="37.5">
      <c r="A239" s="20">
        <v>282</v>
      </c>
      <c r="B239" s="20" t="str">
        <f t="shared" si="56"/>
        <v>Jornada Pégate al Plan: Pedagogía ciudadana para el manejo de la herramienta chatico  - Rendición de Cuentas Alcaldía Local de Rafael Uribe Uribe</v>
      </c>
      <c r="C239" s="21">
        <f t="shared" si="57"/>
        <v>45396</v>
      </c>
      <c r="D239" s="20" t="str">
        <f t="shared" si="58"/>
        <v>OPDC</v>
      </c>
      <c r="E239" s="20" t="str">
        <f t="shared" si="59"/>
        <v>NO</v>
      </c>
      <c r="F239" s="20" t="str">
        <f t="shared" si="60"/>
        <v>Plan Distrital de Desarrollo</v>
      </c>
      <c r="G239" s="20" t="str">
        <f t="shared" si="61"/>
        <v>Presencial</v>
      </c>
      <c r="H239" s="20" t="str">
        <f t="shared" si="62"/>
        <v>Aplicación de Chatico a los asistentes de la rendición de cuentas.</v>
      </c>
      <c r="I239" s="20" t="str">
        <f t="shared" si="63"/>
        <v>Mecanismo de Consulta Ciudadana</v>
      </c>
      <c r="J239" s="20" t="str">
        <f t="shared" si="64"/>
        <v>Multiactor</v>
      </c>
      <c r="K239" s="20">
        <f t="shared" si="65"/>
        <v>0</v>
      </c>
      <c r="L239" s="20" t="str">
        <f t="shared" si="66"/>
        <v>Rafael Uribe Uribe</v>
      </c>
      <c r="M239" s="20" t="str">
        <f t="shared" si="67"/>
        <v>Suroriente</v>
      </c>
      <c r="N239" s="20" t="str">
        <f t="shared" si="68"/>
        <v>Restrepo, Rafael Uribe, San Cristobal</v>
      </c>
      <c r="O239" s="20" t="str">
        <f t="shared" si="69"/>
        <v>SÍ</v>
      </c>
      <c r="P239" s="20" t="str">
        <f t="shared" si="70"/>
        <v>Fase II: Aspiraciones Comunes</v>
      </c>
      <c r="Q239" s="20">
        <f t="shared" si="71"/>
        <v>100</v>
      </c>
      <c r="R239" s="20">
        <f t="shared" si="72"/>
        <v>2</v>
      </c>
      <c r="S239" s="20" t="str">
        <f t="shared" si="73"/>
        <v>presentar iniciativas a través de la plataforma Chatico</v>
      </c>
      <c r="T239" s="20">
        <f t="shared" si="18"/>
        <v>1</v>
      </c>
      <c r="U239" s="20" t="str">
        <f t="shared" ca="1" si="19"/>
        <v>Realizada</v>
      </c>
      <c r="V239" s="20"/>
      <c r="W239" s="20"/>
      <c r="X239" s="20"/>
      <c r="Y239" s="20"/>
    </row>
    <row r="240" spans="1:25" ht="49.5">
      <c r="A240" s="20">
        <v>283</v>
      </c>
      <c r="B240" s="20" t="str">
        <f t="shared" si="56"/>
        <v>Mesa de trabajo Comisión Poblacional- CTPD</v>
      </c>
      <c r="C240" s="21">
        <f t="shared" si="57"/>
        <v>45397</v>
      </c>
      <c r="D240" s="20" t="str">
        <f t="shared" si="58"/>
        <v>INSTANCIAS</v>
      </c>
      <c r="E240" s="20" t="str">
        <f t="shared" si="59"/>
        <v>NO</v>
      </c>
      <c r="F240" s="20" t="str">
        <f t="shared" si="60"/>
        <v>CTPD (Consejo Territorial de Planeación Distrital)</v>
      </c>
      <c r="G240" s="20" t="str">
        <f t="shared" si="61"/>
        <v>Presencial</v>
      </c>
      <c r="H240" s="20" t="str">
        <f t="shared" si="62"/>
        <v>Realizar mesas de trabajo entre el CTPD y la Administración Distrital con el propósito de discutir el concepto del PDD.</v>
      </c>
      <c r="I240" s="20" t="str">
        <f t="shared" si="63"/>
        <v>Mecanismo de Seguimiento y Evaluación</v>
      </c>
      <c r="J240" s="20" t="str">
        <f t="shared" si="64"/>
        <v>Comunitario</v>
      </c>
      <c r="K240" s="20" t="str">
        <f t="shared" si="65"/>
        <v>CTPD</v>
      </c>
      <c r="L240" s="20" t="str">
        <f t="shared" si="66"/>
        <v>Distrital</v>
      </c>
      <c r="M240" s="20" t="str">
        <f t="shared" si="67"/>
        <v>Distrital</v>
      </c>
      <c r="N240" s="20" t="str">
        <f t="shared" si="68"/>
        <v>Distrital</v>
      </c>
      <c r="O240" s="20" t="str">
        <f t="shared" si="69"/>
        <v>SÍ</v>
      </c>
      <c r="P240" s="20" t="str">
        <f t="shared" si="70"/>
        <v>Gestión interinstitucional</v>
      </c>
      <c r="Q240" s="20">
        <f t="shared" si="71"/>
        <v>15</v>
      </c>
      <c r="R240" s="20">
        <f t="shared" si="72"/>
        <v>9</v>
      </c>
      <c r="S240" s="20" t="str">
        <f t="shared" si="73"/>
        <v>Propuestas prioritarias del concepto técnico PDD - Objetivo 2</v>
      </c>
      <c r="T240" s="20">
        <f t="shared" si="18"/>
        <v>1</v>
      </c>
      <c r="U240" s="20" t="str">
        <f t="shared" ca="1" si="19"/>
        <v>Realizada</v>
      </c>
      <c r="V240" s="20"/>
      <c r="W240" s="20"/>
      <c r="X240" s="20"/>
      <c r="Y240" s="20"/>
    </row>
    <row r="241" spans="1:25" ht="37.5">
      <c r="A241" s="20">
        <v>284</v>
      </c>
      <c r="B241" s="20" t="str">
        <f t="shared" si="56"/>
        <v>Jornada Pégate al Plan: Pedagogía ciudadana para el manejo de la herramienta chatico - Supercade CAD</v>
      </c>
      <c r="C241" s="21">
        <f t="shared" si="57"/>
        <v>45397</v>
      </c>
      <c r="D241" s="20" t="str">
        <f t="shared" si="58"/>
        <v>OPDC</v>
      </c>
      <c r="E241" s="20" t="str">
        <f t="shared" si="59"/>
        <v>NO</v>
      </c>
      <c r="F241" s="20" t="str">
        <f t="shared" si="60"/>
        <v>Plan Distrital de Desarrollo</v>
      </c>
      <c r="G241" s="20" t="str">
        <f t="shared" si="61"/>
        <v>Presencial</v>
      </c>
      <c r="H241" s="20" t="str">
        <f t="shared" si="62"/>
        <v>Identificar las propuestas ciudadanas para la formulación del Plan Distrital de Desarrollo</v>
      </c>
      <c r="I241" s="20" t="str">
        <f t="shared" si="63"/>
        <v>Mecanismo de Consulta Ciudadana</v>
      </c>
      <c r="J241" s="20" t="str">
        <f t="shared" si="64"/>
        <v>Multiactor</v>
      </c>
      <c r="K241" s="20">
        <f t="shared" si="65"/>
        <v>0</v>
      </c>
      <c r="L241" s="20" t="str">
        <f t="shared" si="66"/>
        <v>Teusaquillo</v>
      </c>
      <c r="M241" s="20" t="str">
        <f t="shared" si="67"/>
        <v>Distrital</v>
      </c>
      <c r="N241" s="20" t="str">
        <f t="shared" si="68"/>
        <v>Distrital</v>
      </c>
      <c r="O241" s="20" t="str">
        <f t="shared" si="69"/>
        <v>SÍ</v>
      </c>
      <c r="P241" s="20" t="str">
        <f t="shared" si="70"/>
        <v>Fase II: Aspiraciones Comunes</v>
      </c>
      <c r="Q241" s="20">
        <f t="shared" si="71"/>
        <v>65</v>
      </c>
      <c r="R241" s="20">
        <f t="shared" si="72"/>
        <v>11</v>
      </c>
      <c r="S241" s="20" t="str">
        <f t="shared" si="73"/>
        <v>Plan Distrital de desarrollo y sus cinco objetivos</v>
      </c>
      <c r="T241" s="20">
        <f t="shared" si="18"/>
        <v>1</v>
      </c>
      <c r="U241" s="20" t="str">
        <f t="shared" ca="1" si="19"/>
        <v>Realizada</v>
      </c>
      <c r="V241" s="20"/>
      <c r="W241" s="20"/>
      <c r="X241" s="20"/>
      <c r="Y241" s="20"/>
    </row>
    <row r="242" spans="1:25" ht="61.5">
      <c r="A242" s="20">
        <v>285</v>
      </c>
      <c r="B242" s="20" t="str">
        <f t="shared" si="56"/>
        <v>Diálogo Ciudadano Población con Discapacidad Visual para la construcción del PDD</v>
      </c>
      <c r="C242" s="21">
        <f t="shared" si="57"/>
        <v>45397</v>
      </c>
      <c r="D242" s="20" t="str">
        <f t="shared" si="58"/>
        <v>OPDC</v>
      </c>
      <c r="E242" s="20" t="str">
        <f t="shared" si="59"/>
        <v>NO</v>
      </c>
      <c r="F242" s="20" t="str">
        <f t="shared" si="60"/>
        <v>Plan Distrital de Desarrollo</v>
      </c>
      <c r="G242" s="20" t="str">
        <f t="shared" si="61"/>
        <v>Presencial</v>
      </c>
      <c r="H242" s="20" t="str">
        <f t="shared" si="62"/>
        <v>Recolectar las propuestas de la población con discapacidad visual en la fase de ""Aspiraciones Comunes"" en el marco de la planeación participativa del Plan de Desarrollo Distrital</v>
      </c>
      <c r="I242" s="20" t="str">
        <f t="shared" si="63"/>
        <v>Mecanismo de Consulta Ciudadana</v>
      </c>
      <c r="J242" s="20" t="str">
        <f t="shared" si="64"/>
        <v>Comunitario</v>
      </c>
      <c r="K242" s="20" t="str">
        <f t="shared" si="65"/>
        <v>Grupos focales</v>
      </c>
      <c r="L242" s="20" t="str">
        <f t="shared" si="66"/>
        <v>Distrital</v>
      </c>
      <c r="M242" s="20" t="str">
        <f t="shared" si="67"/>
        <v>Distrital</v>
      </c>
      <c r="N242" s="20" t="str">
        <f t="shared" si="68"/>
        <v>Distrital</v>
      </c>
      <c r="O242" s="20" t="str">
        <f t="shared" si="69"/>
        <v>SÍ</v>
      </c>
      <c r="P242" s="20" t="str">
        <f t="shared" si="70"/>
        <v>Fase II: Aspiraciones Comunes</v>
      </c>
      <c r="Q242" s="20">
        <f t="shared" si="71"/>
        <v>6</v>
      </c>
      <c r="R242" s="20">
        <f t="shared" si="72"/>
        <v>5</v>
      </c>
      <c r="S242" s="20" t="str">
        <f t="shared" si="73"/>
        <v xml:space="preserve">Formulación del PDD, objetivos, programas, acciones y propuestas. </v>
      </c>
      <c r="T242" s="20">
        <f t="shared" si="18"/>
        <v>1</v>
      </c>
      <c r="U242" s="20" t="str">
        <f t="shared" ca="1" si="19"/>
        <v>Realizada</v>
      </c>
      <c r="V242" s="20"/>
      <c r="W242" s="20"/>
      <c r="X242" s="20"/>
      <c r="Y242" s="20"/>
    </row>
    <row r="243" spans="1:25" ht="74.25">
      <c r="A243" s="20">
        <v>286</v>
      </c>
      <c r="B243" s="20" t="str">
        <f t="shared" si="56"/>
        <v xml:space="preserve">Gestión: Reunión con Autoridades Indígenas de Bakatá -AIB y SDG para la construcción del PDD </v>
      </c>
      <c r="C243" s="21">
        <f t="shared" si="57"/>
        <v>45397</v>
      </c>
      <c r="D243" s="20" t="str">
        <f t="shared" si="58"/>
        <v>OPDC</v>
      </c>
      <c r="E243" s="20" t="str">
        <f t="shared" si="59"/>
        <v>NO</v>
      </c>
      <c r="F243" s="20" t="str">
        <f t="shared" si="60"/>
        <v>Plan Distrital de Desarrollo</v>
      </c>
      <c r="G243" s="20" t="str">
        <f t="shared" si="61"/>
        <v>Presencial</v>
      </c>
      <c r="H243" s="20" t="str">
        <f t="shared" si="62"/>
        <v>Dar trámite a la solicitud por parte de Otras Formas Organizativas denominadas Autoridades Indígenas de Bakata (AIB) en la armonización de un diálogo participativo en el marco del nuevo Plan de Desarrollo.</v>
      </c>
      <c r="I243" s="20" t="str">
        <f t="shared" si="63"/>
        <v>Mecanismo de Consulta Ciudadana</v>
      </c>
      <c r="J243" s="20" t="str">
        <f t="shared" si="64"/>
        <v>Multiactor</v>
      </c>
      <c r="K243" s="20">
        <f t="shared" si="65"/>
        <v>0</v>
      </c>
      <c r="L243" s="20" t="str">
        <f t="shared" si="66"/>
        <v>Distrital</v>
      </c>
      <c r="M243" s="20" t="str">
        <f t="shared" si="67"/>
        <v>Distrital</v>
      </c>
      <c r="N243" s="20" t="str">
        <f t="shared" si="68"/>
        <v>Distrital</v>
      </c>
      <c r="O243" s="20" t="str">
        <f t="shared" si="69"/>
        <v>SÍ</v>
      </c>
      <c r="P243" s="20" t="str">
        <f t="shared" si="70"/>
        <v>Gestión interinstitucional</v>
      </c>
      <c r="Q243" s="20">
        <f t="shared" si="71"/>
        <v>22</v>
      </c>
      <c r="R243" s="20">
        <f t="shared" si="72"/>
        <v>2</v>
      </c>
      <c r="S243" s="20" t="str">
        <f t="shared" si="73"/>
        <v xml:space="preserve">PDD; otras formas de gobierno; autoridades indígenas </v>
      </c>
      <c r="T243" s="20">
        <f t="shared" si="18"/>
        <v>1</v>
      </c>
      <c r="U243" s="20" t="str">
        <f t="shared" ca="1" si="19"/>
        <v>Realizada</v>
      </c>
      <c r="V243" s="20"/>
      <c r="W243" s="20"/>
      <c r="X243" s="20"/>
      <c r="Y243" s="20"/>
    </row>
    <row r="244" spans="1:25" ht="37.5">
      <c r="A244" s="20">
        <v>287</v>
      </c>
      <c r="B244" s="20" t="str">
        <f t="shared" si="56"/>
        <v>Reunión Líder stonewall</v>
      </c>
      <c r="C244" s="21">
        <f t="shared" si="57"/>
        <v>45397</v>
      </c>
      <c r="D244" s="20" t="str">
        <f t="shared" si="58"/>
        <v>OPDC</v>
      </c>
      <c r="E244" s="20" t="str">
        <f t="shared" si="59"/>
        <v>NO</v>
      </c>
      <c r="F244" s="20" t="str">
        <f t="shared" si="60"/>
        <v>Política Pública LGBTI</v>
      </c>
      <c r="G244" s="20" t="str">
        <f t="shared" si="61"/>
        <v>Presencial</v>
      </c>
      <c r="H244" s="20" t="str">
        <f t="shared" si="62"/>
        <v>Realizar articulación y apoyo a evento, en cumplimiento al plan de acción de la política pública LGBTI</v>
      </c>
      <c r="I244" s="20" t="str">
        <f t="shared" si="63"/>
        <v>Gestión Institucional</v>
      </c>
      <c r="J244" s="20" t="str">
        <f t="shared" si="64"/>
        <v>Comunitario</v>
      </c>
      <c r="K244" s="20">
        <f t="shared" si="65"/>
        <v>0</v>
      </c>
      <c r="L244" s="20" t="str">
        <f t="shared" si="66"/>
        <v>Distrital</v>
      </c>
      <c r="M244" s="20" t="str">
        <f t="shared" si="67"/>
        <v>Distrital</v>
      </c>
      <c r="N244" s="20" t="str">
        <f t="shared" si="68"/>
        <v>Distrital</v>
      </c>
      <c r="O244" s="20" t="str">
        <f t="shared" si="69"/>
        <v>NO</v>
      </c>
      <c r="P244" s="20" t="str">
        <f t="shared" si="70"/>
        <v>No aplica</v>
      </c>
      <c r="Q244" s="20">
        <f t="shared" si="71"/>
        <v>3</v>
      </c>
      <c r="R244" s="20">
        <f t="shared" si="72"/>
        <v>2</v>
      </c>
      <c r="S244" s="20" t="str">
        <f t="shared" si="73"/>
        <v xml:space="preserve">Articulación para apoyo a la organización stonewall dando cumplimiento al plan de acción de la política pública LGBTI </v>
      </c>
      <c r="T244" s="20">
        <f t="shared" si="18"/>
        <v>1</v>
      </c>
      <c r="U244" s="20" t="str">
        <f t="shared" ca="1" si="19"/>
        <v>Realizada</v>
      </c>
      <c r="V244" s="20"/>
      <c r="W244" s="20"/>
      <c r="X244" s="20"/>
      <c r="Y244" s="20"/>
    </row>
    <row r="245" spans="1:25" ht="49.5">
      <c r="A245" s="20">
        <v>289</v>
      </c>
      <c r="B245" s="20" t="str">
        <f t="shared" si="56"/>
        <v>CLIP - Puente Aranda</v>
      </c>
      <c r="C245" s="21">
        <f t="shared" si="57"/>
        <v>45398</v>
      </c>
      <c r="D245" s="20" t="str">
        <f t="shared" si="58"/>
        <v>INSTANCIAS</v>
      </c>
      <c r="E245" s="20" t="str">
        <f t="shared" si="59"/>
        <v>NO</v>
      </c>
      <c r="F245" s="20" t="str">
        <f t="shared" si="60"/>
        <v>CLIP (Comisión Local Intersectorial de Participación)</v>
      </c>
      <c r="G245" s="20" t="str">
        <f t="shared" si="61"/>
        <v>Presencial</v>
      </c>
      <c r="H245" s="20" t="str">
        <f t="shared" si="62"/>
        <v>Acompañar la articulación de los esfuerzos institucionales de participación en la localidad de Puente Aranda.</v>
      </c>
      <c r="I245" s="20" t="str">
        <f t="shared" si="63"/>
        <v>Gestión Institucional</v>
      </c>
      <c r="J245" s="20" t="str">
        <f t="shared" si="64"/>
        <v>Público</v>
      </c>
      <c r="K245" s="20" t="str">
        <f t="shared" si="65"/>
        <v>Servidores públicos (local)</v>
      </c>
      <c r="L245" s="20" t="str">
        <f t="shared" si="66"/>
        <v>Puente Aranda</v>
      </c>
      <c r="M245" s="20" t="str">
        <f t="shared" si="67"/>
        <v>Centro Ampliado</v>
      </c>
      <c r="N245" s="20" t="str">
        <f t="shared" si="68"/>
        <v>Puente Aranda</v>
      </c>
      <c r="O245" s="20" t="str">
        <f t="shared" si="69"/>
        <v>NO</v>
      </c>
      <c r="P245" s="20" t="str">
        <f t="shared" si="70"/>
        <v>No aplica</v>
      </c>
      <c r="Q245" s="20">
        <f t="shared" si="71"/>
        <v>16</v>
      </c>
      <c r="R245" s="20">
        <f t="shared" si="72"/>
        <v>1</v>
      </c>
      <c r="S245" s="20" t="str">
        <f t="shared" si="73"/>
        <v xml:space="preserve">Dialogos Ciudadanos, Herramienta Chatico e informe de propuestas, Audiencia Publica de Plan Plurianual </v>
      </c>
      <c r="T245" s="20">
        <f t="shared" si="18"/>
        <v>1</v>
      </c>
      <c r="U245" s="20" t="str">
        <f t="shared" ca="1" si="19"/>
        <v>Realizada</v>
      </c>
      <c r="V245" s="20"/>
      <c r="W245" s="20"/>
      <c r="X245" s="20"/>
      <c r="Y245" s="20"/>
    </row>
    <row r="246" spans="1:25" ht="49.5">
      <c r="A246" s="20">
        <v>304</v>
      </c>
      <c r="B246" s="20" t="str">
        <f t="shared" si="56"/>
        <v>CLIP Kennedy</v>
      </c>
      <c r="C246" s="21">
        <f t="shared" si="57"/>
        <v>45399</v>
      </c>
      <c r="D246" s="20" t="str">
        <f t="shared" si="58"/>
        <v>INSTANCIAS</v>
      </c>
      <c r="E246" s="20" t="str">
        <f t="shared" si="59"/>
        <v>NO</v>
      </c>
      <c r="F246" s="20" t="str">
        <f t="shared" si="60"/>
        <v>CLIP (Comisión Local Intersectorial de Participación)</v>
      </c>
      <c r="G246" s="20" t="str">
        <f t="shared" si="61"/>
        <v>Presencial</v>
      </c>
      <c r="H246" s="20" t="str">
        <f t="shared" si="62"/>
        <v>Acompañar la articulación de los esfuerzos institucionales de participación en la localidad de Kennedy</v>
      </c>
      <c r="I246" s="20" t="str">
        <f t="shared" si="63"/>
        <v>Gestión Institucional</v>
      </c>
      <c r="J246" s="20" t="str">
        <f t="shared" si="64"/>
        <v>Público</v>
      </c>
      <c r="K246" s="20" t="str">
        <f t="shared" si="65"/>
        <v>Servidores públicos (local)</v>
      </c>
      <c r="L246" s="20" t="str">
        <f t="shared" si="66"/>
        <v>Kennedy</v>
      </c>
      <c r="M246" s="20" t="str">
        <f t="shared" si="67"/>
        <v>Suroccidente</v>
      </c>
      <c r="N246" s="20" t="str">
        <f t="shared" si="68"/>
        <v>Kennedy, Patio Bonito, Tintal</v>
      </c>
      <c r="O246" s="20" t="str">
        <f t="shared" si="69"/>
        <v>NO</v>
      </c>
      <c r="P246" s="20" t="str">
        <f t="shared" si="70"/>
        <v>No aplica</v>
      </c>
      <c r="Q246" s="20">
        <f t="shared" si="71"/>
        <v>15</v>
      </c>
      <c r="R246" s="20">
        <f t="shared" si="72"/>
        <v>1</v>
      </c>
      <c r="S246" s="20" t="str">
        <f t="shared" si="73"/>
        <v>Encuentros ciudadanos Alcaldía Local de Kennedy.Programa Jóvenes en Paz. Fase  II Plan Distrital de Desarrollo y Politica pública de participación.</v>
      </c>
      <c r="T246" s="20">
        <f t="shared" si="18"/>
        <v>1</v>
      </c>
      <c r="U246" s="20" t="str">
        <f t="shared" ca="1" si="19"/>
        <v>Realizada</v>
      </c>
      <c r="V246" s="20"/>
      <c r="W246" s="20"/>
      <c r="X246" s="20"/>
      <c r="Y246" s="20"/>
    </row>
    <row r="247" spans="1:25" ht="74.25">
      <c r="A247" s="20">
        <v>305</v>
      </c>
      <c r="B247" s="20" t="str">
        <f t="shared" si="56"/>
        <v>Primer comité de participación ciudadana - Proyecto Manzana del cuidado del Porvenir Gibraltar</v>
      </c>
      <c r="C247" s="21">
        <f t="shared" si="57"/>
        <v>45399</v>
      </c>
      <c r="D247" s="20" t="str">
        <f t="shared" si="58"/>
        <v>OPDC</v>
      </c>
      <c r="E247" s="20" t="str">
        <f t="shared" si="59"/>
        <v>SÍ</v>
      </c>
      <c r="F247" s="20" t="str">
        <f t="shared" si="60"/>
        <v>Proyectos Integrales de Proximidad</v>
      </c>
      <c r="G247" s="20" t="str">
        <f t="shared" si="61"/>
        <v>Presencial</v>
      </c>
      <c r="H247" s="20" t="str">
        <f t="shared" si="62"/>
        <v>Acompañar el primer comité de participación ciudadana del contrato de la Manzana del cuidado del Porvenir (Gibraltar) en donde se informaran aspectos importantes sobre el avance del proyecto.</v>
      </c>
      <c r="I247" s="20" t="str">
        <f t="shared" si="63"/>
        <v>Mecanismo de Comunicación para la Participación</v>
      </c>
      <c r="J247" s="20" t="str">
        <f t="shared" si="64"/>
        <v>Multiactor</v>
      </c>
      <c r="K247" s="20">
        <f t="shared" si="65"/>
        <v>0</v>
      </c>
      <c r="L247" s="20" t="str">
        <f t="shared" si="66"/>
        <v>Kennedy</v>
      </c>
      <c r="M247" s="20" t="str">
        <f t="shared" si="67"/>
        <v>Suroccidente</v>
      </c>
      <c r="N247" s="20" t="str">
        <f t="shared" si="68"/>
        <v>Kennedy</v>
      </c>
      <c r="O247" s="20" t="str">
        <f t="shared" si="69"/>
        <v>NO</v>
      </c>
      <c r="P247" s="20" t="str">
        <f t="shared" si="70"/>
        <v>No aplica</v>
      </c>
      <c r="Q247" s="20">
        <f t="shared" si="71"/>
        <v>40</v>
      </c>
      <c r="R247" s="20">
        <f t="shared" si="72"/>
        <v>1</v>
      </c>
      <c r="S247" s="20" t="str">
        <f t="shared" si="73"/>
        <v xml:space="preserve">Avances en contenido ambiental, fauna, seguridad y salud en el trabajo; y social. </v>
      </c>
      <c r="T247" s="20">
        <f t="shared" si="18"/>
        <v>1</v>
      </c>
      <c r="U247" s="20" t="str">
        <f t="shared" ca="1" si="19"/>
        <v>Realizada</v>
      </c>
      <c r="V247" s="20"/>
      <c r="W247" s="20"/>
      <c r="X247" s="20"/>
      <c r="Y247" s="20"/>
    </row>
    <row r="248" spans="1:25" ht="49.5">
      <c r="A248" s="20">
        <v>315</v>
      </c>
      <c r="B248" s="20" t="str">
        <f t="shared" si="56"/>
        <v>Encuentro ciudadano Cabildo Muisca de Suba</v>
      </c>
      <c r="C248" s="21">
        <f t="shared" si="57"/>
        <v>45400</v>
      </c>
      <c r="D248" s="20" t="str">
        <f t="shared" si="58"/>
        <v>OPDC</v>
      </c>
      <c r="E248" s="20" t="str">
        <f t="shared" si="59"/>
        <v>NO</v>
      </c>
      <c r="F248" s="20" t="str">
        <f t="shared" si="60"/>
        <v>Plan Distrital de Desarrollo</v>
      </c>
      <c r="G248" s="20" t="str">
        <f t="shared" si="61"/>
        <v>Presencial</v>
      </c>
      <c r="H248" s="20" t="str">
        <f t="shared" si="62"/>
        <v>Acompañar al Cabildo Muisca de Suba en la realización del encuentro ciudadano en relación del Plan Distrital de Desarrollo.</v>
      </c>
      <c r="I248" s="20" t="str">
        <f t="shared" si="63"/>
        <v>Gestión Institucional</v>
      </c>
      <c r="J248" s="20" t="str">
        <f t="shared" si="64"/>
        <v>Comunitario</v>
      </c>
      <c r="K248" s="20" t="str">
        <f t="shared" si="65"/>
        <v>Grupos focales</v>
      </c>
      <c r="L248" s="20" t="str">
        <f t="shared" si="66"/>
        <v>Distrital</v>
      </c>
      <c r="M248" s="20" t="str">
        <f t="shared" si="67"/>
        <v>Noroccidente</v>
      </c>
      <c r="N248" s="20" t="str">
        <f t="shared" si="68"/>
        <v>Suba</v>
      </c>
      <c r="O248" s="20" t="str">
        <f t="shared" si="69"/>
        <v>SÍ</v>
      </c>
      <c r="P248" s="20" t="str">
        <f t="shared" si="70"/>
        <v>Gestión interinstitucional</v>
      </c>
      <c r="Q248" s="20">
        <f t="shared" si="71"/>
        <v>248</v>
      </c>
      <c r="R248" s="20">
        <f t="shared" si="72"/>
        <v>4</v>
      </c>
      <c r="S248" s="20" t="str">
        <f t="shared" si="73"/>
        <v xml:space="preserve">Plan Distrital de Desarrollo; Plan de Desarrollo Local; Pueblo Muisca; </v>
      </c>
      <c r="T248" s="20">
        <f t="shared" si="18"/>
        <v>1</v>
      </c>
      <c r="U248" s="20" t="str">
        <f t="shared" ca="1" si="19"/>
        <v>Realizada</v>
      </c>
      <c r="V248" s="20"/>
      <c r="W248" s="20"/>
      <c r="X248" s="20"/>
      <c r="Y248" s="20"/>
    </row>
    <row r="249" spans="1:25" ht="74.25">
      <c r="A249" s="20">
        <v>316</v>
      </c>
      <c r="B249" s="20" t="str">
        <f t="shared" si="56"/>
        <v>Audiencia PPI-Formulación PDD- Localidad Ciudad Bolívar</v>
      </c>
      <c r="C249" s="21">
        <f t="shared" si="57"/>
        <v>45400</v>
      </c>
      <c r="D249" s="20" t="str">
        <f t="shared" si="58"/>
        <v>OPDC</v>
      </c>
      <c r="E249" s="20" t="str">
        <f t="shared" si="59"/>
        <v>NO</v>
      </c>
      <c r="F249" s="20" t="str">
        <f t="shared" si="60"/>
        <v>Plan Distrital de Desarrollo</v>
      </c>
      <c r="G249" s="20" t="str">
        <f t="shared" si="61"/>
        <v>Presencial</v>
      </c>
      <c r="H249" s="20" t="str">
        <f t="shared" si="62"/>
        <v>Promover la información sobre la formulación del Plan Plurianual de Inversiones de Bogotá, para que la ciudadanía interesada pueda realizar propuestas de priorización de las inversiones,</v>
      </c>
      <c r="I249" s="20" t="str">
        <f t="shared" si="63"/>
        <v>Mecanismo de Diálogo</v>
      </c>
      <c r="J249" s="20" t="str">
        <f t="shared" si="64"/>
        <v>Multiactor</v>
      </c>
      <c r="K249" s="20">
        <f t="shared" si="65"/>
        <v>0</v>
      </c>
      <c r="L249" s="20" t="str">
        <f t="shared" si="66"/>
        <v>Ciudad Bolívar</v>
      </c>
      <c r="M249" s="20" t="str">
        <f t="shared" si="67"/>
        <v>Suroriente, Ruralidad</v>
      </c>
      <c r="N249" s="20" t="str">
        <f t="shared" si="68"/>
        <v>Arborizadora, Lucero, Cuenca del Tunjuelo</v>
      </c>
      <c r="O249" s="20" t="str">
        <f t="shared" si="69"/>
        <v>SÍ</v>
      </c>
      <c r="P249" s="20" t="str">
        <f t="shared" si="70"/>
        <v>Fase II: Aspiraciones Comunes</v>
      </c>
      <c r="Q249" s="20">
        <f t="shared" si="71"/>
        <v>57</v>
      </c>
      <c r="R249" s="20">
        <f t="shared" si="72"/>
        <v>5</v>
      </c>
      <c r="S249" s="20" t="str">
        <f t="shared" si="73"/>
        <v>Plan Plurianual de Inversiones , Priorización de presupuestos, programas, estrategias y objetivos del PDD</v>
      </c>
      <c r="T249" s="20">
        <f t="shared" si="18"/>
        <v>1</v>
      </c>
      <c r="U249" s="20" t="str">
        <f t="shared" ca="1" si="19"/>
        <v>Realizada</v>
      </c>
      <c r="V249" s="20"/>
      <c r="W249" s="20"/>
      <c r="X249" s="20"/>
      <c r="Y249" s="20"/>
    </row>
    <row r="250" spans="1:25" ht="74.25">
      <c r="A250" s="20">
        <v>317</v>
      </c>
      <c r="B250" s="20" t="str">
        <f t="shared" si="56"/>
        <v>Audiencia PPI-Formulación PDD- Localidad Usaquén</v>
      </c>
      <c r="C250" s="21">
        <f t="shared" si="57"/>
        <v>45400</v>
      </c>
      <c r="D250" s="20" t="str">
        <f t="shared" si="58"/>
        <v>OPDC</v>
      </c>
      <c r="E250" s="20" t="str">
        <f t="shared" si="59"/>
        <v>NO</v>
      </c>
      <c r="F250" s="20" t="str">
        <f t="shared" si="60"/>
        <v>Plan Distrital de Desarrollo</v>
      </c>
      <c r="G250" s="20" t="str">
        <f t="shared" si="61"/>
        <v>Presencial</v>
      </c>
      <c r="H250" s="20" t="str">
        <f t="shared" si="62"/>
        <v>Promover la información sobre la formulación del Plan Plurianual de Inversiones de Bogotá, para que la ciudadanía interesada pueda realizar propuestas de priorización de las inversiones,</v>
      </c>
      <c r="I250" s="20" t="str">
        <f t="shared" si="63"/>
        <v>Mecanismo de Diálogo</v>
      </c>
      <c r="J250" s="20" t="str">
        <f t="shared" si="64"/>
        <v>Multiactor</v>
      </c>
      <c r="K250" s="20">
        <f t="shared" si="65"/>
        <v>0</v>
      </c>
      <c r="L250" s="20" t="str">
        <f t="shared" si="66"/>
        <v>Usaquén</v>
      </c>
      <c r="M250" s="20" t="str">
        <f t="shared" si="67"/>
        <v>Norte</v>
      </c>
      <c r="N250" s="20" t="str">
        <f t="shared" si="68"/>
        <v>Usaquén</v>
      </c>
      <c r="O250" s="20" t="str">
        <f t="shared" si="69"/>
        <v>SÍ</v>
      </c>
      <c r="P250" s="20" t="str">
        <f t="shared" si="70"/>
        <v>Fase II: Aspiraciones Comunes</v>
      </c>
      <c r="Q250" s="20">
        <f t="shared" si="71"/>
        <v>36</v>
      </c>
      <c r="R250" s="20">
        <f t="shared" si="72"/>
        <v>5</v>
      </c>
      <c r="S250" s="20" t="str">
        <f t="shared" si="73"/>
        <v>Plan Plurianual de Inversiones , Priorización de presupuestos, programas, estrategias y objetivos del PDD</v>
      </c>
      <c r="T250" s="20">
        <f t="shared" si="18"/>
        <v>1</v>
      </c>
      <c r="U250" s="20" t="str">
        <f t="shared" ca="1" si="19"/>
        <v>Realizada</v>
      </c>
      <c r="V250" s="20"/>
      <c r="W250" s="20"/>
      <c r="X250" s="20"/>
      <c r="Y250" s="20"/>
    </row>
    <row r="251" spans="1:25" ht="74.25">
      <c r="A251" s="20">
        <v>318</v>
      </c>
      <c r="B251" s="20" t="str">
        <f t="shared" si="56"/>
        <v>Audiencia PPI-Formulación PDD- Localidad Chapinero</v>
      </c>
      <c r="C251" s="21">
        <f t="shared" si="57"/>
        <v>45400</v>
      </c>
      <c r="D251" s="20" t="str">
        <f t="shared" si="58"/>
        <v>OPDC</v>
      </c>
      <c r="E251" s="20" t="str">
        <f t="shared" si="59"/>
        <v>NO</v>
      </c>
      <c r="F251" s="20" t="str">
        <f t="shared" si="60"/>
        <v>Plan Distrital de Desarrollo</v>
      </c>
      <c r="G251" s="20" t="str">
        <f t="shared" si="61"/>
        <v>Presencial</v>
      </c>
      <c r="H251" s="20" t="str">
        <f t="shared" si="62"/>
        <v>Promover la información sobre la formulación del Plan Plurianual de Inversiones de Bogotá, para que la ciudadanía interesada pueda realizar propuestas de priorización de las inversiones,</v>
      </c>
      <c r="I251" s="20" t="str">
        <f t="shared" si="63"/>
        <v>Mecanismo de Diálogo</v>
      </c>
      <c r="J251" s="20" t="str">
        <f t="shared" si="64"/>
        <v>Multiactor</v>
      </c>
      <c r="K251" s="20">
        <f t="shared" si="65"/>
        <v>0</v>
      </c>
      <c r="L251" s="20" t="str">
        <f t="shared" si="66"/>
        <v>Chapinero</v>
      </c>
      <c r="M251" s="20" t="str">
        <f t="shared" si="67"/>
        <v>Centro Ampliado</v>
      </c>
      <c r="N251" s="20" t="str">
        <f t="shared" si="68"/>
        <v>Chapinero, Cerros Orientales</v>
      </c>
      <c r="O251" s="20" t="str">
        <f t="shared" si="69"/>
        <v>SÍ</v>
      </c>
      <c r="P251" s="20" t="str">
        <f t="shared" si="70"/>
        <v>Fase II: Aspiraciones Comunes</v>
      </c>
      <c r="Q251" s="20">
        <f t="shared" si="71"/>
        <v>37</v>
      </c>
      <c r="R251" s="20">
        <f t="shared" si="72"/>
        <v>4</v>
      </c>
      <c r="S251" s="20" t="str">
        <f t="shared" si="73"/>
        <v>Plan Plurianual de Inversiones , Priorización de presupuestos, programas, estrategias y objetivos del PDD</v>
      </c>
      <c r="T251" s="20">
        <f t="shared" si="18"/>
        <v>1</v>
      </c>
      <c r="U251" s="20" t="str">
        <f t="shared" ca="1" si="19"/>
        <v>Realizada</v>
      </c>
      <c r="V251" s="20"/>
      <c r="W251" s="20"/>
      <c r="X251" s="20"/>
      <c r="Y251" s="20"/>
    </row>
    <row r="252" spans="1:25" ht="74.25">
      <c r="A252" s="20">
        <v>319</v>
      </c>
      <c r="B252" s="20" t="str">
        <f t="shared" si="56"/>
        <v>Audiencia PPI-Formulación PDD- Localidad Usme</v>
      </c>
      <c r="C252" s="21">
        <f t="shared" si="57"/>
        <v>45400</v>
      </c>
      <c r="D252" s="20" t="str">
        <f t="shared" si="58"/>
        <v>OPDC</v>
      </c>
      <c r="E252" s="20" t="str">
        <f t="shared" si="59"/>
        <v>NO</v>
      </c>
      <c r="F252" s="20" t="str">
        <f t="shared" si="60"/>
        <v>Plan Distrital de Desarrollo</v>
      </c>
      <c r="G252" s="20" t="str">
        <f t="shared" si="61"/>
        <v>Presencial</v>
      </c>
      <c r="H252" s="20" t="str">
        <f t="shared" si="62"/>
        <v>Promover la información sobre la formulación del Plan Plurianual de Inversiones de Bogotá, para que la ciudadanía interesada pueda realizar propuestas de priorización de las inversiones,</v>
      </c>
      <c r="I252" s="20" t="str">
        <f t="shared" si="63"/>
        <v>Mecanismo de Diálogo</v>
      </c>
      <c r="J252" s="20" t="str">
        <f t="shared" si="64"/>
        <v>Multiactor</v>
      </c>
      <c r="K252" s="20">
        <f t="shared" si="65"/>
        <v>0</v>
      </c>
      <c r="L252" s="20" t="str">
        <f t="shared" si="66"/>
        <v>Usme</v>
      </c>
      <c r="M252" s="20" t="str">
        <f t="shared" si="67"/>
        <v>Suroriente, Ruralidad</v>
      </c>
      <c r="N252" s="20" t="str">
        <f t="shared" si="68"/>
        <v>Usme Entrenubes, Rafael Uribe, Cuenca del Tunjuelo, Cerros Orientales</v>
      </c>
      <c r="O252" s="20" t="str">
        <f t="shared" si="69"/>
        <v>SÍ</v>
      </c>
      <c r="P252" s="20" t="str">
        <f t="shared" si="70"/>
        <v>Fase II: Aspiraciones Comunes</v>
      </c>
      <c r="Q252" s="20">
        <f t="shared" si="71"/>
        <v>17</v>
      </c>
      <c r="R252" s="20">
        <f t="shared" si="72"/>
        <v>4</v>
      </c>
      <c r="S252" s="20" t="str">
        <f t="shared" si="73"/>
        <v>Plan Plurianual de Inversiones , Priorización de presupuestos, programas, estrategias y objetivos del PDD</v>
      </c>
      <c r="T252" s="20">
        <f t="shared" si="18"/>
        <v>1</v>
      </c>
      <c r="U252" s="20" t="str">
        <f t="shared" ca="1" si="19"/>
        <v>Realizada</v>
      </c>
      <c r="V252" s="20"/>
      <c r="W252" s="20"/>
      <c r="X252" s="20"/>
      <c r="Y252" s="20"/>
    </row>
    <row r="253" spans="1:25" ht="74.25">
      <c r="A253" s="20">
        <v>320</v>
      </c>
      <c r="B253" s="20" t="str">
        <f t="shared" si="56"/>
        <v>Audiencia PPI-Formulación PDD- Localidad Antonio Nariño</v>
      </c>
      <c r="C253" s="21">
        <f t="shared" si="57"/>
        <v>45400</v>
      </c>
      <c r="D253" s="20" t="str">
        <f t="shared" si="58"/>
        <v>OPDC</v>
      </c>
      <c r="E253" s="20" t="str">
        <f t="shared" si="59"/>
        <v>NO</v>
      </c>
      <c r="F253" s="20" t="str">
        <f t="shared" si="60"/>
        <v>Plan Distrital de Desarrollo</v>
      </c>
      <c r="G253" s="20" t="str">
        <f t="shared" si="61"/>
        <v>Presencial</v>
      </c>
      <c r="H253" s="20" t="str">
        <f t="shared" si="62"/>
        <v>Promover la información sobre la formulación del Plan Plurianual de Inversiones de Bogotá, para que la ciudadanía interesada pueda realizar propuestas de priorización de las inversiones,</v>
      </c>
      <c r="I253" s="20" t="str">
        <f t="shared" si="63"/>
        <v>Mecanismo de Diálogo</v>
      </c>
      <c r="J253" s="20" t="str">
        <f t="shared" si="64"/>
        <v>Multiactor</v>
      </c>
      <c r="K253" s="20">
        <f t="shared" si="65"/>
        <v>0</v>
      </c>
      <c r="L253" s="20" t="str">
        <f t="shared" si="66"/>
        <v>Antonio Nariño</v>
      </c>
      <c r="M253" s="20" t="str">
        <f t="shared" si="67"/>
        <v>Centro Ampliado</v>
      </c>
      <c r="N253" s="20" t="str">
        <f t="shared" si="68"/>
        <v>Restrepo</v>
      </c>
      <c r="O253" s="20" t="str">
        <f t="shared" si="69"/>
        <v>SÍ</v>
      </c>
      <c r="P253" s="20" t="str">
        <f t="shared" si="70"/>
        <v>Fase II: Aspiraciones Comunes</v>
      </c>
      <c r="Q253" s="20">
        <f t="shared" si="71"/>
        <v>79</v>
      </c>
      <c r="R253" s="20">
        <f t="shared" si="72"/>
        <v>4</v>
      </c>
      <c r="S253" s="20" t="str">
        <f t="shared" si="73"/>
        <v>Plan Plurianual de Inversiones , Priorización de presupuestos, programas, estrategias y objetivos del PDD</v>
      </c>
      <c r="T253" s="20">
        <f t="shared" si="18"/>
        <v>1</v>
      </c>
      <c r="U253" s="20" t="str">
        <f t="shared" ca="1" si="19"/>
        <v>Realizada</v>
      </c>
      <c r="V253" s="20"/>
      <c r="W253" s="20"/>
      <c r="X253" s="20"/>
      <c r="Y253" s="20"/>
    </row>
    <row r="254" spans="1:25" ht="74.25">
      <c r="A254" s="20">
        <v>321</v>
      </c>
      <c r="B254" s="20" t="str">
        <f t="shared" si="56"/>
        <v>Audiencia PPI-Formulación PDD- Localidad Santa Fe</v>
      </c>
      <c r="C254" s="21">
        <f t="shared" si="57"/>
        <v>45400</v>
      </c>
      <c r="D254" s="20" t="str">
        <f t="shared" si="58"/>
        <v>OPDC</v>
      </c>
      <c r="E254" s="20" t="str">
        <f t="shared" si="59"/>
        <v>NO</v>
      </c>
      <c r="F254" s="20" t="str">
        <f t="shared" si="60"/>
        <v>Plan Distrital de Desarrollo</v>
      </c>
      <c r="G254" s="20" t="str">
        <f t="shared" si="61"/>
        <v>Presencial</v>
      </c>
      <c r="H254" s="20" t="str">
        <f t="shared" si="62"/>
        <v>Promover la información sobre la formulación del Plan Plurianual de Inversiones de Bogotá, para que la ciudadanía interesada pueda realizar propuestas de priorización de las inversiones,</v>
      </c>
      <c r="I254" s="20" t="str">
        <f t="shared" si="63"/>
        <v>Mecanismo de Diálogo</v>
      </c>
      <c r="J254" s="20" t="str">
        <f t="shared" si="64"/>
        <v>Multiactor</v>
      </c>
      <c r="K254" s="20">
        <f t="shared" si="65"/>
        <v>0</v>
      </c>
      <c r="L254" s="20" t="str">
        <f t="shared" si="66"/>
        <v>Santa Fe</v>
      </c>
      <c r="M254" s="20" t="str">
        <f t="shared" si="67"/>
        <v>Centro Ampliado, Ruralidad</v>
      </c>
      <c r="N254" s="20" t="str">
        <f t="shared" si="68"/>
        <v>Cerros Orientales, Centro Histórico</v>
      </c>
      <c r="O254" s="20" t="str">
        <f t="shared" si="69"/>
        <v>SÍ</v>
      </c>
      <c r="P254" s="20" t="str">
        <f t="shared" si="70"/>
        <v>Fase II: Aspiraciones Comunes</v>
      </c>
      <c r="Q254" s="20">
        <f t="shared" si="71"/>
        <v>31</v>
      </c>
      <c r="R254" s="20">
        <f t="shared" si="72"/>
        <v>4</v>
      </c>
      <c r="S254" s="20" t="str">
        <f t="shared" si="73"/>
        <v>Plan Plurianual de Inversiones , Priorización de presupuestos, programas, estrategias y objetivos del PDD</v>
      </c>
      <c r="T254" s="20">
        <f t="shared" si="18"/>
        <v>1</v>
      </c>
      <c r="U254" s="20" t="str">
        <f t="shared" ca="1" si="19"/>
        <v>Realizada</v>
      </c>
      <c r="V254" s="20"/>
      <c r="W254" s="20"/>
      <c r="X254" s="20"/>
      <c r="Y254" s="20"/>
    </row>
    <row r="255" spans="1:25" ht="74.25">
      <c r="A255" s="20">
        <v>322</v>
      </c>
      <c r="B255" s="20" t="str">
        <f t="shared" si="56"/>
        <v>Audiencia PPI-Formulación PDD- Localidad Rafael Uribe Uribe</v>
      </c>
      <c r="C255" s="21">
        <f t="shared" si="57"/>
        <v>45400</v>
      </c>
      <c r="D255" s="20" t="str">
        <f t="shared" si="58"/>
        <v>OPDC</v>
      </c>
      <c r="E255" s="20" t="str">
        <f t="shared" si="59"/>
        <v>NO</v>
      </c>
      <c r="F255" s="20" t="str">
        <f t="shared" si="60"/>
        <v>Plan Distrital de Desarrollo</v>
      </c>
      <c r="G255" s="20" t="str">
        <f t="shared" si="61"/>
        <v>Presencial</v>
      </c>
      <c r="H255" s="20" t="str">
        <f t="shared" si="62"/>
        <v>Promover la información sobre la formulación del Plan Plurianual de Inversiones de Bogotá, para que la ciudadanía interesada pueda realizar propuestas de priorización de las inversiones,</v>
      </c>
      <c r="I255" s="20" t="str">
        <f t="shared" si="63"/>
        <v>Mecanismo de Diálogo</v>
      </c>
      <c r="J255" s="20" t="str">
        <f t="shared" si="64"/>
        <v>Multiactor</v>
      </c>
      <c r="K255" s="20">
        <f t="shared" si="65"/>
        <v>0</v>
      </c>
      <c r="L255" s="20" t="str">
        <f t="shared" si="66"/>
        <v>Rafael Uribe Uribe</v>
      </c>
      <c r="M255" s="20" t="str">
        <f t="shared" si="67"/>
        <v>Centro Ampliado, Suroriente</v>
      </c>
      <c r="N255" s="20" t="str">
        <f t="shared" si="68"/>
        <v>Rafael Uribe, San Cristobal, Restrepo</v>
      </c>
      <c r="O255" s="20" t="str">
        <f t="shared" si="69"/>
        <v>SÍ</v>
      </c>
      <c r="P255" s="20" t="str">
        <f t="shared" si="70"/>
        <v>Fase II: Aspiraciones Comunes</v>
      </c>
      <c r="Q255" s="20">
        <f t="shared" si="71"/>
        <v>47</v>
      </c>
      <c r="R255" s="20">
        <f t="shared" si="72"/>
        <v>6</v>
      </c>
      <c r="S255" s="20" t="str">
        <f t="shared" si="73"/>
        <v>Plan Plurianual de Inversiones , Priorización de presupuestos, programas, estrategias y objetivos del PDD</v>
      </c>
      <c r="T255" s="20">
        <f t="shared" si="18"/>
        <v>1</v>
      </c>
      <c r="U255" s="20" t="str">
        <f t="shared" ca="1" si="19"/>
        <v>Realizada</v>
      </c>
      <c r="V255" s="20"/>
      <c r="W255" s="20"/>
      <c r="X255" s="20"/>
      <c r="Y255" s="20"/>
    </row>
    <row r="256" spans="1:25" ht="74.25">
      <c r="A256" s="20">
        <v>323</v>
      </c>
      <c r="B256" s="20" t="str">
        <f t="shared" si="56"/>
        <v xml:space="preserve">Audiencia PPI-Formulación PDD- Localidad San Cristóbal </v>
      </c>
      <c r="C256" s="21">
        <f t="shared" si="57"/>
        <v>45400</v>
      </c>
      <c r="D256" s="20" t="str">
        <f t="shared" si="58"/>
        <v>OPDC</v>
      </c>
      <c r="E256" s="20" t="str">
        <f t="shared" si="59"/>
        <v>NO</v>
      </c>
      <c r="F256" s="20" t="str">
        <f t="shared" si="60"/>
        <v>Plan Distrital de Desarrollo</v>
      </c>
      <c r="G256" s="20" t="str">
        <f t="shared" si="61"/>
        <v>Presencial</v>
      </c>
      <c r="H256" s="20" t="str">
        <f t="shared" si="62"/>
        <v>Promover la información sobre la formulación del Plan Plurianual de Inversiones de Bogotá, para que la ciudadanía interesada pueda realizar propuestas de priorización de las inversiones,</v>
      </c>
      <c r="I256" s="20" t="str">
        <f t="shared" si="63"/>
        <v>Mecanismo de Diálogo</v>
      </c>
      <c r="J256" s="20" t="str">
        <f t="shared" si="64"/>
        <v>Multiactor</v>
      </c>
      <c r="K256" s="20">
        <f t="shared" si="65"/>
        <v>0</v>
      </c>
      <c r="L256" s="20" t="str">
        <f t="shared" si="66"/>
        <v>San Cristóbal</v>
      </c>
      <c r="M256" s="20" t="str">
        <f t="shared" si="67"/>
        <v>Suroriente</v>
      </c>
      <c r="N256" s="20" t="str">
        <f t="shared" si="68"/>
        <v>San Cristobal, Cerros Orientales</v>
      </c>
      <c r="O256" s="20" t="str">
        <f t="shared" si="69"/>
        <v>SÍ</v>
      </c>
      <c r="P256" s="20" t="str">
        <f t="shared" si="70"/>
        <v>Fase II: Aspiraciones Comunes</v>
      </c>
      <c r="Q256" s="20">
        <f t="shared" si="71"/>
        <v>18</v>
      </c>
      <c r="R256" s="20">
        <f t="shared" si="72"/>
        <v>6</v>
      </c>
      <c r="S256" s="20" t="str">
        <f t="shared" si="73"/>
        <v>Plan Plurianual de Inversiones , Priorización de presupuestos, programas, estrategias y objetivos del PDD</v>
      </c>
      <c r="T256" s="20">
        <f t="shared" si="18"/>
        <v>1</v>
      </c>
      <c r="U256" s="20" t="str">
        <f t="shared" ca="1" si="19"/>
        <v>Realizada</v>
      </c>
      <c r="V256" s="20"/>
      <c r="W256" s="20"/>
      <c r="X256" s="20"/>
      <c r="Y256" s="20"/>
    </row>
    <row r="257" spans="1:25" ht="74.25">
      <c r="A257" s="20">
        <v>324</v>
      </c>
      <c r="B257" s="20" t="str">
        <f t="shared" si="56"/>
        <v xml:space="preserve">Audiencia PPI-Formulación PDD- Localidad Barrios Unidos </v>
      </c>
      <c r="C257" s="21">
        <f t="shared" si="57"/>
        <v>45400</v>
      </c>
      <c r="D257" s="20" t="str">
        <f t="shared" si="58"/>
        <v>OPDC</v>
      </c>
      <c r="E257" s="20" t="str">
        <f t="shared" si="59"/>
        <v>NO</v>
      </c>
      <c r="F257" s="20" t="str">
        <f t="shared" si="60"/>
        <v>Plan Distrital de Desarrollo</v>
      </c>
      <c r="G257" s="20" t="str">
        <f t="shared" si="61"/>
        <v>Presencial</v>
      </c>
      <c r="H257" s="20" t="str">
        <f t="shared" si="62"/>
        <v>Promover la información sobre la formulación del Plan Plurianual de Inversiones de Bogotá, para que la ciudadanía interesada pueda realizar propuestas de priorización de las inversiones,</v>
      </c>
      <c r="I257" s="20" t="str">
        <f t="shared" si="63"/>
        <v>Mecanismo de Diálogo</v>
      </c>
      <c r="J257" s="20" t="str">
        <f t="shared" si="64"/>
        <v>Multiactor</v>
      </c>
      <c r="K257" s="20">
        <f t="shared" si="65"/>
        <v>0</v>
      </c>
      <c r="L257" s="20" t="str">
        <f t="shared" si="66"/>
        <v>Barrios Unidos</v>
      </c>
      <c r="M257" s="20" t="str">
        <f t="shared" si="67"/>
        <v>Centro Ampliado</v>
      </c>
      <c r="N257" s="20" t="str">
        <f t="shared" si="68"/>
        <v>Barrios Unidos</v>
      </c>
      <c r="O257" s="20" t="str">
        <f t="shared" si="69"/>
        <v>SÍ</v>
      </c>
      <c r="P257" s="20" t="str">
        <f t="shared" si="70"/>
        <v>Fase II: Aspiraciones Comunes</v>
      </c>
      <c r="Q257" s="20">
        <f t="shared" si="71"/>
        <v>10</v>
      </c>
      <c r="R257" s="20">
        <f t="shared" si="72"/>
        <v>7</v>
      </c>
      <c r="S257" s="20" t="str">
        <f t="shared" si="73"/>
        <v>Plan Plurianual de Inversiones , Priorización de presupuestos, programas, estrategias y objetivos del PDD</v>
      </c>
      <c r="T257" s="20">
        <f t="shared" ref="T257:T413" si="74">COUNTA(A257)</f>
        <v>1</v>
      </c>
      <c r="U257" s="20" t="str">
        <f t="shared" ref="U257:U413" ca="1" si="75">IF(C257="", "Indefinida", (IF(C257&lt;TODAY(),"Realizada","Proyectada")))</f>
        <v>Realizada</v>
      </c>
      <c r="V257" s="20"/>
      <c r="W257" s="20"/>
      <c r="X257" s="20"/>
      <c r="Y257" s="20"/>
    </row>
    <row r="258" spans="1:25" ht="74.25">
      <c r="A258" s="20">
        <v>325</v>
      </c>
      <c r="B258" s="20" t="str">
        <f t="shared" ref="B258:B321" si="76">IFERROR(VLOOKUP(A258,DATA_MATRIZ,2,FALSE),"")</f>
        <v xml:space="preserve">Audiencia PPI-Formulación PDD- Localidad Kennedy </v>
      </c>
      <c r="C258" s="21">
        <f t="shared" ref="C258:C321" si="77">IFERROR(VLOOKUP(A258,DATA_MATRIZ,3,FALSE),"")</f>
        <v>45400</v>
      </c>
      <c r="D258" s="20" t="str">
        <f t="shared" ref="D258:D321" si="78">IFERROR(VLOOKUP(A258,DATA_MATRIZ,5,FALSE),"")</f>
        <v>OPDC</v>
      </c>
      <c r="E258" s="20" t="str">
        <f t="shared" ref="E258:E321" si="79">IFERROR(VLOOKUP(A258,DATA_MATRIZ,9,FALSE),"")</f>
        <v>NO</v>
      </c>
      <c r="F258" s="20" t="str">
        <f t="shared" ref="F258:F321" si="80">IFERROR(VLOOKUP(A258,DATA_MATRIZ,10,FALSE),"")</f>
        <v>Plan Distrital de Desarrollo</v>
      </c>
      <c r="G258" s="20" t="str">
        <f t="shared" ref="G258:G321" si="81">IFERROR(VLOOKUP(A258,DATA_MATRIZ,11,FALSE),"")</f>
        <v>Presencial</v>
      </c>
      <c r="H258" s="20" t="str">
        <f t="shared" ref="H258:H321" si="82">IFERROR(VLOOKUP(A258,DATA_MATRIZ,12,FALSE),"")</f>
        <v>Promover la información sobre la formulación del Plan Plurianual de Inversiones de Bogotá, para que la ciudadanía interesada pueda realizar propuestas de priorización de las inversiones,</v>
      </c>
      <c r="I258" s="20" t="str">
        <f t="shared" ref="I258:I321" si="83">IFERROR(VLOOKUP(A258,DATA_MATRIZ,13,FALSE),"")</f>
        <v>Mecanismo de Diálogo</v>
      </c>
      <c r="J258" s="20" t="str">
        <f t="shared" ref="J258:J321" si="84">IFERROR(VLOOKUP(A258,DATA_MATRIZ,41,FALSE),"")</f>
        <v>Multiactor</v>
      </c>
      <c r="K258" s="20">
        <f t="shared" ref="K258:K321" si="85">IFERROR(VLOOKUP(A258,DATA_MATRIZ,42,FALSE),"")</f>
        <v>0</v>
      </c>
      <c r="L258" s="20" t="str">
        <f t="shared" ref="L258:L321" si="86">IFERROR(VLOOKUP(A258,DATA_MATRIZ,46,FALSE),"")</f>
        <v>Kennedy</v>
      </c>
      <c r="M258" s="20" t="str">
        <f t="shared" ref="M258:M321" si="87">IFERROR(VLOOKUP(A258,DATA_MATRIZ,53,FALSE),"")</f>
        <v>Suroccidente</v>
      </c>
      <c r="N258" s="20" t="str">
        <f t="shared" ref="N258:N321" si="88">IFERROR(VLOOKUP(A258,DATA_MATRIZ,60,FALSE),"")</f>
        <v>Kennedy, Tintal, Tintal</v>
      </c>
      <c r="O258" s="20" t="str">
        <f t="shared" ref="O258:O321" si="89">IFERROR(VLOOKUP(A258,DATA_MATRIZ,75,FALSE),"")</f>
        <v>SÍ</v>
      </c>
      <c r="P258" s="20" t="str">
        <f t="shared" ref="P258:P321" si="90">IFERROR(VLOOKUP(A258,DATA_MATRIZ,76,FALSE),"")</f>
        <v>Fase II: Aspiraciones Comunes</v>
      </c>
      <c r="Q258" s="20">
        <f t="shared" ref="Q258:Q321" si="91">IFERROR(VLOOKUP(A258,DATA_MATRIZ,78,FALSE),"")</f>
        <v>23</v>
      </c>
      <c r="R258" s="20">
        <f t="shared" ref="R258:R321" si="92">IFERROR(VLOOKUP(A258,DATA_MATRIZ,79,FALSE),"")</f>
        <v>6</v>
      </c>
      <c r="S258" s="20" t="str">
        <f t="shared" ref="S258:S321" si="93">IFERROR(VLOOKUP(A258,DATA_MATRIZ,85,FALSE),"")</f>
        <v>Plan Plurianual de Inversiones , Priorización de presupuestos, programas, estrategias y objetivos del PDD</v>
      </c>
      <c r="T258" s="20">
        <f t="shared" si="74"/>
        <v>1</v>
      </c>
      <c r="U258" s="20" t="str">
        <f t="shared" ca="1" si="75"/>
        <v>Realizada</v>
      </c>
      <c r="V258" s="20"/>
      <c r="W258" s="20"/>
      <c r="X258" s="20"/>
      <c r="Y258" s="20"/>
    </row>
    <row r="259" spans="1:25" ht="74.25">
      <c r="A259" s="20">
        <v>326</v>
      </c>
      <c r="B259" s="20" t="str">
        <f t="shared" si="76"/>
        <v>Audiencia PPI-Formulación PDD- Localidad Suba</v>
      </c>
      <c r="C259" s="21">
        <f t="shared" si="77"/>
        <v>45400</v>
      </c>
      <c r="D259" s="20" t="str">
        <f t="shared" si="78"/>
        <v>OPDC</v>
      </c>
      <c r="E259" s="20" t="str">
        <f t="shared" si="79"/>
        <v>NO</v>
      </c>
      <c r="F259" s="20" t="str">
        <f t="shared" si="80"/>
        <v>Plan Distrital de Desarrollo</v>
      </c>
      <c r="G259" s="20" t="str">
        <f t="shared" si="81"/>
        <v>Presencial</v>
      </c>
      <c r="H259" s="20" t="str">
        <f t="shared" si="82"/>
        <v>Promover la información sobre la formulación del Plan Plurianual de Inversiones de Bogotá, para que la ciudadanía interesada pueda realizar propuestas de priorización de las inversiones,</v>
      </c>
      <c r="I259" s="20" t="str">
        <f t="shared" si="83"/>
        <v>Mecanismo de Diálogo</v>
      </c>
      <c r="J259" s="20" t="str">
        <f t="shared" si="84"/>
        <v>Multiactor</v>
      </c>
      <c r="K259" s="20">
        <f t="shared" si="85"/>
        <v>0</v>
      </c>
      <c r="L259" s="20" t="str">
        <f t="shared" si="86"/>
        <v>Suba</v>
      </c>
      <c r="M259" s="20" t="str">
        <f t="shared" si="87"/>
        <v>Noroccidente, Norte</v>
      </c>
      <c r="N259" s="20" t="str">
        <f t="shared" si="88"/>
        <v>Suba, Suba Rincón, Tibabuyes, Niza, Britalia, Torca</v>
      </c>
      <c r="O259" s="20" t="str">
        <f t="shared" si="89"/>
        <v>SÍ</v>
      </c>
      <c r="P259" s="20" t="str">
        <f t="shared" si="90"/>
        <v>Fase II: Aspiraciones Comunes</v>
      </c>
      <c r="Q259" s="20">
        <f t="shared" si="91"/>
        <v>22</v>
      </c>
      <c r="R259" s="20">
        <f t="shared" si="92"/>
        <v>4</v>
      </c>
      <c r="S259" s="20" t="str">
        <f t="shared" si="93"/>
        <v>Plan Plurianual de Inversiones , Priorización de presupuestos, programas, estrategias y objetivos del PDD</v>
      </c>
      <c r="T259" s="20">
        <f t="shared" si="74"/>
        <v>1</v>
      </c>
      <c r="U259" s="20" t="str">
        <f t="shared" ca="1" si="75"/>
        <v>Realizada</v>
      </c>
      <c r="V259" s="20"/>
      <c r="W259" s="20"/>
      <c r="X259" s="20"/>
      <c r="Y259" s="20"/>
    </row>
    <row r="260" spans="1:25" ht="74.25">
      <c r="A260" s="20">
        <v>327</v>
      </c>
      <c r="B260" s="20" t="str">
        <f t="shared" si="76"/>
        <v>Audiencia PPI-Formulación PDD- Localidad Bosa</v>
      </c>
      <c r="C260" s="21">
        <f t="shared" si="77"/>
        <v>45400</v>
      </c>
      <c r="D260" s="20" t="str">
        <f t="shared" si="78"/>
        <v>OPDC</v>
      </c>
      <c r="E260" s="20" t="str">
        <f t="shared" si="79"/>
        <v>NO</v>
      </c>
      <c r="F260" s="20" t="str">
        <f t="shared" si="80"/>
        <v>Plan Distrital de Desarrollo</v>
      </c>
      <c r="G260" s="20" t="str">
        <f t="shared" si="81"/>
        <v>Presencial</v>
      </c>
      <c r="H260" s="20" t="str">
        <f t="shared" si="82"/>
        <v>Promover la información sobre la formulación del Plan Plurianual de Inversiones de Bogotá, para que la ciudadanía interesada pueda realizar propuestas de priorización de las inversiones,</v>
      </c>
      <c r="I260" s="20" t="str">
        <f t="shared" si="83"/>
        <v>Mecanismo de Diálogo</v>
      </c>
      <c r="J260" s="20" t="str">
        <f t="shared" si="84"/>
        <v>Multiactor</v>
      </c>
      <c r="K260" s="20">
        <f t="shared" si="85"/>
        <v>0</v>
      </c>
      <c r="L260" s="20" t="str">
        <f t="shared" si="86"/>
        <v>Bosa</v>
      </c>
      <c r="M260" s="20" t="str">
        <f t="shared" si="87"/>
        <v>Suroccidente</v>
      </c>
      <c r="N260" s="20" t="str">
        <f t="shared" si="88"/>
        <v>Bosa, Porvenir</v>
      </c>
      <c r="O260" s="20" t="str">
        <f t="shared" si="89"/>
        <v>SÍ</v>
      </c>
      <c r="P260" s="20" t="str">
        <f t="shared" si="90"/>
        <v>Fase II: Aspiraciones Comunes</v>
      </c>
      <c r="Q260" s="20">
        <f t="shared" si="91"/>
        <v>36</v>
      </c>
      <c r="R260" s="20">
        <f t="shared" si="92"/>
        <v>4</v>
      </c>
      <c r="S260" s="20" t="str">
        <f t="shared" si="93"/>
        <v>Plan Plurianual de Inversiones , Priorización de presupuestos, programas, estrategias y objetivos del PDD</v>
      </c>
      <c r="T260" s="20">
        <f t="shared" si="74"/>
        <v>1</v>
      </c>
      <c r="U260" s="20" t="str">
        <f t="shared" ca="1" si="75"/>
        <v>Realizada</v>
      </c>
      <c r="V260" s="20"/>
      <c r="W260" s="20"/>
      <c r="X260" s="20"/>
      <c r="Y260" s="20"/>
    </row>
    <row r="261" spans="1:25" ht="74.25">
      <c r="A261" s="20">
        <v>328</v>
      </c>
      <c r="B261" s="20" t="str">
        <f t="shared" si="76"/>
        <v>Audiencia PPI-Formulación PDD- Localidad Tunjuelito</v>
      </c>
      <c r="C261" s="21">
        <f t="shared" si="77"/>
        <v>45400</v>
      </c>
      <c r="D261" s="20" t="str">
        <f t="shared" si="78"/>
        <v>OPDC</v>
      </c>
      <c r="E261" s="20" t="str">
        <f t="shared" si="79"/>
        <v>NO</v>
      </c>
      <c r="F261" s="20" t="str">
        <f t="shared" si="80"/>
        <v>Plan Distrital de Desarrollo</v>
      </c>
      <c r="G261" s="20" t="str">
        <f t="shared" si="81"/>
        <v>Presencial</v>
      </c>
      <c r="H261" s="20" t="str">
        <f t="shared" si="82"/>
        <v>Promover la información sobre la formulación del Plan Plurianual de Inversiones de Bogotá, para que la ciudadanía interesada pueda realizar propuestas de priorización de las inversiones,</v>
      </c>
      <c r="I261" s="20" t="str">
        <f t="shared" si="83"/>
        <v>Mecanismo de Diálogo</v>
      </c>
      <c r="J261" s="20" t="str">
        <f t="shared" si="84"/>
        <v>Multiactor</v>
      </c>
      <c r="K261" s="20">
        <f t="shared" si="85"/>
        <v>0</v>
      </c>
      <c r="L261" s="20" t="str">
        <f t="shared" si="86"/>
        <v>Tunjuelito</v>
      </c>
      <c r="M261" s="20" t="str">
        <f t="shared" si="87"/>
        <v>Suroriente</v>
      </c>
      <c r="N261" s="20" t="str">
        <f t="shared" si="88"/>
        <v>Tunjuelito, Arborizadora</v>
      </c>
      <c r="O261" s="20" t="str">
        <f t="shared" si="89"/>
        <v>SÍ</v>
      </c>
      <c r="P261" s="20" t="str">
        <f t="shared" si="90"/>
        <v>Fase II: Aspiraciones Comunes</v>
      </c>
      <c r="Q261" s="20">
        <f t="shared" si="91"/>
        <v>41</v>
      </c>
      <c r="R261" s="20">
        <f t="shared" si="92"/>
        <v>4</v>
      </c>
      <c r="S261" s="20" t="str">
        <f t="shared" si="93"/>
        <v>Plan Plurianual de Inversiones , Priorización de presupuestos, programas, estrategias y objetivos del PDD</v>
      </c>
      <c r="T261" s="20">
        <f t="shared" si="74"/>
        <v>1</v>
      </c>
      <c r="U261" s="20" t="str">
        <f t="shared" ca="1" si="75"/>
        <v>Realizada</v>
      </c>
      <c r="V261" s="20"/>
      <c r="W261" s="20"/>
      <c r="X261" s="20"/>
      <c r="Y261" s="20"/>
    </row>
    <row r="262" spans="1:25" ht="74.25">
      <c r="A262" s="20">
        <v>329</v>
      </c>
      <c r="B262" s="20" t="str">
        <f t="shared" si="76"/>
        <v xml:space="preserve">Audiencia PPI-Formulación PDD- Localidad Fontibón </v>
      </c>
      <c r="C262" s="21">
        <f t="shared" si="77"/>
        <v>45400</v>
      </c>
      <c r="D262" s="20" t="str">
        <f t="shared" si="78"/>
        <v>OPDC</v>
      </c>
      <c r="E262" s="20" t="str">
        <f t="shared" si="79"/>
        <v>NO</v>
      </c>
      <c r="F262" s="20" t="str">
        <f t="shared" si="80"/>
        <v>Plan Distrital de Desarrollo</v>
      </c>
      <c r="G262" s="20" t="str">
        <f t="shared" si="81"/>
        <v>Presencial</v>
      </c>
      <c r="H262" s="20" t="str">
        <f t="shared" si="82"/>
        <v>Promover la información sobre la formulación del Plan Plurianual de Inversiones de Bogotá, para que la ciudadanía interesada pueda realizar propuestas de priorización de las inversiones,</v>
      </c>
      <c r="I262" s="20" t="str">
        <f t="shared" si="83"/>
        <v>Mecanismo de Diálogo</v>
      </c>
      <c r="J262" s="20" t="str">
        <f t="shared" si="84"/>
        <v>Multiactor</v>
      </c>
      <c r="K262" s="20">
        <f t="shared" si="85"/>
        <v>0</v>
      </c>
      <c r="L262" s="20" t="str">
        <f t="shared" si="86"/>
        <v>Fontibón</v>
      </c>
      <c r="M262" s="20" t="str">
        <f t="shared" si="87"/>
        <v>Noroccidente</v>
      </c>
      <c r="N262" s="20" t="str">
        <f t="shared" si="88"/>
        <v>Salitre, Fontibón</v>
      </c>
      <c r="O262" s="20" t="str">
        <f t="shared" si="89"/>
        <v>SÍ</v>
      </c>
      <c r="P262" s="20" t="str">
        <f t="shared" si="90"/>
        <v>Fase II: Aspiraciones Comunes</v>
      </c>
      <c r="Q262" s="20">
        <f t="shared" si="91"/>
        <v>51</v>
      </c>
      <c r="R262" s="20">
        <f t="shared" si="92"/>
        <v>2</v>
      </c>
      <c r="S262" s="20" t="str">
        <f t="shared" si="93"/>
        <v>Plan Plurianual de Inversiones , Priorización de presupuestos, programas, estrategias y objetivos del PDD</v>
      </c>
      <c r="T262" s="20">
        <f t="shared" si="74"/>
        <v>1</v>
      </c>
      <c r="U262" s="20" t="str">
        <f t="shared" ca="1" si="75"/>
        <v>Realizada</v>
      </c>
      <c r="V262" s="20"/>
      <c r="W262" s="20"/>
      <c r="X262" s="20"/>
      <c r="Y262" s="20"/>
    </row>
    <row r="263" spans="1:25" ht="74.25">
      <c r="A263" s="20">
        <v>330</v>
      </c>
      <c r="B263" s="20" t="str">
        <f t="shared" si="76"/>
        <v>Audiencia PPI-Formulación PDD- Localidad Puente Aranda</v>
      </c>
      <c r="C263" s="21">
        <f t="shared" si="77"/>
        <v>45400</v>
      </c>
      <c r="D263" s="20" t="str">
        <f t="shared" si="78"/>
        <v>OPDC</v>
      </c>
      <c r="E263" s="20" t="str">
        <f t="shared" si="79"/>
        <v>NO</v>
      </c>
      <c r="F263" s="20" t="str">
        <f t="shared" si="80"/>
        <v>Plan Distrital de Desarrollo</v>
      </c>
      <c r="G263" s="20" t="str">
        <f t="shared" si="81"/>
        <v>Presencial</v>
      </c>
      <c r="H263" s="20" t="str">
        <f t="shared" si="82"/>
        <v>Promover la información sobre la formulación del Plan Plurianual de Inversiones de Bogotá, para que la ciudadanía interesada pueda realizar propuestas de priorización de las inversiones,</v>
      </c>
      <c r="I263" s="20" t="str">
        <f t="shared" si="83"/>
        <v>Mecanismo de Diálogo</v>
      </c>
      <c r="J263" s="20" t="str">
        <f t="shared" si="84"/>
        <v>Multiactor</v>
      </c>
      <c r="K263" s="20">
        <f t="shared" si="85"/>
        <v>0</v>
      </c>
      <c r="L263" s="20" t="str">
        <f t="shared" si="86"/>
        <v>Puente Aranda</v>
      </c>
      <c r="M263" s="20" t="str">
        <f t="shared" si="87"/>
        <v>Centro Ampliado</v>
      </c>
      <c r="N263" s="20" t="str">
        <f t="shared" si="88"/>
        <v>Puente Aranda</v>
      </c>
      <c r="O263" s="20" t="str">
        <f t="shared" si="89"/>
        <v>SÍ</v>
      </c>
      <c r="P263" s="20" t="str">
        <f t="shared" si="90"/>
        <v>Fase II: Aspiraciones Comunes</v>
      </c>
      <c r="Q263" s="20">
        <f t="shared" si="91"/>
        <v>25</v>
      </c>
      <c r="R263" s="20">
        <f t="shared" si="92"/>
        <v>6</v>
      </c>
      <c r="S263" s="20" t="str">
        <f t="shared" si="93"/>
        <v>Plan Plurianual de Inversiones , Priorización de presupuestos, programas, estrategias y objetivos del PDD</v>
      </c>
      <c r="T263" s="20">
        <f t="shared" si="74"/>
        <v>1</v>
      </c>
      <c r="U263" s="20" t="str">
        <f t="shared" ca="1" si="75"/>
        <v>Realizada</v>
      </c>
      <c r="V263" s="20"/>
      <c r="W263" s="20"/>
      <c r="X263" s="20"/>
      <c r="Y263" s="20"/>
    </row>
    <row r="264" spans="1:25" ht="74.25">
      <c r="A264" s="20">
        <v>331</v>
      </c>
      <c r="B264" s="20" t="str">
        <f t="shared" si="76"/>
        <v>Audiencia PPI-Formulación PDD- Localidad Teusaquillo</v>
      </c>
      <c r="C264" s="21">
        <f t="shared" si="77"/>
        <v>45400</v>
      </c>
      <c r="D264" s="20" t="str">
        <f t="shared" si="78"/>
        <v>OPDC</v>
      </c>
      <c r="E264" s="20" t="str">
        <f t="shared" si="79"/>
        <v>NO</v>
      </c>
      <c r="F264" s="20" t="str">
        <f t="shared" si="80"/>
        <v>Plan Distrital de Desarrollo</v>
      </c>
      <c r="G264" s="20" t="str">
        <f t="shared" si="81"/>
        <v>Presencial</v>
      </c>
      <c r="H264" s="20" t="str">
        <f t="shared" si="82"/>
        <v>Promover la información sobre la formulación del Plan Plurianual de Inversiones de Bogotá, para que la ciudadanía interesada pueda realizar propuestas de priorización de las inversiones,</v>
      </c>
      <c r="I264" s="20" t="str">
        <f t="shared" si="83"/>
        <v>Mecanismo de Diálogo</v>
      </c>
      <c r="J264" s="20" t="str">
        <f t="shared" si="84"/>
        <v>Multiactor</v>
      </c>
      <c r="K264" s="20">
        <f t="shared" si="85"/>
        <v>0</v>
      </c>
      <c r="L264" s="20" t="str">
        <f t="shared" si="86"/>
        <v>Teusaquillo</v>
      </c>
      <c r="M264" s="20" t="str">
        <f t="shared" si="87"/>
        <v>Centro Ampliado</v>
      </c>
      <c r="N264" s="20" t="str">
        <f t="shared" si="88"/>
        <v>Teusaquillo</v>
      </c>
      <c r="O264" s="20" t="str">
        <f t="shared" si="89"/>
        <v>SÍ</v>
      </c>
      <c r="P264" s="20" t="str">
        <f t="shared" si="90"/>
        <v>Fase II: Aspiraciones Comunes</v>
      </c>
      <c r="Q264" s="20">
        <f t="shared" si="91"/>
        <v>20</v>
      </c>
      <c r="R264" s="20">
        <f t="shared" si="92"/>
        <v>4</v>
      </c>
      <c r="S264" s="20" t="str">
        <f t="shared" si="93"/>
        <v>Plan Plurianual de Inversiones , Priorización de presupuestos, programas, estrategias y objetivos del PDD</v>
      </c>
      <c r="T264" s="20">
        <f t="shared" si="74"/>
        <v>1</v>
      </c>
      <c r="U264" s="20" t="str">
        <f t="shared" ca="1" si="75"/>
        <v>Realizada</v>
      </c>
      <c r="V264" s="20"/>
      <c r="W264" s="20"/>
      <c r="X264" s="20"/>
      <c r="Y264" s="20"/>
    </row>
    <row r="265" spans="1:25" ht="74.25">
      <c r="A265" s="20">
        <v>332</v>
      </c>
      <c r="B265" s="20" t="str">
        <f t="shared" si="76"/>
        <v>Audiencia PPI-Formulación PDD- Localidad Engativá</v>
      </c>
      <c r="C265" s="21">
        <f t="shared" si="77"/>
        <v>45400</v>
      </c>
      <c r="D265" s="20" t="str">
        <f t="shared" si="78"/>
        <v>OPDC</v>
      </c>
      <c r="E265" s="20" t="str">
        <f t="shared" si="79"/>
        <v>NO</v>
      </c>
      <c r="F265" s="20" t="str">
        <f t="shared" si="80"/>
        <v>Plan Distrital de Desarrollo</v>
      </c>
      <c r="G265" s="20" t="str">
        <f t="shared" si="81"/>
        <v>Presencial</v>
      </c>
      <c r="H265" s="20" t="str">
        <f t="shared" si="82"/>
        <v>Promover la información sobre la formulación del Plan Plurianual de Inversiones de Bogotá, para que la ciudadanía interesada pueda realizar propuestas de priorización de las inversiones,</v>
      </c>
      <c r="I265" s="20" t="str">
        <f t="shared" si="83"/>
        <v>Mecanismo de Diálogo</v>
      </c>
      <c r="J265" s="20" t="str">
        <f t="shared" si="84"/>
        <v>Multiactor</v>
      </c>
      <c r="K265" s="20">
        <f t="shared" si="85"/>
        <v>0</v>
      </c>
      <c r="L265" s="20" t="str">
        <f t="shared" si="86"/>
        <v>Engativá</v>
      </c>
      <c r="M265" s="20" t="str">
        <f t="shared" si="87"/>
        <v>Noroccidente</v>
      </c>
      <c r="N265" s="20" t="str">
        <f t="shared" si="88"/>
        <v>Engativá, Tabora</v>
      </c>
      <c r="O265" s="20" t="str">
        <f t="shared" si="89"/>
        <v>SÍ</v>
      </c>
      <c r="P265" s="20" t="str">
        <f t="shared" si="90"/>
        <v>Fase II: Aspiraciones Comunes</v>
      </c>
      <c r="Q265" s="20">
        <f t="shared" si="91"/>
        <v>29</v>
      </c>
      <c r="R265" s="20">
        <f t="shared" si="92"/>
        <v>5</v>
      </c>
      <c r="S265" s="20" t="str">
        <f t="shared" si="93"/>
        <v>Plan Plurianual de Inversiones , Priorización de presupuestos, programas, estrategias y objetivos del PDD</v>
      </c>
      <c r="T265" s="20">
        <f t="shared" si="74"/>
        <v>1</v>
      </c>
      <c r="U265" s="20" t="str">
        <f t="shared" ca="1" si="75"/>
        <v>Realizada</v>
      </c>
      <c r="V265" s="20"/>
      <c r="W265" s="20"/>
      <c r="X265" s="20"/>
      <c r="Y265" s="20"/>
    </row>
    <row r="266" spans="1:25" ht="74.25">
      <c r="A266" s="20">
        <v>333</v>
      </c>
      <c r="B266" s="20" t="str">
        <f t="shared" si="76"/>
        <v>Audiencia PPI-Formulación PDD- Localidad Los Mártires</v>
      </c>
      <c r="C266" s="21">
        <f t="shared" si="77"/>
        <v>45400</v>
      </c>
      <c r="D266" s="20" t="str">
        <f t="shared" si="78"/>
        <v>OPDC</v>
      </c>
      <c r="E266" s="20" t="str">
        <f t="shared" si="79"/>
        <v>NO</v>
      </c>
      <c r="F266" s="20" t="str">
        <f t="shared" si="80"/>
        <v>Plan Distrital de Desarrollo</v>
      </c>
      <c r="G266" s="20" t="str">
        <f t="shared" si="81"/>
        <v>Presencial</v>
      </c>
      <c r="H266" s="20" t="str">
        <f t="shared" si="82"/>
        <v>Promover la información sobre la formulación del Plan Plurianual de Inversiones de Bogotá, para que la ciudadanía interesada pueda realizar propuestas de priorización de las inversiones,</v>
      </c>
      <c r="I266" s="20" t="str">
        <f t="shared" si="83"/>
        <v>Mecanismo de Diálogo</v>
      </c>
      <c r="J266" s="20" t="str">
        <f t="shared" si="84"/>
        <v>Multiactor</v>
      </c>
      <c r="K266" s="20">
        <f t="shared" si="85"/>
        <v>0</v>
      </c>
      <c r="L266" s="20" t="str">
        <f t="shared" si="86"/>
        <v>Los Mártires</v>
      </c>
      <c r="M266" s="20" t="str">
        <f t="shared" si="87"/>
        <v>Centro Ampliado</v>
      </c>
      <c r="N266" s="20" t="str">
        <f t="shared" si="88"/>
        <v>Centro Histórico</v>
      </c>
      <c r="O266" s="20" t="str">
        <f t="shared" si="89"/>
        <v>SÍ</v>
      </c>
      <c r="P266" s="20" t="str">
        <f t="shared" si="90"/>
        <v>Fase II: Aspiraciones Comunes</v>
      </c>
      <c r="Q266" s="20">
        <f t="shared" si="91"/>
        <v>11</v>
      </c>
      <c r="R266" s="20">
        <f t="shared" si="92"/>
        <v>5</v>
      </c>
      <c r="S266" s="20" t="str">
        <f t="shared" si="93"/>
        <v>Plan Plurianual de Inversiones , Priorización de presupuestos, programas, estrategias y objetivos del PDD</v>
      </c>
      <c r="T266" s="20">
        <f t="shared" si="74"/>
        <v>1</v>
      </c>
      <c r="U266" s="20" t="str">
        <f t="shared" ca="1" si="75"/>
        <v>Realizada</v>
      </c>
      <c r="V266" s="20"/>
      <c r="W266" s="20"/>
      <c r="X266" s="20"/>
      <c r="Y266" s="20"/>
    </row>
    <row r="267" spans="1:25" ht="74.25">
      <c r="A267" s="20">
        <v>334</v>
      </c>
      <c r="B267" s="20" t="str">
        <f t="shared" si="76"/>
        <v xml:space="preserve">Audiencia PPI-Formulación PDD- Localidad La Candelaría </v>
      </c>
      <c r="C267" s="21">
        <f t="shared" si="77"/>
        <v>45400</v>
      </c>
      <c r="D267" s="20" t="str">
        <f t="shared" si="78"/>
        <v>OPDC</v>
      </c>
      <c r="E267" s="20" t="str">
        <f t="shared" si="79"/>
        <v>NO</v>
      </c>
      <c r="F267" s="20" t="str">
        <f t="shared" si="80"/>
        <v>Plan Distrital de Desarrollo</v>
      </c>
      <c r="G267" s="20" t="str">
        <f t="shared" si="81"/>
        <v>Presencial</v>
      </c>
      <c r="H267" s="20" t="str">
        <f t="shared" si="82"/>
        <v>Promover la información sobre la formulación del Plan Plurianual de Inversiones de Bogotá, para que la ciudadanía interesada pueda realizar propuestas de priorización de las inversiones,</v>
      </c>
      <c r="I267" s="20" t="str">
        <f t="shared" si="83"/>
        <v>Mecanismo de Diálogo</v>
      </c>
      <c r="J267" s="20" t="str">
        <f t="shared" si="84"/>
        <v>Multiactor</v>
      </c>
      <c r="K267" s="20">
        <f t="shared" si="85"/>
        <v>0</v>
      </c>
      <c r="L267" s="20" t="str">
        <f t="shared" si="86"/>
        <v>La Candelaria</v>
      </c>
      <c r="M267" s="20" t="str">
        <f t="shared" si="87"/>
        <v>Centro Ampliado</v>
      </c>
      <c r="N267" s="20" t="str">
        <f t="shared" si="88"/>
        <v>Centro Histórico</v>
      </c>
      <c r="O267" s="20" t="str">
        <f t="shared" si="89"/>
        <v>SÍ</v>
      </c>
      <c r="P267" s="20" t="str">
        <f t="shared" si="90"/>
        <v>Fase II: Aspiraciones Comunes</v>
      </c>
      <c r="Q267" s="20">
        <f t="shared" si="91"/>
        <v>15</v>
      </c>
      <c r="R267" s="20">
        <f t="shared" si="92"/>
        <v>5</v>
      </c>
      <c r="S267" s="20" t="str">
        <f t="shared" si="93"/>
        <v>Plan Plurianual de Inversiones , Priorización de presupuestos, programas, estrategias y objetivos del PDD</v>
      </c>
      <c r="T267" s="20">
        <f t="shared" si="74"/>
        <v>1</v>
      </c>
      <c r="U267" s="20" t="str">
        <f t="shared" ca="1" si="75"/>
        <v>Realizada</v>
      </c>
      <c r="V267" s="20"/>
      <c r="W267" s="20"/>
      <c r="X267" s="20"/>
      <c r="Y267" s="20"/>
    </row>
    <row r="268" spans="1:25" ht="74.25">
      <c r="A268" s="20">
        <v>336</v>
      </c>
      <c r="B268" s="20" t="str">
        <f t="shared" si="76"/>
        <v>Audiencia PPI-Formulación PDD- Localidad Sumapaz - Cuenca río Blanco</v>
      </c>
      <c r="C268" s="21">
        <f t="shared" si="77"/>
        <v>45402</v>
      </c>
      <c r="D268" s="20" t="str">
        <f t="shared" si="78"/>
        <v>OPDC</v>
      </c>
      <c r="E268" s="20" t="str">
        <f t="shared" si="79"/>
        <v>NO</v>
      </c>
      <c r="F268" s="20" t="str">
        <f t="shared" si="80"/>
        <v>Plan Distrital de Desarrollo</v>
      </c>
      <c r="G268" s="20" t="str">
        <f t="shared" si="81"/>
        <v>Presencial</v>
      </c>
      <c r="H268" s="20" t="str">
        <f t="shared" si="82"/>
        <v>Promover la información sobre la formulación del Plan Plurianual de Inversiones de Bogotá, para que la ciudadanía interesada pueda realizar propuestas de priorización de las inversiones,</v>
      </c>
      <c r="I268" s="20" t="str">
        <f t="shared" si="83"/>
        <v>Mecanismo de Diálogo</v>
      </c>
      <c r="J268" s="20" t="str">
        <f t="shared" si="84"/>
        <v>Multiactor</v>
      </c>
      <c r="K268" s="20">
        <f t="shared" si="85"/>
        <v>0</v>
      </c>
      <c r="L268" s="20" t="str">
        <f t="shared" si="86"/>
        <v>Sumapaz</v>
      </c>
      <c r="M268" s="20" t="str">
        <f t="shared" si="87"/>
        <v>Ruralidad</v>
      </c>
      <c r="N268" s="20" t="str">
        <f t="shared" si="88"/>
        <v>Sumapaz</v>
      </c>
      <c r="O268" s="20" t="str">
        <f t="shared" si="89"/>
        <v>SÍ</v>
      </c>
      <c r="P268" s="20" t="str">
        <f t="shared" si="90"/>
        <v>Fase II: Aspiraciones Comunes</v>
      </c>
      <c r="Q268" s="20">
        <f t="shared" si="91"/>
        <v>4</v>
      </c>
      <c r="R268" s="20">
        <f t="shared" si="92"/>
        <v>6</v>
      </c>
      <c r="S268" s="20" t="str">
        <f t="shared" si="93"/>
        <v>Plan Plurianual de Inversiones , Priorización de presupuestos, programas, estrategias y objetivos del PDD</v>
      </c>
      <c r="T268" s="20">
        <f t="shared" si="74"/>
        <v>1</v>
      </c>
      <c r="U268" s="20" t="str">
        <f t="shared" ca="1" si="75"/>
        <v>Realizada</v>
      </c>
      <c r="V268" s="20"/>
      <c r="W268" s="20"/>
      <c r="X268" s="20"/>
      <c r="Y268" s="20"/>
    </row>
    <row r="269" spans="1:25" ht="74.25">
      <c r="A269" s="20">
        <v>337</v>
      </c>
      <c r="B269" s="20" t="str">
        <f t="shared" si="76"/>
        <v>Audiencia PPI-Formulación PDD- Localidad Sumapaz - Cuenca río Sumapaz</v>
      </c>
      <c r="C269" s="21">
        <f t="shared" si="77"/>
        <v>45402</v>
      </c>
      <c r="D269" s="20" t="str">
        <f t="shared" si="78"/>
        <v>OPDC</v>
      </c>
      <c r="E269" s="20" t="str">
        <f t="shared" si="79"/>
        <v>NO</v>
      </c>
      <c r="F269" s="20" t="str">
        <f t="shared" si="80"/>
        <v>Plan Distrital de Desarrollo</v>
      </c>
      <c r="G269" s="20" t="str">
        <f t="shared" si="81"/>
        <v>Presencial</v>
      </c>
      <c r="H269" s="20" t="str">
        <f t="shared" si="82"/>
        <v>Promover la información sobre la formulación del Plan Plurianual de Inversiones de Bogotá, para que la ciudadanía interesada pueda realizar propuestas de priorización de las inversiones,</v>
      </c>
      <c r="I269" s="20" t="str">
        <f t="shared" si="83"/>
        <v>Mecanismo de Diálogo</v>
      </c>
      <c r="J269" s="20" t="str">
        <f t="shared" si="84"/>
        <v>Multiactor</v>
      </c>
      <c r="K269" s="20">
        <f t="shared" si="85"/>
        <v>0</v>
      </c>
      <c r="L269" s="20" t="str">
        <f t="shared" si="86"/>
        <v>Sumapaz</v>
      </c>
      <c r="M269" s="20" t="str">
        <f t="shared" si="87"/>
        <v>Ruralidad</v>
      </c>
      <c r="N269" s="20" t="str">
        <f t="shared" si="88"/>
        <v>Sumapaz</v>
      </c>
      <c r="O269" s="20" t="str">
        <f t="shared" si="89"/>
        <v>SÍ</v>
      </c>
      <c r="P269" s="20" t="str">
        <f t="shared" si="90"/>
        <v>Fase II: Aspiraciones Comunes</v>
      </c>
      <c r="Q269" s="20">
        <f t="shared" si="91"/>
        <v>16</v>
      </c>
      <c r="R269" s="20">
        <f t="shared" si="92"/>
        <v>6</v>
      </c>
      <c r="S269" s="20" t="str">
        <f t="shared" si="93"/>
        <v>Plan Plurianual de Inversiones , Priorización de presupuestos, programas, estrategias y objetivos del PDD</v>
      </c>
      <c r="T269" s="20">
        <f t="shared" si="74"/>
        <v>1</v>
      </c>
      <c r="U269" s="20" t="str">
        <f t="shared" ca="1" si="75"/>
        <v>Realizada</v>
      </c>
      <c r="V269" s="20"/>
      <c r="W269" s="20"/>
      <c r="X269" s="20"/>
      <c r="Y269" s="20"/>
    </row>
    <row r="270" spans="1:25" ht="61.5">
      <c r="A270" s="20">
        <v>338</v>
      </c>
      <c r="B270" s="20" t="str">
        <f t="shared" si="76"/>
        <v>Comité Coordinador Intersectorial de Participación PDD</v>
      </c>
      <c r="C270" s="21">
        <f t="shared" si="77"/>
        <v>45401</v>
      </c>
      <c r="D270" s="20" t="str">
        <f t="shared" si="78"/>
        <v>OPDC</v>
      </c>
      <c r="E270" s="20" t="str">
        <f t="shared" si="79"/>
        <v>NO</v>
      </c>
      <c r="F270" s="20" t="str">
        <f t="shared" si="80"/>
        <v>Plan Distrital de Desarrollo</v>
      </c>
      <c r="G270" s="20" t="str">
        <f t="shared" si="81"/>
        <v>Virtual</v>
      </c>
      <c r="H270" s="20" t="str">
        <f t="shared" si="82"/>
        <v xml:space="preserve">Llevar a cabo, con todas las entidades del sector, el cierre de las actividades con ciudadanía de la segunda fase de la estrategia de participación del PDD: “aspiraciones comunes” </v>
      </c>
      <c r="I270" s="20" t="str">
        <f t="shared" si="83"/>
        <v>Mecanismo de Comunicación para la Participación</v>
      </c>
      <c r="J270" s="20" t="str">
        <f t="shared" si="84"/>
        <v>Público</v>
      </c>
      <c r="K270" s="20" t="str">
        <f t="shared" si="85"/>
        <v>Servidores públicos (Distrital)</v>
      </c>
      <c r="L270" s="20" t="str">
        <f t="shared" si="86"/>
        <v>Distrital</v>
      </c>
      <c r="M270" s="20" t="str">
        <f t="shared" si="87"/>
        <v>Distrital</v>
      </c>
      <c r="N270" s="20" t="str">
        <f t="shared" si="88"/>
        <v>Distrital</v>
      </c>
      <c r="O270" s="20" t="str">
        <f t="shared" si="89"/>
        <v>SÍ</v>
      </c>
      <c r="P270" s="20" t="str">
        <f t="shared" si="90"/>
        <v>Gestión interinstitucional</v>
      </c>
      <c r="Q270" s="20">
        <f t="shared" si="91"/>
        <v>12</v>
      </c>
      <c r="R270" s="20">
        <f t="shared" si="92"/>
        <v>10</v>
      </c>
      <c r="S270" s="20" t="str">
        <f t="shared" si="93"/>
        <v>Cierre de la estrategia de participación via chatico, reporte de capital humano y monetario utilizado por las entidades en fase 1 y fase 2</v>
      </c>
      <c r="T270" s="20">
        <f t="shared" si="74"/>
        <v>1</v>
      </c>
      <c r="U270" s="20" t="str">
        <f t="shared" ca="1" si="75"/>
        <v>Realizada</v>
      </c>
      <c r="V270" s="20"/>
      <c r="W270" s="20"/>
      <c r="X270" s="20"/>
      <c r="Y270" s="20"/>
    </row>
    <row r="271" spans="1:25" ht="49.5">
      <c r="A271" s="20">
        <v>340</v>
      </c>
      <c r="B271" s="20" t="str">
        <f t="shared" si="76"/>
        <v>Comisión POT ordianria del CTPD</v>
      </c>
      <c r="C271" s="21">
        <f t="shared" si="77"/>
        <v>45401</v>
      </c>
      <c r="D271" s="20" t="str">
        <f t="shared" si="78"/>
        <v>INSTANCIAS</v>
      </c>
      <c r="E271" s="20" t="str">
        <f t="shared" si="79"/>
        <v>NO</v>
      </c>
      <c r="F271" s="20" t="str">
        <f t="shared" si="80"/>
        <v>CTPD (Consejo Territorial de Planeación Distrital)</v>
      </c>
      <c r="G271" s="20" t="str">
        <f t="shared" si="81"/>
        <v>Virtual</v>
      </c>
      <c r="H271" s="20" t="str">
        <f t="shared" si="82"/>
        <v>Socializar el plan de acción 2024</v>
      </c>
      <c r="I271" s="20" t="str">
        <f t="shared" si="83"/>
        <v>Mecanismo de Seguimiento y Evaluación</v>
      </c>
      <c r="J271" s="20" t="str">
        <f t="shared" si="84"/>
        <v>Comunitario</v>
      </c>
      <c r="K271" s="20" t="str">
        <f t="shared" si="85"/>
        <v>CTPD</v>
      </c>
      <c r="L271" s="20" t="str">
        <f t="shared" si="86"/>
        <v>Distrital</v>
      </c>
      <c r="M271" s="20" t="str">
        <f t="shared" si="87"/>
        <v>Distrital</v>
      </c>
      <c r="N271" s="20" t="str">
        <f t="shared" si="88"/>
        <v>Distrital</v>
      </c>
      <c r="O271" s="20" t="str">
        <f t="shared" si="89"/>
        <v>NO</v>
      </c>
      <c r="P271" s="20" t="str">
        <f t="shared" si="90"/>
        <v>No aplica</v>
      </c>
      <c r="Q271" s="20">
        <f t="shared" si="91"/>
        <v>7</v>
      </c>
      <c r="R271" s="20">
        <f t="shared" si="92"/>
        <v>1</v>
      </c>
      <c r="S271" s="20" t="str">
        <f t="shared" si="93"/>
        <v xml:space="preserve"> Por falta de quorum nose puedo discutir el plan de acción 2024</v>
      </c>
      <c r="T271" s="20">
        <f t="shared" si="74"/>
        <v>1</v>
      </c>
      <c r="U271" s="20" t="str">
        <f t="shared" ca="1" si="75"/>
        <v>Realizada</v>
      </c>
      <c r="V271" s="20"/>
      <c r="W271" s="20"/>
      <c r="X271" s="20"/>
      <c r="Y271" s="20"/>
    </row>
    <row r="272" spans="1:25" ht="49.5">
      <c r="A272" s="20">
        <v>342</v>
      </c>
      <c r="B272" s="20" t="str">
        <f t="shared" si="76"/>
        <v>Comisión de Participación CTPD</v>
      </c>
      <c r="C272" s="21">
        <f t="shared" si="77"/>
        <v>45401</v>
      </c>
      <c r="D272" s="20" t="str">
        <f t="shared" si="78"/>
        <v>INSTANCIAS</v>
      </c>
      <c r="E272" s="20" t="str">
        <f t="shared" si="79"/>
        <v>NO</v>
      </c>
      <c r="F272" s="20" t="str">
        <f t="shared" si="80"/>
        <v>CTPD (Consejo Territorial de Planeación Distrital)</v>
      </c>
      <c r="G272" s="20" t="str">
        <f t="shared" si="81"/>
        <v>Virtual</v>
      </c>
      <c r="H272" s="20" t="str">
        <f t="shared" si="82"/>
        <v>Aprobar el Plan de Acción de la Comisión</v>
      </c>
      <c r="I272" s="20" t="str">
        <f t="shared" si="83"/>
        <v>Mecanismo de Seguimiento y Evaluación</v>
      </c>
      <c r="J272" s="20" t="str">
        <f t="shared" si="84"/>
        <v>Comunitario</v>
      </c>
      <c r="K272" s="20" t="str">
        <f t="shared" si="85"/>
        <v>CTPD</v>
      </c>
      <c r="L272" s="20" t="str">
        <f t="shared" si="86"/>
        <v>Distrital</v>
      </c>
      <c r="M272" s="20" t="str">
        <f t="shared" si="87"/>
        <v>Distrital</v>
      </c>
      <c r="N272" s="20" t="str">
        <f t="shared" si="88"/>
        <v>Distrital</v>
      </c>
      <c r="O272" s="20" t="str">
        <f t="shared" si="89"/>
        <v>NO</v>
      </c>
      <c r="P272" s="20" t="str">
        <f t="shared" si="90"/>
        <v>No aplica</v>
      </c>
      <c r="Q272" s="20">
        <f t="shared" si="91"/>
        <v>11</v>
      </c>
      <c r="R272" s="20">
        <f t="shared" si="92"/>
        <v>2</v>
      </c>
      <c r="S272" s="20" t="str">
        <f t="shared" si="93"/>
        <v>Aprobación del Plan de Acción de la Comisión de Participación</v>
      </c>
      <c r="T272" s="20">
        <f t="shared" si="74"/>
        <v>1</v>
      </c>
      <c r="U272" s="20" t="str">
        <f t="shared" ca="1" si="75"/>
        <v>Realizada</v>
      </c>
      <c r="V272" s="20"/>
      <c r="W272" s="20"/>
      <c r="X272" s="20"/>
      <c r="Y272" s="20"/>
    </row>
    <row r="273" spans="1:25" ht="61.5">
      <c r="A273" s="20">
        <v>343</v>
      </c>
      <c r="B273" s="20" t="str">
        <f t="shared" si="76"/>
        <v>Reunión Consejeras de Mujeres y Organizaciones de personas cuidadoras CTPD</v>
      </c>
      <c r="C273" s="21">
        <f t="shared" si="77"/>
        <v>45403</v>
      </c>
      <c r="D273" s="20" t="str">
        <f t="shared" si="78"/>
        <v>DESPACHO</v>
      </c>
      <c r="E273" s="20" t="str">
        <f t="shared" si="79"/>
        <v>NO</v>
      </c>
      <c r="F273" s="20" t="str">
        <f t="shared" si="80"/>
        <v>Plan Distrital de Desarrollo</v>
      </c>
      <c r="G273" s="20" t="str">
        <f t="shared" si="81"/>
        <v>Presencial</v>
      </c>
      <c r="H273" s="20" t="str">
        <f t="shared" si="82"/>
        <v>Socializar los aportes que brindan las consejeras de mujeres de Bogotá  a la implementación  el enfoque de género en el marco del Plan Distrital de Desarrollo al secretario de SDP</v>
      </c>
      <c r="I273" s="20" t="str">
        <f t="shared" si="83"/>
        <v>Mecanismo de Comunicación para la Participación</v>
      </c>
      <c r="J273" s="20" t="str">
        <f t="shared" si="84"/>
        <v>Multiactor</v>
      </c>
      <c r="K273" s="20">
        <f t="shared" si="85"/>
        <v>0</v>
      </c>
      <c r="L273" s="20" t="str">
        <f t="shared" si="86"/>
        <v>Distrital</v>
      </c>
      <c r="M273" s="20" t="str">
        <f t="shared" si="87"/>
        <v>Distrital</v>
      </c>
      <c r="N273" s="20" t="str">
        <f t="shared" si="88"/>
        <v>Distrital</v>
      </c>
      <c r="O273" s="20" t="str">
        <f t="shared" si="89"/>
        <v>SÍ</v>
      </c>
      <c r="P273" s="20" t="str">
        <f t="shared" si="90"/>
        <v>Gestión interinstitucional</v>
      </c>
      <c r="Q273" s="20">
        <f t="shared" si="91"/>
        <v>5</v>
      </c>
      <c r="R273" s="20">
        <f t="shared" si="92"/>
        <v>6</v>
      </c>
      <c r="S273" s="20" t="str">
        <f t="shared" si="93"/>
        <v>PDD, Sistema Distrital del cuidado, enfoque de género</v>
      </c>
      <c r="T273" s="20">
        <f t="shared" si="74"/>
        <v>1</v>
      </c>
      <c r="U273" s="20" t="str">
        <f t="shared" ca="1" si="75"/>
        <v>Realizada</v>
      </c>
      <c r="V273" s="20"/>
      <c r="W273" s="20"/>
      <c r="X273" s="20"/>
      <c r="Y273" s="20"/>
    </row>
    <row r="274" spans="1:25" ht="49.5">
      <c r="A274" s="20">
        <v>344</v>
      </c>
      <c r="B274" s="20" t="str">
        <f t="shared" si="76"/>
        <v>Consultorio PDD - Concejo: Jornada 1 Sector Movilidad</v>
      </c>
      <c r="C274" s="21">
        <f t="shared" si="77"/>
        <v>45404</v>
      </c>
      <c r="D274" s="20" t="str">
        <f t="shared" si="78"/>
        <v>OPDC</v>
      </c>
      <c r="E274" s="20" t="str">
        <f t="shared" si="79"/>
        <v>NO</v>
      </c>
      <c r="F274" s="20" t="str">
        <f t="shared" si="80"/>
        <v>Plan Distrital de Desarrollo</v>
      </c>
      <c r="G274" s="20" t="str">
        <f t="shared" si="81"/>
        <v>Presencial</v>
      </c>
      <c r="H274" s="20" t="str">
        <f t="shared" si="82"/>
        <v>Atender las inquietudes y/o comentarios provenientes del Concejo de Bogotá frente a la formulación del PDD</v>
      </c>
      <c r="I274" s="20" t="str">
        <f t="shared" si="83"/>
        <v>Mecanismo de Diálogo</v>
      </c>
      <c r="J274" s="20" t="str">
        <f t="shared" si="84"/>
        <v>Público</v>
      </c>
      <c r="K274" s="20" t="str">
        <f t="shared" si="85"/>
        <v>Concejo de Bogotá</v>
      </c>
      <c r="L274" s="20" t="str">
        <f t="shared" si="86"/>
        <v>Distrital</v>
      </c>
      <c r="M274" s="20" t="str">
        <f t="shared" si="87"/>
        <v>Distrital</v>
      </c>
      <c r="N274" s="20" t="str">
        <f t="shared" si="88"/>
        <v>Distrital</v>
      </c>
      <c r="O274" s="20" t="str">
        <f t="shared" si="89"/>
        <v>SÍ</v>
      </c>
      <c r="P274" s="20" t="str">
        <f t="shared" si="90"/>
        <v>Fase III: Acuerdos para la Ciudad</v>
      </c>
      <c r="Q274" s="20">
        <f t="shared" si="91"/>
        <v>17</v>
      </c>
      <c r="R274" s="20">
        <f t="shared" si="92"/>
        <v>4</v>
      </c>
      <c r="S274" s="20" t="str">
        <f t="shared" si="93"/>
        <v xml:space="preserve">Concultas por parte de Concejales  frente al PDD en torno a temas de movilidad, IDU Y Unidad de mantenimiento vial. </v>
      </c>
      <c r="T274" s="20">
        <f t="shared" si="74"/>
        <v>1</v>
      </c>
      <c r="U274" s="20" t="str">
        <f t="shared" ca="1" si="75"/>
        <v>Realizada</v>
      </c>
      <c r="V274" s="20"/>
      <c r="W274" s="20"/>
      <c r="X274" s="20"/>
      <c r="Y274" s="20"/>
    </row>
    <row r="275" spans="1:25" ht="49.5">
      <c r="A275" s="20">
        <v>345</v>
      </c>
      <c r="B275" s="20" t="str">
        <f t="shared" si="76"/>
        <v>Gestión: Reunión plan de trabajo Acciones Afirmativas con la Comunidad Palenquera</v>
      </c>
      <c r="C275" s="21">
        <f t="shared" si="77"/>
        <v>45404</v>
      </c>
      <c r="D275" s="20" t="str">
        <f t="shared" si="78"/>
        <v>OPDC</v>
      </c>
      <c r="E275" s="20" t="str">
        <f t="shared" si="79"/>
        <v>NO</v>
      </c>
      <c r="F275" s="20" t="str">
        <f t="shared" si="80"/>
        <v>Políticas Públicas</v>
      </c>
      <c r="G275" s="20" t="str">
        <f t="shared" si="81"/>
        <v>Presencial</v>
      </c>
      <c r="H275" s="20" t="str">
        <f t="shared" si="82"/>
        <v>Elaborar el plan de trabajo con la finalidad de implementar las acciones afirmativas faltantes con la Comunidad Palenquera.</v>
      </c>
      <c r="I275" s="20" t="str">
        <f t="shared" si="83"/>
        <v>Mecanismo de Diálogo</v>
      </c>
      <c r="J275" s="20" t="str">
        <f t="shared" si="84"/>
        <v>Comunitario</v>
      </c>
      <c r="K275" s="20" t="str">
        <f t="shared" si="85"/>
        <v>Consejo Consultivo</v>
      </c>
      <c r="L275" s="20" t="str">
        <f t="shared" si="86"/>
        <v>Distrital</v>
      </c>
      <c r="M275" s="20" t="str">
        <f t="shared" si="87"/>
        <v>Distrital</v>
      </c>
      <c r="N275" s="20" t="str">
        <f t="shared" si="88"/>
        <v>Distrital</v>
      </c>
      <c r="O275" s="20" t="str">
        <f t="shared" si="89"/>
        <v>NO</v>
      </c>
      <c r="P275" s="20" t="str">
        <f t="shared" si="90"/>
        <v>No aplica</v>
      </c>
      <c r="Q275" s="20">
        <f t="shared" si="91"/>
        <v>6</v>
      </c>
      <c r="R275" s="20">
        <f t="shared" si="92"/>
        <v>2</v>
      </c>
      <c r="S275" s="20" t="str">
        <f t="shared" si="93"/>
        <v>Plan de trabajo para el cumplimiento de las acciones afirmativas de la vigencia 2024</v>
      </c>
      <c r="T275" s="20">
        <f t="shared" si="74"/>
        <v>1</v>
      </c>
      <c r="U275" s="20" t="str">
        <f t="shared" ca="1" si="75"/>
        <v>Realizada</v>
      </c>
      <c r="V275" s="20"/>
      <c r="W275" s="20"/>
      <c r="X275" s="20"/>
      <c r="Y275" s="20"/>
    </row>
    <row r="276" spans="1:25" ht="61.5">
      <c r="A276" s="20">
        <v>347</v>
      </c>
      <c r="B276" s="20" t="str">
        <f t="shared" si="76"/>
        <v>Sesión Red Institucional de Veedurías Ciudadanas</v>
      </c>
      <c r="C276" s="21">
        <f t="shared" si="77"/>
        <v>45404</v>
      </c>
      <c r="D276" s="20" t="str">
        <f t="shared" si="78"/>
        <v>INSTANCIAS</v>
      </c>
      <c r="E276" s="20" t="str">
        <f t="shared" si="79"/>
        <v>NO</v>
      </c>
      <c r="F276" s="20" t="str">
        <f t="shared" si="80"/>
        <v>Red institucional de veedurías ciudadanas</v>
      </c>
      <c r="G276" s="20" t="str">
        <f t="shared" si="81"/>
        <v>Virtual</v>
      </c>
      <c r="H276" s="20" t="str">
        <f t="shared" si="82"/>
        <v>Realizar el seguimiento plan de acción de la red</v>
      </c>
      <c r="I276" s="20" t="str">
        <f t="shared" si="83"/>
        <v>Gestión Institucional</v>
      </c>
      <c r="J276" s="20" t="str">
        <f t="shared" si="84"/>
        <v>Multiactor</v>
      </c>
      <c r="K276" s="20">
        <f t="shared" si="85"/>
        <v>0</v>
      </c>
      <c r="L276" s="20" t="str">
        <f t="shared" si="86"/>
        <v>Distrital</v>
      </c>
      <c r="M276" s="20" t="str">
        <f t="shared" si="87"/>
        <v>Distrital</v>
      </c>
      <c r="N276" s="20" t="str">
        <f t="shared" si="88"/>
        <v>Distrital</v>
      </c>
      <c r="O276" s="20" t="str">
        <f t="shared" si="89"/>
        <v>NO</v>
      </c>
      <c r="P276" s="20" t="str">
        <f t="shared" si="90"/>
        <v>No aplica</v>
      </c>
      <c r="Q276" s="20">
        <f t="shared" si="91"/>
        <v>4</v>
      </c>
      <c r="R276" s="20">
        <f t="shared" si="92"/>
        <v>1</v>
      </c>
      <c r="S276" s="20" t="str">
        <f t="shared" si="93"/>
        <v>Aprobación actas 134 y 135, Relanzamiento de la Red Institucional de Apoyo a las Veedurías, diplomados y cursos de extensión a los veedores y veedoras ciudadanas, diplomado de Control Social</v>
      </c>
      <c r="T276" s="20">
        <f t="shared" si="74"/>
        <v>1</v>
      </c>
      <c r="U276" s="20" t="str">
        <f t="shared" ca="1" si="75"/>
        <v>Realizada</v>
      </c>
      <c r="V276" s="20"/>
      <c r="W276" s="20"/>
      <c r="X276" s="20"/>
      <c r="Y276" s="20"/>
    </row>
    <row r="277" spans="1:25" ht="86.25">
      <c r="A277" s="20">
        <v>348</v>
      </c>
      <c r="B277" s="20" t="str">
        <f t="shared" si="76"/>
        <v>Segunda mesa pública de participación ciudadana -SGR</v>
      </c>
      <c r="C277" s="21">
        <f t="shared" si="77"/>
        <v>45404</v>
      </c>
      <c r="D277" s="20" t="str">
        <f t="shared" si="78"/>
        <v>OPDC</v>
      </c>
      <c r="E277" s="20" t="str">
        <f t="shared" si="79"/>
        <v>NO</v>
      </c>
      <c r="F277" s="20" t="str">
        <f t="shared" si="80"/>
        <v>Sistema General de Regalías</v>
      </c>
      <c r="G277" s="20" t="str">
        <f t="shared" si="81"/>
        <v>Virtual</v>
      </c>
      <c r="H277" s="20" t="str">
        <f t="shared" si="82"/>
        <v xml:space="preserve">Presentar los proyectos de inversión susceptibles de ser financiados con las Asignaciones Directas y la Asignación para la Inversión Regional del Sistema General de Regalías que posteriormente serán incorporados en el Plan de Desarrollo Distrital </v>
      </c>
      <c r="I277" s="20" t="str">
        <f t="shared" si="83"/>
        <v>Gestión Institucional</v>
      </c>
      <c r="J277" s="20" t="str">
        <f t="shared" si="84"/>
        <v>Multiactor</v>
      </c>
      <c r="K277" s="20">
        <f t="shared" si="85"/>
        <v>0</v>
      </c>
      <c r="L277" s="20" t="str">
        <f t="shared" si="86"/>
        <v>Distrital</v>
      </c>
      <c r="M277" s="20" t="str">
        <f t="shared" si="87"/>
        <v>Distrital</v>
      </c>
      <c r="N277" s="20" t="str">
        <f t="shared" si="88"/>
        <v>Distrital</v>
      </c>
      <c r="O277" s="20" t="str">
        <f t="shared" si="89"/>
        <v>SÍ</v>
      </c>
      <c r="P277" s="20" t="str">
        <f t="shared" si="90"/>
        <v>Gestión interinstitucional</v>
      </c>
      <c r="Q277" s="20">
        <f t="shared" si="91"/>
        <v>219</v>
      </c>
      <c r="R277" s="20">
        <f t="shared" si="92"/>
        <v>9</v>
      </c>
      <c r="S277" s="20" t="str">
        <f t="shared" si="93"/>
        <v>Sistema General de Regalias, Iniciativas y proyectos de Inversión</v>
      </c>
      <c r="T277" s="20">
        <f t="shared" si="74"/>
        <v>1</v>
      </c>
      <c r="U277" s="20" t="str">
        <f t="shared" ca="1" si="75"/>
        <v>Realizada</v>
      </c>
      <c r="V277" s="20"/>
      <c r="W277" s="20"/>
      <c r="X277" s="20"/>
      <c r="Y277" s="20"/>
    </row>
    <row r="278" spans="1:25" ht="49.5">
      <c r="A278" s="20">
        <v>349</v>
      </c>
      <c r="B278" s="20" t="str">
        <f t="shared" si="76"/>
        <v xml:space="preserve">Devolución concepto proyecto PDD por parte del Alcalde Mayor al CTPD </v>
      </c>
      <c r="C278" s="21">
        <f t="shared" si="77"/>
        <v>45404</v>
      </c>
      <c r="D278" s="20" t="str">
        <f t="shared" si="78"/>
        <v>DESPACHO</v>
      </c>
      <c r="E278" s="20" t="str">
        <f t="shared" si="79"/>
        <v>NO</v>
      </c>
      <c r="F278" s="20" t="str">
        <f t="shared" si="80"/>
        <v>CTPD (Consejo Territorial de Planeación Distrital)</v>
      </c>
      <c r="G278" s="20" t="str">
        <f t="shared" si="81"/>
        <v>Presencial</v>
      </c>
      <c r="H278" s="20" t="str">
        <f t="shared" si="82"/>
        <v xml:space="preserve">Devolver los resultados del análisis sobre el concepto del borrador del proyecto de PDD al CTPD por parte del Alcalde Mayor y su gabinete distrital. </v>
      </c>
      <c r="I278" s="20" t="str">
        <f t="shared" si="83"/>
        <v>Mecanismo de Diálogo</v>
      </c>
      <c r="J278" s="20" t="str">
        <f t="shared" si="84"/>
        <v>Multiactor</v>
      </c>
      <c r="K278" s="20">
        <f t="shared" si="85"/>
        <v>0</v>
      </c>
      <c r="L278" s="20" t="str">
        <f t="shared" si="86"/>
        <v>Distrital</v>
      </c>
      <c r="M278" s="20" t="str">
        <f t="shared" si="87"/>
        <v>Distrital</v>
      </c>
      <c r="N278" s="20" t="str">
        <f t="shared" si="88"/>
        <v>Distrital</v>
      </c>
      <c r="O278" s="20" t="str">
        <f t="shared" si="89"/>
        <v>SÍ</v>
      </c>
      <c r="P278" s="20" t="str">
        <f t="shared" si="90"/>
        <v>Fase II: Aspiraciones Comunes</v>
      </c>
      <c r="Q278" s="20">
        <f t="shared" si="91"/>
        <v>31</v>
      </c>
      <c r="R278" s="20">
        <f t="shared" si="92"/>
        <v>29</v>
      </c>
      <c r="S278" s="20" t="str">
        <f t="shared" si="93"/>
        <v xml:space="preserve">Respuesta de los resultados del análisis sobre el concepto del borrador del proyecto de PDD al CTPD por parte del Alcalde Mayor y su gabinete distrital. </v>
      </c>
      <c r="T278" s="20">
        <f t="shared" si="74"/>
        <v>1</v>
      </c>
      <c r="U278" s="20" t="str">
        <f t="shared" ca="1" si="75"/>
        <v>Realizada</v>
      </c>
      <c r="V278" s="20"/>
      <c r="W278" s="20"/>
      <c r="X278" s="20"/>
      <c r="Y278" s="20"/>
    </row>
    <row r="279" spans="1:25" ht="49.5">
      <c r="A279" s="20">
        <v>350</v>
      </c>
      <c r="B279" s="20" t="str">
        <f t="shared" si="76"/>
        <v>Consultorio PDD - Concejo: Jornada 2 Sector Movilidad</v>
      </c>
      <c r="C279" s="21">
        <f t="shared" si="77"/>
        <v>45405</v>
      </c>
      <c r="D279" s="20" t="str">
        <f t="shared" si="78"/>
        <v>OPDC</v>
      </c>
      <c r="E279" s="20" t="str">
        <f t="shared" si="79"/>
        <v>NO</v>
      </c>
      <c r="F279" s="20" t="str">
        <f t="shared" si="80"/>
        <v>Plan Distrital de Desarrollo</v>
      </c>
      <c r="G279" s="20" t="str">
        <f t="shared" si="81"/>
        <v>Presencial</v>
      </c>
      <c r="H279" s="20" t="str">
        <f t="shared" si="82"/>
        <v>Atender las inquietudes y/o comentarios provenientes del Concejo de Bogotá frente a la formulación del PDD</v>
      </c>
      <c r="I279" s="20" t="str">
        <f t="shared" si="83"/>
        <v>Mecanismo de Diálogo</v>
      </c>
      <c r="J279" s="20" t="str">
        <f t="shared" si="84"/>
        <v>Público</v>
      </c>
      <c r="K279" s="20" t="str">
        <f t="shared" si="85"/>
        <v>Concejo de Bogotá</v>
      </c>
      <c r="L279" s="20" t="str">
        <f t="shared" si="86"/>
        <v>Distrital</v>
      </c>
      <c r="M279" s="20" t="str">
        <f t="shared" si="87"/>
        <v>Distrital</v>
      </c>
      <c r="N279" s="20" t="str">
        <f t="shared" si="88"/>
        <v>Distrital</v>
      </c>
      <c r="O279" s="20" t="str">
        <f t="shared" si="89"/>
        <v>SÍ</v>
      </c>
      <c r="P279" s="20" t="str">
        <f t="shared" si="90"/>
        <v>Fase III: Acuerdos para la Ciudad</v>
      </c>
      <c r="Q279" s="20">
        <f t="shared" si="91"/>
        <v>30</v>
      </c>
      <c r="R279" s="20">
        <f t="shared" si="92"/>
        <v>4</v>
      </c>
      <c r="S279" s="20" t="str">
        <f t="shared" si="93"/>
        <v xml:space="preserve">Concultas por parte de Concejales  frente al PDD en torno a movilidad, Metro, Transmilenio y movilidad sostenible  </v>
      </c>
      <c r="T279" s="20">
        <f t="shared" si="74"/>
        <v>1</v>
      </c>
      <c r="U279" s="20" t="str">
        <f t="shared" ca="1" si="75"/>
        <v>Realizada</v>
      </c>
      <c r="V279" s="20"/>
      <c r="W279" s="20"/>
      <c r="X279" s="20"/>
      <c r="Y279" s="20"/>
    </row>
    <row r="280" spans="1:25" ht="61.5">
      <c r="A280" s="20">
        <v>351</v>
      </c>
      <c r="B280" s="20" t="str">
        <f t="shared" si="76"/>
        <v xml:space="preserve"> Capacitación POT- JAL  Kennedy</v>
      </c>
      <c r="C280" s="21">
        <f t="shared" si="77"/>
        <v>45405</v>
      </c>
      <c r="D280" s="20" t="str">
        <f t="shared" si="78"/>
        <v>OPDC</v>
      </c>
      <c r="E280" s="20" t="str">
        <f t="shared" si="79"/>
        <v>SÍ</v>
      </c>
      <c r="F280" s="20" t="str">
        <f t="shared" si="80"/>
        <v>Generalidades POT</v>
      </c>
      <c r="G280" s="20" t="str">
        <f t="shared" si="81"/>
        <v>Virtual</v>
      </c>
      <c r="H280" s="20" t="str">
        <f t="shared" si="82"/>
        <v xml:space="preserve">Acompañar sesión de la JAL sobre la  socialización del POT </v>
      </c>
      <c r="I280" s="20" t="str">
        <f t="shared" si="83"/>
        <v>Mecanismo de Fortalecimiento Ciudadano para la Planeación Participativa</v>
      </c>
      <c r="J280" s="20" t="str">
        <f t="shared" si="84"/>
        <v>Multiactor</v>
      </c>
      <c r="K280" s="20">
        <f t="shared" si="85"/>
        <v>0</v>
      </c>
      <c r="L280" s="20" t="str">
        <f t="shared" si="86"/>
        <v>Kennedy</v>
      </c>
      <c r="M280" s="20" t="str">
        <f t="shared" si="87"/>
        <v>Suroccidente</v>
      </c>
      <c r="N280" s="20" t="str">
        <f t="shared" si="88"/>
        <v>Kennedy, Tintal, Patio Bonito, Edén, Porvenir, Bosa</v>
      </c>
      <c r="O280" s="20" t="str">
        <f t="shared" si="89"/>
        <v>NO</v>
      </c>
      <c r="P280" s="20" t="str">
        <f t="shared" si="90"/>
        <v>No aplica</v>
      </c>
      <c r="Q280" s="20">
        <f t="shared" si="91"/>
        <v>27</v>
      </c>
      <c r="R280" s="20">
        <f t="shared" si="92"/>
        <v>5</v>
      </c>
      <c r="S280" s="20" t="str">
        <f t="shared" si="93"/>
        <v>Generalides del POT, áreas de actividad, usos de suelo y mitigación urbanistica.</v>
      </c>
      <c r="T280" s="20">
        <f t="shared" si="74"/>
        <v>1</v>
      </c>
      <c r="U280" s="20" t="str">
        <f t="shared" ca="1" si="75"/>
        <v>Realizada</v>
      </c>
      <c r="V280" s="20"/>
      <c r="W280" s="20"/>
      <c r="X280" s="20"/>
      <c r="Y280" s="20"/>
    </row>
    <row r="281" spans="1:25" ht="49.5">
      <c r="A281" s="20">
        <v>352</v>
      </c>
      <c r="B281" s="20" t="str">
        <f t="shared" si="76"/>
        <v>Comité Coordinador Intersectorial de Participación PDD</v>
      </c>
      <c r="C281" s="21">
        <f t="shared" si="77"/>
        <v>45406</v>
      </c>
      <c r="D281" s="20" t="str">
        <f t="shared" si="78"/>
        <v>OPDC</v>
      </c>
      <c r="E281" s="20" t="str">
        <f t="shared" si="79"/>
        <v>NO</v>
      </c>
      <c r="F281" s="20" t="str">
        <f t="shared" si="80"/>
        <v>Plan Distrital de Desarrollo</v>
      </c>
      <c r="G281" s="20" t="str">
        <f t="shared" si="81"/>
        <v>Virtual</v>
      </c>
      <c r="H281" s="20" t="str">
        <f t="shared" si="82"/>
        <v xml:space="preserve">Compartir entre las entidades cabezas de sector los avances respecto a la Estrategia de Participación del Plan Distrital de Desarrollo </v>
      </c>
      <c r="I281" s="20" t="str">
        <f t="shared" si="83"/>
        <v>Mecanismo de Comunicación para la Participación</v>
      </c>
      <c r="J281" s="20" t="str">
        <f t="shared" si="84"/>
        <v>Público</v>
      </c>
      <c r="K281" s="20" t="str">
        <f t="shared" si="85"/>
        <v>Servidores públicos (Distrital)</v>
      </c>
      <c r="L281" s="20" t="str">
        <f t="shared" si="86"/>
        <v>Distrital</v>
      </c>
      <c r="M281" s="20" t="str">
        <f t="shared" si="87"/>
        <v>Distrital</v>
      </c>
      <c r="N281" s="20" t="str">
        <f t="shared" si="88"/>
        <v>Distrital</v>
      </c>
      <c r="O281" s="20" t="str">
        <f t="shared" si="89"/>
        <v>SÍ</v>
      </c>
      <c r="P281" s="20" t="str">
        <f t="shared" si="90"/>
        <v>Gestión interinstitucional</v>
      </c>
      <c r="Q281" s="20">
        <f t="shared" si="91"/>
        <v>16</v>
      </c>
      <c r="R281" s="20">
        <f t="shared" si="92"/>
        <v>14</v>
      </c>
      <c r="S281" s="20" t="str">
        <f t="shared" si="93"/>
        <v>Estado de evidencias de la segunda fase de la estrategia de participacion por parte de las entidades cabezas de sector</v>
      </c>
      <c r="T281" s="20">
        <f t="shared" si="74"/>
        <v>1</v>
      </c>
      <c r="U281" s="20" t="str">
        <f t="shared" ca="1" si="75"/>
        <v>Realizada</v>
      </c>
      <c r="V281" s="20"/>
      <c r="W281" s="20"/>
      <c r="X281" s="20"/>
      <c r="Y281" s="20"/>
    </row>
    <row r="282" spans="1:25" ht="49.5">
      <c r="A282" s="20">
        <v>353</v>
      </c>
      <c r="B282" s="20" t="str">
        <f t="shared" si="76"/>
        <v>Recomendaciones al PDD por NNA en Concejo de Bogotá</v>
      </c>
      <c r="C282" s="21">
        <f t="shared" si="77"/>
        <v>45406</v>
      </c>
      <c r="D282" s="20" t="str">
        <f t="shared" si="78"/>
        <v>OPDC</v>
      </c>
      <c r="E282" s="20" t="str">
        <f t="shared" si="79"/>
        <v>NO</v>
      </c>
      <c r="F282" s="20" t="str">
        <f t="shared" si="80"/>
        <v>Plan Distrital de Desarrollo</v>
      </c>
      <c r="G282" s="20" t="str">
        <f t="shared" si="81"/>
        <v>Presencial</v>
      </c>
      <c r="H282" s="20" t="str">
        <f t="shared" si="82"/>
        <v>Acompañar la Presentación por parte de NNA recomendaciones al PDD en Concejo de Bogotá.</v>
      </c>
      <c r="I282" s="20" t="str">
        <f t="shared" si="83"/>
        <v>Mecanismo de Comunicación para la Participación</v>
      </c>
      <c r="J282" s="20" t="str">
        <f t="shared" si="84"/>
        <v>Multiactor</v>
      </c>
      <c r="K282" s="20">
        <f t="shared" si="85"/>
        <v>0</v>
      </c>
      <c r="L282" s="20" t="str">
        <f t="shared" si="86"/>
        <v>Distrital</v>
      </c>
      <c r="M282" s="20" t="str">
        <f t="shared" si="87"/>
        <v>Distrital</v>
      </c>
      <c r="N282" s="20" t="str">
        <f t="shared" si="88"/>
        <v>Distrital</v>
      </c>
      <c r="O282" s="20" t="str">
        <f t="shared" si="89"/>
        <v>SÍ</v>
      </c>
      <c r="P282" s="20" t="str">
        <f t="shared" si="90"/>
        <v>Fase III: Acuerdos para la Ciudad</v>
      </c>
      <c r="Q282" s="20">
        <f t="shared" si="91"/>
        <v>100</v>
      </c>
      <c r="R282" s="20">
        <f t="shared" si="92"/>
        <v>2</v>
      </c>
      <c r="S282" s="20" t="str">
        <f t="shared" si="93"/>
        <v>Comisión Permanente Plan Distrital de Desarrollo Concejo de Bogotá - Situación de la Infancia</v>
      </c>
      <c r="T282" s="20">
        <f t="shared" si="74"/>
        <v>1</v>
      </c>
      <c r="U282" s="20" t="str">
        <f t="shared" ca="1" si="75"/>
        <v>Realizada</v>
      </c>
      <c r="V282" s="20"/>
      <c r="W282" s="20"/>
      <c r="X282" s="20"/>
      <c r="Y282" s="20"/>
    </row>
    <row r="283" spans="1:25" ht="49.5">
      <c r="A283" s="20">
        <v>354</v>
      </c>
      <c r="B283" s="20" t="str">
        <f t="shared" si="76"/>
        <v>Consultorio PDD - Concejo: Jornada 3 Sector Seguridad</v>
      </c>
      <c r="C283" s="21">
        <f t="shared" si="77"/>
        <v>45406</v>
      </c>
      <c r="D283" s="20" t="str">
        <f t="shared" si="78"/>
        <v>OPDC</v>
      </c>
      <c r="E283" s="20" t="str">
        <f t="shared" si="79"/>
        <v>NO</v>
      </c>
      <c r="F283" s="20" t="str">
        <f t="shared" si="80"/>
        <v>Plan Distrital de Desarrollo</v>
      </c>
      <c r="G283" s="20" t="str">
        <f t="shared" si="81"/>
        <v>Presencial</v>
      </c>
      <c r="H283" s="20" t="str">
        <f t="shared" si="82"/>
        <v>Atender las inquietudes y/o comentarios provenientes del Concejo de Bogotá frente a la formulación del PDD</v>
      </c>
      <c r="I283" s="20" t="str">
        <f t="shared" si="83"/>
        <v>Mecanismo de Diálogo</v>
      </c>
      <c r="J283" s="20" t="str">
        <f t="shared" si="84"/>
        <v>Público</v>
      </c>
      <c r="K283" s="20" t="str">
        <f t="shared" si="85"/>
        <v>Concejo de Bogotá</v>
      </c>
      <c r="L283" s="20" t="str">
        <f t="shared" si="86"/>
        <v>Distrital</v>
      </c>
      <c r="M283" s="20" t="str">
        <f t="shared" si="87"/>
        <v>Distrital</v>
      </c>
      <c r="N283" s="20" t="str">
        <f t="shared" si="88"/>
        <v>Distrital</v>
      </c>
      <c r="O283" s="20" t="str">
        <f t="shared" si="89"/>
        <v>SÍ</v>
      </c>
      <c r="P283" s="20" t="str">
        <f t="shared" si="90"/>
        <v>Fase III: Acuerdos para la Ciudad</v>
      </c>
      <c r="Q283" s="20">
        <f t="shared" si="91"/>
        <v>23</v>
      </c>
      <c r="R283" s="20">
        <f t="shared" si="92"/>
        <v>4</v>
      </c>
      <c r="S283" s="20" t="str">
        <f t="shared" si="93"/>
        <v>Atender las inquietudes y/o comentarios provenientes del Concejo de Bogotá frente a la formulación del PDD</v>
      </c>
      <c r="T283" s="20">
        <f t="shared" si="74"/>
        <v>1</v>
      </c>
      <c r="U283" s="20" t="str">
        <f t="shared" ca="1" si="75"/>
        <v>Realizada</v>
      </c>
      <c r="V283" s="20"/>
      <c r="W283" s="20"/>
      <c r="X283" s="20"/>
      <c r="Y283" s="20"/>
    </row>
    <row r="284" spans="1:25" ht="49.5">
      <c r="A284" s="20">
        <v>357</v>
      </c>
      <c r="B284" s="20" t="str">
        <f t="shared" si="76"/>
        <v>Comisión Poblacional -CTPD</v>
      </c>
      <c r="C284" s="21">
        <f t="shared" si="77"/>
        <v>45406</v>
      </c>
      <c r="D284" s="20" t="str">
        <f t="shared" si="78"/>
        <v>INSTANCIAS</v>
      </c>
      <c r="E284" s="20" t="str">
        <f t="shared" si="79"/>
        <v>NO</v>
      </c>
      <c r="F284" s="20" t="str">
        <f t="shared" si="80"/>
        <v>CTPD (Consejo Territorial de Planeación Distrital)</v>
      </c>
      <c r="G284" s="20" t="str">
        <f t="shared" si="81"/>
        <v>Virtual</v>
      </c>
      <c r="H284" s="20" t="str">
        <f t="shared" si="82"/>
        <v>Formular el Plan de Acción 2024</v>
      </c>
      <c r="I284" s="20" t="str">
        <f t="shared" si="83"/>
        <v>Gestión Institucional</v>
      </c>
      <c r="J284" s="20" t="str">
        <f t="shared" si="84"/>
        <v>Comunitario</v>
      </c>
      <c r="K284" s="20" t="str">
        <f t="shared" si="85"/>
        <v>CTPD</v>
      </c>
      <c r="L284" s="20" t="str">
        <f t="shared" si="86"/>
        <v>Distrital</v>
      </c>
      <c r="M284" s="20" t="str">
        <f t="shared" si="87"/>
        <v>Distrital</v>
      </c>
      <c r="N284" s="20" t="str">
        <f t="shared" si="88"/>
        <v>Distrital</v>
      </c>
      <c r="O284" s="20" t="str">
        <f t="shared" si="89"/>
        <v>NO</v>
      </c>
      <c r="P284" s="20" t="str">
        <f t="shared" si="90"/>
        <v>No aplica</v>
      </c>
      <c r="Q284" s="20">
        <f t="shared" si="91"/>
        <v>11</v>
      </c>
      <c r="R284" s="20">
        <f t="shared" si="92"/>
        <v>1</v>
      </c>
      <c r="S284" s="20" t="str">
        <f t="shared" si="93"/>
        <v>Plan de acción 2024</v>
      </c>
      <c r="T284" s="20">
        <f t="shared" si="74"/>
        <v>1</v>
      </c>
      <c r="U284" s="20" t="str">
        <f t="shared" ca="1" si="75"/>
        <v>Realizada</v>
      </c>
      <c r="V284" s="20"/>
      <c r="W284" s="20"/>
      <c r="X284" s="20"/>
      <c r="Y284" s="20"/>
    </row>
    <row r="285" spans="1:25" ht="49.5">
      <c r="A285" s="20">
        <v>359</v>
      </c>
      <c r="B285" s="20" t="str">
        <f t="shared" si="76"/>
        <v>Sesión Ordinaria Comisión de Plan Distrital de Desarrollo del CTPD</v>
      </c>
      <c r="C285" s="21">
        <f t="shared" si="77"/>
        <v>45406</v>
      </c>
      <c r="D285" s="20" t="str">
        <f t="shared" si="78"/>
        <v>INSTANCIAS</v>
      </c>
      <c r="E285" s="20" t="str">
        <f t="shared" si="79"/>
        <v>NO</v>
      </c>
      <c r="F285" s="20" t="str">
        <f t="shared" si="80"/>
        <v>CTPD (Consejo Territorial de Planeación Distrital)</v>
      </c>
      <c r="G285" s="20" t="str">
        <f t="shared" si="81"/>
        <v>Virtual</v>
      </c>
      <c r="H285" s="20" t="str">
        <f t="shared" si="82"/>
        <v xml:space="preserve">Construir, acordar y aprobar el plan de acción de la Comisión PDD del CTPD para la vigencia 2024. </v>
      </c>
      <c r="I285" s="20" t="str">
        <f t="shared" si="83"/>
        <v>Mecanismo de Seguimiento y Evaluación</v>
      </c>
      <c r="J285" s="20" t="str">
        <f t="shared" si="84"/>
        <v>Comunitario</v>
      </c>
      <c r="K285" s="20" t="str">
        <f t="shared" si="85"/>
        <v>CTPD</v>
      </c>
      <c r="L285" s="20" t="str">
        <f t="shared" si="86"/>
        <v>Distrital</v>
      </c>
      <c r="M285" s="20" t="str">
        <f t="shared" si="87"/>
        <v>Distrital</v>
      </c>
      <c r="N285" s="20" t="str">
        <f t="shared" si="88"/>
        <v>Distrital</v>
      </c>
      <c r="O285" s="20" t="str">
        <f t="shared" si="89"/>
        <v>NO</v>
      </c>
      <c r="P285" s="20" t="str">
        <f t="shared" si="90"/>
        <v>No aplica</v>
      </c>
      <c r="Q285" s="20">
        <f t="shared" si="91"/>
        <v>31</v>
      </c>
      <c r="R285" s="20">
        <f t="shared" si="92"/>
        <v>1</v>
      </c>
      <c r="S285" s="20" t="str">
        <f t="shared" si="93"/>
        <v>Plan de Acción Comisión PDD - CTPD</v>
      </c>
      <c r="T285" s="20">
        <f t="shared" si="74"/>
        <v>1</v>
      </c>
      <c r="U285" s="20" t="str">
        <f t="shared" ca="1" si="75"/>
        <v>Realizada</v>
      </c>
      <c r="V285" s="20"/>
      <c r="W285" s="20"/>
      <c r="X285" s="20"/>
      <c r="Y285" s="20"/>
    </row>
    <row r="286" spans="1:25" ht="49.5">
      <c r="A286" s="20">
        <v>360</v>
      </c>
      <c r="B286" s="20" t="str">
        <f t="shared" si="76"/>
        <v>CLIP Candelaria</v>
      </c>
      <c r="C286" s="21">
        <f t="shared" si="77"/>
        <v>45407</v>
      </c>
      <c r="D286" s="20" t="str">
        <f t="shared" si="78"/>
        <v>OPDC</v>
      </c>
      <c r="E286" s="20" t="str">
        <f t="shared" si="79"/>
        <v>NO</v>
      </c>
      <c r="F286" s="20" t="str">
        <f t="shared" si="80"/>
        <v>CLIP (Comisión Local Intersectorial de Participación)</v>
      </c>
      <c r="G286" s="20" t="str">
        <f t="shared" si="81"/>
        <v>Virtual</v>
      </c>
      <c r="H286" s="20" t="str">
        <f t="shared" si="82"/>
        <v>Acompañar la articulación de los esfuerzos institucionales de participación en la localidad de Candelaria</v>
      </c>
      <c r="I286" s="20" t="str">
        <f t="shared" si="83"/>
        <v>Gestión Institucional</v>
      </c>
      <c r="J286" s="20" t="str">
        <f t="shared" si="84"/>
        <v>Público</v>
      </c>
      <c r="K286" s="20" t="str">
        <f t="shared" si="85"/>
        <v>CLIP</v>
      </c>
      <c r="L286" s="20" t="str">
        <f t="shared" si="86"/>
        <v>La Candelaria</v>
      </c>
      <c r="M286" s="20" t="str">
        <f t="shared" si="87"/>
        <v>Centro Ampliado</v>
      </c>
      <c r="N286" s="20" t="str">
        <f t="shared" si="88"/>
        <v>Centro Histórico</v>
      </c>
      <c r="O286" s="20" t="str">
        <f t="shared" si="89"/>
        <v>NO</v>
      </c>
      <c r="P286" s="20" t="str">
        <f t="shared" si="90"/>
        <v>No aplica</v>
      </c>
      <c r="Q286" s="20">
        <f t="shared" si="91"/>
        <v>28</v>
      </c>
      <c r="R286" s="20">
        <f t="shared" si="92"/>
        <v>1</v>
      </c>
      <c r="S286" s="20" t="str">
        <f t="shared" si="93"/>
        <v>Recolección de información sobre el funcionamiento de las Instancias de Participación Locales, Encuentros Ciudadanos. Presentación SDP Estrategia Participación PDD</v>
      </c>
      <c r="T286" s="20">
        <f t="shared" si="74"/>
        <v>1</v>
      </c>
      <c r="U286" s="20" t="str">
        <f t="shared" ca="1" si="75"/>
        <v>Realizada</v>
      </c>
      <c r="V286" s="20"/>
      <c r="W286" s="20"/>
      <c r="X286" s="20"/>
      <c r="Y286" s="20"/>
    </row>
    <row r="287" spans="1:25" ht="49.5">
      <c r="A287" s="20">
        <v>361</v>
      </c>
      <c r="B287" s="20" t="str">
        <f t="shared" si="76"/>
        <v>Consultorio PDD - Concejo: Jornada 4 Sector Seguridad</v>
      </c>
      <c r="C287" s="21">
        <f t="shared" si="77"/>
        <v>45407</v>
      </c>
      <c r="D287" s="20" t="str">
        <f t="shared" si="78"/>
        <v>OPDC</v>
      </c>
      <c r="E287" s="20" t="str">
        <f t="shared" si="79"/>
        <v>NO</v>
      </c>
      <c r="F287" s="20" t="str">
        <f t="shared" si="80"/>
        <v>Plan Distrital de Desarrollo</v>
      </c>
      <c r="G287" s="20" t="str">
        <f t="shared" si="81"/>
        <v>Presencial</v>
      </c>
      <c r="H287" s="20" t="str">
        <f t="shared" si="82"/>
        <v>Atender las inquietudes y/o comentarios provenientes del Concejo de Bogotá frente a la formulación del PDD</v>
      </c>
      <c r="I287" s="20" t="str">
        <f t="shared" si="83"/>
        <v>Mecanismo de Diálogo</v>
      </c>
      <c r="J287" s="20" t="str">
        <f t="shared" si="84"/>
        <v>Público</v>
      </c>
      <c r="K287" s="20" t="str">
        <f t="shared" si="85"/>
        <v>Concejo de Bogotá</v>
      </c>
      <c r="L287" s="20" t="str">
        <f t="shared" si="86"/>
        <v>Distrital</v>
      </c>
      <c r="M287" s="20" t="str">
        <f t="shared" si="87"/>
        <v>Distrital</v>
      </c>
      <c r="N287" s="20" t="str">
        <f t="shared" si="88"/>
        <v>Distrital</v>
      </c>
      <c r="O287" s="20" t="str">
        <f t="shared" si="89"/>
        <v>SÍ</v>
      </c>
      <c r="P287" s="20" t="str">
        <f t="shared" si="90"/>
        <v>Fase III: Acuerdos para la Ciudad</v>
      </c>
      <c r="Q287" s="20">
        <f t="shared" si="91"/>
        <v>7</v>
      </c>
      <c r="R287" s="20">
        <f t="shared" si="92"/>
        <v>3</v>
      </c>
      <c r="S287" s="20" t="str">
        <f t="shared" si="93"/>
        <v>Bomberos, valores de una estación de bomberos, rango de acción de una estación y control de los hidrantes.</v>
      </c>
      <c r="T287" s="20">
        <f t="shared" si="74"/>
        <v>1</v>
      </c>
      <c r="U287" s="20" t="str">
        <f t="shared" ca="1" si="75"/>
        <v>Realizada</v>
      </c>
      <c r="V287" s="20"/>
      <c r="W287" s="20"/>
      <c r="X287" s="20"/>
      <c r="Y287" s="20"/>
    </row>
    <row r="288" spans="1:25" ht="49.5">
      <c r="A288" s="20">
        <v>362</v>
      </c>
      <c r="B288" s="20" t="str">
        <f t="shared" si="76"/>
        <v>Sesión ordinaria del Consejo Distrital de Propiedad Horizontal</v>
      </c>
      <c r="C288" s="21">
        <f t="shared" si="77"/>
        <v>45407</v>
      </c>
      <c r="D288" s="20" t="str">
        <f t="shared" si="78"/>
        <v>INSTANCIAS</v>
      </c>
      <c r="E288" s="20" t="str">
        <f t="shared" si="79"/>
        <v>NO</v>
      </c>
      <c r="F288" s="20" t="str">
        <f t="shared" si="80"/>
        <v>CCPH (Consejo Consultivo de Propiedad Horizontal)</v>
      </c>
      <c r="G288" s="20" t="str">
        <f t="shared" si="81"/>
        <v>Presencial</v>
      </c>
      <c r="H288" s="20" t="str">
        <f t="shared" si="82"/>
        <v>Atender la Invitación a la sesión ordinaria del Consejo Distrital de Propiedad Horizontal</v>
      </c>
      <c r="I288" s="20" t="str">
        <f t="shared" si="83"/>
        <v>Gestión Institucional</v>
      </c>
      <c r="J288" s="20" t="str">
        <f t="shared" si="84"/>
        <v>Comunitario</v>
      </c>
      <c r="K288" s="20" t="str">
        <f t="shared" si="85"/>
        <v>Consejo Consultivo</v>
      </c>
      <c r="L288" s="20" t="str">
        <f t="shared" si="86"/>
        <v>Distrital</v>
      </c>
      <c r="M288" s="20" t="str">
        <f t="shared" si="87"/>
        <v>Distrital</v>
      </c>
      <c r="N288" s="20" t="str">
        <f t="shared" si="88"/>
        <v>Distrital</v>
      </c>
      <c r="O288" s="20" t="str">
        <f t="shared" si="89"/>
        <v>NO</v>
      </c>
      <c r="P288" s="20" t="str">
        <f t="shared" si="90"/>
        <v>No aplica</v>
      </c>
      <c r="Q288" s="20">
        <f t="shared" si="91"/>
        <v>21</v>
      </c>
      <c r="R288" s="20">
        <f t="shared" si="92"/>
        <v>1</v>
      </c>
      <c r="S288" s="20" t="str">
        <f t="shared" si="93"/>
        <v>apoyo uno de los puntos del orden del día relacionado con las fases 3 y 4 de participación en el PDD</v>
      </c>
      <c r="T288" s="20">
        <f t="shared" si="74"/>
        <v>1</v>
      </c>
      <c r="U288" s="20" t="str">
        <f t="shared" ca="1" si="75"/>
        <v>Realizada</v>
      </c>
      <c r="V288" s="20"/>
      <c r="W288" s="20"/>
      <c r="X288" s="20"/>
      <c r="Y288" s="20"/>
    </row>
    <row r="289" spans="1:25" ht="49.5">
      <c r="A289" s="20">
        <v>364</v>
      </c>
      <c r="B289" s="20" t="str">
        <f t="shared" si="76"/>
        <v>Plenaria Ordinaria CTPD</v>
      </c>
      <c r="C289" s="21">
        <f t="shared" si="77"/>
        <v>45407</v>
      </c>
      <c r="D289" s="20" t="str">
        <f t="shared" si="78"/>
        <v>INSTANCIAS</v>
      </c>
      <c r="E289" s="20" t="str">
        <f t="shared" si="79"/>
        <v>NO</v>
      </c>
      <c r="F289" s="20" t="str">
        <f t="shared" si="80"/>
        <v>CTPD (Consejo Territorial de Planeación Distrital)</v>
      </c>
      <c r="G289" s="20" t="str">
        <f t="shared" si="81"/>
        <v>Virtual</v>
      </c>
      <c r="H289" s="20" t="str">
        <f t="shared" si="82"/>
        <v>Analizar la respuesta dada por la administración al concepto sobre el PDD</v>
      </c>
      <c r="I289" s="20" t="str">
        <f t="shared" si="83"/>
        <v>Mecanismo de Seguimiento y Evaluación</v>
      </c>
      <c r="J289" s="20" t="str">
        <f t="shared" si="84"/>
        <v>Comunitario</v>
      </c>
      <c r="K289" s="20" t="str">
        <f t="shared" si="85"/>
        <v>CTPD</v>
      </c>
      <c r="L289" s="20" t="str">
        <f t="shared" si="86"/>
        <v>Distrital</v>
      </c>
      <c r="M289" s="20" t="str">
        <f t="shared" si="87"/>
        <v>Distrital</v>
      </c>
      <c r="N289" s="20" t="str">
        <f t="shared" si="88"/>
        <v>Distrital</v>
      </c>
      <c r="O289" s="20" t="str">
        <f t="shared" si="89"/>
        <v>NO</v>
      </c>
      <c r="P289" s="20" t="str">
        <f t="shared" si="90"/>
        <v>No aplica</v>
      </c>
      <c r="Q289" s="20">
        <f t="shared" si="91"/>
        <v>66</v>
      </c>
      <c r="R289" s="20">
        <f t="shared" si="92"/>
        <v>3</v>
      </c>
      <c r="S289" s="20" t="str">
        <f t="shared" si="93"/>
        <v>Informe de contextualización de lo que ha pasado después de la cancelación de las mesas técnicas hasta la actividad del 22 de abril de 2024.</v>
      </c>
      <c r="T289" s="20">
        <f t="shared" si="74"/>
        <v>1</v>
      </c>
      <c r="U289" s="20" t="str">
        <f t="shared" ca="1" si="75"/>
        <v>Realizada</v>
      </c>
      <c r="V289" s="20"/>
      <c r="W289" s="20"/>
      <c r="X289" s="20"/>
      <c r="Y289" s="20"/>
    </row>
    <row r="290" spans="1:25" ht="37.5">
      <c r="A290" s="20">
        <v>365</v>
      </c>
      <c r="B290" s="20" t="str">
        <f t="shared" si="76"/>
        <v>Acto protocolario NNA - Alcaldía Mayor</v>
      </c>
      <c r="C290" s="21">
        <f t="shared" si="77"/>
        <v>45408</v>
      </c>
      <c r="D290" s="20" t="str">
        <f t="shared" si="78"/>
        <v>OPDC</v>
      </c>
      <c r="E290" s="20" t="str">
        <f t="shared" si="79"/>
        <v>NO</v>
      </c>
      <c r="F290" s="20" t="str">
        <f t="shared" si="80"/>
        <v>Plan Distrital de Desarrollo</v>
      </c>
      <c r="G290" s="20" t="str">
        <f t="shared" si="81"/>
        <v>Presencial</v>
      </c>
      <c r="H290" s="20" t="str">
        <f t="shared" si="82"/>
        <v>Realizar taller creativo con los NNA en el marco del acto protocolarios liderado por la SED</v>
      </c>
      <c r="I290" s="20" t="str">
        <f t="shared" si="83"/>
        <v>Mecanismo de Diálogo</v>
      </c>
      <c r="J290" s="20" t="str">
        <f t="shared" si="84"/>
        <v>Multiactor</v>
      </c>
      <c r="K290" s="20">
        <f t="shared" si="85"/>
        <v>0</v>
      </c>
      <c r="L290" s="20" t="str">
        <f t="shared" si="86"/>
        <v>Distrital</v>
      </c>
      <c r="M290" s="20" t="str">
        <f t="shared" si="87"/>
        <v>Distrital</v>
      </c>
      <c r="N290" s="20" t="str">
        <f t="shared" si="88"/>
        <v>Distrital</v>
      </c>
      <c r="O290" s="20" t="str">
        <f t="shared" si="89"/>
        <v>SÍ</v>
      </c>
      <c r="P290" s="20" t="str">
        <f t="shared" si="90"/>
        <v>Gestión interinstitucional</v>
      </c>
      <c r="Q290" s="20">
        <f t="shared" si="91"/>
        <v>50</v>
      </c>
      <c r="R290" s="20">
        <f t="shared" si="92"/>
        <v>5</v>
      </c>
      <c r="S290" s="20" t="str">
        <f t="shared" si="93"/>
        <v>Aportes de los NNA al PDD</v>
      </c>
      <c r="T290" s="20">
        <f t="shared" si="74"/>
        <v>1</v>
      </c>
      <c r="U290" s="20" t="str">
        <f t="shared" ca="1" si="75"/>
        <v>Realizada</v>
      </c>
      <c r="V290" s="20"/>
      <c r="W290" s="20"/>
      <c r="X290" s="20"/>
      <c r="Y290" s="20"/>
    </row>
    <row r="291" spans="1:25" ht="49.5">
      <c r="A291" s="20">
        <v>366</v>
      </c>
      <c r="B291" s="20" t="str">
        <f t="shared" si="76"/>
        <v>Consultorio PDD - Concejo: Jornada 5 Sector Gobierno</v>
      </c>
      <c r="C291" s="21">
        <f t="shared" si="77"/>
        <v>45408</v>
      </c>
      <c r="D291" s="20" t="str">
        <f t="shared" si="78"/>
        <v>OPDC</v>
      </c>
      <c r="E291" s="20" t="str">
        <f t="shared" si="79"/>
        <v>NO</v>
      </c>
      <c r="F291" s="20" t="str">
        <f t="shared" si="80"/>
        <v>Plan Distrital de Desarrollo</v>
      </c>
      <c r="G291" s="20" t="str">
        <f t="shared" si="81"/>
        <v>Presencial</v>
      </c>
      <c r="H291" s="20" t="str">
        <f t="shared" si="82"/>
        <v>Atender las inquietudes y/o comentarios provenientes del Concejo de Bogotá frente a la formulación del PDD</v>
      </c>
      <c r="I291" s="20" t="str">
        <f t="shared" si="83"/>
        <v>Mecanismo de Diálogo</v>
      </c>
      <c r="J291" s="20" t="str">
        <f t="shared" si="84"/>
        <v>Público</v>
      </c>
      <c r="K291" s="20" t="str">
        <f t="shared" si="85"/>
        <v>Concejo de Bogotá</v>
      </c>
      <c r="L291" s="20" t="str">
        <f t="shared" si="86"/>
        <v>Distrital</v>
      </c>
      <c r="M291" s="20" t="str">
        <f t="shared" si="87"/>
        <v>Distrital</v>
      </c>
      <c r="N291" s="20" t="str">
        <f t="shared" si="88"/>
        <v>Distrital</v>
      </c>
      <c r="O291" s="20" t="str">
        <f t="shared" si="89"/>
        <v>SÍ</v>
      </c>
      <c r="P291" s="20" t="str">
        <f t="shared" si="90"/>
        <v>Fase III: Acuerdos para la Ciudad</v>
      </c>
      <c r="Q291" s="20">
        <f t="shared" si="91"/>
        <v>23</v>
      </c>
      <c r="R291" s="20">
        <f t="shared" si="92"/>
        <v>4</v>
      </c>
      <c r="S291" s="20" t="str">
        <f t="shared" si="93"/>
        <v>Atender las inquietudes y/o comentarios provenientes del Concejo de Bogotá frente a la formulación del PDD</v>
      </c>
      <c r="T291" s="20">
        <f t="shared" si="74"/>
        <v>1</v>
      </c>
      <c r="U291" s="20" t="str">
        <f t="shared" ca="1" si="75"/>
        <v>Realizada</v>
      </c>
      <c r="V291" s="20"/>
      <c r="W291" s="20"/>
      <c r="X291" s="20"/>
      <c r="Y291" s="20"/>
    </row>
    <row r="292" spans="1:25" ht="49.5">
      <c r="A292" s="20">
        <v>368</v>
      </c>
      <c r="B292" s="20" t="str">
        <f t="shared" si="76"/>
        <v xml:space="preserve">Mesa de trabajo sector republica de Canadá y Santa Marta </v>
      </c>
      <c r="C292" s="21">
        <f t="shared" si="77"/>
        <v>45409</v>
      </c>
      <c r="D292" s="20" t="str">
        <f t="shared" si="78"/>
        <v>OPDC</v>
      </c>
      <c r="E292" s="20" t="str">
        <f t="shared" si="79"/>
        <v>SÍ</v>
      </c>
      <c r="F292" s="20" t="str">
        <f t="shared" si="80"/>
        <v>Legalización Urbanística</v>
      </c>
      <c r="G292" s="20" t="str">
        <f t="shared" si="81"/>
        <v>Presencial</v>
      </c>
      <c r="H292" s="20" t="str">
        <f t="shared" si="82"/>
        <v xml:space="preserve">Acompañar el proceso de legalización de barrios en el sector de Canadá y Santa Marta </v>
      </c>
      <c r="I292" s="20" t="str">
        <f t="shared" si="83"/>
        <v>Mecanismo de Comunicación para la Participación</v>
      </c>
      <c r="J292" s="20" t="str">
        <f t="shared" si="84"/>
        <v>Multiactor</v>
      </c>
      <c r="K292" s="20">
        <f t="shared" si="85"/>
        <v>0</v>
      </c>
      <c r="L292" s="20" t="str">
        <f t="shared" si="86"/>
        <v>Ciudad Bolívar</v>
      </c>
      <c r="M292" s="20" t="str">
        <f t="shared" si="87"/>
        <v>Suroriente</v>
      </c>
      <c r="N292" s="20" t="str">
        <f t="shared" si="88"/>
        <v>Lucero, Arborizadora</v>
      </c>
      <c r="O292" s="20" t="str">
        <f t="shared" si="89"/>
        <v>NO</v>
      </c>
      <c r="P292" s="20" t="str">
        <f t="shared" si="90"/>
        <v>No aplica</v>
      </c>
      <c r="Q292" s="20">
        <f t="shared" si="91"/>
        <v>5</v>
      </c>
      <c r="R292" s="20">
        <f t="shared" si="92"/>
        <v>4</v>
      </c>
      <c r="S292" s="20" t="str">
        <f t="shared" si="93"/>
        <v xml:space="preserve">Acompañamiento y sensibilización a la comunidad asistente frente a legalización de barrios para el sector de Canadá y Santa Marta </v>
      </c>
      <c r="T292" s="20">
        <f t="shared" si="74"/>
        <v>1</v>
      </c>
      <c r="U292" s="20" t="str">
        <f t="shared" ca="1" si="75"/>
        <v>Realizada</v>
      </c>
      <c r="V292" s="20"/>
      <c r="W292" s="20"/>
      <c r="X292" s="20"/>
      <c r="Y292" s="20"/>
    </row>
    <row r="293" spans="1:25" ht="49.5">
      <c r="A293" s="20">
        <v>369</v>
      </c>
      <c r="B293" s="20" t="str">
        <f t="shared" si="76"/>
        <v>Socialización Plan Participación Ciudadana - Consejo Consultivo LGBTI</v>
      </c>
      <c r="C293" s="21">
        <f t="shared" si="77"/>
        <v>45411</v>
      </c>
      <c r="D293" s="20" t="str">
        <f t="shared" si="78"/>
        <v>OPDC</v>
      </c>
      <c r="E293" s="20" t="str">
        <f t="shared" si="79"/>
        <v>NO</v>
      </c>
      <c r="F293" s="20" t="str">
        <f t="shared" si="80"/>
        <v>Gestión del Plan Institucional de Participación Ciudadana</v>
      </c>
      <c r="G293" s="20" t="str">
        <f t="shared" si="81"/>
        <v>Virtual</v>
      </c>
      <c r="H293" s="20" t="str">
        <f t="shared" si="82"/>
        <v>Socializar el Plan Institucional de Participación Ciudadana (PIPC) al Consejo Consultivo LGBTI</v>
      </c>
      <c r="I293" s="20" t="str">
        <f t="shared" si="83"/>
        <v>Mecanismo de Comunicación para la Participación</v>
      </c>
      <c r="J293" s="20" t="str">
        <f t="shared" si="84"/>
        <v>Comunitario</v>
      </c>
      <c r="K293" s="20" t="str">
        <f t="shared" si="85"/>
        <v>Consejo Consultivo</v>
      </c>
      <c r="L293" s="20" t="str">
        <f t="shared" si="86"/>
        <v>Distrital</v>
      </c>
      <c r="M293" s="20" t="str">
        <f t="shared" si="87"/>
        <v>Distrital</v>
      </c>
      <c r="N293" s="20" t="str">
        <f t="shared" si="88"/>
        <v>Distrital</v>
      </c>
      <c r="O293" s="20" t="str">
        <f t="shared" si="89"/>
        <v>NO</v>
      </c>
      <c r="P293" s="20" t="str">
        <f t="shared" si="90"/>
        <v>No aplica</v>
      </c>
      <c r="Q293" s="20">
        <f t="shared" si="91"/>
        <v>5</v>
      </c>
      <c r="R293" s="20">
        <f t="shared" si="92"/>
        <v>3</v>
      </c>
      <c r="S293" s="20" t="str">
        <f t="shared" si="93"/>
        <v>Socialización del Plan Institucional de Participación Ciudadana (PIPC) al Consejo Consultivo LGBTI</v>
      </c>
      <c r="T293" s="20">
        <f t="shared" si="74"/>
        <v>1</v>
      </c>
      <c r="U293" s="20" t="str">
        <f t="shared" ca="1" si="75"/>
        <v>Realizada</v>
      </c>
      <c r="V293" s="20"/>
      <c r="W293" s="20"/>
      <c r="X293" s="20"/>
      <c r="Y293" s="20"/>
    </row>
    <row r="294" spans="1:25" ht="49.5">
      <c r="A294" s="20">
        <v>370</v>
      </c>
      <c r="B294" s="20" t="str">
        <f t="shared" si="76"/>
        <v>Plenaria Permanente CTPD</v>
      </c>
      <c r="C294" s="21">
        <f t="shared" si="77"/>
        <v>45411</v>
      </c>
      <c r="D294" s="20" t="str">
        <f t="shared" si="78"/>
        <v>INSTANCIAS</v>
      </c>
      <c r="E294" s="20" t="str">
        <f t="shared" si="79"/>
        <v>NO</v>
      </c>
      <c r="F294" s="20" t="str">
        <f t="shared" si="80"/>
        <v>CTPD (Consejo Territorial de Planeación Distrital)</v>
      </c>
      <c r="G294" s="20" t="str">
        <f t="shared" si="81"/>
        <v>Virtual</v>
      </c>
      <c r="H294" s="20" t="str">
        <f t="shared" si="82"/>
        <v>Dar continuidad al orden del día establecido en la Plenaria ordinaria del 25 de abril de 2024</v>
      </c>
      <c r="I294" s="20" t="str">
        <f t="shared" si="83"/>
        <v>Mecanismo de Seguimiento y Evaluación</v>
      </c>
      <c r="J294" s="20" t="str">
        <f t="shared" si="84"/>
        <v>Comunitario</v>
      </c>
      <c r="K294" s="20" t="str">
        <f t="shared" si="85"/>
        <v>CTPD</v>
      </c>
      <c r="L294" s="20" t="str">
        <f t="shared" si="86"/>
        <v>Distrital</v>
      </c>
      <c r="M294" s="20" t="str">
        <f t="shared" si="87"/>
        <v>Distrital</v>
      </c>
      <c r="N294" s="20" t="str">
        <f t="shared" si="88"/>
        <v>Distrital</v>
      </c>
      <c r="O294" s="20" t="str">
        <f t="shared" si="89"/>
        <v>NO</v>
      </c>
      <c r="P294" s="20" t="str">
        <f t="shared" si="90"/>
        <v>No aplica</v>
      </c>
      <c r="Q294" s="20">
        <f t="shared" si="91"/>
        <v>77</v>
      </c>
      <c r="R294" s="20">
        <f t="shared" si="92"/>
        <v>1</v>
      </c>
      <c r="S294" s="20" t="str">
        <f t="shared" si="93"/>
        <v>Continuidad al orden del día de la plenaria ordinaria del CTPD del pasado 25 de abril de 2024</v>
      </c>
      <c r="T294" s="20">
        <f t="shared" si="74"/>
        <v>1</v>
      </c>
      <c r="U294" s="20" t="str">
        <f t="shared" ca="1" si="75"/>
        <v>Realizada</v>
      </c>
      <c r="V294" s="20"/>
      <c r="W294" s="20"/>
      <c r="X294" s="20"/>
      <c r="Y294" s="20"/>
    </row>
    <row r="295" spans="1:25" ht="49.5">
      <c r="A295" s="20">
        <v>372</v>
      </c>
      <c r="B295" s="20" t="str">
        <f t="shared" si="76"/>
        <v>Consultorio PDD - Concejo: Jornada 7 Sector Ambiente</v>
      </c>
      <c r="C295" s="21">
        <f t="shared" si="77"/>
        <v>45412</v>
      </c>
      <c r="D295" s="20" t="str">
        <f t="shared" si="78"/>
        <v>OPDC</v>
      </c>
      <c r="E295" s="20" t="str">
        <f t="shared" si="79"/>
        <v>NO</v>
      </c>
      <c r="F295" s="20" t="str">
        <f t="shared" si="80"/>
        <v>Plan Distrital de Desarrollo</v>
      </c>
      <c r="G295" s="20" t="str">
        <f t="shared" si="81"/>
        <v>Presencial</v>
      </c>
      <c r="H295" s="20" t="str">
        <f t="shared" si="82"/>
        <v>Atender las inquietudes y/o comentarios provenientes del Concejo de Bogotá frente a la formulación del PDD</v>
      </c>
      <c r="I295" s="20" t="str">
        <f t="shared" si="83"/>
        <v>Mecanismo de Diálogo</v>
      </c>
      <c r="J295" s="20" t="str">
        <f t="shared" si="84"/>
        <v>Público</v>
      </c>
      <c r="K295" s="20" t="str">
        <f t="shared" si="85"/>
        <v>Concejo de Bogotá</v>
      </c>
      <c r="L295" s="20" t="str">
        <f t="shared" si="86"/>
        <v>Distrital</v>
      </c>
      <c r="M295" s="20" t="str">
        <f t="shared" si="87"/>
        <v>Distrital</v>
      </c>
      <c r="N295" s="20" t="str">
        <f t="shared" si="88"/>
        <v>Distrital</v>
      </c>
      <c r="O295" s="20" t="str">
        <f t="shared" si="89"/>
        <v>SÍ</v>
      </c>
      <c r="P295" s="20" t="str">
        <f t="shared" si="90"/>
        <v>Fase III: Acuerdos para la Ciudad</v>
      </c>
      <c r="Q295" s="20">
        <f t="shared" si="91"/>
        <v>17</v>
      </c>
      <c r="R295" s="20">
        <f t="shared" si="92"/>
        <v>4</v>
      </c>
      <c r="S295" s="20" t="str">
        <f t="shared" si="93"/>
        <v xml:space="preserve">Procesos de participación ciudadana, gestión de residuos sólidos y la atención a situaciones de riesgo.  </v>
      </c>
      <c r="T295" s="20">
        <f t="shared" si="74"/>
        <v>1</v>
      </c>
      <c r="U295" s="20" t="str">
        <f t="shared" ca="1" si="75"/>
        <v>Realizada</v>
      </c>
      <c r="V295" s="20"/>
      <c r="W295" s="20"/>
      <c r="X295" s="20"/>
      <c r="Y295" s="20"/>
    </row>
    <row r="296" spans="1:25" ht="49.5">
      <c r="A296" s="20">
        <v>373</v>
      </c>
      <c r="B296" s="20" t="str">
        <f t="shared" si="76"/>
        <v>CLIP Ciudad Bolivar</v>
      </c>
      <c r="C296" s="21">
        <f t="shared" si="77"/>
        <v>45412</v>
      </c>
      <c r="D296" s="20" t="str">
        <f t="shared" si="78"/>
        <v>INSTANCIAS</v>
      </c>
      <c r="E296" s="20" t="str">
        <f t="shared" si="79"/>
        <v>NO</v>
      </c>
      <c r="F296" s="20" t="str">
        <f t="shared" si="80"/>
        <v>CLIP (Comisión Local Intersectorial de Participación)</v>
      </c>
      <c r="G296" s="20" t="str">
        <f t="shared" si="81"/>
        <v>Virtual</v>
      </c>
      <c r="H296" s="20" t="str">
        <f t="shared" si="82"/>
        <v>Acompañar la articulación de los esfuerzos institucionales de participación en la localidad de Ciudad Bolivar</v>
      </c>
      <c r="I296" s="20" t="str">
        <f t="shared" si="83"/>
        <v>Gestión Institucional</v>
      </c>
      <c r="J296" s="20" t="str">
        <f t="shared" si="84"/>
        <v>Público</v>
      </c>
      <c r="K296" s="20" t="str">
        <f t="shared" si="85"/>
        <v>CLIP</v>
      </c>
      <c r="L296" s="20" t="str">
        <f t="shared" si="86"/>
        <v>Ciudad Bolívar</v>
      </c>
      <c r="M296" s="20" t="str">
        <f t="shared" si="87"/>
        <v>Suroriente, Ruralidad</v>
      </c>
      <c r="N296" s="20" t="str">
        <f t="shared" si="88"/>
        <v>Arborizadora, Lucero, Cuenca del Tunjuelo</v>
      </c>
      <c r="O296" s="20" t="str">
        <f t="shared" si="89"/>
        <v>NO</v>
      </c>
      <c r="P296" s="20" t="str">
        <f t="shared" si="90"/>
        <v>No aplica</v>
      </c>
      <c r="Q296" s="20">
        <f t="shared" si="91"/>
        <v>15</v>
      </c>
      <c r="R296" s="20">
        <f t="shared" si="92"/>
        <v>1</v>
      </c>
      <c r="S296" s="20" t="str">
        <f t="shared" si="93"/>
        <v>Encuentros ciudadanos, Estrategia Jóvenes a la E,Comité de impulso del Consejo Local de la Bici.</v>
      </c>
      <c r="T296" s="20">
        <f t="shared" si="74"/>
        <v>1</v>
      </c>
      <c r="U296" s="20" t="str">
        <f t="shared" ca="1" si="75"/>
        <v>Realizada</v>
      </c>
      <c r="V296" s="20"/>
      <c r="W296" s="20"/>
      <c r="X296" s="20"/>
      <c r="Y296" s="20"/>
    </row>
    <row r="297" spans="1:25" ht="49.5">
      <c r="A297" s="20">
        <v>374</v>
      </c>
      <c r="B297" s="20" t="str">
        <f t="shared" si="76"/>
        <v>Jornada de la socialización virtual del ajuste a la propuesta de formulación del PPRU “Textilia”.</v>
      </c>
      <c r="C297" s="21">
        <f t="shared" si="77"/>
        <v>45412</v>
      </c>
      <c r="D297" s="20" t="str">
        <f t="shared" si="78"/>
        <v>OPDC</v>
      </c>
      <c r="E297" s="20" t="str">
        <f t="shared" si="79"/>
        <v>NO</v>
      </c>
      <c r="F297" s="20" t="str">
        <f t="shared" si="80"/>
        <v>Planes Parciales de Renovación Urbana</v>
      </c>
      <c r="G297" s="20" t="str">
        <f t="shared" si="81"/>
        <v>Virtual</v>
      </c>
      <c r="H297" s="20" t="str">
        <f t="shared" si="82"/>
        <v>Socialización del ajuste a la propuesta de formulación del Plan Parcial de Renovación Urbana “Textilia”</v>
      </c>
      <c r="I297" s="20" t="str">
        <f t="shared" si="83"/>
        <v>Mecanismo de Comunicación para la Participación</v>
      </c>
      <c r="J297" s="20" t="str">
        <f t="shared" si="84"/>
        <v>Multiactor</v>
      </c>
      <c r="K297" s="20">
        <f t="shared" si="85"/>
        <v>0</v>
      </c>
      <c r="L297" s="20" t="str">
        <f t="shared" si="86"/>
        <v>Puente Aranda</v>
      </c>
      <c r="M297" s="20" t="str">
        <f t="shared" si="87"/>
        <v>Centro Ampliado</v>
      </c>
      <c r="N297" s="20" t="str">
        <f t="shared" si="88"/>
        <v>Puente Aranda</v>
      </c>
      <c r="O297" s="20" t="str">
        <f t="shared" si="89"/>
        <v>NO</v>
      </c>
      <c r="P297" s="20" t="str">
        <f t="shared" si="90"/>
        <v>No aplica</v>
      </c>
      <c r="Q297" s="20">
        <f t="shared" si="91"/>
        <v>21</v>
      </c>
      <c r="R297" s="20">
        <f t="shared" si="92"/>
        <v>6</v>
      </c>
      <c r="S297" s="20" t="str">
        <f t="shared" si="93"/>
        <v>Ajustes a la formulación del PPRU Textilia</v>
      </c>
      <c r="T297" s="20">
        <f t="shared" si="74"/>
        <v>1</v>
      </c>
      <c r="U297" s="20" t="str">
        <f t="shared" ca="1" si="75"/>
        <v>Realizada</v>
      </c>
      <c r="V297" s="20"/>
      <c r="W297" s="20"/>
      <c r="X297" s="20"/>
      <c r="Y297" s="20"/>
    </row>
    <row r="298" spans="1:25" ht="74.25">
      <c r="A298" s="20">
        <v>375</v>
      </c>
      <c r="B298" s="20" t="str">
        <f t="shared" si="76"/>
        <v>Comité Coordinador Intersectorial de Participación PDD</v>
      </c>
      <c r="C298" s="21">
        <f t="shared" si="77"/>
        <v>45414</v>
      </c>
      <c r="D298" s="20" t="str">
        <f t="shared" si="78"/>
        <v>OPDC</v>
      </c>
      <c r="E298" s="20" t="str">
        <f t="shared" si="79"/>
        <v>NO</v>
      </c>
      <c r="F298" s="20" t="str">
        <f t="shared" si="80"/>
        <v>Plan Distrital de Desarrollo</v>
      </c>
      <c r="G298" s="20" t="str">
        <f t="shared" si="81"/>
        <v>Virtual</v>
      </c>
      <c r="H298" s="20" t="str">
        <f t="shared" si="82"/>
        <v xml:space="preserve">Compartir los avances en la estrategia de participación por parte de las cabezas de sector del distrito y dar indicaciones respecto de la Fase 3: "Acuerdos para la Ciudad"  de la estrategia de participación del PDD </v>
      </c>
      <c r="I298" s="20" t="str">
        <f t="shared" si="83"/>
        <v>Mecanismo de Comunicación para la Participación</v>
      </c>
      <c r="J298" s="20" t="str">
        <f t="shared" si="84"/>
        <v>Público</v>
      </c>
      <c r="K298" s="20" t="str">
        <f t="shared" si="85"/>
        <v>Servidores públicos (Distrital)</v>
      </c>
      <c r="L298" s="20" t="str">
        <f t="shared" si="86"/>
        <v>Distrital</v>
      </c>
      <c r="M298" s="20" t="str">
        <f t="shared" si="87"/>
        <v>Distrital</v>
      </c>
      <c r="N298" s="20" t="str">
        <f t="shared" si="88"/>
        <v>Distrital</v>
      </c>
      <c r="O298" s="20" t="str">
        <f t="shared" si="89"/>
        <v>SÍ</v>
      </c>
      <c r="P298" s="20" t="str">
        <f t="shared" si="90"/>
        <v>Gestión interinstitucional</v>
      </c>
      <c r="Q298" s="20">
        <f t="shared" si="91"/>
        <v>17</v>
      </c>
      <c r="R298" s="20">
        <f t="shared" si="92"/>
        <v>16</v>
      </c>
      <c r="S298" s="20" t="str">
        <f t="shared" si="93"/>
        <v xml:space="preserve">Inicio de Fase 3 "Acuerdos para la ciudad", explicación breve de la fase y sus acciones, pausa de las reuniones del comite hasta terminar la fase. </v>
      </c>
      <c r="T298" s="20">
        <f t="shared" si="74"/>
        <v>1</v>
      </c>
      <c r="U298" s="20" t="str">
        <f t="shared" ca="1" si="75"/>
        <v>Realizada</v>
      </c>
      <c r="V298" s="20"/>
      <c r="W298" s="20"/>
      <c r="X298" s="20"/>
      <c r="Y298" s="20"/>
    </row>
    <row r="299" spans="1:25" ht="61.5">
      <c r="A299" s="20">
        <v>376</v>
      </c>
      <c r="B299" s="20" t="str">
        <f t="shared" si="76"/>
        <v>Consultorio PDD - Concejo: Jornada 8 Sector Salud</v>
      </c>
      <c r="C299" s="21">
        <f t="shared" si="77"/>
        <v>45414</v>
      </c>
      <c r="D299" s="20" t="str">
        <f t="shared" si="78"/>
        <v>OPDC</v>
      </c>
      <c r="E299" s="20" t="str">
        <f t="shared" si="79"/>
        <v>NO</v>
      </c>
      <c r="F299" s="20" t="str">
        <f t="shared" si="80"/>
        <v>Plan Distrital de Desarrollo</v>
      </c>
      <c r="G299" s="20" t="str">
        <f t="shared" si="81"/>
        <v>Presencial</v>
      </c>
      <c r="H299" s="20" t="str">
        <f t="shared" si="82"/>
        <v>Atender las inquietudes y/o comentarios provenientes del Concejo de Bogotá frente a la formulación del PDD</v>
      </c>
      <c r="I299" s="20" t="str">
        <f t="shared" si="83"/>
        <v>Mecanismo de Diálogo</v>
      </c>
      <c r="J299" s="20" t="str">
        <f t="shared" si="84"/>
        <v>Público</v>
      </c>
      <c r="K299" s="20" t="str">
        <f t="shared" si="85"/>
        <v>Concejo de Bogotá</v>
      </c>
      <c r="L299" s="20" t="str">
        <f t="shared" si="86"/>
        <v>Distrital</v>
      </c>
      <c r="M299" s="20" t="str">
        <f t="shared" si="87"/>
        <v>Distrital</v>
      </c>
      <c r="N299" s="20" t="str">
        <f t="shared" si="88"/>
        <v>Distrital</v>
      </c>
      <c r="O299" s="20" t="str">
        <f t="shared" si="89"/>
        <v>SÍ</v>
      </c>
      <c r="P299" s="20" t="str">
        <f t="shared" si="90"/>
        <v>Fase III: Acuerdos para la Ciudad</v>
      </c>
      <c r="Q299" s="20">
        <f t="shared" si="91"/>
        <v>5</v>
      </c>
      <c r="R299" s="20">
        <f t="shared" si="92"/>
        <v>4</v>
      </c>
      <c r="S299" s="20" t="str">
        <f t="shared" si="93"/>
        <v xml:space="preserve">Fortalecimiento de la prestación de los servicios sociales en salud, mejora en la atención institucional, métodos de evaluación de la atención, cobertura de las rutas de atención, tercerización. </v>
      </c>
      <c r="T299" s="20">
        <f t="shared" si="74"/>
        <v>1</v>
      </c>
      <c r="U299" s="20" t="str">
        <f t="shared" ca="1" si="75"/>
        <v>Realizada</v>
      </c>
      <c r="V299" s="20"/>
      <c r="W299" s="20"/>
      <c r="X299" s="20"/>
      <c r="Y299" s="20"/>
    </row>
    <row r="300" spans="1:25" ht="61.5">
      <c r="A300" s="20">
        <v>377</v>
      </c>
      <c r="B300" s="20" t="str">
        <f t="shared" si="76"/>
        <v>CLIP Candelaria</v>
      </c>
      <c r="C300" s="21">
        <f t="shared" si="77"/>
        <v>45414</v>
      </c>
      <c r="D300" s="20" t="str">
        <f t="shared" si="78"/>
        <v>INSTANCIAS</v>
      </c>
      <c r="E300" s="20" t="str">
        <f t="shared" si="79"/>
        <v>NO</v>
      </c>
      <c r="F300" s="20" t="str">
        <f t="shared" si="80"/>
        <v>CLIP (Comisión Local Intersectorial de Participación)</v>
      </c>
      <c r="G300" s="20" t="str">
        <f t="shared" si="81"/>
        <v>Presencial</v>
      </c>
      <c r="H300" s="20" t="str">
        <f t="shared" si="82"/>
        <v>Acompañar la articulación de los esfuerzos institucionales de participación en la localidad de Candelaria</v>
      </c>
      <c r="I300" s="20" t="str">
        <f t="shared" si="83"/>
        <v>Gestión Institucional</v>
      </c>
      <c r="J300" s="20" t="str">
        <f t="shared" si="84"/>
        <v>Público</v>
      </c>
      <c r="K300" s="20" t="str">
        <f t="shared" si="85"/>
        <v>CLIP</v>
      </c>
      <c r="L300" s="20" t="str">
        <f t="shared" si="86"/>
        <v>La Candelaria</v>
      </c>
      <c r="M300" s="20" t="str">
        <f t="shared" si="87"/>
        <v>Centro Ampliado</v>
      </c>
      <c r="N300" s="20" t="str">
        <f t="shared" si="88"/>
        <v>Centro Histórico</v>
      </c>
      <c r="O300" s="20" t="str">
        <f t="shared" si="89"/>
        <v>NO</v>
      </c>
      <c r="P300" s="20" t="str">
        <f t="shared" si="90"/>
        <v>No aplica</v>
      </c>
      <c r="Q300" s="20">
        <f t="shared" si="91"/>
        <v>20</v>
      </c>
      <c r="R300" s="20">
        <f t="shared" si="92"/>
        <v>1</v>
      </c>
      <c r="S300" s="20" t="str">
        <f t="shared" si="93"/>
        <v>Caracterización actores Sub-Red Centro Oriente. Conformación de las JAC de La Candelaria. Construcción y priorización de acciones para mitigar problemas de participación ciudadana</v>
      </c>
      <c r="T300" s="20">
        <f t="shared" si="74"/>
        <v>1</v>
      </c>
      <c r="U300" s="20" t="str">
        <f t="shared" ca="1" si="75"/>
        <v>Realizada</v>
      </c>
      <c r="V300" s="20"/>
      <c r="W300" s="20"/>
      <c r="X300" s="20"/>
      <c r="Y300" s="20"/>
    </row>
    <row r="301" spans="1:25" ht="49.5">
      <c r="A301" s="20">
        <v>378</v>
      </c>
      <c r="B301" s="20" t="str">
        <f t="shared" si="76"/>
        <v>Plenaria Permanente CTPD</v>
      </c>
      <c r="C301" s="21">
        <f t="shared" si="77"/>
        <v>45414</v>
      </c>
      <c r="D301" s="20" t="str">
        <f t="shared" si="78"/>
        <v>INSTANCIAS</v>
      </c>
      <c r="E301" s="20" t="str">
        <f t="shared" si="79"/>
        <v>NO</v>
      </c>
      <c r="F301" s="20" t="str">
        <f t="shared" si="80"/>
        <v>CTPD (Consejo Territorial de Planeación Distrital)</v>
      </c>
      <c r="G301" s="20" t="str">
        <f t="shared" si="81"/>
        <v>Virtual</v>
      </c>
      <c r="H301" s="20" t="str">
        <f t="shared" si="82"/>
        <v>Dar continuidad a la plenaria ordinaria del 25 de abril que no agotó el orden del día</v>
      </c>
      <c r="I301" s="20" t="str">
        <f t="shared" si="83"/>
        <v>Mecanismo de Seguimiento y Evaluación</v>
      </c>
      <c r="J301" s="20" t="str">
        <f t="shared" si="84"/>
        <v>Comunitario</v>
      </c>
      <c r="K301" s="20" t="str">
        <f t="shared" si="85"/>
        <v>CTPD</v>
      </c>
      <c r="L301" s="20" t="str">
        <f t="shared" si="86"/>
        <v>Distrital</v>
      </c>
      <c r="M301" s="20" t="str">
        <f t="shared" si="87"/>
        <v>Distrital</v>
      </c>
      <c r="N301" s="20" t="str">
        <f t="shared" si="88"/>
        <v>Distrital</v>
      </c>
      <c r="O301" s="20" t="str">
        <f t="shared" si="89"/>
        <v>NO</v>
      </c>
      <c r="P301" s="20" t="str">
        <f t="shared" si="90"/>
        <v>No aplica</v>
      </c>
      <c r="Q301" s="20">
        <f t="shared" si="91"/>
        <v>72</v>
      </c>
      <c r="R301" s="20">
        <f t="shared" si="92"/>
        <v>4</v>
      </c>
      <c r="S301" s="20" t="str">
        <f t="shared" si="93"/>
        <v>Socialización de  la matriz enviada como respuesta al concepto emitido frente al PDD</v>
      </c>
      <c r="T301" s="20">
        <f t="shared" si="74"/>
        <v>1</v>
      </c>
      <c r="U301" s="20" t="str">
        <f t="shared" ca="1" si="75"/>
        <v>Realizada</v>
      </c>
      <c r="V301" s="20"/>
      <c r="W301" s="20"/>
      <c r="X301" s="20"/>
      <c r="Y301" s="20"/>
    </row>
    <row r="302" spans="1:25" ht="49.5">
      <c r="A302" s="20">
        <v>379</v>
      </c>
      <c r="B302" s="20" t="str">
        <f t="shared" si="76"/>
        <v>Recorrido AE ZIBO - JAC Puente Aranda</v>
      </c>
      <c r="C302" s="21">
        <f t="shared" si="77"/>
        <v>45415</v>
      </c>
      <c r="D302" s="20" t="str">
        <f t="shared" si="78"/>
        <v>OPDC</v>
      </c>
      <c r="E302" s="20" t="str">
        <f t="shared" si="79"/>
        <v>SÍ</v>
      </c>
      <c r="F302" s="20" t="str">
        <f t="shared" si="80"/>
        <v>Formulación de Actuaciones Estratégicas</v>
      </c>
      <c r="G302" s="20" t="str">
        <f t="shared" si="81"/>
        <v>Presencial</v>
      </c>
      <c r="H302" s="20" t="str">
        <f t="shared" si="82"/>
        <v>Acompañar a RenoBo y la JAC de Puente Aranda en un recorrido por el poligono de la AE en formulación pieza ZIBO</v>
      </c>
      <c r="I302" s="20" t="str">
        <f t="shared" si="83"/>
        <v>Mecanismo de Diálogo</v>
      </c>
      <c r="J302" s="20" t="str">
        <f t="shared" si="84"/>
        <v>Multiactor</v>
      </c>
      <c r="K302" s="20">
        <f t="shared" si="85"/>
        <v>0</v>
      </c>
      <c r="L302" s="20" t="str">
        <f t="shared" si="86"/>
        <v>Puente Aranda</v>
      </c>
      <c r="M302" s="20" t="str">
        <f t="shared" si="87"/>
        <v>Centro Ampliado</v>
      </c>
      <c r="N302" s="20" t="str">
        <f t="shared" si="88"/>
        <v>Puente Aranda</v>
      </c>
      <c r="O302" s="20" t="str">
        <f t="shared" si="89"/>
        <v>NO</v>
      </c>
      <c r="P302" s="20" t="str">
        <f t="shared" si="90"/>
        <v>No aplica</v>
      </c>
      <c r="Q302" s="20">
        <f t="shared" si="91"/>
        <v>14</v>
      </c>
      <c r="R302" s="20">
        <f t="shared" si="92"/>
        <v>3</v>
      </c>
      <c r="S302" s="20" t="str">
        <f t="shared" si="93"/>
        <v>Formulación AE pieza ZIBO en la UPL Puente Aranda</v>
      </c>
      <c r="T302" s="20">
        <f t="shared" si="74"/>
        <v>1</v>
      </c>
      <c r="U302" s="20" t="str">
        <f t="shared" ca="1" si="75"/>
        <v>Realizada</v>
      </c>
      <c r="V302" s="20"/>
      <c r="W302" s="20"/>
      <c r="X302" s="20"/>
      <c r="Y302" s="20"/>
    </row>
    <row r="303" spans="1:25" ht="61.5">
      <c r="A303" s="20">
        <v>380</v>
      </c>
      <c r="B303" s="20" t="str">
        <f t="shared" si="76"/>
        <v>Consultorio PDD - Concejo: Jornada 9 Sector Salud</v>
      </c>
      <c r="C303" s="21">
        <f t="shared" si="77"/>
        <v>45415</v>
      </c>
      <c r="D303" s="20" t="str">
        <f t="shared" si="78"/>
        <v>OPDC</v>
      </c>
      <c r="E303" s="20" t="str">
        <f t="shared" si="79"/>
        <v>NO</v>
      </c>
      <c r="F303" s="20" t="str">
        <f t="shared" si="80"/>
        <v>Plan Distrital de Desarrollo</v>
      </c>
      <c r="G303" s="20" t="str">
        <f t="shared" si="81"/>
        <v>Presencial</v>
      </c>
      <c r="H303" s="20" t="str">
        <f t="shared" si="82"/>
        <v>Atender las inquietudes y/o comentarios provenientes del Concejo de Bogotá frente a la formulación del PDD</v>
      </c>
      <c r="I303" s="20" t="str">
        <f t="shared" si="83"/>
        <v>Mecanismo de Diálogo</v>
      </c>
      <c r="J303" s="20" t="str">
        <f t="shared" si="84"/>
        <v>Público</v>
      </c>
      <c r="K303" s="20" t="str">
        <f t="shared" si="85"/>
        <v>Concejo de Bogotá</v>
      </c>
      <c r="L303" s="20" t="str">
        <f t="shared" si="86"/>
        <v>Distrital</v>
      </c>
      <c r="M303" s="20" t="str">
        <f t="shared" si="87"/>
        <v>Distrital</v>
      </c>
      <c r="N303" s="20" t="str">
        <f t="shared" si="88"/>
        <v>Distrital</v>
      </c>
      <c r="O303" s="20" t="str">
        <f t="shared" si="89"/>
        <v>SÍ</v>
      </c>
      <c r="P303" s="20" t="str">
        <f t="shared" si="90"/>
        <v>Fase III: Acuerdos para la Ciudad</v>
      </c>
      <c r="Q303" s="20">
        <f t="shared" si="91"/>
        <v>10</v>
      </c>
      <c r="R303" s="20">
        <f t="shared" si="92"/>
        <v>4</v>
      </c>
      <c r="S303" s="20" t="str">
        <f t="shared" si="93"/>
        <v>Regulación Consumo SPA, atención con enfoque diferencial, servicio en la clínica de género para tránsitos seguros, modelo de atención en salud actual, inspección de vigilancia y control</v>
      </c>
      <c r="T303" s="20">
        <f t="shared" si="74"/>
        <v>1</v>
      </c>
      <c r="U303" s="20" t="str">
        <f t="shared" ca="1" si="75"/>
        <v>Realizada</v>
      </c>
      <c r="V303" s="20"/>
      <c r="W303" s="20"/>
      <c r="X303" s="20"/>
      <c r="Y303" s="20"/>
    </row>
    <row r="304" spans="1:25" ht="49.5">
      <c r="A304" s="20">
        <v>381</v>
      </c>
      <c r="B304" s="20" t="str">
        <f t="shared" si="76"/>
        <v>Sesión de Concejo - Formulación PDD</v>
      </c>
      <c r="C304" s="21">
        <f t="shared" si="77"/>
        <v>45415</v>
      </c>
      <c r="D304" s="20" t="str">
        <f t="shared" si="78"/>
        <v>OPDC</v>
      </c>
      <c r="E304" s="20" t="str">
        <f t="shared" si="79"/>
        <v>NO</v>
      </c>
      <c r="F304" s="20" t="str">
        <f t="shared" si="80"/>
        <v>Plan Distrital de Desarrollo</v>
      </c>
      <c r="G304" s="20" t="str">
        <f t="shared" si="81"/>
        <v>Presencial</v>
      </c>
      <c r="H304" s="20" t="str">
        <f t="shared" si="82"/>
        <v>Acompañar la discusión del proyecto de acuerdo del Plan Distrital de Desarrollo de cara al proceso de debate para su aprobación en el Concejo Distrital</v>
      </c>
      <c r="I304" s="20" t="str">
        <f t="shared" si="83"/>
        <v>Mecanismo de Diálogo</v>
      </c>
      <c r="J304" s="20" t="str">
        <f t="shared" si="84"/>
        <v>Público</v>
      </c>
      <c r="K304" s="20" t="str">
        <f t="shared" si="85"/>
        <v>Concejo de Bogotá</v>
      </c>
      <c r="L304" s="20" t="str">
        <f t="shared" si="86"/>
        <v>Distrital</v>
      </c>
      <c r="M304" s="20" t="str">
        <f t="shared" si="87"/>
        <v>Distrital</v>
      </c>
      <c r="N304" s="20" t="str">
        <f t="shared" si="88"/>
        <v>Distrital</v>
      </c>
      <c r="O304" s="20" t="str">
        <f t="shared" si="89"/>
        <v>SÍ</v>
      </c>
      <c r="P304" s="20" t="str">
        <f t="shared" si="90"/>
        <v>Fase III: Acuerdos para la Ciudad</v>
      </c>
      <c r="Q304" s="20">
        <f t="shared" si="91"/>
        <v>120</v>
      </c>
      <c r="R304" s="20">
        <f t="shared" si="92"/>
        <v>6</v>
      </c>
      <c r="S304" s="20" t="str">
        <f t="shared" si="93"/>
        <v>Presentación general del Plan Distrital de Desarrollo y el Plan Plurianual de Inversión.</v>
      </c>
      <c r="T304" s="20">
        <f t="shared" si="74"/>
        <v>1</v>
      </c>
      <c r="U304" s="20" t="str">
        <f t="shared" ca="1" si="75"/>
        <v>Realizada</v>
      </c>
      <c r="V304" s="20"/>
      <c r="W304" s="20"/>
      <c r="X304" s="20"/>
      <c r="Y304" s="20"/>
    </row>
    <row r="305" spans="1:25" ht="49.5">
      <c r="A305" s="20">
        <v>382</v>
      </c>
      <c r="B305" s="20" t="str">
        <f t="shared" si="76"/>
        <v>CLIP Usaquén</v>
      </c>
      <c r="C305" s="21">
        <f t="shared" si="77"/>
        <v>45415</v>
      </c>
      <c r="D305" s="20" t="str">
        <f t="shared" si="78"/>
        <v>INSTANCIAS</v>
      </c>
      <c r="E305" s="20" t="str">
        <f t="shared" si="79"/>
        <v>NO</v>
      </c>
      <c r="F305" s="20" t="str">
        <f t="shared" si="80"/>
        <v>CLIP (Comisión Local Intersectorial de Participación)</v>
      </c>
      <c r="G305" s="20" t="str">
        <f t="shared" si="81"/>
        <v>Virtual</v>
      </c>
      <c r="H305" s="20" t="str">
        <f t="shared" si="82"/>
        <v>Acompañar la articulación de los esfuerzos institucionales de participación en la localidad de Usaquén</v>
      </c>
      <c r="I305" s="20" t="str">
        <f t="shared" si="83"/>
        <v>Gestión Institucional</v>
      </c>
      <c r="J305" s="20" t="str">
        <f t="shared" si="84"/>
        <v>Público</v>
      </c>
      <c r="K305" s="20" t="str">
        <f t="shared" si="85"/>
        <v>CLIP</v>
      </c>
      <c r="L305" s="20" t="str">
        <f t="shared" si="86"/>
        <v>Usaquén</v>
      </c>
      <c r="M305" s="20" t="str">
        <f t="shared" si="87"/>
        <v>Norte, Ruralidad</v>
      </c>
      <c r="N305" s="20" t="str">
        <f t="shared" si="88"/>
        <v>Usaquén, Toberín, Cerros Orientales, Torca</v>
      </c>
      <c r="O305" s="20" t="str">
        <f t="shared" si="89"/>
        <v>NO</v>
      </c>
      <c r="P305" s="20" t="str">
        <f t="shared" si="90"/>
        <v>No aplica</v>
      </c>
      <c r="Q305" s="20">
        <f t="shared" si="91"/>
        <v>15</v>
      </c>
      <c r="R305" s="20">
        <f t="shared" si="92"/>
        <v>1</v>
      </c>
      <c r="S305" s="20" t="str">
        <f t="shared" si="93"/>
        <v>Aprobación del acta anterior, Presentación del IDRG (CLGRCC), Plan de Acción CLIP</v>
      </c>
      <c r="T305" s="20">
        <f t="shared" si="74"/>
        <v>1</v>
      </c>
      <c r="U305" s="20" t="str">
        <f t="shared" ca="1" si="75"/>
        <v>Realizada</v>
      </c>
      <c r="V305" s="20"/>
      <c r="W305" s="20"/>
      <c r="X305" s="20"/>
      <c r="Y305" s="20"/>
    </row>
    <row r="306" spans="1:25" ht="37.5">
      <c r="A306" s="20">
        <v>383</v>
      </c>
      <c r="B306" s="20" t="str">
        <f t="shared" si="76"/>
        <v>Gestión :Socialización plan decenal de lenguas Étnicas -UNAD</v>
      </c>
      <c r="C306" s="21">
        <f t="shared" si="77"/>
        <v>45415</v>
      </c>
      <c r="D306" s="20" t="str">
        <f t="shared" si="78"/>
        <v>OPDC</v>
      </c>
      <c r="E306" s="20" t="str">
        <f t="shared" si="79"/>
        <v>NO</v>
      </c>
      <c r="F306" s="20" t="str">
        <f t="shared" si="80"/>
        <v>Políticas Públicas</v>
      </c>
      <c r="G306" s="20" t="str">
        <f t="shared" si="81"/>
        <v>Presencial</v>
      </c>
      <c r="H306" s="20" t="str">
        <f t="shared" si="82"/>
        <v>Acompañar la  invitación de la UNAD a la socialización del Plan Decenal de Lenguas Étnicas.</v>
      </c>
      <c r="I306" s="20" t="str">
        <f t="shared" si="83"/>
        <v>Gestión Institucional</v>
      </c>
      <c r="J306" s="20" t="str">
        <f t="shared" si="84"/>
        <v>Multiactor</v>
      </c>
      <c r="K306" s="20">
        <f t="shared" si="85"/>
        <v>0</v>
      </c>
      <c r="L306" s="20" t="str">
        <f t="shared" si="86"/>
        <v>Distrital</v>
      </c>
      <c r="M306" s="20" t="str">
        <f t="shared" si="87"/>
        <v>Distrital</v>
      </c>
      <c r="N306" s="20" t="str">
        <f t="shared" si="88"/>
        <v>Distrital</v>
      </c>
      <c r="O306" s="20" t="str">
        <f t="shared" si="89"/>
        <v>NO</v>
      </c>
      <c r="P306" s="20" t="str">
        <f t="shared" si="90"/>
        <v>No aplica</v>
      </c>
      <c r="Q306" s="20">
        <f t="shared" si="91"/>
        <v>9</v>
      </c>
      <c r="R306" s="20">
        <f t="shared" si="92"/>
        <v>1</v>
      </c>
      <c r="S306" s="20" t="str">
        <f t="shared" si="93"/>
        <v xml:space="preserve">Pervivencia de las lenguas étnicas a través del Plan Decenal de Lenguas </v>
      </c>
      <c r="T306" s="20">
        <f t="shared" si="74"/>
        <v>1</v>
      </c>
      <c r="U306" s="20" t="str">
        <f t="shared" ca="1" si="75"/>
        <v>Realizada</v>
      </c>
      <c r="V306" s="20"/>
      <c r="W306" s="20"/>
      <c r="X306" s="20"/>
      <c r="Y306" s="20"/>
    </row>
    <row r="307" spans="1:25" ht="49.5">
      <c r="A307" s="20">
        <v>384</v>
      </c>
      <c r="B307" s="20" t="str">
        <f t="shared" si="76"/>
        <v>Taller  Modelo de Relacionamiento con la Ciudadanía</v>
      </c>
      <c r="C307" s="21">
        <f t="shared" si="77"/>
        <v>45415</v>
      </c>
      <c r="D307" s="20" t="str">
        <f t="shared" si="78"/>
        <v>OPDC</v>
      </c>
      <c r="E307" s="20" t="str">
        <f t="shared" si="79"/>
        <v>NO</v>
      </c>
      <c r="F307" s="20" t="str">
        <f t="shared" si="80"/>
        <v>Gestión del Plan Institucional de Participación Ciudadana</v>
      </c>
      <c r="G307" s="20" t="str">
        <f t="shared" si="81"/>
        <v>Presencial</v>
      </c>
      <c r="H307" s="20" t="str">
        <f t="shared" si="82"/>
        <v>Establecer lineamientos para gestionar de manera integral la relación con la ciudadanía.</v>
      </c>
      <c r="I307" s="20" t="str">
        <f t="shared" si="83"/>
        <v>Gestión Institucional</v>
      </c>
      <c r="J307" s="20" t="str">
        <f t="shared" si="84"/>
        <v>Público</v>
      </c>
      <c r="K307" s="20">
        <f t="shared" si="85"/>
        <v>0</v>
      </c>
      <c r="L307" s="20" t="str">
        <f t="shared" si="86"/>
        <v>Distrital</v>
      </c>
      <c r="M307" s="20" t="str">
        <f t="shared" si="87"/>
        <v>Distrital</v>
      </c>
      <c r="N307" s="20" t="str">
        <f t="shared" si="88"/>
        <v>Distrital</v>
      </c>
      <c r="O307" s="20" t="str">
        <f t="shared" si="89"/>
        <v>NO</v>
      </c>
      <c r="P307" s="20" t="str">
        <f t="shared" si="90"/>
        <v>No aplica</v>
      </c>
      <c r="Q307" s="20">
        <f t="shared" si="91"/>
        <v>14</v>
      </c>
      <c r="R307" s="20">
        <f t="shared" si="92"/>
        <v>6</v>
      </c>
      <c r="S307" s="20" t="str">
        <f t="shared" si="93"/>
        <v>Escenarios de relacionamiento con las políticas del Modelo Integrado de Gestión, MIPG.</v>
      </c>
      <c r="T307" s="20">
        <f t="shared" si="74"/>
        <v>1</v>
      </c>
      <c r="U307" s="20" t="str">
        <f t="shared" ca="1" si="75"/>
        <v>Realizada</v>
      </c>
      <c r="V307" s="20"/>
      <c r="W307" s="20"/>
      <c r="X307" s="20"/>
      <c r="Y307" s="20"/>
    </row>
    <row r="308" spans="1:25" ht="49.5">
      <c r="A308" s="20">
        <v>386</v>
      </c>
      <c r="B308" s="20" t="str">
        <f t="shared" si="76"/>
        <v>Recorrido AE Chapinero verde e inteligente</v>
      </c>
      <c r="C308" s="21">
        <f t="shared" si="77"/>
        <v>45415</v>
      </c>
      <c r="D308" s="20" t="str">
        <f t="shared" si="78"/>
        <v>OPDC</v>
      </c>
      <c r="E308" s="20" t="str">
        <f t="shared" si="79"/>
        <v>SÍ</v>
      </c>
      <c r="F308" s="20" t="str">
        <f t="shared" si="80"/>
        <v>Formulación de Actuaciones Estratégicas</v>
      </c>
      <c r="G308" s="20" t="str">
        <f t="shared" si="81"/>
        <v>Presencial</v>
      </c>
      <c r="H308" s="20" t="str">
        <f t="shared" si="82"/>
        <v>Acompañar el  reconocimiento del territorio junto a líderes comunitarios, bajo la coordinación del Operador Urbano</v>
      </c>
      <c r="I308" s="20" t="str">
        <f t="shared" si="83"/>
        <v>Mecanismo de Diálogo</v>
      </c>
      <c r="J308" s="20" t="str">
        <f t="shared" si="84"/>
        <v>Comunitario</v>
      </c>
      <c r="K308" s="20">
        <f t="shared" si="85"/>
        <v>0</v>
      </c>
      <c r="L308" s="20" t="str">
        <f t="shared" si="86"/>
        <v>Chapinero</v>
      </c>
      <c r="M308" s="20" t="str">
        <f t="shared" si="87"/>
        <v>Centro Ampliado, Ruralidad</v>
      </c>
      <c r="N308" s="20" t="str">
        <f t="shared" si="88"/>
        <v>Centro Histórico, Chapinero, Cerros Orientales</v>
      </c>
      <c r="O308" s="20" t="str">
        <f t="shared" si="89"/>
        <v>NO</v>
      </c>
      <c r="P308" s="20" t="str">
        <f t="shared" si="90"/>
        <v>No aplica</v>
      </c>
      <c r="Q308" s="20">
        <f t="shared" si="91"/>
        <v>8</v>
      </c>
      <c r="R308" s="20">
        <f t="shared" si="92"/>
        <v>6</v>
      </c>
      <c r="S308" s="20" t="str">
        <f t="shared" si="93"/>
        <v xml:space="preserve">Punto claves para la AE Chapinero Verde e inteligente, PIP de la UPL Chapinero y Ruta de participación de la AE </v>
      </c>
      <c r="T308" s="20">
        <f t="shared" si="74"/>
        <v>1</v>
      </c>
      <c r="U308" s="20" t="str">
        <f t="shared" ca="1" si="75"/>
        <v>Realizada</v>
      </c>
      <c r="V308" s="20"/>
      <c r="W308" s="20"/>
      <c r="X308" s="20"/>
      <c r="Y308" s="20"/>
    </row>
    <row r="309" spans="1:25" ht="49.5">
      <c r="A309" s="20">
        <v>388</v>
      </c>
      <c r="B309" s="20" t="str">
        <f t="shared" si="76"/>
        <v>Consultorio PDD - Concejo: Jornada 10- Sector Integración Social</v>
      </c>
      <c r="C309" s="21">
        <f t="shared" si="77"/>
        <v>45418</v>
      </c>
      <c r="D309" s="20" t="str">
        <f t="shared" si="78"/>
        <v>OPDC</v>
      </c>
      <c r="E309" s="20" t="str">
        <f t="shared" si="79"/>
        <v>NO</v>
      </c>
      <c r="F309" s="20" t="str">
        <f t="shared" si="80"/>
        <v>Plan Distrital de Desarrollo</v>
      </c>
      <c r="G309" s="20" t="str">
        <f t="shared" si="81"/>
        <v>Presencial</v>
      </c>
      <c r="H309" s="20" t="str">
        <f t="shared" si="82"/>
        <v>Atender las inquietudes y/o comentarios provenientes del Concejo de Bogotá frente a la formulación del PDD</v>
      </c>
      <c r="I309" s="20" t="str">
        <f t="shared" si="83"/>
        <v>Mecanismo de Diálogo</v>
      </c>
      <c r="J309" s="20" t="str">
        <f t="shared" si="84"/>
        <v>Público</v>
      </c>
      <c r="K309" s="20" t="str">
        <f t="shared" si="85"/>
        <v>Concejo de Bogotá</v>
      </c>
      <c r="L309" s="20" t="str">
        <f t="shared" si="86"/>
        <v>Distrital</v>
      </c>
      <c r="M309" s="20" t="str">
        <f t="shared" si="87"/>
        <v>Distrital</v>
      </c>
      <c r="N309" s="20" t="str">
        <f t="shared" si="88"/>
        <v>Distrital</v>
      </c>
      <c r="O309" s="20" t="str">
        <f t="shared" si="89"/>
        <v>SÍ</v>
      </c>
      <c r="P309" s="20" t="str">
        <f t="shared" si="90"/>
        <v>Fase III: Acuerdos para la Ciudad</v>
      </c>
      <c r="Q309" s="20">
        <f t="shared" si="91"/>
        <v>10</v>
      </c>
      <c r="R309" s="20">
        <f t="shared" si="92"/>
        <v>3</v>
      </c>
      <c r="S309" s="20" t="str">
        <f t="shared" si="93"/>
        <v>Recepción de inquietudes sobre el Plan Distrital de Desarrollo dirigidas a la secretaría distrital de integración social</v>
      </c>
      <c r="T309" s="20">
        <f t="shared" si="74"/>
        <v>1</v>
      </c>
      <c r="U309" s="20" t="str">
        <f t="shared" ca="1" si="75"/>
        <v>Realizada</v>
      </c>
      <c r="V309" s="20"/>
      <c r="W309" s="20"/>
      <c r="X309" s="20"/>
      <c r="Y309" s="20"/>
    </row>
    <row r="310" spans="1:25" ht="49.5">
      <c r="A310" s="20">
        <v>389</v>
      </c>
      <c r="B310" s="20" t="str">
        <f t="shared" si="76"/>
        <v>Sesión de Concejo - Formulación PDD- 06-05-2024</v>
      </c>
      <c r="C310" s="21">
        <f t="shared" si="77"/>
        <v>45418</v>
      </c>
      <c r="D310" s="20" t="str">
        <f t="shared" si="78"/>
        <v>OPDC</v>
      </c>
      <c r="E310" s="20" t="str">
        <f t="shared" si="79"/>
        <v>NO</v>
      </c>
      <c r="F310" s="20" t="str">
        <f t="shared" si="80"/>
        <v>Plan Distrital de Desarrollo</v>
      </c>
      <c r="G310" s="20" t="str">
        <f t="shared" si="81"/>
        <v>Presencial</v>
      </c>
      <c r="H310" s="20" t="str">
        <f t="shared" si="82"/>
        <v>Acompañar la discusión del proyecto de acuerdo del Plan Distrital de Desarrollo de cara al proceso de debate para su aprobación en el Concejo Distrital</v>
      </c>
      <c r="I310" s="20" t="str">
        <f t="shared" si="83"/>
        <v>Mecanismo de Diálogo</v>
      </c>
      <c r="J310" s="20" t="str">
        <f t="shared" si="84"/>
        <v>Público</v>
      </c>
      <c r="K310" s="20" t="str">
        <f t="shared" si="85"/>
        <v>Concejo de Bogotá</v>
      </c>
      <c r="L310" s="20" t="str">
        <f t="shared" si="86"/>
        <v>Distrital</v>
      </c>
      <c r="M310" s="20" t="str">
        <f t="shared" si="87"/>
        <v>Distrital</v>
      </c>
      <c r="N310" s="20" t="str">
        <f t="shared" si="88"/>
        <v>Distrital</v>
      </c>
      <c r="O310" s="20" t="str">
        <f t="shared" si="89"/>
        <v>SÍ</v>
      </c>
      <c r="P310" s="20" t="str">
        <f t="shared" si="90"/>
        <v>Fase II: Aspiraciones Comunes</v>
      </c>
      <c r="Q310" s="20">
        <f t="shared" si="91"/>
        <v>95</v>
      </c>
      <c r="R310" s="20">
        <f t="shared" si="92"/>
        <v>3</v>
      </c>
      <c r="S310" s="20" t="str">
        <f t="shared" si="93"/>
        <v xml:space="preserve">Preguntas y respuestas sobre las metas y programas del Objetivo 1 Bogotá Camina Segura del PDD. </v>
      </c>
      <c r="T310" s="20">
        <f t="shared" si="74"/>
        <v>1</v>
      </c>
      <c r="U310" s="20" t="str">
        <f t="shared" ca="1" si="75"/>
        <v>Realizada</v>
      </c>
      <c r="V310" s="20"/>
      <c r="W310" s="20"/>
      <c r="X310" s="20"/>
      <c r="Y310" s="20"/>
    </row>
    <row r="311" spans="1:25" ht="49.5">
      <c r="A311" s="20">
        <v>390</v>
      </c>
      <c r="B311" s="20" t="str">
        <f t="shared" si="76"/>
        <v>Sesión Consejo Distrital de Propiedad Horizontal</v>
      </c>
      <c r="C311" s="21">
        <f t="shared" si="77"/>
        <v>45418</v>
      </c>
      <c r="D311" s="20" t="str">
        <f t="shared" si="78"/>
        <v>INSTANCIAS</v>
      </c>
      <c r="E311" s="20" t="str">
        <f t="shared" si="79"/>
        <v>NO</v>
      </c>
      <c r="F311" s="20" t="str">
        <f t="shared" si="80"/>
        <v>CCPH (Consejo Consultivo de Propiedad Horizontal)</v>
      </c>
      <c r="G311" s="20" t="str">
        <f t="shared" si="81"/>
        <v>Presencial</v>
      </c>
      <c r="H311" s="20" t="str">
        <f t="shared" si="82"/>
        <v>Revisar propuestas del Plan de Distrital de Desarrollo</v>
      </c>
      <c r="I311" s="20" t="str">
        <f t="shared" si="83"/>
        <v>Gestión Institucional</v>
      </c>
      <c r="J311" s="20" t="str">
        <f t="shared" si="84"/>
        <v>Comunitario</v>
      </c>
      <c r="K311" s="20" t="str">
        <f t="shared" si="85"/>
        <v>Consejo Consultivo</v>
      </c>
      <c r="L311" s="20" t="str">
        <f t="shared" si="86"/>
        <v>Distrital</v>
      </c>
      <c r="M311" s="20" t="str">
        <f t="shared" si="87"/>
        <v>Distrital</v>
      </c>
      <c r="N311" s="20" t="str">
        <f t="shared" si="88"/>
        <v>Distrital</v>
      </c>
      <c r="O311" s="20" t="str">
        <f t="shared" si="89"/>
        <v>NO</v>
      </c>
      <c r="P311" s="20" t="str">
        <f t="shared" si="90"/>
        <v>No aplica</v>
      </c>
      <c r="Q311" s="20">
        <f t="shared" si="91"/>
        <v>6</v>
      </c>
      <c r="R311" s="20">
        <f t="shared" si="92"/>
        <v>4</v>
      </c>
      <c r="S311" s="20" t="str">
        <f t="shared" si="93"/>
        <v>Propuestas para inclusión en Plan Distrital de Desarrollo</v>
      </c>
      <c r="T311" s="20">
        <f t="shared" si="74"/>
        <v>1</v>
      </c>
      <c r="U311" s="20" t="str">
        <f t="shared" ca="1" si="75"/>
        <v>Realizada</v>
      </c>
      <c r="V311" s="20"/>
      <c r="W311" s="20"/>
      <c r="X311" s="20"/>
      <c r="Y311" s="20"/>
    </row>
    <row r="312" spans="1:25" ht="49.5">
      <c r="A312" s="20">
        <v>391</v>
      </c>
      <c r="B312" s="20" t="str">
        <f t="shared" si="76"/>
        <v xml:space="preserve">Presentación de resultados de Participación UPL Sumapaz- JAL </v>
      </c>
      <c r="C312" s="21">
        <f t="shared" si="77"/>
        <v>45418</v>
      </c>
      <c r="D312" s="20" t="str">
        <f t="shared" si="78"/>
        <v>OPDC</v>
      </c>
      <c r="E312" s="20" t="str">
        <f t="shared" si="79"/>
        <v>NO</v>
      </c>
      <c r="F312" s="20" t="str">
        <f t="shared" si="80"/>
        <v>Plan Distrital de Desarrollo</v>
      </c>
      <c r="G312" s="20" t="str">
        <f t="shared" si="81"/>
        <v>Virtual</v>
      </c>
      <c r="H312" s="20" t="str">
        <f t="shared" si="82"/>
        <v>Presentar los resultados de las actividades de participación realizadas en la UPL Sumapaz, ante la Junta Administradora Local</v>
      </c>
      <c r="I312" s="20" t="str">
        <f t="shared" si="83"/>
        <v>Mecanismo de Comunicación para la Participación</v>
      </c>
      <c r="J312" s="20" t="str">
        <f t="shared" si="84"/>
        <v>Público</v>
      </c>
      <c r="K312" s="20" t="str">
        <f t="shared" si="85"/>
        <v>JAL</v>
      </c>
      <c r="L312" s="20" t="str">
        <f t="shared" si="86"/>
        <v>Sumapaz</v>
      </c>
      <c r="M312" s="20" t="str">
        <f t="shared" si="87"/>
        <v>Ruralidad</v>
      </c>
      <c r="N312" s="20" t="str">
        <f t="shared" si="88"/>
        <v>Sumapaz</v>
      </c>
      <c r="O312" s="20" t="str">
        <f t="shared" si="89"/>
        <v>NO</v>
      </c>
      <c r="P312" s="20" t="str">
        <f t="shared" si="90"/>
        <v>No aplica</v>
      </c>
      <c r="Q312" s="20">
        <f t="shared" si="91"/>
        <v>13</v>
      </c>
      <c r="R312" s="20">
        <f t="shared" si="92"/>
        <v>2</v>
      </c>
      <c r="S312" s="20" t="str">
        <f t="shared" si="93"/>
        <v xml:space="preserve">Resultados de participación del Plan Distrital de Desarrollo y el Plan de Desarrollo Local </v>
      </c>
      <c r="T312" s="20">
        <f t="shared" si="74"/>
        <v>1</v>
      </c>
      <c r="U312" s="20" t="str">
        <f t="shared" ca="1" si="75"/>
        <v>Realizada</v>
      </c>
      <c r="V312" s="20"/>
      <c r="W312" s="20"/>
      <c r="X312" s="20"/>
      <c r="Y312" s="20"/>
    </row>
    <row r="313" spans="1:25" ht="49.5">
      <c r="A313" s="20">
        <v>392</v>
      </c>
      <c r="B313" s="20" t="str">
        <f t="shared" si="76"/>
        <v>Plenaria Permanente CTPD</v>
      </c>
      <c r="C313" s="21">
        <f t="shared" si="77"/>
        <v>45418</v>
      </c>
      <c r="D313" s="20" t="str">
        <f t="shared" si="78"/>
        <v>INSTANCIAS</v>
      </c>
      <c r="E313" s="20" t="str">
        <f t="shared" si="79"/>
        <v>NO</v>
      </c>
      <c r="F313" s="20" t="str">
        <f t="shared" si="80"/>
        <v>CTPD (Consejo Territorial de Planeación Distrital)</v>
      </c>
      <c r="G313" s="20" t="str">
        <f t="shared" si="81"/>
        <v>Virtual</v>
      </c>
      <c r="H313" s="20" t="str">
        <f t="shared" si="82"/>
        <v xml:space="preserve">Dar continuidad al orden del día de la plenaria ordinaria del 25 de abril de 2024 </v>
      </c>
      <c r="I313" s="20" t="str">
        <f t="shared" si="83"/>
        <v>Mecanismo de Seguimiento y Evaluación</v>
      </c>
      <c r="J313" s="20" t="str">
        <f t="shared" si="84"/>
        <v>Comunitario</v>
      </c>
      <c r="K313" s="20" t="str">
        <f t="shared" si="85"/>
        <v>CTPD</v>
      </c>
      <c r="L313" s="20" t="str">
        <f t="shared" si="86"/>
        <v>Distrital</v>
      </c>
      <c r="M313" s="20" t="str">
        <f t="shared" si="87"/>
        <v>Distrital</v>
      </c>
      <c r="N313" s="20" t="str">
        <f t="shared" si="88"/>
        <v>Distrital</v>
      </c>
      <c r="O313" s="20" t="str">
        <f t="shared" si="89"/>
        <v>NO</v>
      </c>
      <c r="P313" s="20" t="str">
        <f t="shared" si="90"/>
        <v>No aplica</v>
      </c>
      <c r="Q313" s="20">
        <f t="shared" si="91"/>
        <v>64</v>
      </c>
      <c r="R313" s="20">
        <f t="shared" si="92"/>
        <v>2</v>
      </c>
      <c r="S313" s="20" t="str">
        <f t="shared" si="93"/>
        <v>Planes de acción de las comisiones del CTPD ,no se  terminó el orden del dia</v>
      </c>
      <c r="T313" s="20">
        <f t="shared" si="74"/>
        <v>1</v>
      </c>
      <c r="U313" s="20" t="str">
        <f t="shared" ca="1" si="75"/>
        <v>Realizada</v>
      </c>
      <c r="V313" s="20"/>
      <c r="W313" s="20"/>
      <c r="X313" s="20"/>
      <c r="Y313" s="20"/>
    </row>
    <row r="314" spans="1:25" ht="49.5">
      <c r="A314" s="20">
        <v>393</v>
      </c>
      <c r="B314" s="20" t="str">
        <f t="shared" si="76"/>
        <v>Consultorio PDD - Concejo: Jornada 11- Sector Integración Social</v>
      </c>
      <c r="C314" s="21">
        <f t="shared" si="77"/>
        <v>45419</v>
      </c>
      <c r="D314" s="20" t="str">
        <f t="shared" si="78"/>
        <v>OPDC</v>
      </c>
      <c r="E314" s="20" t="str">
        <f t="shared" si="79"/>
        <v>NO</v>
      </c>
      <c r="F314" s="20" t="str">
        <f t="shared" si="80"/>
        <v>Plan Distrital de Desarrollo</v>
      </c>
      <c r="G314" s="20" t="str">
        <f t="shared" si="81"/>
        <v>Presencial</v>
      </c>
      <c r="H314" s="20" t="str">
        <f t="shared" si="82"/>
        <v>Atender las inquietudes y/o comentarios provenientes del Concejo de Bogotá frente a la formulación del PDD</v>
      </c>
      <c r="I314" s="20" t="str">
        <f t="shared" si="83"/>
        <v>Mecanismo de Diálogo</v>
      </c>
      <c r="J314" s="20" t="str">
        <f t="shared" si="84"/>
        <v>Público</v>
      </c>
      <c r="K314" s="20" t="str">
        <f t="shared" si="85"/>
        <v>Concejo de Bogotá</v>
      </c>
      <c r="L314" s="20" t="str">
        <f t="shared" si="86"/>
        <v>Distrital</v>
      </c>
      <c r="M314" s="20" t="str">
        <f t="shared" si="87"/>
        <v>Distrital</v>
      </c>
      <c r="N314" s="20" t="str">
        <f t="shared" si="88"/>
        <v>Distrital</v>
      </c>
      <c r="O314" s="20" t="str">
        <f t="shared" si="89"/>
        <v>SÍ</v>
      </c>
      <c r="P314" s="20" t="str">
        <f t="shared" si="90"/>
        <v>Fase III: Acuerdos para la Ciudad</v>
      </c>
      <c r="Q314" s="20">
        <f t="shared" si="91"/>
        <v>8</v>
      </c>
      <c r="R314" s="20">
        <f t="shared" si="92"/>
        <v>5</v>
      </c>
      <c r="S314" s="20" t="str">
        <f t="shared" si="93"/>
        <v>Inquietudes del Concejo Distrital sobre los programas y metas del sectori integración social</v>
      </c>
      <c r="T314" s="20">
        <f t="shared" si="74"/>
        <v>1</v>
      </c>
      <c r="U314" s="20" t="str">
        <f t="shared" ca="1" si="75"/>
        <v>Realizada</v>
      </c>
      <c r="V314" s="20"/>
      <c r="W314" s="20"/>
      <c r="X314" s="20"/>
      <c r="Y314" s="20"/>
    </row>
    <row r="315" spans="1:25" ht="49.5">
      <c r="A315" s="20">
        <v>394</v>
      </c>
      <c r="B315" s="20" t="str">
        <f t="shared" si="76"/>
        <v>Sesión de Concejo - Formulación PDD</v>
      </c>
      <c r="C315" s="21">
        <f t="shared" si="77"/>
        <v>45419</v>
      </c>
      <c r="D315" s="20" t="str">
        <f t="shared" si="78"/>
        <v>OPDC</v>
      </c>
      <c r="E315" s="20" t="str">
        <f t="shared" si="79"/>
        <v>NO</v>
      </c>
      <c r="F315" s="20" t="str">
        <f t="shared" si="80"/>
        <v>Plan Distrital de Desarrollo</v>
      </c>
      <c r="G315" s="20" t="str">
        <f t="shared" si="81"/>
        <v>Presencial</v>
      </c>
      <c r="H315" s="20" t="str">
        <f t="shared" si="82"/>
        <v>Acompañar la discusión del proyecto de acuerdo del Plan Distrital de Desarrollo de cara al proceso de debate para su aprobación en el Concejo Distrital</v>
      </c>
      <c r="I315" s="20" t="str">
        <f t="shared" si="83"/>
        <v>Mecanismo de Diálogo</v>
      </c>
      <c r="J315" s="20" t="str">
        <f t="shared" si="84"/>
        <v>Público</v>
      </c>
      <c r="K315" s="20" t="str">
        <f t="shared" si="85"/>
        <v>Concejo de Bogotá</v>
      </c>
      <c r="L315" s="20" t="str">
        <f t="shared" si="86"/>
        <v>Distrital</v>
      </c>
      <c r="M315" s="20" t="str">
        <f t="shared" si="87"/>
        <v>Distrital</v>
      </c>
      <c r="N315" s="20" t="str">
        <f t="shared" si="88"/>
        <v>Distrital</v>
      </c>
      <c r="O315" s="20" t="str">
        <f t="shared" si="89"/>
        <v>SÍ</v>
      </c>
      <c r="P315" s="20" t="str">
        <f t="shared" si="90"/>
        <v>Fase III: Acuerdos para la Ciudad</v>
      </c>
      <c r="Q315" s="20">
        <f t="shared" si="91"/>
        <v>100</v>
      </c>
      <c r="R315" s="20">
        <f t="shared" si="92"/>
        <v>4</v>
      </c>
      <c r="S315" s="20" t="str">
        <f t="shared" si="93"/>
        <v>Metas del Objetivo 2 del Plan Distrital de D.esarrollo</v>
      </c>
      <c r="T315" s="20">
        <f t="shared" si="74"/>
        <v>1</v>
      </c>
      <c r="U315" s="20" t="str">
        <f t="shared" ca="1" si="75"/>
        <v>Realizada</v>
      </c>
      <c r="V315" s="20"/>
      <c r="W315" s="20"/>
      <c r="X315" s="20"/>
      <c r="Y315" s="20"/>
    </row>
    <row r="316" spans="1:25" ht="49.5">
      <c r="A316" s="20">
        <v>395</v>
      </c>
      <c r="B316" s="20" t="str">
        <f t="shared" si="76"/>
        <v>CLIP Santa Fé</v>
      </c>
      <c r="C316" s="21">
        <f t="shared" si="77"/>
        <v>45419</v>
      </c>
      <c r="D316" s="20" t="str">
        <f t="shared" si="78"/>
        <v>INSTANCIAS</v>
      </c>
      <c r="E316" s="20" t="str">
        <f t="shared" si="79"/>
        <v>NO</v>
      </c>
      <c r="F316" s="20" t="str">
        <f t="shared" si="80"/>
        <v>CLIP (Comisión Local Intersectorial de Participación)</v>
      </c>
      <c r="G316" s="20" t="str">
        <f t="shared" si="81"/>
        <v>Presencial</v>
      </c>
      <c r="H316" s="20" t="str">
        <f t="shared" si="82"/>
        <v>Acompañar la articulación de los esfuerzos institucionales de participación en la localidad de Santa Fé</v>
      </c>
      <c r="I316" s="20" t="str">
        <f t="shared" si="83"/>
        <v>Gestión Institucional</v>
      </c>
      <c r="J316" s="20" t="str">
        <f t="shared" si="84"/>
        <v>Público</v>
      </c>
      <c r="K316" s="20" t="str">
        <f t="shared" si="85"/>
        <v>CLIP</v>
      </c>
      <c r="L316" s="20" t="str">
        <f t="shared" si="86"/>
        <v>Santa Fe</v>
      </c>
      <c r="M316" s="20" t="str">
        <f t="shared" si="87"/>
        <v>Centro Ampliado, Ruralidad</v>
      </c>
      <c r="N316" s="20" t="str">
        <f t="shared" si="88"/>
        <v>Centro Histórico, Cerros Orientales</v>
      </c>
      <c r="O316" s="20" t="str">
        <f t="shared" si="89"/>
        <v>NO</v>
      </c>
      <c r="P316" s="20" t="str">
        <f t="shared" si="90"/>
        <v>No aplica</v>
      </c>
      <c r="Q316" s="20">
        <f t="shared" si="91"/>
        <v>19</v>
      </c>
      <c r="R316" s="20">
        <f t="shared" si="92"/>
        <v>1</v>
      </c>
      <c r="S316" s="20" t="str">
        <f t="shared" si="93"/>
        <v>Reglamentacion CLIP , Encuentros Ciudadanos</v>
      </c>
      <c r="T316" s="20">
        <f t="shared" si="74"/>
        <v>1</v>
      </c>
      <c r="U316" s="20" t="str">
        <f t="shared" ca="1" si="75"/>
        <v>Realizada</v>
      </c>
      <c r="V316" s="20"/>
      <c r="W316" s="20"/>
      <c r="X316" s="20"/>
      <c r="Y316" s="20"/>
    </row>
    <row r="317" spans="1:25" ht="49.5">
      <c r="A317" s="20">
        <v>396</v>
      </c>
      <c r="B317" s="20" t="str">
        <f t="shared" si="76"/>
        <v>CLIP Fontibón</v>
      </c>
      <c r="C317" s="21">
        <f t="shared" si="77"/>
        <v>45419</v>
      </c>
      <c r="D317" s="20" t="str">
        <f t="shared" si="78"/>
        <v>INSTANCIAS</v>
      </c>
      <c r="E317" s="20" t="str">
        <f t="shared" si="79"/>
        <v>NO</v>
      </c>
      <c r="F317" s="20" t="str">
        <f t="shared" si="80"/>
        <v>CLIP (Comisión Local Intersectorial de Participación)</v>
      </c>
      <c r="G317" s="20" t="str">
        <f t="shared" si="81"/>
        <v>Presencial</v>
      </c>
      <c r="H317" s="20" t="str">
        <f t="shared" si="82"/>
        <v>Acompañar la articulación de los esfuerzos institucionales de participación en la localidad de Fontibón</v>
      </c>
      <c r="I317" s="20" t="str">
        <f t="shared" si="83"/>
        <v>Gestión Institucional</v>
      </c>
      <c r="J317" s="20" t="str">
        <f t="shared" si="84"/>
        <v>Público</v>
      </c>
      <c r="K317" s="20" t="str">
        <f t="shared" si="85"/>
        <v>CLIP</v>
      </c>
      <c r="L317" s="20" t="str">
        <f t="shared" si="86"/>
        <v>Fontibón</v>
      </c>
      <c r="M317" s="20" t="str">
        <f t="shared" si="87"/>
        <v>Occidente</v>
      </c>
      <c r="N317" s="20" t="str">
        <f t="shared" si="88"/>
        <v>Fontibón, Salitre</v>
      </c>
      <c r="O317" s="20" t="str">
        <f t="shared" si="89"/>
        <v>NO</v>
      </c>
      <c r="P317" s="20" t="str">
        <f t="shared" si="90"/>
        <v>No aplica</v>
      </c>
      <c r="Q317" s="20">
        <f t="shared" si="91"/>
        <v>22</v>
      </c>
      <c r="R317" s="20">
        <f t="shared" si="92"/>
        <v>2</v>
      </c>
      <c r="S317" s="20" t="str">
        <f t="shared" si="93"/>
        <v>Aclaraciones relacionas con el desarrollo del PDL</v>
      </c>
      <c r="T317" s="20">
        <f t="shared" si="74"/>
        <v>1</v>
      </c>
      <c r="U317" s="20" t="str">
        <f t="shared" ca="1" si="75"/>
        <v>Realizada</v>
      </c>
      <c r="V317" s="20"/>
      <c r="W317" s="20"/>
      <c r="X317" s="20"/>
      <c r="Y317" s="20"/>
    </row>
    <row r="318" spans="1:25" ht="25.5">
      <c r="A318" s="20">
        <v>398</v>
      </c>
      <c r="B318" s="20" t="str">
        <f t="shared" si="76"/>
        <v xml:space="preserve"> Reunión con USAID y FHI360</v>
      </c>
      <c r="C318" s="21">
        <f t="shared" si="77"/>
        <v>45419</v>
      </c>
      <c r="D318" s="20" t="str">
        <f t="shared" si="78"/>
        <v>OPDC</v>
      </c>
      <c r="E318" s="20" t="str">
        <f t="shared" si="79"/>
        <v>NO</v>
      </c>
      <c r="F318" s="20" t="str">
        <f t="shared" si="80"/>
        <v>Plan Distrital de Desarrollo</v>
      </c>
      <c r="G318" s="20" t="str">
        <f t="shared" si="81"/>
        <v>Presencial</v>
      </c>
      <c r="H318" s="20" t="str">
        <f t="shared" si="82"/>
        <v>Acompañar la socialización del proceso de articulación USAID - FHI360 - SDP</v>
      </c>
      <c r="I318" s="20" t="str">
        <f t="shared" si="83"/>
        <v>Gestión Institucional</v>
      </c>
      <c r="J318" s="20" t="str">
        <f t="shared" si="84"/>
        <v>Multiactor</v>
      </c>
      <c r="K318" s="20">
        <f t="shared" si="85"/>
        <v>0</v>
      </c>
      <c r="L318" s="20" t="str">
        <f t="shared" si="86"/>
        <v>Distrital</v>
      </c>
      <c r="M318" s="20" t="str">
        <f t="shared" si="87"/>
        <v>Distrital</v>
      </c>
      <c r="N318" s="20" t="str">
        <f t="shared" si="88"/>
        <v>Distrital</v>
      </c>
      <c r="O318" s="20" t="str">
        <f t="shared" si="89"/>
        <v>NO</v>
      </c>
      <c r="P318" s="20" t="str">
        <f t="shared" si="90"/>
        <v>No aplica</v>
      </c>
      <c r="Q318" s="20">
        <f t="shared" si="91"/>
        <v>9</v>
      </c>
      <c r="R318" s="20">
        <f t="shared" si="92"/>
        <v>1</v>
      </c>
      <c r="S318" s="20" t="str">
        <f t="shared" si="93"/>
        <v>Proceso de participación del Plan Distrital de Desarrollo.</v>
      </c>
      <c r="T318" s="20">
        <f t="shared" si="74"/>
        <v>1</v>
      </c>
      <c r="U318" s="20" t="str">
        <f t="shared" ca="1" si="75"/>
        <v>Realizada</v>
      </c>
      <c r="V318" s="20"/>
      <c r="W318" s="20"/>
      <c r="X318" s="20"/>
      <c r="Y318" s="20"/>
    </row>
    <row r="319" spans="1:25" ht="49.5">
      <c r="A319" s="20">
        <v>399</v>
      </c>
      <c r="B319" s="20" t="str">
        <f t="shared" si="76"/>
        <v>Consultorio PDD - Concejo: Jornada 12- Sector Cultura</v>
      </c>
      <c r="C319" s="21">
        <f t="shared" si="77"/>
        <v>45420</v>
      </c>
      <c r="D319" s="20" t="str">
        <f t="shared" si="78"/>
        <v>OPDC</v>
      </c>
      <c r="E319" s="20" t="str">
        <f t="shared" si="79"/>
        <v>NO</v>
      </c>
      <c r="F319" s="20" t="str">
        <f t="shared" si="80"/>
        <v>Plan Distrital de Desarrollo</v>
      </c>
      <c r="G319" s="20" t="str">
        <f t="shared" si="81"/>
        <v>Presencial</v>
      </c>
      <c r="H319" s="20" t="str">
        <f t="shared" si="82"/>
        <v>Atender las inquietudes y/o comentarios provenientes del Concejo de Bogotá frente a la formulación del PDD</v>
      </c>
      <c r="I319" s="20" t="str">
        <f t="shared" si="83"/>
        <v>Mecanismo de Diálogo</v>
      </c>
      <c r="J319" s="20" t="str">
        <f t="shared" si="84"/>
        <v>Público</v>
      </c>
      <c r="K319" s="20" t="str">
        <f t="shared" si="85"/>
        <v>Concejo de Bogotá</v>
      </c>
      <c r="L319" s="20" t="str">
        <f t="shared" si="86"/>
        <v>Distrital</v>
      </c>
      <c r="M319" s="20" t="str">
        <f t="shared" si="87"/>
        <v>Distrital</v>
      </c>
      <c r="N319" s="20" t="str">
        <f t="shared" si="88"/>
        <v>Distrital</v>
      </c>
      <c r="O319" s="20" t="str">
        <f t="shared" si="89"/>
        <v>SÍ</v>
      </c>
      <c r="P319" s="20" t="str">
        <f t="shared" si="90"/>
        <v>Fase III: Acuerdos para la Ciudad</v>
      </c>
      <c r="Q319" s="20">
        <f t="shared" si="91"/>
        <v>9</v>
      </c>
      <c r="R319" s="20">
        <f t="shared" si="92"/>
        <v>4</v>
      </c>
      <c r="S319" s="20" t="str">
        <f t="shared" si="93"/>
        <v>Inquietudes relacionadas con el sector de cultura, recreación y deportes, consignados en el Plan Distrutal de Desarrollo..</v>
      </c>
      <c r="T319" s="20">
        <f t="shared" si="74"/>
        <v>1</v>
      </c>
      <c r="U319" s="20" t="str">
        <f t="shared" ca="1" si="75"/>
        <v>Realizada</v>
      </c>
      <c r="V319" s="20"/>
      <c r="W319" s="20"/>
      <c r="X319" s="20"/>
      <c r="Y319" s="20"/>
    </row>
    <row r="320" spans="1:25" ht="49.5">
      <c r="A320" s="20">
        <v>400</v>
      </c>
      <c r="B320" s="20" t="str">
        <f t="shared" si="76"/>
        <v>CLIP Teusaquillo</v>
      </c>
      <c r="C320" s="21">
        <f t="shared" si="77"/>
        <v>45420</v>
      </c>
      <c r="D320" s="20" t="str">
        <f t="shared" si="78"/>
        <v>INSTANCIAS</v>
      </c>
      <c r="E320" s="20" t="str">
        <f t="shared" si="79"/>
        <v>NO</v>
      </c>
      <c r="F320" s="20" t="str">
        <f t="shared" si="80"/>
        <v>CLIP (Comisión Local Intersectorial de Participación)</v>
      </c>
      <c r="G320" s="20" t="str">
        <f t="shared" si="81"/>
        <v>Presencial</v>
      </c>
      <c r="H320" s="20" t="str">
        <f t="shared" si="82"/>
        <v>Acompañar la articulación de los esfuerzos institucionales de participación en la localidad de Teusaquillo.</v>
      </c>
      <c r="I320" s="20" t="str">
        <f t="shared" si="83"/>
        <v>Gestión Institucional</v>
      </c>
      <c r="J320" s="20" t="str">
        <f t="shared" si="84"/>
        <v>Público</v>
      </c>
      <c r="K320" s="20" t="str">
        <f t="shared" si="85"/>
        <v>CLIP</v>
      </c>
      <c r="L320" s="20" t="str">
        <f t="shared" si="86"/>
        <v>Teusaquillo</v>
      </c>
      <c r="M320" s="20" t="str">
        <f t="shared" si="87"/>
        <v>Centro Ampliado</v>
      </c>
      <c r="N320" s="20" t="str">
        <f t="shared" si="88"/>
        <v>Teusaquillo</v>
      </c>
      <c r="O320" s="20" t="str">
        <f t="shared" si="89"/>
        <v>NO</v>
      </c>
      <c r="P320" s="20" t="str">
        <f t="shared" si="90"/>
        <v>No aplica</v>
      </c>
      <c r="Q320" s="20">
        <f t="shared" si="91"/>
        <v>17</v>
      </c>
      <c r="R320" s="20">
        <f t="shared" si="92"/>
        <v>1</v>
      </c>
      <c r="S320" s="20" t="str">
        <f t="shared" si="93"/>
        <v>Concepto AE como herramienta de planificación. Alcance en el territorio y Tiempos,  AE Calle 72.</v>
      </c>
      <c r="T320" s="20">
        <f t="shared" si="74"/>
        <v>1</v>
      </c>
      <c r="U320" s="20" t="str">
        <f t="shared" ca="1" si="75"/>
        <v>Realizada</v>
      </c>
      <c r="V320" s="20"/>
      <c r="W320" s="20"/>
      <c r="X320" s="20"/>
      <c r="Y320" s="20"/>
    </row>
    <row r="321" spans="1:25" ht="74.25">
      <c r="A321" s="20">
        <v>401</v>
      </c>
      <c r="B321" s="20" t="str">
        <f t="shared" si="76"/>
        <v>Sesión de Concejo - Formulación PDD</v>
      </c>
      <c r="C321" s="21">
        <f t="shared" si="77"/>
        <v>45420</v>
      </c>
      <c r="D321" s="20" t="str">
        <f t="shared" si="78"/>
        <v>OPDC</v>
      </c>
      <c r="E321" s="20" t="str">
        <f t="shared" si="79"/>
        <v>NO</v>
      </c>
      <c r="F321" s="20" t="str">
        <f t="shared" si="80"/>
        <v>Plan Distrital de Desarrollo</v>
      </c>
      <c r="G321" s="20" t="str">
        <f t="shared" si="81"/>
        <v>Virtual</v>
      </c>
      <c r="H321" s="20" t="str">
        <f t="shared" si="82"/>
        <v>Acompañar la discusión del proyecto de acuerdo del Plan Distrital de Desarrollo de cara al proceso de debate para su aprobación en el Concejo Distrital</v>
      </c>
      <c r="I321" s="20" t="str">
        <f t="shared" si="83"/>
        <v>Mecanismo de Diálogo</v>
      </c>
      <c r="J321" s="20" t="str">
        <f t="shared" si="84"/>
        <v>Público</v>
      </c>
      <c r="K321" s="20" t="str">
        <f t="shared" si="85"/>
        <v>Concejo de Bogotá</v>
      </c>
      <c r="L321" s="20" t="str">
        <f t="shared" si="86"/>
        <v>Distrital</v>
      </c>
      <c r="M321" s="20" t="str">
        <f t="shared" si="87"/>
        <v>Distrital</v>
      </c>
      <c r="N321" s="20" t="str">
        <f t="shared" si="88"/>
        <v>Distrital</v>
      </c>
      <c r="O321" s="20" t="str">
        <f t="shared" si="89"/>
        <v>SÍ</v>
      </c>
      <c r="P321" s="20" t="str">
        <f t="shared" si="90"/>
        <v>Fase III: Acuerdos para la Ciudad</v>
      </c>
      <c r="Q321" s="20">
        <f t="shared" si="91"/>
        <v>225</v>
      </c>
      <c r="R321" s="20">
        <f t="shared" si="92"/>
        <v>4</v>
      </c>
      <c r="S321" s="20" t="str">
        <f t="shared" si="93"/>
        <v>Situación de la población infantil, la seguridad alimentaria, la salud pública, la formación para el trabajo, el emprendimiento, la inclusión laboral,  el turismo, la competitividad empresarial y la Ciencia, Tecnología e Innovación (CTI)</v>
      </c>
      <c r="T321" s="20">
        <f t="shared" si="74"/>
        <v>1</v>
      </c>
      <c r="U321" s="20" t="str">
        <f t="shared" ca="1" si="75"/>
        <v>Realizada</v>
      </c>
      <c r="V321" s="20"/>
      <c r="W321" s="20"/>
      <c r="X321" s="20"/>
      <c r="Y321" s="20"/>
    </row>
    <row r="322" spans="1:25" ht="49.5">
      <c r="A322" s="20">
        <v>402</v>
      </c>
      <c r="B322" s="20" t="str">
        <f t="shared" ref="B322:B385" si="94">IFERROR(VLOOKUP(A322,DATA_MATRIZ,2,FALSE),"")</f>
        <v>CLIP Antonio Nariño</v>
      </c>
      <c r="C322" s="21">
        <f t="shared" ref="C322:C385" si="95">IFERROR(VLOOKUP(A322,DATA_MATRIZ,3,FALSE),"")</f>
        <v>45420</v>
      </c>
      <c r="D322" s="20" t="str">
        <f t="shared" ref="D322:D385" si="96">IFERROR(VLOOKUP(A322,DATA_MATRIZ,5,FALSE),"")</f>
        <v>INSTANCIAS</v>
      </c>
      <c r="E322" s="20" t="str">
        <f t="shared" ref="E322:E385" si="97">IFERROR(VLOOKUP(A322,DATA_MATRIZ,9,FALSE),"")</f>
        <v>NO</v>
      </c>
      <c r="F322" s="20" t="str">
        <f t="shared" ref="F322:F385" si="98">IFERROR(VLOOKUP(A322,DATA_MATRIZ,10,FALSE),"")</f>
        <v>CLIP (Comisión Local Intersectorial de Participación)</v>
      </c>
      <c r="G322" s="20" t="str">
        <f t="shared" ref="G322:G385" si="99">IFERROR(VLOOKUP(A322,DATA_MATRIZ,11,FALSE),"")</f>
        <v>Virtual</v>
      </c>
      <c r="H322" s="20" t="str">
        <f t="shared" ref="H322:H385" si="100">IFERROR(VLOOKUP(A322,DATA_MATRIZ,12,FALSE),"")</f>
        <v>Acompañar la articulación de los esfuerzos institucionales de participación en la localidad de Antonio Nariño</v>
      </c>
      <c r="I322" s="20" t="str">
        <f t="shared" ref="I322:I385" si="101">IFERROR(VLOOKUP(A322,DATA_MATRIZ,13,FALSE),"")</f>
        <v>Gestión Institucional</v>
      </c>
      <c r="J322" s="20" t="str">
        <f t="shared" ref="J322:J385" si="102">IFERROR(VLOOKUP(A322,DATA_MATRIZ,41,FALSE),"")</f>
        <v>Público</v>
      </c>
      <c r="K322" s="20" t="str">
        <f t="shared" ref="K322:K385" si="103">IFERROR(VLOOKUP(A322,DATA_MATRIZ,42,FALSE),"")</f>
        <v>CLIP</v>
      </c>
      <c r="L322" s="20" t="str">
        <f t="shared" ref="L322:L385" si="104">IFERROR(VLOOKUP(A322,DATA_MATRIZ,46,FALSE),"")</f>
        <v>Antonio Nariño</v>
      </c>
      <c r="M322" s="20" t="str">
        <f t="shared" ref="M322:M385" si="105">IFERROR(VLOOKUP(A322,DATA_MATRIZ,53,FALSE),"")</f>
        <v>Centro Ampliado</v>
      </c>
      <c r="N322" s="20" t="str">
        <f t="shared" ref="N322:N385" si="106">IFERROR(VLOOKUP(A322,DATA_MATRIZ,60,FALSE),"")</f>
        <v>Restrepo</v>
      </c>
      <c r="O322" s="20" t="str">
        <f t="shared" ref="O322:O385" si="107">IFERROR(VLOOKUP(A322,DATA_MATRIZ,75,FALSE),"")</f>
        <v>NO</v>
      </c>
      <c r="P322" s="20" t="str">
        <f t="shared" ref="P322:P385" si="108">IFERROR(VLOOKUP(A322,DATA_MATRIZ,76,FALSE),"")</f>
        <v>No aplica</v>
      </c>
      <c r="Q322" s="20">
        <f t="shared" ref="Q322:Q385" si="109">IFERROR(VLOOKUP(A322,DATA_MATRIZ,78,FALSE),"")</f>
        <v>22</v>
      </c>
      <c r="R322" s="20">
        <f t="shared" ref="R322:R385" si="110">IFERROR(VLOOKUP(A322,DATA_MATRIZ,79,FALSE),"")</f>
        <v>1</v>
      </c>
      <c r="S322" s="20" t="str">
        <f t="shared" ref="S322:S385" si="111">IFERROR(VLOOKUP(A322,DATA_MATRIZ,85,FALSE),"")</f>
        <v>Encuentros ciudadanos en la localidad, borrador de control interno.</v>
      </c>
      <c r="T322" s="20">
        <f t="shared" si="74"/>
        <v>1</v>
      </c>
      <c r="U322" s="20" t="str">
        <f t="shared" ca="1" si="75"/>
        <v>Realizada</v>
      </c>
      <c r="V322" s="20"/>
      <c r="W322" s="20"/>
      <c r="X322" s="20"/>
      <c r="Y322" s="20"/>
    </row>
    <row r="323" spans="1:25" ht="49.5">
      <c r="A323" s="20">
        <v>403</v>
      </c>
      <c r="B323" s="20" t="str">
        <f t="shared" si="94"/>
        <v>Gestión: Reunión Junta Directiva / incentivos y bolsa logística CTPD</v>
      </c>
      <c r="C323" s="21">
        <f t="shared" si="95"/>
        <v>45420</v>
      </c>
      <c r="D323" s="20" t="str">
        <f t="shared" si="96"/>
        <v>INSTANCIAS</v>
      </c>
      <c r="E323" s="20" t="str">
        <f t="shared" si="97"/>
        <v>NO</v>
      </c>
      <c r="F323" s="20" t="str">
        <f t="shared" si="98"/>
        <v>CTPD (Consejo Territorial de Planeación Distrital)</v>
      </c>
      <c r="G323" s="20" t="str">
        <f t="shared" si="99"/>
        <v>Presencial</v>
      </c>
      <c r="H323" s="20" t="str">
        <f t="shared" si="100"/>
        <v xml:space="preserve">Establecer compromisos respecto del plan de incentivos y bolsa logística para el CTPD </v>
      </c>
      <c r="I323" s="20" t="str">
        <f t="shared" si="101"/>
        <v>Mecanismo de Seguimiento y Evaluación</v>
      </c>
      <c r="J323" s="20" t="str">
        <f t="shared" si="102"/>
        <v>Comunitario</v>
      </c>
      <c r="K323" s="20" t="str">
        <f t="shared" si="103"/>
        <v>CTPD</v>
      </c>
      <c r="L323" s="20" t="str">
        <f t="shared" si="104"/>
        <v>Distrital</v>
      </c>
      <c r="M323" s="20" t="str">
        <f t="shared" si="105"/>
        <v>Distrital</v>
      </c>
      <c r="N323" s="20" t="str">
        <f t="shared" si="106"/>
        <v>Distrital</v>
      </c>
      <c r="O323" s="20" t="str">
        <f t="shared" si="107"/>
        <v>NO</v>
      </c>
      <c r="P323" s="20" t="str">
        <f t="shared" si="108"/>
        <v>No aplica</v>
      </c>
      <c r="Q323" s="20">
        <f t="shared" si="109"/>
        <v>2</v>
      </c>
      <c r="R323" s="20">
        <f t="shared" si="110"/>
        <v>3</v>
      </c>
      <c r="S323" s="20" t="str">
        <f t="shared" si="111"/>
        <v>Bolsa Logistica, recursos financieros y presupuestales del CTPD</v>
      </c>
      <c r="T323" s="20">
        <f t="shared" si="74"/>
        <v>1</v>
      </c>
      <c r="U323" s="20" t="str">
        <f t="shared" ca="1" si="75"/>
        <v>Realizada</v>
      </c>
      <c r="V323" s="20"/>
      <c r="W323" s="20"/>
      <c r="X323" s="20"/>
      <c r="Y323" s="20"/>
    </row>
    <row r="324" spans="1:25" ht="49.5">
      <c r="A324" s="20">
        <v>404</v>
      </c>
      <c r="B324" s="20" t="str">
        <f t="shared" si="94"/>
        <v>Sesión Ordinaria de la Comisión de Desarrollo Regional - CTPD</v>
      </c>
      <c r="C324" s="21">
        <f t="shared" si="95"/>
        <v>45420</v>
      </c>
      <c r="D324" s="20" t="str">
        <f t="shared" si="96"/>
        <v>INSTANCIAS</v>
      </c>
      <c r="E324" s="20" t="str">
        <f t="shared" si="97"/>
        <v>NO</v>
      </c>
      <c r="F324" s="20" t="str">
        <f t="shared" si="98"/>
        <v>CTPD (Consejo Territorial de Planeación Distrital)</v>
      </c>
      <c r="G324" s="20" t="str">
        <f t="shared" si="99"/>
        <v>Virtual</v>
      </c>
      <c r="H324" s="20" t="str">
        <f t="shared" si="100"/>
        <v>Realizar la socialización y la construcción del Plan de Acción de la Comisión de Desarrollo Regional del CTPD.</v>
      </c>
      <c r="I324" s="20" t="str">
        <f t="shared" si="101"/>
        <v>Mecanismo de Seguimiento y Evaluación</v>
      </c>
      <c r="J324" s="20" t="str">
        <f t="shared" si="102"/>
        <v>Comunitario</v>
      </c>
      <c r="K324" s="20" t="str">
        <f t="shared" si="103"/>
        <v>CTPD</v>
      </c>
      <c r="L324" s="20" t="str">
        <f t="shared" si="104"/>
        <v>Distrital</v>
      </c>
      <c r="M324" s="20" t="str">
        <f t="shared" si="105"/>
        <v>Distrital</v>
      </c>
      <c r="N324" s="20" t="str">
        <f t="shared" si="106"/>
        <v>Distrital</v>
      </c>
      <c r="O324" s="20" t="str">
        <f t="shared" si="107"/>
        <v>NO</v>
      </c>
      <c r="P324" s="20" t="str">
        <f t="shared" si="108"/>
        <v>No aplica</v>
      </c>
      <c r="Q324" s="20">
        <f t="shared" si="109"/>
        <v>7</v>
      </c>
      <c r="R324" s="20">
        <f t="shared" si="110"/>
        <v>1</v>
      </c>
      <c r="S324" s="20" t="str">
        <f t="shared" si="111"/>
        <v>Plan de Acción de la Comisión de Desarrollo Regional del CTPD.</v>
      </c>
      <c r="T324" s="20">
        <f t="shared" si="74"/>
        <v>1</v>
      </c>
      <c r="U324" s="20" t="str">
        <f t="shared" ca="1" si="75"/>
        <v>Realizada</v>
      </c>
      <c r="V324" s="20"/>
      <c r="W324" s="20"/>
      <c r="X324" s="20"/>
      <c r="Y324" s="20"/>
    </row>
    <row r="325" spans="1:25" ht="49.5">
      <c r="A325" s="20">
        <v>405</v>
      </c>
      <c r="B325" s="20" t="str">
        <f t="shared" si="94"/>
        <v>Comité técnico- CTPD</v>
      </c>
      <c r="C325" s="21">
        <f t="shared" si="95"/>
        <v>45420</v>
      </c>
      <c r="D325" s="20" t="str">
        <f t="shared" si="96"/>
        <v>INSTANCIAS</v>
      </c>
      <c r="E325" s="20" t="str">
        <f t="shared" si="97"/>
        <v>NO</v>
      </c>
      <c r="F325" s="20" t="str">
        <f t="shared" si="98"/>
        <v>CTPD (Consejo Territorial de Planeación Distrital)</v>
      </c>
      <c r="G325" s="20" t="str">
        <f t="shared" si="99"/>
        <v>Presencial</v>
      </c>
      <c r="H325" s="20" t="str">
        <f t="shared" si="100"/>
        <v>hacer seguimiento al convenio con la UNAD para el apoyo al CTPD</v>
      </c>
      <c r="I325" s="20" t="str">
        <f t="shared" si="101"/>
        <v>Mecanismo de Seguimiento y Evaluación</v>
      </c>
      <c r="J325" s="20" t="str">
        <f t="shared" si="102"/>
        <v>Comunitario</v>
      </c>
      <c r="K325" s="20" t="str">
        <f t="shared" si="103"/>
        <v>CTPD</v>
      </c>
      <c r="L325" s="20" t="str">
        <f t="shared" si="104"/>
        <v>Distrital</v>
      </c>
      <c r="M325" s="20" t="str">
        <f t="shared" si="105"/>
        <v>Distrital</v>
      </c>
      <c r="N325" s="20" t="str">
        <f t="shared" si="106"/>
        <v>Distrital</v>
      </c>
      <c r="O325" s="20" t="str">
        <f t="shared" si="107"/>
        <v>NO</v>
      </c>
      <c r="P325" s="20" t="str">
        <f t="shared" si="108"/>
        <v>No aplica</v>
      </c>
      <c r="Q325" s="20">
        <f t="shared" si="109"/>
        <v>5</v>
      </c>
      <c r="R325" s="20">
        <f t="shared" si="110"/>
        <v>3</v>
      </c>
      <c r="S325" s="20" t="str">
        <f t="shared" si="111"/>
        <v xml:space="preserve">Avances de actividades del CTPD </v>
      </c>
      <c r="T325" s="20">
        <f t="shared" si="74"/>
        <v>1</v>
      </c>
      <c r="U325" s="20" t="str">
        <f t="shared" ca="1" si="75"/>
        <v>Realizada</v>
      </c>
      <c r="V325" s="20"/>
      <c r="W325" s="20"/>
      <c r="X325" s="20"/>
      <c r="Y325" s="20"/>
    </row>
    <row r="326" spans="1:25" ht="49.5">
      <c r="A326" s="20">
        <v>406</v>
      </c>
      <c r="B326" s="20" t="str">
        <f t="shared" si="94"/>
        <v>Consultorio PDD - Concejo: Jornada 13- Sector Cultura</v>
      </c>
      <c r="C326" s="21">
        <f t="shared" si="95"/>
        <v>45421</v>
      </c>
      <c r="D326" s="20" t="str">
        <f t="shared" si="96"/>
        <v>OPDC</v>
      </c>
      <c r="E326" s="20" t="str">
        <f t="shared" si="97"/>
        <v>NO</v>
      </c>
      <c r="F326" s="20" t="str">
        <f t="shared" si="98"/>
        <v>Plan Distrital de Desarrollo</v>
      </c>
      <c r="G326" s="20" t="str">
        <f t="shared" si="99"/>
        <v>Presencial</v>
      </c>
      <c r="H326" s="20" t="str">
        <f t="shared" si="100"/>
        <v>Atender las inquietudes y/o comentarios provenientes del Concejo de Bogotá frente a la formulación del PDD</v>
      </c>
      <c r="I326" s="20" t="str">
        <f t="shared" si="101"/>
        <v>Mecanismo de Diálogo</v>
      </c>
      <c r="J326" s="20" t="str">
        <f t="shared" si="102"/>
        <v>Público</v>
      </c>
      <c r="K326" s="20" t="str">
        <f t="shared" si="103"/>
        <v>Concejo de Bogotá</v>
      </c>
      <c r="L326" s="20" t="str">
        <f t="shared" si="104"/>
        <v>Distrital</v>
      </c>
      <c r="M326" s="20" t="str">
        <f t="shared" si="105"/>
        <v>Distrital</v>
      </c>
      <c r="N326" s="20" t="str">
        <f t="shared" si="106"/>
        <v>Distrital</v>
      </c>
      <c r="O326" s="20" t="str">
        <f t="shared" si="107"/>
        <v>SÍ</v>
      </c>
      <c r="P326" s="20" t="str">
        <f t="shared" si="108"/>
        <v>Fase III: Acuerdos para la Ciudad</v>
      </c>
      <c r="Q326" s="20">
        <f t="shared" si="109"/>
        <v>7</v>
      </c>
      <c r="R326" s="20">
        <f t="shared" si="110"/>
        <v>4</v>
      </c>
      <c r="S326" s="20" t="str">
        <f t="shared" si="111"/>
        <v>Inquietudes relacionadas con el sector de cultura, recreación y deportes, consignados en el Plan Distrutal de Desarrollo.</v>
      </c>
      <c r="T326" s="20">
        <f t="shared" si="74"/>
        <v>1</v>
      </c>
      <c r="U326" s="20" t="str">
        <f t="shared" ca="1" si="75"/>
        <v>Realizada</v>
      </c>
      <c r="V326" s="20"/>
      <c r="W326" s="20"/>
      <c r="X326" s="20"/>
      <c r="Y326" s="20"/>
    </row>
    <row r="327" spans="1:25" ht="49.5">
      <c r="A327" s="20">
        <v>407</v>
      </c>
      <c r="B327" s="20" t="str">
        <f t="shared" si="94"/>
        <v>Reunión concejal Ponente Clara Lucia Sandoval</v>
      </c>
      <c r="C327" s="21">
        <f t="shared" si="95"/>
        <v>45421</v>
      </c>
      <c r="D327" s="20" t="str">
        <f t="shared" si="96"/>
        <v>OPDC</v>
      </c>
      <c r="E327" s="20" t="str">
        <f t="shared" si="97"/>
        <v>NO</v>
      </c>
      <c r="F327" s="20" t="str">
        <f t="shared" si="98"/>
        <v>Plan Distrital de Desarrollo</v>
      </c>
      <c r="G327" s="20" t="str">
        <f t="shared" si="99"/>
        <v>Presencial</v>
      </c>
      <c r="H327" s="20" t="str">
        <f t="shared" si="100"/>
        <v>Atender las solicitudes y comentarios de la concejal ponente Clara Lucia Sandoval</v>
      </c>
      <c r="I327" s="20" t="str">
        <f t="shared" si="101"/>
        <v>Mecanismo de Diálogo</v>
      </c>
      <c r="J327" s="20" t="str">
        <f t="shared" si="102"/>
        <v>Público</v>
      </c>
      <c r="K327" s="20" t="str">
        <f t="shared" si="103"/>
        <v>Concejo de Bogotá</v>
      </c>
      <c r="L327" s="20" t="str">
        <f t="shared" si="104"/>
        <v>Distrital</v>
      </c>
      <c r="M327" s="20" t="str">
        <f t="shared" si="105"/>
        <v>Distrital</v>
      </c>
      <c r="N327" s="20" t="str">
        <f t="shared" si="106"/>
        <v>Distrital</v>
      </c>
      <c r="O327" s="20" t="str">
        <f t="shared" si="107"/>
        <v>SÍ</v>
      </c>
      <c r="P327" s="20" t="str">
        <f t="shared" si="108"/>
        <v>Fase III: Acuerdos para la Ciudad</v>
      </c>
      <c r="Q327" s="20">
        <f t="shared" si="109"/>
        <v>20</v>
      </c>
      <c r="R327" s="20">
        <f t="shared" si="110"/>
        <v>10</v>
      </c>
      <c r="S327" s="20" t="str">
        <f t="shared" si="111"/>
        <v xml:space="preserve">Dudas para la propuesta de ponencia de la concejal Clara Lucia Sandoval, del sector Hacienda, Educación, Hábitat, Desarrollo Económico y Seguridad </v>
      </c>
      <c r="T327" s="20">
        <f t="shared" si="74"/>
        <v>1</v>
      </c>
      <c r="U327" s="20" t="str">
        <f t="shared" ca="1" si="75"/>
        <v>Realizada</v>
      </c>
      <c r="V327" s="20"/>
      <c r="W327" s="20"/>
      <c r="X327" s="20"/>
      <c r="Y327" s="20"/>
    </row>
    <row r="328" spans="1:25" ht="49.5">
      <c r="A328" s="20">
        <v>408</v>
      </c>
      <c r="B328" s="20" t="str">
        <f t="shared" si="94"/>
        <v>CLIP Bosa</v>
      </c>
      <c r="C328" s="21">
        <f t="shared" si="95"/>
        <v>45421</v>
      </c>
      <c r="D328" s="20" t="str">
        <f t="shared" si="96"/>
        <v>INSTANCIAS</v>
      </c>
      <c r="E328" s="20" t="str">
        <f t="shared" si="97"/>
        <v>NO</v>
      </c>
      <c r="F328" s="20" t="str">
        <f t="shared" si="98"/>
        <v>CLIP (Comisión Local Intersectorial de Participación)</v>
      </c>
      <c r="G328" s="20" t="str">
        <f t="shared" si="99"/>
        <v>Presencial</v>
      </c>
      <c r="H328" s="20" t="str">
        <f t="shared" si="100"/>
        <v>Acompañar la articulación de los esfuerzos institucionales de participación en la localidad de Bosa</v>
      </c>
      <c r="I328" s="20" t="str">
        <f t="shared" si="101"/>
        <v>Gestión Institucional</v>
      </c>
      <c r="J328" s="20" t="str">
        <f t="shared" si="102"/>
        <v>Público</v>
      </c>
      <c r="K328" s="20" t="str">
        <f t="shared" si="103"/>
        <v>CLIP</v>
      </c>
      <c r="L328" s="20" t="str">
        <f t="shared" si="104"/>
        <v>Bosa</v>
      </c>
      <c r="M328" s="20" t="str">
        <f t="shared" si="105"/>
        <v>Suroccidente</v>
      </c>
      <c r="N328" s="20" t="str">
        <f t="shared" si="106"/>
        <v>Edén, Porvenir, Bosa</v>
      </c>
      <c r="O328" s="20" t="str">
        <f t="shared" si="107"/>
        <v>NO</v>
      </c>
      <c r="P328" s="20" t="str">
        <f t="shared" si="108"/>
        <v>No aplica</v>
      </c>
      <c r="Q328" s="20">
        <f t="shared" si="109"/>
        <v>12</v>
      </c>
      <c r="R328" s="20">
        <f t="shared" si="110"/>
        <v>2</v>
      </c>
      <c r="S328" s="20" t="str">
        <f t="shared" si="111"/>
        <v xml:space="preserve">Generalidades del POT y UPL. </v>
      </c>
      <c r="T328" s="20">
        <f t="shared" si="74"/>
        <v>1</v>
      </c>
      <c r="U328" s="20" t="str">
        <f t="shared" ca="1" si="75"/>
        <v>Realizada</v>
      </c>
      <c r="V328" s="20"/>
      <c r="W328" s="20"/>
      <c r="X328" s="20"/>
      <c r="Y328" s="20"/>
    </row>
    <row r="329" spans="1:25" ht="49.5">
      <c r="A329" s="20">
        <v>409</v>
      </c>
      <c r="B329" s="20" t="str">
        <f t="shared" si="94"/>
        <v>Sesión de Concejo - Formulación PDD</v>
      </c>
      <c r="C329" s="21">
        <f t="shared" si="95"/>
        <v>45421</v>
      </c>
      <c r="D329" s="20" t="str">
        <f t="shared" si="96"/>
        <v>OPDC</v>
      </c>
      <c r="E329" s="20" t="str">
        <f t="shared" si="97"/>
        <v>NO</v>
      </c>
      <c r="F329" s="20" t="str">
        <f t="shared" si="98"/>
        <v>Plan Distrital de Desarrollo</v>
      </c>
      <c r="G329" s="20" t="str">
        <f t="shared" si="99"/>
        <v>Presencial</v>
      </c>
      <c r="H329" s="20" t="str">
        <f t="shared" si="100"/>
        <v>Acompañar la discusión del proyecto de acuerdo del Plan Distrital de Desarrollo de cara al proceso de debate para su aprobación en el Concejo Distrital</v>
      </c>
      <c r="I329" s="20" t="str">
        <f t="shared" si="101"/>
        <v>Mecanismo de Diálogo</v>
      </c>
      <c r="J329" s="20" t="str">
        <f t="shared" si="102"/>
        <v>Público</v>
      </c>
      <c r="K329" s="20" t="str">
        <f t="shared" si="103"/>
        <v>Concejo de Bogotá</v>
      </c>
      <c r="L329" s="20" t="str">
        <f t="shared" si="104"/>
        <v>Distrital</v>
      </c>
      <c r="M329" s="20" t="str">
        <f t="shared" si="105"/>
        <v>Distrital</v>
      </c>
      <c r="N329" s="20" t="str">
        <f t="shared" si="106"/>
        <v>Distrital</v>
      </c>
      <c r="O329" s="20" t="str">
        <f t="shared" si="107"/>
        <v>SÍ</v>
      </c>
      <c r="P329" s="20" t="str">
        <f t="shared" si="108"/>
        <v>Fase III: Acuerdos para la Ciudad</v>
      </c>
      <c r="Q329" s="20">
        <f t="shared" si="109"/>
        <v>50</v>
      </c>
      <c r="R329" s="20">
        <f t="shared" si="110"/>
        <v>4</v>
      </c>
      <c r="S329" s="20" t="str">
        <f t="shared" si="111"/>
        <v>Programas y metas del objetivo 4 del Plan Distrital de Desarollo, ordenamiento territorial</v>
      </c>
      <c r="T329" s="20">
        <f t="shared" si="74"/>
        <v>1</v>
      </c>
      <c r="U329" s="20" t="str">
        <f t="shared" ca="1" si="75"/>
        <v>Realizada</v>
      </c>
      <c r="V329" s="20"/>
      <c r="W329" s="20"/>
      <c r="X329" s="20"/>
      <c r="Y329" s="20"/>
    </row>
    <row r="330" spans="1:25" ht="49.5">
      <c r="A330" s="20">
        <v>410</v>
      </c>
      <c r="B330" s="20" t="str">
        <f t="shared" si="94"/>
        <v>CLIP Barrios Unidos</v>
      </c>
      <c r="C330" s="21">
        <f t="shared" si="95"/>
        <v>45421</v>
      </c>
      <c r="D330" s="20" t="str">
        <f t="shared" si="96"/>
        <v>INSTANCIAS</v>
      </c>
      <c r="E330" s="20" t="str">
        <f t="shared" si="97"/>
        <v>NO</v>
      </c>
      <c r="F330" s="20" t="str">
        <f t="shared" si="98"/>
        <v>CLIP (Comisión Local Intersectorial de Participación)</v>
      </c>
      <c r="G330" s="20" t="str">
        <f t="shared" si="99"/>
        <v>Presencial</v>
      </c>
      <c r="H330" s="20" t="str">
        <f t="shared" si="100"/>
        <v>Acompañar la articulación de los esfuerzos institucionales de participación en la localidad de Barrios Unidos</v>
      </c>
      <c r="I330" s="20" t="str">
        <f t="shared" si="101"/>
        <v>Gestión Institucional</v>
      </c>
      <c r="J330" s="20" t="str">
        <f t="shared" si="102"/>
        <v>Público</v>
      </c>
      <c r="K330" s="20" t="str">
        <f t="shared" si="103"/>
        <v>CLIP</v>
      </c>
      <c r="L330" s="20" t="str">
        <f t="shared" si="104"/>
        <v>Barrios Unidos</v>
      </c>
      <c r="M330" s="20" t="str">
        <f t="shared" si="105"/>
        <v>Centro Ampliado</v>
      </c>
      <c r="N330" s="20" t="str">
        <f t="shared" si="106"/>
        <v>Barrios Unidos</v>
      </c>
      <c r="O330" s="20" t="str">
        <f t="shared" si="107"/>
        <v>NO</v>
      </c>
      <c r="P330" s="20" t="str">
        <f t="shared" si="108"/>
        <v>No aplica</v>
      </c>
      <c r="Q330" s="20">
        <f t="shared" si="109"/>
        <v>27</v>
      </c>
      <c r="R330" s="20">
        <f t="shared" si="110"/>
        <v>2</v>
      </c>
      <c r="S330" s="20" t="str">
        <f t="shared" si="111"/>
        <v>Propuestas para Plan de acción 2024, Plan de Desarrollo Local, CPL,  encuentros Ciudadanos</v>
      </c>
      <c r="T330" s="20">
        <f t="shared" si="74"/>
        <v>1</v>
      </c>
      <c r="U330" s="20" t="str">
        <f t="shared" ca="1" si="75"/>
        <v>Realizada</v>
      </c>
      <c r="V330" s="20"/>
      <c r="W330" s="20"/>
      <c r="X330" s="20"/>
      <c r="Y330" s="20"/>
    </row>
    <row r="331" spans="1:25" ht="49.5">
      <c r="A331" s="20">
        <v>411</v>
      </c>
      <c r="B331" s="20" t="str">
        <f t="shared" si="94"/>
        <v>Mesa de Gestión Territorial Barrio Nuevo Chile -JAC</v>
      </c>
      <c r="C331" s="21">
        <f t="shared" si="95"/>
        <v>45421</v>
      </c>
      <c r="D331" s="20" t="str">
        <f t="shared" si="96"/>
        <v>OPDC</v>
      </c>
      <c r="E331" s="20" t="str">
        <f t="shared" si="97"/>
        <v>SÍ</v>
      </c>
      <c r="F331" s="20" t="str">
        <f t="shared" si="98"/>
        <v>Proyectos Integrales de Proximidad</v>
      </c>
      <c r="G331" s="20" t="str">
        <f t="shared" si="99"/>
        <v>Presencial</v>
      </c>
      <c r="H331" s="20" t="str">
        <f t="shared" si="100"/>
        <v>Acompañar a la JAC del barrio Nuevo Chile en el espacio donde se expondrá la reglamentación de la UPL BOSA</v>
      </c>
      <c r="I331" s="20" t="str">
        <f t="shared" si="101"/>
        <v>Mecanismo de Comunicación para la Participación</v>
      </c>
      <c r="J331" s="20" t="str">
        <f t="shared" si="102"/>
        <v>Multiactor</v>
      </c>
      <c r="K331" s="20">
        <f t="shared" si="103"/>
        <v>0</v>
      </c>
      <c r="L331" s="20" t="str">
        <f t="shared" si="104"/>
        <v>Bosa</v>
      </c>
      <c r="M331" s="20" t="str">
        <f t="shared" si="105"/>
        <v>Suroccidente</v>
      </c>
      <c r="N331" s="20" t="str">
        <f t="shared" si="106"/>
        <v>Edén, Porvenir, Bosa</v>
      </c>
      <c r="O331" s="20" t="str">
        <f t="shared" si="107"/>
        <v>NO</v>
      </c>
      <c r="P331" s="20" t="str">
        <f t="shared" si="108"/>
        <v>No aplica</v>
      </c>
      <c r="Q331" s="20">
        <f t="shared" si="109"/>
        <v>67</v>
      </c>
      <c r="R331" s="20">
        <f t="shared" si="110"/>
        <v>2</v>
      </c>
      <c r="S331" s="20" t="str">
        <f t="shared" si="111"/>
        <v>Reglamentación del POT en cuanto la malla vial, la reglamentación de las UPL en especial la de Bosa</v>
      </c>
      <c r="T331" s="20">
        <f t="shared" si="74"/>
        <v>1</v>
      </c>
      <c r="U331" s="20" t="str">
        <f t="shared" ca="1" si="75"/>
        <v>Realizada</v>
      </c>
      <c r="V331" s="20"/>
      <c r="W331" s="20"/>
      <c r="X331" s="20"/>
      <c r="Y331" s="20"/>
    </row>
    <row r="332" spans="1:25" ht="49.5">
      <c r="A332" s="20">
        <v>412</v>
      </c>
      <c r="B332" s="20" t="str">
        <f t="shared" si="94"/>
        <v>Plenaria Permanente CTPD</v>
      </c>
      <c r="C332" s="21">
        <f t="shared" si="95"/>
        <v>45421</v>
      </c>
      <c r="D332" s="20" t="str">
        <f t="shared" si="96"/>
        <v>INSTANCIAS</v>
      </c>
      <c r="E332" s="20" t="str">
        <f t="shared" si="97"/>
        <v>NO</v>
      </c>
      <c r="F332" s="20" t="str">
        <f t="shared" si="98"/>
        <v>CTPD (Consejo Territorial de Planeación Distrital)</v>
      </c>
      <c r="G332" s="20" t="str">
        <f t="shared" si="99"/>
        <v>Virtual</v>
      </c>
      <c r="H332" s="20" t="str">
        <f t="shared" si="100"/>
        <v xml:space="preserve">Dar continuidad al orden del dia de la plenaria ordinaria del 25 de abril de 2024 </v>
      </c>
      <c r="I332" s="20" t="str">
        <f t="shared" si="101"/>
        <v>Mecanismo de Seguimiento y Evaluación</v>
      </c>
      <c r="J332" s="20" t="str">
        <f t="shared" si="102"/>
        <v>Comunitario</v>
      </c>
      <c r="K332" s="20" t="str">
        <f t="shared" si="103"/>
        <v>CTPD</v>
      </c>
      <c r="L332" s="20" t="str">
        <f t="shared" si="104"/>
        <v>Distrital</v>
      </c>
      <c r="M332" s="20" t="str">
        <f t="shared" si="105"/>
        <v>Distrital</v>
      </c>
      <c r="N332" s="20" t="str">
        <f t="shared" si="106"/>
        <v>Distrital</v>
      </c>
      <c r="O332" s="20" t="str">
        <f t="shared" si="107"/>
        <v>NO</v>
      </c>
      <c r="P332" s="20" t="str">
        <f t="shared" si="108"/>
        <v>No aplica</v>
      </c>
      <c r="Q332" s="20">
        <f t="shared" si="109"/>
        <v>53</v>
      </c>
      <c r="R332" s="20">
        <f t="shared" si="110"/>
        <v>2</v>
      </c>
      <c r="S332" s="20" t="str">
        <f t="shared" si="111"/>
        <v>Plan de acción del CTPD y de las comisiones</v>
      </c>
      <c r="T332" s="20">
        <f t="shared" si="74"/>
        <v>1</v>
      </c>
      <c r="U332" s="20" t="str">
        <f t="shared" ca="1" si="75"/>
        <v>Realizada</v>
      </c>
      <c r="V332" s="20"/>
      <c r="W332" s="20"/>
      <c r="X332" s="20"/>
      <c r="Y332" s="20"/>
    </row>
    <row r="333" spans="1:25" ht="37.5">
      <c r="A333" s="20">
        <v>413</v>
      </c>
      <c r="B333" s="20" t="str">
        <f t="shared" si="94"/>
        <v>Reunión concejal Ponente Clara Lucia Sandoval</v>
      </c>
      <c r="C333" s="21">
        <f t="shared" si="95"/>
        <v>45422</v>
      </c>
      <c r="D333" s="20" t="str">
        <f t="shared" si="96"/>
        <v>OPDC</v>
      </c>
      <c r="E333" s="20" t="str">
        <f t="shared" si="97"/>
        <v>NO</v>
      </c>
      <c r="F333" s="20" t="str">
        <f t="shared" si="98"/>
        <v>Plan Distrital de Desarrollo</v>
      </c>
      <c r="G333" s="20" t="str">
        <f t="shared" si="99"/>
        <v>Presencial</v>
      </c>
      <c r="H333" s="20" t="str">
        <f t="shared" si="100"/>
        <v>Atender las solicitudes y comentarios de la concejal ponente Clara Lucia Sandoval</v>
      </c>
      <c r="I333" s="20" t="str">
        <f t="shared" si="101"/>
        <v>Mecanismo de Diálogo</v>
      </c>
      <c r="J333" s="20" t="str">
        <f t="shared" si="102"/>
        <v>Público</v>
      </c>
      <c r="K333" s="20" t="str">
        <f t="shared" si="103"/>
        <v>Concejo de Bogotá</v>
      </c>
      <c r="L333" s="20" t="str">
        <f t="shared" si="104"/>
        <v>Distrital</v>
      </c>
      <c r="M333" s="20" t="str">
        <f t="shared" si="105"/>
        <v>Distrital</v>
      </c>
      <c r="N333" s="20" t="str">
        <f t="shared" si="106"/>
        <v>Distrital</v>
      </c>
      <c r="O333" s="20" t="str">
        <f t="shared" si="107"/>
        <v>SÍ</v>
      </c>
      <c r="P333" s="20" t="str">
        <f t="shared" si="108"/>
        <v>Fase III: Acuerdos para la Ciudad</v>
      </c>
      <c r="Q333" s="20">
        <f t="shared" si="109"/>
        <v>2</v>
      </c>
      <c r="R333" s="20">
        <f t="shared" si="110"/>
        <v>10</v>
      </c>
      <c r="S333" s="20" t="str">
        <f t="shared" si="111"/>
        <v>Inquietudes y preguntas del PDD a sectores de Integración, Mujer, Salud, Ambiente, Cultura y Movilidad</v>
      </c>
      <c r="T333" s="20">
        <f t="shared" si="74"/>
        <v>1</v>
      </c>
      <c r="U333" s="20" t="str">
        <f t="shared" ca="1" si="75"/>
        <v>Realizada</v>
      </c>
      <c r="V333" s="20"/>
      <c r="W333" s="20"/>
      <c r="X333" s="20"/>
      <c r="Y333" s="20"/>
    </row>
    <row r="334" spans="1:25" ht="49.5">
      <c r="A334" s="20">
        <v>414</v>
      </c>
      <c r="B334" s="20" t="str">
        <f t="shared" si="94"/>
        <v>Consultorio PDD - Concejo: Jornada 14- Sector Desarrollo Económico</v>
      </c>
      <c r="C334" s="21">
        <f t="shared" si="95"/>
        <v>45422</v>
      </c>
      <c r="D334" s="20" t="str">
        <f t="shared" si="96"/>
        <v>OPDC</v>
      </c>
      <c r="E334" s="20" t="str">
        <f t="shared" si="97"/>
        <v>NO</v>
      </c>
      <c r="F334" s="20" t="str">
        <f t="shared" si="98"/>
        <v>Plan Distrital de Desarrollo</v>
      </c>
      <c r="G334" s="20" t="str">
        <f t="shared" si="99"/>
        <v>Presencial</v>
      </c>
      <c r="H334" s="20" t="str">
        <f t="shared" si="100"/>
        <v>Atender las inquietudes y/o comentarios provenientes del Concejo de Bogotá frente a la formulación del PDD</v>
      </c>
      <c r="I334" s="20" t="str">
        <f t="shared" si="101"/>
        <v>Mecanismo de Diálogo</v>
      </c>
      <c r="J334" s="20" t="str">
        <f t="shared" si="102"/>
        <v>Público</v>
      </c>
      <c r="K334" s="20" t="str">
        <f t="shared" si="103"/>
        <v>Concejo de Bogotá</v>
      </c>
      <c r="L334" s="20" t="str">
        <f t="shared" si="104"/>
        <v>Distrital</v>
      </c>
      <c r="M334" s="20" t="str">
        <f t="shared" si="105"/>
        <v>Distrital</v>
      </c>
      <c r="N334" s="20" t="str">
        <f t="shared" si="106"/>
        <v>Distrital</v>
      </c>
      <c r="O334" s="20" t="str">
        <f t="shared" si="107"/>
        <v>SÍ</v>
      </c>
      <c r="P334" s="20" t="str">
        <f t="shared" si="108"/>
        <v>Fase III: Acuerdos para la Ciudad</v>
      </c>
      <c r="Q334" s="20">
        <f t="shared" si="109"/>
        <v>17</v>
      </c>
      <c r="R334" s="20">
        <f t="shared" si="110"/>
        <v>3</v>
      </c>
      <c r="S334" s="20" t="str">
        <f t="shared" si="111"/>
        <v>Alternativas de emprendimiento, Plan de Acción de Política Pública de Vendedores Informales</v>
      </c>
      <c r="T334" s="20">
        <f t="shared" si="74"/>
        <v>1</v>
      </c>
      <c r="U334" s="20" t="str">
        <f t="shared" ca="1" si="75"/>
        <v>Realizada</v>
      </c>
      <c r="V334" s="20"/>
      <c r="W334" s="20"/>
      <c r="X334" s="20"/>
      <c r="Y334" s="20"/>
    </row>
    <row r="335" spans="1:25" ht="74.25">
      <c r="A335" s="20">
        <v>415</v>
      </c>
      <c r="B335" s="20" t="str">
        <f t="shared" si="94"/>
        <v>Sesión de Concejo - Formulación PDD - Mañana</v>
      </c>
      <c r="C335" s="21">
        <f t="shared" si="95"/>
        <v>45422</v>
      </c>
      <c r="D335" s="20" t="str">
        <f t="shared" si="96"/>
        <v>OPDC</v>
      </c>
      <c r="E335" s="20" t="str">
        <f t="shared" si="97"/>
        <v>NO</v>
      </c>
      <c r="F335" s="20" t="str">
        <f t="shared" si="98"/>
        <v>Plan Distrital de Desarrollo</v>
      </c>
      <c r="G335" s="20" t="str">
        <f t="shared" si="99"/>
        <v>Presencial</v>
      </c>
      <c r="H335" s="20" t="str">
        <f t="shared" si="100"/>
        <v>Acompañar la discusión del proyecto de acuerdo del Plan Distrital de Desarrollo de cara al proceso de debate para su aprobación en el Concejo Distrital</v>
      </c>
      <c r="I335" s="20" t="str">
        <f t="shared" si="101"/>
        <v>Mecanismo de Diálogo</v>
      </c>
      <c r="J335" s="20" t="str">
        <f t="shared" si="102"/>
        <v>Público</v>
      </c>
      <c r="K335" s="20" t="str">
        <f t="shared" si="103"/>
        <v>Concejo de Bogotá</v>
      </c>
      <c r="L335" s="20" t="str">
        <f t="shared" si="104"/>
        <v>Distrital</v>
      </c>
      <c r="M335" s="20" t="str">
        <f t="shared" si="105"/>
        <v>Distrital</v>
      </c>
      <c r="N335" s="20" t="str">
        <f t="shared" si="106"/>
        <v>Distrital</v>
      </c>
      <c r="O335" s="20" t="str">
        <f t="shared" si="107"/>
        <v>SÍ</v>
      </c>
      <c r="P335" s="20" t="str">
        <f t="shared" si="108"/>
        <v>Fase III: Acuerdos para la Ciudad</v>
      </c>
      <c r="Q335" s="20">
        <f t="shared" si="109"/>
        <v>120</v>
      </c>
      <c r="R335" s="20">
        <f t="shared" si="110"/>
        <v>4</v>
      </c>
      <c r="S335" s="20" t="str">
        <f t="shared" si="111"/>
        <v>objetivo 5,generalidades programa 33 del PDD, Inconsistencias de los servidores públicos de cara a la ciudadanía, ciudad mas conectiva y digital, modelos de gobernanza, Crecimiento progresivo de la cartera nacional, Percepciones de los ciudadanos hacia los entes del distrito</v>
      </c>
      <c r="T335" s="20">
        <f t="shared" si="74"/>
        <v>1</v>
      </c>
      <c r="U335" s="20" t="str">
        <f t="shared" ca="1" si="75"/>
        <v>Realizada</v>
      </c>
      <c r="V335" s="20"/>
      <c r="W335" s="20"/>
      <c r="X335" s="20"/>
      <c r="Y335" s="20"/>
    </row>
    <row r="336" spans="1:25" ht="37.5">
      <c r="A336" s="20">
        <v>417</v>
      </c>
      <c r="B336" s="20" t="str">
        <f t="shared" si="94"/>
        <v>Sesión de Concejo - Formulación PDD - Tarde</v>
      </c>
      <c r="C336" s="21">
        <f t="shared" si="95"/>
        <v>45422</v>
      </c>
      <c r="D336" s="20" t="str">
        <f t="shared" si="96"/>
        <v>OPDC</v>
      </c>
      <c r="E336" s="20" t="str">
        <f t="shared" si="97"/>
        <v>NO</v>
      </c>
      <c r="F336" s="20" t="str">
        <f t="shared" si="98"/>
        <v>Plan Distrital de Desarrollo</v>
      </c>
      <c r="G336" s="20" t="str">
        <f t="shared" si="99"/>
        <v>Presencial</v>
      </c>
      <c r="H336" s="20" t="str">
        <f t="shared" si="100"/>
        <v>Recolectar propuestas ciuadadanas sobre el Plan distrital de Desarrollo.</v>
      </c>
      <c r="I336" s="20" t="str">
        <f t="shared" si="101"/>
        <v>Mecanismo de Diálogo</v>
      </c>
      <c r="J336" s="20" t="str">
        <f t="shared" si="102"/>
        <v>Público</v>
      </c>
      <c r="K336" s="20" t="str">
        <f t="shared" si="103"/>
        <v>Concejo de Bogotá</v>
      </c>
      <c r="L336" s="20" t="str">
        <f t="shared" si="104"/>
        <v>Distrital</v>
      </c>
      <c r="M336" s="20" t="str">
        <f t="shared" si="105"/>
        <v>Distrital</v>
      </c>
      <c r="N336" s="20" t="str">
        <f t="shared" si="106"/>
        <v>Distrital</v>
      </c>
      <c r="O336" s="20" t="str">
        <f t="shared" si="107"/>
        <v>SÍ</v>
      </c>
      <c r="P336" s="20" t="str">
        <f t="shared" si="108"/>
        <v>Fase III: Acuerdos para la Ciudad</v>
      </c>
      <c r="Q336" s="20">
        <f t="shared" si="109"/>
        <v>50</v>
      </c>
      <c r="R336" s="20">
        <f t="shared" si="110"/>
        <v>2</v>
      </c>
      <c r="S336" s="20" t="str">
        <f t="shared" si="111"/>
        <v>Audiencia Clara lucia Sandoval,  protección animal, Temas en relacion a casa ecologica, movimientos animalistas, proteccion a fauna.</v>
      </c>
      <c r="T336" s="20">
        <f t="shared" si="74"/>
        <v>1</v>
      </c>
      <c r="U336" s="20" t="str">
        <f t="shared" ca="1" si="75"/>
        <v>Realizada</v>
      </c>
      <c r="V336" s="20"/>
      <c r="W336" s="20"/>
      <c r="X336" s="20"/>
      <c r="Y336" s="20"/>
    </row>
    <row r="337" spans="1:25" ht="49.5">
      <c r="A337" s="20">
        <v>418</v>
      </c>
      <c r="B337" s="20" t="str">
        <f t="shared" si="94"/>
        <v>Encuentro nacional de jóvenes negros, afrocolombianos, palenqueros y Raizales.</v>
      </c>
      <c r="C337" s="21">
        <f t="shared" si="95"/>
        <v>45422</v>
      </c>
      <c r="D337" s="20" t="str">
        <f t="shared" si="96"/>
        <v>OPDC</v>
      </c>
      <c r="E337" s="20" t="str">
        <f t="shared" si="97"/>
        <v>NO</v>
      </c>
      <c r="F337" s="20" t="str">
        <f t="shared" si="98"/>
        <v>Políticas Públicas</v>
      </c>
      <c r="G337" s="20" t="str">
        <f t="shared" si="99"/>
        <v>Presencial</v>
      </c>
      <c r="H337" s="20" t="str">
        <f t="shared" si="100"/>
        <v>Acompañar el encuentro nacional de jóvenes negros, afrocolombianos, palenqueros y Raizales del Consejo Nacional de Paz Afrocolombiano</v>
      </c>
      <c r="I337" s="20" t="str">
        <f t="shared" si="101"/>
        <v>Gestión Institucional</v>
      </c>
      <c r="J337" s="20" t="str">
        <f t="shared" si="102"/>
        <v>Comunitario</v>
      </c>
      <c r="K337" s="20" t="str">
        <f t="shared" si="103"/>
        <v>Grupos focales</v>
      </c>
      <c r="L337" s="20" t="str">
        <f t="shared" si="104"/>
        <v>Distrital</v>
      </c>
      <c r="M337" s="20" t="str">
        <f t="shared" si="105"/>
        <v>Distrital</v>
      </c>
      <c r="N337" s="20" t="str">
        <f t="shared" si="106"/>
        <v>Distrital</v>
      </c>
      <c r="O337" s="20" t="str">
        <f t="shared" si="107"/>
        <v>NO</v>
      </c>
      <c r="P337" s="20" t="str">
        <f t="shared" si="108"/>
        <v>No aplica</v>
      </c>
      <c r="Q337" s="20">
        <f t="shared" si="109"/>
        <v>50</v>
      </c>
      <c r="R337" s="20">
        <f t="shared" si="110"/>
        <v>2</v>
      </c>
      <c r="S337" s="20" t="str">
        <f t="shared" si="111"/>
        <v>Formación política y participativa de los jovenes</v>
      </c>
      <c r="T337" s="20">
        <f t="shared" si="74"/>
        <v>1</v>
      </c>
      <c r="U337" s="20" t="str">
        <f t="shared" ca="1" si="75"/>
        <v>Realizada</v>
      </c>
      <c r="V337" s="20"/>
      <c r="W337" s="20"/>
      <c r="X337" s="20"/>
      <c r="Y337" s="20"/>
    </row>
    <row r="338" spans="1:25" ht="49.5">
      <c r="A338" s="20">
        <v>420</v>
      </c>
      <c r="B338" s="20" t="str">
        <f t="shared" si="94"/>
        <v>Recorrido AE ZIBO JAC Teusaquillo</v>
      </c>
      <c r="C338" s="21">
        <f t="shared" si="95"/>
        <v>45423</v>
      </c>
      <c r="D338" s="20" t="str">
        <f t="shared" si="96"/>
        <v>OPDC</v>
      </c>
      <c r="E338" s="20" t="str">
        <f t="shared" si="97"/>
        <v>SÍ</v>
      </c>
      <c r="F338" s="20" t="str">
        <f t="shared" si="98"/>
        <v>Formulación de Actuaciones Estratégicas</v>
      </c>
      <c r="G338" s="20" t="str">
        <f t="shared" si="99"/>
        <v>Presencial</v>
      </c>
      <c r="H338" s="20" t="str">
        <f t="shared" si="100"/>
        <v>Acompañar el  reconocimiento del territorio junto a líderes comunitarios, bajo la coordinación del Operador Urbano</v>
      </c>
      <c r="I338" s="20" t="str">
        <f t="shared" si="101"/>
        <v>Mecanismo de Diálogo</v>
      </c>
      <c r="J338" s="20" t="str">
        <f t="shared" si="102"/>
        <v>Multiactor</v>
      </c>
      <c r="K338" s="20">
        <f t="shared" si="103"/>
        <v>0</v>
      </c>
      <c r="L338" s="20" t="str">
        <f t="shared" si="104"/>
        <v>Teusaquillo</v>
      </c>
      <c r="M338" s="20" t="str">
        <f t="shared" si="105"/>
        <v>Centro Ampliado</v>
      </c>
      <c r="N338" s="20" t="str">
        <f t="shared" si="106"/>
        <v>Teusaquillo</v>
      </c>
      <c r="O338" s="20" t="str">
        <f t="shared" si="107"/>
        <v>NO</v>
      </c>
      <c r="P338" s="20" t="str">
        <f t="shared" si="108"/>
        <v>No aplica</v>
      </c>
      <c r="Q338" s="20">
        <f t="shared" si="109"/>
        <v>20</v>
      </c>
      <c r="R338" s="20">
        <f t="shared" si="110"/>
        <v>4</v>
      </c>
      <c r="S338" s="20" t="str">
        <f t="shared" si="111"/>
        <v>Movilidad. y reúso. Reverdecimiento y corredores de turismo. Reactivación económica y corredores de turismo.</v>
      </c>
      <c r="T338" s="20">
        <f t="shared" si="74"/>
        <v>1</v>
      </c>
      <c r="U338" s="20" t="str">
        <f t="shared" ca="1" si="75"/>
        <v>Realizada</v>
      </c>
      <c r="V338" s="20"/>
      <c r="W338" s="20"/>
      <c r="X338" s="20"/>
      <c r="Y338" s="20"/>
    </row>
    <row r="339" spans="1:25" ht="49.5">
      <c r="A339" s="20">
        <v>421</v>
      </c>
      <c r="B339" s="20" t="str">
        <f t="shared" si="94"/>
        <v>Gestión: Acompañamiento espacio de diálogo Sec. Gobierno con Cabildo Muisca de Suba</v>
      </c>
      <c r="C339" s="21">
        <f t="shared" si="95"/>
        <v>45423</v>
      </c>
      <c r="D339" s="20" t="str">
        <f t="shared" si="96"/>
        <v>OPDC</v>
      </c>
      <c r="E339" s="20" t="str">
        <f t="shared" si="97"/>
        <v>NO</v>
      </c>
      <c r="F339" s="20" t="str">
        <f t="shared" si="98"/>
        <v>Plan Distrital de Desarrollo</v>
      </c>
      <c r="G339" s="20" t="str">
        <f t="shared" si="99"/>
        <v>Presencial</v>
      </c>
      <c r="H339" s="20" t="str">
        <f t="shared" si="100"/>
        <v xml:space="preserve">Acompañar el espacio de diálogo entre la Sec. De gobierno y el Pueblo Muisca de Suba en términos de la incidencia en el Plan Distrital de Desarrollo. </v>
      </c>
      <c r="I339" s="20" t="str">
        <f t="shared" si="101"/>
        <v>Gestión Institucional</v>
      </c>
      <c r="J339" s="20" t="str">
        <f t="shared" si="102"/>
        <v>Multiactor</v>
      </c>
      <c r="K339" s="20">
        <f t="shared" si="103"/>
        <v>0</v>
      </c>
      <c r="L339" s="20" t="str">
        <f t="shared" si="104"/>
        <v>Distrital</v>
      </c>
      <c r="M339" s="20" t="str">
        <f t="shared" si="105"/>
        <v>Distrital</v>
      </c>
      <c r="N339" s="20" t="str">
        <f t="shared" si="106"/>
        <v>Distrital</v>
      </c>
      <c r="O339" s="20" t="str">
        <f t="shared" si="107"/>
        <v>SÍ</v>
      </c>
      <c r="P339" s="20" t="str">
        <f t="shared" si="108"/>
        <v>Gestión interinstitucional</v>
      </c>
      <c r="Q339" s="20">
        <f t="shared" si="109"/>
        <v>31</v>
      </c>
      <c r="R339" s="20">
        <f t="shared" si="110"/>
        <v>3</v>
      </c>
      <c r="S339" s="20" t="str">
        <f t="shared" si="111"/>
        <v xml:space="preserve">Plan Distrital de Desarrollo; Plan de Vida Muisca; Sistema de Sitios Sagrados; Planes Parciales </v>
      </c>
      <c r="T339" s="20">
        <f t="shared" si="74"/>
        <v>1</v>
      </c>
      <c r="U339" s="20" t="str">
        <f t="shared" ca="1" si="75"/>
        <v>Realizada</v>
      </c>
      <c r="V339" s="20"/>
      <c r="W339" s="20"/>
      <c r="X339" s="20"/>
      <c r="Y339" s="20"/>
    </row>
    <row r="340" spans="1:25" ht="49.5">
      <c r="A340" s="20">
        <v>424</v>
      </c>
      <c r="B340" s="20" t="str">
        <f t="shared" si="94"/>
        <v>CLIP Engativá</v>
      </c>
      <c r="C340" s="21">
        <f t="shared" si="95"/>
        <v>45426</v>
      </c>
      <c r="D340" s="20" t="str">
        <f t="shared" si="96"/>
        <v>INSTANCIAS</v>
      </c>
      <c r="E340" s="20" t="str">
        <f t="shared" si="97"/>
        <v>NO</v>
      </c>
      <c r="F340" s="20" t="str">
        <f t="shared" si="98"/>
        <v>CLIP (Comisión Local Intersectorial de Participación)</v>
      </c>
      <c r="G340" s="20" t="str">
        <f t="shared" si="99"/>
        <v>Presencial</v>
      </c>
      <c r="H340" s="20" t="str">
        <f t="shared" si="100"/>
        <v>Acompañar la articulación de los esfuerzos institucionales de participación en la localidad de Engativá</v>
      </c>
      <c r="I340" s="20" t="str">
        <f t="shared" si="101"/>
        <v>Gestión Institucional</v>
      </c>
      <c r="J340" s="20" t="str">
        <f t="shared" si="102"/>
        <v>Público</v>
      </c>
      <c r="K340" s="20" t="str">
        <f t="shared" si="103"/>
        <v>CLIP</v>
      </c>
      <c r="L340" s="20" t="str">
        <f t="shared" si="104"/>
        <v>Engativá</v>
      </c>
      <c r="M340" s="20" t="str">
        <f t="shared" si="105"/>
        <v>Occidente</v>
      </c>
      <c r="N340" s="20" t="str">
        <f t="shared" si="106"/>
        <v>Engativá, Tabora, Salitre</v>
      </c>
      <c r="O340" s="20" t="str">
        <f t="shared" si="107"/>
        <v>NO</v>
      </c>
      <c r="P340" s="20" t="str">
        <f t="shared" si="108"/>
        <v>No aplica</v>
      </c>
      <c r="Q340" s="20">
        <f t="shared" si="109"/>
        <v>23</v>
      </c>
      <c r="R340" s="20">
        <f t="shared" si="110"/>
        <v>1</v>
      </c>
      <c r="S340" s="20" t="str">
        <f t="shared" si="111"/>
        <v xml:space="preserve">Desarrollo de Encuentros Ciudadanos, Sectores Sociales Incidentes, Mecanismos de Participación CLIP </v>
      </c>
      <c r="T340" s="20">
        <f t="shared" si="74"/>
        <v>1</v>
      </c>
      <c r="U340" s="20" t="str">
        <f t="shared" ca="1" si="75"/>
        <v>Realizada</v>
      </c>
      <c r="V340" s="20"/>
      <c r="W340" s="20"/>
      <c r="X340" s="20"/>
      <c r="Y340" s="20"/>
    </row>
    <row r="341" spans="1:25" ht="49.5">
      <c r="A341" s="20">
        <v>425</v>
      </c>
      <c r="B341" s="20" t="str">
        <f t="shared" si="94"/>
        <v>Consultorio PDD - Concejo: Jornada 15- Sector Hábitat</v>
      </c>
      <c r="C341" s="21">
        <f t="shared" si="95"/>
        <v>45426</v>
      </c>
      <c r="D341" s="20" t="str">
        <f t="shared" si="96"/>
        <v>OPDC</v>
      </c>
      <c r="E341" s="20" t="str">
        <f t="shared" si="97"/>
        <v>NO</v>
      </c>
      <c r="F341" s="20" t="str">
        <f t="shared" si="98"/>
        <v>Plan Distrital de Desarrollo</v>
      </c>
      <c r="G341" s="20" t="str">
        <f t="shared" si="99"/>
        <v>Presencial</v>
      </c>
      <c r="H341" s="20" t="str">
        <f t="shared" si="100"/>
        <v>Atender las inquietudes y/o comentarios provenientes del Concejo de Bogotá frente a la formulación del PDD</v>
      </c>
      <c r="I341" s="20" t="str">
        <f t="shared" si="101"/>
        <v>Mecanismo de Diálogo</v>
      </c>
      <c r="J341" s="20" t="str">
        <f t="shared" si="102"/>
        <v>Público</v>
      </c>
      <c r="K341" s="20" t="str">
        <f t="shared" si="103"/>
        <v>Concejo de Bogotá</v>
      </c>
      <c r="L341" s="20" t="str">
        <f t="shared" si="104"/>
        <v>Distrital</v>
      </c>
      <c r="M341" s="20" t="str">
        <f t="shared" si="105"/>
        <v>Distrital</v>
      </c>
      <c r="N341" s="20" t="str">
        <f t="shared" si="106"/>
        <v>Distrital</v>
      </c>
      <c r="O341" s="20" t="str">
        <f t="shared" si="107"/>
        <v>SÍ</v>
      </c>
      <c r="P341" s="20" t="str">
        <f t="shared" si="108"/>
        <v>Fase III: Acuerdos para la Ciudad</v>
      </c>
      <c r="Q341" s="20">
        <f t="shared" si="109"/>
        <v>18</v>
      </c>
      <c r="R341" s="20">
        <f t="shared" si="110"/>
        <v>3</v>
      </c>
      <c r="S341" s="20" t="str">
        <f t="shared" si="111"/>
        <v>Metas del Plan Distrital de Desarrollo  para el sector Hábitat</v>
      </c>
      <c r="T341" s="20">
        <f t="shared" si="74"/>
        <v>1</v>
      </c>
      <c r="U341" s="20" t="str">
        <f t="shared" ca="1" si="75"/>
        <v>Realizada</v>
      </c>
      <c r="V341" s="20"/>
      <c r="W341" s="20"/>
      <c r="X341" s="20"/>
      <c r="Y341" s="20"/>
    </row>
    <row r="342" spans="1:25" ht="49.5">
      <c r="A342" s="20">
        <v>426</v>
      </c>
      <c r="B342" s="20" t="str">
        <f t="shared" si="94"/>
        <v>Sesión de Concejo - Formulación PDD - Mañana</v>
      </c>
      <c r="C342" s="21">
        <f t="shared" si="95"/>
        <v>45426</v>
      </c>
      <c r="D342" s="20" t="str">
        <f t="shared" si="96"/>
        <v>OPDC</v>
      </c>
      <c r="E342" s="20" t="str">
        <f t="shared" si="97"/>
        <v>NO</v>
      </c>
      <c r="F342" s="20" t="str">
        <f t="shared" si="98"/>
        <v>Plan Distrital de Desarrollo</v>
      </c>
      <c r="G342" s="20" t="str">
        <f t="shared" si="99"/>
        <v>Presencial</v>
      </c>
      <c r="H342" s="20" t="str">
        <f t="shared" si="100"/>
        <v>Acompañar la discusión del proyecto de acuerdo del Plan Distrital de Desarrollo de cara al proceso de debate para su aprobación en el Concejo Distrital</v>
      </c>
      <c r="I342" s="20" t="str">
        <f t="shared" si="101"/>
        <v>Mecanismo de Diálogo</v>
      </c>
      <c r="J342" s="20" t="str">
        <f t="shared" si="102"/>
        <v>Público</v>
      </c>
      <c r="K342" s="20" t="str">
        <f t="shared" si="103"/>
        <v>Concejo de Bogotá</v>
      </c>
      <c r="L342" s="20" t="str">
        <f t="shared" si="104"/>
        <v>Distrital</v>
      </c>
      <c r="M342" s="20" t="str">
        <f t="shared" si="105"/>
        <v>Distrital</v>
      </c>
      <c r="N342" s="20" t="str">
        <f t="shared" si="106"/>
        <v>Distrital</v>
      </c>
      <c r="O342" s="20" t="str">
        <f t="shared" si="107"/>
        <v>SÍ</v>
      </c>
      <c r="P342" s="20" t="str">
        <f t="shared" si="108"/>
        <v>Fase III: Acuerdos para la Ciudad</v>
      </c>
      <c r="Q342" s="20">
        <f t="shared" si="109"/>
        <v>130</v>
      </c>
      <c r="R342" s="20">
        <f t="shared" si="110"/>
        <v>7</v>
      </c>
      <c r="S342" s="20" t="str">
        <f t="shared" si="111"/>
        <v>Propuestas sobre el Río Bogotá. historia, proyectos, avances de obras, costos, impactos y posibles beneficios.</v>
      </c>
      <c r="T342" s="20">
        <f t="shared" si="74"/>
        <v>1</v>
      </c>
      <c r="U342" s="20" t="str">
        <f t="shared" ca="1" si="75"/>
        <v>Realizada</v>
      </c>
      <c r="V342" s="20"/>
      <c r="W342" s="20"/>
      <c r="X342" s="20"/>
      <c r="Y342" s="20"/>
    </row>
    <row r="343" spans="1:25" ht="49.5">
      <c r="A343" s="20">
        <v>427</v>
      </c>
      <c r="B343" s="20" t="str">
        <f t="shared" si="94"/>
        <v>CLIP Tunjuelito</v>
      </c>
      <c r="C343" s="21">
        <f t="shared" si="95"/>
        <v>45426</v>
      </c>
      <c r="D343" s="20" t="str">
        <f t="shared" si="96"/>
        <v>INSTANCIAS</v>
      </c>
      <c r="E343" s="20" t="str">
        <f t="shared" si="97"/>
        <v>NO</v>
      </c>
      <c r="F343" s="20" t="str">
        <f t="shared" si="98"/>
        <v>CLIP (Comisión Local Intersectorial de Participación)</v>
      </c>
      <c r="G343" s="20" t="str">
        <f t="shared" si="99"/>
        <v>Presencial</v>
      </c>
      <c r="H343" s="20" t="str">
        <f t="shared" si="100"/>
        <v>Acompañar la articulación de los esfuerzos institucionales de participación en la localidad de Tunjuelito.</v>
      </c>
      <c r="I343" s="20" t="str">
        <f t="shared" si="101"/>
        <v>Gestión Institucional</v>
      </c>
      <c r="J343" s="20" t="str">
        <f t="shared" si="102"/>
        <v>Público</v>
      </c>
      <c r="K343" s="20" t="str">
        <f t="shared" si="103"/>
        <v>CLIP</v>
      </c>
      <c r="L343" s="20" t="str">
        <f t="shared" si="104"/>
        <v>Tunjuelito</v>
      </c>
      <c r="M343" s="20" t="str">
        <f t="shared" si="105"/>
        <v>Suroriente</v>
      </c>
      <c r="N343" s="20" t="str">
        <f t="shared" si="106"/>
        <v>Tunjuelito, Arborizadora</v>
      </c>
      <c r="O343" s="20" t="str">
        <f t="shared" si="107"/>
        <v>NO</v>
      </c>
      <c r="P343" s="20" t="str">
        <f t="shared" si="108"/>
        <v>No aplica</v>
      </c>
      <c r="Q343" s="20">
        <f t="shared" si="109"/>
        <v>19</v>
      </c>
      <c r="R343" s="20">
        <f t="shared" si="110"/>
        <v>1</v>
      </c>
      <c r="S343" s="20" t="str">
        <f t="shared" si="111"/>
        <v>Programa "Oferta preferente" SDHT; Encuentros ciudadanos ALT</v>
      </c>
      <c r="T343" s="20">
        <f t="shared" si="74"/>
        <v>1</v>
      </c>
      <c r="U343" s="20" t="str">
        <f t="shared" ca="1" si="75"/>
        <v>Realizada</v>
      </c>
      <c r="V343" s="20"/>
      <c r="W343" s="20"/>
      <c r="X343" s="20"/>
      <c r="Y343" s="20"/>
    </row>
    <row r="344" spans="1:25" ht="49.5">
      <c r="A344" s="20">
        <v>429</v>
      </c>
      <c r="B344" s="20" t="str">
        <f t="shared" si="94"/>
        <v>Gestión: Pedagogía del Plan Distrital de Desarrollo</v>
      </c>
      <c r="C344" s="21">
        <f t="shared" si="95"/>
        <v>45426</v>
      </c>
      <c r="D344" s="20" t="str">
        <f t="shared" si="96"/>
        <v>OPDC</v>
      </c>
      <c r="E344" s="20" t="str">
        <f t="shared" si="97"/>
        <v>NO</v>
      </c>
      <c r="F344" s="20" t="str">
        <f t="shared" si="98"/>
        <v>Plan Distrital de Desarrollo</v>
      </c>
      <c r="G344" s="20" t="str">
        <f t="shared" si="99"/>
        <v>Presencial</v>
      </c>
      <c r="H344" s="20" t="str">
        <f t="shared" si="100"/>
        <v>Revisar el componente de pedagogía del PDD con FHI360</v>
      </c>
      <c r="I344" s="20" t="str">
        <f t="shared" si="101"/>
        <v>Gestión Institucional</v>
      </c>
      <c r="J344" s="20" t="str">
        <f t="shared" si="102"/>
        <v>Privado</v>
      </c>
      <c r="K344" s="20">
        <f t="shared" si="103"/>
        <v>0</v>
      </c>
      <c r="L344" s="20" t="str">
        <f t="shared" si="104"/>
        <v>Distrital</v>
      </c>
      <c r="M344" s="20" t="str">
        <f t="shared" si="105"/>
        <v>Distrital</v>
      </c>
      <c r="N344" s="20" t="str">
        <f t="shared" si="106"/>
        <v>Distrital</v>
      </c>
      <c r="O344" s="20" t="str">
        <f t="shared" si="107"/>
        <v>NO</v>
      </c>
      <c r="P344" s="20" t="str">
        <f t="shared" si="108"/>
        <v>Gestión interinstitucional</v>
      </c>
      <c r="Q344" s="20">
        <f t="shared" si="109"/>
        <v>3</v>
      </c>
      <c r="R344" s="20">
        <f t="shared" si="110"/>
        <v>3</v>
      </c>
      <c r="S344" s="20" t="str">
        <f t="shared" si="111"/>
        <v>Propuesta de pedagogía para el Plan Distrital de Desarrollo; Contratación de una consultora en pedagogía; obligaciones contractuales de consultora en pedagogía.</v>
      </c>
      <c r="T344" s="20">
        <f t="shared" si="74"/>
        <v>1</v>
      </c>
      <c r="U344" s="20" t="str">
        <f t="shared" ca="1" si="75"/>
        <v>Realizada</v>
      </c>
      <c r="V344" s="20"/>
      <c r="W344" s="20"/>
      <c r="X344" s="20"/>
      <c r="Y344" s="20"/>
    </row>
    <row r="345" spans="1:25" ht="49.5">
      <c r="A345" s="20">
        <v>430</v>
      </c>
      <c r="B345" s="20" t="str">
        <f t="shared" si="94"/>
        <v>Sesión de Concejo - Formulación PDD - Tarde</v>
      </c>
      <c r="C345" s="21">
        <f t="shared" si="95"/>
        <v>45426</v>
      </c>
      <c r="D345" s="20" t="str">
        <f t="shared" si="96"/>
        <v>OPDC</v>
      </c>
      <c r="E345" s="20" t="str">
        <f t="shared" si="97"/>
        <v>NO</v>
      </c>
      <c r="F345" s="20" t="str">
        <f t="shared" si="98"/>
        <v>Plan Distrital de Desarrollo</v>
      </c>
      <c r="G345" s="20" t="str">
        <f t="shared" si="99"/>
        <v>Presencial</v>
      </c>
      <c r="H345" s="20" t="str">
        <f t="shared" si="100"/>
        <v>Recolectar propuestas ciuadadanas sobre el Plan distrital de Desarrollo, en conrdinación con  la concejala Clara Lucia Sandoval</v>
      </c>
      <c r="I345" s="20" t="str">
        <f t="shared" si="101"/>
        <v>Mecanismo de Diálogo</v>
      </c>
      <c r="J345" s="20" t="str">
        <f t="shared" si="102"/>
        <v>Público</v>
      </c>
      <c r="K345" s="20" t="str">
        <f t="shared" si="103"/>
        <v>Concejo de Bogotá</v>
      </c>
      <c r="L345" s="20" t="str">
        <f t="shared" si="104"/>
        <v>Distrital</v>
      </c>
      <c r="M345" s="20" t="str">
        <f t="shared" si="105"/>
        <v>Distrital</v>
      </c>
      <c r="N345" s="20" t="str">
        <f t="shared" si="106"/>
        <v>Distrital</v>
      </c>
      <c r="O345" s="20" t="str">
        <f t="shared" si="107"/>
        <v>SÍ</v>
      </c>
      <c r="P345" s="20" t="str">
        <f t="shared" si="108"/>
        <v>Fase III: Acuerdos para la Ciudad</v>
      </c>
      <c r="Q345" s="20">
        <f t="shared" si="109"/>
        <v>60</v>
      </c>
      <c r="R345" s="20">
        <f t="shared" si="110"/>
        <v>5</v>
      </c>
      <c r="S345" s="20" t="str">
        <f t="shared" si="111"/>
        <v>Recepción propuestas Plan Districtal de Desarrollo</v>
      </c>
      <c r="T345" s="20">
        <f t="shared" si="74"/>
        <v>1</v>
      </c>
      <c r="U345" s="20" t="str">
        <f t="shared" ca="1" si="75"/>
        <v>Realizada</v>
      </c>
      <c r="V345" s="20"/>
      <c r="W345" s="20"/>
      <c r="X345" s="20"/>
      <c r="Y345" s="20"/>
    </row>
    <row r="346" spans="1:25" ht="49.5">
      <c r="A346" s="20">
        <v>431</v>
      </c>
      <c r="B346" s="20" t="str">
        <f t="shared" si="94"/>
        <v>Reunión vicepresidente del CTPD</v>
      </c>
      <c r="C346" s="21">
        <f t="shared" si="95"/>
        <v>45426</v>
      </c>
      <c r="D346" s="20" t="str">
        <f t="shared" si="96"/>
        <v>INSTANCIAS</v>
      </c>
      <c r="E346" s="20" t="str">
        <f t="shared" si="97"/>
        <v>NO</v>
      </c>
      <c r="F346" s="20" t="str">
        <f t="shared" si="98"/>
        <v>CTPD (Consejo Territorial de Planeación Distrital)</v>
      </c>
      <c r="G346" s="20" t="str">
        <f t="shared" si="99"/>
        <v>Presencial</v>
      </c>
      <c r="H346" s="20" t="str">
        <f t="shared" si="100"/>
        <v>Configurar informe del inventario de todas las propuestas que fueron allegadas el CTPD, en el marco de la revisión del Plan de Desarrollo Distrital.</v>
      </c>
      <c r="I346" s="20" t="str">
        <f t="shared" si="101"/>
        <v>Mecanismo de Seguimiento y Evaluación</v>
      </c>
      <c r="J346" s="20" t="str">
        <f t="shared" si="102"/>
        <v>Comunitario</v>
      </c>
      <c r="K346" s="20" t="str">
        <f t="shared" si="103"/>
        <v>CTPD</v>
      </c>
      <c r="L346" s="20" t="str">
        <f t="shared" si="104"/>
        <v>Distrital</v>
      </c>
      <c r="M346" s="20" t="str">
        <f t="shared" si="105"/>
        <v>Distrital</v>
      </c>
      <c r="N346" s="20" t="str">
        <f t="shared" si="106"/>
        <v>Distrital</v>
      </c>
      <c r="O346" s="20" t="str">
        <f t="shared" si="107"/>
        <v>SÍ</v>
      </c>
      <c r="P346" s="20" t="str">
        <f t="shared" si="108"/>
        <v>Gestión interinstitucional</v>
      </c>
      <c r="Q346" s="20">
        <f t="shared" si="109"/>
        <v>2</v>
      </c>
      <c r="R346" s="20">
        <f t="shared" si="110"/>
        <v>2</v>
      </c>
      <c r="S346" s="20" t="str">
        <f t="shared" si="111"/>
        <v xml:space="preserve"> Informe del inventario de  las propuestas que fueron allegadas el CTPD del Plan Ditrital de Desarrollo</v>
      </c>
      <c r="T346" s="20">
        <f t="shared" si="74"/>
        <v>1</v>
      </c>
      <c r="U346" s="20" t="str">
        <f t="shared" ca="1" si="75"/>
        <v>Realizada</v>
      </c>
      <c r="V346" s="20"/>
      <c r="W346" s="20"/>
      <c r="X346" s="20"/>
      <c r="Y346" s="20"/>
    </row>
    <row r="347" spans="1:25" ht="49.5">
      <c r="A347" s="20">
        <v>432</v>
      </c>
      <c r="B347" s="20" t="str">
        <f t="shared" si="94"/>
        <v>Consultorio PDD - Concejo: Jornada 16- Sector Educación</v>
      </c>
      <c r="C347" s="21">
        <f t="shared" si="95"/>
        <v>45427</v>
      </c>
      <c r="D347" s="20" t="str">
        <f t="shared" si="96"/>
        <v>OPDC</v>
      </c>
      <c r="E347" s="20" t="str">
        <f t="shared" si="97"/>
        <v>NO</v>
      </c>
      <c r="F347" s="20" t="str">
        <f t="shared" si="98"/>
        <v>Plan Distrital de Desarrollo</v>
      </c>
      <c r="G347" s="20" t="str">
        <f t="shared" si="99"/>
        <v>Presencial</v>
      </c>
      <c r="H347" s="20" t="str">
        <f t="shared" si="100"/>
        <v>Atender las inquietudes y/o comentarios provenientes del Concejo de Bogotá frente a la formulación del PDD</v>
      </c>
      <c r="I347" s="20" t="str">
        <f t="shared" si="101"/>
        <v>Mecanismo de Diálogo</v>
      </c>
      <c r="J347" s="20" t="str">
        <f t="shared" si="102"/>
        <v>Público</v>
      </c>
      <c r="K347" s="20" t="str">
        <f t="shared" si="103"/>
        <v>Concejo de Bogotá</v>
      </c>
      <c r="L347" s="20" t="str">
        <f t="shared" si="104"/>
        <v>Distrital</v>
      </c>
      <c r="M347" s="20" t="str">
        <f t="shared" si="105"/>
        <v>Distrital</v>
      </c>
      <c r="N347" s="20" t="str">
        <f t="shared" si="106"/>
        <v>Distrital</v>
      </c>
      <c r="O347" s="20" t="str">
        <f t="shared" si="107"/>
        <v>SÍ</v>
      </c>
      <c r="P347" s="20" t="str">
        <f t="shared" si="108"/>
        <v>Fase III: Acuerdos para la Ciudad</v>
      </c>
      <c r="Q347" s="20">
        <f t="shared" si="109"/>
        <v>0</v>
      </c>
      <c r="R347" s="20">
        <f t="shared" si="110"/>
        <v>3</v>
      </c>
      <c r="S347" s="20" t="str">
        <f t="shared" si="111"/>
        <v>No se trataron temas</v>
      </c>
      <c r="T347" s="20">
        <f t="shared" si="74"/>
        <v>1</v>
      </c>
      <c r="U347" s="20" t="str">
        <f t="shared" ca="1" si="75"/>
        <v>Realizada</v>
      </c>
      <c r="V347" s="20"/>
      <c r="W347" s="20"/>
      <c r="X347" s="20"/>
      <c r="Y347" s="20"/>
    </row>
    <row r="348" spans="1:25" ht="49.5">
      <c r="A348" s="20">
        <v>433</v>
      </c>
      <c r="B348" s="20" t="str">
        <f t="shared" si="94"/>
        <v>Sesión de Concejo - Formulación PDD</v>
      </c>
      <c r="C348" s="21">
        <f t="shared" si="95"/>
        <v>45427</v>
      </c>
      <c r="D348" s="20" t="str">
        <f t="shared" si="96"/>
        <v>OPDC</v>
      </c>
      <c r="E348" s="20" t="str">
        <f t="shared" si="97"/>
        <v>NO</v>
      </c>
      <c r="F348" s="20" t="str">
        <f t="shared" si="98"/>
        <v>Plan Distrital de Desarrollo</v>
      </c>
      <c r="G348" s="20" t="str">
        <f t="shared" si="99"/>
        <v>Presencial</v>
      </c>
      <c r="H348" s="20" t="str">
        <f t="shared" si="100"/>
        <v>Acompañar la discusión del proyecto de acuerdo del Plan Distrital de Desarrollo de cara al proceso de debate para su aprobación en el Concejo Distrital</v>
      </c>
      <c r="I348" s="20" t="str">
        <f t="shared" si="101"/>
        <v>Mecanismo de Diálogo</v>
      </c>
      <c r="J348" s="20" t="str">
        <f t="shared" si="102"/>
        <v>Público</v>
      </c>
      <c r="K348" s="20" t="str">
        <f t="shared" si="103"/>
        <v>Concejo de Bogotá</v>
      </c>
      <c r="L348" s="20" t="str">
        <f t="shared" si="104"/>
        <v>Distrital</v>
      </c>
      <c r="M348" s="20" t="str">
        <f t="shared" si="105"/>
        <v>Distrital</v>
      </c>
      <c r="N348" s="20" t="str">
        <f t="shared" si="106"/>
        <v>Distrital</v>
      </c>
      <c r="O348" s="20" t="str">
        <f t="shared" si="107"/>
        <v>SÍ</v>
      </c>
      <c r="P348" s="20" t="str">
        <f t="shared" si="108"/>
        <v>Fase III: Acuerdos para la Ciudad</v>
      </c>
      <c r="Q348" s="20">
        <f t="shared" si="109"/>
        <v>200</v>
      </c>
      <c r="R348" s="20">
        <f t="shared" si="110"/>
        <v>7</v>
      </c>
      <c r="S348" s="20" t="str">
        <f t="shared" si="111"/>
        <v xml:space="preserve">Inquietudes y/o comentarios  frente a  participación, bienestar, seguridad en la formulación del PDD, </v>
      </c>
      <c r="T348" s="20">
        <f t="shared" si="74"/>
        <v>1</v>
      </c>
      <c r="U348" s="20" t="str">
        <f t="shared" ca="1" si="75"/>
        <v>Realizada</v>
      </c>
      <c r="V348" s="20"/>
      <c r="W348" s="20"/>
      <c r="X348" s="20"/>
      <c r="Y348" s="20"/>
    </row>
    <row r="349" spans="1:25" ht="61.5">
      <c r="A349" s="20">
        <v>434</v>
      </c>
      <c r="B349" s="20" t="str">
        <f t="shared" si="94"/>
        <v>CLIP Kennedy</v>
      </c>
      <c r="C349" s="21">
        <f t="shared" si="95"/>
        <v>45427</v>
      </c>
      <c r="D349" s="20" t="str">
        <f t="shared" si="96"/>
        <v>INSTANCIAS</v>
      </c>
      <c r="E349" s="20" t="str">
        <f t="shared" si="97"/>
        <v>NO</v>
      </c>
      <c r="F349" s="20" t="str">
        <f t="shared" si="98"/>
        <v>CLIP (Comisión Local Intersectorial de Participación)</v>
      </c>
      <c r="G349" s="20" t="str">
        <f t="shared" si="99"/>
        <v>Presencial</v>
      </c>
      <c r="H349" s="20" t="str">
        <f t="shared" si="100"/>
        <v>Acompañar la articulación de los esfuerzos institucionales de participación en la localidad de Kennedy</v>
      </c>
      <c r="I349" s="20" t="str">
        <f t="shared" si="101"/>
        <v>Gestión Institucional</v>
      </c>
      <c r="J349" s="20" t="str">
        <f t="shared" si="102"/>
        <v>Público</v>
      </c>
      <c r="K349" s="20" t="str">
        <f t="shared" si="103"/>
        <v>CLIP</v>
      </c>
      <c r="L349" s="20" t="str">
        <f t="shared" si="104"/>
        <v>Kennedy</v>
      </c>
      <c r="M349" s="20" t="str">
        <f t="shared" si="105"/>
        <v>Suroccidente</v>
      </c>
      <c r="N349" s="20" t="str">
        <f t="shared" si="106"/>
        <v>Kennedy, Tintal, Patio Bonito, Edén, Porvenir, Bosa</v>
      </c>
      <c r="O349" s="20" t="str">
        <f t="shared" si="107"/>
        <v>NO</v>
      </c>
      <c r="P349" s="20" t="str">
        <f t="shared" si="108"/>
        <v>No aplica</v>
      </c>
      <c r="Q349" s="20">
        <f t="shared" si="109"/>
        <v>14</v>
      </c>
      <c r="R349" s="20">
        <f t="shared" si="110"/>
        <v>1</v>
      </c>
      <c r="S349" s="20" t="str">
        <f t="shared" si="111"/>
        <v>Actualiación de instancias, Violencia política a las  mujeres, cierre de encuentros ciudadanos, resultados de propuestas incluidas en la propuesta del PDD y fase II: aspiraciones comunes.</v>
      </c>
      <c r="T349" s="20">
        <f t="shared" si="74"/>
        <v>1</v>
      </c>
      <c r="U349" s="20" t="str">
        <f t="shared" ca="1" si="75"/>
        <v>Realizada</v>
      </c>
      <c r="V349" s="20"/>
      <c r="W349" s="20"/>
      <c r="X349" s="20"/>
      <c r="Y349" s="20"/>
    </row>
    <row r="350" spans="1:25" ht="49.5">
      <c r="A350" s="20">
        <v>437</v>
      </c>
      <c r="B350" s="20" t="str">
        <f t="shared" si="94"/>
        <v>Comisión Poblacional -CTPD</v>
      </c>
      <c r="C350" s="21">
        <f t="shared" si="95"/>
        <v>45427</v>
      </c>
      <c r="D350" s="20" t="str">
        <f t="shared" si="96"/>
        <v>INSTANCIAS</v>
      </c>
      <c r="E350" s="20" t="str">
        <f t="shared" si="97"/>
        <v>NO</v>
      </c>
      <c r="F350" s="20" t="str">
        <f t="shared" si="98"/>
        <v>CTPD (Consejo Territorial de Planeación Distrital)</v>
      </c>
      <c r="G350" s="20" t="str">
        <f t="shared" si="99"/>
        <v>Virtual</v>
      </c>
      <c r="H350" s="20" t="str">
        <f t="shared" si="100"/>
        <v>Revisar el plan de acción de la comisión Poblacional -CTPD</v>
      </c>
      <c r="I350" s="20" t="str">
        <f t="shared" si="101"/>
        <v>Mecanismo de Seguimiento y Evaluación</v>
      </c>
      <c r="J350" s="20" t="str">
        <f t="shared" si="102"/>
        <v>Comunitario</v>
      </c>
      <c r="K350" s="20" t="str">
        <f t="shared" si="103"/>
        <v>CTPD</v>
      </c>
      <c r="L350" s="20" t="str">
        <f t="shared" si="104"/>
        <v>Distrital</v>
      </c>
      <c r="M350" s="20" t="str">
        <f t="shared" si="105"/>
        <v>Distrital</v>
      </c>
      <c r="N350" s="20" t="str">
        <f t="shared" si="106"/>
        <v>Distrital</v>
      </c>
      <c r="O350" s="20" t="str">
        <f t="shared" si="107"/>
        <v>NO</v>
      </c>
      <c r="P350" s="20" t="str">
        <f t="shared" si="108"/>
        <v>No aplica</v>
      </c>
      <c r="Q350" s="20">
        <f t="shared" si="109"/>
        <v>10</v>
      </c>
      <c r="R350" s="20">
        <f t="shared" si="110"/>
        <v>1</v>
      </c>
      <c r="S350" s="20" t="str">
        <f t="shared" si="111"/>
        <v>Capacitación sobre el Plan de Acción</v>
      </c>
      <c r="T350" s="20">
        <f t="shared" si="74"/>
        <v>1</v>
      </c>
      <c r="U350" s="20" t="str">
        <f t="shared" ca="1" si="75"/>
        <v>Realizada</v>
      </c>
      <c r="V350" s="20"/>
      <c r="W350" s="20"/>
      <c r="X350" s="20"/>
      <c r="Y350" s="20"/>
    </row>
    <row r="351" spans="1:25" ht="49.5">
      <c r="A351" s="20">
        <v>439</v>
      </c>
      <c r="B351" s="20" t="str">
        <f t="shared" si="94"/>
        <v>Consultorio PDD - Concejo: Jornada 17- Sector Mujer</v>
      </c>
      <c r="C351" s="21">
        <f t="shared" si="95"/>
        <v>45428</v>
      </c>
      <c r="D351" s="20" t="str">
        <f t="shared" si="96"/>
        <v>OPDC</v>
      </c>
      <c r="E351" s="20" t="str">
        <f t="shared" si="97"/>
        <v>NO</v>
      </c>
      <c r="F351" s="20" t="str">
        <f t="shared" si="98"/>
        <v>Plan Distrital de Desarrollo</v>
      </c>
      <c r="G351" s="20" t="str">
        <f t="shared" si="99"/>
        <v>Presencial</v>
      </c>
      <c r="H351" s="20" t="str">
        <f t="shared" si="100"/>
        <v>Atender las inquietudes y/o comentarios provenientes del Concejo de Bogotá frente a la formulación del PDD</v>
      </c>
      <c r="I351" s="20" t="str">
        <f t="shared" si="101"/>
        <v>Mecanismo de Diálogo</v>
      </c>
      <c r="J351" s="20" t="str">
        <f t="shared" si="102"/>
        <v>Público</v>
      </c>
      <c r="K351" s="20" t="str">
        <f t="shared" si="103"/>
        <v>Concejo de Bogotá</v>
      </c>
      <c r="L351" s="20" t="str">
        <f t="shared" si="104"/>
        <v>Distrital</v>
      </c>
      <c r="M351" s="20" t="str">
        <f t="shared" si="105"/>
        <v>Distrital</v>
      </c>
      <c r="N351" s="20" t="str">
        <f t="shared" si="106"/>
        <v>Distrital</v>
      </c>
      <c r="O351" s="20" t="str">
        <f t="shared" si="107"/>
        <v>SÍ</v>
      </c>
      <c r="P351" s="20" t="str">
        <f t="shared" si="108"/>
        <v>Fase III: Acuerdos para la Ciudad</v>
      </c>
      <c r="Q351" s="20">
        <f t="shared" si="109"/>
        <v>6</v>
      </c>
      <c r="R351" s="20">
        <f t="shared" si="110"/>
        <v>4</v>
      </c>
      <c r="S351" s="20" t="str">
        <f t="shared" si="111"/>
        <v>No se trataron temas</v>
      </c>
      <c r="T351" s="20">
        <f t="shared" si="74"/>
        <v>1</v>
      </c>
      <c r="U351" s="20" t="str">
        <f t="shared" ca="1" si="75"/>
        <v>Realizada</v>
      </c>
      <c r="V351" s="20"/>
      <c r="W351" s="20"/>
      <c r="X351" s="20"/>
      <c r="Y351" s="20"/>
    </row>
    <row r="352" spans="1:25" ht="49.5">
      <c r="A352" s="20">
        <v>441</v>
      </c>
      <c r="B352" s="20" t="str">
        <f t="shared" si="94"/>
        <v>Consultorio PDD - Concejo: Jornada 18- Sector Gestión Pública</v>
      </c>
      <c r="C352" s="21">
        <f t="shared" si="95"/>
        <v>45428</v>
      </c>
      <c r="D352" s="20" t="str">
        <f t="shared" si="96"/>
        <v>OPDC</v>
      </c>
      <c r="E352" s="20" t="str">
        <f t="shared" si="97"/>
        <v>NO</v>
      </c>
      <c r="F352" s="20" t="str">
        <f t="shared" si="98"/>
        <v>Plan Distrital de Desarrollo</v>
      </c>
      <c r="G352" s="20" t="str">
        <f t="shared" si="99"/>
        <v>Presencial</v>
      </c>
      <c r="H352" s="20" t="str">
        <f t="shared" si="100"/>
        <v>Atender las inquietudes y/o comentarios provenientes del Concejo de Bogotá frente a la formulación del PDD</v>
      </c>
      <c r="I352" s="20" t="str">
        <f t="shared" si="101"/>
        <v>Mecanismo de Diálogo</v>
      </c>
      <c r="J352" s="20" t="str">
        <f t="shared" si="102"/>
        <v>Público</v>
      </c>
      <c r="K352" s="20" t="str">
        <f t="shared" si="103"/>
        <v>Concejo de Bogotá</v>
      </c>
      <c r="L352" s="20" t="str">
        <f t="shared" si="104"/>
        <v>Distrital</v>
      </c>
      <c r="M352" s="20" t="str">
        <f t="shared" si="105"/>
        <v>Distrital</v>
      </c>
      <c r="N352" s="20" t="str">
        <f t="shared" si="106"/>
        <v>Distrital</v>
      </c>
      <c r="O352" s="20" t="str">
        <f t="shared" si="107"/>
        <v>SÍ</v>
      </c>
      <c r="P352" s="20" t="str">
        <f t="shared" si="108"/>
        <v>Fase III: Acuerdos para la Ciudad</v>
      </c>
      <c r="Q352" s="20">
        <f t="shared" si="109"/>
        <v>6</v>
      </c>
      <c r="R352" s="20">
        <f t="shared" si="110"/>
        <v>4</v>
      </c>
      <c r="S352" s="20" t="str">
        <f t="shared" si="111"/>
        <v>No se trataron temas</v>
      </c>
      <c r="T352" s="20">
        <f t="shared" si="74"/>
        <v>1</v>
      </c>
      <c r="U352" s="20" t="str">
        <f t="shared" ca="1" si="75"/>
        <v>Realizada</v>
      </c>
      <c r="V352" s="20"/>
      <c r="W352" s="20"/>
      <c r="X352" s="20"/>
      <c r="Y352" s="20"/>
    </row>
    <row r="353" spans="1:25" ht="61.5">
      <c r="A353" s="20">
        <v>443</v>
      </c>
      <c r="B353" s="20" t="str">
        <f t="shared" si="94"/>
        <v>Sesión Extraordinaria Comisión Desarrollo Regional - CTPD</v>
      </c>
      <c r="C353" s="21">
        <f t="shared" si="95"/>
        <v>45428</v>
      </c>
      <c r="D353" s="20" t="str">
        <f t="shared" si="96"/>
        <v>INSTANCIAS</v>
      </c>
      <c r="E353" s="20" t="str">
        <f t="shared" si="97"/>
        <v>NO</v>
      </c>
      <c r="F353" s="20" t="str">
        <f t="shared" si="98"/>
        <v>CTPD (Consejo Territorial de Planeación Distrital)</v>
      </c>
      <c r="G353" s="20" t="str">
        <f t="shared" si="99"/>
        <v>Virtual</v>
      </c>
      <c r="H353" s="20" t="str">
        <f t="shared" si="100"/>
        <v xml:space="preserve">Socializar y plantear las propuestas para el complemento del Plan de Acción 2024 de la Comisión de Desarrollo Regional del CTPD.
</v>
      </c>
      <c r="I353" s="20" t="str">
        <f t="shared" si="101"/>
        <v>Mecanismo de Seguimiento y Evaluación</v>
      </c>
      <c r="J353" s="20" t="str">
        <f t="shared" si="102"/>
        <v>Comunitario</v>
      </c>
      <c r="K353" s="20" t="str">
        <f t="shared" si="103"/>
        <v>CTPD</v>
      </c>
      <c r="L353" s="20" t="str">
        <f t="shared" si="104"/>
        <v>Distrital</v>
      </c>
      <c r="M353" s="20" t="str">
        <f t="shared" si="105"/>
        <v>Distrital</v>
      </c>
      <c r="N353" s="20" t="str">
        <f t="shared" si="106"/>
        <v>Distrital</v>
      </c>
      <c r="O353" s="20" t="str">
        <f t="shared" si="107"/>
        <v>NO</v>
      </c>
      <c r="P353" s="20" t="str">
        <f t="shared" si="108"/>
        <v>No aplica</v>
      </c>
      <c r="Q353" s="20">
        <f t="shared" si="109"/>
        <v>9</v>
      </c>
      <c r="R353" s="20">
        <f t="shared" si="110"/>
        <v>1</v>
      </c>
      <c r="S353" s="20" t="str">
        <f t="shared" si="111"/>
        <v>Plan de Acción 2024 Comisión Desarrollo Regional - CTPD</v>
      </c>
      <c r="T353" s="20">
        <f t="shared" si="74"/>
        <v>1</v>
      </c>
      <c r="U353" s="20" t="str">
        <f t="shared" ca="1" si="75"/>
        <v>Realizada</v>
      </c>
      <c r="V353" s="20"/>
      <c r="W353" s="20"/>
      <c r="X353" s="20"/>
      <c r="Y353" s="20"/>
    </row>
    <row r="354" spans="1:25" ht="61.5">
      <c r="A354" s="20">
        <v>444</v>
      </c>
      <c r="B354" s="20" t="str">
        <f t="shared" si="94"/>
        <v>Plan de trabajo Sistema de Participación Territorial con Pueblo Muisca de Suba y Bosa</v>
      </c>
      <c r="C354" s="21">
        <f t="shared" si="95"/>
        <v>45428</v>
      </c>
      <c r="D354" s="20" t="str">
        <f t="shared" si="96"/>
        <v>OPDC</v>
      </c>
      <c r="E354" s="20" t="str">
        <f t="shared" si="97"/>
        <v>SÍ</v>
      </c>
      <c r="F354" s="20" t="str">
        <f t="shared" si="98"/>
        <v>Sistema de Sitios Sagrados Muyscas</v>
      </c>
      <c r="G354" s="20" t="str">
        <f t="shared" si="99"/>
        <v>Presencial</v>
      </c>
      <c r="H354" s="20" t="str">
        <f t="shared" si="100"/>
        <v>Elaborar plan de trabajo para seguimiento al Sistema de Sitios Sagrados Muisca a través del espacio especializado del Sistema de Participación Territorial.</v>
      </c>
      <c r="I354" s="20" t="str">
        <f t="shared" si="101"/>
        <v>Mecanismo de Seguimiento y Evaluación</v>
      </c>
      <c r="J354" s="20" t="str">
        <f t="shared" si="102"/>
        <v>Multiactor</v>
      </c>
      <c r="K354" s="20">
        <f t="shared" si="103"/>
        <v>0</v>
      </c>
      <c r="L354" s="20" t="str">
        <f t="shared" si="104"/>
        <v>Suba, Bosa</v>
      </c>
      <c r="M354" s="20" t="str">
        <f t="shared" si="105"/>
        <v>Noroccidente, Norte, Suroccidente</v>
      </c>
      <c r="N354" s="20" t="str">
        <f t="shared" si="106"/>
        <v>Suba, Suba Rincón, Tibabuyes, Niza, Torca, Bosa, Porvenir</v>
      </c>
      <c r="O354" s="20" t="str">
        <f t="shared" si="107"/>
        <v>NO</v>
      </c>
      <c r="P354" s="20" t="str">
        <f t="shared" si="108"/>
        <v>No aplica</v>
      </c>
      <c r="Q354" s="20">
        <f t="shared" si="109"/>
        <v>14</v>
      </c>
      <c r="R354" s="20">
        <f t="shared" si="110"/>
        <v>7</v>
      </c>
      <c r="S354" s="20" t="str">
        <f t="shared" si="111"/>
        <v xml:space="preserve">Plan de acción SPT; sistema de sitios sagrados Muisca; </v>
      </c>
      <c r="T354" s="20">
        <f t="shared" si="74"/>
        <v>1</v>
      </c>
      <c r="U354" s="20" t="str">
        <f t="shared" ca="1" si="75"/>
        <v>Realizada</v>
      </c>
      <c r="V354" s="20"/>
      <c r="W354" s="20"/>
      <c r="X354" s="20"/>
      <c r="Y354" s="20"/>
    </row>
    <row r="355" spans="1:25" ht="61.5">
      <c r="A355" s="20">
        <v>446</v>
      </c>
      <c r="B355" s="20" t="str">
        <f t="shared" si="94"/>
        <v>Plenaria permanente CTPD</v>
      </c>
      <c r="C355" s="21">
        <f t="shared" si="95"/>
        <v>45428</v>
      </c>
      <c r="D355" s="20" t="str">
        <f t="shared" si="96"/>
        <v>INSTANCIAS</v>
      </c>
      <c r="E355" s="20" t="str">
        <f t="shared" si="97"/>
        <v>NO</v>
      </c>
      <c r="F355" s="20" t="str">
        <f t="shared" si="98"/>
        <v>CTPD (Consejo Territorial de Planeación Distrital)</v>
      </c>
      <c r="G355" s="20" t="str">
        <f t="shared" si="99"/>
        <v>Virtual</v>
      </c>
      <c r="H355" s="20" t="str">
        <f t="shared" si="100"/>
        <v>Dar continuidad al orden el dia aprobado en la plenaria ordinaria del 25 de abril</v>
      </c>
      <c r="I355" s="20" t="str">
        <f t="shared" si="101"/>
        <v>Mecanismo de Seguimiento y Evaluación</v>
      </c>
      <c r="J355" s="20" t="str">
        <f t="shared" si="102"/>
        <v>Comunitario</v>
      </c>
      <c r="K355" s="20" t="str">
        <f t="shared" si="103"/>
        <v>CTPD</v>
      </c>
      <c r="L355" s="20" t="str">
        <f t="shared" si="104"/>
        <v>Distrital</v>
      </c>
      <c r="M355" s="20" t="str">
        <f t="shared" si="105"/>
        <v>Distrital</v>
      </c>
      <c r="N355" s="20" t="str">
        <f t="shared" si="106"/>
        <v>Distrital</v>
      </c>
      <c r="O355" s="20" t="str">
        <f t="shared" si="107"/>
        <v>NO</v>
      </c>
      <c r="P355" s="20" t="str">
        <f t="shared" si="108"/>
        <v>No aplica</v>
      </c>
      <c r="Q355" s="20">
        <f t="shared" si="109"/>
        <v>59</v>
      </c>
      <c r="R355" s="20">
        <f t="shared" si="110"/>
        <v>2</v>
      </c>
      <c r="S355" s="20" t="str">
        <f t="shared" si="111"/>
        <v>Terminar con el orden del dia de la plenaria ordinaria del 25 de abril, donde se debatieron temas como las recargas de celulares y la actualización de las actividades del plan de acción 2024</v>
      </c>
      <c r="T355" s="20">
        <f t="shared" si="74"/>
        <v>1</v>
      </c>
      <c r="U355" s="20" t="str">
        <f t="shared" ca="1" si="75"/>
        <v>Realizada</v>
      </c>
      <c r="V355" s="20"/>
      <c r="W355" s="20"/>
      <c r="X355" s="20"/>
      <c r="Y355" s="20"/>
    </row>
    <row r="356" spans="1:25" ht="49.5">
      <c r="A356" s="20">
        <v>447</v>
      </c>
      <c r="B356" s="20" t="str">
        <f t="shared" si="94"/>
        <v>Acompañamiento a Presentación Formulación Actuación Estratégica Calle 72</v>
      </c>
      <c r="C356" s="21">
        <f t="shared" si="95"/>
        <v>45429</v>
      </c>
      <c r="D356" s="20" t="str">
        <f t="shared" si="96"/>
        <v>OPDC</v>
      </c>
      <c r="E356" s="20" t="str">
        <f t="shared" si="97"/>
        <v>SÍ</v>
      </c>
      <c r="F356" s="20" t="str">
        <f t="shared" si="98"/>
        <v>Formulación de Actuaciones Estratégicas</v>
      </c>
      <c r="G356" s="20" t="str">
        <f t="shared" si="99"/>
        <v>Virtual</v>
      </c>
      <c r="H356" s="20" t="str">
        <f t="shared" si="100"/>
        <v>Acompañar  la sesión donde se va a Presentar  la AE  Calle 72 y Establecer enlaces con enfoque diferencial</v>
      </c>
      <c r="I356" s="20" t="str">
        <f t="shared" si="101"/>
        <v>Mecanismo de Comunicación para la Participación</v>
      </c>
      <c r="J356" s="20" t="str">
        <f t="shared" si="102"/>
        <v>Multiactor</v>
      </c>
      <c r="K356" s="20">
        <f t="shared" si="103"/>
        <v>0</v>
      </c>
      <c r="L356" s="20" t="str">
        <f t="shared" si="104"/>
        <v>Barrios Unidos</v>
      </c>
      <c r="M356" s="20" t="str">
        <f t="shared" si="105"/>
        <v>Centro Ampliado</v>
      </c>
      <c r="N356" s="20" t="str">
        <f t="shared" si="106"/>
        <v>Barrios Unidos</v>
      </c>
      <c r="O356" s="20" t="str">
        <f t="shared" si="107"/>
        <v>NO</v>
      </c>
      <c r="P356" s="20" t="str">
        <f t="shared" si="108"/>
        <v>No aplica</v>
      </c>
      <c r="Q356" s="20">
        <f t="shared" si="109"/>
        <v>14</v>
      </c>
      <c r="R356" s="20">
        <f t="shared" si="110"/>
        <v>1</v>
      </c>
      <c r="S356" s="20" t="str">
        <f t="shared" si="111"/>
        <v xml:space="preserve"> AE Calle 72 - descripción, vocación y zona de intervención del polígono.</v>
      </c>
      <c r="T356" s="20">
        <f t="shared" si="74"/>
        <v>1</v>
      </c>
      <c r="U356" s="20" t="str">
        <f t="shared" ca="1" si="75"/>
        <v>Realizada</v>
      </c>
      <c r="V356" s="20"/>
      <c r="W356" s="20"/>
      <c r="X356" s="20"/>
      <c r="Y356" s="20"/>
    </row>
    <row r="357" spans="1:25" ht="37.5">
      <c r="A357" s="20">
        <v>449</v>
      </c>
      <c r="B357" s="20" t="str">
        <f t="shared" si="94"/>
        <v>Primera sesión de la Subcomisión Permanente del Sistema de Participación Territorial</v>
      </c>
      <c r="C357" s="21">
        <f t="shared" si="95"/>
        <v>45429</v>
      </c>
      <c r="D357" s="20" t="str">
        <f t="shared" si="96"/>
        <v>OPDC</v>
      </c>
      <c r="E357" s="20" t="str">
        <f t="shared" si="97"/>
        <v>NO</v>
      </c>
      <c r="F357" s="20" t="str">
        <f t="shared" si="98"/>
        <v>Sistema de Participación Territorial</v>
      </c>
      <c r="G357" s="20" t="str">
        <f t="shared" si="99"/>
        <v>Presencial</v>
      </c>
      <c r="H357" s="20" t="str">
        <f t="shared" si="100"/>
        <v>Aprobar el Plan Operativo Anual de la vigencia 2024 del Sistema de Participación Territorial</v>
      </c>
      <c r="I357" s="20" t="str">
        <f t="shared" si="101"/>
        <v>Gestión Institucional</v>
      </c>
      <c r="J357" s="20" t="str">
        <f t="shared" si="102"/>
        <v>Público</v>
      </c>
      <c r="K357" s="20" t="str">
        <f t="shared" si="103"/>
        <v>Servidores públicos (Distrital)</v>
      </c>
      <c r="L357" s="20" t="str">
        <f t="shared" si="104"/>
        <v>Distrital</v>
      </c>
      <c r="M357" s="20" t="str">
        <f t="shared" si="105"/>
        <v>Distrital</v>
      </c>
      <c r="N357" s="20" t="str">
        <f t="shared" si="106"/>
        <v>Distrital</v>
      </c>
      <c r="O357" s="20" t="str">
        <f t="shared" si="107"/>
        <v>NO</v>
      </c>
      <c r="P357" s="20" t="str">
        <f t="shared" si="108"/>
        <v>No aplica</v>
      </c>
      <c r="Q357" s="20">
        <f t="shared" si="109"/>
        <v>15</v>
      </c>
      <c r="R357" s="20">
        <f t="shared" si="110"/>
        <v>11</v>
      </c>
      <c r="S357" s="20" t="str">
        <f t="shared" si="111"/>
        <v>Contenidos del Sistema según el Decreto 599 de 2023; Estados de los planes de acción 2024; Proceso operativo de reportes trimestrales</v>
      </c>
      <c r="T357" s="20">
        <f t="shared" si="74"/>
        <v>1</v>
      </c>
      <c r="U357" s="20" t="str">
        <f t="shared" ca="1" si="75"/>
        <v>Realizada</v>
      </c>
      <c r="V357" s="20"/>
      <c r="W357" s="20"/>
      <c r="X357" s="20"/>
      <c r="Y357" s="20"/>
    </row>
    <row r="358" spans="1:25" ht="37.5">
      <c r="A358" s="20">
        <v>451</v>
      </c>
      <c r="B358" s="20" t="str">
        <f t="shared" si="94"/>
        <v>Gestión: Reunión preparatoria acción afirmativa con Comunidad Raizal</v>
      </c>
      <c r="C358" s="21">
        <f t="shared" si="95"/>
        <v>45429</v>
      </c>
      <c r="D358" s="20" t="str">
        <f t="shared" si="96"/>
        <v>OPDC</v>
      </c>
      <c r="E358" s="20" t="str">
        <f t="shared" si="97"/>
        <v>NO</v>
      </c>
      <c r="F358" s="20" t="str">
        <f t="shared" si="98"/>
        <v>Políticas Públicas</v>
      </c>
      <c r="G358" s="20" t="str">
        <f t="shared" si="99"/>
        <v>Virtual</v>
      </c>
      <c r="H358" s="20" t="str">
        <f t="shared" si="100"/>
        <v xml:space="preserve">Realizar reunión preparatoria para la actividad de acción afirmativa con la Comunidad Raizal. </v>
      </c>
      <c r="I358" s="20" t="str">
        <f t="shared" si="101"/>
        <v>Gestión Institucional</v>
      </c>
      <c r="J358" s="20" t="str">
        <f t="shared" si="102"/>
        <v>Público</v>
      </c>
      <c r="K358" s="20">
        <f t="shared" si="103"/>
        <v>0</v>
      </c>
      <c r="L358" s="20" t="str">
        <f t="shared" si="104"/>
        <v>Distrital</v>
      </c>
      <c r="M358" s="20" t="str">
        <f t="shared" si="105"/>
        <v>Distrital</v>
      </c>
      <c r="N358" s="20" t="str">
        <f t="shared" si="106"/>
        <v>Distrital</v>
      </c>
      <c r="O358" s="20" t="str">
        <f t="shared" si="107"/>
        <v>NO</v>
      </c>
      <c r="P358" s="20" t="str">
        <f t="shared" si="108"/>
        <v>No aplica</v>
      </c>
      <c r="Q358" s="20">
        <f t="shared" si="109"/>
        <v>1</v>
      </c>
      <c r="R358" s="20">
        <f t="shared" si="110"/>
        <v>2</v>
      </c>
      <c r="S358" s="20" t="str">
        <f t="shared" si="111"/>
        <v>Acción afirmativa; Comunidad Raizal; Política Pública de Comunidad Raizal</v>
      </c>
      <c r="T358" s="20">
        <f t="shared" si="74"/>
        <v>1</v>
      </c>
      <c r="U358" s="20" t="str">
        <f t="shared" ca="1" si="75"/>
        <v>Realizada</v>
      </c>
      <c r="V358" s="20"/>
      <c r="W358" s="20"/>
      <c r="X358" s="20"/>
      <c r="Y358" s="20"/>
    </row>
    <row r="359" spans="1:25" ht="49.5">
      <c r="A359" s="20">
        <v>452</v>
      </c>
      <c r="B359" s="20" t="str">
        <f t="shared" si="94"/>
        <v>Comisón POT del CTPD</v>
      </c>
      <c r="C359" s="21">
        <f t="shared" si="95"/>
        <v>45429</v>
      </c>
      <c r="D359" s="20" t="str">
        <f t="shared" si="96"/>
        <v>INSTANCIAS</v>
      </c>
      <c r="E359" s="20" t="str">
        <f t="shared" si="97"/>
        <v>NO</v>
      </c>
      <c r="F359" s="20" t="str">
        <f t="shared" si="98"/>
        <v>CTPD (Consejo Territorial de Planeación Distrital)</v>
      </c>
      <c r="G359" s="20" t="str">
        <f t="shared" si="99"/>
        <v>Virtual</v>
      </c>
      <c r="H359" s="20" t="str">
        <f t="shared" si="100"/>
        <v xml:space="preserve">Socializar el Plan de Acción 2024 de la Comisión POT </v>
      </c>
      <c r="I359" s="20" t="str">
        <f t="shared" si="101"/>
        <v>Mecanismo de Seguimiento y Evaluación</v>
      </c>
      <c r="J359" s="20" t="str">
        <f t="shared" si="102"/>
        <v>Comunitario</v>
      </c>
      <c r="K359" s="20" t="str">
        <f t="shared" si="103"/>
        <v>CTPD</v>
      </c>
      <c r="L359" s="20" t="str">
        <f t="shared" si="104"/>
        <v>Distrital</v>
      </c>
      <c r="M359" s="20" t="str">
        <f t="shared" si="105"/>
        <v>Distrital</v>
      </c>
      <c r="N359" s="20" t="str">
        <f t="shared" si="106"/>
        <v>Distrital</v>
      </c>
      <c r="O359" s="20" t="str">
        <f t="shared" si="107"/>
        <v>NO</v>
      </c>
      <c r="P359" s="20" t="str">
        <f t="shared" si="108"/>
        <v>No aplica</v>
      </c>
      <c r="Q359" s="20">
        <f t="shared" si="109"/>
        <v>9</v>
      </c>
      <c r="R359" s="20">
        <f t="shared" si="110"/>
        <v>1</v>
      </c>
      <c r="S359" s="20" t="str">
        <f t="shared" si="111"/>
        <v xml:space="preserve">Metodología para la construcción del plan de acción de la comisión </v>
      </c>
      <c r="T359" s="20">
        <f t="shared" si="74"/>
        <v>1</v>
      </c>
      <c r="U359" s="20" t="str">
        <f t="shared" ca="1" si="75"/>
        <v>Realizada</v>
      </c>
      <c r="V359" s="20"/>
      <c r="W359" s="20"/>
      <c r="X359" s="20"/>
      <c r="Y359" s="20"/>
    </row>
    <row r="360" spans="1:25" ht="37.5">
      <c r="A360" s="20">
        <v>454</v>
      </c>
      <c r="B360" s="20" t="str">
        <f t="shared" si="94"/>
        <v>Mesa de trabajo AEDA</v>
      </c>
      <c r="C360" s="21">
        <f t="shared" si="95"/>
        <v>45430</v>
      </c>
      <c r="D360" s="20" t="str">
        <f t="shared" si="96"/>
        <v>OPDC</v>
      </c>
      <c r="E360" s="20" t="str">
        <f t="shared" si="97"/>
        <v>SÍ</v>
      </c>
      <c r="F360" s="20" t="str">
        <f t="shared" si="98"/>
        <v>Formulación de Actuaciones Estratégicas</v>
      </c>
      <c r="G360" s="20" t="str">
        <f t="shared" si="99"/>
        <v>Presencial</v>
      </c>
      <c r="H360" s="20" t="str">
        <f t="shared" si="100"/>
        <v>Revisar la adopción de la AEDA</v>
      </c>
      <c r="I360" s="20" t="str">
        <f t="shared" si="101"/>
        <v>Mecanismo de Diálogo</v>
      </c>
      <c r="J360" s="20" t="str">
        <f t="shared" si="102"/>
        <v>Público</v>
      </c>
      <c r="K360" s="20" t="str">
        <f t="shared" si="103"/>
        <v>Gobierno Nacional</v>
      </c>
      <c r="L360" s="20" t="str">
        <f t="shared" si="104"/>
        <v>Engativá, Fontibón</v>
      </c>
      <c r="M360" s="20" t="str">
        <f t="shared" si="105"/>
        <v>Occidente</v>
      </c>
      <c r="N360" s="20" t="str">
        <f t="shared" si="106"/>
        <v>Engativá, Tabora, Salitre, Fontibón</v>
      </c>
      <c r="O360" s="20" t="str">
        <f t="shared" si="107"/>
        <v>NO</v>
      </c>
      <c r="P360" s="20" t="str">
        <f t="shared" si="108"/>
        <v>No aplica</v>
      </c>
      <c r="Q360" s="20">
        <f t="shared" si="109"/>
        <v>39</v>
      </c>
      <c r="R360" s="20">
        <f t="shared" si="110"/>
        <v>4</v>
      </c>
      <c r="S360" s="20" t="str">
        <f t="shared" si="111"/>
        <v>Respuesta a cuestionario enviado por Senador David Luna</v>
      </c>
      <c r="T360" s="20">
        <f t="shared" si="74"/>
        <v>1</v>
      </c>
      <c r="U360" s="20" t="str">
        <f t="shared" ca="1" si="75"/>
        <v>Realizada</v>
      </c>
      <c r="V360" s="20"/>
      <c r="W360" s="20"/>
      <c r="X360" s="20"/>
      <c r="Y360" s="20"/>
    </row>
    <row r="361" spans="1:25" ht="49.5">
      <c r="A361" s="20">
        <v>455</v>
      </c>
      <c r="B361" s="20" t="str">
        <f t="shared" si="94"/>
        <v>Comisión Poblacional -CTPD</v>
      </c>
      <c r="C361" s="21">
        <f t="shared" si="95"/>
        <v>45430</v>
      </c>
      <c r="D361" s="20" t="str">
        <f t="shared" si="96"/>
        <v>INSTANCIAS</v>
      </c>
      <c r="E361" s="20" t="str">
        <f t="shared" si="97"/>
        <v>NO</v>
      </c>
      <c r="F361" s="20" t="str">
        <f t="shared" si="98"/>
        <v>CTPD (Consejo Territorial de Planeación Distrital)</v>
      </c>
      <c r="G361" s="20" t="str">
        <f t="shared" si="99"/>
        <v>Virtual</v>
      </c>
      <c r="H361" s="20" t="str">
        <f t="shared" si="100"/>
        <v>Capacitar el Plan de Acción Comisión Poblacional</v>
      </c>
      <c r="I361" s="20" t="str">
        <f t="shared" si="101"/>
        <v>Mecanismo de Seguimiento y Evaluación</v>
      </c>
      <c r="J361" s="20" t="str">
        <f t="shared" si="102"/>
        <v>Comunitario</v>
      </c>
      <c r="K361" s="20" t="str">
        <f t="shared" si="103"/>
        <v>CTPD</v>
      </c>
      <c r="L361" s="20" t="str">
        <f t="shared" si="104"/>
        <v>Distrital</v>
      </c>
      <c r="M361" s="20" t="str">
        <f t="shared" si="105"/>
        <v>Distrital</v>
      </c>
      <c r="N361" s="20" t="str">
        <f t="shared" si="106"/>
        <v>Distrital</v>
      </c>
      <c r="O361" s="20" t="str">
        <f t="shared" si="107"/>
        <v>NO</v>
      </c>
      <c r="P361" s="20" t="str">
        <f t="shared" si="108"/>
        <v>No aplica</v>
      </c>
      <c r="Q361" s="20">
        <f t="shared" si="109"/>
        <v>12</v>
      </c>
      <c r="R361" s="20">
        <f t="shared" si="110"/>
        <v>1</v>
      </c>
      <c r="S361" s="20" t="str">
        <f t="shared" si="111"/>
        <v>Plan de Acción a cargo de la UNAD, Plan de Acción de la Comisión que será presentado en Plenaria</v>
      </c>
      <c r="T361" s="20">
        <f t="shared" si="74"/>
        <v>1</v>
      </c>
      <c r="U361" s="20" t="str">
        <f t="shared" ca="1" si="75"/>
        <v>Realizada</v>
      </c>
      <c r="V361" s="20"/>
      <c r="W361" s="20"/>
      <c r="X361" s="20"/>
      <c r="Y361" s="20"/>
    </row>
    <row r="362" spans="1:25" ht="49.5">
      <c r="A362" s="20">
        <v>456</v>
      </c>
      <c r="B362" s="20" t="str">
        <f t="shared" si="94"/>
        <v>Sesión de Concejo - Formulación PDD</v>
      </c>
      <c r="C362" s="21">
        <f t="shared" si="95"/>
        <v>45432</v>
      </c>
      <c r="D362" s="20" t="str">
        <f t="shared" si="96"/>
        <v>OPDC</v>
      </c>
      <c r="E362" s="20" t="str">
        <f t="shared" si="97"/>
        <v>NO</v>
      </c>
      <c r="F362" s="20" t="str">
        <f t="shared" si="98"/>
        <v>Plan Distrital de Desarrollo</v>
      </c>
      <c r="G362" s="20" t="str">
        <f t="shared" si="99"/>
        <v>Presencial</v>
      </c>
      <c r="H362" s="20" t="str">
        <f t="shared" si="100"/>
        <v>Acompañar la discusión del proyecto de acuerdo del Plan Distrital de Desarrollo de cara al proceso de debate para su aprobación en el Concejo Distrital</v>
      </c>
      <c r="I362" s="20" t="str">
        <f t="shared" si="101"/>
        <v>Mecanismo de Diálogo</v>
      </c>
      <c r="J362" s="20" t="str">
        <f t="shared" si="102"/>
        <v>Público</v>
      </c>
      <c r="K362" s="20" t="str">
        <f t="shared" si="103"/>
        <v>Concejo de Bogotá</v>
      </c>
      <c r="L362" s="20" t="str">
        <f t="shared" si="104"/>
        <v>Distrital</v>
      </c>
      <c r="M362" s="20" t="str">
        <f t="shared" si="105"/>
        <v>Distrital</v>
      </c>
      <c r="N362" s="20" t="str">
        <f t="shared" si="106"/>
        <v>Distrital</v>
      </c>
      <c r="O362" s="20" t="str">
        <f t="shared" si="107"/>
        <v>SÍ</v>
      </c>
      <c r="P362" s="20" t="str">
        <f t="shared" si="108"/>
        <v>Fase III: Acuerdos para la Ciudad</v>
      </c>
      <c r="Q362" s="20">
        <f t="shared" si="109"/>
        <v>144</v>
      </c>
      <c r="R362" s="20">
        <f t="shared" si="110"/>
        <v>7</v>
      </c>
      <c r="S362" s="20" t="str">
        <f t="shared" si="111"/>
        <v>Objetivos proyecto de acuerdo PDD , Financiamiento PDD</v>
      </c>
      <c r="T362" s="20">
        <f t="shared" si="74"/>
        <v>1</v>
      </c>
      <c r="U362" s="20" t="str">
        <f t="shared" ca="1" si="75"/>
        <v>Realizada</v>
      </c>
      <c r="V362" s="20"/>
      <c r="W362" s="20"/>
      <c r="X362" s="20"/>
      <c r="Y362" s="20"/>
    </row>
    <row r="363" spans="1:25" ht="49.5">
      <c r="A363" s="20">
        <v>458</v>
      </c>
      <c r="B363" s="20" t="str">
        <f t="shared" si="94"/>
        <v>Comisión de Participación- CTPD</v>
      </c>
      <c r="C363" s="21">
        <f t="shared" si="95"/>
        <v>45432</v>
      </c>
      <c r="D363" s="20" t="str">
        <f t="shared" si="96"/>
        <v>INSTANCIAS</v>
      </c>
      <c r="E363" s="20" t="str">
        <f t="shared" si="97"/>
        <v>NO</v>
      </c>
      <c r="F363" s="20" t="str">
        <f t="shared" si="98"/>
        <v>CTPD (Consejo Territorial de Planeación Distrital)</v>
      </c>
      <c r="G363" s="20" t="str">
        <f t="shared" si="99"/>
        <v>Virtual</v>
      </c>
      <c r="H363" s="20" t="str">
        <f t="shared" si="100"/>
        <v>Revisar el Plan de Acción de la Comisión de participación</v>
      </c>
      <c r="I363" s="20" t="str">
        <f t="shared" si="101"/>
        <v>Mecanismo de Diálogo</v>
      </c>
      <c r="J363" s="20" t="str">
        <f t="shared" si="102"/>
        <v>Comunitario</v>
      </c>
      <c r="K363" s="20" t="str">
        <f t="shared" si="103"/>
        <v>CTPD</v>
      </c>
      <c r="L363" s="20" t="str">
        <f t="shared" si="104"/>
        <v>Distrital</v>
      </c>
      <c r="M363" s="20" t="str">
        <f t="shared" si="105"/>
        <v>Distrital</v>
      </c>
      <c r="N363" s="20" t="str">
        <f t="shared" si="106"/>
        <v>Distrital</v>
      </c>
      <c r="O363" s="20" t="str">
        <f t="shared" si="107"/>
        <v>NO</v>
      </c>
      <c r="P363" s="20" t="str">
        <f t="shared" si="108"/>
        <v>No aplica</v>
      </c>
      <c r="Q363" s="20">
        <f t="shared" si="109"/>
        <v>13</v>
      </c>
      <c r="R363" s="20">
        <f t="shared" si="110"/>
        <v>1</v>
      </c>
      <c r="S363" s="20" t="str">
        <f t="shared" si="111"/>
        <v>Plan de Acción de la Comisión de Participación</v>
      </c>
      <c r="T363" s="20">
        <f t="shared" si="74"/>
        <v>1</v>
      </c>
      <c r="U363" s="20" t="str">
        <f t="shared" ca="1" si="75"/>
        <v>Realizada</v>
      </c>
      <c r="V363" s="20"/>
      <c r="W363" s="20"/>
      <c r="X363" s="20"/>
      <c r="Y363" s="20"/>
    </row>
    <row r="364" spans="1:25" ht="49.5">
      <c r="A364" s="20">
        <v>459</v>
      </c>
      <c r="B364" s="20" t="str">
        <f t="shared" si="94"/>
        <v>Sesión Ordinaria de la Comisión Plan de Desarrollo Distrital CTPD</v>
      </c>
      <c r="C364" s="21">
        <f t="shared" si="95"/>
        <v>45432</v>
      </c>
      <c r="D364" s="20" t="str">
        <f t="shared" si="96"/>
        <v>INSTANCIAS</v>
      </c>
      <c r="E364" s="20" t="str">
        <f t="shared" si="97"/>
        <v>NO</v>
      </c>
      <c r="F364" s="20" t="str">
        <f t="shared" si="98"/>
        <v>CTPD (Consejo Territorial de Planeación Distrital)</v>
      </c>
      <c r="G364" s="20" t="str">
        <f t="shared" si="99"/>
        <v>Virtual</v>
      </c>
      <c r="H364" s="20" t="str">
        <f t="shared" si="100"/>
        <v>Realizar la socialización y la construcción del Plan de Acción de la Comisión de Plan de Desarrollo Distrital.</v>
      </c>
      <c r="I364" s="20" t="str">
        <f t="shared" si="101"/>
        <v>Mecanismo de Seguimiento y Evaluación</v>
      </c>
      <c r="J364" s="20" t="str">
        <f t="shared" si="102"/>
        <v>Comunitario</v>
      </c>
      <c r="K364" s="20" t="str">
        <f t="shared" si="103"/>
        <v>CTPD</v>
      </c>
      <c r="L364" s="20" t="str">
        <f t="shared" si="104"/>
        <v>Distrital</v>
      </c>
      <c r="M364" s="20" t="str">
        <f t="shared" si="105"/>
        <v>Distrital</v>
      </c>
      <c r="N364" s="20" t="str">
        <f t="shared" si="106"/>
        <v>Distrital</v>
      </c>
      <c r="O364" s="20" t="str">
        <f t="shared" si="107"/>
        <v>NO</v>
      </c>
      <c r="P364" s="20" t="str">
        <f t="shared" si="108"/>
        <v>No aplica</v>
      </c>
      <c r="Q364" s="20">
        <f t="shared" si="109"/>
        <v>33</v>
      </c>
      <c r="R364" s="20">
        <f t="shared" si="110"/>
        <v>1</v>
      </c>
      <c r="S364" s="20" t="str">
        <f t="shared" si="111"/>
        <v>Plan de Acción de la Comisión de Plan de Desarrollo Distrital</v>
      </c>
      <c r="T364" s="20">
        <f t="shared" si="74"/>
        <v>1</v>
      </c>
      <c r="U364" s="20" t="str">
        <f t="shared" ca="1" si="75"/>
        <v>Realizada</v>
      </c>
      <c r="V364" s="20"/>
      <c r="W364" s="20"/>
      <c r="X364" s="20"/>
      <c r="Y364" s="20"/>
    </row>
    <row r="365" spans="1:25" ht="37.5">
      <c r="A365" s="20">
        <v>460</v>
      </c>
      <c r="B365" s="20" t="str">
        <f t="shared" si="94"/>
        <v>Apuestas de la segunda versión de Smart City</v>
      </c>
      <c r="C365" s="21">
        <f t="shared" si="95"/>
        <v>45433</v>
      </c>
      <c r="D365" s="20" t="str">
        <f t="shared" si="96"/>
        <v>DESPACHO</v>
      </c>
      <c r="E365" s="20" t="str">
        <f t="shared" si="97"/>
        <v>NO</v>
      </c>
      <c r="F365" s="20" t="str">
        <f t="shared" si="98"/>
        <v>Ferias de Alto Nivel</v>
      </c>
      <c r="G365" s="20" t="str">
        <f t="shared" si="99"/>
        <v>Presencial</v>
      </c>
      <c r="H365" s="20" t="str">
        <f t="shared" si="100"/>
        <v>Acompañar la sesión de revisión de los alcances de la segunda versión de Smart City</v>
      </c>
      <c r="I365" s="20" t="str">
        <f t="shared" si="101"/>
        <v>Gestión Institucional</v>
      </c>
      <c r="J365" s="20" t="str">
        <f t="shared" si="102"/>
        <v>Público</v>
      </c>
      <c r="K365" s="20">
        <f t="shared" si="103"/>
        <v>0</v>
      </c>
      <c r="L365" s="20" t="str">
        <f t="shared" si="104"/>
        <v>Distrital</v>
      </c>
      <c r="M365" s="20" t="str">
        <f t="shared" si="105"/>
        <v>Distrital</v>
      </c>
      <c r="N365" s="20" t="str">
        <f t="shared" si="106"/>
        <v>Distrital</v>
      </c>
      <c r="O365" s="20" t="str">
        <f t="shared" si="107"/>
        <v>NO</v>
      </c>
      <c r="P365" s="20" t="str">
        <f t="shared" si="108"/>
        <v>No aplica</v>
      </c>
      <c r="Q365" s="20">
        <f t="shared" si="109"/>
        <v>30</v>
      </c>
      <c r="R365" s="20">
        <f t="shared" si="110"/>
        <v>3</v>
      </c>
      <c r="S365" s="20" t="str">
        <f t="shared" si="111"/>
        <v>Segunda versión de la feria Smart City y alcances previstos.</v>
      </c>
      <c r="T365" s="20">
        <f t="shared" si="74"/>
        <v>1</v>
      </c>
      <c r="U365" s="20" t="str">
        <f t="shared" ca="1" si="75"/>
        <v>Realizada</v>
      </c>
      <c r="V365" s="20"/>
      <c r="W365" s="20"/>
      <c r="X365" s="20"/>
      <c r="Y365" s="20"/>
    </row>
    <row r="366" spans="1:25" ht="61.5">
      <c r="A366" s="20">
        <v>461</v>
      </c>
      <c r="B366" s="20" t="str">
        <f t="shared" si="94"/>
        <v>CLIP Puente Aranda</v>
      </c>
      <c r="C366" s="21">
        <f t="shared" si="95"/>
        <v>45433</v>
      </c>
      <c r="D366" s="20" t="str">
        <f t="shared" si="96"/>
        <v>INSTANCIAS</v>
      </c>
      <c r="E366" s="20" t="str">
        <f t="shared" si="97"/>
        <v>NO</v>
      </c>
      <c r="F366" s="20" t="str">
        <f t="shared" si="98"/>
        <v>CLIP (Comisión Local Intersectorial de Participación)</v>
      </c>
      <c r="G366" s="20" t="str">
        <f t="shared" si="99"/>
        <v>Presencial</v>
      </c>
      <c r="H366" s="20" t="str">
        <f t="shared" si="100"/>
        <v xml:space="preserve">Acompañar la articulación de los esfuerzos institucionales de participación en la localidad de Puente Aranda
</v>
      </c>
      <c r="I366" s="20" t="str">
        <f t="shared" si="101"/>
        <v>Gestión Institucional</v>
      </c>
      <c r="J366" s="20" t="str">
        <f t="shared" si="102"/>
        <v>Público</v>
      </c>
      <c r="K366" s="20" t="str">
        <f t="shared" si="103"/>
        <v>CLIP</v>
      </c>
      <c r="L366" s="20" t="str">
        <f t="shared" si="104"/>
        <v>Puente Aranda</v>
      </c>
      <c r="M366" s="20" t="str">
        <f t="shared" si="105"/>
        <v>Centro Ampliado</v>
      </c>
      <c r="N366" s="20" t="str">
        <f t="shared" si="106"/>
        <v>Puente Aranda</v>
      </c>
      <c r="O366" s="20" t="str">
        <f t="shared" si="107"/>
        <v>NO</v>
      </c>
      <c r="P366" s="20" t="str">
        <f t="shared" si="108"/>
        <v>No aplica</v>
      </c>
      <c r="Q366" s="20">
        <f t="shared" si="109"/>
        <v>21</v>
      </c>
      <c r="R366" s="20">
        <f t="shared" si="110"/>
        <v>1</v>
      </c>
      <c r="S366" s="20" t="str">
        <f t="shared" si="111"/>
        <v>Encuentro Ciudadanos Localidad Puente Aranda, Actuación Estratégicas ZIBO,  Observatorio Puente Aranda</v>
      </c>
      <c r="T366" s="20">
        <f t="shared" si="74"/>
        <v>1</v>
      </c>
      <c r="U366" s="20" t="str">
        <f t="shared" ca="1" si="75"/>
        <v>Realizada</v>
      </c>
      <c r="V366" s="20"/>
      <c r="W366" s="20"/>
      <c r="X366" s="20"/>
      <c r="Y366" s="20"/>
    </row>
    <row r="367" spans="1:25" ht="49.5">
      <c r="A367" s="20">
        <v>463</v>
      </c>
      <c r="B367" s="20" t="str">
        <f t="shared" si="94"/>
        <v>Sesión de Concejo - Formulación PDD</v>
      </c>
      <c r="C367" s="21">
        <f t="shared" si="95"/>
        <v>45433</v>
      </c>
      <c r="D367" s="20" t="str">
        <f t="shared" si="96"/>
        <v>OPDC</v>
      </c>
      <c r="E367" s="20" t="str">
        <f t="shared" si="97"/>
        <v>NO</v>
      </c>
      <c r="F367" s="20" t="str">
        <f t="shared" si="98"/>
        <v>Plan Distrital de Desarrollo</v>
      </c>
      <c r="G367" s="20" t="str">
        <f t="shared" si="99"/>
        <v>Presencial</v>
      </c>
      <c r="H367" s="20" t="str">
        <f t="shared" si="100"/>
        <v>Acompañar la discusión del proyecto de acuerdo del Plan Distrital de Desarrollo de cara al proceso de debate para su aprobación en el Concejo Distrital</v>
      </c>
      <c r="I367" s="20" t="str">
        <f t="shared" si="101"/>
        <v>Mecanismo de Diálogo</v>
      </c>
      <c r="J367" s="20" t="str">
        <f t="shared" si="102"/>
        <v>Público</v>
      </c>
      <c r="K367" s="20" t="str">
        <f t="shared" si="103"/>
        <v>Concejo de Bogotá</v>
      </c>
      <c r="L367" s="20" t="str">
        <f t="shared" si="104"/>
        <v>Distrital</v>
      </c>
      <c r="M367" s="20" t="str">
        <f t="shared" si="105"/>
        <v>Distrital</v>
      </c>
      <c r="N367" s="20" t="str">
        <f t="shared" si="106"/>
        <v>Distrital</v>
      </c>
      <c r="O367" s="20" t="str">
        <f t="shared" si="107"/>
        <v>SÍ</v>
      </c>
      <c r="P367" s="20" t="str">
        <f t="shared" si="108"/>
        <v>Fase III: Acuerdos para la Ciudad</v>
      </c>
      <c r="Q367" s="20">
        <f t="shared" si="109"/>
        <v>224</v>
      </c>
      <c r="R367" s="20">
        <f t="shared" si="110"/>
        <v>8</v>
      </c>
      <c r="S367" s="20" t="str">
        <f t="shared" si="111"/>
        <v>Sesión de vocero y no voceros</v>
      </c>
      <c r="T367" s="20">
        <f t="shared" si="74"/>
        <v>1</v>
      </c>
      <c r="U367" s="20" t="str">
        <f t="shared" ca="1" si="75"/>
        <v>Realizada</v>
      </c>
      <c r="V367" s="20"/>
      <c r="W367" s="20"/>
      <c r="X367" s="20"/>
      <c r="Y367" s="20"/>
    </row>
    <row r="368" spans="1:25" ht="49.5">
      <c r="A368" s="20">
        <v>464</v>
      </c>
      <c r="B368" s="20" t="str">
        <f t="shared" si="94"/>
        <v>Taller de diálogo  Actuación Estratégica Campín 7 de Agosto</v>
      </c>
      <c r="C368" s="21">
        <f t="shared" si="95"/>
        <v>45433</v>
      </c>
      <c r="D368" s="20" t="str">
        <f t="shared" si="96"/>
        <v>OPDC</v>
      </c>
      <c r="E368" s="20" t="str">
        <f t="shared" si="97"/>
        <v>SÍ</v>
      </c>
      <c r="F368" s="20" t="str">
        <f t="shared" si="98"/>
        <v>Construcción de Directrices de Actuaciones Estratégicas</v>
      </c>
      <c r="G368" s="20" t="str">
        <f t="shared" si="99"/>
        <v>Presencial</v>
      </c>
      <c r="H368" s="20" t="str">
        <f t="shared" si="100"/>
        <v>Socializar  y construir las directrices para la formulación de la Actuación Estratégica Campín 7 de Agosto</v>
      </c>
      <c r="I368" s="20" t="str">
        <f t="shared" si="101"/>
        <v>Mecanismo de Diálogo</v>
      </c>
      <c r="J368" s="20" t="str">
        <f t="shared" si="102"/>
        <v>Multiactor</v>
      </c>
      <c r="K368" s="20">
        <f t="shared" si="103"/>
        <v>0</v>
      </c>
      <c r="L368" s="20" t="str">
        <f t="shared" si="104"/>
        <v>Teusaquillo</v>
      </c>
      <c r="M368" s="20" t="str">
        <f t="shared" si="105"/>
        <v>Centro Ampliado</v>
      </c>
      <c r="N368" s="20" t="str">
        <f t="shared" si="106"/>
        <v>Teusaquillo</v>
      </c>
      <c r="O368" s="20" t="str">
        <f t="shared" si="107"/>
        <v>NO</v>
      </c>
      <c r="P368" s="20" t="str">
        <f t="shared" si="108"/>
        <v>No aplica</v>
      </c>
      <c r="Q368" s="20">
        <f t="shared" si="109"/>
        <v>40</v>
      </c>
      <c r="R368" s="20">
        <f t="shared" si="110"/>
        <v>11</v>
      </c>
      <c r="S368" s="20" t="str">
        <f t="shared" si="111"/>
        <v>No se logró desarrollar el espacio</v>
      </c>
      <c r="T368" s="20">
        <f t="shared" si="74"/>
        <v>1</v>
      </c>
      <c r="U368" s="20" t="str">
        <f t="shared" ca="1" si="75"/>
        <v>Realizada</v>
      </c>
      <c r="V368" s="20"/>
      <c r="W368" s="20"/>
      <c r="X368" s="20"/>
      <c r="Y368" s="20"/>
    </row>
    <row r="369" spans="1:25" ht="49.5">
      <c r="A369" s="20">
        <v>465</v>
      </c>
      <c r="B369" s="20" t="str">
        <f t="shared" si="94"/>
        <v>Sesión de Concejo - Formulación PDD - Mañana</v>
      </c>
      <c r="C369" s="21">
        <f t="shared" si="95"/>
        <v>45434</v>
      </c>
      <c r="D369" s="20" t="str">
        <f t="shared" si="96"/>
        <v>OPDC</v>
      </c>
      <c r="E369" s="20" t="str">
        <f t="shared" si="97"/>
        <v>NO</v>
      </c>
      <c r="F369" s="20" t="str">
        <f t="shared" si="98"/>
        <v>Plan Distrital de Desarrollo</v>
      </c>
      <c r="G369" s="20" t="str">
        <f t="shared" si="99"/>
        <v>Presencial</v>
      </c>
      <c r="H369" s="20" t="str">
        <f t="shared" si="100"/>
        <v>Acompañar la discusión del proyecto de acuerdo del Plan Distrital de Desarrollo de cara al proceso de debate para su aprobación en el Concejo Distrital</v>
      </c>
      <c r="I369" s="20" t="str">
        <f t="shared" si="101"/>
        <v>Mecanismo de Diálogo</v>
      </c>
      <c r="J369" s="20" t="str">
        <f t="shared" si="102"/>
        <v>Público</v>
      </c>
      <c r="K369" s="20" t="str">
        <f t="shared" si="103"/>
        <v>Concejo de Bogotá</v>
      </c>
      <c r="L369" s="20" t="str">
        <f t="shared" si="104"/>
        <v>Distrital</v>
      </c>
      <c r="M369" s="20" t="str">
        <f t="shared" si="105"/>
        <v>Distrital</v>
      </c>
      <c r="N369" s="20" t="str">
        <f t="shared" si="106"/>
        <v>Distrital</v>
      </c>
      <c r="O369" s="20" t="str">
        <f t="shared" si="107"/>
        <v>SÍ</v>
      </c>
      <c r="P369" s="20" t="str">
        <f t="shared" si="108"/>
        <v>Fase III: Acuerdos para la Ciudad</v>
      </c>
      <c r="Q369" s="20">
        <f t="shared" si="109"/>
        <v>50</v>
      </c>
      <c r="R369" s="20">
        <f t="shared" si="110"/>
        <v>7</v>
      </c>
      <c r="S369" s="20" t="str">
        <f t="shared" si="111"/>
        <v>Votación del articulado del Plan Distrital de Desarrollo</v>
      </c>
      <c r="T369" s="20">
        <f t="shared" si="74"/>
        <v>1</v>
      </c>
      <c r="U369" s="20" t="str">
        <f t="shared" ca="1" si="75"/>
        <v>Realizada</v>
      </c>
      <c r="V369" s="20"/>
      <c r="W369" s="20"/>
      <c r="X369" s="20"/>
      <c r="Y369" s="20"/>
    </row>
    <row r="370" spans="1:25" ht="61.5">
      <c r="A370" s="20">
        <v>466</v>
      </c>
      <c r="B370" s="20" t="str">
        <f t="shared" si="94"/>
        <v>Reunión - Concejal Julian Triana</v>
      </c>
      <c r="C370" s="21">
        <f t="shared" si="95"/>
        <v>45434</v>
      </c>
      <c r="D370" s="20" t="str">
        <f t="shared" si="96"/>
        <v>OPDC</v>
      </c>
      <c r="E370" s="20" t="str">
        <f t="shared" si="97"/>
        <v>NO</v>
      </c>
      <c r="F370" s="20" t="str">
        <f t="shared" si="98"/>
        <v>Sistema de Participación Territorial</v>
      </c>
      <c r="G370" s="20" t="str">
        <f t="shared" si="99"/>
        <v>Presencial</v>
      </c>
      <c r="H370" s="20" t="str">
        <f t="shared" si="100"/>
        <v>En el marco del Sistema de Participación Territorial  brindar información sobre la participación en la reglamentación de las UPL durante el 2022 y 2023</v>
      </c>
      <c r="I370" s="20" t="str">
        <f t="shared" si="101"/>
        <v>Mecanismo de Comunicación para la Participación</v>
      </c>
      <c r="J370" s="20" t="str">
        <f t="shared" si="102"/>
        <v>Público</v>
      </c>
      <c r="K370" s="20" t="str">
        <f t="shared" si="103"/>
        <v>Consejo Consultivo</v>
      </c>
      <c r="L370" s="20" t="str">
        <f t="shared" si="104"/>
        <v>Distrital</v>
      </c>
      <c r="M370" s="20" t="str">
        <f t="shared" si="105"/>
        <v>Distrital</v>
      </c>
      <c r="N370" s="20" t="str">
        <f t="shared" si="106"/>
        <v>Distrital</v>
      </c>
      <c r="O370" s="20" t="str">
        <f t="shared" si="107"/>
        <v>NO</v>
      </c>
      <c r="P370" s="20" t="str">
        <f t="shared" si="108"/>
        <v>No aplica</v>
      </c>
      <c r="Q370" s="20">
        <f t="shared" si="109"/>
        <v>2</v>
      </c>
      <c r="R370" s="20">
        <f t="shared" si="110"/>
        <v>3</v>
      </c>
      <c r="S370" s="20" t="str">
        <f t="shared" si="111"/>
        <v>Participación ciudadana en los PIP en el marco de PDD</v>
      </c>
      <c r="T370" s="20">
        <f t="shared" si="74"/>
        <v>1</v>
      </c>
      <c r="U370" s="20" t="str">
        <f t="shared" ca="1" si="75"/>
        <v>Realizada</v>
      </c>
      <c r="V370" s="20"/>
      <c r="W370" s="20"/>
      <c r="X370" s="20"/>
      <c r="Y370" s="20"/>
    </row>
    <row r="371" spans="1:25" ht="61.5">
      <c r="A371" s="20">
        <v>467</v>
      </c>
      <c r="B371" s="20" t="str">
        <f t="shared" si="94"/>
        <v>Gestión - Sistema de Participación Territorial - Sector Ambiente</v>
      </c>
      <c r="C371" s="21">
        <f t="shared" si="95"/>
        <v>45434</v>
      </c>
      <c r="D371" s="20" t="str">
        <f t="shared" si="96"/>
        <v>OPDC</v>
      </c>
      <c r="E371" s="20" t="str">
        <f t="shared" si="97"/>
        <v>NO</v>
      </c>
      <c r="F371" s="20" t="str">
        <f t="shared" si="98"/>
        <v>Sistema de Participación Territorial</v>
      </c>
      <c r="G371" s="20" t="str">
        <f t="shared" si="99"/>
        <v>Virtual</v>
      </c>
      <c r="H371" s="20" t="str">
        <f t="shared" si="100"/>
        <v xml:space="preserve">Atender la solicitud de la Secretaria de Ambiente en relación a la contextualización del SPT a las 4 entidades que conforman el Sector Ambiente </v>
      </c>
      <c r="I371" s="20" t="str">
        <f t="shared" si="101"/>
        <v>Gestión Institucional</v>
      </c>
      <c r="J371" s="20" t="str">
        <f t="shared" si="102"/>
        <v>Público</v>
      </c>
      <c r="K371" s="20" t="str">
        <f t="shared" si="103"/>
        <v>Servidores públicos (Distrital)</v>
      </c>
      <c r="L371" s="20" t="str">
        <f t="shared" si="104"/>
        <v>Distrital</v>
      </c>
      <c r="M371" s="20" t="str">
        <f t="shared" si="105"/>
        <v>Distrital</v>
      </c>
      <c r="N371" s="20" t="str">
        <f t="shared" si="106"/>
        <v>Distrital</v>
      </c>
      <c r="O371" s="20" t="str">
        <f t="shared" si="107"/>
        <v>NO</v>
      </c>
      <c r="P371" s="20" t="str">
        <f t="shared" si="108"/>
        <v>No aplica</v>
      </c>
      <c r="Q371" s="20">
        <f t="shared" si="109"/>
        <v>38</v>
      </c>
      <c r="R371" s="20">
        <f t="shared" si="110"/>
        <v>1</v>
      </c>
      <c r="S371" s="20" t="str">
        <f t="shared" si="111"/>
        <v>Herramientas del SPT, Plan de Acción Sector Ambiente</v>
      </c>
      <c r="T371" s="20">
        <f t="shared" si="74"/>
        <v>1</v>
      </c>
      <c r="U371" s="20" t="str">
        <f t="shared" ca="1" si="75"/>
        <v>Realizada</v>
      </c>
      <c r="V371" s="20"/>
      <c r="W371" s="20"/>
      <c r="X371" s="20"/>
      <c r="Y371" s="20"/>
    </row>
    <row r="372" spans="1:25" ht="49.5">
      <c r="A372" s="20">
        <v>468</v>
      </c>
      <c r="B372" s="20" t="str">
        <f t="shared" si="94"/>
        <v>Sesión de Concejo - Formulación PDD - Tarde</v>
      </c>
      <c r="C372" s="21">
        <f t="shared" si="95"/>
        <v>45434</v>
      </c>
      <c r="D372" s="20" t="str">
        <f t="shared" si="96"/>
        <v>OPDC</v>
      </c>
      <c r="E372" s="20" t="str">
        <f t="shared" si="97"/>
        <v>NO</v>
      </c>
      <c r="F372" s="20" t="str">
        <f t="shared" si="98"/>
        <v>Plan Distrital de Desarrollo</v>
      </c>
      <c r="G372" s="20" t="str">
        <f t="shared" si="99"/>
        <v>Presencial</v>
      </c>
      <c r="H372" s="20" t="str">
        <f t="shared" si="100"/>
        <v>Acompañar la discusión del proyecto de acuerdo del Plan Distrital de Desarrollo de cara al proceso de debate para su aprobación en el Concejo Distrital</v>
      </c>
      <c r="I372" s="20" t="str">
        <f t="shared" si="101"/>
        <v>Mecanismo de Diálogo</v>
      </c>
      <c r="J372" s="20" t="str">
        <f t="shared" si="102"/>
        <v>Público</v>
      </c>
      <c r="K372" s="20" t="str">
        <f t="shared" si="103"/>
        <v>Concejo de Bogotá</v>
      </c>
      <c r="L372" s="20" t="str">
        <f t="shared" si="104"/>
        <v>Distrital</v>
      </c>
      <c r="M372" s="20" t="str">
        <f t="shared" si="105"/>
        <v>Distrital</v>
      </c>
      <c r="N372" s="20" t="str">
        <f t="shared" si="106"/>
        <v>Distrital</v>
      </c>
      <c r="O372" s="20" t="str">
        <f t="shared" si="107"/>
        <v>SÍ</v>
      </c>
      <c r="P372" s="20" t="str">
        <f t="shared" si="108"/>
        <v>Fase III: Acuerdos para la Ciudad</v>
      </c>
      <c r="Q372" s="20">
        <f t="shared" si="109"/>
        <v>229</v>
      </c>
      <c r="R372" s="20">
        <f t="shared" si="110"/>
        <v>8</v>
      </c>
      <c r="S372" s="20" t="str">
        <f t="shared" si="111"/>
        <v>Votación del articulado del Plan Distrital de Desarrollo</v>
      </c>
      <c r="T372" s="20">
        <f t="shared" si="74"/>
        <v>1</v>
      </c>
      <c r="U372" s="20" t="str">
        <f t="shared" ca="1" si="75"/>
        <v>Realizada</v>
      </c>
      <c r="V372" s="20"/>
      <c r="W372" s="20"/>
      <c r="X372" s="20"/>
      <c r="Y372" s="20"/>
    </row>
    <row r="373" spans="1:25" ht="49.5">
      <c r="A373" s="20">
        <v>469</v>
      </c>
      <c r="B373" s="20" t="str">
        <f t="shared" si="94"/>
        <v>Sesión de Concejo - Formulación PDD - Mañana</v>
      </c>
      <c r="C373" s="21">
        <f t="shared" si="95"/>
        <v>45435</v>
      </c>
      <c r="D373" s="20" t="str">
        <f t="shared" si="96"/>
        <v>OPDC</v>
      </c>
      <c r="E373" s="20" t="str">
        <f t="shared" si="97"/>
        <v>NO</v>
      </c>
      <c r="F373" s="20" t="str">
        <f t="shared" si="98"/>
        <v>Plan Distrital de Desarrollo</v>
      </c>
      <c r="G373" s="20" t="str">
        <f t="shared" si="99"/>
        <v>Presencial</v>
      </c>
      <c r="H373" s="20" t="str">
        <f t="shared" si="100"/>
        <v>Acompañar la discusión del proyecto de acuerdo del Plan Distrital de Desarrollo de cara al proceso de debate para su aprobación en el Concejo Distrital</v>
      </c>
      <c r="I373" s="20" t="str">
        <f t="shared" si="101"/>
        <v>Mecanismo de Diálogo</v>
      </c>
      <c r="J373" s="20" t="str">
        <f t="shared" si="102"/>
        <v>Público</v>
      </c>
      <c r="K373" s="20" t="str">
        <f t="shared" si="103"/>
        <v>Concejo de Bogotá</v>
      </c>
      <c r="L373" s="20" t="str">
        <f t="shared" si="104"/>
        <v>Distrital</v>
      </c>
      <c r="M373" s="20" t="str">
        <f t="shared" si="105"/>
        <v>Distrital</v>
      </c>
      <c r="N373" s="20" t="str">
        <f t="shared" si="106"/>
        <v>Distrital</v>
      </c>
      <c r="O373" s="20" t="str">
        <f t="shared" si="107"/>
        <v>SÍ</v>
      </c>
      <c r="P373" s="20" t="str">
        <f t="shared" si="108"/>
        <v>Fase III: Acuerdos para la Ciudad</v>
      </c>
      <c r="Q373" s="20">
        <f t="shared" si="109"/>
        <v>230</v>
      </c>
      <c r="R373" s="20">
        <f t="shared" si="110"/>
        <v>7</v>
      </c>
      <c r="S373" s="20" t="str">
        <f t="shared" si="111"/>
        <v>Sesión plenaria de aprobación de parte de artículos del PDD</v>
      </c>
      <c r="T373" s="20">
        <f t="shared" si="74"/>
        <v>1</v>
      </c>
      <c r="U373" s="20" t="str">
        <f t="shared" ca="1" si="75"/>
        <v>Realizada</v>
      </c>
      <c r="V373" s="20"/>
      <c r="W373" s="20"/>
      <c r="X373" s="20"/>
      <c r="Y373" s="20"/>
    </row>
    <row r="374" spans="1:25" ht="49.5">
      <c r="A374" s="20">
        <v>470</v>
      </c>
      <c r="B374" s="20" t="str">
        <f t="shared" si="94"/>
        <v>Audiencia del Decreto 563 de 2023</v>
      </c>
      <c r="C374" s="21">
        <f t="shared" si="95"/>
        <v>45435</v>
      </c>
      <c r="D374" s="20" t="str">
        <f t="shared" si="96"/>
        <v>OPDC</v>
      </c>
      <c r="E374" s="20" t="str">
        <f t="shared" si="97"/>
        <v>SÍ</v>
      </c>
      <c r="F374" s="20" t="str">
        <f t="shared" si="98"/>
        <v>Sistema de Participación Territorial</v>
      </c>
      <c r="G374" s="20" t="str">
        <f t="shared" si="99"/>
        <v>Presencial</v>
      </c>
      <c r="H374" s="20" t="str">
        <f t="shared" si="100"/>
        <v>Socializar el proceso de modificación del Decreto 563 de 2023 en el marco del SPT</v>
      </c>
      <c r="I374" s="20" t="str">
        <f t="shared" si="101"/>
        <v>Mecanismo de Comunicación para la Participación</v>
      </c>
      <c r="J374" s="20" t="str">
        <f t="shared" si="102"/>
        <v>Multiactor</v>
      </c>
      <c r="K374" s="20">
        <f t="shared" si="103"/>
        <v>0</v>
      </c>
      <c r="L374" s="20" t="str">
        <f t="shared" si="104"/>
        <v>Distrital</v>
      </c>
      <c r="M374" s="20" t="str">
        <f t="shared" si="105"/>
        <v>Distrital</v>
      </c>
      <c r="N374" s="20" t="str">
        <f t="shared" si="106"/>
        <v>Distrital</v>
      </c>
      <c r="O374" s="20" t="str">
        <f t="shared" si="107"/>
        <v>NO</v>
      </c>
      <c r="P374" s="20" t="str">
        <f t="shared" si="108"/>
        <v>No aplica</v>
      </c>
      <c r="Q374" s="20">
        <f t="shared" si="109"/>
        <v>30</v>
      </c>
      <c r="R374" s="20">
        <f t="shared" si="110"/>
        <v>1</v>
      </c>
      <c r="S374" s="20" t="str">
        <f t="shared" si="111"/>
        <v>Modificación del Decreto 563 de 2023</v>
      </c>
      <c r="T374" s="20">
        <f t="shared" si="74"/>
        <v>1</v>
      </c>
      <c r="U374" s="20" t="str">
        <f t="shared" ca="1" si="75"/>
        <v>Realizada</v>
      </c>
      <c r="V374" s="20"/>
      <c r="W374" s="20"/>
      <c r="X374" s="20"/>
      <c r="Y374" s="20"/>
    </row>
    <row r="375" spans="1:25" ht="49.5">
      <c r="A375" s="20">
        <v>472</v>
      </c>
      <c r="B375" s="20" t="str">
        <f t="shared" si="94"/>
        <v>Audiencia Publica - El cambio debe verse en el Centro de Bogotá</v>
      </c>
      <c r="C375" s="21">
        <f t="shared" si="95"/>
        <v>45435</v>
      </c>
      <c r="D375" s="20" t="str">
        <f t="shared" si="96"/>
        <v>OPDC</v>
      </c>
      <c r="E375" s="20" t="str">
        <f t="shared" si="97"/>
        <v>SÍ</v>
      </c>
      <c r="F375" s="20" t="str">
        <f t="shared" si="98"/>
        <v>Proyectos Integrales de Proximidad</v>
      </c>
      <c r="G375" s="20" t="str">
        <f t="shared" si="99"/>
        <v>Presencial</v>
      </c>
      <c r="H375" s="20" t="str">
        <f t="shared" si="100"/>
        <v>Acompañar la discusión del desarrollo urbano para la UPL Centro Histórico.</v>
      </c>
      <c r="I375" s="20" t="str">
        <f t="shared" si="101"/>
        <v>Mecanismo de Comunicación para la Participación</v>
      </c>
      <c r="J375" s="20" t="str">
        <f t="shared" si="102"/>
        <v>Multiactor</v>
      </c>
      <c r="K375" s="20">
        <f t="shared" si="103"/>
        <v>0</v>
      </c>
      <c r="L375" s="20" t="str">
        <f t="shared" si="104"/>
        <v>La Candelaria, Los Mártires, Santa Fe</v>
      </c>
      <c r="M375" s="20" t="str">
        <f t="shared" si="105"/>
        <v>Centro Ampliado</v>
      </c>
      <c r="N375" s="20" t="str">
        <f t="shared" si="106"/>
        <v>Centro Histórico, Cerros Orientales</v>
      </c>
      <c r="O375" s="20" t="str">
        <f t="shared" si="107"/>
        <v>NO</v>
      </c>
      <c r="P375" s="20" t="str">
        <f t="shared" si="108"/>
        <v>No aplica</v>
      </c>
      <c r="Q375" s="20">
        <f t="shared" si="109"/>
        <v>23</v>
      </c>
      <c r="R375" s="20">
        <f t="shared" si="110"/>
        <v>2</v>
      </c>
      <c r="S375" s="20" t="str">
        <f t="shared" si="111"/>
        <v>Planes Urbanos en el Centro Histórico, Espacios de participación cidadana en el Barrio San Bernardo, Normativa para desarrollo Urbano en el barrio San Bernardo</v>
      </c>
      <c r="T375" s="20">
        <f t="shared" si="74"/>
        <v>1</v>
      </c>
      <c r="U375" s="20" t="str">
        <f t="shared" ca="1" si="75"/>
        <v>Realizada</v>
      </c>
      <c r="V375" s="20"/>
      <c r="W375" s="20"/>
      <c r="X375" s="20"/>
      <c r="Y375" s="20"/>
    </row>
    <row r="376" spans="1:25" ht="49.5">
      <c r="A376" s="20">
        <v>473</v>
      </c>
      <c r="B376" s="20" t="str">
        <f t="shared" si="94"/>
        <v>Sesión Consejo de Propiedad Horizontal</v>
      </c>
      <c r="C376" s="21">
        <f t="shared" si="95"/>
        <v>45435</v>
      </c>
      <c r="D376" s="20" t="str">
        <f t="shared" si="96"/>
        <v>INSTANCIAS</v>
      </c>
      <c r="E376" s="20" t="str">
        <f t="shared" si="97"/>
        <v>NO</v>
      </c>
      <c r="F376" s="20" t="str">
        <f t="shared" si="98"/>
        <v>CCPH (Consejo Consultivo de Propiedad Horizontal)</v>
      </c>
      <c r="G376" s="20" t="str">
        <f t="shared" si="99"/>
        <v>Virtual</v>
      </c>
      <c r="H376" s="20" t="str">
        <f t="shared" si="100"/>
        <v>Acompañamiento a la sesión del CDPH</v>
      </c>
      <c r="I376" s="20" t="str">
        <f t="shared" si="101"/>
        <v>Gestión Institucional</v>
      </c>
      <c r="J376" s="20" t="str">
        <f t="shared" si="102"/>
        <v>Comunitario</v>
      </c>
      <c r="K376" s="20" t="str">
        <f t="shared" si="103"/>
        <v>Consejo Consultivo</v>
      </c>
      <c r="L376" s="20" t="str">
        <f t="shared" si="104"/>
        <v>Distrital</v>
      </c>
      <c r="M376" s="20" t="str">
        <f t="shared" si="105"/>
        <v>Distrital</v>
      </c>
      <c r="N376" s="20" t="str">
        <f t="shared" si="106"/>
        <v>Distrital</v>
      </c>
      <c r="O376" s="20" t="str">
        <f t="shared" si="107"/>
        <v>NO</v>
      </c>
      <c r="P376" s="20" t="str">
        <f t="shared" si="108"/>
        <v>No aplica</v>
      </c>
      <c r="Q376" s="20">
        <f t="shared" si="109"/>
        <v>19</v>
      </c>
      <c r="R376" s="20">
        <f t="shared" si="110"/>
        <v>1</v>
      </c>
      <c r="S376" s="20" t="str">
        <f t="shared" si="111"/>
        <v>Balance de las acciones respecto a PDD y Política Pública</v>
      </c>
      <c r="T376" s="20">
        <f t="shared" si="74"/>
        <v>1</v>
      </c>
      <c r="U376" s="20" t="str">
        <f t="shared" ca="1" si="75"/>
        <v>Realizada</v>
      </c>
      <c r="V376" s="20"/>
      <c r="W376" s="20"/>
      <c r="X376" s="20"/>
      <c r="Y376" s="20"/>
    </row>
    <row r="377" spans="1:25" ht="49.5">
      <c r="A377" s="20">
        <v>474</v>
      </c>
      <c r="B377" s="20" t="str">
        <f t="shared" si="94"/>
        <v>Sesión de Concejo - Formulación PDD - Tarde</v>
      </c>
      <c r="C377" s="21">
        <f t="shared" si="95"/>
        <v>45435</v>
      </c>
      <c r="D377" s="20" t="str">
        <f t="shared" si="96"/>
        <v>OPDC</v>
      </c>
      <c r="E377" s="20" t="str">
        <f t="shared" si="97"/>
        <v>NO</v>
      </c>
      <c r="F377" s="20" t="str">
        <f t="shared" si="98"/>
        <v>Plan Distrital de Desarrollo</v>
      </c>
      <c r="G377" s="20" t="str">
        <f t="shared" si="99"/>
        <v>Presencial</v>
      </c>
      <c r="H377" s="20" t="str">
        <f t="shared" si="100"/>
        <v>Acompañar la discusión del proyecto de acuerdo del Plan Distrital de Desarrollo de cara al proceso de debate para su aprobación en el Concejo Distrital</v>
      </c>
      <c r="I377" s="20" t="str">
        <f t="shared" si="101"/>
        <v>Mecanismo de Diálogo</v>
      </c>
      <c r="J377" s="20" t="str">
        <f t="shared" si="102"/>
        <v>Público</v>
      </c>
      <c r="K377" s="20" t="str">
        <f t="shared" si="103"/>
        <v>Concejo de Bogotá</v>
      </c>
      <c r="L377" s="20" t="str">
        <f t="shared" si="104"/>
        <v>Distrital</v>
      </c>
      <c r="M377" s="20" t="str">
        <f t="shared" si="105"/>
        <v>Distrital</v>
      </c>
      <c r="N377" s="20" t="str">
        <f t="shared" si="106"/>
        <v>Distrital</v>
      </c>
      <c r="O377" s="20" t="str">
        <f t="shared" si="107"/>
        <v>SÍ</v>
      </c>
      <c r="P377" s="20" t="str">
        <f t="shared" si="108"/>
        <v>Fase III: Acuerdos para la Ciudad</v>
      </c>
      <c r="Q377" s="20">
        <f t="shared" si="109"/>
        <v>6</v>
      </c>
      <c r="R377" s="20">
        <f t="shared" si="110"/>
        <v>100</v>
      </c>
      <c r="S377" s="20" t="str">
        <f t="shared" si="111"/>
        <v xml:space="preserve">Aprobacion de articulos del  Plan Distritral de Desarrollo </v>
      </c>
      <c r="T377" s="20">
        <f t="shared" si="74"/>
        <v>1</v>
      </c>
      <c r="U377" s="20" t="str">
        <f t="shared" ca="1" si="75"/>
        <v>Realizada</v>
      </c>
      <c r="V377" s="20"/>
      <c r="W377" s="20"/>
      <c r="X377" s="20"/>
      <c r="Y377" s="20"/>
    </row>
    <row r="378" spans="1:25" ht="49.5">
      <c r="A378" s="20">
        <v>475</v>
      </c>
      <c r="B378" s="20" t="str">
        <f t="shared" si="94"/>
        <v>Sesión de Concejo - Formulación PDD - Mañana</v>
      </c>
      <c r="C378" s="21">
        <f t="shared" si="95"/>
        <v>45436</v>
      </c>
      <c r="D378" s="20" t="str">
        <f t="shared" si="96"/>
        <v>OPDC</v>
      </c>
      <c r="E378" s="20" t="str">
        <f t="shared" si="97"/>
        <v>NO</v>
      </c>
      <c r="F378" s="20" t="str">
        <f t="shared" si="98"/>
        <v>Plan Distrital de Desarrollo</v>
      </c>
      <c r="G378" s="20" t="str">
        <f t="shared" si="99"/>
        <v>Presencial</v>
      </c>
      <c r="H378" s="20" t="str">
        <f t="shared" si="100"/>
        <v>Acompañar la discusión del proyecto de acuerdo del Plan Distrital de Desarrollo de cara al proceso de debate para su aprobación en el Concejo Distrital</v>
      </c>
      <c r="I378" s="20" t="str">
        <f t="shared" si="101"/>
        <v>Mecanismo de Diálogo</v>
      </c>
      <c r="J378" s="20" t="str">
        <f t="shared" si="102"/>
        <v>Público</v>
      </c>
      <c r="K378" s="20" t="str">
        <f t="shared" si="103"/>
        <v>Concejo de Bogotá</v>
      </c>
      <c r="L378" s="20" t="str">
        <f t="shared" si="104"/>
        <v>Distrital</v>
      </c>
      <c r="M378" s="20" t="str">
        <f t="shared" si="105"/>
        <v>Distrital</v>
      </c>
      <c r="N378" s="20" t="str">
        <f t="shared" si="106"/>
        <v>Distrital</v>
      </c>
      <c r="O378" s="20" t="str">
        <f t="shared" si="107"/>
        <v>SÍ</v>
      </c>
      <c r="P378" s="20" t="str">
        <f t="shared" si="108"/>
        <v>Fase III: Acuerdos para la Ciudad</v>
      </c>
      <c r="Q378" s="20">
        <f t="shared" si="109"/>
        <v>298</v>
      </c>
      <c r="R378" s="20">
        <f t="shared" si="110"/>
        <v>7</v>
      </c>
      <c r="S378" s="20">
        <f t="shared" si="111"/>
        <v>0</v>
      </c>
      <c r="T378" s="20">
        <f t="shared" si="74"/>
        <v>1</v>
      </c>
      <c r="U378" s="20" t="str">
        <f t="shared" ca="1" si="75"/>
        <v>Realizada</v>
      </c>
      <c r="V378" s="20"/>
      <c r="W378" s="20"/>
      <c r="X378" s="20"/>
      <c r="Y378" s="20"/>
    </row>
    <row r="379" spans="1:25" ht="98.25">
      <c r="A379" s="20">
        <v>477</v>
      </c>
      <c r="B379" s="20" t="str">
        <f t="shared" si="94"/>
        <v>Generalidades POT y UPL/PIP - Sectores Suoriente y Ruralidad</v>
      </c>
      <c r="C379" s="21">
        <f t="shared" si="95"/>
        <v>45436</v>
      </c>
      <c r="D379" s="20" t="str">
        <f t="shared" si="96"/>
        <v>OPDC</v>
      </c>
      <c r="E379" s="20" t="str">
        <f t="shared" si="97"/>
        <v>SÍ</v>
      </c>
      <c r="F379" s="20" t="str">
        <f t="shared" si="98"/>
        <v>Generalidades POT</v>
      </c>
      <c r="G379" s="20" t="str">
        <f t="shared" si="99"/>
        <v>Presencial</v>
      </c>
      <c r="H379" s="20" t="str">
        <f t="shared" si="100"/>
        <v>Socializar contenidos POT - UPL y PIP para las localidades de Usme, Tunjuelito, Ciudad Bolívar y Sumapaz</v>
      </c>
      <c r="I379" s="20" t="str">
        <f t="shared" si="101"/>
        <v>Mecanismo de Comunicación para la Participación</v>
      </c>
      <c r="J379" s="20" t="str">
        <f t="shared" si="102"/>
        <v>Multiactor</v>
      </c>
      <c r="K379" s="20">
        <f t="shared" si="103"/>
        <v>0</v>
      </c>
      <c r="L379" s="20" t="str">
        <f t="shared" si="104"/>
        <v>Usme, Tunjuelito, Ciudad Bolívar, Sumapaz</v>
      </c>
      <c r="M379" s="20" t="str">
        <f t="shared" si="105"/>
        <v>Suroriente, Ruralidad</v>
      </c>
      <c r="N379" s="20" t="str">
        <f t="shared" si="106"/>
        <v>Rafael Uribe, Usme Entrenubes, Cuenca del Tunjuelo, Cerros Orientales, Tunjuelito, Arborizadora, Lucero, Sumapaz</v>
      </c>
      <c r="O379" s="20" t="str">
        <f t="shared" si="107"/>
        <v>NO</v>
      </c>
      <c r="P379" s="20" t="str">
        <f t="shared" si="108"/>
        <v>No aplica</v>
      </c>
      <c r="Q379" s="20">
        <f t="shared" si="109"/>
        <v>11</v>
      </c>
      <c r="R379" s="20">
        <f t="shared" si="110"/>
        <v>4</v>
      </c>
      <c r="S379" s="20" t="str">
        <f t="shared" si="111"/>
        <v>Plan de Ordenamiento Territorial decreto 555; Unidades de Planeamiento Local; Proyectos Integrales de Proximidad; Estrategia de participación formulación UPL</v>
      </c>
      <c r="T379" s="20">
        <f t="shared" si="74"/>
        <v>1</v>
      </c>
      <c r="U379" s="20" t="str">
        <f t="shared" ca="1" si="75"/>
        <v>Realizada</v>
      </c>
      <c r="V379" s="20"/>
      <c r="W379" s="20"/>
      <c r="X379" s="20"/>
      <c r="Y379" s="20"/>
    </row>
    <row r="380" spans="1:25" ht="49.5">
      <c r="A380" s="20">
        <v>478</v>
      </c>
      <c r="B380" s="20" t="str">
        <f t="shared" si="94"/>
        <v>Sesión de Concejo - Formulación PDD - Tarde</v>
      </c>
      <c r="C380" s="21">
        <f t="shared" si="95"/>
        <v>45436</v>
      </c>
      <c r="D380" s="20" t="str">
        <f t="shared" si="96"/>
        <v>OPDC</v>
      </c>
      <c r="E380" s="20" t="str">
        <f t="shared" si="97"/>
        <v>NO</v>
      </c>
      <c r="F380" s="20" t="str">
        <f t="shared" si="98"/>
        <v>Plan Distrital de Desarrollo</v>
      </c>
      <c r="G380" s="20" t="str">
        <f t="shared" si="99"/>
        <v>Presencial</v>
      </c>
      <c r="H380" s="20" t="str">
        <f t="shared" si="100"/>
        <v>Acompañar la discusión del proyecto de acuerdo del Plan Distrital de Desarrollo de cara al proceso de debate para su aprobación en el Concejo Distrital</v>
      </c>
      <c r="I380" s="20" t="str">
        <f t="shared" si="101"/>
        <v>Mecanismo de Diálogo</v>
      </c>
      <c r="J380" s="20" t="str">
        <f t="shared" si="102"/>
        <v>Público</v>
      </c>
      <c r="K380" s="20" t="str">
        <f t="shared" si="103"/>
        <v>Concejo de Bogotá</v>
      </c>
      <c r="L380" s="20" t="str">
        <f t="shared" si="104"/>
        <v>Distrital</v>
      </c>
      <c r="M380" s="20" t="str">
        <f t="shared" si="105"/>
        <v>Distrital</v>
      </c>
      <c r="N380" s="20" t="str">
        <f t="shared" si="106"/>
        <v>Distrital</v>
      </c>
      <c r="O380" s="20" t="str">
        <f t="shared" si="107"/>
        <v>SÍ</v>
      </c>
      <c r="P380" s="20" t="str">
        <f t="shared" si="108"/>
        <v>Fase III: Acuerdos para la Ciudad</v>
      </c>
      <c r="Q380" s="20">
        <f t="shared" si="109"/>
        <v>160</v>
      </c>
      <c r="R380" s="20">
        <f t="shared" si="110"/>
        <v>6</v>
      </c>
      <c r="S380" s="20" t="str">
        <f t="shared" si="111"/>
        <v>Proceso de debate para aprobación de Plan Distrital de Desarrollo</v>
      </c>
      <c r="T380" s="20">
        <f t="shared" si="74"/>
        <v>1</v>
      </c>
      <c r="U380" s="20" t="str">
        <f t="shared" ca="1" si="75"/>
        <v>Realizada</v>
      </c>
      <c r="V380" s="20"/>
      <c r="W380" s="20"/>
      <c r="X380" s="20"/>
      <c r="Y380" s="20"/>
    </row>
    <row r="381" spans="1:25" ht="49.5">
      <c r="A381" s="20">
        <v>479</v>
      </c>
      <c r="B381" s="20" t="str">
        <f t="shared" si="94"/>
        <v>Comisión POT del CTPD</v>
      </c>
      <c r="C381" s="21">
        <f t="shared" si="95"/>
        <v>45436</v>
      </c>
      <c r="D381" s="20" t="str">
        <f t="shared" si="96"/>
        <v>INSTANCIAS</v>
      </c>
      <c r="E381" s="20" t="str">
        <f t="shared" si="97"/>
        <v>NO</v>
      </c>
      <c r="F381" s="20" t="str">
        <f t="shared" si="98"/>
        <v>CTPD (Consejo Territorial de Planeación Distrital)</v>
      </c>
      <c r="G381" s="20" t="str">
        <f t="shared" si="99"/>
        <v>Virtual</v>
      </c>
      <c r="H381" s="20" t="str">
        <f t="shared" si="100"/>
        <v xml:space="preserve">Socializar el Plan de Acción 2024 de la Comisión POT </v>
      </c>
      <c r="I381" s="20" t="str">
        <f t="shared" si="101"/>
        <v>Mecanismo de Seguimiento y Evaluación</v>
      </c>
      <c r="J381" s="20" t="str">
        <f t="shared" si="102"/>
        <v>Comunitario</v>
      </c>
      <c r="K381" s="20" t="str">
        <f t="shared" si="103"/>
        <v>CTPD</v>
      </c>
      <c r="L381" s="20" t="str">
        <f t="shared" si="104"/>
        <v>Distrital</v>
      </c>
      <c r="M381" s="20" t="str">
        <f t="shared" si="105"/>
        <v>Distrital</v>
      </c>
      <c r="N381" s="20" t="str">
        <f t="shared" si="106"/>
        <v>Distrital</v>
      </c>
      <c r="O381" s="20" t="str">
        <f t="shared" si="107"/>
        <v>NO</v>
      </c>
      <c r="P381" s="20" t="str">
        <f t="shared" si="108"/>
        <v>No aplica</v>
      </c>
      <c r="Q381" s="20">
        <f t="shared" si="109"/>
        <v>13</v>
      </c>
      <c r="R381" s="20">
        <f t="shared" si="110"/>
        <v>1</v>
      </c>
      <c r="S381" s="20" t="str">
        <f t="shared" si="111"/>
        <v>Plan de acción 2024 de la comisión POT</v>
      </c>
      <c r="T381" s="20">
        <f t="shared" si="74"/>
        <v>1</v>
      </c>
      <c r="U381" s="20" t="str">
        <f t="shared" ca="1" si="75"/>
        <v>Realizada</v>
      </c>
      <c r="V381" s="20"/>
      <c r="W381" s="20"/>
      <c r="X381" s="20"/>
      <c r="Y381" s="20"/>
    </row>
    <row r="382" spans="1:25" ht="49.5">
      <c r="A382" s="20">
        <v>480</v>
      </c>
      <c r="B382" s="20" t="str">
        <f t="shared" si="94"/>
        <v>Sesión  Extraordinaria Comisión Desarrollo Regional CTPD</v>
      </c>
      <c r="C382" s="21">
        <f t="shared" si="95"/>
        <v>45436</v>
      </c>
      <c r="D382" s="20" t="str">
        <f t="shared" si="96"/>
        <v>INSTANCIAS</v>
      </c>
      <c r="E382" s="20" t="str">
        <f t="shared" si="97"/>
        <v>NO</v>
      </c>
      <c r="F382" s="20" t="str">
        <f t="shared" si="98"/>
        <v>CTPD (Consejo Territorial de Planeación Distrital)</v>
      </c>
      <c r="G382" s="20" t="str">
        <f t="shared" si="99"/>
        <v>Virtual</v>
      </c>
      <c r="H382" s="20" t="str">
        <f t="shared" si="100"/>
        <v>Realizar el acompañamiento como secretaría técnica a la Comisión de Desarrollo Regional del CTPD.</v>
      </c>
      <c r="I382" s="20" t="str">
        <f t="shared" si="101"/>
        <v>Mecanismo de Seguimiento y Evaluación</v>
      </c>
      <c r="J382" s="20" t="str">
        <f t="shared" si="102"/>
        <v>Comunitario</v>
      </c>
      <c r="K382" s="20" t="str">
        <f t="shared" si="103"/>
        <v>CTPD</v>
      </c>
      <c r="L382" s="20" t="str">
        <f t="shared" si="104"/>
        <v>Distrital</v>
      </c>
      <c r="M382" s="20" t="str">
        <f t="shared" si="105"/>
        <v>Distrital</v>
      </c>
      <c r="N382" s="20" t="str">
        <f t="shared" si="106"/>
        <v>Distrital</v>
      </c>
      <c r="O382" s="20" t="str">
        <f t="shared" si="107"/>
        <v>NO</v>
      </c>
      <c r="P382" s="20" t="str">
        <f t="shared" si="108"/>
        <v>No aplica</v>
      </c>
      <c r="Q382" s="20">
        <f t="shared" si="109"/>
        <v>9</v>
      </c>
      <c r="R382" s="20">
        <f t="shared" si="110"/>
        <v>1</v>
      </c>
      <c r="S382" s="20" t="str">
        <f t="shared" si="111"/>
        <v xml:space="preserve">Socialización de aspectos trabajados en la reunión con RAPE, formulario de revisión de problemáticas. Propuesta de las actividades acordes a la problematización trabajada </v>
      </c>
      <c r="T382" s="20">
        <f t="shared" si="74"/>
        <v>1</v>
      </c>
      <c r="U382" s="20" t="str">
        <f t="shared" ca="1" si="75"/>
        <v>Realizada</v>
      </c>
      <c r="V382" s="20"/>
      <c r="W382" s="20"/>
      <c r="X382" s="20"/>
      <c r="Y382" s="20"/>
    </row>
    <row r="383" spans="1:25" ht="49.5">
      <c r="A383" s="20">
        <v>481</v>
      </c>
      <c r="B383" s="20" t="str">
        <f t="shared" si="94"/>
        <v>Sesión de Concejo - Formulación PDD - Mañana</v>
      </c>
      <c r="C383" s="21">
        <f t="shared" si="95"/>
        <v>45437</v>
      </c>
      <c r="D383" s="20" t="str">
        <f t="shared" si="96"/>
        <v>OPDC</v>
      </c>
      <c r="E383" s="20" t="str">
        <f t="shared" si="97"/>
        <v>NO</v>
      </c>
      <c r="F383" s="20" t="str">
        <f t="shared" si="98"/>
        <v>Plan Distrital de Desarrollo</v>
      </c>
      <c r="G383" s="20" t="str">
        <f t="shared" si="99"/>
        <v>Presencial</v>
      </c>
      <c r="H383" s="20" t="str">
        <f t="shared" si="100"/>
        <v>Acompañar la discusión del proyecto de acuerdo del Plan Distrital de Desarrollo de cara al proceso de debate para su aprobación en el Concejo Distrital</v>
      </c>
      <c r="I383" s="20" t="str">
        <f t="shared" si="101"/>
        <v>Mecanismo de Diálogo</v>
      </c>
      <c r="J383" s="20" t="str">
        <f t="shared" si="102"/>
        <v>Público</v>
      </c>
      <c r="K383" s="20" t="str">
        <f t="shared" si="103"/>
        <v>Concejo de Bogotá</v>
      </c>
      <c r="L383" s="20" t="str">
        <f t="shared" si="104"/>
        <v>Distrital</v>
      </c>
      <c r="M383" s="20" t="str">
        <f t="shared" si="105"/>
        <v>Distrital</v>
      </c>
      <c r="N383" s="20" t="str">
        <f t="shared" si="106"/>
        <v>Distrital</v>
      </c>
      <c r="O383" s="20" t="str">
        <f t="shared" si="107"/>
        <v>SÍ</v>
      </c>
      <c r="P383" s="20" t="str">
        <f t="shared" si="108"/>
        <v>Fase III: Acuerdos para la Ciudad</v>
      </c>
      <c r="Q383" s="20">
        <f t="shared" si="109"/>
        <v>246</v>
      </c>
      <c r="R383" s="20">
        <f t="shared" si="110"/>
        <v>8</v>
      </c>
      <c r="S383" s="20" t="str">
        <f t="shared" si="111"/>
        <v>Proyecto de Acuerdo distrital 368 de 2024; Discusión y aprobación articulado</v>
      </c>
      <c r="T383" s="20">
        <f t="shared" si="74"/>
        <v>1</v>
      </c>
      <c r="U383" s="20" t="str">
        <f t="shared" ca="1" si="75"/>
        <v>Realizada</v>
      </c>
      <c r="V383" s="20"/>
      <c r="W383" s="20"/>
      <c r="X383" s="20"/>
      <c r="Y383" s="20"/>
    </row>
    <row r="384" spans="1:25" ht="37.5">
      <c r="A384" s="20">
        <v>482</v>
      </c>
      <c r="B384" s="20" t="str">
        <f t="shared" si="94"/>
        <v>Audiencia Pública de Rendición de Cuentas IDPAC vigencia 2023</v>
      </c>
      <c r="C384" s="21">
        <f t="shared" si="95"/>
        <v>45437</v>
      </c>
      <c r="D384" s="20" t="str">
        <f t="shared" si="96"/>
        <v>OPDC</v>
      </c>
      <c r="E384" s="20" t="str">
        <f t="shared" si="97"/>
        <v>NO</v>
      </c>
      <c r="F384" s="20" t="str">
        <f t="shared" si="98"/>
        <v>Escenarios individuales</v>
      </c>
      <c r="G384" s="20" t="str">
        <f t="shared" si="99"/>
        <v>Presencial</v>
      </c>
      <c r="H384" s="20" t="str">
        <f t="shared" si="100"/>
        <v>Acompañar en calidad de entidad invitada, la rendición de cuentas del IDPAC 2023</v>
      </c>
      <c r="I384" s="20" t="str">
        <f t="shared" si="101"/>
        <v>Gestión Institucional</v>
      </c>
      <c r="J384" s="20" t="str">
        <f t="shared" si="102"/>
        <v>Multiactor</v>
      </c>
      <c r="K384" s="20">
        <f t="shared" si="103"/>
        <v>0</v>
      </c>
      <c r="L384" s="20" t="str">
        <f t="shared" si="104"/>
        <v>Distrital</v>
      </c>
      <c r="M384" s="20" t="str">
        <f t="shared" si="105"/>
        <v>Distrital</v>
      </c>
      <c r="N384" s="20" t="str">
        <f t="shared" si="106"/>
        <v>Distrital</v>
      </c>
      <c r="O384" s="20" t="str">
        <f t="shared" si="107"/>
        <v>NO</v>
      </c>
      <c r="P384" s="20" t="str">
        <f t="shared" si="108"/>
        <v>No aplica</v>
      </c>
      <c r="Q384" s="20">
        <f t="shared" si="109"/>
        <v>300</v>
      </c>
      <c r="R384" s="20">
        <f t="shared" si="110"/>
        <v>1</v>
      </c>
      <c r="S384" s="20" t="str">
        <f t="shared" si="111"/>
        <v>Rendición de cuentas del IDPAC</v>
      </c>
      <c r="T384" s="20">
        <f t="shared" si="74"/>
        <v>1</v>
      </c>
      <c r="U384" s="20" t="str">
        <f t="shared" ca="1" si="75"/>
        <v>Realizada</v>
      </c>
      <c r="V384" s="20"/>
      <c r="W384" s="20"/>
      <c r="X384" s="20"/>
      <c r="Y384" s="20"/>
    </row>
    <row r="385" spans="1:25" ht="74.25">
      <c r="A385" s="20">
        <v>483</v>
      </c>
      <c r="B385" s="20" t="str">
        <f t="shared" si="94"/>
        <v>Actividad de cumplimento para acción afirmativa con Comunidad Raizal</v>
      </c>
      <c r="C385" s="21">
        <f t="shared" si="95"/>
        <v>45437</v>
      </c>
      <c r="D385" s="20" t="str">
        <f t="shared" si="96"/>
        <v>OPDC</v>
      </c>
      <c r="E385" s="20" t="str">
        <f t="shared" si="97"/>
        <v>NO</v>
      </c>
      <c r="F385" s="20" t="str">
        <f t="shared" si="98"/>
        <v>Políticas Públicas</v>
      </c>
      <c r="G385" s="20" t="str">
        <f t="shared" si="99"/>
        <v>Presencial</v>
      </c>
      <c r="H385" s="20" t="str">
        <f t="shared" si="100"/>
        <v>Realizar actividad de socialización de la política pública de negros afrocolombianos, palenqueros y raizales en el marco de cumplimiento de  la acción afirmativa pendiente por ejecutar con la Comunidad Raizal</v>
      </c>
      <c r="I385" s="20" t="str">
        <f t="shared" si="101"/>
        <v>Mecanismo de Comunicación para la Participación</v>
      </c>
      <c r="J385" s="20" t="str">
        <f t="shared" si="102"/>
        <v>Comunitario</v>
      </c>
      <c r="K385" s="20" t="str">
        <f t="shared" si="103"/>
        <v>Consejo Consultivo</v>
      </c>
      <c r="L385" s="20" t="str">
        <f t="shared" si="104"/>
        <v>Distrital</v>
      </c>
      <c r="M385" s="20" t="str">
        <f t="shared" si="105"/>
        <v>Distrital</v>
      </c>
      <c r="N385" s="20" t="str">
        <f t="shared" si="106"/>
        <v>Distrital</v>
      </c>
      <c r="O385" s="20" t="str">
        <f t="shared" si="107"/>
        <v>NO</v>
      </c>
      <c r="P385" s="20" t="str">
        <f t="shared" si="108"/>
        <v>No aplica</v>
      </c>
      <c r="Q385" s="20">
        <f t="shared" si="109"/>
        <v>54</v>
      </c>
      <c r="R385" s="20">
        <f t="shared" si="110"/>
        <v>6</v>
      </c>
      <c r="S385" s="20" t="str">
        <f t="shared" si="111"/>
        <v xml:space="preserve">Acción afirmativa; conpes distrital 38; comunidad raizales </v>
      </c>
      <c r="T385" s="20">
        <f t="shared" si="74"/>
        <v>1</v>
      </c>
      <c r="U385" s="20" t="str">
        <f t="shared" ca="1" si="75"/>
        <v>Realizada</v>
      </c>
      <c r="V385" s="20"/>
      <c r="W385" s="20"/>
      <c r="X385" s="20"/>
      <c r="Y385" s="20"/>
    </row>
    <row r="386" spans="1:25" ht="49.5">
      <c r="A386" s="20">
        <v>484</v>
      </c>
      <c r="B386" s="20" t="str">
        <f t="shared" ref="B386:B413" si="112">IFERROR(VLOOKUP(A386,DATA_MATRIZ,2,FALSE),"")</f>
        <v>Sesión de Concejo - Formulación PDD - Tarde</v>
      </c>
      <c r="C386" s="21">
        <f t="shared" ref="C386:C413" si="113">IFERROR(VLOOKUP(A386,DATA_MATRIZ,3,FALSE),"")</f>
        <v>45437</v>
      </c>
      <c r="D386" s="20" t="str">
        <f t="shared" ref="D386:D413" si="114">IFERROR(VLOOKUP(A386,DATA_MATRIZ,5,FALSE),"")</f>
        <v>OPDC</v>
      </c>
      <c r="E386" s="20" t="str">
        <f t="shared" ref="E386:E413" si="115">IFERROR(VLOOKUP(A386,DATA_MATRIZ,9,FALSE),"")</f>
        <v>NO</v>
      </c>
      <c r="F386" s="20" t="str">
        <f t="shared" ref="F386:F413" si="116">IFERROR(VLOOKUP(A386,DATA_MATRIZ,10,FALSE),"")</f>
        <v>Plan Distrital de Desarrollo</v>
      </c>
      <c r="G386" s="20" t="str">
        <f t="shared" ref="G386:G413" si="117">IFERROR(VLOOKUP(A386,DATA_MATRIZ,11,FALSE),"")</f>
        <v>Presencial</v>
      </c>
      <c r="H386" s="20" t="str">
        <f t="shared" ref="H386:H413" si="118">IFERROR(VLOOKUP(A386,DATA_MATRIZ,12,FALSE),"")</f>
        <v>Acompañar la discusión del proyecto de acuerdo del Plan Distrital de Desarrollo, de cara al proceso de debate para su aprobación en el Concejo Distrital</v>
      </c>
      <c r="I386" s="20" t="str">
        <f t="shared" ref="I386:I413" si="119">IFERROR(VLOOKUP(A386,DATA_MATRIZ,13,FALSE),"")</f>
        <v>Mecanismo de Diálogo</v>
      </c>
      <c r="J386" s="20" t="str">
        <f t="shared" ref="J386:J413" si="120">IFERROR(VLOOKUP(A386,DATA_MATRIZ,41,FALSE),"")</f>
        <v>Público</v>
      </c>
      <c r="K386" s="20" t="str">
        <f t="shared" ref="K386:K413" si="121">IFERROR(VLOOKUP(A386,DATA_MATRIZ,42,FALSE),"")</f>
        <v>Concejo de Bogotá</v>
      </c>
      <c r="L386" s="20" t="str">
        <f t="shared" ref="L386:L413" si="122">IFERROR(VLOOKUP(A386,DATA_MATRIZ,46,FALSE),"")</f>
        <v>Distrital</v>
      </c>
      <c r="M386" s="20" t="str">
        <f t="shared" ref="M386:M413" si="123">IFERROR(VLOOKUP(A386,DATA_MATRIZ,53,FALSE),"")</f>
        <v>Distrital</v>
      </c>
      <c r="N386" s="20" t="str">
        <f t="shared" ref="N386:N413" si="124">IFERROR(VLOOKUP(A386,DATA_MATRIZ,60,FALSE),"")</f>
        <v>Distrital</v>
      </c>
      <c r="O386" s="20" t="str">
        <f t="shared" ref="O386:O413" si="125">IFERROR(VLOOKUP(A386,DATA_MATRIZ,75,FALSE),"")</f>
        <v>SÍ</v>
      </c>
      <c r="P386" s="20" t="str">
        <f t="shared" ref="P386:P413" si="126">IFERROR(VLOOKUP(A386,DATA_MATRIZ,76,FALSE),"")</f>
        <v>Fase III: Acuerdos para la Ciudad</v>
      </c>
      <c r="Q386" s="20">
        <f t="shared" ref="Q386:Q413" si="127">IFERROR(VLOOKUP(A386,DATA_MATRIZ,78,FALSE),"")</f>
        <v>350</v>
      </c>
      <c r="R386" s="20">
        <f t="shared" ref="R386:R413" si="128">IFERROR(VLOOKUP(A386,DATA_MATRIZ,79,FALSE),"")</f>
        <v>6</v>
      </c>
      <c r="S386" s="20" t="str">
        <f t="shared" ref="S386:S413" si="129">IFERROR(VLOOKUP(A386,DATA_MATRIZ,85,FALSE),"")</f>
        <v>Metas y vigencia del Plan Distrital de Desarrollo.</v>
      </c>
      <c r="T386" s="20">
        <f t="shared" si="74"/>
        <v>1</v>
      </c>
      <c r="U386" s="20" t="str">
        <f t="shared" ca="1" si="75"/>
        <v>Realizada</v>
      </c>
      <c r="V386" s="20"/>
      <c r="W386" s="20"/>
      <c r="X386" s="20"/>
      <c r="Y386" s="20"/>
    </row>
    <row r="387" spans="1:25" ht="61.5">
      <c r="A387" s="20">
        <v>485</v>
      </c>
      <c r="B387" s="20" t="str">
        <f t="shared" si="112"/>
        <v>Gala Sergio Urrego</v>
      </c>
      <c r="C387" s="21">
        <f t="shared" si="113"/>
        <v>45437</v>
      </c>
      <c r="D387" s="20" t="str">
        <f t="shared" si="114"/>
        <v>GENERAL SDP</v>
      </c>
      <c r="E387" s="20" t="str">
        <f t="shared" si="115"/>
        <v>NO</v>
      </c>
      <c r="F387" s="20" t="str">
        <f t="shared" si="116"/>
        <v>Política Pública LGBTI</v>
      </c>
      <c r="G387" s="20" t="str">
        <f t="shared" si="117"/>
        <v>Presencial</v>
      </c>
      <c r="H387" s="20" t="str">
        <f t="shared" si="118"/>
        <v>Destacar el activismo de toda una vida en prevención de la discriminación.</v>
      </c>
      <c r="I387" s="20" t="str">
        <f t="shared" si="119"/>
        <v>Mecanismo de Fortalecimiento Ciudadano para la Planeación Participativa</v>
      </c>
      <c r="J387" s="20" t="str">
        <f t="shared" si="120"/>
        <v>Multiactor</v>
      </c>
      <c r="K387" s="20">
        <f t="shared" si="121"/>
        <v>0</v>
      </c>
      <c r="L387" s="20" t="str">
        <f t="shared" si="122"/>
        <v>Distrital</v>
      </c>
      <c r="M387" s="20" t="str">
        <f t="shared" si="123"/>
        <v>Distrital</v>
      </c>
      <c r="N387" s="20" t="str">
        <f t="shared" si="124"/>
        <v>Distrital</v>
      </c>
      <c r="O387" s="20" t="str">
        <f t="shared" si="125"/>
        <v>NO</v>
      </c>
      <c r="P387" s="20" t="str">
        <f t="shared" si="126"/>
        <v>No aplica</v>
      </c>
      <c r="Q387" s="20">
        <f t="shared" si="127"/>
        <v>100</v>
      </c>
      <c r="R387" s="20">
        <f t="shared" si="128"/>
        <v>2</v>
      </c>
      <c r="S387" s="20" t="str">
        <f t="shared" si="129"/>
        <v>Pendiente</v>
      </c>
      <c r="T387" s="20">
        <f t="shared" si="74"/>
        <v>1</v>
      </c>
      <c r="U387" s="20" t="str">
        <f t="shared" ca="1" si="75"/>
        <v>Realizada</v>
      </c>
      <c r="V387" s="20"/>
      <c r="W387" s="20"/>
      <c r="X387" s="20"/>
      <c r="Y387" s="20"/>
    </row>
    <row r="388" spans="1:25" ht="61.5">
      <c r="A388" s="20">
        <v>486</v>
      </c>
      <c r="B388" s="20" t="str">
        <f t="shared" si="112"/>
        <v>Reunión con presidentes de JAC con incidencia en la APP Campin y AE Campin 7 de agosto</v>
      </c>
      <c r="C388" s="21">
        <f t="shared" si="113"/>
        <v>45439</v>
      </c>
      <c r="D388" s="20" t="str">
        <f t="shared" si="114"/>
        <v>OPDC</v>
      </c>
      <c r="E388" s="20" t="str">
        <f t="shared" si="115"/>
        <v>SÍ</v>
      </c>
      <c r="F388" s="20" t="str">
        <f t="shared" si="116"/>
        <v>Construcción de Directrices de Actuaciones Estratégicas</v>
      </c>
      <c r="G388" s="20" t="str">
        <f t="shared" si="117"/>
        <v>Presencial</v>
      </c>
      <c r="H388" s="20" t="str">
        <f t="shared" si="118"/>
        <v>Acompañar la respuesta de inquietudes respecto a la APP Campin y AE Campin 7 de Agosto de manera preliminar para posteriormente organizar las actividades de participación</v>
      </c>
      <c r="I388" s="20" t="str">
        <f t="shared" si="119"/>
        <v>Mecanismo de Diálogo</v>
      </c>
      <c r="J388" s="20" t="str">
        <f t="shared" si="120"/>
        <v>Comunitario</v>
      </c>
      <c r="K388" s="20" t="str">
        <f t="shared" si="121"/>
        <v>ASOJUNTAS - JAC</v>
      </c>
      <c r="L388" s="20" t="str">
        <f t="shared" si="122"/>
        <v>Teusaquillo</v>
      </c>
      <c r="M388" s="20" t="str">
        <f t="shared" si="123"/>
        <v>Centro Ampliado</v>
      </c>
      <c r="N388" s="20" t="str">
        <f t="shared" si="124"/>
        <v>Teusaquillo</v>
      </c>
      <c r="O388" s="20" t="str">
        <f t="shared" si="125"/>
        <v>NO</v>
      </c>
      <c r="P388" s="20" t="str">
        <f t="shared" si="126"/>
        <v>No aplica</v>
      </c>
      <c r="Q388" s="20">
        <f t="shared" si="127"/>
        <v>3</v>
      </c>
      <c r="R388" s="20">
        <f t="shared" si="128"/>
        <v>5</v>
      </c>
      <c r="S388" s="20" t="str">
        <f t="shared" si="129"/>
        <v>Compromisos para el desarrollo de las actividades de participación en torno a la formulación de la AE Campin 7 de agosto</v>
      </c>
      <c r="T388" s="20">
        <f t="shared" si="74"/>
        <v>1</v>
      </c>
      <c r="U388" s="20" t="str">
        <f t="shared" ca="1" si="75"/>
        <v>Realizada</v>
      </c>
      <c r="V388" s="20"/>
      <c r="W388" s="20"/>
      <c r="X388" s="20"/>
      <c r="Y388" s="20"/>
    </row>
    <row r="389" spans="1:25" ht="49.5">
      <c r="A389" s="20">
        <v>487</v>
      </c>
      <c r="B389" s="20" t="str">
        <f t="shared" si="112"/>
        <v>Gestión: concertación acciones afirmativas Pueblo Rrom</v>
      </c>
      <c r="C389" s="21">
        <f t="shared" si="113"/>
        <v>45439</v>
      </c>
      <c r="D389" s="20" t="str">
        <f t="shared" si="114"/>
        <v>OPDC</v>
      </c>
      <c r="E389" s="20" t="str">
        <f t="shared" si="115"/>
        <v>NO</v>
      </c>
      <c r="F389" s="20" t="str">
        <f t="shared" si="116"/>
        <v>Políticas Públicas</v>
      </c>
      <c r="G389" s="20" t="str">
        <f t="shared" si="117"/>
        <v>Virtual</v>
      </c>
      <c r="H389" s="20" t="str">
        <f t="shared" si="118"/>
        <v>Concertar el plan de trabajo para el cumplimiento del Plan Integral de Acciones Afirmativas de la vigencia 2024 con el Pueblo Rrom Gitano</v>
      </c>
      <c r="I389" s="20" t="str">
        <f t="shared" si="119"/>
        <v>Gestión Institucional</v>
      </c>
      <c r="J389" s="20" t="str">
        <f t="shared" si="120"/>
        <v>Público</v>
      </c>
      <c r="K389" s="20">
        <f t="shared" si="121"/>
        <v>0</v>
      </c>
      <c r="L389" s="20" t="str">
        <f t="shared" si="122"/>
        <v>Distrital</v>
      </c>
      <c r="M389" s="20" t="str">
        <f t="shared" si="123"/>
        <v>Distrital</v>
      </c>
      <c r="N389" s="20" t="str">
        <f t="shared" si="124"/>
        <v>Distrital</v>
      </c>
      <c r="O389" s="20" t="str">
        <f t="shared" si="125"/>
        <v>NO</v>
      </c>
      <c r="P389" s="20" t="str">
        <f t="shared" si="126"/>
        <v>No aplica</v>
      </c>
      <c r="Q389" s="20">
        <f t="shared" si="127"/>
        <v>3</v>
      </c>
      <c r="R389" s="20">
        <f t="shared" si="128"/>
        <v>3</v>
      </c>
      <c r="S389" s="20" t="str">
        <f t="shared" si="129"/>
        <v>Plan de trabajo para el cumplimiento de la acción afirmativa del art 66 del PDD 2020-2024 con el Pueblo Rrom Gitano</v>
      </c>
      <c r="T389" s="20">
        <f t="shared" si="74"/>
        <v>1</v>
      </c>
      <c r="U389" s="20" t="str">
        <f t="shared" ca="1" si="75"/>
        <v>Realizada</v>
      </c>
      <c r="V389" s="20"/>
      <c r="W389" s="20"/>
      <c r="X389" s="20"/>
      <c r="Y389" s="20"/>
    </row>
    <row r="390" spans="1:25" ht="61.5">
      <c r="A390" s="20">
        <v>489</v>
      </c>
      <c r="B390" s="20" t="str">
        <f t="shared" si="112"/>
        <v>Sesión de Concejo - Formulación PDD - Mañana</v>
      </c>
      <c r="C390" s="21">
        <f t="shared" si="113"/>
        <v>45440</v>
      </c>
      <c r="D390" s="20" t="str">
        <f t="shared" si="114"/>
        <v>OPDC</v>
      </c>
      <c r="E390" s="20" t="str">
        <f t="shared" si="115"/>
        <v>NO</v>
      </c>
      <c r="F390" s="20" t="str">
        <f t="shared" si="116"/>
        <v>Plan Distrital de Desarrollo</v>
      </c>
      <c r="G390" s="20" t="str">
        <f t="shared" si="117"/>
        <v>Presencial</v>
      </c>
      <c r="H390" s="20" t="str">
        <f t="shared" si="118"/>
        <v>Acompañar la discusión del proyecto de acuerdo del Plan Distrital de Desarrollo de cara al proceso de debate para su aprobación en el Concejo Distrital</v>
      </c>
      <c r="I390" s="20" t="str">
        <f t="shared" si="119"/>
        <v>Mecanismo de Diálogo</v>
      </c>
      <c r="J390" s="20" t="str">
        <f t="shared" si="120"/>
        <v>Público</v>
      </c>
      <c r="K390" s="20" t="str">
        <f t="shared" si="121"/>
        <v>Concejo de Bogotá</v>
      </c>
      <c r="L390" s="20" t="str">
        <f t="shared" si="122"/>
        <v>Distrital</v>
      </c>
      <c r="M390" s="20" t="str">
        <f t="shared" si="123"/>
        <v>Distrital</v>
      </c>
      <c r="N390" s="20" t="str">
        <f t="shared" si="124"/>
        <v>Distrital</v>
      </c>
      <c r="O390" s="20" t="str">
        <f t="shared" si="125"/>
        <v>SÍ</v>
      </c>
      <c r="P390" s="20" t="str">
        <f t="shared" si="126"/>
        <v>Fase III: Acuerdos para la Ciudad</v>
      </c>
      <c r="Q390" s="20">
        <f t="shared" si="127"/>
        <v>216</v>
      </c>
      <c r="R390" s="20">
        <f t="shared" si="128"/>
        <v>7</v>
      </c>
      <c r="S390" s="20" t="str">
        <f t="shared" si="129"/>
        <v>Proyecto de acuerdo segundo Debate del proyecto de acuerdo 368 de 2024 mediante el cual se adopta el plan de desarrollo económico, social, ambiental y de obras públicas del Distrito Capital 2024-2027</v>
      </c>
      <c r="T390" s="20">
        <f t="shared" si="74"/>
        <v>1</v>
      </c>
      <c r="U390" s="20" t="str">
        <f t="shared" ca="1" si="75"/>
        <v>Realizada</v>
      </c>
      <c r="V390" s="20"/>
      <c r="W390" s="20"/>
      <c r="X390" s="20"/>
      <c r="Y390" s="20"/>
    </row>
    <row r="391" spans="1:25" ht="25.5">
      <c r="A391" s="20">
        <v>490</v>
      </c>
      <c r="B391" s="20" t="str">
        <f t="shared" si="112"/>
        <v xml:space="preserve"> Sesión extraordinaria - Mesa Distrital de Víctimas</v>
      </c>
      <c r="C391" s="21">
        <f t="shared" si="113"/>
        <v>45440</v>
      </c>
      <c r="D391" s="20" t="str">
        <f t="shared" si="114"/>
        <v>OPDC</v>
      </c>
      <c r="E391" s="20" t="str">
        <f t="shared" si="115"/>
        <v>NO</v>
      </c>
      <c r="F391" s="20" t="str">
        <f t="shared" si="116"/>
        <v>Plan Distrital de Desarrollo</v>
      </c>
      <c r="G391" s="20" t="str">
        <f t="shared" si="117"/>
        <v>Presencial</v>
      </c>
      <c r="H391" s="20" t="str">
        <f t="shared" si="118"/>
        <v>Acompañar la sesión extraordinaria para analizar las propuestas del PDD.</v>
      </c>
      <c r="I391" s="20" t="str">
        <f t="shared" si="119"/>
        <v>Mecanismo de Diálogo</v>
      </c>
      <c r="J391" s="20" t="str">
        <f t="shared" si="120"/>
        <v>Multiactor</v>
      </c>
      <c r="K391" s="20">
        <f t="shared" si="121"/>
        <v>0</v>
      </c>
      <c r="L391" s="20" t="str">
        <f t="shared" si="122"/>
        <v>Distrital</v>
      </c>
      <c r="M391" s="20" t="str">
        <f t="shared" si="123"/>
        <v>Distrital</v>
      </c>
      <c r="N391" s="20" t="str">
        <f t="shared" si="124"/>
        <v>Distrital</v>
      </c>
      <c r="O391" s="20" t="str">
        <f t="shared" si="125"/>
        <v>SÍ</v>
      </c>
      <c r="P391" s="20" t="str">
        <f t="shared" si="126"/>
        <v>Fase III: Acuerdos para la Ciudad</v>
      </c>
      <c r="Q391" s="20">
        <f t="shared" si="127"/>
        <v>19</v>
      </c>
      <c r="R391" s="20">
        <f t="shared" si="128"/>
        <v>4</v>
      </c>
      <c r="S391" s="20" t="str">
        <f t="shared" si="129"/>
        <v>Inquietudes de la Mesa sobre propuesta para el PDD Y Plan de Acción Distrital 2024 - 2028</v>
      </c>
      <c r="T391" s="20">
        <f t="shared" si="74"/>
        <v>1</v>
      </c>
      <c r="U391" s="20" t="str">
        <f t="shared" ca="1" si="75"/>
        <v>Realizada</v>
      </c>
      <c r="V391" s="20"/>
      <c r="W391" s="20"/>
      <c r="X391" s="20"/>
      <c r="Y391" s="20"/>
    </row>
    <row r="392" spans="1:25" ht="61.5">
      <c r="A392" s="20">
        <v>491</v>
      </c>
      <c r="B392" s="20" t="str">
        <f t="shared" si="112"/>
        <v>Encuentro Fundación Colombia 2050</v>
      </c>
      <c r="C392" s="21">
        <f t="shared" si="113"/>
        <v>45440</v>
      </c>
      <c r="D392" s="20" t="str">
        <f t="shared" si="114"/>
        <v>DESPACHO</v>
      </c>
      <c r="E392" s="20" t="str">
        <f t="shared" si="115"/>
        <v>NO</v>
      </c>
      <c r="F392" s="20" t="str">
        <f t="shared" si="116"/>
        <v>Escenarios individuales</v>
      </c>
      <c r="G392" s="20" t="str">
        <f t="shared" si="117"/>
        <v>Presencial</v>
      </c>
      <c r="H392" s="20" t="str">
        <f t="shared" si="118"/>
        <v>Realizar un encuentro con la Fundación Colombia 2050 para garantizar un espacio de articulación de perspectivas juveniles con diversas instancias de la administración distrital.</v>
      </c>
      <c r="I392" s="20" t="str">
        <f t="shared" si="119"/>
        <v>Gestión Institucional</v>
      </c>
      <c r="J392" s="20" t="str">
        <f t="shared" si="120"/>
        <v>Privado</v>
      </c>
      <c r="K392" s="20" t="str">
        <f t="shared" si="121"/>
        <v>Agremiación o sociedad</v>
      </c>
      <c r="L392" s="20" t="str">
        <f t="shared" si="122"/>
        <v>Distrital</v>
      </c>
      <c r="M392" s="20" t="str">
        <f t="shared" si="123"/>
        <v>Distrital</v>
      </c>
      <c r="N392" s="20" t="str">
        <f t="shared" si="124"/>
        <v>Distrital</v>
      </c>
      <c r="O392" s="20" t="str">
        <f t="shared" si="125"/>
        <v>NO</v>
      </c>
      <c r="P392" s="20" t="str">
        <f t="shared" si="126"/>
        <v>No aplica</v>
      </c>
      <c r="Q392" s="20">
        <f t="shared" si="127"/>
        <v>4</v>
      </c>
      <c r="R392" s="20">
        <f t="shared" si="128"/>
        <v>2</v>
      </c>
      <c r="S392" s="20" t="str">
        <f t="shared" si="129"/>
        <v>Articulación del portafolio Fundación Colombia 2050 con procesos de participación estratéticos de la SDP.</v>
      </c>
      <c r="T392" s="20">
        <f t="shared" si="74"/>
        <v>1</v>
      </c>
      <c r="U392" s="20" t="str">
        <f t="shared" ca="1" si="75"/>
        <v>Realizada</v>
      </c>
      <c r="V392" s="20"/>
      <c r="W392" s="20"/>
      <c r="X392" s="20"/>
      <c r="Y392" s="20"/>
    </row>
    <row r="393" spans="1:25" ht="61.5">
      <c r="A393" s="20">
        <v>492</v>
      </c>
      <c r="B393" s="20" t="str">
        <f t="shared" si="112"/>
        <v>Evento - conmemoración 129 años de la Unidad de Bomberos de Bogotá</v>
      </c>
      <c r="C393" s="21">
        <f t="shared" si="113"/>
        <v>45440</v>
      </c>
      <c r="D393" s="20" t="str">
        <f t="shared" si="114"/>
        <v>OPDC</v>
      </c>
      <c r="E393" s="20" t="str">
        <f t="shared" si="115"/>
        <v>NO</v>
      </c>
      <c r="F393" s="20" t="str">
        <f t="shared" si="116"/>
        <v>Escenarios individuales</v>
      </c>
      <c r="G393" s="20" t="str">
        <f t="shared" si="117"/>
        <v>Presencial</v>
      </c>
      <c r="H393" s="20" t="str">
        <f t="shared" si="118"/>
        <v>Acompañar el homenaje a los 129 años del Cuerpo Oficial de Bomberos de Bogotá.</v>
      </c>
      <c r="I393" s="20" t="str">
        <f t="shared" si="119"/>
        <v>Gestión Institucional</v>
      </c>
      <c r="J393" s="20" t="str">
        <f t="shared" si="120"/>
        <v>Público</v>
      </c>
      <c r="K393" s="20">
        <f t="shared" si="121"/>
        <v>0</v>
      </c>
      <c r="L393" s="20" t="str">
        <f t="shared" si="122"/>
        <v>Distrital</v>
      </c>
      <c r="M393" s="20" t="str">
        <f t="shared" si="123"/>
        <v>Distrital</v>
      </c>
      <c r="N393" s="20" t="str">
        <f t="shared" si="124"/>
        <v>Distrital</v>
      </c>
      <c r="O393" s="20" t="str">
        <f t="shared" si="125"/>
        <v>NO</v>
      </c>
      <c r="P393" s="20" t="str">
        <f t="shared" si="126"/>
        <v>No aplica</v>
      </c>
      <c r="Q393" s="20">
        <f t="shared" si="127"/>
        <v>250</v>
      </c>
      <c r="R393" s="20">
        <f t="shared" si="128"/>
        <v>2</v>
      </c>
      <c r="S393" s="20" t="str">
        <f t="shared" si="129"/>
        <v>Homenaje a la Unidad Especial Cuerpo de Bomberos Bogotá; Reconocimiento por años de servicio a bomberos activos, retirados y fallecidos; Palabras secretario Seguridad y Alcalde Mayor.</v>
      </c>
      <c r="T393" s="20">
        <f t="shared" si="74"/>
        <v>1</v>
      </c>
      <c r="U393" s="20" t="str">
        <f t="shared" ca="1" si="75"/>
        <v>Realizada</v>
      </c>
      <c r="V393" s="20"/>
      <c r="W393" s="20"/>
      <c r="X393" s="20"/>
      <c r="Y393" s="20"/>
    </row>
    <row r="394" spans="1:25" ht="61.5">
      <c r="A394" s="20">
        <v>493</v>
      </c>
      <c r="B394" s="20" t="str">
        <f t="shared" si="112"/>
        <v>CLIP Mártires</v>
      </c>
      <c r="C394" s="21">
        <f t="shared" si="113"/>
        <v>45440</v>
      </c>
      <c r="D394" s="20" t="str">
        <f t="shared" si="114"/>
        <v>INSTANCIAS</v>
      </c>
      <c r="E394" s="20" t="str">
        <f t="shared" si="115"/>
        <v>NO</v>
      </c>
      <c r="F394" s="20" t="str">
        <f t="shared" si="116"/>
        <v>CLIP (Comisión Local Intersectorial de Participación)</v>
      </c>
      <c r="G394" s="20" t="str">
        <f t="shared" si="117"/>
        <v>Presencial</v>
      </c>
      <c r="H394" s="20" t="str">
        <f t="shared" si="118"/>
        <v xml:space="preserve">Acompañar la articulación entre instituciones de participación en la localidad de Los Mártires.  </v>
      </c>
      <c r="I394" s="20" t="str">
        <f t="shared" si="119"/>
        <v>Gestión Institucional</v>
      </c>
      <c r="J394" s="20" t="str">
        <f t="shared" si="120"/>
        <v>Público</v>
      </c>
      <c r="K394" s="20" t="str">
        <f t="shared" si="121"/>
        <v>CLIP</v>
      </c>
      <c r="L394" s="20" t="str">
        <f t="shared" si="122"/>
        <v>Los Mártires</v>
      </c>
      <c r="M394" s="20" t="str">
        <f t="shared" si="123"/>
        <v>Centro Ampliado</v>
      </c>
      <c r="N394" s="20" t="str">
        <f t="shared" si="124"/>
        <v>Centro Histórico</v>
      </c>
      <c r="O394" s="20" t="str">
        <f t="shared" si="125"/>
        <v>NO</v>
      </c>
      <c r="P394" s="20" t="str">
        <f t="shared" si="126"/>
        <v>No aplica</v>
      </c>
      <c r="Q394" s="20">
        <f t="shared" si="127"/>
        <v>13</v>
      </c>
      <c r="R394" s="20">
        <f t="shared" si="128"/>
        <v>1</v>
      </c>
      <c r="S394" s="20" t="str">
        <f t="shared" si="129"/>
        <v>Estado y avance proceso de Planeación Participativa (Encuentros Ciudadanos) para el Plan Desarrollo Local, Planes de capacitación para Sistema Distrital de Participación Ciudadana</v>
      </c>
      <c r="T394" s="20">
        <f t="shared" si="74"/>
        <v>1</v>
      </c>
      <c r="U394" s="20" t="str">
        <f t="shared" ca="1" si="75"/>
        <v>Realizada</v>
      </c>
      <c r="V394" s="20"/>
      <c r="W394" s="20"/>
      <c r="X394" s="20"/>
      <c r="Y394" s="20"/>
    </row>
    <row r="395" spans="1:25" ht="61.5">
      <c r="A395" s="20">
        <v>494</v>
      </c>
      <c r="B395" s="20" t="str">
        <f t="shared" si="112"/>
        <v>Reunión Junta Directiva CTPD</v>
      </c>
      <c r="C395" s="21">
        <f t="shared" si="113"/>
        <v>45440</v>
      </c>
      <c r="D395" s="20" t="str">
        <f t="shared" si="114"/>
        <v>OPDC</v>
      </c>
      <c r="E395" s="20" t="str">
        <f t="shared" si="115"/>
        <v>NO</v>
      </c>
      <c r="F395" s="20" t="str">
        <f t="shared" si="116"/>
        <v>CTPD (Consejo Territorial de Planeación Distrital)</v>
      </c>
      <c r="G395" s="20" t="str">
        <f t="shared" si="117"/>
        <v>Presencial</v>
      </c>
      <c r="H395" s="20" t="str">
        <f t="shared" si="118"/>
        <v xml:space="preserve">Revisión de concepto de inclusión de nuevos sectores ante el CTPD, consolidado Plan de Acción CTPD y consolidado de solicitud de recargas CTPD. </v>
      </c>
      <c r="I395" s="20" t="str">
        <f t="shared" si="119"/>
        <v>Mecanismo de Seguimiento y Evaluación</v>
      </c>
      <c r="J395" s="20" t="str">
        <f t="shared" si="120"/>
        <v>Comunitario</v>
      </c>
      <c r="K395" s="20" t="str">
        <f t="shared" si="121"/>
        <v>CTPD</v>
      </c>
      <c r="L395" s="20" t="str">
        <f t="shared" si="122"/>
        <v>Distrital</v>
      </c>
      <c r="M395" s="20" t="str">
        <f t="shared" si="123"/>
        <v>Distrital</v>
      </c>
      <c r="N395" s="20" t="str">
        <f t="shared" si="124"/>
        <v>Distrital</v>
      </c>
      <c r="O395" s="20" t="str">
        <f t="shared" si="125"/>
        <v>NO</v>
      </c>
      <c r="P395" s="20" t="str">
        <f t="shared" si="126"/>
        <v>No aplica</v>
      </c>
      <c r="Q395" s="20">
        <f t="shared" si="127"/>
        <v>6</v>
      </c>
      <c r="R395" s="20">
        <f t="shared" si="128"/>
        <v>4</v>
      </c>
      <c r="S395" s="20" t="str">
        <f t="shared" si="129"/>
        <v xml:space="preserve">Revisión de concepto de inclusión de nuevos sectores ante el CTPD, consolidado Plan de Acción CTPD y consolidado de solicitud de recargas CTPD. </v>
      </c>
      <c r="T395" s="20">
        <f t="shared" si="74"/>
        <v>1</v>
      </c>
      <c r="U395" s="20" t="str">
        <f t="shared" ca="1" si="75"/>
        <v>Realizada</v>
      </c>
      <c r="V395" s="20"/>
      <c r="W395" s="20"/>
      <c r="X395" s="20"/>
      <c r="Y395" s="20"/>
    </row>
    <row r="396" spans="1:25" ht="49.5">
      <c r="A396" s="20">
        <v>495</v>
      </c>
      <c r="B396" s="20" t="str">
        <f t="shared" si="112"/>
        <v>Gestión: Mesa intersectorial  SPT -SSSM</v>
      </c>
      <c r="C396" s="21">
        <f t="shared" si="113"/>
        <v>45440</v>
      </c>
      <c r="D396" s="20" t="str">
        <f t="shared" si="114"/>
        <v>OPDC</v>
      </c>
      <c r="E396" s="20" t="str">
        <f t="shared" si="115"/>
        <v>SÍ</v>
      </c>
      <c r="F396" s="20" t="str">
        <f t="shared" si="116"/>
        <v>Sistema de Sitios Sagrados Muyscas</v>
      </c>
      <c r="G396" s="20" t="str">
        <f t="shared" si="117"/>
        <v>Presencial</v>
      </c>
      <c r="H396" s="20" t="str">
        <f t="shared" si="118"/>
        <v>Realizar mesa intersectorial para definir competencias, incidencia y alcances del escenario del Pueblo Muisca en el Sistema de Participación Territorial.</v>
      </c>
      <c r="I396" s="20" t="str">
        <f t="shared" si="119"/>
        <v>Mecanismo de Seguimiento y Evaluación</v>
      </c>
      <c r="J396" s="20" t="str">
        <f t="shared" si="120"/>
        <v>Público</v>
      </c>
      <c r="K396" s="20" t="str">
        <f t="shared" si="121"/>
        <v>Servidores públicos (Distrital)</v>
      </c>
      <c r="L396" s="20" t="str">
        <f t="shared" si="122"/>
        <v>Distrital</v>
      </c>
      <c r="M396" s="20" t="str">
        <f t="shared" si="123"/>
        <v>Distrital</v>
      </c>
      <c r="N396" s="20" t="str">
        <f t="shared" si="124"/>
        <v>Distrital</v>
      </c>
      <c r="O396" s="20" t="str">
        <f t="shared" si="125"/>
        <v>NO</v>
      </c>
      <c r="P396" s="20" t="str">
        <f t="shared" si="126"/>
        <v>No aplica</v>
      </c>
      <c r="Q396" s="20">
        <f t="shared" si="127"/>
        <v>11</v>
      </c>
      <c r="R396" s="20">
        <f t="shared" si="128"/>
        <v>5</v>
      </c>
      <c r="S396" s="20" t="str">
        <f t="shared" si="129"/>
        <v>Sistema de sitios sagrados Muisca; resolución 2664 de 2023; sistema de participación territorial</v>
      </c>
      <c r="T396" s="20">
        <f t="shared" si="74"/>
        <v>1</v>
      </c>
      <c r="U396" s="20" t="str">
        <f t="shared" ca="1" si="75"/>
        <v>Realizada</v>
      </c>
      <c r="V396" s="20"/>
      <c r="W396" s="20"/>
      <c r="X396" s="20"/>
      <c r="Y396" s="20"/>
    </row>
    <row r="397" spans="1:25" ht="49.5">
      <c r="A397" s="20">
        <v>496</v>
      </c>
      <c r="B397" s="20" t="str">
        <f t="shared" si="112"/>
        <v>Sesión de Concejo - Formulación PDD - Tarde</v>
      </c>
      <c r="C397" s="21">
        <f t="shared" si="113"/>
        <v>45440</v>
      </c>
      <c r="D397" s="20" t="str">
        <f t="shared" si="114"/>
        <v>OPDC</v>
      </c>
      <c r="E397" s="20" t="str">
        <f t="shared" si="115"/>
        <v>NO</v>
      </c>
      <c r="F397" s="20" t="str">
        <f t="shared" si="116"/>
        <v>Plan Distrital de Desarrollo</v>
      </c>
      <c r="G397" s="20" t="str">
        <f t="shared" si="117"/>
        <v>Presencial</v>
      </c>
      <c r="H397" s="20" t="str">
        <f t="shared" si="118"/>
        <v>Acompañar la discusión del proyecto de acuerdo del Plan Distrital de Desarrollo de cara al proceso de debate para su aprobación en el Concejo Distrital</v>
      </c>
      <c r="I397" s="20" t="str">
        <f t="shared" si="119"/>
        <v>Mecanismo de Diálogo</v>
      </c>
      <c r="J397" s="20" t="str">
        <f t="shared" si="120"/>
        <v>Público</v>
      </c>
      <c r="K397" s="20" t="str">
        <f t="shared" si="121"/>
        <v>Concejo de Bogotá</v>
      </c>
      <c r="L397" s="20" t="str">
        <f t="shared" si="122"/>
        <v>Distrital</v>
      </c>
      <c r="M397" s="20" t="str">
        <f t="shared" si="123"/>
        <v>Distrital</v>
      </c>
      <c r="N397" s="20" t="str">
        <f t="shared" si="124"/>
        <v>Distrital</v>
      </c>
      <c r="O397" s="20" t="str">
        <f t="shared" si="125"/>
        <v>SÍ</v>
      </c>
      <c r="P397" s="20" t="str">
        <f t="shared" si="126"/>
        <v>Fase III: Acuerdos para la Ciudad</v>
      </c>
      <c r="Q397" s="20">
        <f t="shared" si="127"/>
        <v>246</v>
      </c>
      <c r="R397" s="20">
        <f t="shared" si="128"/>
        <v>8</v>
      </c>
      <c r="S397" s="20" t="str">
        <f t="shared" si="129"/>
        <v>Proyecto de Acuerdo distrital 368 de 2024; supresión de articulos</v>
      </c>
      <c r="T397" s="20">
        <f t="shared" si="74"/>
        <v>1</v>
      </c>
      <c r="U397" s="20" t="str">
        <f t="shared" ca="1" si="75"/>
        <v>Realizada</v>
      </c>
      <c r="V397" s="20"/>
      <c r="W397" s="20"/>
      <c r="X397" s="20"/>
      <c r="Y397" s="20"/>
    </row>
    <row r="398" spans="1:25" ht="49.5">
      <c r="A398" s="20">
        <v>497</v>
      </c>
      <c r="B398" s="20" t="str">
        <f t="shared" si="112"/>
        <v>Mesa de trabajo Foro - Veeduría Distrital</v>
      </c>
      <c r="C398" s="21">
        <f t="shared" si="113"/>
        <v>45441</v>
      </c>
      <c r="D398" s="20" t="str">
        <f t="shared" si="114"/>
        <v>INSTANCIAS</v>
      </c>
      <c r="E398" s="20" t="str">
        <f t="shared" si="115"/>
        <v>NO</v>
      </c>
      <c r="F398" s="20" t="str">
        <f t="shared" si="116"/>
        <v>Red institucional de veedurías ciudadanas</v>
      </c>
      <c r="G398" s="20" t="str">
        <f t="shared" si="117"/>
        <v>Presencial</v>
      </c>
      <c r="H398" s="20" t="str">
        <f t="shared" si="118"/>
        <v>Continuar plan de acción de la red y aunar esfuerzos para el desarrollo del foro y diplomado</v>
      </c>
      <c r="I398" s="20" t="str">
        <f t="shared" si="119"/>
        <v>Gestión Institucional</v>
      </c>
      <c r="J398" s="20" t="str">
        <f t="shared" si="120"/>
        <v>Público</v>
      </c>
      <c r="K398" s="20">
        <f t="shared" si="121"/>
        <v>0</v>
      </c>
      <c r="L398" s="20" t="str">
        <f t="shared" si="122"/>
        <v>Distrital</v>
      </c>
      <c r="M398" s="20" t="str">
        <f t="shared" si="123"/>
        <v>Distrital</v>
      </c>
      <c r="N398" s="20" t="str">
        <f t="shared" si="124"/>
        <v>Distrital</v>
      </c>
      <c r="O398" s="20" t="str">
        <f t="shared" si="125"/>
        <v>NO</v>
      </c>
      <c r="P398" s="20" t="str">
        <f t="shared" si="126"/>
        <v>No aplica</v>
      </c>
      <c r="Q398" s="20">
        <f t="shared" si="127"/>
        <v>7</v>
      </c>
      <c r="R398" s="20">
        <f t="shared" si="128"/>
        <v>1</v>
      </c>
      <c r="S398" s="20" t="str">
        <f t="shared" si="129"/>
        <v xml:space="preserve">Planeación actividad foro del segundo semestre en el marco de plan de acción de la Red institucional de Apoyo a las Veedurías Ciudadanas </v>
      </c>
      <c r="T398" s="20">
        <f t="shared" si="74"/>
        <v>1</v>
      </c>
      <c r="U398" s="20" t="str">
        <f t="shared" ca="1" si="75"/>
        <v>Realizada</v>
      </c>
      <c r="V398" s="20"/>
      <c r="W398" s="20"/>
      <c r="X398" s="20"/>
      <c r="Y398" s="20"/>
    </row>
    <row r="399" spans="1:25" ht="49.5">
      <c r="A399" s="20">
        <v>498</v>
      </c>
      <c r="B399" s="20" t="str">
        <f t="shared" si="112"/>
        <v>Sesión de Concejo - Formulación PDD - Mañana</v>
      </c>
      <c r="C399" s="21">
        <f t="shared" si="113"/>
        <v>45441</v>
      </c>
      <c r="D399" s="20" t="str">
        <f t="shared" si="114"/>
        <v>OPDC</v>
      </c>
      <c r="E399" s="20" t="str">
        <f t="shared" si="115"/>
        <v>NO</v>
      </c>
      <c r="F399" s="20" t="str">
        <f t="shared" si="116"/>
        <v>Plan Distrital de Desarrollo</v>
      </c>
      <c r="G399" s="20" t="str">
        <f t="shared" si="117"/>
        <v>Presencial</v>
      </c>
      <c r="H399" s="20" t="str">
        <f t="shared" si="118"/>
        <v>Acompañar la discusión del proyecto de acuerdo del Plan Distrital de Desarrollo de cara al proceso de debate para su aprobación en el Concejo Distrital</v>
      </c>
      <c r="I399" s="20" t="str">
        <f t="shared" si="119"/>
        <v>Mecanismo de Diálogo</v>
      </c>
      <c r="J399" s="20" t="str">
        <f t="shared" si="120"/>
        <v>Público</v>
      </c>
      <c r="K399" s="20" t="str">
        <f t="shared" si="121"/>
        <v>Concejo de Bogotá</v>
      </c>
      <c r="L399" s="20" t="str">
        <f t="shared" si="122"/>
        <v>Distrital</v>
      </c>
      <c r="M399" s="20" t="str">
        <f t="shared" si="123"/>
        <v>Distrital</v>
      </c>
      <c r="N399" s="20" t="str">
        <f t="shared" si="124"/>
        <v>Distrital</v>
      </c>
      <c r="O399" s="20" t="str">
        <f t="shared" si="125"/>
        <v>SÍ</v>
      </c>
      <c r="P399" s="20" t="str">
        <f t="shared" si="126"/>
        <v>Fase III: Acuerdos para la Ciudad</v>
      </c>
      <c r="Q399" s="20">
        <f t="shared" si="127"/>
        <v>140</v>
      </c>
      <c r="R399" s="20">
        <f t="shared" si="128"/>
        <v>5</v>
      </c>
      <c r="S399" s="20" t="str">
        <f t="shared" si="129"/>
        <v>sesión plenaria y discusión de articulos con temas de: procesos de Renovación urbana, seguridad y justicia social, suelo para viviendas, agua en bogotá, desarrollo urbano y pobreza.</v>
      </c>
      <c r="T399" s="20">
        <f t="shared" si="74"/>
        <v>1</v>
      </c>
      <c r="U399" s="20" t="str">
        <f t="shared" ca="1" si="75"/>
        <v>Realizada</v>
      </c>
      <c r="V399" s="20"/>
      <c r="W399" s="20"/>
      <c r="X399" s="20"/>
      <c r="Y399" s="20"/>
    </row>
    <row r="400" spans="1:25" ht="49.5">
      <c r="A400" s="20">
        <v>499</v>
      </c>
      <c r="B400" s="20" t="str">
        <f t="shared" si="112"/>
        <v>Socialización Plan Parcial de Desarrollo Los Búhos</v>
      </c>
      <c r="C400" s="21">
        <f t="shared" si="113"/>
        <v>45441</v>
      </c>
      <c r="D400" s="20" t="str">
        <f t="shared" si="114"/>
        <v>OPDC</v>
      </c>
      <c r="E400" s="20" t="str">
        <f t="shared" si="115"/>
        <v>NO</v>
      </c>
      <c r="F400" s="20" t="str">
        <f t="shared" si="116"/>
        <v>Planes Parciales de Desarrollo</v>
      </c>
      <c r="G400" s="20" t="str">
        <f t="shared" si="117"/>
        <v>Presencial</v>
      </c>
      <c r="H400" s="20" t="str">
        <f t="shared" si="118"/>
        <v>Socializar la Formulación del Plan Parcial de Desarrollo Los Búhos , recibir aportes y solucionar inquietudes de la ciudadania interesada</v>
      </c>
      <c r="I400" s="20" t="str">
        <f t="shared" si="119"/>
        <v>Mecanismo de Comunicación para la Participación</v>
      </c>
      <c r="J400" s="20" t="str">
        <f t="shared" si="120"/>
        <v>Multiactor</v>
      </c>
      <c r="K400" s="20">
        <f t="shared" si="121"/>
        <v>0</v>
      </c>
      <c r="L400" s="20" t="str">
        <f t="shared" si="122"/>
        <v>Suba</v>
      </c>
      <c r="M400" s="20" t="str">
        <f t="shared" si="123"/>
        <v>Noroccidente, Norte</v>
      </c>
      <c r="N400" s="20" t="str">
        <f t="shared" si="124"/>
        <v>Suba, Suba Rincón, Tibabuyes, Niza, Britalia, Torca</v>
      </c>
      <c r="O400" s="20" t="str">
        <f t="shared" si="125"/>
        <v>NO</v>
      </c>
      <c r="P400" s="20" t="str">
        <f t="shared" si="126"/>
        <v>No aplica</v>
      </c>
      <c r="Q400" s="20">
        <f t="shared" si="127"/>
        <v>71</v>
      </c>
      <c r="R400" s="20">
        <f t="shared" si="128"/>
        <v>9</v>
      </c>
      <c r="S400" s="20" t="str">
        <f t="shared" si="129"/>
        <v>Propuesta de formulación del Plan Parcial de Desarrollo Los Búhos, socialización de inquietudes, aportes e inconformidades de los vinculados y vecinos del Plan Parcial.</v>
      </c>
      <c r="T400" s="20">
        <f t="shared" si="74"/>
        <v>1</v>
      </c>
      <c r="U400" s="20" t="str">
        <f t="shared" ca="1" si="75"/>
        <v>Realizada</v>
      </c>
      <c r="V400" s="20"/>
      <c r="W400" s="20"/>
      <c r="X400" s="20"/>
      <c r="Y400" s="20"/>
    </row>
    <row r="401" spans="1:25" ht="49.5">
      <c r="A401" s="20">
        <v>500</v>
      </c>
      <c r="B401" s="20" t="str">
        <f t="shared" si="112"/>
        <v>Convocatoria de elección de organizaciones sociales al CTPD por parte de la SDS</v>
      </c>
      <c r="C401" s="21">
        <f t="shared" si="113"/>
        <v>45441</v>
      </c>
      <c r="D401" s="20" t="str">
        <f t="shared" si="114"/>
        <v>INSTANCIAS</v>
      </c>
      <c r="E401" s="20" t="str">
        <f t="shared" si="115"/>
        <v>NO</v>
      </c>
      <c r="F401" s="20" t="str">
        <f t="shared" si="116"/>
        <v>CTPD (Consejo Territorial de Planeación Distrital)</v>
      </c>
      <c r="G401" s="20" t="str">
        <f t="shared" si="117"/>
        <v>Presencial</v>
      </c>
      <c r="H401" s="20" t="str">
        <f t="shared" si="118"/>
        <v xml:space="preserve">Elegir la vacante de la curul por organizaciones sociales de discapacidad para el CTPD </v>
      </c>
      <c r="I401" s="20" t="str">
        <f t="shared" si="119"/>
        <v>Gestión Institucional</v>
      </c>
      <c r="J401" s="20" t="str">
        <f t="shared" si="120"/>
        <v>Comunitario</v>
      </c>
      <c r="K401" s="20" t="str">
        <f t="shared" si="121"/>
        <v>CTPD</v>
      </c>
      <c r="L401" s="20" t="str">
        <f t="shared" si="122"/>
        <v>Distrital</v>
      </c>
      <c r="M401" s="20" t="str">
        <f t="shared" si="123"/>
        <v>Distrital</v>
      </c>
      <c r="N401" s="20" t="str">
        <f t="shared" si="124"/>
        <v>Distrital</v>
      </c>
      <c r="O401" s="20" t="str">
        <f t="shared" si="125"/>
        <v>NO</v>
      </c>
      <c r="P401" s="20" t="str">
        <f t="shared" si="126"/>
        <v>No aplica</v>
      </c>
      <c r="Q401" s="20">
        <f t="shared" si="127"/>
        <v>12</v>
      </c>
      <c r="R401" s="20">
        <f t="shared" si="128"/>
        <v>1</v>
      </c>
      <c r="S401" s="20" t="str">
        <f t="shared" si="129"/>
        <v xml:space="preserve">Elegir la vacante de la curul por organizaciones sociales de discapacidad para el CTPD </v>
      </c>
      <c r="T401" s="20">
        <f t="shared" si="74"/>
        <v>1</v>
      </c>
      <c r="U401" s="20" t="str">
        <f t="shared" ca="1" si="75"/>
        <v>Realizada</v>
      </c>
      <c r="V401" s="20"/>
      <c r="W401" s="20"/>
      <c r="X401" s="20"/>
      <c r="Y401" s="20"/>
    </row>
    <row r="402" spans="1:25" ht="49.5">
      <c r="A402" s="20">
        <v>501</v>
      </c>
      <c r="B402" s="20" t="str">
        <f t="shared" si="112"/>
        <v>CLIP Ciudad Bolivar</v>
      </c>
      <c r="C402" s="21">
        <f t="shared" si="113"/>
        <v>45441</v>
      </c>
      <c r="D402" s="20" t="str">
        <f t="shared" si="114"/>
        <v>INSTANCIAS</v>
      </c>
      <c r="E402" s="20" t="str">
        <f t="shared" si="115"/>
        <v>NO</v>
      </c>
      <c r="F402" s="20" t="str">
        <f t="shared" si="116"/>
        <v>CLIP (Comisión Local Intersectorial de Participación)</v>
      </c>
      <c r="G402" s="20" t="str">
        <f t="shared" si="117"/>
        <v>Virtual</v>
      </c>
      <c r="H402" s="20" t="str">
        <f t="shared" si="118"/>
        <v>Acompañar el proceso de articulación institucional para la participación ciudadana en la localidad de Ciudad Bolivar.</v>
      </c>
      <c r="I402" s="20" t="str">
        <f t="shared" si="119"/>
        <v>Gestión Institucional</v>
      </c>
      <c r="J402" s="20" t="str">
        <f t="shared" si="120"/>
        <v>Público</v>
      </c>
      <c r="K402" s="20" t="str">
        <f t="shared" si="121"/>
        <v>CLIP</v>
      </c>
      <c r="L402" s="20" t="str">
        <f t="shared" si="122"/>
        <v>Ciudad Bolívar</v>
      </c>
      <c r="M402" s="20" t="str">
        <f t="shared" si="123"/>
        <v>Suroriente</v>
      </c>
      <c r="N402" s="20" t="str">
        <f t="shared" si="124"/>
        <v>Arborizadora, Lucero, Cuenca del Tunjuelo</v>
      </c>
      <c r="O402" s="20" t="str">
        <f t="shared" si="125"/>
        <v>NO</v>
      </c>
      <c r="P402" s="20" t="str">
        <f t="shared" si="126"/>
        <v>No aplica</v>
      </c>
      <c r="Q402" s="20">
        <f t="shared" si="127"/>
        <v>15</v>
      </c>
      <c r="R402" s="20">
        <f t="shared" si="128"/>
        <v>1</v>
      </c>
      <c r="S402" s="20" t="str">
        <f t="shared" si="129"/>
        <v>Se realizó la presentación de resultados para la localidad de Ciudad Bolivar de la segunda fase de construcción del plan de desarrollo aspiraciones</v>
      </c>
      <c r="T402" s="20">
        <f t="shared" si="74"/>
        <v>1</v>
      </c>
      <c r="U402" s="20" t="str">
        <f t="shared" ca="1" si="75"/>
        <v>Realizada</v>
      </c>
      <c r="V402" s="20"/>
      <c r="W402" s="20"/>
      <c r="X402" s="20"/>
      <c r="Y402" s="20"/>
    </row>
    <row r="403" spans="1:25" ht="49.5">
      <c r="A403" s="20">
        <v>502</v>
      </c>
      <c r="B403" s="20" t="str">
        <f t="shared" si="112"/>
        <v>Sesión de Concejo - Formulación PDD - Tarde</v>
      </c>
      <c r="C403" s="21">
        <f t="shared" si="113"/>
        <v>45441</v>
      </c>
      <c r="D403" s="20" t="str">
        <f t="shared" si="114"/>
        <v>OPDC</v>
      </c>
      <c r="E403" s="20" t="str">
        <f t="shared" si="115"/>
        <v>NO</v>
      </c>
      <c r="F403" s="20" t="str">
        <f t="shared" si="116"/>
        <v>Plan Distrital de Desarrollo</v>
      </c>
      <c r="G403" s="20" t="str">
        <f t="shared" si="117"/>
        <v>Presencial</v>
      </c>
      <c r="H403" s="20" t="str">
        <f t="shared" si="118"/>
        <v>Acompañar la discusión del proyecto de acuerdo del Plan Distrital de Desarrollo de cara al proceso de debate para su aprobación en el Concejo Distrital</v>
      </c>
      <c r="I403" s="20" t="str">
        <f t="shared" si="119"/>
        <v>Mecanismo de Diálogo</v>
      </c>
      <c r="J403" s="20" t="str">
        <f t="shared" si="120"/>
        <v>Público</v>
      </c>
      <c r="K403" s="20" t="str">
        <f t="shared" si="121"/>
        <v>Concejo de Bogotá</v>
      </c>
      <c r="L403" s="20" t="str">
        <f t="shared" si="122"/>
        <v>Distrital</v>
      </c>
      <c r="M403" s="20" t="str">
        <f t="shared" si="123"/>
        <v>Distrital</v>
      </c>
      <c r="N403" s="20" t="str">
        <f t="shared" si="124"/>
        <v>Distrital</v>
      </c>
      <c r="O403" s="20" t="str">
        <f t="shared" si="125"/>
        <v>SÍ</v>
      </c>
      <c r="P403" s="20" t="str">
        <f t="shared" si="126"/>
        <v>Fase III: Acuerdos para la Ciudad</v>
      </c>
      <c r="Q403" s="20">
        <f t="shared" si="127"/>
        <v>150</v>
      </c>
      <c r="R403" s="20">
        <f t="shared" si="128"/>
        <v>6</v>
      </c>
      <c r="S403" s="20" t="str">
        <f t="shared" si="129"/>
        <v>Discusión y aprobación de artículos del PDD.</v>
      </c>
      <c r="T403" s="20">
        <f t="shared" si="74"/>
        <v>1</v>
      </c>
      <c r="U403" s="20" t="str">
        <f t="shared" ca="1" si="75"/>
        <v>Realizada</v>
      </c>
      <c r="V403" s="20"/>
      <c r="W403" s="20"/>
      <c r="X403" s="20"/>
      <c r="Y403" s="20"/>
    </row>
    <row r="404" spans="1:25" ht="86.25">
      <c r="A404" s="20">
        <v>503</v>
      </c>
      <c r="B404" s="20" t="str">
        <f t="shared" si="112"/>
        <v>Evento virtual  socialización resultados Encuesta Servidores- Veeduría Distrital-IIPC</v>
      </c>
      <c r="C404" s="21">
        <f t="shared" si="113"/>
        <v>45441</v>
      </c>
      <c r="D404" s="20" t="str">
        <f t="shared" si="114"/>
        <v>OPDC</v>
      </c>
      <c r="E404" s="20" t="str">
        <f t="shared" si="115"/>
        <v>NO</v>
      </c>
      <c r="F404" s="20" t="str">
        <f t="shared" si="116"/>
        <v>Escenarios individuales</v>
      </c>
      <c r="G404" s="20" t="str">
        <f t="shared" si="117"/>
        <v>Virtual</v>
      </c>
      <c r="H404" s="20" t="str">
        <f t="shared" si="118"/>
        <v>Socializar la consolidación de los resultados del IIPC (2021, 2022 y 2023) y los resultados de la Encuesta de percepción de servidores y colaboradores sobre participación y control social en el Distrito Capital aplicada en el año 2024.</v>
      </c>
      <c r="I404" s="20" t="str">
        <f t="shared" si="119"/>
        <v>Gestión Institucional</v>
      </c>
      <c r="J404" s="20" t="str">
        <f t="shared" si="120"/>
        <v>Público</v>
      </c>
      <c r="K404" s="20">
        <f t="shared" si="121"/>
        <v>0</v>
      </c>
      <c r="L404" s="20" t="str">
        <f t="shared" si="122"/>
        <v>Distrital</v>
      </c>
      <c r="M404" s="20" t="str">
        <f t="shared" si="123"/>
        <v>Distrital</v>
      </c>
      <c r="N404" s="20" t="str">
        <f t="shared" si="124"/>
        <v>Distrital</v>
      </c>
      <c r="O404" s="20" t="str">
        <f t="shared" si="125"/>
        <v>NO</v>
      </c>
      <c r="P404" s="20" t="str">
        <f t="shared" si="126"/>
        <v>No aplica</v>
      </c>
      <c r="Q404" s="20">
        <f t="shared" si="127"/>
        <v>80</v>
      </c>
      <c r="R404" s="20">
        <f t="shared" si="128"/>
        <v>1</v>
      </c>
      <c r="S404" s="20" t="str">
        <f t="shared" si="129"/>
        <v xml:space="preserve">Resultados índice institucional de participación ciudadana </v>
      </c>
      <c r="T404" s="20">
        <f t="shared" si="74"/>
        <v>1</v>
      </c>
      <c r="U404" s="20" t="str">
        <f t="shared" ca="1" si="75"/>
        <v>Realizada</v>
      </c>
      <c r="V404" s="20"/>
      <c r="W404" s="20"/>
      <c r="X404" s="20"/>
      <c r="Y404" s="20"/>
    </row>
    <row r="405" spans="1:25" ht="61.5">
      <c r="A405" s="20">
        <v>504</v>
      </c>
      <c r="B405" s="20" t="str">
        <f t="shared" si="112"/>
        <v>Gestión: Plan de trabajo para acciones afirmativas Comunidad Negra Afrocolombiana</v>
      </c>
      <c r="C405" s="21">
        <f t="shared" si="113"/>
        <v>45441</v>
      </c>
      <c r="D405" s="20" t="str">
        <f t="shared" si="114"/>
        <v>OPDC</v>
      </c>
      <c r="E405" s="20" t="str">
        <f t="shared" si="115"/>
        <v>NO</v>
      </c>
      <c r="F405" s="20" t="str">
        <f t="shared" si="116"/>
        <v>Políticas Públicas</v>
      </c>
      <c r="G405" s="20" t="str">
        <f t="shared" si="117"/>
        <v>Virtual</v>
      </c>
      <c r="H405" s="20" t="str">
        <f t="shared" si="118"/>
        <v>Elaborar el plan de trabajo para la realización de actividades que permitan cumplir con las acciones afirmativas que la OPDC tiene con la comunidad negra afrocolombiana.</v>
      </c>
      <c r="I405" s="20" t="str">
        <f t="shared" si="119"/>
        <v>Gestión Institucional</v>
      </c>
      <c r="J405" s="20" t="str">
        <f t="shared" si="120"/>
        <v>Comunitario</v>
      </c>
      <c r="K405" s="20" t="str">
        <f t="shared" si="121"/>
        <v>Consejo Consultivo</v>
      </c>
      <c r="L405" s="20" t="str">
        <f t="shared" si="122"/>
        <v>Distrital</v>
      </c>
      <c r="M405" s="20" t="str">
        <f t="shared" si="123"/>
        <v>Distrital</v>
      </c>
      <c r="N405" s="20" t="str">
        <f t="shared" si="124"/>
        <v>Distrital</v>
      </c>
      <c r="O405" s="20" t="str">
        <f t="shared" si="125"/>
        <v>NO</v>
      </c>
      <c r="P405" s="20" t="str">
        <f t="shared" si="126"/>
        <v>No aplica</v>
      </c>
      <c r="Q405" s="20">
        <f t="shared" si="127"/>
        <v>2</v>
      </c>
      <c r="R405" s="20">
        <f t="shared" si="128"/>
        <v>2</v>
      </c>
      <c r="S405" s="20" t="str">
        <f t="shared" si="129"/>
        <v>Construcción del plan de trabajo para las acciones afirmativas correspondientes a la vigencia 2023</v>
      </c>
      <c r="T405" s="20">
        <f t="shared" si="74"/>
        <v>1</v>
      </c>
      <c r="U405" s="20" t="str">
        <f t="shared" ca="1" si="75"/>
        <v>Realizada</v>
      </c>
      <c r="V405" s="20"/>
      <c r="W405" s="20"/>
      <c r="X405" s="20"/>
      <c r="Y405" s="20"/>
    </row>
    <row r="406" spans="1:25" ht="61.5">
      <c r="A406" s="20">
        <v>505</v>
      </c>
      <c r="B406" s="20" t="str">
        <f t="shared" si="112"/>
        <v>Mesa Directiva CTPD</v>
      </c>
      <c r="C406" s="21">
        <f t="shared" si="113"/>
        <v>45441</v>
      </c>
      <c r="D406" s="20" t="str">
        <f t="shared" si="114"/>
        <v>OPDC</v>
      </c>
      <c r="E406" s="20" t="str">
        <f t="shared" si="115"/>
        <v>NO</v>
      </c>
      <c r="F406" s="20" t="str">
        <f t="shared" si="116"/>
        <v>CTPD (Consejo Territorial de Planeación Distrital)</v>
      </c>
      <c r="G406" s="20" t="str">
        <f t="shared" si="117"/>
        <v>Presencial</v>
      </c>
      <c r="H406" s="20" t="str">
        <f t="shared" si="118"/>
        <v>Lectura de la respuesta a la solicitud de concepto jurídico, respecto de la inclusión de los sectores de voluntariado y jueces de paz al CTPD. Recargas de celulares.</v>
      </c>
      <c r="I406" s="20" t="str">
        <f t="shared" si="119"/>
        <v>Mecanismo de Seguimiento y Evaluación</v>
      </c>
      <c r="J406" s="20" t="str">
        <f t="shared" si="120"/>
        <v>Comunitario</v>
      </c>
      <c r="K406" s="20" t="str">
        <f t="shared" si="121"/>
        <v>CTPD</v>
      </c>
      <c r="L406" s="20" t="str">
        <f t="shared" si="122"/>
        <v>Distrital</v>
      </c>
      <c r="M406" s="20" t="str">
        <f t="shared" si="123"/>
        <v>Distrital</v>
      </c>
      <c r="N406" s="20" t="str">
        <f t="shared" si="124"/>
        <v>Distrital</v>
      </c>
      <c r="O406" s="20" t="str">
        <f t="shared" si="125"/>
        <v>NO</v>
      </c>
      <c r="P406" s="20" t="str">
        <f t="shared" si="126"/>
        <v>No aplica</v>
      </c>
      <c r="Q406" s="20">
        <f t="shared" si="127"/>
        <v>34</v>
      </c>
      <c r="R406" s="20">
        <f t="shared" si="128"/>
        <v>2</v>
      </c>
      <c r="S406" s="20" t="str">
        <f t="shared" si="129"/>
        <v>Lectura de la respuesta a la solicitud de concepto jurídico, respecto de la inclusión de los sectores de voluntariado y jueces de paz al CTPD. Recargas de celulares.</v>
      </c>
      <c r="T406" s="20">
        <f t="shared" si="74"/>
        <v>1</v>
      </c>
      <c r="U406" s="20" t="str">
        <f t="shared" ca="1" si="75"/>
        <v>Realizada</v>
      </c>
      <c r="V406" s="20"/>
      <c r="W406" s="20"/>
      <c r="X406" s="20"/>
      <c r="Y406" s="20"/>
    </row>
    <row r="407" spans="1:25" ht="49.5">
      <c r="A407" s="20">
        <v>507</v>
      </c>
      <c r="B407" s="20" t="str">
        <f t="shared" si="112"/>
        <v>Evento - Experiencias Inspiradoras: Comités Ciudadanos</v>
      </c>
      <c r="C407" s="21">
        <f t="shared" si="113"/>
        <v>45442</v>
      </c>
      <c r="D407" s="20" t="str">
        <f t="shared" si="114"/>
        <v>OPDC</v>
      </c>
      <c r="E407" s="20" t="str">
        <f t="shared" si="115"/>
        <v>SÍ</v>
      </c>
      <c r="F407" s="20" t="str">
        <f t="shared" si="116"/>
        <v>Sistema de Participación Territorial</v>
      </c>
      <c r="G407" s="20" t="str">
        <f t="shared" si="117"/>
        <v>Presencial</v>
      </c>
      <c r="H407" s="20" t="str">
        <f t="shared" si="118"/>
        <v>Presentar los comités ciudadanos del POT como experiencia de control social y de promoción a la participación</v>
      </c>
      <c r="I407" s="20" t="str">
        <f t="shared" si="119"/>
        <v>Mecanismo de Comunicación para la Participación</v>
      </c>
      <c r="J407" s="20" t="str">
        <f t="shared" si="120"/>
        <v>Multiactor</v>
      </c>
      <c r="K407" s="20">
        <f t="shared" si="121"/>
        <v>0</v>
      </c>
      <c r="L407" s="20" t="str">
        <f t="shared" si="122"/>
        <v>Distrital</v>
      </c>
      <c r="M407" s="20" t="str">
        <f t="shared" si="123"/>
        <v>Distrital</v>
      </c>
      <c r="N407" s="20" t="str">
        <f t="shared" si="124"/>
        <v>Distrital</v>
      </c>
      <c r="O407" s="20" t="str">
        <f t="shared" si="125"/>
        <v>NO</v>
      </c>
      <c r="P407" s="20" t="str">
        <f t="shared" si="126"/>
        <v>No aplica</v>
      </c>
      <c r="Q407" s="20">
        <f t="shared" si="127"/>
        <v>80</v>
      </c>
      <c r="R407" s="20">
        <f t="shared" si="128"/>
        <v>4</v>
      </c>
      <c r="S407" s="20" t="str">
        <f t="shared" si="129"/>
        <v>Experiencias de control social y participación</v>
      </c>
      <c r="T407" s="20">
        <f t="shared" si="74"/>
        <v>1</v>
      </c>
      <c r="U407" s="20" t="str">
        <f t="shared" ca="1" si="75"/>
        <v>Realizada</v>
      </c>
      <c r="V407" s="20"/>
      <c r="W407" s="20"/>
      <c r="X407" s="20"/>
      <c r="Y407" s="20"/>
    </row>
    <row r="408" spans="1:25" ht="74.25">
      <c r="A408" s="20">
        <v>508</v>
      </c>
      <c r="B408" s="20" t="str">
        <f t="shared" si="112"/>
        <v>Mesa de trabajo Estrategia Microterritorial -  JAC</v>
      </c>
      <c r="C408" s="21">
        <f t="shared" si="113"/>
        <v>45442</v>
      </c>
      <c r="D408" s="20" t="str">
        <f t="shared" si="114"/>
        <v>OPDC</v>
      </c>
      <c r="E408" s="20" t="str">
        <f t="shared" si="115"/>
        <v>NO</v>
      </c>
      <c r="F408" s="20" t="str">
        <f t="shared" si="116"/>
        <v>Escenarios individuales</v>
      </c>
      <c r="G408" s="20" t="str">
        <f t="shared" si="117"/>
        <v>Presencial</v>
      </c>
      <c r="H408" s="20" t="str">
        <f t="shared" si="118"/>
        <v>Trabajo de Estrategia Micro territorial, para dignatarias y dignatarios de las JAC y la Asociación de Juntas de Acción Comunal para la discusión y avances en los objetivos en torno a la Localidad de Suba.</v>
      </c>
      <c r="I408" s="20" t="str">
        <f t="shared" si="119"/>
        <v>Mecanismo de Diálogo</v>
      </c>
      <c r="J408" s="20" t="str">
        <f t="shared" si="120"/>
        <v>Multiactor</v>
      </c>
      <c r="K408" s="20">
        <f t="shared" si="121"/>
        <v>0</v>
      </c>
      <c r="L408" s="20" t="str">
        <f t="shared" si="122"/>
        <v>Suba</v>
      </c>
      <c r="M408" s="20" t="str">
        <f t="shared" si="123"/>
        <v>Noroccidente</v>
      </c>
      <c r="N408" s="20" t="str">
        <f t="shared" si="124"/>
        <v>Suba, Suba Rincón, Tibabuyes, Niza, Britalia, Torca</v>
      </c>
      <c r="O408" s="20" t="str">
        <f t="shared" si="125"/>
        <v>NO</v>
      </c>
      <c r="P408" s="20" t="str">
        <f t="shared" si="126"/>
        <v>No aplica</v>
      </c>
      <c r="Q408" s="20">
        <f t="shared" si="127"/>
        <v>60</v>
      </c>
      <c r="R408" s="20">
        <f t="shared" si="128"/>
        <v>2</v>
      </c>
      <c r="S408" s="20" t="str">
        <f t="shared" si="129"/>
        <v>Trabajo de Estrategia Micro territorial, para dignatarias y dignatarios de las JAC y la Asociación de Juntas de Acción Comunal para la discusión y avances en los objetivos en torno a la Localidad Suba</v>
      </c>
      <c r="T408" s="20">
        <f t="shared" si="74"/>
        <v>1</v>
      </c>
      <c r="U408" s="20" t="str">
        <f t="shared" ca="1" si="75"/>
        <v>Realizada</v>
      </c>
      <c r="V408" s="20"/>
      <c r="W408" s="20"/>
      <c r="X408" s="20"/>
      <c r="Y408" s="20"/>
    </row>
    <row r="409" spans="1:25" ht="49.5">
      <c r="A409" s="20">
        <v>509</v>
      </c>
      <c r="B409" s="20" t="str">
        <f t="shared" si="112"/>
        <v>Sesión de Concejo - Formulación PDD</v>
      </c>
      <c r="C409" s="21">
        <f t="shared" si="113"/>
        <v>45442</v>
      </c>
      <c r="D409" s="20" t="str">
        <f t="shared" si="114"/>
        <v>OPDC</v>
      </c>
      <c r="E409" s="20" t="str">
        <f t="shared" si="115"/>
        <v>NO</v>
      </c>
      <c r="F409" s="20" t="str">
        <f t="shared" si="116"/>
        <v>Plan Distrital de Desarrollo</v>
      </c>
      <c r="G409" s="20" t="str">
        <f t="shared" si="117"/>
        <v>Presencial</v>
      </c>
      <c r="H409" s="20" t="str">
        <f t="shared" si="118"/>
        <v>Acompañar la discusión del proyecto de acuerdo del Plan Distrital de Desarrollo de cara al proceso de debate para su aprobación en el Concejo Distrital</v>
      </c>
      <c r="I409" s="20" t="str">
        <f t="shared" si="119"/>
        <v>Mecanismo de Diálogo</v>
      </c>
      <c r="J409" s="20" t="str">
        <f t="shared" si="120"/>
        <v>Público</v>
      </c>
      <c r="K409" s="20" t="str">
        <f t="shared" si="121"/>
        <v>Concejo de Bogotá</v>
      </c>
      <c r="L409" s="20" t="str">
        <f t="shared" si="122"/>
        <v>Distrital</v>
      </c>
      <c r="M409" s="20" t="str">
        <f t="shared" si="123"/>
        <v>Distrital</v>
      </c>
      <c r="N409" s="20" t="str">
        <f t="shared" si="124"/>
        <v>Distrital</v>
      </c>
      <c r="O409" s="20" t="str">
        <f t="shared" si="125"/>
        <v>SÍ</v>
      </c>
      <c r="P409" s="20" t="str">
        <f t="shared" si="126"/>
        <v>Fase III: Acuerdos para la Ciudad</v>
      </c>
      <c r="Q409" s="20">
        <f t="shared" si="127"/>
        <v>200</v>
      </c>
      <c r="R409" s="20">
        <f t="shared" si="128"/>
        <v>7</v>
      </c>
      <c r="S409" s="20" t="str">
        <f t="shared" si="129"/>
        <v>Aprobación del Acuerdo 368 de 2024 donde se establece el Plan Distrital de Desarrollo 2024-2027 Bogotá Camina Segura</v>
      </c>
      <c r="T409" s="20">
        <f t="shared" si="74"/>
        <v>1</v>
      </c>
      <c r="U409" s="20" t="str">
        <f t="shared" ca="1" si="75"/>
        <v>Realizada</v>
      </c>
      <c r="V409" s="20"/>
      <c r="W409" s="20"/>
      <c r="X409" s="20"/>
      <c r="Y409" s="20"/>
    </row>
    <row r="410" spans="1:25" ht="61.5">
      <c r="A410" s="20">
        <v>510</v>
      </c>
      <c r="B410" s="20" t="str">
        <f t="shared" si="112"/>
        <v>Sesión  Extraordinaria Comisión Desarrollo Regional CTPD</v>
      </c>
      <c r="C410" s="21">
        <f t="shared" si="113"/>
        <v>45442</v>
      </c>
      <c r="D410" s="20" t="str">
        <f t="shared" si="114"/>
        <v>INSTANCIAS</v>
      </c>
      <c r="E410" s="20" t="str">
        <f t="shared" si="115"/>
        <v>NO</v>
      </c>
      <c r="F410" s="20" t="str">
        <f t="shared" si="116"/>
        <v>CTPD (Consejo Territorial de Planeación Distrital)</v>
      </c>
      <c r="G410" s="20" t="str">
        <f t="shared" si="117"/>
        <v>Virtual</v>
      </c>
      <c r="H410" s="20" t="str">
        <f t="shared" si="118"/>
        <v>Realizar el acompañamiento como secretaria técnica a la Comisión de Desarrollo Regional del CTPD, para realizar la aprobación del Plan de Acción de la Comisión.</v>
      </c>
      <c r="I410" s="20" t="str">
        <f t="shared" si="119"/>
        <v>Mecanismo de Seguimiento y Evaluación</v>
      </c>
      <c r="J410" s="20" t="str">
        <f t="shared" si="120"/>
        <v>Comunitario</v>
      </c>
      <c r="K410" s="20" t="str">
        <f t="shared" si="121"/>
        <v>CTPD</v>
      </c>
      <c r="L410" s="20" t="str">
        <f t="shared" si="122"/>
        <v>Distrital</v>
      </c>
      <c r="M410" s="20" t="str">
        <f t="shared" si="123"/>
        <v>Distrital</v>
      </c>
      <c r="N410" s="20" t="str">
        <f t="shared" si="124"/>
        <v>Distrital</v>
      </c>
      <c r="O410" s="20" t="str">
        <f t="shared" si="125"/>
        <v>NO</v>
      </c>
      <c r="P410" s="20" t="str">
        <f t="shared" si="126"/>
        <v>No aplica</v>
      </c>
      <c r="Q410" s="20">
        <f t="shared" si="127"/>
        <v>3</v>
      </c>
      <c r="R410" s="20">
        <f t="shared" si="128"/>
        <v>1</v>
      </c>
      <c r="S410" s="20" t="str">
        <f t="shared" si="129"/>
        <v>Único punto, plan de acción.</v>
      </c>
      <c r="T410" s="20">
        <f t="shared" si="74"/>
        <v>1</v>
      </c>
      <c r="U410" s="20" t="str">
        <f t="shared" ca="1" si="75"/>
        <v>Realizada</v>
      </c>
      <c r="V410" s="20"/>
      <c r="W410" s="20"/>
      <c r="X410" s="20"/>
      <c r="Y410" s="20"/>
    </row>
    <row r="411" spans="1:25" ht="37.5">
      <c r="A411" s="20">
        <v>511</v>
      </c>
      <c r="B411" s="20" t="str">
        <f t="shared" si="112"/>
        <v>Sesión Red Institucional de Apoyo a las Veedurías Ciudadanas</v>
      </c>
      <c r="C411" s="21">
        <f t="shared" si="113"/>
        <v>45442</v>
      </c>
      <c r="D411" s="20" t="str">
        <f t="shared" si="114"/>
        <v>INSTANCIAS</v>
      </c>
      <c r="E411" s="20" t="str">
        <f t="shared" si="115"/>
        <v>NO</v>
      </c>
      <c r="F411" s="20" t="str">
        <f t="shared" si="116"/>
        <v>Red institucional de veedurías ciudadanas</v>
      </c>
      <c r="G411" s="20" t="str">
        <f t="shared" si="117"/>
        <v>Virtual</v>
      </c>
      <c r="H411" s="20" t="str">
        <f t="shared" si="118"/>
        <v>Dar continuidad al plan de acción establecido</v>
      </c>
      <c r="I411" s="20" t="str">
        <f t="shared" si="119"/>
        <v>Gestión Institucional</v>
      </c>
      <c r="J411" s="20" t="str">
        <f t="shared" si="120"/>
        <v>Multiactor</v>
      </c>
      <c r="K411" s="20">
        <f t="shared" si="121"/>
        <v>0</v>
      </c>
      <c r="L411" s="20" t="str">
        <f t="shared" si="122"/>
        <v>Distrital</v>
      </c>
      <c r="M411" s="20" t="str">
        <f t="shared" si="123"/>
        <v>Distrital</v>
      </c>
      <c r="N411" s="20" t="str">
        <f t="shared" si="124"/>
        <v>Distrital</v>
      </c>
      <c r="O411" s="20" t="str">
        <f t="shared" si="125"/>
        <v>NO</v>
      </c>
      <c r="P411" s="20" t="str">
        <f t="shared" si="126"/>
        <v>No aplica</v>
      </c>
      <c r="Q411" s="20">
        <f t="shared" si="127"/>
        <v>8</v>
      </c>
      <c r="R411" s="20">
        <f t="shared" si="128"/>
        <v>1</v>
      </c>
      <c r="S411" s="20" t="str">
        <f t="shared" si="129"/>
        <v>Avance plan de acción red</v>
      </c>
      <c r="T411" s="20">
        <f t="shared" si="74"/>
        <v>1</v>
      </c>
      <c r="U411" s="20" t="str">
        <f t="shared" ca="1" si="75"/>
        <v>Realizada</v>
      </c>
      <c r="V411" s="20"/>
      <c r="W411" s="20"/>
      <c r="X411" s="20"/>
      <c r="Y411" s="20"/>
    </row>
    <row r="412" spans="1:25" ht="110.25">
      <c r="A412" s="20">
        <v>513</v>
      </c>
      <c r="B412" s="20" t="str">
        <f t="shared" si="112"/>
        <v>Plenaria ordinaria CTPD</v>
      </c>
      <c r="C412" s="21">
        <f t="shared" si="113"/>
        <v>45442</v>
      </c>
      <c r="D412" s="20" t="str">
        <f t="shared" si="114"/>
        <v>INSTANCIAS</v>
      </c>
      <c r="E412" s="20" t="str">
        <f t="shared" si="115"/>
        <v>NO</v>
      </c>
      <c r="F412" s="20" t="str">
        <f t="shared" si="116"/>
        <v>CTPD (Consejo Territorial de Planeación Distrital)</v>
      </c>
      <c r="G412" s="20" t="str">
        <f t="shared" si="117"/>
        <v>Virtual</v>
      </c>
      <c r="H412" s="20" t="str">
        <f t="shared" si="118"/>
        <v>Presentación del Plan Territorial de Salud SDS, Lectura de la respuesta a la solicitud de concepto jurídico, respecto de la inclusión de los sectores de voluntariado y jueces de paz al CTPD y socialización de decisión tomada por la mesa directiva, Plan de acción CTPD 2024.(presentación UNAD), Activación del comité de convivencia del CTPD.</v>
      </c>
      <c r="I412" s="20" t="str">
        <f t="shared" si="119"/>
        <v>Mecanismo de Seguimiento y Evaluación</v>
      </c>
      <c r="J412" s="20" t="str">
        <f t="shared" si="120"/>
        <v>Público</v>
      </c>
      <c r="K412" s="20" t="str">
        <f t="shared" si="121"/>
        <v>CTPD</v>
      </c>
      <c r="L412" s="20" t="str">
        <f t="shared" si="122"/>
        <v>Distrital</v>
      </c>
      <c r="M412" s="20" t="str">
        <f t="shared" si="123"/>
        <v>Distrital</v>
      </c>
      <c r="N412" s="20" t="str">
        <f t="shared" si="124"/>
        <v>Distrital</v>
      </c>
      <c r="O412" s="20" t="str">
        <f t="shared" si="125"/>
        <v>NO</v>
      </c>
      <c r="P412" s="20" t="str">
        <f t="shared" si="126"/>
        <v>No aplica</v>
      </c>
      <c r="Q412" s="20">
        <f t="shared" si="127"/>
        <v>70</v>
      </c>
      <c r="R412" s="20">
        <f t="shared" si="128"/>
        <v>2</v>
      </c>
      <c r="S412" s="20" t="str">
        <f t="shared" si="129"/>
        <v>Presentación del Plan Territorial de Salud SDS.  Activación del comité de convivencia del CTPD. Recargas de celulares.  Análisis del ejercicio del PDD</v>
      </c>
      <c r="T412" s="20">
        <f t="shared" si="74"/>
        <v>1</v>
      </c>
      <c r="U412" s="20" t="str">
        <f t="shared" ca="1" si="75"/>
        <v>Realizada</v>
      </c>
      <c r="V412" s="20"/>
      <c r="W412" s="20"/>
      <c r="X412" s="20"/>
      <c r="Y412" s="20"/>
    </row>
    <row r="413" spans="1:25" ht="61.5">
      <c r="A413" s="20">
        <v>514</v>
      </c>
      <c r="B413" s="20" t="str">
        <f t="shared" si="112"/>
        <v>CLIP Usme</v>
      </c>
      <c r="C413" s="21">
        <f t="shared" si="113"/>
        <v>45442</v>
      </c>
      <c r="D413" s="20" t="str">
        <f t="shared" si="114"/>
        <v>INSTANCIAS</v>
      </c>
      <c r="E413" s="20" t="str">
        <f t="shared" si="115"/>
        <v>NO</v>
      </c>
      <c r="F413" s="20" t="str">
        <f t="shared" si="116"/>
        <v>CLIP (Comisión Local Intersectorial de Participación)</v>
      </c>
      <c r="G413" s="20" t="str">
        <f t="shared" si="117"/>
        <v>Virtual</v>
      </c>
      <c r="H413" s="20" t="str">
        <f t="shared" si="118"/>
        <v>Acompañar la articulación de los esfuerzos institucionales de participación en la localidad de Usme</v>
      </c>
      <c r="I413" s="20" t="str">
        <f t="shared" si="119"/>
        <v>Gestión Institucional</v>
      </c>
      <c r="J413" s="20" t="str">
        <f t="shared" si="120"/>
        <v>Público</v>
      </c>
      <c r="K413" s="20" t="str">
        <f t="shared" si="121"/>
        <v>CLIP</v>
      </c>
      <c r="L413" s="20" t="str">
        <f t="shared" si="122"/>
        <v>Usme</v>
      </c>
      <c r="M413" s="20" t="str">
        <f t="shared" si="123"/>
        <v>Suroriente</v>
      </c>
      <c r="N413" s="20" t="str">
        <f t="shared" si="124"/>
        <v>Usme Entrenubes, Rafael Uribe, Cuenca del Tunjuelo, Cerros Orientales</v>
      </c>
      <c r="O413" s="20" t="str">
        <f t="shared" si="125"/>
        <v>NO</v>
      </c>
      <c r="P413" s="20" t="str">
        <f t="shared" si="126"/>
        <v>No aplica</v>
      </c>
      <c r="Q413" s="20">
        <f t="shared" si="127"/>
        <v>12</v>
      </c>
      <c r="R413" s="20">
        <f t="shared" si="128"/>
        <v>1</v>
      </c>
      <c r="S413" s="20" t="str">
        <f t="shared" si="129"/>
        <v>Avances entorno al PDD y resultados de la fase Aspiraciones comunes, Reactivación del STP y Re activación de presupuestos participativos en sus fases 1 y 2.</v>
      </c>
      <c r="T413" s="20">
        <f t="shared" si="74"/>
        <v>1</v>
      </c>
      <c r="U413" s="20" t="str">
        <f t="shared" ca="1" si="75"/>
        <v>Realizada</v>
      </c>
      <c r="V413" s="20"/>
      <c r="W413" s="20"/>
      <c r="X413" s="20"/>
      <c r="Y413" s="20"/>
    </row>
    <row r="414" spans="1:25" ht="49.5">
      <c r="A414" s="20">
        <v>515</v>
      </c>
      <c r="B414" s="20" t="str">
        <f t="shared" ref="B414:B441" si="130">IFERROR(VLOOKUP(A414,DATA_MATRIZ,2,FALSE),"")</f>
        <v>Gestión: Plan de trabajo para acciones afirmativas con Comunidad Palenquera</v>
      </c>
      <c r="C414" s="21">
        <f t="shared" ref="C414:C441" si="131">IFERROR(VLOOKUP(A414,DATA_MATRIZ,3,FALSE),"")</f>
        <v>45443</v>
      </c>
      <c r="D414" s="20" t="str">
        <f t="shared" ref="D414:D441" si="132">IFERROR(VLOOKUP(A414,DATA_MATRIZ,5,FALSE),"")</f>
        <v>OPDC</v>
      </c>
      <c r="E414" s="20" t="str">
        <f t="shared" ref="E414:E441" si="133">IFERROR(VLOOKUP(A414,DATA_MATRIZ,9,FALSE),"")</f>
        <v>NO</v>
      </c>
      <c r="F414" s="20" t="str">
        <f t="shared" ref="F414:F441" si="134">IFERROR(VLOOKUP(A414,DATA_MATRIZ,10,FALSE),"")</f>
        <v>Políticas Públicas</v>
      </c>
      <c r="G414" s="20" t="str">
        <f t="shared" ref="G414:G441" si="135">IFERROR(VLOOKUP(A414,DATA_MATRIZ,11,FALSE),"")</f>
        <v>Presencial</v>
      </c>
      <c r="H414" s="20" t="str">
        <f t="shared" ref="H414:H441" si="136">IFERROR(VLOOKUP(A414,DATA_MATRIZ,12,FALSE),"")</f>
        <v>Elaborar plan de trabajo que permita cumplir con las acciones afirmativas que la OPDC tiene con la comunidad palenquera</v>
      </c>
      <c r="I414" s="20" t="str">
        <f t="shared" ref="I414:I441" si="137">IFERROR(VLOOKUP(A414,DATA_MATRIZ,13,FALSE),"")</f>
        <v>Gestión Institucional</v>
      </c>
      <c r="J414" s="20" t="str">
        <f t="shared" ref="J414:J441" si="138">IFERROR(VLOOKUP(A414,DATA_MATRIZ,41,FALSE),"")</f>
        <v>Comunitario</v>
      </c>
      <c r="K414" s="20" t="str">
        <f t="shared" ref="K414:K441" si="139">IFERROR(VLOOKUP(A414,DATA_MATRIZ,42,FALSE),"")</f>
        <v>Consejo Consultivo</v>
      </c>
      <c r="L414" s="20" t="str">
        <f t="shared" ref="L414:L441" si="140">IFERROR(VLOOKUP(A414,DATA_MATRIZ,46,FALSE),"")</f>
        <v>Distrital</v>
      </c>
      <c r="M414" s="20" t="str">
        <f t="shared" ref="M414:M441" si="141">IFERROR(VLOOKUP(A414,DATA_MATRIZ,53,FALSE),"")</f>
        <v>Distrital</v>
      </c>
      <c r="N414" s="20" t="str">
        <f t="shared" ref="N414:N441" si="142">IFERROR(VLOOKUP(A414,DATA_MATRIZ,60,FALSE),"")</f>
        <v>Distrital</v>
      </c>
      <c r="O414" s="20" t="str">
        <f t="shared" ref="O414:O441" si="143">IFERROR(VLOOKUP(A414,DATA_MATRIZ,75,FALSE),"")</f>
        <v>NO</v>
      </c>
      <c r="P414" s="20" t="str">
        <f t="shared" ref="P414:P441" si="144">IFERROR(VLOOKUP(A414,DATA_MATRIZ,76,FALSE),"")</f>
        <v>No aplica</v>
      </c>
      <c r="Q414" s="20">
        <f t="shared" ref="Q414:Q441" si="145">IFERROR(VLOOKUP(A414,DATA_MATRIZ,78,FALSE),"")</f>
        <v>3</v>
      </c>
      <c r="R414" s="20">
        <f t="shared" ref="R414:R441" si="146">IFERROR(VLOOKUP(A414,DATA_MATRIZ,79,FALSE),"")</f>
        <v>3</v>
      </c>
      <c r="S414" s="20" t="str">
        <f t="shared" ref="S414:S441" si="147">IFERROR(VLOOKUP(A414,DATA_MATRIZ,85,FALSE),"")</f>
        <v>Definición de recursos y fechas de acciones afirmativas</v>
      </c>
      <c r="T414" s="20">
        <f t="shared" ref="T414:T441" si="148">COUNTA(A414)</f>
        <v>1</v>
      </c>
      <c r="U414" s="20" t="str">
        <f t="shared" ref="U414:U441" ca="1" si="149">IF(C414="", "Indefinida", (IF(C414&lt;TODAY(),"Realizada","Proyectada")))</f>
        <v>Realizada</v>
      </c>
      <c r="V414" s="20"/>
      <c r="W414" s="20"/>
      <c r="X414" s="20"/>
      <c r="Y414" s="20"/>
    </row>
    <row r="415" spans="1:25" ht="49.5">
      <c r="A415" s="20">
        <v>517</v>
      </c>
      <c r="B415" s="20" t="str">
        <f t="shared" si="130"/>
        <v>Reunión preparatoria para talleres de AE Campín 7 de Agosto con presidentes de JAC</v>
      </c>
      <c r="C415" s="21">
        <f t="shared" si="131"/>
        <v>45443</v>
      </c>
      <c r="D415" s="20" t="str">
        <f t="shared" si="132"/>
        <v>OPDC</v>
      </c>
      <c r="E415" s="20" t="str">
        <f t="shared" si="133"/>
        <v>SÍ</v>
      </c>
      <c r="F415" s="20" t="str">
        <f t="shared" si="134"/>
        <v>Construcción de Directrices de Actuaciones Estratégicas</v>
      </c>
      <c r="G415" s="20" t="str">
        <f t="shared" si="135"/>
        <v>Presencial</v>
      </c>
      <c r="H415" s="20" t="str">
        <f t="shared" si="136"/>
        <v>Definir las estrategias de participación conjuntas con los presidentes de las JAC para los talleres de formulación de la AE Campin 7 de agosto.</v>
      </c>
      <c r="I415" s="20" t="str">
        <f t="shared" si="137"/>
        <v>Mecanismo de Seguimiento y Evaluación</v>
      </c>
      <c r="J415" s="20" t="str">
        <f t="shared" si="138"/>
        <v>Multiactor</v>
      </c>
      <c r="K415" s="20" t="str">
        <f t="shared" si="139"/>
        <v>ASOJUNTAS - JAC</v>
      </c>
      <c r="L415" s="20" t="str">
        <f t="shared" si="140"/>
        <v>Teusaquillo</v>
      </c>
      <c r="M415" s="20" t="str">
        <f t="shared" si="141"/>
        <v>Centro Ampliado</v>
      </c>
      <c r="N415" s="20" t="str">
        <f t="shared" si="142"/>
        <v>Teusaquillo</v>
      </c>
      <c r="O415" s="20" t="str">
        <f t="shared" si="143"/>
        <v>NO</v>
      </c>
      <c r="P415" s="20" t="str">
        <f t="shared" si="144"/>
        <v>No aplica</v>
      </c>
      <c r="Q415" s="20">
        <f t="shared" si="145"/>
        <v>8</v>
      </c>
      <c r="R415" s="20">
        <f t="shared" si="146"/>
        <v>8</v>
      </c>
      <c r="S415" s="20" t="str">
        <f t="shared" si="147"/>
        <v>Información técnica a los presidentes de las JAC de la AE Campin 7 de agosto para transmitir en sus respectivas comunidades.</v>
      </c>
      <c r="T415" s="20">
        <f t="shared" si="148"/>
        <v>1</v>
      </c>
      <c r="U415" s="20" t="str">
        <f t="shared" ca="1" si="149"/>
        <v>Realizada</v>
      </c>
      <c r="V415" s="20"/>
      <c r="W415" s="20"/>
      <c r="X415" s="20"/>
      <c r="Y415" s="20"/>
    </row>
    <row r="416" spans="1:25" ht="25.5">
      <c r="A416" s="20">
        <v>519</v>
      </c>
      <c r="B416" s="20" t="str">
        <f t="shared" si="130"/>
        <v>Encuentro Ciudadano Local - Sumapaz</v>
      </c>
      <c r="C416" s="21">
        <f t="shared" si="131"/>
        <v>45446</v>
      </c>
      <c r="D416" s="20" t="str">
        <f t="shared" si="132"/>
        <v>GENERAL SDP</v>
      </c>
      <c r="E416" s="20" t="str">
        <f t="shared" si="133"/>
        <v>NO</v>
      </c>
      <c r="F416" s="20" t="str">
        <f t="shared" si="134"/>
        <v>Planes de Desarrollo Local</v>
      </c>
      <c r="G416" s="20" t="str">
        <f t="shared" si="135"/>
        <v>Presencial</v>
      </c>
      <c r="H416" s="20" t="str">
        <f t="shared" si="136"/>
        <v>Recoger aportes de la comunidad para el Plan de Desarrollo Local de Sumapaz.</v>
      </c>
      <c r="I416" s="20" t="str">
        <f t="shared" si="137"/>
        <v>Mecanismo de Diálogo</v>
      </c>
      <c r="J416" s="20" t="str">
        <f t="shared" si="138"/>
        <v>Multiactor</v>
      </c>
      <c r="K416" s="20">
        <f t="shared" si="139"/>
        <v>0</v>
      </c>
      <c r="L416" s="20" t="str">
        <f t="shared" si="140"/>
        <v>Sumapaz</v>
      </c>
      <c r="M416" s="20" t="str">
        <f t="shared" si="141"/>
        <v>Ruralidad</v>
      </c>
      <c r="N416" s="20" t="str">
        <f t="shared" si="142"/>
        <v>Sumapaz</v>
      </c>
      <c r="O416" s="20" t="str">
        <f t="shared" si="143"/>
        <v>NO</v>
      </c>
      <c r="P416" s="20" t="str">
        <f t="shared" si="144"/>
        <v>No aplica</v>
      </c>
      <c r="Q416" s="20">
        <f t="shared" si="145"/>
        <v>120</v>
      </c>
      <c r="R416" s="20">
        <f t="shared" si="146"/>
        <v>1</v>
      </c>
      <c r="S416" s="20" t="str">
        <f t="shared" si="147"/>
        <v xml:space="preserve">Conceptos de gasto para la formulación del Plan de Desarrollo Local. </v>
      </c>
      <c r="T416" s="20">
        <f t="shared" si="148"/>
        <v>1</v>
      </c>
      <c r="U416" s="20" t="str">
        <f t="shared" ca="1" si="149"/>
        <v>Realizada</v>
      </c>
      <c r="V416" s="20"/>
      <c r="W416" s="20"/>
      <c r="X416" s="20"/>
      <c r="Y416" s="20"/>
    </row>
    <row r="417" spans="1:25" ht="61.5">
      <c r="A417" s="20">
        <v>520</v>
      </c>
      <c r="B417" s="20" t="str">
        <f t="shared" si="130"/>
        <v>CLIP Santa Fe</v>
      </c>
      <c r="C417" s="21">
        <f t="shared" si="131"/>
        <v>45447</v>
      </c>
      <c r="D417" s="20" t="str">
        <f t="shared" si="132"/>
        <v>INSTANCIAS</v>
      </c>
      <c r="E417" s="20" t="str">
        <f t="shared" si="133"/>
        <v>NO</v>
      </c>
      <c r="F417" s="20" t="str">
        <f t="shared" si="134"/>
        <v>CLIP (Comisión Local Intersectorial de Participación)</v>
      </c>
      <c r="G417" s="20" t="str">
        <f t="shared" si="135"/>
        <v>Presencial</v>
      </c>
      <c r="H417" s="20" t="str">
        <f t="shared" si="136"/>
        <v>Acompañar la articulación de los esfuerzos institucionales de participación en la localidad de Santa Fe</v>
      </c>
      <c r="I417" s="20" t="str">
        <f t="shared" si="137"/>
        <v>Gestión Institucional</v>
      </c>
      <c r="J417" s="20" t="str">
        <f t="shared" si="138"/>
        <v>Público</v>
      </c>
      <c r="K417" s="20" t="str">
        <f t="shared" si="139"/>
        <v>CLIP</v>
      </c>
      <c r="L417" s="20" t="str">
        <f t="shared" si="140"/>
        <v>Santa Fe</v>
      </c>
      <c r="M417" s="20" t="str">
        <f t="shared" si="141"/>
        <v>Centro Ampliado, Ruralidad</v>
      </c>
      <c r="N417" s="20" t="str">
        <f t="shared" si="142"/>
        <v>Centro Histórico, Cerros Orientales</v>
      </c>
      <c r="O417" s="20" t="str">
        <f t="shared" si="143"/>
        <v>NO</v>
      </c>
      <c r="P417" s="20" t="str">
        <f t="shared" si="144"/>
        <v>No aplica</v>
      </c>
      <c r="Q417" s="20">
        <f t="shared" si="145"/>
        <v>19</v>
      </c>
      <c r="R417" s="20">
        <f t="shared" si="146"/>
        <v>1</v>
      </c>
      <c r="S417" s="20" t="str">
        <f t="shared" si="147"/>
        <v>Resultado fase 2 Aspiraciones Comunes PDD,  Programa de Oferta Preferente de Subsidios de Vivienda, Casa de experiencias de la participación - IDPAC y Balance conceptos de gasto Alcaldía Local</v>
      </c>
      <c r="T417" s="20">
        <f t="shared" si="148"/>
        <v>1</v>
      </c>
      <c r="U417" s="20" t="str">
        <f t="shared" ca="1" si="149"/>
        <v>Realizada</v>
      </c>
      <c r="V417" s="20"/>
      <c r="W417" s="20"/>
      <c r="X417" s="20"/>
      <c r="Y417" s="20"/>
    </row>
    <row r="418" spans="1:25" ht="61.5">
      <c r="A418" s="20">
        <v>521</v>
      </c>
      <c r="B418" s="20" t="str">
        <f t="shared" si="130"/>
        <v>CLIP Fontibón</v>
      </c>
      <c r="C418" s="21">
        <f t="shared" si="131"/>
        <v>45447</v>
      </c>
      <c r="D418" s="20" t="str">
        <f t="shared" si="132"/>
        <v>INSTANCIAS</v>
      </c>
      <c r="E418" s="20" t="str">
        <f t="shared" si="133"/>
        <v>NO</v>
      </c>
      <c r="F418" s="20" t="str">
        <f t="shared" si="134"/>
        <v>CLIP (Comisión Local Intersectorial de Participación)</v>
      </c>
      <c r="G418" s="20" t="str">
        <f t="shared" si="135"/>
        <v>Presencial</v>
      </c>
      <c r="H418" s="20" t="str">
        <f t="shared" si="136"/>
        <v>Acompañar el proceso de articulación institucional para la participación ciudadana en la localidad de fontibón y socializar los resultados de segunda fase PDD</v>
      </c>
      <c r="I418" s="20" t="str">
        <f t="shared" si="137"/>
        <v>Gestión Institucional</v>
      </c>
      <c r="J418" s="20" t="str">
        <f t="shared" si="138"/>
        <v>Público</v>
      </c>
      <c r="K418" s="20" t="str">
        <f t="shared" si="139"/>
        <v>CLIP</v>
      </c>
      <c r="L418" s="20" t="str">
        <f t="shared" si="140"/>
        <v>Fontibón</v>
      </c>
      <c r="M418" s="20" t="str">
        <f t="shared" si="141"/>
        <v>Occidente</v>
      </c>
      <c r="N418" s="20" t="str">
        <f t="shared" si="142"/>
        <v>Fontibón, Salitre</v>
      </c>
      <c r="O418" s="20" t="str">
        <f t="shared" si="143"/>
        <v>NO</v>
      </c>
      <c r="P418" s="20" t="str">
        <f t="shared" si="144"/>
        <v>No aplica</v>
      </c>
      <c r="Q418" s="20">
        <f t="shared" si="145"/>
        <v>18</v>
      </c>
      <c r="R418" s="20">
        <f t="shared" si="146"/>
        <v>2</v>
      </c>
      <c r="S418" s="20" t="str">
        <f t="shared" si="147"/>
        <v>Socialización Resultados Fase II: Aspiraciones Comunes, Plan de Desarrollo “Bogotá Camina Segura – 2024 – 2027”, Socialización ganadores Proyecto Fortalecimiento de Instancias, Varios</v>
      </c>
      <c r="T418" s="20">
        <f t="shared" si="148"/>
        <v>1</v>
      </c>
      <c r="U418" s="20" t="str">
        <f t="shared" ca="1" si="149"/>
        <v>Realizada</v>
      </c>
      <c r="V418" s="20"/>
      <c r="W418" s="20"/>
      <c r="X418" s="20"/>
      <c r="Y418" s="20"/>
    </row>
    <row r="419" spans="1:25" ht="49.5">
      <c r="A419" s="20">
        <v>522</v>
      </c>
      <c r="B419" s="20" t="str">
        <f t="shared" si="130"/>
        <v>Plenaria Permanente CTPD</v>
      </c>
      <c r="C419" s="21">
        <f t="shared" si="131"/>
        <v>45447</v>
      </c>
      <c r="D419" s="20" t="str">
        <f t="shared" si="132"/>
        <v>INSTANCIAS</v>
      </c>
      <c r="E419" s="20" t="str">
        <f t="shared" si="133"/>
        <v>NO</v>
      </c>
      <c r="F419" s="20" t="str">
        <f t="shared" si="134"/>
        <v>CTPD (Consejo Territorial de Planeación Distrital)</v>
      </c>
      <c r="G419" s="20" t="str">
        <f t="shared" si="135"/>
        <v>Virtual</v>
      </c>
      <c r="H419" s="20" t="str">
        <f t="shared" si="136"/>
        <v>Continuar Con El Orden Del Dia De La Plenaria Ordinaria Del 30 De Marzo</v>
      </c>
      <c r="I419" s="20" t="str">
        <f t="shared" si="137"/>
        <v>Mecanismo de Seguimiento y Evaluación</v>
      </c>
      <c r="J419" s="20" t="str">
        <f t="shared" si="138"/>
        <v>Comunitario</v>
      </c>
      <c r="K419" s="20" t="str">
        <f t="shared" si="139"/>
        <v>CTPD</v>
      </c>
      <c r="L419" s="20" t="str">
        <f t="shared" si="140"/>
        <v>Distrital</v>
      </c>
      <c r="M419" s="20" t="str">
        <f t="shared" si="141"/>
        <v>Distrital</v>
      </c>
      <c r="N419" s="20" t="str">
        <f t="shared" si="142"/>
        <v>Distrital</v>
      </c>
      <c r="O419" s="20" t="str">
        <f t="shared" si="143"/>
        <v>NO</v>
      </c>
      <c r="P419" s="20" t="str">
        <f t="shared" si="144"/>
        <v>No aplica</v>
      </c>
      <c r="Q419" s="20">
        <f t="shared" si="145"/>
        <v>70</v>
      </c>
      <c r="R419" s="20">
        <f t="shared" si="146"/>
        <v>2</v>
      </c>
      <c r="S419" s="20" t="str">
        <f t="shared" si="147"/>
        <v>Activación del comité de convivencia y recargas para el CTPD</v>
      </c>
      <c r="T419" s="20">
        <f t="shared" si="148"/>
        <v>1</v>
      </c>
      <c r="U419" s="20" t="str">
        <f t="shared" ca="1" si="149"/>
        <v>Realizada</v>
      </c>
      <c r="V419" s="20"/>
      <c r="W419" s="20"/>
      <c r="X419" s="20"/>
      <c r="Y419" s="20"/>
    </row>
    <row r="420" spans="1:25" ht="49.5">
      <c r="A420" s="20">
        <v>523</v>
      </c>
      <c r="B420" s="20" t="str">
        <f t="shared" si="130"/>
        <v>Revisión de compromisos con Cabildo Muisca de Suba</v>
      </c>
      <c r="C420" s="21">
        <f t="shared" si="131"/>
        <v>45447</v>
      </c>
      <c r="D420" s="20" t="str">
        <f t="shared" si="132"/>
        <v>OPDC</v>
      </c>
      <c r="E420" s="20" t="str">
        <f t="shared" si="133"/>
        <v>SÍ</v>
      </c>
      <c r="F420" s="20" t="str">
        <f t="shared" si="134"/>
        <v>Sistema de Participación Territorial</v>
      </c>
      <c r="G420" s="20" t="str">
        <f t="shared" si="135"/>
        <v>Presencial</v>
      </c>
      <c r="H420" s="20" t="str">
        <f t="shared" si="136"/>
        <v>Revisar el estado de los compromisos adquiridos con el Cabildo Muisca de Suba en el marco del Sistema de Participación Territorial</v>
      </c>
      <c r="I420" s="20" t="str">
        <f t="shared" si="137"/>
        <v>Mecanismo de Seguimiento y Evaluación</v>
      </c>
      <c r="J420" s="20" t="str">
        <f t="shared" si="138"/>
        <v>Multiactor</v>
      </c>
      <c r="K420" s="20">
        <f t="shared" si="139"/>
        <v>0</v>
      </c>
      <c r="L420" s="20" t="str">
        <f t="shared" si="140"/>
        <v>Distrital</v>
      </c>
      <c r="M420" s="20" t="str">
        <f t="shared" si="141"/>
        <v>Distrital</v>
      </c>
      <c r="N420" s="20" t="str">
        <f t="shared" si="142"/>
        <v>Distrital</v>
      </c>
      <c r="O420" s="20" t="str">
        <f t="shared" si="143"/>
        <v>NO</v>
      </c>
      <c r="P420" s="20" t="str">
        <f t="shared" si="144"/>
        <v>No aplica</v>
      </c>
      <c r="Q420" s="20">
        <f t="shared" si="145"/>
        <v>6</v>
      </c>
      <c r="R420" s="20">
        <f t="shared" si="146"/>
        <v>2</v>
      </c>
      <c r="S420" s="20" t="str">
        <f t="shared" si="147"/>
        <v>Sistema de Participación Territorial; Sistema de Sitios Sagrados Muisca; Decret0 612; Política Pública para los Pueblos Indígenas</v>
      </c>
      <c r="T420" s="20">
        <f t="shared" si="148"/>
        <v>1</v>
      </c>
      <c r="U420" s="20" t="str">
        <f t="shared" ca="1" si="149"/>
        <v>Realizada</v>
      </c>
      <c r="V420" s="20"/>
      <c r="W420" s="20"/>
      <c r="X420" s="20"/>
      <c r="Y420" s="20"/>
    </row>
    <row r="421" spans="1:25" ht="49.5">
      <c r="A421" s="20">
        <v>525</v>
      </c>
      <c r="B421" s="20" t="str">
        <f t="shared" si="130"/>
        <v>CLIP Sumapaz</v>
      </c>
      <c r="C421" s="21">
        <f t="shared" si="131"/>
        <v>45448</v>
      </c>
      <c r="D421" s="20" t="str">
        <f t="shared" si="132"/>
        <v>INSTANCIAS</v>
      </c>
      <c r="E421" s="20" t="str">
        <f t="shared" si="133"/>
        <v>NO</v>
      </c>
      <c r="F421" s="20" t="str">
        <f t="shared" si="134"/>
        <v>CLIP (Comisión Local Intersectorial de Participación)</v>
      </c>
      <c r="G421" s="20" t="str">
        <f t="shared" si="135"/>
        <v>Virtual</v>
      </c>
      <c r="H421" s="20" t="str">
        <f t="shared" si="136"/>
        <v xml:space="preserve">Acompañar el proceso de articulación institucional para la participación ciudadana en la localidad de Sumapaz. </v>
      </c>
      <c r="I421" s="20" t="str">
        <f t="shared" si="137"/>
        <v>Gestión Institucional</v>
      </c>
      <c r="J421" s="20" t="str">
        <f t="shared" si="138"/>
        <v>Público</v>
      </c>
      <c r="K421" s="20" t="str">
        <f t="shared" si="139"/>
        <v>CLIP</v>
      </c>
      <c r="L421" s="20" t="str">
        <f t="shared" si="140"/>
        <v>Sumapaz</v>
      </c>
      <c r="M421" s="20" t="str">
        <f t="shared" si="141"/>
        <v>Ruralidad</v>
      </c>
      <c r="N421" s="20" t="str">
        <f t="shared" si="142"/>
        <v>Sumapaz</v>
      </c>
      <c r="O421" s="20" t="str">
        <f t="shared" si="143"/>
        <v>NO</v>
      </c>
      <c r="P421" s="20" t="str">
        <f t="shared" si="144"/>
        <v>No aplica</v>
      </c>
      <c r="Q421" s="20">
        <f t="shared" si="145"/>
        <v>26</v>
      </c>
      <c r="R421" s="20">
        <f t="shared" si="146"/>
        <v>1</v>
      </c>
      <c r="S421" s="20" t="str">
        <f t="shared" si="147"/>
        <v xml:space="preserve">Organigrama IDPAC, Plan de Acción de la CLIP, Salud Mental, Derechos Humanos, articulación agenda territorial, resultados chatico. </v>
      </c>
      <c r="T421" s="20">
        <f t="shared" si="148"/>
        <v>1</v>
      </c>
      <c r="U421" s="20" t="str">
        <f t="shared" ca="1" si="149"/>
        <v>Realizada</v>
      </c>
      <c r="V421" s="20"/>
      <c r="W421" s="20"/>
      <c r="X421" s="20"/>
      <c r="Y421" s="20"/>
    </row>
    <row r="422" spans="1:25" ht="61.5">
      <c r="A422" s="20">
        <v>526</v>
      </c>
      <c r="B422" s="20" t="str">
        <f t="shared" si="130"/>
        <v>Gestión: Preparatoria Acción Afirmativa Pueblo Rrom - Gitano</v>
      </c>
      <c r="C422" s="21">
        <f t="shared" si="131"/>
        <v>45448</v>
      </c>
      <c r="D422" s="20" t="str">
        <f t="shared" si="132"/>
        <v>OPDC</v>
      </c>
      <c r="E422" s="20" t="str">
        <f t="shared" si="133"/>
        <v>NO</v>
      </c>
      <c r="F422" s="20" t="str">
        <f t="shared" si="134"/>
        <v>Gestión del Plan Institucional de Participación Ciudadana</v>
      </c>
      <c r="G422" s="20" t="str">
        <f t="shared" si="135"/>
        <v>Virtual</v>
      </c>
      <c r="H422" s="20" t="str">
        <f t="shared" si="136"/>
        <v xml:space="preserve">Definir actividad, fecha y ejecución financiera de la acción afirmativa de la OPDC con el Pueblo Rrom Gitano en el marco del articulo 66 del PDD 2020-2024. </v>
      </c>
      <c r="I422" s="20" t="str">
        <f t="shared" si="137"/>
        <v>Gestión Institucional</v>
      </c>
      <c r="J422" s="20" t="str">
        <f t="shared" si="138"/>
        <v>Comunitario</v>
      </c>
      <c r="K422" s="20" t="str">
        <f t="shared" si="139"/>
        <v>Consejo Consultivo</v>
      </c>
      <c r="L422" s="20" t="str">
        <f t="shared" si="140"/>
        <v>Distrital</v>
      </c>
      <c r="M422" s="20" t="str">
        <f t="shared" si="141"/>
        <v>Distrital</v>
      </c>
      <c r="N422" s="20" t="str">
        <f t="shared" si="142"/>
        <v>Distrital</v>
      </c>
      <c r="O422" s="20" t="str">
        <f t="shared" si="143"/>
        <v>NO</v>
      </c>
      <c r="P422" s="20" t="str">
        <f t="shared" si="144"/>
        <v>No aplica</v>
      </c>
      <c r="Q422" s="20">
        <f t="shared" si="145"/>
        <v>1</v>
      </c>
      <c r="R422" s="20">
        <f t="shared" si="146"/>
        <v>1</v>
      </c>
      <c r="S422" s="20" t="str">
        <f t="shared" si="147"/>
        <v xml:space="preserve">Definición de fechas y ejecución financiera de la acción afirmativa </v>
      </c>
      <c r="T422" s="20">
        <f t="shared" si="148"/>
        <v>1</v>
      </c>
      <c r="U422" s="20" t="str">
        <f t="shared" ca="1" si="149"/>
        <v>Realizada</v>
      </c>
      <c r="V422" s="20"/>
      <c r="W422" s="20"/>
      <c r="X422" s="20"/>
      <c r="Y422" s="20"/>
    </row>
    <row r="423" spans="1:25" ht="61.5">
      <c r="A423" s="20">
        <v>527</v>
      </c>
      <c r="B423" s="20" t="str">
        <f t="shared" si="130"/>
        <v>CLIP Rafael Uribe Uribe</v>
      </c>
      <c r="C423" s="21">
        <f t="shared" si="131"/>
        <v>45448</v>
      </c>
      <c r="D423" s="20" t="str">
        <f t="shared" si="132"/>
        <v>INSTANCIAS</v>
      </c>
      <c r="E423" s="20" t="str">
        <f t="shared" si="133"/>
        <v>NO</v>
      </c>
      <c r="F423" s="20" t="str">
        <f t="shared" si="134"/>
        <v>CLIP (Comisión Local Intersectorial de Participación)</v>
      </c>
      <c r="G423" s="20" t="str">
        <f t="shared" si="135"/>
        <v>Presencial</v>
      </c>
      <c r="H423" s="20" t="str">
        <f t="shared" si="136"/>
        <v>Acompañar la articulación de los esfuerzos institucionales de participación en la localidad de Rafael Uribe Uribe y presentar el estado actual del PDD.</v>
      </c>
      <c r="I423" s="20" t="str">
        <f t="shared" si="137"/>
        <v>Gestión Institucional</v>
      </c>
      <c r="J423" s="20" t="str">
        <f t="shared" si="138"/>
        <v>Público</v>
      </c>
      <c r="K423" s="20" t="str">
        <f t="shared" si="139"/>
        <v>CLIP</v>
      </c>
      <c r="L423" s="20" t="str">
        <f t="shared" si="140"/>
        <v>Rafael Uribe Uribe</v>
      </c>
      <c r="M423" s="20" t="str">
        <f t="shared" si="141"/>
        <v>Suroriente, Centro Ampliado</v>
      </c>
      <c r="N423" s="20" t="str">
        <f t="shared" si="142"/>
        <v>Rafael Uribe, Restrepo, San Cristobal</v>
      </c>
      <c r="O423" s="20" t="str">
        <f t="shared" si="143"/>
        <v>NO</v>
      </c>
      <c r="P423" s="20" t="str">
        <f t="shared" si="144"/>
        <v>No aplica</v>
      </c>
      <c r="Q423" s="20">
        <f t="shared" si="145"/>
        <v>19</v>
      </c>
      <c r="R423" s="20">
        <f t="shared" si="146"/>
        <v>1</v>
      </c>
      <c r="S423" s="20" t="str">
        <f t="shared" si="147"/>
        <v>Socialización de los resultados de la segunda fase de construcción del PDD</v>
      </c>
      <c r="T423" s="20">
        <f t="shared" si="148"/>
        <v>1</v>
      </c>
      <c r="U423" s="20" t="str">
        <f t="shared" ca="1" si="149"/>
        <v>Realizada</v>
      </c>
      <c r="V423" s="20"/>
      <c r="W423" s="20"/>
      <c r="X423" s="20"/>
      <c r="Y423" s="20"/>
    </row>
    <row r="424" spans="1:25" ht="49.5">
      <c r="A424" s="20">
        <v>528</v>
      </c>
      <c r="B424" s="20" t="str">
        <f t="shared" si="130"/>
        <v>Gestión: Reunión con Veeduría Distrital</v>
      </c>
      <c r="C424" s="21">
        <f t="shared" si="131"/>
        <v>45448</v>
      </c>
      <c r="D424" s="20" t="str">
        <f t="shared" si="132"/>
        <v>OPDC</v>
      </c>
      <c r="E424" s="20" t="str">
        <f t="shared" si="133"/>
        <v>NO</v>
      </c>
      <c r="F424" s="20" t="str">
        <f t="shared" si="134"/>
        <v>Sistema de Participación Territorial</v>
      </c>
      <c r="G424" s="20" t="str">
        <f t="shared" si="135"/>
        <v>Presencial</v>
      </c>
      <c r="H424" s="20" t="str">
        <f t="shared" si="136"/>
        <v>Establecer una hoja de ruta para la creación de los Comités de la Ciudadanía en el marco del Sistema de Participación Territorial</v>
      </c>
      <c r="I424" s="20" t="str">
        <f t="shared" si="137"/>
        <v>Gestión Institucional</v>
      </c>
      <c r="J424" s="20" t="str">
        <f t="shared" si="138"/>
        <v>Público</v>
      </c>
      <c r="K424" s="20" t="str">
        <f t="shared" si="139"/>
        <v>Órganos de control</v>
      </c>
      <c r="L424" s="20" t="str">
        <f t="shared" si="140"/>
        <v>Distrital</v>
      </c>
      <c r="M424" s="20" t="str">
        <f t="shared" si="141"/>
        <v>Distrital</v>
      </c>
      <c r="N424" s="20" t="str">
        <f t="shared" si="142"/>
        <v>Distrital</v>
      </c>
      <c r="O424" s="20" t="str">
        <f t="shared" si="143"/>
        <v>NO</v>
      </c>
      <c r="P424" s="20" t="str">
        <f t="shared" si="144"/>
        <v>No aplica</v>
      </c>
      <c r="Q424" s="20">
        <f t="shared" si="145"/>
        <v>10</v>
      </c>
      <c r="R424" s="20">
        <f t="shared" si="146"/>
        <v>1</v>
      </c>
      <c r="S424" s="20" t="str">
        <f t="shared" si="147"/>
        <v>Articulación de los Comités de la Ciudadanía en las Actuaciones Estratégicas</v>
      </c>
      <c r="T424" s="20">
        <f t="shared" si="148"/>
        <v>1</v>
      </c>
      <c r="U424" s="20" t="str">
        <f t="shared" ca="1" si="149"/>
        <v>Realizada</v>
      </c>
      <c r="V424" s="20"/>
      <c r="W424" s="20"/>
      <c r="X424" s="20"/>
      <c r="Y424" s="20"/>
    </row>
    <row r="425" spans="1:25" ht="74.25">
      <c r="A425" s="20">
        <v>529</v>
      </c>
      <c r="B425" s="20" t="str">
        <f t="shared" si="130"/>
        <v>CLIP Candelaria</v>
      </c>
      <c r="C425" s="21">
        <f t="shared" si="131"/>
        <v>45449</v>
      </c>
      <c r="D425" s="20" t="str">
        <f t="shared" si="132"/>
        <v>INSTANCIAS</v>
      </c>
      <c r="E425" s="20" t="str">
        <f t="shared" si="133"/>
        <v>NO</v>
      </c>
      <c r="F425" s="20" t="str">
        <f t="shared" si="134"/>
        <v>CLIP (Comisión Local Intersectorial de Participación)</v>
      </c>
      <c r="G425" s="20" t="str">
        <f t="shared" si="135"/>
        <v>Presencial</v>
      </c>
      <c r="H425" s="20" t="str">
        <f t="shared" si="136"/>
        <v>Acompañar la articulación de los esfuerzos institucionales de participación en la localidad de La Candelaria.</v>
      </c>
      <c r="I425" s="20" t="str">
        <f t="shared" si="137"/>
        <v>Gestión Institucional</v>
      </c>
      <c r="J425" s="20" t="str">
        <f t="shared" si="138"/>
        <v>Público</v>
      </c>
      <c r="K425" s="20" t="str">
        <f t="shared" si="139"/>
        <v>CLIP</v>
      </c>
      <c r="L425" s="20" t="str">
        <f t="shared" si="140"/>
        <v>La Candelaria</v>
      </c>
      <c r="M425" s="20" t="str">
        <f t="shared" si="141"/>
        <v>Centro Ampliado</v>
      </c>
      <c r="N425" s="20" t="str">
        <f t="shared" si="142"/>
        <v>Centro Histórico</v>
      </c>
      <c r="O425" s="20" t="str">
        <f t="shared" si="143"/>
        <v>NO</v>
      </c>
      <c r="P425" s="20" t="str">
        <f t="shared" si="144"/>
        <v>No aplica</v>
      </c>
      <c r="Q425" s="20">
        <f t="shared" si="145"/>
        <v>18</v>
      </c>
      <c r="R425" s="20">
        <f t="shared" si="146"/>
        <v>1</v>
      </c>
      <c r="S425" s="20" t="str">
        <f t="shared" si="147"/>
        <v>Presentación del análisis del espacio de respuestas al concepto emitido por el CTPD frente al PDD, para la Localidad de Usaquén, el objetivo priorizado fue, Bogotá avanza en su seguridad, Bogotá confía en su Bien-estar y Bogotá confía en su Gobierno.</v>
      </c>
      <c r="T425" s="20">
        <f t="shared" si="148"/>
        <v>1</v>
      </c>
      <c r="U425" s="20" t="str">
        <f t="shared" ca="1" si="149"/>
        <v>Realizada</v>
      </c>
      <c r="V425" s="20"/>
      <c r="W425" s="20"/>
      <c r="X425" s="20"/>
      <c r="Y425" s="20"/>
    </row>
    <row r="426" spans="1:25" ht="61.5">
      <c r="A426" s="20">
        <v>530</v>
      </c>
      <c r="B426" s="20" t="str">
        <f t="shared" si="130"/>
        <v>Gestión: Preparación de metodologías para actividades de acciones afirmativas - Comunidad Palenquera</v>
      </c>
      <c r="C426" s="21">
        <f t="shared" si="131"/>
        <v>45449</v>
      </c>
      <c r="D426" s="20" t="str">
        <f t="shared" si="132"/>
        <v>OPDC</v>
      </c>
      <c r="E426" s="20" t="str">
        <f t="shared" si="133"/>
        <v>NO</v>
      </c>
      <c r="F426" s="20" t="str">
        <f t="shared" si="134"/>
        <v>Políticas Públicas</v>
      </c>
      <c r="G426" s="20" t="str">
        <f t="shared" si="135"/>
        <v>Presencial</v>
      </c>
      <c r="H426" s="20" t="str">
        <f t="shared" si="136"/>
        <v>Elaborar y concertar las metodologías para la realización de actividades que permitan dar cumplimiento a las acciones afirmativas que se tienen con la Comunidad Palenquera</v>
      </c>
      <c r="I426" s="20" t="str">
        <f t="shared" si="137"/>
        <v>Gestión Institucional</v>
      </c>
      <c r="J426" s="20" t="str">
        <f t="shared" si="138"/>
        <v>Comunitario</v>
      </c>
      <c r="K426" s="20" t="str">
        <f t="shared" si="139"/>
        <v>Consejo Consultivo</v>
      </c>
      <c r="L426" s="20" t="str">
        <f t="shared" si="140"/>
        <v>Distrital</v>
      </c>
      <c r="M426" s="20" t="str">
        <f t="shared" si="141"/>
        <v>Distrital</v>
      </c>
      <c r="N426" s="20" t="str">
        <f t="shared" si="142"/>
        <v>Distrital</v>
      </c>
      <c r="O426" s="20" t="str">
        <f t="shared" si="143"/>
        <v>NO</v>
      </c>
      <c r="P426" s="20" t="str">
        <f t="shared" si="144"/>
        <v>No aplica</v>
      </c>
      <c r="Q426" s="20">
        <f t="shared" si="145"/>
        <v>6</v>
      </c>
      <c r="R426" s="20">
        <f t="shared" si="146"/>
        <v>3</v>
      </c>
      <c r="S426" s="20" t="str">
        <f t="shared" si="147"/>
        <v>Definición de fechas, bosquejo de metodología y ejecución financiera de las acciones afirmativas</v>
      </c>
      <c r="T426" s="20">
        <f t="shared" si="148"/>
        <v>1</v>
      </c>
      <c r="U426" s="20" t="str">
        <f t="shared" ca="1" si="149"/>
        <v>Realizada</v>
      </c>
      <c r="V426" s="20"/>
      <c r="W426" s="20"/>
      <c r="X426" s="20"/>
      <c r="Y426" s="20"/>
    </row>
    <row r="427" spans="1:25" ht="49.5">
      <c r="A427" s="20">
        <v>531</v>
      </c>
      <c r="B427" s="20" t="str">
        <f t="shared" si="130"/>
        <v>CLIP Usaquén</v>
      </c>
      <c r="C427" s="21">
        <f t="shared" si="131"/>
        <v>45449</v>
      </c>
      <c r="D427" s="20" t="str">
        <f t="shared" si="132"/>
        <v>INSTANCIAS</v>
      </c>
      <c r="E427" s="20" t="str">
        <f t="shared" si="133"/>
        <v>NO</v>
      </c>
      <c r="F427" s="20" t="str">
        <f t="shared" si="134"/>
        <v>CLIP (Comisión Local Intersectorial de Participación)</v>
      </c>
      <c r="G427" s="20" t="str">
        <f t="shared" si="135"/>
        <v>Presencial</v>
      </c>
      <c r="H427" s="20" t="str">
        <f t="shared" si="136"/>
        <v>Acompañar la articulación de los esfuerzos institucionales de participación en la localidad de Usaquén</v>
      </c>
      <c r="I427" s="20" t="str">
        <f t="shared" si="137"/>
        <v>Gestión Institucional</v>
      </c>
      <c r="J427" s="20" t="str">
        <f t="shared" si="138"/>
        <v>Público</v>
      </c>
      <c r="K427" s="20" t="str">
        <f t="shared" si="139"/>
        <v>CLIP</v>
      </c>
      <c r="L427" s="20" t="str">
        <f t="shared" si="140"/>
        <v>Usaquén</v>
      </c>
      <c r="M427" s="20" t="str">
        <f t="shared" si="141"/>
        <v>Norte, Ruralidad</v>
      </c>
      <c r="N427" s="20" t="str">
        <f t="shared" si="142"/>
        <v>Usaquén, Toberín, Torca, Cerros Orientales</v>
      </c>
      <c r="O427" s="20" t="str">
        <f t="shared" si="143"/>
        <v>NO</v>
      </c>
      <c r="P427" s="20" t="str">
        <f t="shared" si="144"/>
        <v>No aplica</v>
      </c>
      <c r="Q427" s="20">
        <f t="shared" si="145"/>
        <v>17</v>
      </c>
      <c r="R427" s="20">
        <f t="shared" si="146"/>
        <v>2</v>
      </c>
      <c r="S427" s="20" t="str">
        <f t="shared" si="147"/>
        <v>presentación del proceso de participación de encuentros ciudadanos, presentación de los resultados de participación por localidad en el PDD</v>
      </c>
      <c r="T427" s="20">
        <f t="shared" si="148"/>
        <v>1</v>
      </c>
      <c r="U427" s="20" t="str">
        <f t="shared" ca="1" si="149"/>
        <v>Realizada</v>
      </c>
      <c r="V427" s="20"/>
      <c r="W427" s="20"/>
      <c r="X427" s="20"/>
      <c r="Y427" s="20"/>
    </row>
    <row r="428" spans="1:25" ht="61.5">
      <c r="A428" s="20">
        <v>533</v>
      </c>
      <c r="B428" s="20" t="str">
        <f t="shared" si="130"/>
        <v>CLIP San Cristóbal</v>
      </c>
      <c r="C428" s="21">
        <f t="shared" si="131"/>
        <v>45449</v>
      </c>
      <c r="D428" s="20" t="str">
        <f t="shared" si="132"/>
        <v>INSTANCIAS</v>
      </c>
      <c r="E428" s="20" t="str">
        <f t="shared" si="133"/>
        <v>NO</v>
      </c>
      <c r="F428" s="20" t="str">
        <f t="shared" si="134"/>
        <v>CLIP (Comisión Local Intersectorial de Participación)</v>
      </c>
      <c r="G428" s="20" t="str">
        <f t="shared" si="135"/>
        <v>Presencial</v>
      </c>
      <c r="H428" s="20" t="str">
        <f t="shared" si="136"/>
        <v>Acompañar la articulación de los esfuerzos institucionales de participación en la localidad de San Cristóbal y presentar el estado actual del PDD.</v>
      </c>
      <c r="I428" s="20" t="str">
        <f t="shared" si="137"/>
        <v>Gestión Institucional</v>
      </c>
      <c r="J428" s="20" t="str">
        <f t="shared" si="138"/>
        <v>Público</v>
      </c>
      <c r="K428" s="20" t="str">
        <f t="shared" si="139"/>
        <v>CLIP</v>
      </c>
      <c r="L428" s="20" t="str">
        <f t="shared" si="140"/>
        <v>San Cristóbal</v>
      </c>
      <c r="M428" s="20" t="str">
        <f t="shared" si="141"/>
        <v>Suroriente</v>
      </c>
      <c r="N428" s="20" t="str">
        <f t="shared" si="142"/>
        <v>San Cristobal</v>
      </c>
      <c r="O428" s="20" t="str">
        <f t="shared" si="143"/>
        <v>NO</v>
      </c>
      <c r="P428" s="20" t="str">
        <f t="shared" si="144"/>
        <v>No aplica</v>
      </c>
      <c r="Q428" s="20">
        <f t="shared" si="145"/>
        <v>23</v>
      </c>
      <c r="R428" s="20">
        <f t="shared" si="146"/>
        <v>1</v>
      </c>
      <c r="S428" s="20" t="str">
        <f t="shared" si="147"/>
        <v>Estado actual del PDD, resultados de los encuentros ciudadanos e inicio de las fases 1 y 2 de los presupuestos participativos.</v>
      </c>
      <c r="T428" s="20">
        <f t="shared" si="148"/>
        <v>1</v>
      </c>
      <c r="U428" s="20" t="str">
        <f t="shared" ca="1" si="149"/>
        <v>Realizada</v>
      </c>
      <c r="V428" s="20"/>
      <c r="W428" s="20"/>
      <c r="X428" s="20"/>
      <c r="Y428" s="20"/>
    </row>
    <row r="429" spans="1:25" ht="49.5">
      <c r="A429" s="20">
        <v>534</v>
      </c>
      <c r="B429" s="20" t="str">
        <f t="shared" si="130"/>
        <v>Plenaria Permanente CTPD</v>
      </c>
      <c r="C429" s="21">
        <f t="shared" si="131"/>
        <v>45449</v>
      </c>
      <c r="D429" s="20" t="str">
        <f t="shared" si="132"/>
        <v>INSTANCIAS</v>
      </c>
      <c r="E429" s="20" t="str">
        <f t="shared" si="133"/>
        <v>NO</v>
      </c>
      <c r="F429" s="20" t="str">
        <f t="shared" si="134"/>
        <v>CTPD (Consejo Territorial de Planeación Distrital)</v>
      </c>
      <c r="G429" s="20" t="str">
        <f t="shared" si="135"/>
        <v>Virtual</v>
      </c>
      <c r="H429" s="20" t="str">
        <f t="shared" si="136"/>
        <v>Continuar con el orden del día de la plenaria ordinaria del 30 de marzo de 2024</v>
      </c>
      <c r="I429" s="20" t="str">
        <f t="shared" si="137"/>
        <v>Mecanismo de Seguimiento y Evaluación</v>
      </c>
      <c r="J429" s="20" t="str">
        <f t="shared" si="138"/>
        <v>Comunitario</v>
      </c>
      <c r="K429" s="20" t="str">
        <f t="shared" si="139"/>
        <v>CTPD</v>
      </c>
      <c r="L429" s="20" t="str">
        <f t="shared" si="140"/>
        <v>Distrital</v>
      </c>
      <c r="M429" s="20" t="str">
        <f t="shared" si="141"/>
        <v>Distrital</v>
      </c>
      <c r="N429" s="20" t="str">
        <f t="shared" si="142"/>
        <v>Distrital</v>
      </c>
      <c r="O429" s="20" t="str">
        <f t="shared" si="143"/>
        <v>NO</v>
      </c>
      <c r="P429" s="20" t="str">
        <f t="shared" si="144"/>
        <v>No aplica</v>
      </c>
      <c r="Q429" s="20">
        <f t="shared" si="145"/>
        <v>67</v>
      </c>
      <c r="R429" s="20">
        <f t="shared" si="146"/>
        <v>2</v>
      </c>
      <c r="S429" s="20" t="str">
        <f t="shared" si="147"/>
        <v>Beneficio de las recargas para el CTPD</v>
      </c>
      <c r="T429" s="20">
        <f t="shared" si="148"/>
        <v>1</v>
      </c>
      <c r="U429" s="20" t="str">
        <f t="shared" ca="1" si="149"/>
        <v>Realizada</v>
      </c>
      <c r="V429" s="20"/>
      <c r="W429" s="20"/>
      <c r="X429" s="20"/>
      <c r="Y429" s="20"/>
    </row>
    <row r="430" spans="1:25" ht="49.5">
      <c r="A430" s="20">
        <v>535</v>
      </c>
      <c r="B430" s="20" t="str">
        <f t="shared" si="130"/>
        <v>Recorrido AE Campín 07 de Agosto - Sector 07 de Agosto</v>
      </c>
      <c r="C430" s="21">
        <f t="shared" si="131"/>
        <v>45450</v>
      </c>
      <c r="D430" s="20" t="str">
        <f t="shared" si="132"/>
        <v>OPDC</v>
      </c>
      <c r="E430" s="20" t="str">
        <f t="shared" si="133"/>
        <v>SÍ</v>
      </c>
      <c r="F430" s="20" t="str">
        <f t="shared" si="134"/>
        <v>Construcción de Directrices de Actuaciones Estratégicas</v>
      </c>
      <c r="G430" s="20" t="str">
        <f t="shared" si="135"/>
        <v>Presencial</v>
      </c>
      <c r="H430" s="20" t="str">
        <f t="shared" si="136"/>
        <v>Realizar un recorrido con la comunidad para informar sobre las directrices de la AE sector 7 de agosto.</v>
      </c>
      <c r="I430" s="20" t="str">
        <f t="shared" si="137"/>
        <v>Mecanismo de Comunicación para la Participación</v>
      </c>
      <c r="J430" s="20" t="str">
        <f t="shared" si="138"/>
        <v>Multiactor</v>
      </c>
      <c r="K430" s="20">
        <f t="shared" si="139"/>
        <v>0</v>
      </c>
      <c r="L430" s="20" t="str">
        <f t="shared" si="140"/>
        <v>Barrios Unidos</v>
      </c>
      <c r="M430" s="20" t="str">
        <f t="shared" si="141"/>
        <v>Centro Ampliado</v>
      </c>
      <c r="N430" s="20" t="str">
        <f t="shared" si="142"/>
        <v>Barrios Unidos, Teusaquillo</v>
      </c>
      <c r="O430" s="20" t="str">
        <f t="shared" si="143"/>
        <v>NO</v>
      </c>
      <c r="P430" s="20" t="str">
        <f t="shared" si="144"/>
        <v>No aplica</v>
      </c>
      <c r="Q430" s="20">
        <f t="shared" si="145"/>
        <v>9</v>
      </c>
      <c r="R430" s="20">
        <f t="shared" si="146"/>
        <v>10</v>
      </c>
      <c r="S430" s="20" t="str">
        <f t="shared" si="147"/>
        <v>Empoderar a los presidentes de las JAC de la AE Campin 7 de agosto con información técnica y de primera mano para que la puedan transmitir en sus respectivas comunidades.</v>
      </c>
      <c r="T430" s="20">
        <f t="shared" si="148"/>
        <v>1</v>
      </c>
      <c r="U430" s="20" t="str">
        <f t="shared" ca="1" si="149"/>
        <v>Realizada</v>
      </c>
      <c r="V430" s="20"/>
      <c r="W430" s="20"/>
      <c r="X430" s="20"/>
      <c r="Y430" s="20"/>
    </row>
    <row r="431" spans="1:25" ht="37.5">
      <c r="A431" s="20">
        <v>537</v>
      </c>
      <c r="B431" s="20" t="str">
        <f t="shared" si="130"/>
        <v>Segunda sesión de la Subcomisión Permanente del Sistema de Participación Territorial</v>
      </c>
      <c r="C431" s="21">
        <f t="shared" si="131"/>
        <v>45450</v>
      </c>
      <c r="D431" s="20" t="str">
        <f t="shared" si="132"/>
        <v>OPDC</v>
      </c>
      <c r="E431" s="20" t="str">
        <f t="shared" si="133"/>
        <v>NO</v>
      </c>
      <c r="F431" s="20" t="str">
        <f t="shared" si="134"/>
        <v>Sistema de Participación Territorial</v>
      </c>
      <c r="G431" s="20" t="str">
        <f t="shared" si="135"/>
        <v>Presencial</v>
      </c>
      <c r="H431" s="20" t="str">
        <f t="shared" si="136"/>
        <v>Aprobar el Plan Operativo Anual y el protocolo de reportes de la Subcomisión</v>
      </c>
      <c r="I431" s="20" t="str">
        <f t="shared" si="137"/>
        <v>Gestión Institucional</v>
      </c>
      <c r="J431" s="20" t="str">
        <f t="shared" si="138"/>
        <v>Público</v>
      </c>
      <c r="K431" s="20">
        <f t="shared" si="139"/>
        <v>0</v>
      </c>
      <c r="L431" s="20" t="str">
        <f t="shared" si="140"/>
        <v>Distrital</v>
      </c>
      <c r="M431" s="20" t="str">
        <f t="shared" si="141"/>
        <v>Distrital</v>
      </c>
      <c r="N431" s="20" t="str">
        <f t="shared" si="142"/>
        <v>Distrital</v>
      </c>
      <c r="O431" s="20" t="str">
        <f t="shared" si="143"/>
        <v>NO</v>
      </c>
      <c r="P431" s="20" t="str">
        <f t="shared" si="144"/>
        <v>No aplica</v>
      </c>
      <c r="Q431" s="20">
        <f t="shared" si="145"/>
        <v>20</v>
      </c>
      <c r="R431" s="20">
        <f t="shared" si="146"/>
        <v>6</v>
      </c>
      <c r="S431" s="20" t="str">
        <f t="shared" si="147"/>
        <v>Aprobación del Plan Operativo Anual - 2024 - Aprobación de esquema de reportes trimestrales</v>
      </c>
      <c r="T431" s="20">
        <f t="shared" si="148"/>
        <v>1</v>
      </c>
      <c r="U431" s="20" t="str">
        <f t="shared" ca="1" si="149"/>
        <v>Realizada</v>
      </c>
      <c r="V431" s="20"/>
      <c r="W431" s="20"/>
      <c r="X431" s="20"/>
      <c r="Y431" s="20"/>
    </row>
    <row r="432" spans="1:25" ht="61.5">
      <c r="A432" s="20">
        <v>538</v>
      </c>
      <c r="B432" s="20" t="str">
        <f t="shared" si="130"/>
        <v>Taller de Diálogo  Actuación Estratégica Montevideo</v>
      </c>
      <c r="C432" s="21">
        <f t="shared" si="131"/>
        <v>45450</v>
      </c>
      <c r="D432" s="20" t="str">
        <f t="shared" si="132"/>
        <v>OPDC</v>
      </c>
      <c r="E432" s="20" t="str">
        <f t="shared" si="133"/>
        <v>SÍ</v>
      </c>
      <c r="F432" s="20" t="str">
        <f t="shared" si="134"/>
        <v>Construcción de Directrices de Actuaciones Estratégicas</v>
      </c>
      <c r="G432" s="20" t="str">
        <f t="shared" si="135"/>
        <v>Presencial</v>
      </c>
      <c r="H432" s="20" t="str">
        <f t="shared" si="136"/>
        <v>Socializar  y construir las directrices para la formulación de la Actuación Estratégica Montevideo</v>
      </c>
      <c r="I432" s="20" t="str">
        <f t="shared" si="137"/>
        <v>Mecanismo de Diálogo</v>
      </c>
      <c r="J432" s="20" t="str">
        <f t="shared" si="138"/>
        <v>Multiactor</v>
      </c>
      <c r="K432" s="20">
        <f t="shared" si="139"/>
        <v>0</v>
      </c>
      <c r="L432" s="20" t="str">
        <f t="shared" si="140"/>
        <v>Fontibón, Puente Aranda</v>
      </c>
      <c r="M432" s="20" t="str">
        <f t="shared" si="141"/>
        <v>Occidente, Centro Ampliado</v>
      </c>
      <c r="N432" s="20" t="str">
        <f t="shared" si="142"/>
        <v>Salitre, Puente Aranda</v>
      </c>
      <c r="O432" s="20" t="str">
        <f t="shared" si="143"/>
        <v>NO</v>
      </c>
      <c r="P432" s="20" t="str">
        <f t="shared" si="144"/>
        <v>No aplica</v>
      </c>
      <c r="Q432" s="20">
        <f t="shared" si="145"/>
        <v>12</v>
      </c>
      <c r="R432" s="20">
        <f t="shared" si="146"/>
        <v>15</v>
      </c>
      <c r="S432" s="20" t="str">
        <f t="shared" si="147"/>
        <v>El alcance de AE Montevideo, Territorios y Actores que involucrados en AE, Aspectos Técnicos de AE Montevideo: A. Movilidad, B. Reverdecimiento, C. Reactivación y D. Ciudad Inteligente.</v>
      </c>
      <c r="T432" s="20">
        <f t="shared" si="148"/>
        <v>1</v>
      </c>
      <c r="U432" s="20" t="str">
        <f t="shared" ca="1" si="149"/>
        <v>Realizada</v>
      </c>
      <c r="V432" s="20"/>
      <c r="W432" s="20"/>
      <c r="X432" s="20"/>
      <c r="Y432" s="20"/>
    </row>
    <row r="433" spans="1:25" ht="49.5">
      <c r="A433" s="20">
        <v>539</v>
      </c>
      <c r="B433" s="20" t="str">
        <f t="shared" si="130"/>
        <v>Recorrido AE estratégica Campin 7 de agosto sector Campin</v>
      </c>
      <c r="C433" s="21">
        <f t="shared" si="131"/>
        <v>45451</v>
      </c>
      <c r="D433" s="20" t="str">
        <f t="shared" si="132"/>
        <v>OPDC</v>
      </c>
      <c r="E433" s="20" t="str">
        <f t="shared" si="133"/>
        <v>SÍ</v>
      </c>
      <c r="F433" s="20" t="str">
        <f t="shared" si="134"/>
        <v>Construcción de Directrices de Actuaciones Estratégicas</v>
      </c>
      <c r="G433" s="20" t="str">
        <f t="shared" si="135"/>
        <v>Presencial</v>
      </c>
      <c r="H433" s="20" t="str">
        <f t="shared" si="136"/>
        <v>Informar a la comunidad las directrices de la AE campin 7 de agosto sector 7 de agosto</v>
      </c>
      <c r="I433" s="20" t="str">
        <f t="shared" si="137"/>
        <v>Mecanismo de Comunicación para la Participación</v>
      </c>
      <c r="J433" s="20" t="str">
        <f t="shared" si="138"/>
        <v>Multiactor</v>
      </c>
      <c r="K433" s="20">
        <f t="shared" si="139"/>
        <v>0</v>
      </c>
      <c r="L433" s="20" t="str">
        <f t="shared" si="140"/>
        <v>Teusaquillo</v>
      </c>
      <c r="M433" s="20" t="str">
        <f t="shared" si="141"/>
        <v>Centro Ampliado</v>
      </c>
      <c r="N433" s="20" t="str">
        <f t="shared" si="142"/>
        <v>Barrios Unidos, Teusaquillo</v>
      </c>
      <c r="O433" s="20" t="str">
        <f t="shared" si="143"/>
        <v>NO</v>
      </c>
      <c r="P433" s="20" t="str">
        <f t="shared" si="144"/>
        <v>No aplica</v>
      </c>
      <c r="Q433" s="20">
        <f t="shared" si="145"/>
        <v>22</v>
      </c>
      <c r="R433" s="20">
        <f t="shared" si="146"/>
        <v>10</v>
      </c>
      <c r="S433" s="20" t="str">
        <f t="shared" si="147"/>
        <v>Empoderar a los presidentes de las JAC de la AE Campin 7 de agosto con información técnica y de primera mano para que la puedan transmitir en sus respectivas comunidades.</v>
      </c>
      <c r="T433" s="20">
        <f t="shared" si="148"/>
        <v>1</v>
      </c>
      <c r="U433" s="20" t="str">
        <f t="shared" ca="1" si="149"/>
        <v>Realizada</v>
      </c>
      <c r="V433" s="20"/>
      <c r="W433" s="20"/>
      <c r="X433" s="20"/>
      <c r="Y433" s="20"/>
    </row>
    <row r="434" spans="1:25" ht="61.5">
      <c r="A434" s="20">
        <v>540</v>
      </c>
      <c r="B434" s="20" t="str">
        <f t="shared" si="130"/>
        <v>CLIP Engativá</v>
      </c>
      <c r="C434" s="21">
        <f t="shared" si="131"/>
        <v>45454</v>
      </c>
      <c r="D434" s="20" t="str">
        <f t="shared" si="132"/>
        <v>INSTANCIAS</v>
      </c>
      <c r="E434" s="20" t="str">
        <f t="shared" si="133"/>
        <v>NO</v>
      </c>
      <c r="F434" s="20" t="str">
        <f t="shared" si="134"/>
        <v>CLIP (Comisión Local Intersectorial de Participación)</v>
      </c>
      <c r="G434" s="20" t="str">
        <f t="shared" si="135"/>
        <v>Presencial</v>
      </c>
      <c r="H434" s="20" t="str">
        <f t="shared" si="136"/>
        <v>Acompañar la articulación de los esfuerzos institucionales de participación en la localidad de Engativá</v>
      </c>
      <c r="I434" s="20" t="str">
        <f t="shared" si="137"/>
        <v>Gestión Institucional</v>
      </c>
      <c r="J434" s="20" t="str">
        <f t="shared" si="138"/>
        <v>Público</v>
      </c>
      <c r="K434" s="20" t="str">
        <f t="shared" si="139"/>
        <v>CLIP</v>
      </c>
      <c r="L434" s="20" t="str">
        <f t="shared" si="140"/>
        <v>Engativá</v>
      </c>
      <c r="M434" s="20" t="str">
        <f t="shared" si="141"/>
        <v>Occidente</v>
      </c>
      <c r="N434" s="20" t="str">
        <f t="shared" si="142"/>
        <v>Engativá, Tabora, Salitre</v>
      </c>
      <c r="O434" s="20" t="str">
        <f t="shared" si="143"/>
        <v>NO</v>
      </c>
      <c r="P434" s="20" t="str">
        <f t="shared" si="144"/>
        <v>No aplica</v>
      </c>
      <c r="Q434" s="20">
        <f t="shared" si="145"/>
        <v>23</v>
      </c>
      <c r="R434" s="20">
        <f t="shared" si="146"/>
        <v>1</v>
      </c>
      <c r="S434" s="20" t="str">
        <f t="shared" si="147"/>
        <v>Reconocimiento geográfico por el territorio, aspectos relevantes como la comprensión y aprensión geográfica de la estructura local, dinámicas poblacionales, sociales, económicas y productivas de la localidad</v>
      </c>
      <c r="T434" s="20">
        <f t="shared" si="148"/>
        <v>1</v>
      </c>
      <c r="U434" s="20" t="str">
        <f t="shared" ca="1" si="149"/>
        <v>Realizada</v>
      </c>
      <c r="V434" s="20"/>
      <c r="W434" s="20"/>
      <c r="X434" s="20"/>
      <c r="Y434" s="20"/>
    </row>
    <row r="435" spans="1:25" ht="49.5">
      <c r="A435" s="20">
        <v>541</v>
      </c>
      <c r="B435" s="20" t="str">
        <f t="shared" si="130"/>
        <v xml:space="preserve">Norma Urbana Nuevo POT - JAL San Cristóbal </v>
      </c>
      <c r="C435" s="21">
        <f t="shared" si="131"/>
        <v>45454</v>
      </c>
      <c r="D435" s="20" t="str">
        <f t="shared" si="132"/>
        <v>OPDC</v>
      </c>
      <c r="E435" s="20" t="str">
        <f t="shared" si="133"/>
        <v>SÍ</v>
      </c>
      <c r="F435" s="20" t="str">
        <f t="shared" si="134"/>
        <v>Generalidades POT</v>
      </c>
      <c r="G435" s="20" t="str">
        <f t="shared" si="135"/>
        <v>Presencial</v>
      </c>
      <c r="H435" s="20" t="str">
        <f t="shared" si="136"/>
        <v>Acompañamiento a la Subdirección de Planeamiento Local frente a la norma Urbana del Nuevo POT</v>
      </c>
      <c r="I435" s="20" t="str">
        <f t="shared" si="137"/>
        <v>Mecanismo de Comunicación para la Participación</v>
      </c>
      <c r="J435" s="20" t="str">
        <f t="shared" si="138"/>
        <v>Público</v>
      </c>
      <c r="K435" s="20">
        <f t="shared" si="139"/>
        <v>0</v>
      </c>
      <c r="L435" s="20" t="str">
        <f t="shared" si="140"/>
        <v>San Cristóbal</v>
      </c>
      <c r="M435" s="20" t="str">
        <f t="shared" si="141"/>
        <v>Suroriente, Ruralidad</v>
      </c>
      <c r="N435" s="20" t="str">
        <f t="shared" si="142"/>
        <v>San Cristobal, Cerros Orientales</v>
      </c>
      <c r="O435" s="20" t="str">
        <f t="shared" si="143"/>
        <v>NO</v>
      </c>
      <c r="P435" s="20" t="str">
        <f t="shared" si="144"/>
        <v>No aplica</v>
      </c>
      <c r="Q435" s="20">
        <f t="shared" si="145"/>
        <v>10</v>
      </c>
      <c r="R435" s="20">
        <f t="shared" si="146"/>
        <v>4</v>
      </c>
      <c r="S435" s="20" t="str">
        <f t="shared" si="147"/>
        <v>Presentación a la JAL de San Cristóbal acerca de las intervenciones (conversatorios, recorridos) que se realizaron durante el año 2023.</v>
      </c>
      <c r="T435" s="20">
        <f t="shared" si="148"/>
        <v>1</v>
      </c>
      <c r="U435" s="20" t="str">
        <f t="shared" ca="1" si="149"/>
        <v>Realizada</v>
      </c>
      <c r="V435" s="20"/>
      <c r="W435" s="20"/>
      <c r="X435" s="20"/>
      <c r="Y435" s="20"/>
    </row>
    <row r="436" spans="1:25" ht="74.25">
      <c r="A436" s="20">
        <v>542</v>
      </c>
      <c r="B436" s="20" t="str">
        <f t="shared" si="130"/>
        <v>Acompañamiento Sesión JAL Tunjuelito PDD - inversión Plan de Desarrollo Local</v>
      </c>
      <c r="C436" s="21">
        <f t="shared" si="131"/>
        <v>45454</v>
      </c>
      <c r="D436" s="20" t="str">
        <f t="shared" si="132"/>
        <v>GENERAL SDP</v>
      </c>
      <c r="E436" s="20" t="str">
        <f t="shared" si="133"/>
        <v>NO</v>
      </c>
      <c r="F436" s="20" t="str">
        <f t="shared" si="134"/>
        <v>Planes de Desarrollo Local</v>
      </c>
      <c r="G436" s="20" t="str">
        <f t="shared" si="135"/>
        <v>Presencial</v>
      </c>
      <c r="H436" s="20" t="str">
        <f t="shared" si="136"/>
        <v>Acompañar a la SPL Suroriente en dar informe sobre cuál es la proyección de inversión respecto de la Localidad de Tunjuelito, en el marco del PDD 2024-2027, en lo referente al la estrategia de participación.</v>
      </c>
      <c r="I436" s="20" t="str">
        <f t="shared" si="137"/>
        <v>Mecanismo de Comunicación para la Participación</v>
      </c>
      <c r="J436" s="20" t="str">
        <f t="shared" si="138"/>
        <v>Multiactor</v>
      </c>
      <c r="K436" s="20" t="str">
        <f t="shared" si="139"/>
        <v>JAL</v>
      </c>
      <c r="L436" s="20" t="str">
        <f t="shared" si="140"/>
        <v>Tunjuelito</v>
      </c>
      <c r="M436" s="20" t="str">
        <f t="shared" si="141"/>
        <v>Suroriente</v>
      </c>
      <c r="N436" s="20" t="str">
        <f t="shared" si="142"/>
        <v>Tunjuelito, Arborizadora</v>
      </c>
      <c r="O436" s="20" t="str">
        <f t="shared" si="143"/>
        <v>NO</v>
      </c>
      <c r="P436" s="20" t="str">
        <f t="shared" si="144"/>
        <v>No aplica</v>
      </c>
      <c r="Q436" s="20">
        <f t="shared" si="145"/>
        <v>9</v>
      </c>
      <c r="R436" s="20">
        <f t="shared" si="146"/>
        <v>2</v>
      </c>
      <c r="S436" s="20" t="str">
        <f t="shared" si="147"/>
        <v>Informe sobre inversión de PDD en la localidad Tunjuelito; Estrategia de participación formulación PDD; Respuesta de entidades a Propuestas de la JAL Tunjuelito al PDD</v>
      </c>
      <c r="T436" s="20">
        <f t="shared" si="148"/>
        <v>1</v>
      </c>
      <c r="U436" s="20" t="str">
        <f t="shared" ca="1" si="149"/>
        <v>Realizada</v>
      </c>
      <c r="V436" s="20"/>
      <c r="W436" s="20"/>
      <c r="X436" s="20"/>
      <c r="Y436" s="20"/>
    </row>
    <row r="437" spans="1:25" ht="37.5">
      <c r="A437" s="20">
        <v>544</v>
      </c>
      <c r="B437" s="20" t="str">
        <f t="shared" si="130"/>
        <v>Mesa de Actuación estratégica Chucua la vaca - concejal Fernando López</v>
      </c>
      <c r="C437" s="21">
        <f t="shared" si="131"/>
        <v>45454</v>
      </c>
      <c r="D437" s="20" t="str">
        <f t="shared" si="132"/>
        <v>OPDC</v>
      </c>
      <c r="E437" s="20" t="str">
        <f t="shared" si="133"/>
        <v>SÍ</v>
      </c>
      <c r="F437" s="20" t="str">
        <f t="shared" si="134"/>
        <v>Formulación de Actuaciones Estratégicas</v>
      </c>
      <c r="G437" s="20" t="str">
        <f t="shared" si="135"/>
        <v>Presencial</v>
      </c>
      <c r="H437" s="20" t="str">
        <f t="shared" si="136"/>
        <v>Acompañar la mesa de la AE de Chucua la vaca solicitada por el concejal Fernando López.</v>
      </c>
      <c r="I437" s="20" t="str">
        <f t="shared" si="137"/>
        <v>Mecanismo de Diálogo</v>
      </c>
      <c r="J437" s="20" t="str">
        <f t="shared" si="138"/>
        <v>Público</v>
      </c>
      <c r="K437" s="20" t="str">
        <f t="shared" si="139"/>
        <v>Concejo de Bogotá</v>
      </c>
      <c r="L437" s="20" t="str">
        <f t="shared" si="140"/>
        <v>Distrital</v>
      </c>
      <c r="M437" s="20" t="str">
        <f t="shared" si="141"/>
        <v>Distrital</v>
      </c>
      <c r="N437" s="20" t="str">
        <f t="shared" si="142"/>
        <v>Distrital</v>
      </c>
      <c r="O437" s="20" t="str">
        <f t="shared" si="143"/>
        <v>NO</v>
      </c>
      <c r="P437" s="20" t="str">
        <f t="shared" si="144"/>
        <v>No aplica</v>
      </c>
      <c r="Q437" s="20">
        <f t="shared" si="145"/>
        <v>7</v>
      </c>
      <c r="R437" s="20">
        <f t="shared" si="146"/>
        <v>7</v>
      </c>
      <c r="S437" s="20" t="str">
        <f t="shared" si="147"/>
        <v>De la AE, defición, etapas, espacios de participación ciudadana, mitos, verdades, beneficios y PRM.</v>
      </c>
      <c r="T437" s="20">
        <f t="shared" si="148"/>
        <v>1</v>
      </c>
      <c r="U437" s="20" t="str">
        <f t="shared" ca="1" si="149"/>
        <v>Realizada</v>
      </c>
      <c r="V437" s="20"/>
      <c r="W437" s="20"/>
      <c r="X437" s="20"/>
      <c r="Y437" s="20"/>
    </row>
    <row r="438" spans="1:25" ht="49.5">
      <c r="A438" s="20">
        <v>545</v>
      </c>
      <c r="B438" s="20" t="str">
        <f t="shared" si="130"/>
        <v>CLIP Chapinero</v>
      </c>
      <c r="C438" s="21">
        <f t="shared" si="131"/>
        <v>45454</v>
      </c>
      <c r="D438" s="20" t="str">
        <f t="shared" si="132"/>
        <v>INSTANCIAS</v>
      </c>
      <c r="E438" s="20" t="str">
        <f t="shared" si="133"/>
        <v>NO</v>
      </c>
      <c r="F438" s="20" t="str">
        <f t="shared" si="134"/>
        <v>CLIP (Comisión Local Intersectorial de Participación)</v>
      </c>
      <c r="G438" s="20" t="str">
        <f t="shared" si="135"/>
        <v>Presencial</v>
      </c>
      <c r="H438" s="20" t="str">
        <f t="shared" si="136"/>
        <v>Acompañar la articulación de los esfuerzos institucionales de participación en la localidad de Chapinero</v>
      </c>
      <c r="I438" s="20" t="str">
        <f t="shared" si="137"/>
        <v>Gestión Institucional</v>
      </c>
      <c r="J438" s="20" t="str">
        <f t="shared" si="138"/>
        <v>Público</v>
      </c>
      <c r="K438" s="20" t="str">
        <f t="shared" si="139"/>
        <v>CLIP</v>
      </c>
      <c r="L438" s="20" t="str">
        <f t="shared" si="140"/>
        <v>Chapinero</v>
      </c>
      <c r="M438" s="20" t="str">
        <f t="shared" si="141"/>
        <v>Centro Ampliado, Ruralidad</v>
      </c>
      <c r="N438" s="20" t="str">
        <f t="shared" si="142"/>
        <v>Centro Histórico, Chapinero, Cerros Orientales</v>
      </c>
      <c r="O438" s="20" t="str">
        <f t="shared" si="143"/>
        <v>NO</v>
      </c>
      <c r="P438" s="20" t="str">
        <f t="shared" si="144"/>
        <v>No aplica</v>
      </c>
      <c r="Q438" s="20">
        <f t="shared" si="145"/>
        <v>13</v>
      </c>
      <c r="R438" s="20">
        <f t="shared" si="146"/>
        <v>1</v>
      </c>
      <c r="S438" s="20" t="str">
        <f t="shared" si="147"/>
        <v xml:space="preserve">Resultados encuentros ciudadanos, Chikana, Estategia para la formulacion PDD y Análisis del espacio de respuestas al concepto emitido por el CTPD frente al plan distrital de desarrollo. </v>
      </c>
      <c r="T438" s="20">
        <f t="shared" si="148"/>
        <v>1</v>
      </c>
      <c r="U438" s="20" t="str">
        <f t="shared" ca="1" si="149"/>
        <v>Realizada</v>
      </c>
      <c r="V438" s="20"/>
      <c r="W438" s="20"/>
      <c r="X438" s="20"/>
      <c r="Y438" s="20"/>
    </row>
    <row r="439" spans="1:25" ht="49.5">
      <c r="A439" s="20">
        <v>547</v>
      </c>
      <c r="B439" s="20" t="str">
        <f t="shared" si="130"/>
        <v>Plenaria Permanente CTPD</v>
      </c>
      <c r="C439" s="21">
        <f t="shared" si="131"/>
        <v>45454</v>
      </c>
      <c r="D439" s="20" t="str">
        <f t="shared" si="132"/>
        <v>INSTANCIAS</v>
      </c>
      <c r="E439" s="20" t="str">
        <f t="shared" si="133"/>
        <v>NO</v>
      </c>
      <c r="F439" s="20" t="str">
        <f t="shared" si="134"/>
        <v>CTPD (Consejo Territorial de Planeación Distrital)</v>
      </c>
      <c r="G439" s="20" t="str">
        <f t="shared" si="135"/>
        <v>Virtual</v>
      </c>
      <c r="H439" s="20" t="str">
        <f t="shared" si="136"/>
        <v>Análisis del ejercicio del PDD desde el concepto hasta hoy que fue aprobado.</v>
      </c>
      <c r="I439" s="20" t="str">
        <f t="shared" si="137"/>
        <v>Mecanismo de Seguimiento y Evaluación</v>
      </c>
      <c r="J439" s="20" t="str">
        <f t="shared" si="138"/>
        <v>Comunitario</v>
      </c>
      <c r="K439" s="20" t="str">
        <f t="shared" si="139"/>
        <v>CTPD</v>
      </c>
      <c r="L439" s="20" t="str">
        <f t="shared" si="140"/>
        <v>Distrital</v>
      </c>
      <c r="M439" s="20" t="str">
        <f t="shared" si="141"/>
        <v>Distrital</v>
      </c>
      <c r="N439" s="20" t="str">
        <f t="shared" si="142"/>
        <v>Distrital</v>
      </c>
      <c r="O439" s="20" t="str">
        <f t="shared" si="143"/>
        <v>NO</v>
      </c>
      <c r="P439" s="20" t="str">
        <f t="shared" si="144"/>
        <v>No aplica</v>
      </c>
      <c r="Q439" s="20">
        <f t="shared" si="145"/>
        <v>58</v>
      </c>
      <c r="R439" s="20">
        <f t="shared" si="146"/>
        <v>2</v>
      </c>
      <c r="S439" s="20" t="str">
        <f t="shared" si="147"/>
        <v xml:space="preserve">Dar continuidad a la planaria ordinaria del CTPD con el tema de las recargas </v>
      </c>
      <c r="T439" s="20">
        <f t="shared" si="148"/>
        <v>1</v>
      </c>
      <c r="U439" s="20" t="str">
        <f t="shared" ca="1" si="149"/>
        <v>Realizada</v>
      </c>
      <c r="V439" s="20"/>
      <c r="W439" s="20"/>
      <c r="X439" s="20"/>
      <c r="Y439" s="20"/>
    </row>
    <row r="440" spans="1:25" ht="49.5">
      <c r="A440" s="20">
        <v>548</v>
      </c>
      <c r="B440" s="20" t="str">
        <f t="shared" si="130"/>
        <v>CLIP Tunjuelito</v>
      </c>
      <c r="C440" s="21">
        <f t="shared" si="131"/>
        <v>45455</v>
      </c>
      <c r="D440" s="20" t="str">
        <f t="shared" si="132"/>
        <v>INSTANCIAS</v>
      </c>
      <c r="E440" s="20" t="str">
        <f t="shared" si="133"/>
        <v>NO</v>
      </c>
      <c r="F440" s="20" t="str">
        <f t="shared" si="134"/>
        <v>CLIP (Comisión Local Intersectorial de Participación)</v>
      </c>
      <c r="G440" s="20" t="str">
        <f t="shared" si="135"/>
        <v>Presencial</v>
      </c>
      <c r="H440" s="20" t="str">
        <f t="shared" si="136"/>
        <v>Acompañar la articulación de los esfuerzos institucionales de participación en la localidad de Tunjuelito.</v>
      </c>
      <c r="I440" s="20" t="str">
        <f t="shared" si="137"/>
        <v>Gestión Institucional</v>
      </c>
      <c r="J440" s="20" t="str">
        <f t="shared" si="138"/>
        <v>Público</v>
      </c>
      <c r="K440" s="20" t="str">
        <f t="shared" si="139"/>
        <v>CLIP</v>
      </c>
      <c r="L440" s="20" t="str">
        <f t="shared" si="140"/>
        <v>Tunjuelito</v>
      </c>
      <c r="M440" s="20" t="str">
        <f t="shared" si="141"/>
        <v>Suroriente</v>
      </c>
      <c r="N440" s="20" t="str">
        <f t="shared" si="142"/>
        <v>Tunjuelito, Arborizadora</v>
      </c>
      <c r="O440" s="20" t="str">
        <f t="shared" si="143"/>
        <v>NO</v>
      </c>
      <c r="P440" s="20" t="str">
        <f t="shared" si="144"/>
        <v>No aplica</v>
      </c>
      <c r="Q440" s="20">
        <f t="shared" si="145"/>
        <v>21</v>
      </c>
      <c r="R440" s="20">
        <f t="shared" si="146"/>
        <v>1</v>
      </c>
      <c r="S440" s="20" t="str">
        <f t="shared" si="147"/>
        <v>Presentación del decreto 606 Sistema Distrital de Planeación IDPAC; Exposición cierre de encuentros ciudadanos, Exposición Analísis resultados concepto CTPD al PDD (SDP)</v>
      </c>
      <c r="T440" s="20">
        <f t="shared" si="148"/>
        <v>1</v>
      </c>
      <c r="U440" s="20" t="str">
        <f t="shared" ca="1" si="149"/>
        <v>Realizada</v>
      </c>
      <c r="V440" s="20"/>
      <c r="W440" s="20"/>
      <c r="X440" s="20"/>
      <c r="Y440" s="20"/>
    </row>
    <row r="441" spans="1:25" ht="49.5">
      <c r="A441" s="20">
        <v>549</v>
      </c>
      <c r="B441" s="20" t="str">
        <f t="shared" si="130"/>
        <v>CLIP Teusaquillo</v>
      </c>
      <c r="C441" s="21">
        <f t="shared" si="131"/>
        <v>45455</v>
      </c>
      <c r="D441" s="20" t="str">
        <f t="shared" si="132"/>
        <v>INSTANCIAS</v>
      </c>
      <c r="E441" s="20" t="str">
        <f t="shared" si="133"/>
        <v>NO</v>
      </c>
      <c r="F441" s="20" t="str">
        <f t="shared" si="134"/>
        <v>CLIP (Comisión Local Intersectorial de Participación)</v>
      </c>
      <c r="G441" s="20" t="str">
        <f t="shared" si="135"/>
        <v>Presencial</v>
      </c>
      <c r="H441" s="20" t="str">
        <f t="shared" si="136"/>
        <v>Acompañar la articulación de los esfuerzos institucionales de participación en la localidad de Teusaquillo.</v>
      </c>
      <c r="I441" s="20" t="str">
        <f t="shared" si="137"/>
        <v>Gestión Institucional</v>
      </c>
      <c r="J441" s="20" t="str">
        <f t="shared" si="138"/>
        <v>Público</v>
      </c>
      <c r="K441" s="20" t="str">
        <f t="shared" si="139"/>
        <v>CLIP</v>
      </c>
      <c r="L441" s="20" t="str">
        <f t="shared" si="140"/>
        <v>Teusaquillo</v>
      </c>
      <c r="M441" s="20" t="str">
        <f t="shared" si="141"/>
        <v>Centro Ampliado</v>
      </c>
      <c r="N441" s="20" t="str">
        <f t="shared" si="142"/>
        <v>Teusaquillo</v>
      </c>
      <c r="O441" s="20" t="str">
        <f t="shared" si="143"/>
        <v>NO</v>
      </c>
      <c r="P441" s="20" t="str">
        <f t="shared" si="144"/>
        <v>No aplica</v>
      </c>
      <c r="Q441" s="20">
        <f t="shared" si="145"/>
        <v>12</v>
      </c>
      <c r="R441" s="20">
        <f t="shared" si="146"/>
        <v>1</v>
      </c>
      <c r="S441" s="20" t="str">
        <f t="shared" si="147"/>
        <v>Reglamento interno, nuevos liderazgos y salario emocional, balance de los encuentros ciudadanos y la SDP expuso los resultados fase 2: aspiraciones comunes PDD.</v>
      </c>
      <c r="T441" s="20">
        <f t="shared" si="148"/>
        <v>1</v>
      </c>
      <c r="U441" s="20" t="str">
        <f t="shared" ca="1" si="149"/>
        <v>Realizada</v>
      </c>
      <c r="V441" s="20"/>
      <c r="W441" s="20"/>
      <c r="X441" s="20"/>
      <c r="Y441" s="20"/>
    </row>
    <row r="442" spans="1:25" ht="37.5">
      <c r="A442" s="20">
        <v>550</v>
      </c>
      <c r="B442" s="20" t="str">
        <f t="shared" ref="B442:B467" si="150">IFERROR(VLOOKUP(A442,DATA_MATRIZ,2,FALSE),"")</f>
        <v>Avanzada Evento en el marco del PRIDE</v>
      </c>
      <c r="C442" s="21">
        <f t="shared" ref="C442:C467" si="151">IFERROR(VLOOKUP(A442,DATA_MATRIZ,3,FALSE),"")</f>
        <v>45455</v>
      </c>
      <c r="D442" s="20" t="str">
        <f t="shared" ref="D442:D467" si="152">IFERROR(VLOOKUP(A442,DATA_MATRIZ,5,FALSE),"")</f>
        <v>GENERAL SDP</v>
      </c>
      <c r="E442" s="20" t="str">
        <f t="shared" ref="E442:E467" si="153">IFERROR(VLOOKUP(A442,DATA_MATRIZ,9,FALSE),"")</f>
        <v>NO</v>
      </c>
      <c r="F442" s="20" t="str">
        <f t="shared" ref="F442:F467" si="154">IFERROR(VLOOKUP(A442,DATA_MATRIZ,10,FALSE),"")</f>
        <v>Política Pública LGBTI</v>
      </c>
      <c r="G442" s="20" t="str">
        <f t="shared" ref="G442:G467" si="155">IFERROR(VLOOKUP(A442,DATA_MATRIZ,11,FALSE),"")</f>
        <v>Presencial</v>
      </c>
      <c r="H442" s="20" t="str">
        <f t="shared" ref="H442:H467" si="156">IFERROR(VLOOKUP(A442,DATA_MATRIZ,12,FALSE),"")</f>
        <v xml:space="preserve">Realizar avanzada en el marco del cumplimiento al plan de acción de la PPLGBTI </v>
      </c>
      <c r="I442" s="20" t="str">
        <f t="shared" ref="I442:I467" si="157">IFERROR(VLOOKUP(A442,DATA_MATRIZ,13,FALSE),"")</f>
        <v>Gestión Institucional</v>
      </c>
      <c r="J442" s="20" t="str">
        <f t="shared" ref="J442:J467" si="158">IFERROR(VLOOKUP(A442,DATA_MATRIZ,41,FALSE),"")</f>
        <v>Multiactor</v>
      </c>
      <c r="K442" s="20">
        <f t="shared" ref="K442:K467" si="159">IFERROR(VLOOKUP(A442,DATA_MATRIZ,42,FALSE),"")</f>
        <v>0</v>
      </c>
      <c r="L442" s="20" t="str">
        <f t="shared" ref="L442:L467" si="160">IFERROR(VLOOKUP(A442,DATA_MATRIZ,46,FALSE),"")</f>
        <v>Distrital</v>
      </c>
      <c r="M442" s="20" t="str">
        <f t="shared" ref="M442:M467" si="161">IFERROR(VLOOKUP(A442,DATA_MATRIZ,53,FALSE),"")</f>
        <v>Distrital</v>
      </c>
      <c r="N442" s="20" t="str">
        <f t="shared" ref="N442:N467" si="162">IFERROR(VLOOKUP(A442,DATA_MATRIZ,60,FALSE),"")</f>
        <v>Distrital</v>
      </c>
      <c r="O442" s="20" t="str">
        <f t="shared" ref="O442:O467" si="163">IFERROR(VLOOKUP(A442,DATA_MATRIZ,75,FALSE),"")</f>
        <v>NO</v>
      </c>
      <c r="P442" s="20" t="str">
        <f t="shared" ref="P442:P467" si="164">IFERROR(VLOOKUP(A442,DATA_MATRIZ,76,FALSE),"")</f>
        <v>No aplica</v>
      </c>
      <c r="Q442" s="20">
        <f t="shared" ref="Q442:Q467" si="165">IFERROR(VLOOKUP(A442,DATA_MATRIZ,78,FALSE),"")</f>
        <v>4</v>
      </c>
      <c r="R442" s="20">
        <f t="shared" ref="R442:R467" si="166">IFERROR(VLOOKUP(A442,DATA_MATRIZ,79,FALSE),"")</f>
        <v>4</v>
      </c>
      <c r="S442" s="20" t="str">
        <f t="shared" ref="S442:S467" si="167">IFERROR(VLOOKUP(A442,DATA_MATRIZ,85,FALSE),"")</f>
        <v>Avanzada para apoyo a la Dirección de diversidad sexual, poblacional y genero en evento en el marco del pride LGBTIQ</v>
      </c>
      <c r="T442" s="20">
        <f t="shared" ref="T442:T467" si="168">COUNTA(A442)</f>
        <v>1</v>
      </c>
      <c r="U442" s="20" t="str">
        <f t="shared" ref="U442:U467" ca="1" si="169">IF(C442="", "Indefinida", (IF(C442&lt;TODAY(),"Realizada","Proyectada")))</f>
        <v>Realizada</v>
      </c>
    </row>
    <row r="443" spans="1:25" ht="37.5">
      <c r="A443" s="20">
        <v>551</v>
      </c>
      <c r="B443" s="20" t="str">
        <f t="shared" si="150"/>
        <v xml:space="preserve">Capacitación AE y SPT - Veeduría Distrital </v>
      </c>
      <c r="C443" s="21">
        <f t="shared" si="151"/>
        <v>45455</v>
      </c>
      <c r="D443" s="20" t="str">
        <f t="shared" si="152"/>
        <v>OPDC</v>
      </c>
      <c r="E443" s="20" t="str">
        <f t="shared" si="153"/>
        <v>NO</v>
      </c>
      <c r="F443" s="20" t="str">
        <f t="shared" si="154"/>
        <v>Sistema de Participación Territorial</v>
      </c>
      <c r="G443" s="20" t="str">
        <f t="shared" si="155"/>
        <v>Presencial</v>
      </c>
      <c r="H443" s="20" t="str">
        <f t="shared" si="156"/>
        <v>Capacitar al equipo territorial de la Veeduría Distrital en las generalidades de las AE y el SPT</v>
      </c>
      <c r="I443" s="20" t="str">
        <f t="shared" si="157"/>
        <v>Gestión Institucional</v>
      </c>
      <c r="J443" s="20" t="str">
        <f t="shared" si="158"/>
        <v>Público</v>
      </c>
      <c r="K443" s="20" t="str">
        <f t="shared" si="159"/>
        <v>Servidores públicos (Distrital)</v>
      </c>
      <c r="L443" s="20" t="str">
        <f t="shared" si="160"/>
        <v>Distrital</v>
      </c>
      <c r="M443" s="20" t="str">
        <f t="shared" si="161"/>
        <v>Distrital</v>
      </c>
      <c r="N443" s="20" t="str">
        <f t="shared" si="162"/>
        <v>Distrital</v>
      </c>
      <c r="O443" s="20" t="str">
        <f t="shared" si="163"/>
        <v>NO</v>
      </c>
      <c r="P443" s="20" t="str">
        <f t="shared" si="164"/>
        <v>No aplica</v>
      </c>
      <c r="Q443" s="20">
        <f t="shared" si="165"/>
        <v>22</v>
      </c>
      <c r="R443" s="20">
        <f t="shared" si="166"/>
        <v>2</v>
      </c>
      <c r="S443" s="20" t="str">
        <f t="shared" si="167"/>
        <v>Generalidades del SPT y los Comités Ciudadanos en el marco de la formulación de la AE</v>
      </c>
      <c r="T443" s="20">
        <f t="shared" si="168"/>
        <v>1</v>
      </c>
      <c r="U443" s="20" t="str">
        <f t="shared" ca="1" si="169"/>
        <v>Realizada</v>
      </c>
    </row>
    <row r="444" spans="1:25" ht="49.5">
      <c r="A444" s="20">
        <v>552</v>
      </c>
      <c r="B444" s="20" t="str">
        <f t="shared" si="150"/>
        <v>CLIP Ciudad Bolivar</v>
      </c>
      <c r="C444" s="21">
        <f t="shared" si="151"/>
        <v>45455</v>
      </c>
      <c r="D444" s="20" t="str">
        <f t="shared" si="152"/>
        <v>INSTANCIAS</v>
      </c>
      <c r="E444" s="20" t="str">
        <f t="shared" si="153"/>
        <v>NO</v>
      </c>
      <c r="F444" s="20" t="str">
        <f t="shared" si="154"/>
        <v>CLIP (Comisión Local Intersectorial de Participación)</v>
      </c>
      <c r="G444" s="20" t="str">
        <f t="shared" si="155"/>
        <v>Virtual</v>
      </c>
      <c r="H444" s="20" t="str">
        <f t="shared" si="156"/>
        <v>Acompañar la articulación de los esfuerzos institucionales de participación en la localidad de Ciudad Bolivar</v>
      </c>
      <c r="I444" s="20" t="str">
        <f t="shared" si="157"/>
        <v>Gestión Institucional</v>
      </c>
      <c r="J444" s="20" t="str">
        <f t="shared" si="158"/>
        <v>Público</v>
      </c>
      <c r="K444" s="20" t="str">
        <f t="shared" si="159"/>
        <v>CLIP</v>
      </c>
      <c r="L444" s="20" t="str">
        <f t="shared" si="160"/>
        <v>Ciudad Bolívar</v>
      </c>
      <c r="M444" s="20" t="str">
        <f t="shared" si="161"/>
        <v>Suroccidente, Ruralidad</v>
      </c>
      <c r="N444" s="20" t="str">
        <f t="shared" si="162"/>
        <v>Arborizadora, Lucero, Cuenca del Tunjuelo</v>
      </c>
      <c r="O444" s="20" t="str">
        <f t="shared" si="163"/>
        <v>NO</v>
      </c>
      <c r="P444" s="20" t="str">
        <f t="shared" si="164"/>
        <v>No aplica</v>
      </c>
      <c r="Q444" s="20">
        <f t="shared" si="165"/>
        <v>19</v>
      </c>
      <c r="R444" s="20">
        <f t="shared" si="166"/>
        <v>1</v>
      </c>
      <c r="S444" s="20" t="str">
        <f t="shared" si="167"/>
        <v>Estrategia de participación ciudadana con procesos formativos, fortalecimiento a las instancias de participación</v>
      </c>
      <c r="T444" s="20">
        <f t="shared" si="168"/>
        <v>1</v>
      </c>
      <c r="U444" s="20" t="str">
        <f t="shared" ca="1" si="169"/>
        <v>Realizada</v>
      </c>
    </row>
    <row r="445" spans="1:25" ht="61.5">
      <c r="A445" s="20">
        <v>553</v>
      </c>
      <c r="B445" s="20" t="str">
        <f t="shared" si="150"/>
        <v>Mesa de trabajo -  Patio Bonito II</v>
      </c>
      <c r="C445" s="21">
        <f t="shared" si="151"/>
        <v>45455</v>
      </c>
      <c r="D445" s="20" t="str">
        <f t="shared" si="152"/>
        <v>OPDC</v>
      </c>
      <c r="E445" s="20" t="str">
        <f t="shared" si="153"/>
        <v>NO</v>
      </c>
      <c r="F445" s="20" t="str">
        <f t="shared" si="154"/>
        <v>Escenarios individuales</v>
      </c>
      <c r="G445" s="20" t="str">
        <f t="shared" si="155"/>
        <v>Presencial</v>
      </c>
      <c r="H445" s="20" t="str">
        <f t="shared" si="156"/>
        <v>Acompañar la Mesa de diálogo entre entidades frente a problemitas en el sector de Patio bonito II.</v>
      </c>
      <c r="I445" s="20" t="str">
        <f t="shared" si="157"/>
        <v>Gestión Institucional</v>
      </c>
      <c r="J445" s="20" t="str">
        <f t="shared" si="158"/>
        <v>Multiactor</v>
      </c>
      <c r="K445" s="20">
        <f t="shared" si="159"/>
        <v>0</v>
      </c>
      <c r="L445" s="20" t="str">
        <f t="shared" si="160"/>
        <v>Kennedy</v>
      </c>
      <c r="M445" s="20" t="str">
        <f t="shared" si="161"/>
        <v>Suroccidente</v>
      </c>
      <c r="N445" s="20" t="str">
        <f t="shared" si="162"/>
        <v>Tintal, Kennedy, Patio Bonito, Edén, Porvenir, Bosa</v>
      </c>
      <c r="O445" s="20" t="str">
        <f t="shared" si="163"/>
        <v>NO</v>
      </c>
      <c r="P445" s="20" t="str">
        <f t="shared" si="164"/>
        <v>No aplica</v>
      </c>
      <c r="Q445" s="20">
        <f t="shared" si="165"/>
        <v>16</v>
      </c>
      <c r="R445" s="20">
        <f t="shared" si="166"/>
        <v>2</v>
      </c>
      <c r="S445" s="20" t="str">
        <f t="shared" si="167"/>
        <v xml:space="preserve">Problematicas del sector: Inseguridad, invación del espacio público, microtráfico, eduación, falencia con redes de acueducto y programas sociales para infancia, adolescencia y adulto mayor. </v>
      </c>
      <c r="T445" s="20">
        <f t="shared" si="168"/>
        <v>1</v>
      </c>
      <c r="U445" s="20" t="str">
        <f t="shared" ca="1" si="169"/>
        <v>Realizada</v>
      </c>
    </row>
    <row r="446" spans="1:25" ht="49.5">
      <c r="A446" s="20">
        <v>554</v>
      </c>
      <c r="B446" s="20" t="str">
        <f t="shared" si="150"/>
        <v>Socialización Sistema de Participación Territorial - Comité Ciudadano UPL 32 - Teusaquillo</v>
      </c>
      <c r="C446" s="21">
        <f t="shared" si="151"/>
        <v>45455</v>
      </c>
      <c r="D446" s="20" t="str">
        <f t="shared" si="152"/>
        <v>OPDC</v>
      </c>
      <c r="E446" s="20" t="str">
        <f t="shared" si="153"/>
        <v>SÍ</v>
      </c>
      <c r="F446" s="20" t="str">
        <f t="shared" si="154"/>
        <v>Sistema de Participación Territorial</v>
      </c>
      <c r="G446" s="20" t="str">
        <f t="shared" si="155"/>
        <v>Virtual</v>
      </c>
      <c r="H446" s="20" t="str">
        <f t="shared" si="156"/>
        <v>Realizar la presentación del SPT al Comité Ciudadano de la UPL # 32.</v>
      </c>
      <c r="I446" s="20" t="str">
        <f t="shared" si="157"/>
        <v>Mecanismo de Comunicación para la Participación</v>
      </c>
      <c r="J446" s="20" t="str">
        <f t="shared" si="158"/>
        <v>Comunitario</v>
      </c>
      <c r="K446" s="20" t="str">
        <f t="shared" si="159"/>
        <v>Organización o veeduría ciudadana</v>
      </c>
      <c r="L446" s="20" t="str">
        <f t="shared" si="160"/>
        <v>Teusaquillo</v>
      </c>
      <c r="M446" s="20" t="str">
        <f t="shared" si="161"/>
        <v>Centro Ampliado</v>
      </c>
      <c r="N446" s="20" t="str">
        <f t="shared" si="162"/>
        <v>Teusaquillo</v>
      </c>
      <c r="O446" s="20" t="str">
        <f t="shared" si="163"/>
        <v>NO</v>
      </c>
      <c r="P446" s="20" t="str">
        <f t="shared" si="164"/>
        <v>No aplica</v>
      </c>
      <c r="Q446" s="20">
        <f t="shared" si="165"/>
        <v>3</v>
      </c>
      <c r="R446" s="20">
        <f t="shared" si="166"/>
        <v>3</v>
      </c>
      <c r="S446" s="20" t="str">
        <f t="shared" si="167"/>
        <v>Sistema de participación territorial al comite pot upl # 32.</v>
      </c>
      <c r="T446" s="20">
        <f t="shared" si="168"/>
        <v>1</v>
      </c>
      <c r="U446" s="20" t="str">
        <f t="shared" ca="1" si="169"/>
        <v>Realizada</v>
      </c>
    </row>
    <row r="447" spans="1:25" ht="49.5">
      <c r="A447" s="20">
        <v>555</v>
      </c>
      <c r="B447" s="20" t="str">
        <f t="shared" si="150"/>
        <v>CLIP Barrios Unidos</v>
      </c>
      <c r="C447" s="21">
        <f t="shared" si="151"/>
        <v>45456</v>
      </c>
      <c r="D447" s="20" t="str">
        <f t="shared" si="152"/>
        <v>INSTANCIAS</v>
      </c>
      <c r="E447" s="20" t="str">
        <f t="shared" si="153"/>
        <v>NO</v>
      </c>
      <c r="F447" s="20" t="str">
        <f t="shared" si="154"/>
        <v>CLIP (Comisión Local Intersectorial de Participación)</v>
      </c>
      <c r="G447" s="20" t="str">
        <f t="shared" si="155"/>
        <v>Presencial</v>
      </c>
      <c r="H447" s="20" t="str">
        <f t="shared" si="156"/>
        <v>Acompañar la articulación de los esfuerzos institucionales de participación en la localidad de Barrios Unidos.</v>
      </c>
      <c r="I447" s="20" t="str">
        <f t="shared" si="157"/>
        <v>Gestión Institucional</v>
      </c>
      <c r="J447" s="20" t="str">
        <f t="shared" si="158"/>
        <v>Público</v>
      </c>
      <c r="K447" s="20" t="str">
        <f t="shared" si="159"/>
        <v>CLIP</v>
      </c>
      <c r="L447" s="20" t="str">
        <f t="shared" si="160"/>
        <v>Barrios Unidos</v>
      </c>
      <c r="M447" s="20" t="str">
        <f t="shared" si="161"/>
        <v>Centro Ampliado</v>
      </c>
      <c r="N447" s="20" t="str">
        <f t="shared" si="162"/>
        <v>Barrios Unidos</v>
      </c>
      <c r="O447" s="20" t="str">
        <f t="shared" si="163"/>
        <v>NO</v>
      </c>
      <c r="P447" s="20" t="str">
        <f t="shared" si="164"/>
        <v>No aplica</v>
      </c>
      <c r="Q447" s="20">
        <f t="shared" si="165"/>
        <v>31</v>
      </c>
      <c r="R447" s="20">
        <f t="shared" si="166"/>
        <v>2</v>
      </c>
      <c r="S447" s="20" t="str">
        <f t="shared" si="167"/>
        <v>Oferta territorial del IDPAC, revisión de agenda interistitucional, resultados de fase dos:aspiraciones comunes PDD y RenoBo presentó AE.</v>
      </c>
      <c r="T447" s="20">
        <f t="shared" si="168"/>
        <v>1</v>
      </c>
      <c r="U447" s="20" t="str">
        <f t="shared" ca="1" si="169"/>
        <v>Realizada</v>
      </c>
    </row>
    <row r="448" spans="1:25" ht="49.5">
      <c r="A448" s="20">
        <v>556</v>
      </c>
      <c r="B448" s="20" t="str">
        <f t="shared" si="150"/>
        <v>CLIP Bosa</v>
      </c>
      <c r="C448" s="21">
        <f t="shared" si="151"/>
        <v>45456</v>
      </c>
      <c r="D448" s="20" t="str">
        <f t="shared" si="152"/>
        <v>INSTANCIAS</v>
      </c>
      <c r="E448" s="20" t="str">
        <f t="shared" si="153"/>
        <v>NO</v>
      </c>
      <c r="F448" s="20" t="str">
        <f t="shared" si="154"/>
        <v>CLIP (Comisión Local Intersectorial de Participación)</v>
      </c>
      <c r="G448" s="20" t="str">
        <f t="shared" si="155"/>
        <v>Presencial</v>
      </c>
      <c r="H448" s="20" t="str">
        <f t="shared" si="156"/>
        <v>Acompañar la articulación de los esfuerzos institucionales de participación en la localidad de Bosa.</v>
      </c>
      <c r="I448" s="20" t="str">
        <f t="shared" si="157"/>
        <v>Gestión Institucional</v>
      </c>
      <c r="J448" s="20" t="str">
        <f t="shared" si="158"/>
        <v>Público</v>
      </c>
      <c r="K448" s="20" t="str">
        <f t="shared" si="159"/>
        <v>CLIP</v>
      </c>
      <c r="L448" s="20" t="str">
        <f t="shared" si="160"/>
        <v>Bosa</v>
      </c>
      <c r="M448" s="20" t="str">
        <f t="shared" si="161"/>
        <v>Suroccidente</v>
      </c>
      <c r="N448" s="20" t="str">
        <f t="shared" si="162"/>
        <v>Bosa, Edén, Porvenir</v>
      </c>
      <c r="O448" s="20" t="str">
        <f t="shared" si="163"/>
        <v>NO</v>
      </c>
      <c r="P448" s="20" t="str">
        <f t="shared" si="164"/>
        <v>No aplica</v>
      </c>
      <c r="Q448" s="20">
        <f t="shared" si="165"/>
        <v>22</v>
      </c>
      <c r="R448" s="20">
        <f t="shared" si="166"/>
        <v>1</v>
      </c>
      <c r="S448" s="20" t="str">
        <f t="shared" si="167"/>
        <v>Presentación participación PDD. Presentación PP MYEG. Habitabilidad en Calle y mecanismos del SDIS</v>
      </c>
      <c r="T448" s="20">
        <f t="shared" si="168"/>
        <v>1</v>
      </c>
      <c r="U448" s="20" t="str">
        <f t="shared" ca="1" si="169"/>
        <v>Realizada</v>
      </c>
    </row>
    <row r="449" spans="1:21" ht="37.5">
      <c r="A449" s="20">
        <v>558</v>
      </c>
      <c r="B449" s="20" t="str">
        <f t="shared" si="150"/>
        <v>Reunión articulación Mesa LGBTI</v>
      </c>
      <c r="C449" s="21">
        <f t="shared" si="151"/>
        <v>45456</v>
      </c>
      <c r="D449" s="20" t="str">
        <f t="shared" si="152"/>
        <v>GENERAL SDP</v>
      </c>
      <c r="E449" s="20" t="str">
        <f t="shared" si="153"/>
        <v>NO</v>
      </c>
      <c r="F449" s="20" t="str">
        <f t="shared" si="154"/>
        <v>Política Pública LGBTI</v>
      </c>
      <c r="G449" s="20" t="str">
        <f t="shared" si="155"/>
        <v>Presencial</v>
      </c>
      <c r="H449" s="20" t="str">
        <f t="shared" si="156"/>
        <v>Realizar articulación para marcha LGBTI en cumplimiento al plan de accion de la política publica LGBTI</v>
      </c>
      <c r="I449" s="20" t="str">
        <f t="shared" si="157"/>
        <v>Gestión Institucional</v>
      </c>
      <c r="J449" s="20" t="str">
        <f t="shared" si="158"/>
        <v>Comunitario</v>
      </c>
      <c r="K449" s="20" t="str">
        <f t="shared" si="159"/>
        <v>Organización o veeduría ciudadana</v>
      </c>
      <c r="L449" s="20" t="str">
        <f t="shared" si="160"/>
        <v>Teusaquillo</v>
      </c>
      <c r="M449" s="20" t="str">
        <f t="shared" si="161"/>
        <v>Centro Ampliado</v>
      </c>
      <c r="N449" s="20" t="str">
        <f t="shared" si="162"/>
        <v>Teusaquillo</v>
      </c>
      <c r="O449" s="20" t="str">
        <f t="shared" si="163"/>
        <v>NO</v>
      </c>
      <c r="P449" s="20" t="str">
        <f t="shared" si="164"/>
        <v>No aplica</v>
      </c>
      <c r="Q449" s="20">
        <f t="shared" si="165"/>
        <v>2</v>
      </c>
      <c r="R449" s="20">
        <f t="shared" si="166"/>
        <v>3</v>
      </c>
      <c r="S449" s="20" t="str">
        <f t="shared" si="167"/>
        <v>Articulacion con mesa lgbti de bogota para apoyo en el pride dando respuesta al plan de accion de la politica publica lgbti desde la OPDC</v>
      </c>
      <c r="T449" s="20">
        <f t="shared" si="168"/>
        <v>1</v>
      </c>
      <c r="U449" s="20" t="str">
        <f t="shared" ca="1" si="169"/>
        <v>Realizada</v>
      </c>
    </row>
    <row r="450" spans="1:21" ht="49.5">
      <c r="A450" s="20">
        <v>559</v>
      </c>
      <c r="B450" s="20" t="str">
        <f t="shared" si="150"/>
        <v>Plenaria CTPD</v>
      </c>
      <c r="C450" s="21">
        <f t="shared" si="151"/>
        <v>45456</v>
      </c>
      <c r="D450" s="20" t="str">
        <f t="shared" si="152"/>
        <v>INSTANCIAS</v>
      </c>
      <c r="E450" s="20" t="str">
        <f t="shared" si="153"/>
        <v>NO</v>
      </c>
      <c r="F450" s="20" t="str">
        <f t="shared" si="154"/>
        <v>CTPD (Consejo Territorial de Planeación Distrital)</v>
      </c>
      <c r="G450" s="20" t="str">
        <f t="shared" si="155"/>
        <v>Presencial</v>
      </c>
      <c r="H450" s="20" t="str">
        <f t="shared" si="156"/>
        <v>Continuar con la plenaria ordinaria del 30 de mayo</v>
      </c>
      <c r="I450" s="20" t="str">
        <f t="shared" si="157"/>
        <v>Mecanismo de Seguimiento y Evaluación</v>
      </c>
      <c r="J450" s="20" t="str">
        <f t="shared" si="158"/>
        <v>Público</v>
      </c>
      <c r="K450" s="20" t="str">
        <f t="shared" si="159"/>
        <v>CTPD</v>
      </c>
      <c r="L450" s="20" t="str">
        <f t="shared" si="160"/>
        <v>Distrital</v>
      </c>
      <c r="M450" s="20" t="str">
        <f t="shared" si="161"/>
        <v>Distrital</v>
      </c>
      <c r="N450" s="20" t="str">
        <f t="shared" si="162"/>
        <v>Distrital</v>
      </c>
      <c r="O450" s="20" t="str">
        <f t="shared" si="163"/>
        <v>NO</v>
      </c>
      <c r="P450" s="20" t="str">
        <f t="shared" si="164"/>
        <v>No aplica</v>
      </c>
      <c r="Q450" s="20">
        <f t="shared" si="165"/>
        <v>60</v>
      </c>
      <c r="R450" s="20">
        <f t="shared" si="166"/>
        <v>2</v>
      </c>
      <c r="S450" s="20" t="str">
        <f t="shared" si="167"/>
        <v>Planes de acción del CTPD</v>
      </c>
      <c r="T450" s="20">
        <f t="shared" si="168"/>
        <v>1</v>
      </c>
      <c r="U450" s="20" t="str">
        <f t="shared" ca="1" si="169"/>
        <v>Realizada</v>
      </c>
    </row>
    <row r="451" spans="1:21" ht="49.5">
      <c r="A451" s="20">
        <v>561</v>
      </c>
      <c r="B451" s="20" t="str">
        <f t="shared" si="150"/>
        <v>I Taller de Diálogo Ciudadano - AE Campín 7 de agosto</v>
      </c>
      <c r="C451" s="21">
        <f t="shared" si="151"/>
        <v>45457</v>
      </c>
      <c r="D451" s="20" t="str">
        <f t="shared" si="152"/>
        <v>OPDC</v>
      </c>
      <c r="E451" s="20" t="str">
        <f t="shared" si="153"/>
        <v>SÍ</v>
      </c>
      <c r="F451" s="20" t="str">
        <f t="shared" si="154"/>
        <v>Construcción de Directrices de Actuaciones Estratégicas</v>
      </c>
      <c r="G451" s="20" t="str">
        <f t="shared" si="155"/>
        <v>Presencial</v>
      </c>
      <c r="H451" s="20" t="str">
        <f t="shared" si="156"/>
        <v>Socializar  y construir las directrices para la formulación de la Actuación Estratégica Campín 7 de Agosto</v>
      </c>
      <c r="I451" s="20" t="str">
        <f t="shared" si="157"/>
        <v>Mecanismo de Comunicación para la Participación</v>
      </c>
      <c r="J451" s="20" t="str">
        <f t="shared" si="158"/>
        <v>Multiactor</v>
      </c>
      <c r="K451" s="20">
        <f t="shared" si="159"/>
        <v>0</v>
      </c>
      <c r="L451" s="20" t="str">
        <f t="shared" si="160"/>
        <v>Barrios Unidos, Teusaquillo</v>
      </c>
      <c r="M451" s="20" t="str">
        <f t="shared" si="161"/>
        <v>Centro Ampliado</v>
      </c>
      <c r="N451" s="20" t="str">
        <f t="shared" si="162"/>
        <v>Barrios Unidos, Teusaquillo</v>
      </c>
      <c r="O451" s="20" t="str">
        <f t="shared" si="163"/>
        <v>NO</v>
      </c>
      <c r="P451" s="20" t="str">
        <f t="shared" si="164"/>
        <v>No aplica</v>
      </c>
      <c r="Q451" s="20">
        <f t="shared" si="165"/>
        <v>14</v>
      </c>
      <c r="R451" s="20">
        <f t="shared" si="166"/>
        <v>16</v>
      </c>
      <c r="S451" s="20" t="str">
        <f t="shared" si="167"/>
        <v>Diálogo Taller AE Campin 7 de Agosto- No se desarrolló de acuerdo a la metodología inicial planteada pero se pudo recoger algunos aportes ciudadanos con metodología en calle</v>
      </c>
      <c r="T451" s="20">
        <f t="shared" si="168"/>
        <v>1</v>
      </c>
      <c r="U451" s="20" t="str">
        <f t="shared" ca="1" si="169"/>
        <v>Realizada</v>
      </c>
    </row>
    <row r="452" spans="1:21" ht="49.5">
      <c r="A452" s="20">
        <v>562</v>
      </c>
      <c r="B452" s="20" t="str">
        <f t="shared" si="150"/>
        <v>II Taller de Diálogo Ciudadano - AE Campín 7 de agosto</v>
      </c>
      <c r="C452" s="21">
        <f t="shared" si="151"/>
        <v>45457</v>
      </c>
      <c r="D452" s="20" t="str">
        <f t="shared" si="152"/>
        <v>OPDC</v>
      </c>
      <c r="E452" s="20" t="str">
        <f t="shared" si="153"/>
        <v>SÍ</v>
      </c>
      <c r="F452" s="20" t="str">
        <f t="shared" si="154"/>
        <v>Construcción de Directrices de Actuaciones Estratégicas</v>
      </c>
      <c r="G452" s="20" t="str">
        <f t="shared" si="155"/>
        <v>Presencial</v>
      </c>
      <c r="H452" s="20" t="str">
        <f t="shared" si="156"/>
        <v>Socializar  y construir las directrices para la formulación de la Actuación Estratégica Campín 7 de Agosto</v>
      </c>
      <c r="I452" s="20" t="str">
        <f t="shared" si="157"/>
        <v>Mecanismo de Comunicación para la Participación</v>
      </c>
      <c r="J452" s="20" t="str">
        <f t="shared" si="158"/>
        <v>Multiactor</v>
      </c>
      <c r="K452" s="20">
        <f t="shared" si="159"/>
        <v>0</v>
      </c>
      <c r="L452" s="20" t="str">
        <f t="shared" si="160"/>
        <v>Barrios Unidos, Teusaquillo</v>
      </c>
      <c r="M452" s="20" t="str">
        <f t="shared" si="161"/>
        <v>Centro Ampliado</v>
      </c>
      <c r="N452" s="20" t="str">
        <f t="shared" si="162"/>
        <v>Barrios Unidos, Teusaquillo</v>
      </c>
      <c r="O452" s="20" t="str">
        <f t="shared" si="163"/>
        <v>NO</v>
      </c>
      <c r="P452" s="20" t="str">
        <f t="shared" si="164"/>
        <v>No aplica</v>
      </c>
      <c r="Q452" s="20">
        <f t="shared" si="165"/>
        <v>30</v>
      </c>
      <c r="R452" s="20">
        <f t="shared" si="166"/>
        <v>11</v>
      </c>
      <c r="S452" s="20" t="str">
        <f t="shared" si="167"/>
        <v>Presentación de la AE campin 7 de agosto, 4 pilares: reverdecer y cuidado. movilidad y reactivación.</v>
      </c>
      <c r="T452" s="20">
        <f t="shared" si="168"/>
        <v>1</v>
      </c>
      <c r="U452" s="20" t="str">
        <f t="shared" ca="1" si="169"/>
        <v>Realizada</v>
      </c>
    </row>
    <row r="453" spans="1:21" ht="49.5">
      <c r="A453" s="20">
        <v>563</v>
      </c>
      <c r="B453" s="20" t="str">
        <f t="shared" si="150"/>
        <v>III Taller de Diálogo Ciudadano - AE Campín 7 de agosto</v>
      </c>
      <c r="C453" s="21">
        <f t="shared" si="151"/>
        <v>45457</v>
      </c>
      <c r="D453" s="20" t="str">
        <f t="shared" si="152"/>
        <v>OPDC</v>
      </c>
      <c r="E453" s="20" t="str">
        <f t="shared" si="153"/>
        <v>SÍ</v>
      </c>
      <c r="F453" s="20" t="str">
        <f t="shared" si="154"/>
        <v>Construcción de Directrices de Actuaciones Estratégicas</v>
      </c>
      <c r="G453" s="20" t="str">
        <f t="shared" si="155"/>
        <v>Presencial</v>
      </c>
      <c r="H453" s="20" t="str">
        <f t="shared" si="156"/>
        <v>Socializar  y construir las directrices para la formulación de la Actuación Estratégica Campín 7 de Agosto</v>
      </c>
      <c r="I453" s="20" t="str">
        <f t="shared" si="157"/>
        <v>Mecanismo de Comunicación para la Participación</v>
      </c>
      <c r="J453" s="20" t="str">
        <f t="shared" si="158"/>
        <v>Multiactor</v>
      </c>
      <c r="K453" s="20">
        <f t="shared" si="159"/>
        <v>0</v>
      </c>
      <c r="L453" s="20" t="str">
        <f t="shared" si="160"/>
        <v>Barrios Unidos, Teusaquillo</v>
      </c>
      <c r="M453" s="20" t="str">
        <f t="shared" si="161"/>
        <v>Centro Ampliado</v>
      </c>
      <c r="N453" s="20" t="str">
        <f t="shared" si="162"/>
        <v>Barrios Unidos, Teusaquillo</v>
      </c>
      <c r="O453" s="20" t="str">
        <f t="shared" si="163"/>
        <v>NO</v>
      </c>
      <c r="P453" s="20" t="str">
        <f t="shared" si="164"/>
        <v>No aplica</v>
      </c>
      <c r="Q453" s="20">
        <f t="shared" si="165"/>
        <v>26</v>
      </c>
      <c r="R453" s="20">
        <f t="shared" si="166"/>
        <v>13</v>
      </c>
      <c r="S453" s="20" t="str">
        <f t="shared" si="167"/>
        <v>Actuacion estrategica Campin 7 de agosto y dificultades y oportunidades en el territorio.</v>
      </c>
      <c r="T453" s="20">
        <f t="shared" si="168"/>
        <v>1</v>
      </c>
      <c r="U453" s="20" t="str">
        <f t="shared" ca="1" si="169"/>
        <v>Realizada</v>
      </c>
    </row>
    <row r="454" spans="1:21" ht="61.5">
      <c r="A454" s="20">
        <v>564</v>
      </c>
      <c r="B454" s="20" t="str">
        <f t="shared" si="150"/>
        <v>Gestión: II mesa intersectorial SPT - Escenario especializado SSSM</v>
      </c>
      <c r="C454" s="21">
        <f t="shared" si="151"/>
        <v>45457</v>
      </c>
      <c r="D454" s="20" t="str">
        <f t="shared" si="152"/>
        <v>OPDC</v>
      </c>
      <c r="E454" s="20" t="str">
        <f t="shared" si="153"/>
        <v>NO</v>
      </c>
      <c r="F454" s="20" t="str">
        <f t="shared" si="154"/>
        <v>Gestión del Plan Institucional de Participación Ciudadana</v>
      </c>
      <c r="G454" s="20" t="str">
        <f t="shared" si="155"/>
        <v>Presencial</v>
      </c>
      <c r="H454" s="20" t="str">
        <f t="shared" si="156"/>
        <v>Realizar mesa intersectorial con el objetivo de evidenciar los procesos que han llevado a cabo los cabildos Muisca de suba y Bosa con las diferentes secretarias</v>
      </c>
      <c r="I454" s="20" t="str">
        <f t="shared" si="157"/>
        <v>Gestión Institucional</v>
      </c>
      <c r="J454" s="20" t="str">
        <f t="shared" si="158"/>
        <v>Público</v>
      </c>
      <c r="K454" s="20">
        <f t="shared" si="159"/>
        <v>0</v>
      </c>
      <c r="L454" s="20" t="str">
        <f t="shared" si="160"/>
        <v>Distrital</v>
      </c>
      <c r="M454" s="20" t="str">
        <f t="shared" si="161"/>
        <v>Distrital</v>
      </c>
      <c r="N454" s="20" t="str">
        <f t="shared" si="162"/>
        <v>Distrital</v>
      </c>
      <c r="O454" s="20" t="str">
        <f t="shared" si="163"/>
        <v>NO</v>
      </c>
      <c r="P454" s="20" t="str">
        <f t="shared" si="164"/>
        <v>No aplica</v>
      </c>
      <c r="Q454" s="20">
        <f t="shared" si="165"/>
        <v>9</v>
      </c>
      <c r="R454" s="20">
        <f t="shared" si="166"/>
        <v>6</v>
      </c>
      <c r="S454" s="20" t="str">
        <f t="shared" si="167"/>
        <v>Sistema de Participación Territorial; Sistema de Sitios Sagrados Muisca; Resolución 2664</v>
      </c>
      <c r="T454" s="20">
        <f t="shared" si="168"/>
        <v>1</v>
      </c>
      <c r="U454" s="20" t="str">
        <f t="shared" ca="1" si="169"/>
        <v>Realizada</v>
      </c>
    </row>
    <row r="455" spans="1:21" ht="61.5">
      <c r="A455" s="20">
        <v>565</v>
      </c>
      <c r="B455" s="20" t="str">
        <f t="shared" si="150"/>
        <v>La Noche y Las Luciérnagas</v>
      </c>
      <c r="C455" s="21">
        <f t="shared" si="151"/>
        <v>45458</v>
      </c>
      <c r="D455" s="20" t="str">
        <f t="shared" si="152"/>
        <v>GENERAL SDP</v>
      </c>
      <c r="E455" s="20" t="str">
        <f t="shared" si="153"/>
        <v>NO</v>
      </c>
      <c r="F455" s="20" t="str">
        <f t="shared" si="154"/>
        <v>Política Pública LGBTI</v>
      </c>
      <c r="G455" s="20" t="str">
        <f t="shared" si="155"/>
        <v>Presencial</v>
      </c>
      <c r="H455" s="20" t="str">
        <f t="shared" si="156"/>
        <v>OPDC: Apoyar y acompañar este espacio en cumplimiento a meta del plan de accion DSPG: Coordinar este espacio en el marco de la agenda del PIPC</v>
      </c>
      <c r="I455" s="20" t="str">
        <f t="shared" si="157"/>
        <v>Gestión Institucional</v>
      </c>
      <c r="J455" s="20" t="str">
        <f t="shared" si="158"/>
        <v>Multiactor</v>
      </c>
      <c r="K455" s="20">
        <f t="shared" si="159"/>
        <v>0</v>
      </c>
      <c r="L455" s="20" t="str">
        <f t="shared" si="160"/>
        <v>La Candelaria</v>
      </c>
      <c r="M455" s="20" t="str">
        <f t="shared" si="161"/>
        <v>Centro Ampliado</v>
      </c>
      <c r="N455" s="20" t="str">
        <f t="shared" si="162"/>
        <v>Centro Histórico</v>
      </c>
      <c r="O455" s="20" t="str">
        <f t="shared" si="163"/>
        <v>NO</v>
      </c>
      <c r="P455" s="20" t="str">
        <f t="shared" si="164"/>
        <v>No aplica</v>
      </c>
      <c r="Q455" s="20">
        <f t="shared" si="165"/>
        <v>145</v>
      </c>
      <c r="R455" s="20">
        <f t="shared" si="166"/>
        <v>5</v>
      </c>
      <c r="S455" s="20" t="str">
        <f t="shared" si="167"/>
        <v>Se apoyó evento dando cumplimiento de una de las metas del plan de acción de la política pública LGBTIQ</v>
      </c>
      <c r="T455" s="20">
        <f t="shared" si="168"/>
        <v>1</v>
      </c>
      <c r="U455" s="20" t="str">
        <f t="shared" ca="1" si="169"/>
        <v>Realizada</v>
      </c>
    </row>
    <row r="456" spans="1:21" ht="37.5">
      <c r="A456" s="20">
        <v>566</v>
      </c>
      <c r="B456" s="20" t="str">
        <f t="shared" si="150"/>
        <v>Comité Intersectorial Ampliado del PDD - Fase 4</v>
      </c>
      <c r="C456" s="21">
        <f t="shared" si="151"/>
        <v>45460</v>
      </c>
      <c r="D456" s="20" t="str">
        <f t="shared" si="152"/>
        <v>OPDC</v>
      </c>
      <c r="E456" s="20" t="str">
        <f t="shared" si="153"/>
        <v>NO</v>
      </c>
      <c r="F456" s="20" t="str">
        <f t="shared" si="154"/>
        <v>Plan Distrital de Desarrollo</v>
      </c>
      <c r="G456" s="20" t="str">
        <f t="shared" si="155"/>
        <v>Virtual</v>
      </c>
      <c r="H456" s="20" t="str">
        <f t="shared" si="156"/>
        <v xml:space="preserve">Presentar los lineamientos de la fase 4 de la Estrategia de Participación del Plan Distrital de Desarrollo. </v>
      </c>
      <c r="I456" s="20" t="str">
        <f t="shared" si="157"/>
        <v>Gestión Institucional</v>
      </c>
      <c r="J456" s="20" t="str">
        <f t="shared" si="158"/>
        <v>Público</v>
      </c>
      <c r="K456" s="20" t="str">
        <f t="shared" si="159"/>
        <v>Servidores públicos (Distrital)</v>
      </c>
      <c r="L456" s="20" t="str">
        <f t="shared" si="160"/>
        <v>Distrital</v>
      </c>
      <c r="M456" s="20" t="str">
        <f t="shared" si="161"/>
        <v>Distrital</v>
      </c>
      <c r="N456" s="20" t="str">
        <f t="shared" si="162"/>
        <v>Distrital</v>
      </c>
      <c r="O456" s="20" t="str">
        <f t="shared" si="163"/>
        <v>SÍ</v>
      </c>
      <c r="P456" s="20" t="str">
        <f t="shared" si="164"/>
        <v>Gestión interinstitucional</v>
      </c>
      <c r="Q456" s="20">
        <f t="shared" si="165"/>
        <v>60</v>
      </c>
      <c r="R456" s="20">
        <f t="shared" si="166"/>
        <v>15</v>
      </c>
      <c r="S456" s="20" t="str">
        <f t="shared" si="167"/>
        <v>Temas de la Fase 4 Plan Distrital de Desarrollo</v>
      </c>
      <c r="T456" s="20">
        <f t="shared" si="168"/>
        <v>1</v>
      </c>
      <c r="U456" s="20" t="str">
        <f t="shared" ca="1" si="169"/>
        <v>Realizada</v>
      </c>
    </row>
    <row r="457" spans="1:21" ht="49.5">
      <c r="A457" s="20">
        <v>567</v>
      </c>
      <c r="B457" s="20" t="str">
        <f t="shared" si="150"/>
        <v>Socialización AEDA</v>
      </c>
      <c r="C457" s="21">
        <f t="shared" si="151"/>
        <v>45460</v>
      </c>
      <c r="D457" s="20" t="str">
        <f t="shared" si="152"/>
        <v>OPDC</v>
      </c>
      <c r="E457" s="20" t="str">
        <f t="shared" si="153"/>
        <v>SÍ</v>
      </c>
      <c r="F457" s="20" t="str">
        <f t="shared" si="154"/>
        <v>Formulación de Actuaciones Estratégicas</v>
      </c>
      <c r="G457" s="20" t="str">
        <f t="shared" si="155"/>
        <v>Presencial</v>
      </c>
      <c r="H457" s="20" t="str">
        <f t="shared" si="156"/>
        <v>Socializar el estado de avance de la formulación/adopción de la AEDA</v>
      </c>
      <c r="I457" s="20" t="str">
        <f t="shared" si="157"/>
        <v>Mecanismo de Comunicación para la Participación</v>
      </c>
      <c r="J457" s="20" t="str">
        <f t="shared" si="158"/>
        <v>Comunitario</v>
      </c>
      <c r="K457" s="20" t="str">
        <f t="shared" si="159"/>
        <v>Organización o veeduría ciudadana</v>
      </c>
      <c r="L457" s="20" t="str">
        <f t="shared" si="160"/>
        <v>Engativá</v>
      </c>
      <c r="M457" s="20" t="str">
        <f t="shared" si="161"/>
        <v>Occidente</v>
      </c>
      <c r="N457" s="20" t="str">
        <f t="shared" si="162"/>
        <v>Engativá, Tabora, Salitre</v>
      </c>
      <c r="O457" s="20" t="str">
        <f t="shared" si="163"/>
        <v>NO</v>
      </c>
      <c r="P457" s="20" t="str">
        <f t="shared" si="164"/>
        <v>No aplica</v>
      </c>
      <c r="Q457" s="20">
        <f t="shared" si="165"/>
        <v>20</v>
      </c>
      <c r="R457" s="20">
        <f t="shared" si="166"/>
        <v>2</v>
      </c>
      <c r="S457" s="20" t="str">
        <f t="shared" si="167"/>
        <v>Socialización de las generalidades de la adopción de la AEDA</v>
      </c>
      <c r="T457" s="20">
        <f t="shared" si="168"/>
        <v>1</v>
      </c>
      <c r="U457" s="20" t="str">
        <f t="shared" ca="1" si="169"/>
        <v>Realizada</v>
      </c>
    </row>
    <row r="458" spans="1:21" ht="61.5">
      <c r="A458" s="20">
        <v>569</v>
      </c>
      <c r="B458" s="20" t="str">
        <f t="shared" si="150"/>
        <v>Gestión con actores estratégicos - Localidad Candelaria</v>
      </c>
      <c r="C458" s="21">
        <f t="shared" si="151"/>
        <v>45460</v>
      </c>
      <c r="D458" s="20" t="str">
        <f t="shared" si="152"/>
        <v>OPDC</v>
      </c>
      <c r="E458" s="20" t="str">
        <f t="shared" si="153"/>
        <v>NO</v>
      </c>
      <c r="F458" s="20" t="str">
        <f t="shared" si="154"/>
        <v>Gestión en Territorio</v>
      </c>
      <c r="G458" s="20" t="str">
        <f t="shared" si="155"/>
        <v>Presencial</v>
      </c>
      <c r="H458" s="20" t="str">
        <f t="shared" si="156"/>
        <v>Fortalecer las relaciones con los actores estratégicos del territorio para articular los procesos de participación.</v>
      </c>
      <c r="I458" s="20" t="str">
        <f t="shared" si="157"/>
        <v>Mecanismo de Fortalecimiento Ciudadano para la Planeación Participativa</v>
      </c>
      <c r="J458" s="20" t="str">
        <f t="shared" si="158"/>
        <v>Comunitario</v>
      </c>
      <c r="K458" s="20" t="str">
        <f t="shared" si="159"/>
        <v>CPL</v>
      </c>
      <c r="L458" s="20" t="str">
        <f t="shared" si="160"/>
        <v>La Candelaria</v>
      </c>
      <c r="M458" s="20" t="str">
        <f t="shared" si="161"/>
        <v>Centro Ampliado</v>
      </c>
      <c r="N458" s="20" t="str">
        <f t="shared" si="162"/>
        <v>Centro Histórico</v>
      </c>
      <c r="O458" s="20" t="str">
        <f t="shared" si="163"/>
        <v>NO</v>
      </c>
      <c r="P458" s="20" t="str">
        <f t="shared" si="164"/>
        <v>No aplica</v>
      </c>
      <c r="Q458" s="20">
        <f t="shared" si="165"/>
        <v>9</v>
      </c>
      <c r="R458" s="20">
        <f t="shared" si="166"/>
        <v>1</v>
      </c>
      <c r="S458" s="20" t="str">
        <f t="shared" si="167"/>
        <v>Proceso de Devolución del PDD, necesidades de capacitación del CPL, generalidades de las actividades que se realizarían en el Sector Centro Ampliado el 6 de Julio</v>
      </c>
      <c r="T458" s="20">
        <f t="shared" si="168"/>
        <v>1</v>
      </c>
      <c r="U458" s="20" t="str">
        <f t="shared" ca="1" si="169"/>
        <v>Realizada</v>
      </c>
    </row>
    <row r="459" spans="1:21" ht="49.5">
      <c r="A459" s="20">
        <v>570</v>
      </c>
      <c r="B459" s="20" t="str">
        <f t="shared" si="150"/>
        <v>Comisión de Participación CTPD</v>
      </c>
      <c r="C459" s="21">
        <f t="shared" si="151"/>
        <v>45460</v>
      </c>
      <c r="D459" s="20" t="str">
        <f t="shared" si="152"/>
        <v>INSTANCIAS</v>
      </c>
      <c r="E459" s="20" t="str">
        <f t="shared" si="153"/>
        <v>NO</v>
      </c>
      <c r="F459" s="20" t="str">
        <f t="shared" si="154"/>
        <v>CTPD (Consejo Territorial de Planeación Distrital)</v>
      </c>
      <c r="G459" s="20" t="str">
        <f t="shared" si="155"/>
        <v>Virtual</v>
      </c>
      <c r="H459" s="20" t="str">
        <f t="shared" si="156"/>
        <v>Comisión Ordinaria del CTPD</v>
      </c>
      <c r="I459" s="20" t="str">
        <f t="shared" si="157"/>
        <v>Mecanismo de Seguimiento y Evaluación</v>
      </c>
      <c r="J459" s="20" t="str">
        <f t="shared" si="158"/>
        <v>Comunitario</v>
      </c>
      <c r="K459" s="20" t="str">
        <f t="shared" si="159"/>
        <v>CTPD</v>
      </c>
      <c r="L459" s="20" t="str">
        <f t="shared" si="160"/>
        <v>Distrital</v>
      </c>
      <c r="M459" s="20" t="str">
        <f t="shared" si="161"/>
        <v>Distrital</v>
      </c>
      <c r="N459" s="20" t="str">
        <f t="shared" si="162"/>
        <v>Distrital</v>
      </c>
      <c r="O459" s="20" t="str">
        <f t="shared" si="163"/>
        <v>NO</v>
      </c>
      <c r="P459" s="20" t="str">
        <f t="shared" si="164"/>
        <v>No aplica</v>
      </c>
      <c r="Q459" s="20">
        <f t="shared" si="165"/>
        <v>14</v>
      </c>
      <c r="R459" s="20">
        <f t="shared" si="166"/>
        <v>1</v>
      </c>
      <c r="S459" s="20" t="str">
        <f t="shared" si="167"/>
        <v>Revisión del Plan de Accion presentado por la UNAD</v>
      </c>
      <c r="T459" s="20">
        <f t="shared" si="168"/>
        <v>1</v>
      </c>
      <c r="U459" s="20" t="str">
        <f t="shared" ca="1" si="169"/>
        <v>Realizada</v>
      </c>
    </row>
    <row r="460" spans="1:21" ht="49.5">
      <c r="A460" s="20">
        <v>573</v>
      </c>
      <c r="B460" s="20" t="str">
        <f t="shared" si="150"/>
        <v>CLIP Puente Aranda</v>
      </c>
      <c r="C460" s="21">
        <f t="shared" si="151"/>
        <v>45461</v>
      </c>
      <c r="D460" s="20" t="str">
        <f t="shared" si="152"/>
        <v>INSTANCIAS</v>
      </c>
      <c r="E460" s="20" t="str">
        <f t="shared" si="153"/>
        <v>NO</v>
      </c>
      <c r="F460" s="20" t="str">
        <f t="shared" si="154"/>
        <v>CLIP (Comisión Local Intersectorial de Participación)</v>
      </c>
      <c r="G460" s="20" t="str">
        <f t="shared" si="155"/>
        <v>Presencial</v>
      </c>
      <c r="H460" s="20" t="str">
        <f t="shared" si="156"/>
        <v>Acompañar la articulación de los esfuerzos institucionales de participación en la localidad de Puente Aranda</v>
      </c>
      <c r="I460" s="20" t="str">
        <f t="shared" si="157"/>
        <v>Gestión Institucional</v>
      </c>
      <c r="J460" s="20" t="str">
        <f t="shared" si="158"/>
        <v>Público</v>
      </c>
      <c r="K460" s="20" t="str">
        <f t="shared" si="159"/>
        <v>CLIP</v>
      </c>
      <c r="L460" s="20" t="str">
        <f t="shared" si="160"/>
        <v>Puente Aranda</v>
      </c>
      <c r="M460" s="20" t="str">
        <f t="shared" si="161"/>
        <v>Centro Ampliado</v>
      </c>
      <c r="N460" s="20" t="str">
        <f t="shared" si="162"/>
        <v>Puente Aranda</v>
      </c>
      <c r="O460" s="20" t="str">
        <f t="shared" si="163"/>
        <v>NO</v>
      </c>
      <c r="P460" s="20" t="str">
        <f t="shared" si="164"/>
        <v>No aplica</v>
      </c>
      <c r="Q460" s="20">
        <f t="shared" si="165"/>
        <v>24</v>
      </c>
      <c r="R460" s="20">
        <f t="shared" si="166"/>
        <v>1</v>
      </c>
      <c r="S460" s="20" t="str">
        <f t="shared" si="167"/>
        <v>Analisis de los encuentros ciudadanos para el PDL, resultados de la Fase 2 para la formulación del PDD en la Locidad de Puente Aranda.</v>
      </c>
      <c r="T460" s="20">
        <f t="shared" si="168"/>
        <v>1</v>
      </c>
      <c r="U460" s="20" t="str">
        <f t="shared" ca="1" si="169"/>
        <v>Realizada</v>
      </c>
    </row>
    <row r="461" spans="1:21" ht="61.5">
      <c r="A461" s="20">
        <v>576</v>
      </c>
      <c r="B461" s="20" t="str">
        <f t="shared" si="150"/>
        <v>Gestión con actores estratégicos - UPL Puente Aranda (JAL)</v>
      </c>
      <c r="C461" s="21">
        <f t="shared" si="151"/>
        <v>45461</v>
      </c>
      <c r="D461" s="20" t="str">
        <f t="shared" si="152"/>
        <v>OPDC</v>
      </c>
      <c r="E461" s="20" t="str">
        <f t="shared" si="153"/>
        <v>NO</v>
      </c>
      <c r="F461" s="20" t="str">
        <f t="shared" si="154"/>
        <v>Gestión en Territorio</v>
      </c>
      <c r="G461" s="20" t="str">
        <f t="shared" si="155"/>
        <v>Presencial</v>
      </c>
      <c r="H461" s="20" t="str">
        <f t="shared" si="156"/>
        <v>Fortalecer las relaciones con los actores estratégicos del territorio para articular los procesos de participación. JAL</v>
      </c>
      <c r="I461" s="20" t="str">
        <f t="shared" si="157"/>
        <v>Mecanismo de Fortalecimiento Ciudadano para la Planeación Participativa</v>
      </c>
      <c r="J461" s="20" t="str">
        <f t="shared" si="158"/>
        <v>Público</v>
      </c>
      <c r="K461" s="20" t="str">
        <f t="shared" si="159"/>
        <v>JAL</v>
      </c>
      <c r="L461" s="20" t="str">
        <f t="shared" si="160"/>
        <v>Puente Aranda</v>
      </c>
      <c r="M461" s="20" t="str">
        <f t="shared" si="161"/>
        <v>Centro Ampliado</v>
      </c>
      <c r="N461" s="20" t="str">
        <f t="shared" si="162"/>
        <v>Puente Aranda</v>
      </c>
      <c r="O461" s="20" t="str">
        <f t="shared" si="163"/>
        <v>NO</v>
      </c>
      <c r="P461" s="20" t="str">
        <f t="shared" si="164"/>
        <v>No aplica</v>
      </c>
      <c r="Q461" s="20">
        <f t="shared" si="165"/>
        <v>1</v>
      </c>
      <c r="R461" s="20">
        <f t="shared" si="166"/>
        <v>1</v>
      </c>
      <c r="S461" s="20" t="str">
        <f t="shared" si="167"/>
        <v>Fase de en la Formulación del PDD 2024-2028, afianzar relaciones con la OPDC para futuros espacios de participación en el marco de PIPC 2024</v>
      </c>
      <c r="T461" s="20">
        <f t="shared" si="168"/>
        <v>1</v>
      </c>
      <c r="U461" s="20" t="str">
        <f t="shared" ca="1" si="169"/>
        <v>Realizada</v>
      </c>
    </row>
    <row r="462" spans="1:21" ht="86.25">
      <c r="A462" s="20">
        <v>577</v>
      </c>
      <c r="B462" s="20" t="str">
        <f t="shared" si="150"/>
        <v>Gestión de Actores Estratégicos - Localidad Antonio Nariño</v>
      </c>
      <c r="C462" s="21">
        <f t="shared" si="151"/>
        <v>45461</v>
      </c>
      <c r="D462" s="20" t="str">
        <f t="shared" si="152"/>
        <v>OPDC</v>
      </c>
      <c r="E462" s="20" t="str">
        <f t="shared" si="153"/>
        <v>NO</v>
      </c>
      <c r="F462" s="20" t="str">
        <f t="shared" si="154"/>
        <v>Gestión en Territorio</v>
      </c>
      <c r="G462" s="20" t="str">
        <f t="shared" si="155"/>
        <v>Presencial</v>
      </c>
      <c r="H462" s="20" t="str">
        <f t="shared" si="156"/>
        <v>Fortalecer las relaciones con los actores estrategicos del territorio para articular los procesos de participación.</v>
      </c>
      <c r="I462" s="20" t="str">
        <f t="shared" si="157"/>
        <v>Mecanismo de Fortalecimiento Ciudadano para la Planeación Participativa</v>
      </c>
      <c r="J462" s="20" t="str">
        <f t="shared" si="158"/>
        <v>Comunitario</v>
      </c>
      <c r="K462" s="20" t="str">
        <f t="shared" si="159"/>
        <v>CPL</v>
      </c>
      <c r="L462" s="20" t="str">
        <f t="shared" si="160"/>
        <v>Antonio Nariño</v>
      </c>
      <c r="M462" s="20" t="str">
        <f t="shared" si="161"/>
        <v>Centro Ampliado</v>
      </c>
      <c r="N462" s="20" t="str">
        <f t="shared" si="162"/>
        <v>Restrepo</v>
      </c>
      <c r="O462" s="20" t="str">
        <f t="shared" si="163"/>
        <v>NO</v>
      </c>
      <c r="P462" s="20" t="str">
        <f t="shared" si="164"/>
        <v>No aplica</v>
      </c>
      <c r="Q462" s="20">
        <f t="shared" si="165"/>
        <v>1</v>
      </c>
      <c r="R462" s="20">
        <f t="shared" si="166"/>
        <v>1</v>
      </c>
      <c r="S462" s="20" t="str">
        <f t="shared" si="167"/>
        <v>Articulación con el CPL para los procesos de devolución sobre temas de PDD y fortalecimiento de los procesos de participación. Por parte de la persona del CPL se me solicitó asistir de manera virtual a la sesión ordinaria para explicar los temas tratados con ella.</v>
      </c>
      <c r="T462" s="20">
        <f t="shared" si="168"/>
        <v>1</v>
      </c>
      <c r="U462" s="20" t="str">
        <f t="shared" ca="1" si="169"/>
        <v>Realizada</v>
      </c>
    </row>
    <row r="463" spans="1:21" ht="61.5">
      <c r="A463" s="20">
        <v>578</v>
      </c>
      <c r="B463" s="20" t="str">
        <f t="shared" si="150"/>
        <v>Taller de formación AE Calle 72</v>
      </c>
      <c r="C463" s="21">
        <f t="shared" si="151"/>
        <v>45461</v>
      </c>
      <c r="D463" s="20" t="str">
        <f t="shared" si="152"/>
        <v>OPDC</v>
      </c>
      <c r="E463" s="20" t="str">
        <f t="shared" si="153"/>
        <v>SÍ</v>
      </c>
      <c r="F463" s="20" t="str">
        <f t="shared" si="154"/>
        <v>Formulación de Actuaciones Estratégicas</v>
      </c>
      <c r="G463" s="20" t="str">
        <f t="shared" si="155"/>
        <v>Presencial</v>
      </c>
      <c r="H463" s="20" t="str">
        <f t="shared" si="156"/>
        <v>Taller de Formación con las integrantes del Comité Operativo Local de Mujer y Género - COLMYG de la Localidad Barrios Unidos</v>
      </c>
      <c r="I463" s="20" t="str">
        <f t="shared" si="157"/>
        <v>Mecanismo de Fortalecimiento Ciudadano para la Planeación Participativa</v>
      </c>
      <c r="J463" s="20" t="str">
        <f t="shared" si="158"/>
        <v>Multiactor</v>
      </c>
      <c r="K463" s="20">
        <f t="shared" si="159"/>
        <v>0</v>
      </c>
      <c r="L463" s="20" t="str">
        <f t="shared" si="160"/>
        <v>Teusaquillo</v>
      </c>
      <c r="M463" s="20" t="str">
        <f t="shared" si="161"/>
        <v>Centro Ampliado</v>
      </c>
      <c r="N463" s="20" t="str">
        <f t="shared" si="162"/>
        <v>Teusaquillo</v>
      </c>
      <c r="O463" s="20" t="str">
        <f t="shared" si="163"/>
        <v>NO</v>
      </c>
      <c r="P463" s="20" t="str">
        <f t="shared" si="164"/>
        <v>No aplica</v>
      </c>
      <c r="Q463" s="20">
        <f t="shared" si="165"/>
        <v>25</v>
      </c>
      <c r="R463" s="20">
        <f t="shared" si="166"/>
        <v>1</v>
      </c>
      <c r="S463" s="20" t="str">
        <f t="shared" si="167"/>
        <v>Taller de Formación con las integrantes del Comité Operativo Local de Mujer y Género - COLMYG de la Localidad Barrios Unidos</v>
      </c>
      <c r="T463" s="20">
        <f t="shared" si="168"/>
        <v>1</v>
      </c>
      <c r="U463" s="20" t="str">
        <f t="shared" ca="1" si="169"/>
        <v>Realizada</v>
      </c>
    </row>
    <row r="464" spans="1:21" ht="123">
      <c r="A464" s="20">
        <v>581</v>
      </c>
      <c r="B464" s="20" t="str">
        <f t="shared" si="150"/>
        <v>Plenaria CTPD</v>
      </c>
      <c r="C464" s="21">
        <f t="shared" si="151"/>
        <v>45461</v>
      </c>
      <c r="D464" s="20" t="str">
        <f t="shared" si="152"/>
        <v>INSTANCIAS</v>
      </c>
      <c r="E464" s="20" t="str">
        <f t="shared" si="153"/>
        <v>NO</v>
      </c>
      <c r="F464" s="20" t="str">
        <f t="shared" si="154"/>
        <v>CTPD (Consejo Territorial de Planeación Distrital)</v>
      </c>
      <c r="G464" s="20" t="str">
        <f t="shared" si="155"/>
        <v>Virtual</v>
      </c>
      <c r="H464" s="20" t="str">
        <f t="shared" si="156"/>
        <v>Sesión Ordinaria del CTPD</v>
      </c>
      <c r="I464" s="20" t="str">
        <f t="shared" si="157"/>
        <v>Mecanismo de Seguimiento y Evaluación</v>
      </c>
      <c r="J464" s="20" t="str">
        <f t="shared" si="158"/>
        <v>Comunitario</v>
      </c>
      <c r="K464" s="20" t="str">
        <f t="shared" si="159"/>
        <v>CTPD</v>
      </c>
      <c r="L464" s="20" t="str">
        <f t="shared" si="160"/>
        <v>Distrital</v>
      </c>
      <c r="M464" s="20" t="str">
        <f t="shared" si="161"/>
        <v>Distrital</v>
      </c>
      <c r="N464" s="20" t="str">
        <f t="shared" si="162"/>
        <v>Distrital</v>
      </c>
      <c r="O464" s="20" t="str">
        <f t="shared" si="163"/>
        <v>NO</v>
      </c>
      <c r="P464" s="20" t="str">
        <f t="shared" si="164"/>
        <v>No aplica</v>
      </c>
      <c r="Q464" s="20">
        <f t="shared" si="165"/>
        <v>2</v>
      </c>
      <c r="R464" s="20">
        <f t="shared" si="166"/>
        <v>2</v>
      </c>
      <c r="S464" s="20" t="str">
        <f t="shared" si="167"/>
        <v>Plan de Acción 2024, se solicitó hacer una veeduría a la Bl y cómo va a ser el acompañamiento al CTPD, Si se requiere incluir un nuevo actor al CTPD, se debe aprobar por Mesa Directiva y en plenaria, se requiere con urgencia capacitación en microsoft Teams, la UNAD debe enviar a los correos del CTPD la presentación que realizo durante la sesión, Se solicita realizar una mesa de trabajo con el Secretario de Seguridad Cesar Restrepo.</v>
      </c>
      <c r="T464" s="20">
        <f t="shared" si="168"/>
        <v>1</v>
      </c>
      <c r="U464" s="20" t="str">
        <f t="shared" ca="1" si="169"/>
        <v>Realizada</v>
      </c>
    </row>
    <row r="465" spans="1:21" ht="37.5">
      <c r="A465" s="20">
        <v>582</v>
      </c>
      <c r="B465" s="20" t="str">
        <f t="shared" si="150"/>
        <v>Reunión intersectorial convocada por la Secretaría General y la Secretaria de Gobierno</v>
      </c>
      <c r="C465" s="21">
        <f t="shared" si="151"/>
        <v>45462</v>
      </c>
      <c r="D465" s="20" t="str">
        <f t="shared" si="152"/>
        <v>OPDC</v>
      </c>
      <c r="E465" s="20" t="str">
        <f t="shared" si="153"/>
        <v>NO</v>
      </c>
      <c r="F465" s="20" t="str">
        <f t="shared" si="154"/>
        <v>Políticas Públicas</v>
      </c>
      <c r="G465" s="20" t="str">
        <f t="shared" si="155"/>
        <v>Presencial</v>
      </c>
      <c r="H465" s="20" t="str">
        <f t="shared" si="156"/>
        <v xml:space="preserve">Socializar orientaciones de Políticas Públicas étnicas </v>
      </c>
      <c r="I465" s="20" t="str">
        <f t="shared" si="157"/>
        <v>Gestión Institucional</v>
      </c>
      <c r="J465" s="20" t="str">
        <f t="shared" si="158"/>
        <v>Público</v>
      </c>
      <c r="K465" s="20" t="str">
        <f t="shared" si="159"/>
        <v>Servidores públicos (Distrital)</v>
      </c>
      <c r="L465" s="20" t="str">
        <f t="shared" si="160"/>
        <v>Distrital</v>
      </c>
      <c r="M465" s="20" t="str">
        <f t="shared" si="161"/>
        <v>Distrital</v>
      </c>
      <c r="N465" s="20" t="str">
        <f t="shared" si="162"/>
        <v>Distrital</v>
      </c>
      <c r="O465" s="20" t="str">
        <f t="shared" si="163"/>
        <v>NO</v>
      </c>
      <c r="P465" s="20" t="str">
        <f t="shared" si="164"/>
        <v>No aplica</v>
      </c>
      <c r="Q465" s="20">
        <f t="shared" si="165"/>
        <v>45</v>
      </c>
      <c r="R465" s="20">
        <f t="shared" si="166"/>
        <v>3</v>
      </c>
      <c r="S465" s="20" t="str">
        <f t="shared" si="167"/>
        <v>Socialización de Orientaciones para el reporte de Acciones Afirmativas y tránsito a Políticas Públicas Étnicas</v>
      </c>
      <c r="T465" s="20">
        <f t="shared" si="168"/>
        <v>1</v>
      </c>
      <c r="U465" s="20" t="str">
        <f t="shared" ca="1" si="169"/>
        <v>Realizada</v>
      </c>
    </row>
    <row r="466" spans="1:21" ht="61.5">
      <c r="A466" s="20">
        <v>584</v>
      </c>
      <c r="B466" s="20" t="str">
        <f t="shared" si="150"/>
        <v>CLIP Usme</v>
      </c>
      <c r="C466" s="21">
        <f t="shared" si="151"/>
        <v>45462</v>
      </c>
      <c r="D466" s="20" t="str">
        <f t="shared" si="152"/>
        <v>INSTANCIAS</v>
      </c>
      <c r="E466" s="20" t="str">
        <f t="shared" si="153"/>
        <v>NO</v>
      </c>
      <c r="F466" s="20" t="str">
        <f t="shared" si="154"/>
        <v>CLIP (Comisión Local Intersectorial de Participación)</v>
      </c>
      <c r="G466" s="20" t="str">
        <f t="shared" si="155"/>
        <v>Presencial</v>
      </c>
      <c r="H466" s="20" t="str">
        <f t="shared" si="156"/>
        <v>Acompañar la articulación de los esfuerzos institucionales de participación en la localidad de Usme Entrenubes.</v>
      </c>
      <c r="I466" s="20" t="str">
        <f t="shared" si="157"/>
        <v>Gestión Institucional</v>
      </c>
      <c r="J466" s="20" t="str">
        <f t="shared" si="158"/>
        <v>Público</v>
      </c>
      <c r="K466" s="20" t="str">
        <f t="shared" si="159"/>
        <v>CLIP</v>
      </c>
      <c r="L466" s="20" t="str">
        <f t="shared" si="160"/>
        <v>Usme</v>
      </c>
      <c r="M466" s="20" t="str">
        <f t="shared" si="161"/>
        <v>Suroriente, Ruralidad</v>
      </c>
      <c r="N466" s="20" t="str">
        <f t="shared" si="162"/>
        <v>Usme Entrenubes, Cerros Orientales, Rafael Uribe, Cuenca del Tunjuelo</v>
      </c>
      <c r="O466" s="20" t="str">
        <f t="shared" si="163"/>
        <v>NO</v>
      </c>
      <c r="P466" s="20" t="str">
        <f t="shared" si="164"/>
        <v>No aplica</v>
      </c>
      <c r="Q466" s="20">
        <f t="shared" si="165"/>
        <v>18</v>
      </c>
      <c r="R466" s="20">
        <f t="shared" si="166"/>
        <v>1</v>
      </c>
      <c r="S466" s="20" t="str">
        <f t="shared" si="167"/>
        <v>Exposición del SPT, posible conformación de un comité ciudadano para llevar el SPT y actualización por parte de diferentes sectores.</v>
      </c>
      <c r="T466" s="20">
        <f t="shared" si="168"/>
        <v>1</v>
      </c>
      <c r="U466" s="20" t="str">
        <f t="shared" ca="1" si="169"/>
        <v>Realizada</v>
      </c>
    </row>
    <row r="467" spans="1:21" ht="37.5">
      <c r="A467" s="20">
        <v>585</v>
      </c>
      <c r="B467" s="20" t="str">
        <f t="shared" si="150"/>
        <v>Gestión con actores estratégicos - Localidad Santa Fé</v>
      </c>
      <c r="C467" s="21">
        <f t="shared" si="151"/>
        <v>45462</v>
      </c>
      <c r="D467" s="20" t="str">
        <f t="shared" si="152"/>
        <v>OPDC</v>
      </c>
      <c r="E467" s="20" t="str">
        <f t="shared" si="153"/>
        <v>NO</v>
      </c>
      <c r="F467" s="20" t="str">
        <f t="shared" si="154"/>
        <v>Gestión en Territorio</v>
      </c>
      <c r="G467" s="20" t="str">
        <f t="shared" si="155"/>
        <v>Presencial</v>
      </c>
      <c r="H467" s="20" t="str">
        <f t="shared" si="156"/>
        <v>Fortalecer las relaciones con los actores estratégicos del territorio para articular los procesos de participación.</v>
      </c>
      <c r="I467" s="20" t="str">
        <f t="shared" si="157"/>
        <v>Gestión Institucional</v>
      </c>
      <c r="J467" s="20" t="str">
        <f t="shared" si="158"/>
        <v>Comunitario</v>
      </c>
      <c r="K467" s="20" t="str">
        <f t="shared" si="159"/>
        <v>CPL</v>
      </c>
      <c r="L467" s="20" t="str">
        <f t="shared" si="160"/>
        <v>Santa Fe</v>
      </c>
      <c r="M467" s="20" t="str">
        <f t="shared" si="161"/>
        <v>Centro Ampliado, Ruralidad</v>
      </c>
      <c r="N467" s="20" t="str">
        <f t="shared" si="162"/>
        <v>Centro Histórico, Cerros Orientales</v>
      </c>
      <c r="O467" s="20" t="str">
        <f t="shared" si="163"/>
        <v>NO</v>
      </c>
      <c r="P467" s="20" t="str">
        <f t="shared" si="164"/>
        <v>No aplica</v>
      </c>
      <c r="Q467" s="20">
        <f t="shared" si="165"/>
        <v>3</v>
      </c>
      <c r="R467" s="20">
        <f t="shared" si="166"/>
        <v>1</v>
      </c>
      <c r="S467" s="20" t="str">
        <f t="shared" si="167"/>
        <v>Ruta de la participación y PDD</v>
      </c>
      <c r="T467" s="20">
        <f t="shared" si="168"/>
        <v>1</v>
      </c>
      <c r="U467" s="20" t="str">
        <f t="shared" ca="1" si="169"/>
        <v>Realizada</v>
      </c>
    </row>
    <row r="468" spans="1:21" ht="49.5">
      <c r="A468" s="20">
        <v>586</v>
      </c>
      <c r="B468" s="20" t="str">
        <f t="shared" ref="B468:B469" si="170">IFERROR(VLOOKUP(A468,DATA_MATRIZ,2,FALSE),"")</f>
        <v>CLIP Kennedy</v>
      </c>
      <c r="C468" s="21">
        <f t="shared" ref="C468:C469" si="171">IFERROR(VLOOKUP(A468,DATA_MATRIZ,3,FALSE),"")</f>
        <v>45462</v>
      </c>
      <c r="D468" s="20" t="str">
        <f t="shared" ref="D468:D469" si="172">IFERROR(VLOOKUP(A468,DATA_MATRIZ,5,FALSE),"")</f>
        <v>INSTANCIAS</v>
      </c>
      <c r="E468" s="20" t="str">
        <f t="shared" ref="E468:E469" si="173">IFERROR(VLOOKUP(A468,DATA_MATRIZ,9,FALSE),"")</f>
        <v>NO</v>
      </c>
      <c r="F468" s="20" t="str">
        <f t="shared" ref="F468:F469" si="174">IFERROR(VLOOKUP(A468,DATA_MATRIZ,10,FALSE),"")</f>
        <v>CLIP (Comisión Local Intersectorial de Participación)</v>
      </c>
      <c r="G468" s="20" t="str">
        <f t="shared" ref="G468:G469" si="175">IFERROR(VLOOKUP(A468,DATA_MATRIZ,11,FALSE),"")</f>
        <v>Presencial</v>
      </c>
      <c r="H468" s="20" t="str">
        <f t="shared" ref="H468:H469" si="176">IFERROR(VLOOKUP(A468,DATA_MATRIZ,12,FALSE),"")</f>
        <v>Acompañar la articulación de los esfuerzos institucionales de participación en la localidad de Kennedy</v>
      </c>
      <c r="I468" s="20" t="str">
        <f t="shared" ref="I468:I469" si="177">IFERROR(VLOOKUP(A468,DATA_MATRIZ,13,FALSE),"")</f>
        <v>Gestión Institucional</v>
      </c>
      <c r="J468" s="20" t="str">
        <f t="shared" ref="J468:J469" si="178">IFERROR(VLOOKUP(A468,DATA_MATRIZ,41,FALSE),"")</f>
        <v>Público</v>
      </c>
      <c r="K468" s="20" t="str">
        <f t="shared" ref="K468:K469" si="179">IFERROR(VLOOKUP(A468,DATA_MATRIZ,42,FALSE),"")</f>
        <v>CLIP</v>
      </c>
      <c r="L468" s="20" t="str">
        <f t="shared" ref="L468:L469" si="180">IFERROR(VLOOKUP(A468,DATA_MATRIZ,46,FALSE),"")</f>
        <v>Kennedy</v>
      </c>
      <c r="M468" s="20" t="str">
        <f t="shared" ref="M468:M469" si="181">IFERROR(VLOOKUP(A468,DATA_MATRIZ,53,FALSE),"")</f>
        <v>Suroccidente</v>
      </c>
      <c r="N468" s="20" t="str">
        <f t="shared" ref="N468:N469" si="182">IFERROR(VLOOKUP(A468,DATA_MATRIZ,60,FALSE),"")</f>
        <v>Kennedy, Tintal, Bosa, Edén, Patio Bonito, Porvenir</v>
      </c>
      <c r="O468" s="20" t="str">
        <f t="shared" ref="O468:O469" si="183">IFERROR(VLOOKUP(A468,DATA_MATRIZ,75,FALSE),"")</f>
        <v>NO</v>
      </c>
      <c r="P468" s="20" t="str">
        <f t="shared" ref="P468:P469" si="184">IFERROR(VLOOKUP(A468,DATA_MATRIZ,76,FALSE),"")</f>
        <v>No aplica</v>
      </c>
      <c r="Q468" s="20">
        <f t="shared" ref="Q468:Q469" si="185">IFERROR(VLOOKUP(A468,DATA_MATRIZ,78,FALSE),"")</f>
        <v>12</v>
      </c>
      <c r="R468" s="20">
        <f t="shared" ref="R468:R469" si="186">IFERROR(VLOOKUP(A468,DATA_MATRIZ,79,FALSE),"")</f>
        <v>1</v>
      </c>
      <c r="S468" s="20" t="str">
        <f t="shared" ref="S468:S469" si="187">IFERROR(VLOOKUP(A468,DATA_MATRIZ,85,FALSE),"")</f>
        <v>Cierre de Encuentros Ciudadanos y siguiente fase EC  (ALK)</v>
      </c>
      <c r="T468" s="20">
        <f t="shared" ref="T468:T469" si="188">COUNTA(A468)</f>
        <v>1</v>
      </c>
      <c r="U468" s="20" t="str">
        <f t="shared" ref="U468:U469" ca="1" si="189">IF(C468="", "Indefinida", (IF(C468&lt;TODAY(),"Realizada","Proyectada")))</f>
        <v>Realizada</v>
      </c>
    </row>
    <row r="469" spans="1:21" ht="49.5">
      <c r="A469" s="20">
        <v>587</v>
      </c>
      <c r="B469" s="20" t="str">
        <f t="shared" si="170"/>
        <v>Invitación a una mesa de trabajo entre instituciones del distrito y ciudadanía BIC Grupo Urbano SIU Niza Sur.</v>
      </c>
      <c r="C469" s="21">
        <f t="shared" si="171"/>
        <v>45462</v>
      </c>
      <c r="D469" s="20" t="str">
        <f t="shared" si="172"/>
        <v>OPDC</v>
      </c>
      <c r="E469" s="20" t="str">
        <f t="shared" si="173"/>
        <v>NO</v>
      </c>
      <c r="F469" s="20" t="str">
        <f t="shared" si="174"/>
        <v>Gestión del Plan Institucional de Participación Ciudadana</v>
      </c>
      <c r="G469" s="20" t="str">
        <f t="shared" si="175"/>
        <v>Presencial</v>
      </c>
      <c r="H469" s="20" t="str">
        <f t="shared" si="176"/>
        <v>Acompañar la mesa de trabajo entre instituciones del distrito y ciudadanía BIC Grupo Urbano SIU Niza Sur.</v>
      </c>
      <c r="I469" s="20" t="str">
        <f t="shared" si="177"/>
        <v>Gestión Institucional</v>
      </c>
      <c r="J469" s="20" t="str">
        <f t="shared" si="178"/>
        <v>Multiactor</v>
      </c>
      <c r="K469" s="20">
        <f t="shared" si="179"/>
        <v>0</v>
      </c>
      <c r="L469" s="20" t="str">
        <f t="shared" si="180"/>
        <v>Suba</v>
      </c>
      <c r="M469" s="20" t="str">
        <f t="shared" si="181"/>
        <v>Norte</v>
      </c>
      <c r="N469" s="20" t="str">
        <f t="shared" si="182"/>
        <v>Niza, Suba, Suba Rincón, Tibabuyes, Britalia, Torca</v>
      </c>
      <c r="O469" s="20" t="str">
        <f t="shared" si="183"/>
        <v>NO</v>
      </c>
      <c r="P469" s="20" t="str">
        <f t="shared" si="184"/>
        <v>No aplica</v>
      </c>
      <c r="Q469" s="20">
        <f t="shared" si="185"/>
        <v>26</v>
      </c>
      <c r="R469" s="20">
        <f t="shared" si="186"/>
        <v>4</v>
      </c>
      <c r="S469" s="20" t="str">
        <f t="shared" si="187"/>
        <v>Invasión del espacio público, usos comerciales no permitidos, control urbano, afectaciones ambientales en el humedal Córdoba y auditivas por el paso de aviones.</v>
      </c>
      <c r="T469" s="20">
        <f t="shared" si="188"/>
        <v>1</v>
      </c>
      <c r="U469" s="20" t="str">
        <f t="shared" ca="1" si="189"/>
        <v>Realizada</v>
      </c>
    </row>
    <row r="470" spans="1:21" ht="37.5">
      <c r="A470" s="20">
        <v>590</v>
      </c>
      <c r="B470" s="20" t="str">
        <f t="shared" ref="B470:B501" si="190">IFERROR(VLOOKUP(A470,DATA_MATRIZ,2,FALSE),"")</f>
        <v>Gestión con actores estratégicos - Localidad Antonio Nariño</v>
      </c>
      <c r="C470" s="21">
        <f t="shared" ref="C470:C501" si="191">IFERROR(VLOOKUP(A470,DATA_MATRIZ,3,FALSE),"")</f>
        <v>45462</v>
      </c>
      <c r="D470" s="20" t="str">
        <f t="shared" ref="D470:D501" si="192">IFERROR(VLOOKUP(A470,DATA_MATRIZ,5,FALSE),"")</f>
        <v>OPDC</v>
      </c>
      <c r="E470" s="20" t="str">
        <f t="shared" ref="E470:E501" si="193">IFERROR(VLOOKUP(A470,DATA_MATRIZ,9,FALSE),"")</f>
        <v>NO</v>
      </c>
      <c r="F470" s="20" t="str">
        <f t="shared" ref="F470:F501" si="194">IFERROR(VLOOKUP(A470,DATA_MATRIZ,10,FALSE),"")</f>
        <v>Gestión en Territorio</v>
      </c>
      <c r="G470" s="20" t="str">
        <f t="shared" ref="G470:G501" si="195">IFERROR(VLOOKUP(A470,DATA_MATRIZ,11,FALSE),"")</f>
        <v>Virtual</v>
      </c>
      <c r="H470" s="20" t="str">
        <f t="shared" ref="H470:H501" si="196">IFERROR(VLOOKUP(A470,DATA_MATRIZ,12,FALSE),"")</f>
        <v>Fortalecer las relaciones con los actores estrategicos del territorio para articular los procesos de participación.</v>
      </c>
      <c r="I470" s="20" t="str">
        <f t="shared" ref="I470:I501" si="197">IFERROR(VLOOKUP(A470,DATA_MATRIZ,13,FALSE),"")</f>
        <v>Gestión Institucional</v>
      </c>
      <c r="J470" s="20" t="str">
        <f t="shared" ref="J470:J501" si="198">IFERROR(VLOOKUP(A470,DATA_MATRIZ,41,FALSE),"")</f>
        <v>Comunitario</v>
      </c>
      <c r="K470" s="20" t="str">
        <f t="shared" ref="K470:K501" si="199">IFERROR(VLOOKUP(A470,DATA_MATRIZ,42,FALSE),"")</f>
        <v>CPL</v>
      </c>
      <c r="L470" s="20" t="str">
        <f t="shared" ref="L470:L501" si="200">IFERROR(VLOOKUP(A470,DATA_MATRIZ,46,FALSE),"")</f>
        <v>Antonio Nariño</v>
      </c>
      <c r="M470" s="20" t="str">
        <f t="shared" ref="M470:M501" si="201">IFERROR(VLOOKUP(A470,DATA_MATRIZ,53,FALSE),"")</f>
        <v>Centro Ampliado</v>
      </c>
      <c r="N470" s="20" t="str">
        <f t="shared" ref="N470:N501" si="202">IFERROR(VLOOKUP(A470,DATA_MATRIZ,60,FALSE),"")</f>
        <v>Restrepo</v>
      </c>
      <c r="O470" s="20" t="str">
        <f t="shared" ref="O470:O501" si="203">IFERROR(VLOOKUP(A470,DATA_MATRIZ,75,FALSE),"")</f>
        <v>NO</v>
      </c>
      <c r="P470" s="20" t="str">
        <f t="shared" ref="P470:P501" si="204">IFERROR(VLOOKUP(A470,DATA_MATRIZ,76,FALSE),"")</f>
        <v>No aplica</v>
      </c>
      <c r="Q470" s="20">
        <f t="shared" ref="Q470:Q501" si="205">IFERROR(VLOOKUP(A470,DATA_MATRIZ,78,FALSE),"")</f>
        <v>12</v>
      </c>
      <c r="R470" s="20">
        <f t="shared" ref="R470:R501" si="206">IFERROR(VLOOKUP(A470,DATA_MATRIZ,79,FALSE),"")</f>
        <v>1</v>
      </c>
      <c r="S470" s="20" t="str">
        <f t="shared" ref="S470:S501" si="207">IFERROR(VLOOKUP(A470,DATA_MATRIZ,85,FALSE),"")</f>
        <v>Complemento sobre el fortalecimiento de las relaciones con el CPL para los procesos de participación</v>
      </c>
      <c r="T470" s="20">
        <f t="shared" ref="T470:T501" si="208">COUNTA(A470)</f>
        <v>1</v>
      </c>
      <c r="U470" s="20" t="str">
        <f t="shared" ref="U470:U501" ca="1" si="209">IF(C470="", "Indefinida", (IF(C470&lt;TODAY(),"Realizada","Proyectada")))</f>
        <v>Realizada</v>
      </c>
    </row>
    <row r="471" spans="1:21" ht="74.25">
      <c r="A471" s="20">
        <v>591</v>
      </c>
      <c r="B471" s="20" t="str">
        <f t="shared" si="190"/>
        <v>Sesión Ordinaria Comisión POT CTPD</v>
      </c>
      <c r="C471" s="21">
        <f t="shared" si="191"/>
        <v>45462</v>
      </c>
      <c r="D471" s="20" t="str">
        <f t="shared" si="192"/>
        <v>INSTANCIAS</v>
      </c>
      <c r="E471" s="20" t="str">
        <f t="shared" si="193"/>
        <v>NO</v>
      </c>
      <c r="F471" s="20" t="str">
        <f t="shared" si="194"/>
        <v>CTPD (Consejo Territorial de Planeación Distrital)</v>
      </c>
      <c r="G471" s="20" t="str">
        <f t="shared" si="195"/>
        <v>Virtual</v>
      </c>
      <c r="H471" s="20" t="str">
        <f t="shared" si="196"/>
        <v>Realizar el acompañamiento como secretaria técnica a la Comisión de POT del CTPD, para realizar la aprobación del Plan de Acción de la Comisión.</v>
      </c>
      <c r="I471" s="20" t="str">
        <f t="shared" si="197"/>
        <v>Mecanismo de Seguimiento y Evaluación</v>
      </c>
      <c r="J471" s="20" t="str">
        <f t="shared" si="198"/>
        <v>Comunitario</v>
      </c>
      <c r="K471" s="20" t="str">
        <f t="shared" si="199"/>
        <v>CTPD</v>
      </c>
      <c r="L471" s="20" t="str">
        <f t="shared" si="200"/>
        <v>Distrital</v>
      </c>
      <c r="M471" s="20" t="str">
        <f t="shared" si="201"/>
        <v>Distrital</v>
      </c>
      <c r="N471" s="20" t="str">
        <f t="shared" si="202"/>
        <v>Distrital</v>
      </c>
      <c r="O471" s="20" t="str">
        <f t="shared" si="203"/>
        <v>NO</v>
      </c>
      <c r="P471" s="20" t="str">
        <f t="shared" si="204"/>
        <v>No aplica</v>
      </c>
      <c r="Q471" s="20">
        <f t="shared" si="205"/>
        <v>14</v>
      </c>
      <c r="R471" s="20">
        <f t="shared" si="206"/>
        <v>1</v>
      </c>
      <c r="S471" s="20" t="str">
        <f t="shared" si="207"/>
        <v xml:space="preserve">- Respuesta a la consejera Derly Rodríguez sobre la solicitud de anulación de su pertenencia a la Comisión POT.  - Elección nueva Coordinadora, Consejera Angela Patricia Manrique.  - Elección nueva relatora, consejera Nohora Fonseca. </v>
      </c>
      <c r="T471" s="20">
        <f t="shared" si="208"/>
        <v>1</v>
      </c>
      <c r="U471" s="20" t="str">
        <f t="shared" ca="1" si="209"/>
        <v>Realizada</v>
      </c>
    </row>
    <row r="472" spans="1:21" ht="61.5">
      <c r="A472" s="20">
        <v>595</v>
      </c>
      <c r="B472" s="20" t="str">
        <f t="shared" si="190"/>
        <v>Gestión: Devolución Región Metropolitana PDD</v>
      </c>
      <c r="C472" s="21">
        <f t="shared" si="191"/>
        <v>45463</v>
      </c>
      <c r="D472" s="20" t="str">
        <f t="shared" si="192"/>
        <v>OPDC</v>
      </c>
      <c r="E472" s="20" t="str">
        <f t="shared" si="193"/>
        <v>NO</v>
      </c>
      <c r="F472" s="20" t="str">
        <f t="shared" si="194"/>
        <v>Plan Distrital de Desarrollo</v>
      </c>
      <c r="G472" s="20" t="str">
        <f t="shared" si="195"/>
        <v>Virtual</v>
      </c>
      <c r="H472" s="20" t="str">
        <f t="shared" si="196"/>
        <v xml:space="preserve">Definir la metodología de devolución del PDD en la región metropolitana </v>
      </c>
      <c r="I472" s="20" t="str">
        <f t="shared" si="197"/>
        <v>Mecanismo de Fortalecimiento Ciudadano para la Planeación Participativa</v>
      </c>
      <c r="J472" s="20" t="str">
        <f t="shared" si="198"/>
        <v>Público</v>
      </c>
      <c r="K472" s="20" t="str">
        <f t="shared" si="199"/>
        <v>Servidores públicos (Distrital)</v>
      </c>
      <c r="L472" s="20" t="str">
        <f t="shared" si="200"/>
        <v>Distrital</v>
      </c>
      <c r="M472" s="20" t="str">
        <f t="shared" si="201"/>
        <v>Distrital</v>
      </c>
      <c r="N472" s="20" t="str">
        <f t="shared" si="202"/>
        <v>Distrital</v>
      </c>
      <c r="O472" s="20" t="str">
        <f t="shared" si="203"/>
        <v>NO</v>
      </c>
      <c r="P472" s="20" t="str">
        <f t="shared" si="204"/>
        <v>No aplica</v>
      </c>
      <c r="Q472" s="20">
        <f t="shared" si="205"/>
        <v>0</v>
      </c>
      <c r="R472" s="20">
        <f t="shared" si="206"/>
        <v>4</v>
      </c>
      <c r="S472" s="20" t="str">
        <f t="shared" si="207"/>
        <v>Metodología de devolución del PDD en la región metrópolitana</v>
      </c>
      <c r="T472" s="20">
        <f t="shared" si="208"/>
        <v>1</v>
      </c>
      <c r="U472" s="20" t="str">
        <f t="shared" ca="1" si="209"/>
        <v>Realizada</v>
      </c>
    </row>
    <row r="473" spans="1:21" ht="37.5">
      <c r="A473" s="20">
        <v>596</v>
      </c>
      <c r="B473" s="20" t="str">
        <f t="shared" si="190"/>
        <v>Gestión con actores estratégicos - Localidad Usaquen</v>
      </c>
      <c r="C473" s="21">
        <f t="shared" si="191"/>
        <v>45463</v>
      </c>
      <c r="D473" s="20" t="str">
        <f t="shared" si="192"/>
        <v>OPDC</v>
      </c>
      <c r="E473" s="20" t="str">
        <f t="shared" si="193"/>
        <v>NO</v>
      </c>
      <c r="F473" s="20" t="str">
        <f t="shared" si="194"/>
        <v>Gestión en Territorio</v>
      </c>
      <c r="G473" s="20" t="str">
        <f t="shared" si="195"/>
        <v>Presencial</v>
      </c>
      <c r="H473" s="20" t="str">
        <f t="shared" si="196"/>
        <v>Fortalecer las relaciones con los actores estratégicos del territorio para articular los procesos de participación.</v>
      </c>
      <c r="I473" s="20" t="str">
        <f t="shared" si="197"/>
        <v>Gestión Institucional</v>
      </c>
      <c r="J473" s="20" t="str">
        <f t="shared" si="198"/>
        <v>Comunitario</v>
      </c>
      <c r="K473" s="20" t="str">
        <f t="shared" si="199"/>
        <v>ASOJUNTAS - JAC</v>
      </c>
      <c r="L473" s="20" t="str">
        <f t="shared" si="200"/>
        <v>Usaquén</v>
      </c>
      <c r="M473" s="20" t="str">
        <f t="shared" si="201"/>
        <v>Norte, Ruralidad</v>
      </c>
      <c r="N473" s="20" t="str">
        <f t="shared" si="202"/>
        <v>Usaquén, Toberín, Torca, Cerros Orientales</v>
      </c>
      <c r="O473" s="20" t="str">
        <f t="shared" si="203"/>
        <v>NO</v>
      </c>
      <c r="P473" s="20" t="str">
        <f t="shared" si="204"/>
        <v>No aplica</v>
      </c>
      <c r="Q473" s="20">
        <f t="shared" si="205"/>
        <v>7</v>
      </c>
      <c r="R473" s="20">
        <f t="shared" si="206"/>
        <v>1</v>
      </c>
      <c r="S473" s="20" t="str">
        <f t="shared" si="207"/>
        <v xml:space="preserve">Acuerdo 927 de 2024, Devolución PDD, incidencia de participación en Chatico de la localidad con propuestas. </v>
      </c>
      <c r="T473" s="20">
        <f t="shared" si="208"/>
        <v>1</v>
      </c>
      <c r="U473" s="20" t="str">
        <f t="shared" ca="1" si="209"/>
        <v>Realizada</v>
      </c>
    </row>
    <row r="474" spans="1:21" ht="37.5">
      <c r="A474" s="20">
        <v>597</v>
      </c>
      <c r="B474" s="20" t="str">
        <f t="shared" si="190"/>
        <v xml:space="preserve">Gestión: Reunión Concejal Bastidas, Cabildo Muisca de Suba e IDPC sobre SSSM </v>
      </c>
      <c r="C474" s="21">
        <f t="shared" si="191"/>
        <v>45463</v>
      </c>
      <c r="D474" s="20" t="str">
        <f t="shared" si="192"/>
        <v>OPDC</v>
      </c>
      <c r="E474" s="20" t="str">
        <f t="shared" si="193"/>
        <v>SÍ</v>
      </c>
      <c r="F474" s="20" t="str">
        <f t="shared" si="194"/>
        <v>Sistema de Sitios Sagrados Muyscas</v>
      </c>
      <c r="G474" s="20" t="str">
        <f t="shared" si="195"/>
        <v>Presencial</v>
      </c>
      <c r="H474" s="20" t="str">
        <f t="shared" si="196"/>
        <v>Acompañar al IDPC a la reunión con el Concejal Oscar Bastidas en referencia al Sistema de Sitios Sagrados Muisca</v>
      </c>
      <c r="I474" s="20" t="str">
        <f t="shared" si="197"/>
        <v>Mecanismo de Seguimiento y Evaluación</v>
      </c>
      <c r="J474" s="20" t="str">
        <f t="shared" si="198"/>
        <v>Multiactor</v>
      </c>
      <c r="K474" s="20">
        <f t="shared" si="199"/>
        <v>0</v>
      </c>
      <c r="L474" s="20" t="str">
        <f t="shared" si="200"/>
        <v>Distrital</v>
      </c>
      <c r="M474" s="20" t="str">
        <f t="shared" si="201"/>
        <v>Distrital</v>
      </c>
      <c r="N474" s="20" t="str">
        <f t="shared" si="202"/>
        <v>Distrital</v>
      </c>
      <c r="O474" s="20" t="str">
        <f t="shared" si="203"/>
        <v>NO</v>
      </c>
      <c r="P474" s="20" t="str">
        <f t="shared" si="204"/>
        <v>No aplica</v>
      </c>
      <c r="Q474" s="20">
        <f t="shared" si="205"/>
        <v>10</v>
      </c>
      <c r="R474" s="20">
        <f t="shared" si="206"/>
        <v>2</v>
      </c>
      <c r="S474" s="20" t="str">
        <f t="shared" si="207"/>
        <v>Sistema de sitios sagrados; resolución 2664; Cabildos Muisca de Bogota; Sistema de Participación Territorial</v>
      </c>
      <c r="T474" s="20">
        <f t="shared" si="208"/>
        <v>1</v>
      </c>
      <c r="U474" s="20" t="str">
        <f t="shared" ca="1" si="209"/>
        <v>Realizada</v>
      </c>
    </row>
    <row r="475" spans="1:21" ht="49.5">
      <c r="A475" s="20">
        <v>600</v>
      </c>
      <c r="B475" s="20" t="str">
        <f t="shared" si="190"/>
        <v>Gestión con actores estratégicos - sector Noroccidente (CPL y ASOJUNTAS)</v>
      </c>
      <c r="C475" s="21">
        <f t="shared" si="191"/>
        <v>45464</v>
      </c>
      <c r="D475" s="20" t="str">
        <f t="shared" si="192"/>
        <v>OPDC</v>
      </c>
      <c r="E475" s="20" t="str">
        <f t="shared" si="193"/>
        <v>NO</v>
      </c>
      <c r="F475" s="20" t="str">
        <f t="shared" si="194"/>
        <v>Gestión en Territorio</v>
      </c>
      <c r="G475" s="20" t="str">
        <f t="shared" si="195"/>
        <v>Presencial</v>
      </c>
      <c r="H475" s="20" t="str">
        <f t="shared" si="196"/>
        <v>Fortalecer las relaciones con los actores estrategicos del territorio para articular los procesos de participación. CPL y ASOJUNTAS</v>
      </c>
      <c r="I475" s="20" t="str">
        <f t="shared" si="197"/>
        <v>Gestión Institucional</v>
      </c>
      <c r="J475" s="20" t="str">
        <f t="shared" si="198"/>
        <v>Público</v>
      </c>
      <c r="K475" s="20" t="str">
        <f t="shared" si="199"/>
        <v>JAL</v>
      </c>
      <c r="L475" s="20" t="str">
        <f t="shared" si="200"/>
        <v>Suba</v>
      </c>
      <c r="M475" s="20" t="str">
        <f t="shared" si="201"/>
        <v>Noroccidente, Norte</v>
      </c>
      <c r="N475" s="20" t="str">
        <f t="shared" si="202"/>
        <v>Suba, Suba Rincón, Tibabuyes, Niza, Britalia, Torca</v>
      </c>
      <c r="O475" s="20" t="str">
        <f t="shared" si="203"/>
        <v>NO</v>
      </c>
      <c r="P475" s="20" t="str">
        <f t="shared" si="204"/>
        <v>No aplica</v>
      </c>
      <c r="Q475" s="20">
        <f t="shared" si="205"/>
        <v>2</v>
      </c>
      <c r="R475" s="20">
        <f t="shared" si="206"/>
        <v>2</v>
      </c>
      <c r="S475" s="20" t="str">
        <f t="shared" si="207"/>
        <v>Devolución de PDD en el territorio Noroccidente, otros temas como POT, PIP, UPZ, UPLS</v>
      </c>
      <c r="T475" s="20">
        <f t="shared" si="208"/>
        <v>1</v>
      </c>
      <c r="U475" s="20" t="str">
        <f t="shared" ca="1" si="209"/>
        <v>Realizada</v>
      </c>
    </row>
    <row r="476" spans="1:21" ht="86.25">
      <c r="A476" s="20">
        <v>601</v>
      </c>
      <c r="B476" s="20" t="str">
        <f t="shared" si="190"/>
        <v>Acción afirmativa: Transversalización enfoque étnico Gitano-Rrom</v>
      </c>
      <c r="C476" s="21">
        <f t="shared" si="191"/>
        <v>45464</v>
      </c>
      <c r="D476" s="20" t="str">
        <f t="shared" si="192"/>
        <v>OPDC</v>
      </c>
      <c r="E476" s="20" t="str">
        <f t="shared" si="193"/>
        <v>NO</v>
      </c>
      <c r="F476" s="20" t="str">
        <f t="shared" si="194"/>
        <v>Políticas Públicas</v>
      </c>
      <c r="G476" s="20" t="str">
        <f t="shared" si="195"/>
        <v>Presencial</v>
      </c>
      <c r="H476" s="20" t="str">
        <f t="shared" si="196"/>
        <v xml:space="preserve">Socializar al equipo de la SDP alrededor de la transversalización del enfoque étnico diferencial Gitano-Rrom en los distintos procesos e instrumentos de planeación, en el marco del cumplimiento del articulo 66 del PDD 2020-2024 con el Pueblo Rrom. </v>
      </c>
      <c r="I476" s="20" t="str">
        <f t="shared" si="197"/>
        <v>Mecanismo de Fortalecimiento Ciudadano para la Planeación Participativa</v>
      </c>
      <c r="J476" s="20" t="str">
        <f t="shared" si="198"/>
        <v>Comunitario</v>
      </c>
      <c r="K476" s="20" t="str">
        <f t="shared" si="199"/>
        <v>Consejo Consultivo</v>
      </c>
      <c r="L476" s="20" t="str">
        <f t="shared" si="200"/>
        <v>Distrital</v>
      </c>
      <c r="M476" s="20" t="str">
        <f t="shared" si="201"/>
        <v>Distrital</v>
      </c>
      <c r="N476" s="20" t="str">
        <f t="shared" si="202"/>
        <v>Distrital</v>
      </c>
      <c r="O476" s="20" t="str">
        <f t="shared" si="203"/>
        <v>NO</v>
      </c>
      <c r="P476" s="20" t="str">
        <f t="shared" si="204"/>
        <v>No aplica</v>
      </c>
      <c r="Q476" s="20">
        <f t="shared" si="205"/>
        <v>6</v>
      </c>
      <c r="R476" s="20">
        <f t="shared" si="206"/>
        <v>53</v>
      </c>
      <c r="S476" s="20" t="str">
        <f t="shared" si="207"/>
        <v>Transversalización del enfoque étnico gitano para el equipo de la OPDC de la SDP</v>
      </c>
      <c r="T476" s="20">
        <f t="shared" si="208"/>
        <v>1</v>
      </c>
      <c r="U476" s="20" t="str">
        <f t="shared" ca="1" si="209"/>
        <v>Realizada</v>
      </c>
    </row>
    <row r="477" spans="1:21" ht="37.5">
      <c r="A477" s="20">
        <v>602</v>
      </c>
      <c r="B477" s="20" t="str">
        <f t="shared" si="190"/>
        <v>Gestión con actores estratégicos - Sesión JAL Sumapaz</v>
      </c>
      <c r="C477" s="21">
        <f t="shared" si="191"/>
        <v>45464</v>
      </c>
      <c r="D477" s="20" t="str">
        <f t="shared" si="192"/>
        <v>OPDC</v>
      </c>
      <c r="E477" s="20" t="str">
        <f t="shared" si="193"/>
        <v>NO</v>
      </c>
      <c r="F477" s="20" t="str">
        <f t="shared" si="194"/>
        <v>Gestión en Territorio</v>
      </c>
      <c r="G477" s="20" t="str">
        <f t="shared" si="195"/>
        <v>Virtual</v>
      </c>
      <c r="H477" s="20" t="str">
        <f t="shared" si="196"/>
        <v>Fortalecer las relaciones con los actores estrategicos del territorio para articular los procesos de participación.</v>
      </c>
      <c r="I477" s="20" t="str">
        <f t="shared" si="197"/>
        <v>Gestión Institucional</v>
      </c>
      <c r="J477" s="20" t="str">
        <f t="shared" si="198"/>
        <v>Público</v>
      </c>
      <c r="K477" s="20" t="str">
        <f t="shared" si="199"/>
        <v>JAL</v>
      </c>
      <c r="L477" s="20" t="str">
        <f t="shared" si="200"/>
        <v>Sumapaz</v>
      </c>
      <c r="M477" s="20" t="str">
        <f t="shared" si="201"/>
        <v>Ruralidad</v>
      </c>
      <c r="N477" s="20" t="str">
        <f t="shared" si="202"/>
        <v>Sumapaz</v>
      </c>
      <c r="O477" s="20" t="str">
        <f t="shared" si="203"/>
        <v>SÍ</v>
      </c>
      <c r="P477" s="20" t="str">
        <f t="shared" si="204"/>
        <v>Gestión interinstitucional</v>
      </c>
      <c r="Q477" s="20">
        <f t="shared" si="205"/>
        <v>6</v>
      </c>
      <c r="R477" s="20">
        <f t="shared" si="206"/>
        <v>2</v>
      </c>
      <c r="S477" s="20" t="str">
        <f t="shared" si="207"/>
        <v>Plan Distrital de Desarrollo</v>
      </c>
      <c r="T477" s="20">
        <f t="shared" si="208"/>
        <v>1</v>
      </c>
      <c r="U477" s="20" t="str">
        <f t="shared" ca="1" si="209"/>
        <v>Realizada</v>
      </c>
    </row>
    <row r="478" spans="1:21" ht="61.5">
      <c r="A478" s="20">
        <v>603</v>
      </c>
      <c r="B478" s="20" t="str">
        <f t="shared" si="190"/>
        <v>Sesión Extraordinaria Comisión Desarrollo Regional CTPD</v>
      </c>
      <c r="C478" s="21">
        <f t="shared" si="191"/>
        <v>45464</v>
      </c>
      <c r="D478" s="20" t="str">
        <f t="shared" si="192"/>
        <v>INSTANCIAS</v>
      </c>
      <c r="E478" s="20" t="str">
        <f t="shared" si="193"/>
        <v>NO</v>
      </c>
      <c r="F478" s="20" t="str">
        <f t="shared" si="194"/>
        <v>CTPD (Consejo Territorial de Planeación Distrital)</v>
      </c>
      <c r="G478" s="20" t="str">
        <f t="shared" si="195"/>
        <v>Virtual</v>
      </c>
      <c r="H478" s="20" t="str">
        <f t="shared" si="196"/>
        <v>Realizar el acompañamiento como secretaria técnica a la Comisión de Desarrollo Regional del CTPD, para realizar la aprobación del Plan de Acción de la Comisión.</v>
      </c>
      <c r="I478" s="20" t="str">
        <f t="shared" si="197"/>
        <v>Gestión Institucional</v>
      </c>
      <c r="J478" s="20" t="str">
        <f t="shared" si="198"/>
        <v>Comunitario</v>
      </c>
      <c r="K478" s="20" t="str">
        <f t="shared" si="199"/>
        <v>CTPD</v>
      </c>
      <c r="L478" s="20" t="str">
        <f t="shared" si="200"/>
        <v>Distrital</v>
      </c>
      <c r="M478" s="20" t="str">
        <f t="shared" si="201"/>
        <v>Distrital</v>
      </c>
      <c r="N478" s="20" t="str">
        <f t="shared" si="202"/>
        <v>Distrital</v>
      </c>
      <c r="O478" s="20" t="str">
        <f t="shared" si="203"/>
        <v>NO</v>
      </c>
      <c r="P478" s="20" t="str">
        <f t="shared" si="204"/>
        <v>No aplica</v>
      </c>
      <c r="Q478" s="20">
        <f t="shared" si="205"/>
        <v>7</v>
      </c>
      <c r="R478" s="20">
        <f t="shared" si="206"/>
        <v>1</v>
      </c>
      <c r="S478" s="20" t="str">
        <f t="shared" si="207"/>
        <v>Aprobación Plan de Acción Comisión de Desarrollo Regional</v>
      </c>
      <c r="T478" s="20">
        <f t="shared" si="208"/>
        <v>1</v>
      </c>
      <c r="U478" s="20" t="str">
        <f t="shared" ca="1" si="209"/>
        <v>Realizada</v>
      </c>
    </row>
    <row r="479" spans="1:21" ht="37.5">
      <c r="A479" s="20">
        <v>604</v>
      </c>
      <c r="B479" s="20" t="str">
        <f t="shared" si="190"/>
        <v xml:space="preserve">Sesión JAL Tunjuelito </v>
      </c>
      <c r="C479" s="21">
        <f t="shared" si="191"/>
        <v>45465</v>
      </c>
      <c r="D479" s="20" t="str">
        <f t="shared" si="192"/>
        <v>OPDC</v>
      </c>
      <c r="E479" s="20" t="str">
        <f t="shared" si="193"/>
        <v>NO</v>
      </c>
      <c r="F479" s="20" t="str">
        <f t="shared" si="194"/>
        <v>Escenarios individuales</v>
      </c>
      <c r="G479" s="20" t="str">
        <f t="shared" si="195"/>
        <v>Virtual</v>
      </c>
      <c r="H479" s="20" t="str">
        <f t="shared" si="196"/>
        <v>Atender la solicitud de acompañamiento de la JAL.</v>
      </c>
      <c r="I479" s="20" t="str">
        <f t="shared" si="197"/>
        <v>Gestión Institucional</v>
      </c>
      <c r="J479" s="20" t="str">
        <f t="shared" si="198"/>
        <v>Público</v>
      </c>
      <c r="K479" s="20" t="str">
        <f t="shared" si="199"/>
        <v>JAL</v>
      </c>
      <c r="L479" s="20" t="str">
        <f t="shared" si="200"/>
        <v>Tunjuelito</v>
      </c>
      <c r="M479" s="20" t="str">
        <f t="shared" si="201"/>
        <v>Suroriente</v>
      </c>
      <c r="N479" s="20" t="str">
        <f t="shared" si="202"/>
        <v>Tunjuelito, Arborizadora</v>
      </c>
      <c r="O479" s="20" t="str">
        <f t="shared" si="203"/>
        <v>NO</v>
      </c>
      <c r="P479" s="20" t="str">
        <f t="shared" si="204"/>
        <v>No aplica</v>
      </c>
      <c r="Q479" s="20">
        <f t="shared" si="205"/>
        <v>18</v>
      </c>
      <c r="R479" s="20">
        <f t="shared" si="206"/>
        <v>1</v>
      </c>
      <c r="S479" s="20" t="str">
        <f t="shared" si="207"/>
        <v>Proceso de construcción del Plan Local de Desarrollo; Encuentros ciudadanos; Líneas de inversión y conceptos de gasto</v>
      </c>
      <c r="T479" s="20">
        <f t="shared" si="208"/>
        <v>1</v>
      </c>
      <c r="U479" s="20" t="str">
        <f t="shared" ca="1" si="209"/>
        <v>Realizada</v>
      </c>
    </row>
    <row r="480" spans="1:21" ht="61.5">
      <c r="A480" s="20">
        <v>605</v>
      </c>
      <c r="B480" s="20" t="str">
        <f t="shared" si="190"/>
        <v>Gestión con Actores Estratégicos – Localidad Suba JAC UPL Britalia</v>
      </c>
      <c r="C480" s="21">
        <f t="shared" si="191"/>
        <v>45465</v>
      </c>
      <c r="D480" s="20" t="str">
        <f t="shared" si="192"/>
        <v>OPDC</v>
      </c>
      <c r="E480" s="20" t="str">
        <f t="shared" si="193"/>
        <v>NO</v>
      </c>
      <c r="F480" s="20" t="str">
        <f t="shared" si="194"/>
        <v>Gestión en Territorio</v>
      </c>
      <c r="G480" s="20" t="str">
        <f t="shared" si="195"/>
        <v>Presencial</v>
      </c>
      <c r="H480" s="20" t="str">
        <f t="shared" si="196"/>
        <v xml:space="preserve">Fortalecer las relaciones con los actores estrategicos del territorio para articular los procesos de participación. JAC </v>
      </c>
      <c r="I480" s="20" t="str">
        <f t="shared" si="197"/>
        <v>Mecanismo de Fortalecimiento Ciudadano para la Planeación Participativa</v>
      </c>
      <c r="J480" s="20" t="str">
        <f t="shared" si="198"/>
        <v>Comunitario</v>
      </c>
      <c r="K480" s="20" t="str">
        <f t="shared" si="199"/>
        <v>ASOJUNTAS - JAC</v>
      </c>
      <c r="L480" s="20" t="str">
        <f t="shared" si="200"/>
        <v>Suba</v>
      </c>
      <c r="M480" s="20" t="str">
        <f t="shared" si="201"/>
        <v>Noroccidente, Norte</v>
      </c>
      <c r="N480" s="20" t="str">
        <f t="shared" si="202"/>
        <v>Suba, Suba Rincón, Tibabuyes, Niza, Britalia, Torca</v>
      </c>
      <c r="O480" s="20" t="str">
        <f t="shared" si="203"/>
        <v>NO</v>
      </c>
      <c r="P480" s="20" t="str">
        <f t="shared" si="204"/>
        <v>No aplica</v>
      </c>
      <c r="Q480" s="20">
        <f t="shared" si="205"/>
        <v>11</v>
      </c>
      <c r="R480" s="20">
        <f t="shared" si="206"/>
        <v>1</v>
      </c>
      <c r="S480" s="20" t="str">
        <f t="shared" si="207"/>
        <v xml:space="preserve">Explicación de cómo leer el Plan Distrital de Desarrollo </v>
      </c>
      <c r="T480" s="20">
        <f t="shared" si="208"/>
        <v>1</v>
      </c>
      <c r="U480" s="20" t="str">
        <f t="shared" ca="1" si="209"/>
        <v>Realizada</v>
      </c>
    </row>
    <row r="481" spans="1:21" ht="98.25">
      <c r="A481" s="20">
        <v>606</v>
      </c>
      <c r="B481" s="20" t="str">
        <f t="shared" si="190"/>
        <v>Devolución Plan Distrital de Desarrollo - Comunidad Palenquera</v>
      </c>
      <c r="C481" s="21">
        <f t="shared" si="191"/>
        <v>45465</v>
      </c>
      <c r="D481" s="20" t="str">
        <f t="shared" si="192"/>
        <v>OPDC</v>
      </c>
      <c r="E481" s="20" t="str">
        <f t="shared" si="193"/>
        <v>NO</v>
      </c>
      <c r="F481" s="20" t="str">
        <f t="shared" si="194"/>
        <v>Plan Distrital de Desarrollo</v>
      </c>
      <c r="G481" s="20" t="str">
        <f t="shared" si="195"/>
        <v>Presencial</v>
      </c>
      <c r="H481" s="20" t="str">
        <f t="shared" si="196"/>
        <v>Presentar los resultados del proceso de participación de la comunidad palenquera con respecto al Acuerdo 927 del 2024 el cual adopto el Plan Distrital de Desarrollo "Bogotá Camina Segura", esto en el marco de la fase IV de la Planeación Participativa del PDD "Reconocimiento a la Acción Colectiva"</v>
      </c>
      <c r="I481" s="20" t="str">
        <f t="shared" si="197"/>
        <v>Mecanismo de Fortalecimiento Ciudadano para la Planeación Participativa</v>
      </c>
      <c r="J481" s="20" t="str">
        <f t="shared" si="198"/>
        <v>Comunitario</v>
      </c>
      <c r="K481" s="20" t="str">
        <f t="shared" si="199"/>
        <v>Consejo Consultivo</v>
      </c>
      <c r="L481" s="20" t="str">
        <f t="shared" si="200"/>
        <v>Distrital</v>
      </c>
      <c r="M481" s="20" t="str">
        <f t="shared" si="201"/>
        <v>Distrital</v>
      </c>
      <c r="N481" s="20" t="str">
        <f t="shared" si="202"/>
        <v>Distrital</v>
      </c>
      <c r="O481" s="20" t="str">
        <f t="shared" si="203"/>
        <v>SÍ</v>
      </c>
      <c r="P481" s="20" t="str">
        <f t="shared" si="204"/>
        <v>Fase IV: Reconocimiento a la Acción Colectiva</v>
      </c>
      <c r="Q481" s="20">
        <f t="shared" si="205"/>
        <v>23</v>
      </c>
      <c r="R481" s="20">
        <f t="shared" si="206"/>
        <v>5</v>
      </c>
      <c r="S481" s="20" t="str">
        <f t="shared" si="207"/>
        <v xml:space="preserve">Socialización de los resultados del proceso de participación de la comunidad palenquera en la formulación del PDD 2024-2027 en el marco de la planeación participativa del PDD. </v>
      </c>
      <c r="T481" s="20">
        <f t="shared" si="208"/>
        <v>1</v>
      </c>
      <c r="U481" s="20" t="str">
        <f t="shared" ca="1" si="209"/>
        <v>Realizada</v>
      </c>
    </row>
    <row r="482" spans="1:21" ht="61.5">
      <c r="A482" s="20">
        <v>607</v>
      </c>
      <c r="B482" s="20" t="str">
        <f t="shared" si="190"/>
        <v xml:space="preserve">Gestión con Actores Estratégicos – Localidad Usaquén CLSYS UPL Usaquén </v>
      </c>
      <c r="C482" s="21">
        <f t="shared" si="191"/>
        <v>45467</v>
      </c>
      <c r="D482" s="20" t="str">
        <f t="shared" si="192"/>
        <v>OPDC</v>
      </c>
      <c r="E482" s="20" t="str">
        <f t="shared" si="193"/>
        <v>NO</v>
      </c>
      <c r="F482" s="20" t="str">
        <f t="shared" si="194"/>
        <v>Gestión en Territorio</v>
      </c>
      <c r="G482" s="20" t="str">
        <f t="shared" si="195"/>
        <v>Presencial</v>
      </c>
      <c r="H482" s="20" t="str">
        <f t="shared" si="196"/>
        <v xml:space="preserve">Fortalecer las relaciones con los actores estrategicos del territorio para articular los procesos de participación.CLSYS UPL Usaquén </v>
      </c>
      <c r="I482" s="20" t="str">
        <f t="shared" si="197"/>
        <v>Mecanismo de Fortalecimiento Ciudadano para la Planeación Participativa</v>
      </c>
      <c r="J482" s="20" t="str">
        <f t="shared" si="198"/>
        <v>Comunitario</v>
      </c>
      <c r="K482" s="20" t="str">
        <f t="shared" si="199"/>
        <v>Consejo Local</v>
      </c>
      <c r="L482" s="20" t="str">
        <f t="shared" si="200"/>
        <v>Usaquén</v>
      </c>
      <c r="M482" s="20" t="str">
        <f t="shared" si="201"/>
        <v>Norte</v>
      </c>
      <c r="N482" s="20" t="str">
        <f t="shared" si="202"/>
        <v>Usaquén, Toberín, Torca, Cerros Orientales</v>
      </c>
      <c r="O482" s="20" t="str">
        <f t="shared" si="203"/>
        <v>NO</v>
      </c>
      <c r="P482" s="20" t="str">
        <f t="shared" si="204"/>
        <v>No aplica</v>
      </c>
      <c r="Q482" s="20">
        <f t="shared" si="205"/>
        <v>9</v>
      </c>
      <c r="R482" s="20">
        <f t="shared" si="206"/>
        <v>1</v>
      </c>
      <c r="S482" s="20" t="str">
        <f t="shared" si="207"/>
        <v>Explicación del PDD, de los documentos que lo componen y su manera para entenderlos (Acuerdo 927 de 2024, ABC PDD, Metas de producto)</v>
      </c>
      <c r="T482" s="20">
        <f t="shared" si="208"/>
        <v>1</v>
      </c>
      <c r="U482" s="20" t="str">
        <f t="shared" ca="1" si="209"/>
        <v>Realizada</v>
      </c>
    </row>
    <row r="483" spans="1:21" ht="61.5">
      <c r="A483" s="20">
        <v>608</v>
      </c>
      <c r="B483" s="20" t="str">
        <f t="shared" si="190"/>
        <v>Gestión con actores estratégicos - UPL Tintal (JAC y Lideres ambientales)</v>
      </c>
      <c r="C483" s="21">
        <f t="shared" si="191"/>
        <v>45467</v>
      </c>
      <c r="D483" s="20" t="str">
        <f t="shared" si="192"/>
        <v>OPDC</v>
      </c>
      <c r="E483" s="20" t="str">
        <f t="shared" si="193"/>
        <v>NO</v>
      </c>
      <c r="F483" s="20" t="str">
        <f t="shared" si="194"/>
        <v>Gestión en Territorio</v>
      </c>
      <c r="G483" s="20" t="str">
        <f t="shared" si="195"/>
        <v>Presencial</v>
      </c>
      <c r="H483" s="20" t="str">
        <f t="shared" si="196"/>
        <v>Fortalecer las relaciones con los actores estrategicos del territorio para articular los procesos de participación.  JAC y líder ambiental</v>
      </c>
      <c r="I483" s="20" t="str">
        <f t="shared" si="197"/>
        <v>Mecanismo de Fortalecimiento Ciudadano para la Planeación Participativa</v>
      </c>
      <c r="J483" s="20" t="str">
        <f t="shared" si="198"/>
        <v>Multiactor</v>
      </c>
      <c r="K483" s="20">
        <f t="shared" si="199"/>
        <v>0</v>
      </c>
      <c r="L483" s="20" t="str">
        <f t="shared" si="200"/>
        <v>Kennedy</v>
      </c>
      <c r="M483" s="20" t="str">
        <f t="shared" si="201"/>
        <v>Suroccidente</v>
      </c>
      <c r="N483" s="20" t="str">
        <f t="shared" si="202"/>
        <v>Kennedy, Tintal, Bosa, Edén, Porvenir, Patio Bonito</v>
      </c>
      <c r="O483" s="20" t="str">
        <f t="shared" si="203"/>
        <v>NO</v>
      </c>
      <c r="P483" s="20" t="str">
        <f t="shared" si="204"/>
        <v>No aplica</v>
      </c>
      <c r="Q483" s="20">
        <f t="shared" si="205"/>
        <v>5</v>
      </c>
      <c r="R483" s="20">
        <f t="shared" si="206"/>
        <v>3</v>
      </c>
      <c r="S483" s="20" t="str">
        <f t="shared" si="207"/>
        <v>Acercamiento con lideres de la JAC Patio bonito 2, Organizaciones de PH de la UPL Tintal, JAC Aloha y Lider ambiental. para invitarles a la devolucion ciudadana del sector suroccidente</v>
      </c>
      <c r="T483" s="20">
        <f t="shared" si="208"/>
        <v>1</v>
      </c>
      <c r="U483" s="20" t="str">
        <f t="shared" ca="1" si="209"/>
        <v>Realizada</v>
      </c>
    </row>
    <row r="484" spans="1:21" ht="110.25">
      <c r="A484" s="20">
        <v>609</v>
      </c>
      <c r="B484" s="20" t="str">
        <f t="shared" si="190"/>
        <v xml:space="preserve">Gestión: citación referentes étnicos - Concejal Oscar Bastidas </v>
      </c>
      <c r="C484" s="21">
        <f t="shared" si="191"/>
        <v>45467</v>
      </c>
      <c r="D484" s="20" t="str">
        <f t="shared" si="192"/>
        <v>OPDC</v>
      </c>
      <c r="E484" s="20" t="str">
        <f t="shared" si="193"/>
        <v>NO</v>
      </c>
      <c r="F484" s="20" t="str">
        <f t="shared" si="194"/>
        <v>Plan Distrital de Desarrollo</v>
      </c>
      <c r="G484" s="20" t="str">
        <f t="shared" si="195"/>
        <v>Presencial</v>
      </c>
      <c r="H484" s="20" t="str">
        <f t="shared" si="196"/>
        <v>Atender una citación del Concejal Oscar Bastidas con la finalidad de socializar los artículos y metas étnicas incluidas en el Acuerdo Distrital No. 927 de 2024, por medio del cual se adopta el “Plan Distrital de Desarrollo 2024-2027 “Bogotá Camina Segura”, a fin de establecer una ruta de implementación y seguimiento.</v>
      </c>
      <c r="I484" s="20" t="str">
        <f t="shared" si="197"/>
        <v>Mecanismo de Seguimiento y Evaluación</v>
      </c>
      <c r="J484" s="20" t="str">
        <f t="shared" si="198"/>
        <v>Público</v>
      </c>
      <c r="K484" s="20" t="str">
        <f t="shared" si="199"/>
        <v>Concejo de Bogotá</v>
      </c>
      <c r="L484" s="20" t="str">
        <f t="shared" si="200"/>
        <v>Distrital</v>
      </c>
      <c r="M484" s="20" t="str">
        <f t="shared" si="201"/>
        <v>Distrital</v>
      </c>
      <c r="N484" s="20" t="str">
        <f t="shared" si="202"/>
        <v>Distrital</v>
      </c>
      <c r="O484" s="20" t="str">
        <f t="shared" si="203"/>
        <v>NO</v>
      </c>
      <c r="P484" s="20" t="str">
        <f t="shared" si="204"/>
        <v>No aplica</v>
      </c>
      <c r="Q484" s="20">
        <f t="shared" si="205"/>
        <v>17</v>
      </c>
      <c r="R484" s="20">
        <f t="shared" si="206"/>
        <v>1</v>
      </c>
      <c r="S484" s="20" t="str">
        <f t="shared" si="207"/>
        <v>Socialización de los artículos y metas con referencias étnicas en el Acuerdo 927 de 2024 mediante el cual se adoptó el PDD "Bogotá Camina Segura"</v>
      </c>
      <c r="T484" s="20">
        <f t="shared" si="208"/>
        <v>1</v>
      </c>
      <c r="U484" s="20" t="str">
        <f t="shared" ca="1" si="209"/>
        <v>Realizada</v>
      </c>
    </row>
    <row r="485" spans="1:21" ht="61.5">
      <c r="A485" s="20">
        <v>610</v>
      </c>
      <c r="B485" s="20" t="str">
        <f t="shared" si="190"/>
        <v>Gestión con Actores Estratégicos – Localidad Usaquen (JAC TOBERÍN)</v>
      </c>
      <c r="C485" s="21">
        <f t="shared" si="191"/>
        <v>45467</v>
      </c>
      <c r="D485" s="20" t="str">
        <f t="shared" si="192"/>
        <v>OPDC</v>
      </c>
      <c r="E485" s="20" t="str">
        <f t="shared" si="193"/>
        <v>NO</v>
      </c>
      <c r="F485" s="20" t="str">
        <f t="shared" si="194"/>
        <v>Gestión en Territorio</v>
      </c>
      <c r="G485" s="20" t="str">
        <f t="shared" si="195"/>
        <v>Presencial</v>
      </c>
      <c r="H485" s="20" t="str">
        <f t="shared" si="196"/>
        <v>Fortalecer las relaciones con los actores estratégicos del territorio para articular los procesos de participación. JAC Toberin</v>
      </c>
      <c r="I485" s="20" t="str">
        <f t="shared" si="197"/>
        <v>Mecanismo de Fortalecimiento Ciudadano para la Planeación Participativa</v>
      </c>
      <c r="J485" s="20" t="str">
        <f t="shared" si="198"/>
        <v>Comunitario</v>
      </c>
      <c r="K485" s="20" t="str">
        <f t="shared" si="199"/>
        <v>ASOJUNTAS - JAC</v>
      </c>
      <c r="L485" s="20" t="str">
        <f t="shared" si="200"/>
        <v>Usaquén</v>
      </c>
      <c r="M485" s="20" t="str">
        <f t="shared" si="201"/>
        <v>Norte</v>
      </c>
      <c r="N485" s="20" t="str">
        <f t="shared" si="202"/>
        <v>Usaquén, Toberín, Torca, Cerros Orientales</v>
      </c>
      <c r="O485" s="20" t="str">
        <f t="shared" si="203"/>
        <v>NO</v>
      </c>
      <c r="P485" s="20" t="str">
        <f t="shared" si="204"/>
        <v>No aplica</v>
      </c>
      <c r="Q485" s="20">
        <f t="shared" si="205"/>
        <v>4</v>
      </c>
      <c r="R485" s="20">
        <f t="shared" si="206"/>
        <v>1</v>
      </c>
      <c r="S485" s="20" t="str">
        <f t="shared" si="207"/>
        <v xml:space="preserve">Acuerdo 927 de 2024, Devolución PDD, incidencia de participación en Chatico de la localidad con propuestas. </v>
      </c>
      <c r="T485" s="20">
        <f t="shared" si="208"/>
        <v>1</v>
      </c>
      <c r="U485" s="20" t="str">
        <f t="shared" ca="1" si="209"/>
        <v>Realizada</v>
      </c>
    </row>
    <row r="486" spans="1:21" ht="61.5">
      <c r="A486" s="20">
        <v>611</v>
      </c>
      <c r="B486" s="20" t="str">
        <f t="shared" si="190"/>
        <v>Gestión con actores estratégicos - Localidad Kennedy (JAC y fundación Unilideres)</v>
      </c>
      <c r="C486" s="21">
        <f t="shared" si="191"/>
        <v>45467</v>
      </c>
      <c r="D486" s="20" t="str">
        <f t="shared" si="192"/>
        <v>OPDC</v>
      </c>
      <c r="E486" s="20" t="str">
        <f t="shared" si="193"/>
        <v>NO</v>
      </c>
      <c r="F486" s="20" t="str">
        <f t="shared" si="194"/>
        <v>Gestión en Territorio</v>
      </c>
      <c r="G486" s="20" t="str">
        <f t="shared" si="195"/>
        <v>Presencial</v>
      </c>
      <c r="H486" s="20" t="str">
        <f t="shared" si="196"/>
        <v>Fortalecer las relaciones con los actores estrategicos del territorio para articular los procesos de participación. JAC y fundación Unilideres</v>
      </c>
      <c r="I486" s="20" t="str">
        <f t="shared" si="197"/>
        <v>Mecanismo de Fortalecimiento Ciudadano para la Planeación Participativa</v>
      </c>
      <c r="J486" s="20" t="str">
        <f t="shared" si="198"/>
        <v>Multiactor</v>
      </c>
      <c r="K486" s="20">
        <f t="shared" si="199"/>
        <v>0</v>
      </c>
      <c r="L486" s="20" t="str">
        <f t="shared" si="200"/>
        <v>Kennedy</v>
      </c>
      <c r="M486" s="20" t="str">
        <f t="shared" si="201"/>
        <v>Suroccidente</v>
      </c>
      <c r="N486" s="20" t="str">
        <f t="shared" si="202"/>
        <v>Kennedy, Tintal, Bosa, Edén, Porvenir, Patio Bonito</v>
      </c>
      <c r="O486" s="20" t="str">
        <f t="shared" si="203"/>
        <v>NO</v>
      </c>
      <c r="P486" s="20" t="str">
        <f t="shared" si="204"/>
        <v>No aplica</v>
      </c>
      <c r="Q486" s="20">
        <f t="shared" si="205"/>
        <v>9</v>
      </c>
      <c r="R486" s="20">
        <f t="shared" si="206"/>
        <v>3</v>
      </c>
      <c r="S486" s="20" t="str">
        <f t="shared" si="207"/>
        <v xml:space="preserve">Plan distrital de desarrollo, invitación a devolución sector suroccidente </v>
      </c>
      <c r="T486" s="20">
        <f t="shared" si="208"/>
        <v>1</v>
      </c>
      <c r="U486" s="20" t="str">
        <f t="shared" ca="1" si="209"/>
        <v>Realizada</v>
      </c>
    </row>
    <row r="487" spans="1:21" ht="49.5">
      <c r="A487" s="20">
        <v>613</v>
      </c>
      <c r="B487" s="20" t="str">
        <f t="shared" si="190"/>
        <v>Comision POT CTPD</v>
      </c>
      <c r="C487" s="21">
        <f t="shared" si="191"/>
        <v>45467</v>
      </c>
      <c r="D487" s="20" t="str">
        <f t="shared" si="192"/>
        <v>INSTANCIAS</v>
      </c>
      <c r="E487" s="20" t="str">
        <f t="shared" si="193"/>
        <v>NO</v>
      </c>
      <c r="F487" s="20" t="str">
        <f t="shared" si="194"/>
        <v>CTPD (Consejo Territorial de Planeación Distrital)</v>
      </c>
      <c r="G487" s="20" t="str">
        <f t="shared" si="195"/>
        <v>Virtual</v>
      </c>
      <c r="H487" s="20" t="str">
        <f t="shared" si="196"/>
        <v>Revisar y Aprobar el Plan de Acción</v>
      </c>
      <c r="I487" s="20" t="str">
        <f t="shared" si="197"/>
        <v>Mecanismo de Seguimiento y Evaluación</v>
      </c>
      <c r="J487" s="20" t="str">
        <f t="shared" si="198"/>
        <v>Comunitario</v>
      </c>
      <c r="K487" s="20" t="str">
        <f t="shared" si="199"/>
        <v>CTPD</v>
      </c>
      <c r="L487" s="20" t="str">
        <f t="shared" si="200"/>
        <v>Distrital</v>
      </c>
      <c r="M487" s="20" t="str">
        <f t="shared" si="201"/>
        <v>Distrital</v>
      </c>
      <c r="N487" s="20" t="str">
        <f t="shared" si="202"/>
        <v>Distrital</v>
      </c>
      <c r="O487" s="20" t="str">
        <f t="shared" si="203"/>
        <v>NO</v>
      </c>
      <c r="P487" s="20" t="str">
        <f t="shared" si="204"/>
        <v>No aplica</v>
      </c>
      <c r="Q487" s="20">
        <f t="shared" si="205"/>
        <v>11</v>
      </c>
      <c r="R487" s="20">
        <f t="shared" si="206"/>
        <v>1</v>
      </c>
      <c r="S487" s="20" t="str">
        <f t="shared" si="207"/>
        <v>Formulación y Aprobación del Plan de Acción de la Comisión POT del CTPD</v>
      </c>
      <c r="T487" s="20">
        <f t="shared" si="208"/>
        <v>1</v>
      </c>
      <c r="U487" s="20" t="str">
        <f t="shared" ca="1" si="209"/>
        <v>Realizada</v>
      </c>
    </row>
    <row r="488" spans="1:21" ht="61.5">
      <c r="A488" s="20">
        <v>614</v>
      </c>
      <c r="B488" s="20" t="str">
        <f t="shared" si="190"/>
        <v>Gestión con actores estratégicos - Localidad Antonio Nariño JAC</v>
      </c>
      <c r="C488" s="21">
        <f t="shared" si="191"/>
        <v>45468</v>
      </c>
      <c r="D488" s="20" t="str">
        <f t="shared" si="192"/>
        <v>OPDC</v>
      </c>
      <c r="E488" s="20" t="str">
        <f t="shared" si="193"/>
        <v>NO</v>
      </c>
      <c r="F488" s="20" t="str">
        <f t="shared" si="194"/>
        <v>Gestión en Territorio</v>
      </c>
      <c r="G488" s="20" t="str">
        <f t="shared" si="195"/>
        <v>Presencial</v>
      </c>
      <c r="H488" s="20" t="str">
        <f t="shared" si="196"/>
        <v>Fortalecer las relaciones con los actores estratégicos del territorio para articular los procesos de participación. JAC</v>
      </c>
      <c r="I488" s="20" t="str">
        <f t="shared" si="197"/>
        <v>Mecanismo de Fortalecimiento Ciudadano para la Planeación Participativa</v>
      </c>
      <c r="J488" s="20" t="str">
        <f t="shared" si="198"/>
        <v>Comunitario</v>
      </c>
      <c r="K488" s="20" t="str">
        <f t="shared" si="199"/>
        <v>ASOJUNTAS - JAC</v>
      </c>
      <c r="L488" s="20" t="str">
        <f t="shared" si="200"/>
        <v>Antonio Nariño</v>
      </c>
      <c r="M488" s="20" t="str">
        <f t="shared" si="201"/>
        <v>Centro Ampliado</v>
      </c>
      <c r="N488" s="20" t="str">
        <f t="shared" si="202"/>
        <v>Restrepo</v>
      </c>
      <c r="O488" s="20" t="str">
        <f t="shared" si="203"/>
        <v>NO</v>
      </c>
      <c r="P488" s="20" t="str">
        <f t="shared" si="204"/>
        <v>No aplica</v>
      </c>
      <c r="Q488" s="20">
        <f t="shared" si="205"/>
        <v>4</v>
      </c>
      <c r="R488" s="20">
        <f t="shared" si="206"/>
        <v>1</v>
      </c>
      <c r="S488" s="20" t="str">
        <f t="shared" si="207"/>
        <v>Fortalecimiento de relaciones de participación con la JAC y socialización de actividades próximas de participación referentes al plan de desarrollo</v>
      </c>
      <c r="T488" s="20">
        <f t="shared" si="208"/>
        <v>1</v>
      </c>
      <c r="U488" s="20" t="str">
        <f t="shared" ca="1" si="209"/>
        <v>Realizada</v>
      </c>
    </row>
    <row r="489" spans="1:21" ht="37.5">
      <c r="A489" s="20">
        <v>616</v>
      </c>
      <c r="B489" s="20" t="str">
        <f t="shared" si="190"/>
        <v>Mesa de Seguimiento Ágora Metropolitana RMBC</v>
      </c>
      <c r="C489" s="21">
        <f t="shared" si="191"/>
        <v>45468</v>
      </c>
      <c r="D489" s="20" t="str">
        <f t="shared" si="192"/>
        <v>OPDC</v>
      </c>
      <c r="E489" s="20" t="str">
        <f t="shared" si="193"/>
        <v>NO</v>
      </c>
      <c r="F489" s="20" t="str">
        <f t="shared" si="194"/>
        <v>Reglamentación de Ágora Metropolitana</v>
      </c>
      <c r="G489" s="20" t="str">
        <f t="shared" si="195"/>
        <v>Presencial</v>
      </c>
      <c r="H489" s="20" t="str">
        <f t="shared" si="196"/>
        <v>Reglamentacion Ágora Metropolitana</v>
      </c>
      <c r="I489" s="20" t="str">
        <f t="shared" si="197"/>
        <v>Mecanismo de Seguimiento y Evaluación</v>
      </c>
      <c r="J489" s="20" t="str">
        <f t="shared" si="198"/>
        <v>Público</v>
      </c>
      <c r="K489" s="20" t="str">
        <f t="shared" si="199"/>
        <v>Servidores públicos (Distrital)</v>
      </c>
      <c r="L489" s="20" t="str">
        <f t="shared" si="200"/>
        <v>Distrital</v>
      </c>
      <c r="M489" s="20" t="str">
        <f t="shared" si="201"/>
        <v>Distrital</v>
      </c>
      <c r="N489" s="20" t="str">
        <f t="shared" si="202"/>
        <v>Distrital</v>
      </c>
      <c r="O489" s="20" t="str">
        <f t="shared" si="203"/>
        <v>NO</v>
      </c>
      <c r="P489" s="20" t="str">
        <f t="shared" si="204"/>
        <v>No aplica</v>
      </c>
      <c r="Q489" s="20">
        <f t="shared" si="205"/>
        <v>6</v>
      </c>
      <c r="R489" s="20">
        <f t="shared" si="206"/>
        <v>6</v>
      </c>
      <c r="S489" s="20" t="str">
        <f t="shared" si="207"/>
        <v xml:space="preserve">Propuesta reglamentacion Agora metropolitana </v>
      </c>
      <c r="T489" s="20">
        <f t="shared" si="208"/>
        <v>1</v>
      </c>
      <c r="U489" s="20" t="str">
        <f t="shared" ca="1" si="209"/>
        <v>Realizada</v>
      </c>
    </row>
    <row r="490" spans="1:21" ht="61.5">
      <c r="A490" s="20">
        <v>617</v>
      </c>
      <c r="B490" s="20" t="str">
        <f t="shared" si="190"/>
        <v>Gestión con actores estratégicos - Localidad Candelaria JAC</v>
      </c>
      <c r="C490" s="21">
        <f t="shared" si="191"/>
        <v>45468</v>
      </c>
      <c r="D490" s="20" t="str">
        <f t="shared" si="192"/>
        <v>OPDC</v>
      </c>
      <c r="E490" s="20" t="str">
        <f t="shared" si="193"/>
        <v>NO</v>
      </c>
      <c r="F490" s="20" t="str">
        <f t="shared" si="194"/>
        <v>Gestión en Territorio</v>
      </c>
      <c r="G490" s="20" t="str">
        <f t="shared" si="195"/>
        <v>Presencial</v>
      </c>
      <c r="H490" s="20" t="str">
        <f t="shared" si="196"/>
        <v>Fortalecer las relaciones con los actores estratégicos del territorio para articular los procesos de participación. JAC</v>
      </c>
      <c r="I490" s="20" t="str">
        <f t="shared" si="197"/>
        <v>Mecanismo de Fortalecimiento Ciudadano para la Planeación Participativa</v>
      </c>
      <c r="J490" s="20" t="str">
        <f t="shared" si="198"/>
        <v>Comunitario</v>
      </c>
      <c r="K490" s="20" t="str">
        <f t="shared" si="199"/>
        <v>ASOJUNTAS - JAC</v>
      </c>
      <c r="L490" s="20" t="str">
        <f t="shared" si="200"/>
        <v>La Candelaria</v>
      </c>
      <c r="M490" s="20" t="str">
        <f t="shared" si="201"/>
        <v>Centro Ampliado</v>
      </c>
      <c r="N490" s="20" t="str">
        <f t="shared" si="202"/>
        <v>Centro Histórico</v>
      </c>
      <c r="O490" s="20" t="str">
        <f t="shared" si="203"/>
        <v>NO</v>
      </c>
      <c r="P490" s="20" t="str">
        <f t="shared" si="204"/>
        <v>No aplica</v>
      </c>
      <c r="Q490" s="20">
        <f t="shared" si="205"/>
        <v>3</v>
      </c>
      <c r="R490" s="20">
        <f t="shared" si="206"/>
        <v>1</v>
      </c>
      <c r="S490" s="20" t="str">
        <f t="shared" si="207"/>
        <v>Fortalecimiento de relaciones de participación con la JAC y socialización de actividades próximas de participación referentes al plan de desarrollo</v>
      </c>
      <c r="T490" s="20">
        <f t="shared" si="208"/>
        <v>1</v>
      </c>
      <c r="U490" s="20" t="str">
        <f t="shared" ca="1" si="209"/>
        <v>Realizada</v>
      </c>
    </row>
    <row r="491" spans="1:21" ht="49.5">
      <c r="A491" s="20">
        <v>618</v>
      </c>
      <c r="B491" s="20" t="str">
        <f t="shared" si="190"/>
        <v>CLIP Los Mártires</v>
      </c>
      <c r="C491" s="21">
        <f t="shared" si="191"/>
        <v>45468</v>
      </c>
      <c r="D491" s="20" t="str">
        <f t="shared" si="192"/>
        <v>INSTANCIAS</v>
      </c>
      <c r="E491" s="20" t="str">
        <f t="shared" si="193"/>
        <v>NO</v>
      </c>
      <c r="F491" s="20" t="str">
        <f t="shared" si="194"/>
        <v>CLIP (Comisión Local Intersectorial de Participación)</v>
      </c>
      <c r="G491" s="20" t="str">
        <f t="shared" si="195"/>
        <v>Presencial</v>
      </c>
      <c r="H491" s="20" t="str">
        <f t="shared" si="196"/>
        <v>Acompañar la sesión de la CLIP, para la articulación de los esfuerzos institucionales de participación en la localidad de los Mártires.</v>
      </c>
      <c r="I491" s="20" t="str">
        <f t="shared" si="197"/>
        <v>Gestión Institucional</v>
      </c>
      <c r="J491" s="20" t="str">
        <f t="shared" si="198"/>
        <v>Público</v>
      </c>
      <c r="K491" s="20" t="str">
        <f t="shared" si="199"/>
        <v>CLIP</v>
      </c>
      <c r="L491" s="20" t="str">
        <f t="shared" si="200"/>
        <v>Los Mártires</v>
      </c>
      <c r="M491" s="20" t="str">
        <f t="shared" si="201"/>
        <v>Centro Ampliado</v>
      </c>
      <c r="N491" s="20" t="str">
        <f t="shared" si="202"/>
        <v>Centro Histórico</v>
      </c>
      <c r="O491" s="20" t="str">
        <f t="shared" si="203"/>
        <v>NO</v>
      </c>
      <c r="P491" s="20" t="str">
        <f t="shared" si="204"/>
        <v>No aplica</v>
      </c>
      <c r="Q491" s="20">
        <f t="shared" si="205"/>
        <v>13</v>
      </c>
      <c r="R491" s="20">
        <f t="shared" si="206"/>
        <v>1</v>
      </c>
      <c r="S491" s="20" t="str">
        <f t="shared" si="207"/>
        <v xml:space="preserve">Fase 1 Presupuestos Participativos - Cierre de Encuentros Ciudadanos - Mesas de Concertación Local,  presentación Política Pública </v>
      </c>
      <c r="T491" s="20">
        <f t="shared" si="208"/>
        <v>1</v>
      </c>
      <c r="U491" s="20" t="str">
        <f t="shared" ca="1" si="209"/>
        <v>Realizada</v>
      </c>
    </row>
    <row r="492" spans="1:21" ht="61.5">
      <c r="A492" s="20">
        <v>619</v>
      </c>
      <c r="B492" s="20" t="str">
        <f t="shared" si="190"/>
        <v>Gestión actores estratégicos Noroccidente - Asojuntas Suba</v>
      </c>
      <c r="C492" s="21">
        <f t="shared" si="191"/>
        <v>45468</v>
      </c>
      <c r="D492" s="20" t="str">
        <f t="shared" si="192"/>
        <v>OPDC</v>
      </c>
      <c r="E492" s="20" t="str">
        <f t="shared" si="193"/>
        <v>NO</v>
      </c>
      <c r="F492" s="20" t="str">
        <f t="shared" si="194"/>
        <v>Gestión en Territorio</v>
      </c>
      <c r="G492" s="20" t="str">
        <f t="shared" si="195"/>
        <v>Presencial</v>
      </c>
      <c r="H492" s="20" t="str">
        <f t="shared" si="196"/>
        <v>Fortalecer las relaciones con los actores estratégicos del territorio para articular los procesos de participación. Asojuntas</v>
      </c>
      <c r="I492" s="20" t="str">
        <f t="shared" si="197"/>
        <v>Mecanismo de Fortalecimiento Ciudadano para la Planeación Participativa</v>
      </c>
      <c r="J492" s="20" t="str">
        <f t="shared" si="198"/>
        <v>Comunitario</v>
      </c>
      <c r="K492" s="20" t="str">
        <f t="shared" si="199"/>
        <v>ASOJUNTAS - JAC</v>
      </c>
      <c r="L492" s="20" t="str">
        <f t="shared" si="200"/>
        <v>Suba</v>
      </c>
      <c r="M492" s="20" t="str">
        <f t="shared" si="201"/>
        <v>Norte</v>
      </c>
      <c r="N492" s="20" t="str">
        <f t="shared" si="202"/>
        <v>Suba, Suba Rincón, Tibabuyes, Niza, Britalia, Torca</v>
      </c>
      <c r="O492" s="20" t="str">
        <f t="shared" si="203"/>
        <v>NO</v>
      </c>
      <c r="P492" s="20" t="str">
        <f t="shared" si="204"/>
        <v>No aplica</v>
      </c>
      <c r="Q492" s="20">
        <f t="shared" si="205"/>
        <v>1</v>
      </c>
      <c r="R492" s="20">
        <f t="shared" si="206"/>
        <v>2</v>
      </c>
      <c r="S492" s="20" t="str">
        <f t="shared" si="207"/>
        <v xml:space="preserve">Plan Distrital de desarrollo, temas álgidos en la UPL Suba, Rincon de Suba y Tibabuyes, Alo, espacio publico, vias y equipamentos. </v>
      </c>
      <c r="T492" s="20">
        <f t="shared" si="208"/>
        <v>1</v>
      </c>
      <c r="U492" s="20" t="str">
        <f t="shared" ca="1" si="209"/>
        <v>Realizada</v>
      </c>
    </row>
    <row r="493" spans="1:21" ht="61.5">
      <c r="A493" s="20">
        <v>620</v>
      </c>
      <c r="B493" s="20" t="str">
        <f t="shared" si="190"/>
        <v>Gestión con Actores Estratégicos – Localidad Usaquén CPL</v>
      </c>
      <c r="C493" s="21">
        <f t="shared" si="191"/>
        <v>45468</v>
      </c>
      <c r="D493" s="20" t="str">
        <f t="shared" si="192"/>
        <v>OPDC</v>
      </c>
      <c r="E493" s="20" t="str">
        <f t="shared" si="193"/>
        <v>NO</v>
      </c>
      <c r="F493" s="20" t="str">
        <f t="shared" si="194"/>
        <v>Gestión en Territorio</v>
      </c>
      <c r="G493" s="20" t="str">
        <f t="shared" si="195"/>
        <v>Virtual</v>
      </c>
      <c r="H493" s="20" t="str">
        <f t="shared" si="196"/>
        <v>Fortalecer las relaciones con los actores estrategicos del territorio para articular los procesos de participación, CPL Usaquén</v>
      </c>
      <c r="I493" s="20" t="str">
        <f t="shared" si="197"/>
        <v>Mecanismo de Fortalecimiento Ciudadano para la Planeación Participativa</v>
      </c>
      <c r="J493" s="20" t="str">
        <f t="shared" si="198"/>
        <v>Comunitario</v>
      </c>
      <c r="K493" s="20" t="str">
        <f t="shared" si="199"/>
        <v>CPL</v>
      </c>
      <c r="L493" s="20" t="str">
        <f t="shared" si="200"/>
        <v>Usaquén</v>
      </c>
      <c r="M493" s="20" t="str">
        <f t="shared" si="201"/>
        <v>Norte</v>
      </c>
      <c r="N493" s="20" t="str">
        <f t="shared" si="202"/>
        <v>Usaquén, Toberín, Torca, Cerros Orientales</v>
      </c>
      <c r="O493" s="20" t="str">
        <f t="shared" si="203"/>
        <v>NO</v>
      </c>
      <c r="P493" s="20" t="str">
        <f t="shared" si="204"/>
        <v>No aplica</v>
      </c>
      <c r="Q493" s="20">
        <f t="shared" si="205"/>
        <v>13</v>
      </c>
      <c r="R493" s="20">
        <f t="shared" si="206"/>
        <v>2</v>
      </c>
      <c r="S493" s="20" t="str">
        <f t="shared" si="207"/>
        <v>Explicación de los documentos integrales que componen el PDD y descripción de cómo leerlo</v>
      </c>
      <c r="T493" s="20">
        <f t="shared" si="208"/>
        <v>1</v>
      </c>
      <c r="U493" s="20" t="str">
        <f t="shared" ca="1" si="209"/>
        <v>Realizada</v>
      </c>
    </row>
    <row r="494" spans="1:21" ht="208.5">
      <c r="A494" s="20">
        <v>621</v>
      </c>
      <c r="B494" s="20" t="str">
        <f t="shared" si="190"/>
        <v>Comité técnico de seguimiento al convenio CTPD</v>
      </c>
      <c r="C494" s="21">
        <f t="shared" si="191"/>
        <v>45468</v>
      </c>
      <c r="D494" s="20" t="str">
        <f t="shared" si="192"/>
        <v>OPDC</v>
      </c>
      <c r="E494" s="20" t="str">
        <f t="shared" si="193"/>
        <v>NO</v>
      </c>
      <c r="F494" s="20" t="str">
        <f t="shared" si="194"/>
        <v>CTPD (Consejo Territorial de Planeación Distrital)</v>
      </c>
      <c r="G494" s="20" t="str">
        <f t="shared" si="195"/>
        <v>Presencial</v>
      </c>
      <c r="H494" s="20" t="str">
        <f t="shared" si="196"/>
        <v>Efectuar el seguimiento al convenio 339 de 2024, conocer el estado financiero, administrativo y la contrapartida</v>
      </c>
      <c r="I494" s="20" t="str">
        <f t="shared" si="197"/>
        <v>Mecanismo de Seguimiento y Evaluación</v>
      </c>
      <c r="J494" s="20" t="str">
        <f t="shared" si="198"/>
        <v>Público</v>
      </c>
      <c r="K494" s="20" t="str">
        <f t="shared" si="199"/>
        <v>CTPD</v>
      </c>
      <c r="L494" s="20" t="str">
        <f t="shared" si="200"/>
        <v>Distrital</v>
      </c>
      <c r="M494" s="20" t="str">
        <f t="shared" si="201"/>
        <v>Distrital</v>
      </c>
      <c r="N494" s="20" t="str">
        <f t="shared" si="202"/>
        <v>Distrital</v>
      </c>
      <c r="O494" s="20" t="str">
        <f t="shared" si="203"/>
        <v>NO</v>
      </c>
      <c r="P494" s="20" t="str">
        <f t="shared" si="204"/>
        <v>No aplica</v>
      </c>
      <c r="Q494" s="20">
        <f t="shared" si="205"/>
        <v>6</v>
      </c>
      <c r="R494" s="20">
        <f t="shared" si="206"/>
        <v>3</v>
      </c>
      <c r="S494" s="20" t="str">
        <f t="shared" si="207"/>
        <v xml:space="preserve"> La UNAD da un resumen de los planes de acción acompañados de las comisiones, exponiendo que ellos van a apoyar con especie en un espacio respectivo, con refrigerios estación de café y lugar.                                                                                                                                                                                                                                                                                   La UNAD cometa que para el diplomado solo hay inscritos 59 consejeras y consejeros y la idea el comenzar el miércoles 3 de julio para lograr las 80 horas.                                                                                                La presidenta le solicita a la UNAD hacer una presentación del alcance que brinda la universidad al CTPD.                                                                                                                                Se va a someter a Mesa Directiva y luego a Plenaria; hacer un oficio a los respectivos sectores con un informe sobre la asistencia de las consejeras y consejeros a plenarias y comisiones.</v>
      </c>
      <c r="T494" s="20">
        <f t="shared" si="208"/>
        <v>1</v>
      </c>
      <c r="U494" s="20" t="str">
        <f t="shared" ca="1" si="209"/>
        <v>Realizada</v>
      </c>
    </row>
    <row r="495" spans="1:21" ht="61.5">
      <c r="A495" s="20">
        <v>622</v>
      </c>
      <c r="B495" s="20" t="str">
        <f t="shared" si="190"/>
        <v xml:space="preserve">Gestión con actores estratégicos - CPL Sumapaz </v>
      </c>
      <c r="C495" s="21">
        <f t="shared" si="191"/>
        <v>45468</v>
      </c>
      <c r="D495" s="20" t="str">
        <f t="shared" si="192"/>
        <v>OPDC</v>
      </c>
      <c r="E495" s="20" t="str">
        <f t="shared" si="193"/>
        <v>NO</v>
      </c>
      <c r="F495" s="20" t="str">
        <f t="shared" si="194"/>
        <v>Gestión en Territorio</v>
      </c>
      <c r="G495" s="20" t="str">
        <f t="shared" si="195"/>
        <v>Virtual</v>
      </c>
      <c r="H495" s="20" t="str">
        <f t="shared" si="196"/>
        <v>Fortalecer las relaciones con los actores estratégicos del territorio para articular los procesos de participación. CPL</v>
      </c>
      <c r="I495" s="20" t="str">
        <f t="shared" si="197"/>
        <v>Mecanismo de Fortalecimiento Ciudadano para la Planeación Participativa</v>
      </c>
      <c r="J495" s="20" t="str">
        <f t="shared" si="198"/>
        <v>Comunitario</v>
      </c>
      <c r="K495" s="20" t="str">
        <f t="shared" si="199"/>
        <v>CPL</v>
      </c>
      <c r="L495" s="20" t="str">
        <f t="shared" si="200"/>
        <v>Sumapaz</v>
      </c>
      <c r="M495" s="20" t="str">
        <f t="shared" si="201"/>
        <v>Ruralidad</v>
      </c>
      <c r="N495" s="20" t="str">
        <f t="shared" si="202"/>
        <v>Sumapaz</v>
      </c>
      <c r="O495" s="20" t="str">
        <f t="shared" si="203"/>
        <v>NO</v>
      </c>
      <c r="P495" s="20" t="str">
        <f t="shared" si="204"/>
        <v>No aplica</v>
      </c>
      <c r="Q495" s="20">
        <f t="shared" si="205"/>
        <v>7</v>
      </c>
      <c r="R495" s="20">
        <f t="shared" si="206"/>
        <v>2</v>
      </c>
      <c r="S495" s="20" t="str">
        <f t="shared" si="207"/>
        <v xml:space="preserve">Plan Distrital de Desarrollo con enfoque rural. </v>
      </c>
      <c r="T495" s="20">
        <f t="shared" si="208"/>
        <v>1</v>
      </c>
      <c r="U495" s="20" t="str">
        <f t="shared" ca="1" si="209"/>
        <v>Realizada</v>
      </c>
    </row>
    <row r="496" spans="1:21" ht="61.5">
      <c r="A496" s="20">
        <v>623</v>
      </c>
      <c r="B496" s="20" t="str">
        <f t="shared" si="190"/>
        <v>Activación Actores de Participación en la localidad de Fontibon CPL</v>
      </c>
      <c r="C496" s="21">
        <f t="shared" si="191"/>
        <v>45468</v>
      </c>
      <c r="D496" s="20" t="str">
        <f t="shared" si="192"/>
        <v>OPDC</v>
      </c>
      <c r="E496" s="20" t="str">
        <f t="shared" si="193"/>
        <v>NO</v>
      </c>
      <c r="F496" s="20" t="str">
        <f t="shared" si="194"/>
        <v>Gestión en Territorio</v>
      </c>
      <c r="G496" s="20" t="str">
        <f t="shared" si="195"/>
        <v>Presencial</v>
      </c>
      <c r="H496" s="20" t="str">
        <f t="shared" si="196"/>
        <v>Realizar activación y acercamiento a los diferentes actores de participación de la localidad de Fontibón, socializando la 4ta fase del PDD y próximas devoluciones a la ciudadania CPL</v>
      </c>
      <c r="I496" s="20" t="str">
        <f t="shared" si="197"/>
        <v>Mecanismo de Fortalecimiento Ciudadano para la Planeación Participativa</v>
      </c>
      <c r="J496" s="20" t="str">
        <f t="shared" si="198"/>
        <v>Multiactor</v>
      </c>
      <c r="K496" s="20">
        <f t="shared" si="199"/>
        <v>0</v>
      </c>
      <c r="L496" s="20" t="str">
        <f t="shared" si="200"/>
        <v>Fontibón</v>
      </c>
      <c r="M496" s="20" t="str">
        <f t="shared" si="201"/>
        <v>Occidente</v>
      </c>
      <c r="N496" s="20" t="str">
        <f t="shared" si="202"/>
        <v>Fontibón, Salitre</v>
      </c>
      <c r="O496" s="20" t="str">
        <f t="shared" si="203"/>
        <v>NO</v>
      </c>
      <c r="P496" s="20" t="str">
        <f t="shared" si="204"/>
        <v>No aplica</v>
      </c>
      <c r="Q496" s="20">
        <f t="shared" si="205"/>
        <v>11</v>
      </c>
      <c r="R496" s="20">
        <f t="shared" si="206"/>
        <v>2</v>
      </c>
      <c r="S496" s="20" t="str">
        <f t="shared" si="207"/>
        <v>4ta fase PDD Y Acercamiento con actores de participación de la UPL</v>
      </c>
      <c r="T496" s="20">
        <f t="shared" si="208"/>
        <v>1</v>
      </c>
      <c r="U496" s="20" t="str">
        <f t="shared" ca="1" si="209"/>
        <v>Realizada</v>
      </c>
    </row>
    <row r="497" spans="1:21" ht="61.5">
      <c r="A497" s="20">
        <v>624</v>
      </c>
      <c r="B497" s="20" t="str">
        <f t="shared" si="190"/>
        <v>Gestión con actores estratégicos - UPL Centro Histórico (JAC La Perseverancia)</v>
      </c>
      <c r="C497" s="21">
        <f t="shared" si="191"/>
        <v>45469</v>
      </c>
      <c r="D497" s="20" t="str">
        <f t="shared" si="192"/>
        <v>OPDC</v>
      </c>
      <c r="E497" s="20" t="str">
        <f t="shared" si="193"/>
        <v>NO</v>
      </c>
      <c r="F497" s="20" t="str">
        <f t="shared" si="194"/>
        <v>Gestión en Territorio</v>
      </c>
      <c r="G497" s="20" t="str">
        <f t="shared" si="195"/>
        <v>Presencial</v>
      </c>
      <c r="H497" s="20" t="str">
        <f t="shared" si="196"/>
        <v xml:space="preserve">Fortalecer las relaciones con los actores estratégicos del territorio para articular los procesos de participación. JAC La Perseverancia. </v>
      </c>
      <c r="I497" s="20" t="str">
        <f t="shared" si="197"/>
        <v>Mecanismo de Fortalecimiento Ciudadano para la Planeación Participativa</v>
      </c>
      <c r="J497" s="20" t="str">
        <f t="shared" si="198"/>
        <v>Comunitario</v>
      </c>
      <c r="K497" s="20" t="str">
        <f t="shared" si="199"/>
        <v>ASOJUNTAS - JAC</v>
      </c>
      <c r="L497" s="20" t="str">
        <f t="shared" si="200"/>
        <v>Santa Fe</v>
      </c>
      <c r="M497" s="20" t="str">
        <f t="shared" si="201"/>
        <v>Centro Ampliado</v>
      </c>
      <c r="N497" s="20" t="str">
        <f t="shared" si="202"/>
        <v>Centro Histórico, Cerros Orientales</v>
      </c>
      <c r="O497" s="20" t="str">
        <f t="shared" si="203"/>
        <v>NO</v>
      </c>
      <c r="P497" s="20" t="str">
        <f t="shared" si="204"/>
        <v>No aplica</v>
      </c>
      <c r="Q497" s="20">
        <f t="shared" si="205"/>
        <v>2</v>
      </c>
      <c r="R497" s="20">
        <f t="shared" si="206"/>
        <v>1</v>
      </c>
      <c r="S497" s="20" t="str">
        <f t="shared" si="207"/>
        <v>Resultados de la Fase II para la localidad de Santa Fe. Se presento el ABC del PDD para su lectura y comprensión</v>
      </c>
      <c r="T497" s="20">
        <f t="shared" si="208"/>
        <v>1</v>
      </c>
      <c r="U497" s="20" t="str">
        <f t="shared" ca="1" si="209"/>
        <v>Realizada</v>
      </c>
    </row>
    <row r="498" spans="1:21" ht="61.5">
      <c r="A498" s="20">
        <v>625</v>
      </c>
      <c r="B498" s="20" t="str">
        <f t="shared" si="190"/>
        <v>Gestión con actores estratégicos UPL Usme CPL</v>
      </c>
      <c r="C498" s="21">
        <f t="shared" si="191"/>
        <v>45469</v>
      </c>
      <c r="D498" s="20" t="str">
        <f t="shared" si="192"/>
        <v>OPDC</v>
      </c>
      <c r="E498" s="20" t="str">
        <f t="shared" si="193"/>
        <v>NO</v>
      </c>
      <c r="F498" s="20" t="str">
        <f t="shared" si="194"/>
        <v>Gestión en Territorio</v>
      </c>
      <c r="G498" s="20" t="str">
        <f t="shared" si="195"/>
        <v>Presencial</v>
      </c>
      <c r="H498" s="20" t="str">
        <f t="shared" si="196"/>
        <v xml:space="preserve">Fortalecer las relaciones con los actores estratégicos del territorio para articular los procesos de participación.CPL </v>
      </c>
      <c r="I498" s="20" t="str">
        <f t="shared" si="197"/>
        <v>Mecanismo de Fortalecimiento Ciudadano para la Planeación Participativa</v>
      </c>
      <c r="J498" s="20" t="str">
        <f t="shared" si="198"/>
        <v>Comunitario</v>
      </c>
      <c r="K498" s="20" t="str">
        <f t="shared" si="199"/>
        <v>CPL</v>
      </c>
      <c r="L498" s="20" t="str">
        <f t="shared" si="200"/>
        <v>Usme</v>
      </c>
      <c r="M498" s="20" t="str">
        <f t="shared" si="201"/>
        <v>Suroriente</v>
      </c>
      <c r="N498" s="20" t="str">
        <f t="shared" si="202"/>
        <v>Usme Entrenubes, Rafael Uribe, Cuenca del Tunjuelo, Cerros Orientales</v>
      </c>
      <c r="O498" s="20" t="str">
        <f t="shared" si="203"/>
        <v>NO</v>
      </c>
      <c r="P498" s="20" t="str">
        <f t="shared" si="204"/>
        <v>No aplica</v>
      </c>
      <c r="Q498" s="20">
        <f t="shared" si="205"/>
        <v>9</v>
      </c>
      <c r="R498" s="20">
        <f t="shared" si="206"/>
        <v>1</v>
      </c>
      <c r="S498" s="20" t="str">
        <f t="shared" si="207"/>
        <v>Preparación de la comunidad para la devolución del sector sur oriental, formación de comités ciudadanos y notificación de las asambleas deliberativas.</v>
      </c>
      <c r="T498" s="20">
        <f t="shared" si="208"/>
        <v>1</v>
      </c>
      <c r="U498" s="20" t="str">
        <f t="shared" ca="1" si="209"/>
        <v>Realizada</v>
      </c>
    </row>
    <row r="499" spans="1:21" ht="49.5">
      <c r="A499" s="20">
        <v>626</v>
      </c>
      <c r="B499" s="20" t="str">
        <f t="shared" si="190"/>
        <v xml:space="preserve">CLIP extraordinaria Sumapaz </v>
      </c>
      <c r="C499" s="21">
        <f t="shared" si="191"/>
        <v>45469</v>
      </c>
      <c r="D499" s="20" t="str">
        <f t="shared" si="192"/>
        <v>INSTANCIAS</v>
      </c>
      <c r="E499" s="20" t="str">
        <f t="shared" si="193"/>
        <v>NO</v>
      </c>
      <c r="F499" s="20" t="str">
        <f t="shared" si="194"/>
        <v>CLIP (Comisión Local Intersectorial de Participación)</v>
      </c>
      <c r="G499" s="20" t="str">
        <f t="shared" si="195"/>
        <v>Virtual</v>
      </c>
      <c r="H499" s="20" t="str">
        <f t="shared" si="196"/>
        <v xml:space="preserve">Acompañar la articulación de los esfuerzos institucionales de participación en la localidad de Sumapaz. </v>
      </c>
      <c r="I499" s="20" t="str">
        <f t="shared" si="197"/>
        <v>Gestión Institucional</v>
      </c>
      <c r="J499" s="20" t="str">
        <f t="shared" si="198"/>
        <v>Público</v>
      </c>
      <c r="K499" s="20" t="str">
        <f t="shared" si="199"/>
        <v>CLIP</v>
      </c>
      <c r="L499" s="20" t="str">
        <f t="shared" si="200"/>
        <v>Sumapaz</v>
      </c>
      <c r="M499" s="20" t="str">
        <f t="shared" si="201"/>
        <v>Ruralidad</v>
      </c>
      <c r="N499" s="20" t="str">
        <f t="shared" si="202"/>
        <v>Sumapaz</v>
      </c>
      <c r="O499" s="20" t="str">
        <f t="shared" si="203"/>
        <v>NO</v>
      </c>
      <c r="P499" s="20" t="str">
        <f t="shared" si="204"/>
        <v>No aplica</v>
      </c>
      <c r="Q499" s="20">
        <f t="shared" si="205"/>
        <v>16</v>
      </c>
      <c r="R499" s="20">
        <f t="shared" si="206"/>
        <v>1</v>
      </c>
      <c r="S499" s="20" t="str">
        <f t="shared" si="207"/>
        <v xml:space="preserve">Reglamento interno de la CLIP Sumapaz. </v>
      </c>
      <c r="T499" s="20">
        <f t="shared" si="208"/>
        <v>1</v>
      </c>
      <c r="U499" s="20" t="str">
        <f t="shared" ca="1" si="209"/>
        <v>Realizada</v>
      </c>
    </row>
    <row r="500" spans="1:21" ht="37.5">
      <c r="A500" s="20">
        <v>627</v>
      </c>
      <c r="B500" s="20" t="str">
        <f t="shared" si="190"/>
        <v>Sesión de la Comisión Intersectorial de Participación CIP</v>
      </c>
      <c r="C500" s="21">
        <f t="shared" si="191"/>
        <v>45469</v>
      </c>
      <c r="D500" s="20" t="str">
        <f t="shared" si="192"/>
        <v>INSTANCIAS</v>
      </c>
      <c r="E500" s="20" t="str">
        <f t="shared" si="193"/>
        <v>NO</v>
      </c>
      <c r="F500" s="20" t="str">
        <f t="shared" si="194"/>
        <v>CIP (Comisión Intersectorial de Participación)</v>
      </c>
      <c r="G500" s="20" t="str">
        <f t="shared" si="195"/>
        <v>Presencial</v>
      </c>
      <c r="H500" s="20" t="str">
        <f t="shared" si="196"/>
        <v>Hacer seguimiento al Plan de Acción de la CIP</v>
      </c>
      <c r="I500" s="20" t="str">
        <f t="shared" si="197"/>
        <v>Gestión Institucional</v>
      </c>
      <c r="J500" s="20" t="str">
        <f t="shared" si="198"/>
        <v>Público</v>
      </c>
      <c r="K500" s="20" t="str">
        <f t="shared" si="199"/>
        <v>Servidores públicos (Distrital)</v>
      </c>
      <c r="L500" s="20" t="str">
        <f t="shared" si="200"/>
        <v>Distrital</v>
      </c>
      <c r="M500" s="20" t="str">
        <f t="shared" si="201"/>
        <v>Distrital</v>
      </c>
      <c r="N500" s="20" t="str">
        <f t="shared" si="202"/>
        <v>Distrital</v>
      </c>
      <c r="O500" s="20" t="str">
        <f t="shared" si="203"/>
        <v>NO</v>
      </c>
      <c r="P500" s="20" t="str">
        <f t="shared" si="204"/>
        <v>No aplica</v>
      </c>
      <c r="Q500" s="20">
        <f t="shared" si="205"/>
        <v>27</v>
      </c>
      <c r="R500" s="20">
        <f t="shared" si="206"/>
        <v>1</v>
      </c>
      <c r="S500" s="20" t="str">
        <f t="shared" si="207"/>
        <v>Aprobación del Plan de Acción; Presupuestos Participativos</v>
      </c>
      <c r="T500" s="20">
        <f t="shared" si="208"/>
        <v>1</v>
      </c>
      <c r="U500" s="20" t="str">
        <f t="shared" ca="1" si="209"/>
        <v>Realizada</v>
      </c>
    </row>
    <row r="501" spans="1:21" ht="61.5">
      <c r="A501" s="20">
        <v>628</v>
      </c>
      <c r="B501" s="20" t="str">
        <f t="shared" si="190"/>
        <v>Gestión con actores estratégicos - Localidad Puente Aranda (CPL)</v>
      </c>
      <c r="C501" s="21">
        <f t="shared" si="191"/>
        <v>45469</v>
      </c>
      <c r="D501" s="20" t="str">
        <f t="shared" si="192"/>
        <v>OPDC</v>
      </c>
      <c r="E501" s="20" t="str">
        <f t="shared" si="193"/>
        <v>NO</v>
      </c>
      <c r="F501" s="20" t="str">
        <f t="shared" si="194"/>
        <v>Gestión en Territorio</v>
      </c>
      <c r="G501" s="20" t="str">
        <f t="shared" si="195"/>
        <v>Presencial</v>
      </c>
      <c r="H501" s="20" t="str">
        <f t="shared" si="196"/>
        <v>Fortalecer las relaciones con los actores estratégicos del territorio para articular los procesos de participación. CPL - UPL Puente Aranda.</v>
      </c>
      <c r="I501" s="20" t="str">
        <f t="shared" si="197"/>
        <v>Mecanismo de Fortalecimiento Ciudadano para la Planeación Participativa</v>
      </c>
      <c r="J501" s="20" t="str">
        <f t="shared" si="198"/>
        <v>Comunitario</v>
      </c>
      <c r="K501" s="20" t="str">
        <f t="shared" si="199"/>
        <v>CPL</v>
      </c>
      <c r="L501" s="20" t="str">
        <f t="shared" si="200"/>
        <v>Puente Aranda</v>
      </c>
      <c r="M501" s="20" t="str">
        <f t="shared" si="201"/>
        <v>Centro Ampliado</v>
      </c>
      <c r="N501" s="20" t="str">
        <f t="shared" si="202"/>
        <v>Puente Aranda</v>
      </c>
      <c r="O501" s="20" t="str">
        <f t="shared" si="203"/>
        <v>NO</v>
      </c>
      <c r="P501" s="20" t="str">
        <f t="shared" si="204"/>
        <v>No aplica</v>
      </c>
      <c r="Q501" s="20">
        <f t="shared" si="205"/>
        <v>2</v>
      </c>
      <c r="R501" s="20">
        <f t="shared" si="206"/>
        <v>2</v>
      </c>
      <c r="S501" s="20" t="str">
        <f t="shared" si="207"/>
        <v>Resultados de la Fase II para la formulación del PDD en la localidad de Puente Aranda y se presento el ABC para la lectura y comprensión del PDD</v>
      </c>
      <c r="T501" s="20">
        <f t="shared" si="208"/>
        <v>1</v>
      </c>
      <c r="U501" s="20" t="str">
        <f t="shared" ca="1" si="209"/>
        <v>Realizada</v>
      </c>
    </row>
    <row r="502" spans="1:21" ht="49.5">
      <c r="A502" s="20">
        <v>629</v>
      </c>
      <c r="B502" s="20" t="str">
        <f t="shared" ref="B502:B533" si="210">IFERROR(VLOOKUP(A502,DATA_MATRIZ,2,FALSE),"")</f>
        <v>Gestión con actores estratégicos - sector Noroccidente (CPL)</v>
      </c>
      <c r="C502" s="21">
        <f t="shared" ref="C502:C533" si="211">IFERROR(VLOOKUP(A502,DATA_MATRIZ,3,FALSE),"")</f>
        <v>45469</v>
      </c>
      <c r="D502" s="20" t="str">
        <f t="shared" ref="D502:D533" si="212">IFERROR(VLOOKUP(A502,DATA_MATRIZ,5,FALSE),"")</f>
        <v>OPDC</v>
      </c>
      <c r="E502" s="20" t="str">
        <f t="shared" ref="E502:E533" si="213">IFERROR(VLOOKUP(A502,DATA_MATRIZ,9,FALSE),"")</f>
        <v>NO</v>
      </c>
      <c r="F502" s="20" t="str">
        <f t="shared" ref="F502:F533" si="214">IFERROR(VLOOKUP(A502,DATA_MATRIZ,10,FALSE),"")</f>
        <v>Gestión en Territorio</v>
      </c>
      <c r="G502" s="20" t="str">
        <f t="shared" ref="G502:G533" si="215">IFERROR(VLOOKUP(A502,DATA_MATRIZ,11,FALSE),"")</f>
        <v>Presencial</v>
      </c>
      <c r="H502" s="20" t="str">
        <f t="shared" ref="H502:H533" si="216">IFERROR(VLOOKUP(A502,DATA_MATRIZ,12,FALSE),"")</f>
        <v>Fortalecer las relaciones con los actores estratégicos del territorio para articular los procesos de participación. CPL</v>
      </c>
      <c r="I502" s="20" t="str">
        <f t="shared" ref="I502:I533" si="217">IFERROR(VLOOKUP(A502,DATA_MATRIZ,13,FALSE),"")</f>
        <v>Gestión Institucional</v>
      </c>
      <c r="J502" s="20" t="str">
        <f t="shared" ref="J502:J533" si="218">IFERROR(VLOOKUP(A502,DATA_MATRIZ,41,FALSE),"")</f>
        <v>Comunitario</v>
      </c>
      <c r="K502" s="20" t="str">
        <f t="shared" ref="K502:K533" si="219">IFERROR(VLOOKUP(A502,DATA_MATRIZ,42,FALSE),"")</f>
        <v>CPL</v>
      </c>
      <c r="L502" s="20" t="str">
        <f t="shared" ref="L502:L533" si="220">IFERROR(VLOOKUP(A502,DATA_MATRIZ,46,FALSE),"")</f>
        <v>Suba</v>
      </c>
      <c r="M502" s="20" t="str">
        <f t="shared" ref="M502:M533" si="221">IFERROR(VLOOKUP(A502,DATA_MATRIZ,53,FALSE),"")</f>
        <v>Noroccidente</v>
      </c>
      <c r="N502" s="20" t="str">
        <f t="shared" ref="N502:N533" si="222">IFERROR(VLOOKUP(A502,DATA_MATRIZ,60,FALSE),"")</f>
        <v>Suba, Suba Rincón, Tibabuyes, Niza, Britalia, Torca</v>
      </c>
      <c r="O502" s="20" t="str">
        <f t="shared" ref="O502:O533" si="223">IFERROR(VLOOKUP(A502,DATA_MATRIZ,75,FALSE),"")</f>
        <v>NO</v>
      </c>
      <c r="P502" s="20" t="str">
        <f t="shared" ref="P502:P533" si="224">IFERROR(VLOOKUP(A502,DATA_MATRIZ,76,FALSE),"")</f>
        <v>No aplica</v>
      </c>
      <c r="Q502" s="20">
        <f t="shared" ref="Q502:Q533" si="225">IFERROR(VLOOKUP(A502,DATA_MATRIZ,78,FALSE),"")</f>
        <v>2</v>
      </c>
      <c r="R502" s="20">
        <f t="shared" ref="R502:R533" si="226">IFERROR(VLOOKUP(A502,DATA_MATRIZ,79,FALSE),"")</f>
        <v>1</v>
      </c>
      <c r="S502" s="20" t="str">
        <f t="shared" ref="S502:S533" si="227">IFERROR(VLOOKUP(A502,DATA_MATRIZ,85,FALSE),"")</f>
        <v xml:space="preserve">Gestion de actores territoriales del sector noroccidente y actividades proyectadas en territorio con comunidad </v>
      </c>
      <c r="T502" s="20">
        <f t="shared" ref="T502:T533" si="228">COUNTA(A502)</f>
        <v>1</v>
      </c>
      <c r="U502" s="20" t="str">
        <f t="shared" ref="U502:U533" ca="1" si="229">IF(C502="", "Indefinida", (IF(C502&lt;TODAY(),"Realizada","Proyectada")))</f>
        <v>Realizada</v>
      </c>
    </row>
    <row r="503" spans="1:21" ht="61.5">
      <c r="A503" s="20">
        <v>630</v>
      </c>
      <c r="B503" s="20" t="str">
        <f t="shared" si="210"/>
        <v xml:space="preserve">Gestión con actores estratégicos - CLDDHH Sumapaz </v>
      </c>
      <c r="C503" s="21">
        <f t="shared" si="211"/>
        <v>45469</v>
      </c>
      <c r="D503" s="20" t="str">
        <f t="shared" si="212"/>
        <v>OPDC</v>
      </c>
      <c r="E503" s="20" t="str">
        <f t="shared" si="213"/>
        <v>NO</v>
      </c>
      <c r="F503" s="20" t="str">
        <f t="shared" si="214"/>
        <v>Gestión en Territorio</v>
      </c>
      <c r="G503" s="20" t="str">
        <f t="shared" si="215"/>
        <v>Virtual</v>
      </c>
      <c r="H503" s="20" t="str">
        <f t="shared" si="216"/>
        <v>Fortalecer las relaciones con los actores estratégicos del territorio para articular los procesos de participación. CLDDHH Sumapaz</v>
      </c>
      <c r="I503" s="20" t="str">
        <f t="shared" si="217"/>
        <v>Mecanismo de Fortalecimiento Ciudadano para la Planeación Participativa</v>
      </c>
      <c r="J503" s="20" t="str">
        <f t="shared" si="218"/>
        <v>Comunitario</v>
      </c>
      <c r="K503" s="20" t="str">
        <f t="shared" si="219"/>
        <v>Consejo Local</v>
      </c>
      <c r="L503" s="20" t="str">
        <f t="shared" si="220"/>
        <v>Sumapaz</v>
      </c>
      <c r="M503" s="20" t="str">
        <f t="shared" si="221"/>
        <v>Ruralidad</v>
      </c>
      <c r="N503" s="20" t="str">
        <f t="shared" si="222"/>
        <v>Sumapaz</v>
      </c>
      <c r="O503" s="20" t="str">
        <f t="shared" si="223"/>
        <v>NO</v>
      </c>
      <c r="P503" s="20" t="str">
        <f t="shared" si="224"/>
        <v>No aplica</v>
      </c>
      <c r="Q503" s="20">
        <f t="shared" si="225"/>
        <v>35</v>
      </c>
      <c r="R503" s="20">
        <f t="shared" si="226"/>
        <v>1</v>
      </c>
      <c r="S503" s="20" t="str">
        <f t="shared" si="227"/>
        <v xml:space="preserve">Plan Distrital de Desarrollo con enfoque rural </v>
      </c>
      <c r="T503" s="20">
        <f t="shared" si="228"/>
        <v>1</v>
      </c>
      <c r="U503" s="20" t="str">
        <f t="shared" ca="1" si="229"/>
        <v>Realizada</v>
      </c>
    </row>
    <row r="504" spans="1:21" ht="61.5">
      <c r="A504" s="20">
        <v>631</v>
      </c>
      <c r="B504" s="20" t="str">
        <f t="shared" si="210"/>
        <v xml:space="preserve"> Gestión con actores estratégicos - Localidad Bosa (JAC)</v>
      </c>
      <c r="C504" s="21">
        <f t="shared" si="211"/>
        <v>45469</v>
      </c>
      <c r="D504" s="20" t="str">
        <f t="shared" si="212"/>
        <v>OPDC</v>
      </c>
      <c r="E504" s="20" t="str">
        <f t="shared" si="213"/>
        <v>NO</v>
      </c>
      <c r="F504" s="20" t="str">
        <f t="shared" si="214"/>
        <v>Gestión en Territorio</v>
      </c>
      <c r="G504" s="20" t="str">
        <f t="shared" si="215"/>
        <v>Presencial</v>
      </c>
      <c r="H504" s="20" t="str">
        <f t="shared" si="216"/>
        <v>Fortalecer las relaciones con los actores estratégicos del territorio para articular los procesos de participación JAC.</v>
      </c>
      <c r="I504" s="20" t="str">
        <f t="shared" si="217"/>
        <v>Mecanismo de Fortalecimiento Ciudadano para la Planeación Participativa</v>
      </c>
      <c r="J504" s="20" t="str">
        <f t="shared" si="218"/>
        <v>Multiactor</v>
      </c>
      <c r="K504" s="20">
        <f t="shared" si="219"/>
        <v>0</v>
      </c>
      <c r="L504" s="20" t="str">
        <f t="shared" si="220"/>
        <v>Bosa</v>
      </c>
      <c r="M504" s="20" t="str">
        <f t="shared" si="221"/>
        <v>Suroccidente</v>
      </c>
      <c r="N504" s="20" t="str">
        <f t="shared" si="222"/>
        <v>Edén, Patio Bonito, Bosa</v>
      </c>
      <c r="O504" s="20" t="str">
        <f t="shared" si="223"/>
        <v>NO</v>
      </c>
      <c r="P504" s="20" t="str">
        <f t="shared" si="224"/>
        <v>No aplica</v>
      </c>
      <c r="Q504" s="20">
        <f t="shared" si="225"/>
        <v>7</v>
      </c>
      <c r="R504" s="20">
        <f t="shared" si="226"/>
        <v>3</v>
      </c>
      <c r="S504" s="20" t="str">
        <f t="shared" si="227"/>
        <v>Información específica del PDD e invitación oficial a la devolución formal del PDD a la ciudad.</v>
      </c>
      <c r="T504" s="20">
        <f t="shared" si="228"/>
        <v>1</v>
      </c>
      <c r="U504" s="20" t="str">
        <f t="shared" ca="1" si="229"/>
        <v>Realizada</v>
      </c>
    </row>
    <row r="505" spans="1:21" ht="61.5">
      <c r="A505" s="20">
        <v>633</v>
      </c>
      <c r="B505" s="20" t="str">
        <f t="shared" si="210"/>
        <v xml:space="preserve"> Gestión con actores estratégicos - Localidad Porvenir (JAC)</v>
      </c>
      <c r="C505" s="21">
        <f t="shared" si="211"/>
        <v>45469</v>
      </c>
      <c r="D505" s="20" t="str">
        <f t="shared" si="212"/>
        <v>OPDC</v>
      </c>
      <c r="E505" s="20" t="str">
        <f t="shared" si="213"/>
        <v>NO</v>
      </c>
      <c r="F505" s="20" t="str">
        <f t="shared" si="214"/>
        <v>Gestión en Territorio</v>
      </c>
      <c r="G505" s="20" t="str">
        <f t="shared" si="215"/>
        <v>Presencial</v>
      </c>
      <c r="H505" s="20" t="str">
        <f t="shared" si="216"/>
        <v>Fortalecer las relaciones con los actores estratégicos del territorio para articular los procesos de participación JAC.</v>
      </c>
      <c r="I505" s="20" t="str">
        <f t="shared" si="217"/>
        <v>Mecanismo de Fortalecimiento Ciudadano para la Planeación Participativa</v>
      </c>
      <c r="J505" s="20" t="str">
        <f t="shared" si="218"/>
        <v>Multiactor</v>
      </c>
      <c r="K505" s="20">
        <f t="shared" si="219"/>
        <v>0</v>
      </c>
      <c r="L505" s="20" t="str">
        <f t="shared" si="220"/>
        <v>Bosa</v>
      </c>
      <c r="M505" s="20" t="str">
        <f t="shared" si="221"/>
        <v>Suroccidente</v>
      </c>
      <c r="N505" s="20" t="str">
        <f t="shared" si="222"/>
        <v>Edén, Patio Bonito, Bosa</v>
      </c>
      <c r="O505" s="20" t="str">
        <f t="shared" si="223"/>
        <v>NO</v>
      </c>
      <c r="P505" s="20" t="str">
        <f t="shared" si="224"/>
        <v>No aplica</v>
      </c>
      <c r="Q505" s="20">
        <f t="shared" si="225"/>
        <v>2</v>
      </c>
      <c r="R505" s="20">
        <f t="shared" si="226"/>
        <v>3</v>
      </c>
      <c r="S505" s="20" t="str">
        <f t="shared" si="227"/>
        <v xml:space="preserve">Temas específicos del PDD aprobado 2024 e incitación a la entrega formal. </v>
      </c>
      <c r="T505" s="20">
        <f t="shared" si="228"/>
        <v>1</v>
      </c>
      <c r="U505" s="20" t="str">
        <f t="shared" ca="1" si="229"/>
        <v>Realizada</v>
      </c>
    </row>
    <row r="506" spans="1:21" ht="61.5">
      <c r="A506" s="20">
        <v>634</v>
      </c>
      <c r="B506" s="20" t="str">
        <f t="shared" si="210"/>
        <v>Sesión Junta Directiva CTPD</v>
      </c>
      <c r="C506" s="21">
        <f t="shared" si="211"/>
        <v>45469</v>
      </c>
      <c r="D506" s="20" t="str">
        <f t="shared" si="212"/>
        <v>INSTANCIAS</v>
      </c>
      <c r="E506" s="20" t="str">
        <f t="shared" si="213"/>
        <v>NO</v>
      </c>
      <c r="F506" s="20" t="str">
        <f t="shared" si="214"/>
        <v>CTPD (Consejo Territorial de Planeación Distrital)</v>
      </c>
      <c r="G506" s="20" t="str">
        <f t="shared" si="215"/>
        <v>Virtual</v>
      </c>
      <c r="H506" s="20" t="str">
        <f t="shared" si="216"/>
        <v xml:space="preserve">Acompañar como Secretaría Técnica la Sesión de la Junta Directiva del CTPD del mes de junio, donde se trataran los temas a exponer en la Sesión de la Mesa Directiva del CTPD. </v>
      </c>
      <c r="I506" s="20" t="str">
        <f t="shared" si="217"/>
        <v>Mecanismo de Seguimiento y Evaluación</v>
      </c>
      <c r="J506" s="20" t="str">
        <f t="shared" si="218"/>
        <v>Comunitario</v>
      </c>
      <c r="K506" s="20" t="str">
        <f t="shared" si="219"/>
        <v>CTPD</v>
      </c>
      <c r="L506" s="20" t="str">
        <f t="shared" si="220"/>
        <v>Distrital</v>
      </c>
      <c r="M506" s="20" t="str">
        <f t="shared" si="221"/>
        <v>Distrital</v>
      </c>
      <c r="N506" s="20" t="str">
        <f t="shared" si="222"/>
        <v>Distrital</v>
      </c>
      <c r="O506" s="20" t="str">
        <f t="shared" si="223"/>
        <v>NO</v>
      </c>
      <c r="P506" s="20" t="str">
        <f t="shared" si="224"/>
        <v>No aplica</v>
      </c>
      <c r="Q506" s="20">
        <f t="shared" si="225"/>
        <v>6</v>
      </c>
      <c r="R506" s="20">
        <f t="shared" si="226"/>
        <v>1</v>
      </c>
      <c r="S506" s="20" t="str">
        <f t="shared" si="227"/>
        <v>Propuesta del llamado a lista hecho por la UNAD. - Orden del día para la Sesión de la Mesa Directiva.</v>
      </c>
      <c r="T506" s="20">
        <f t="shared" si="228"/>
        <v>1</v>
      </c>
      <c r="U506" s="20" t="str">
        <f t="shared" ca="1" si="229"/>
        <v>Realizada</v>
      </c>
    </row>
    <row r="507" spans="1:21" ht="61.5">
      <c r="A507" s="20">
        <v>635</v>
      </c>
      <c r="B507" s="20" t="str">
        <f t="shared" si="210"/>
        <v>Activación Actores estratégicos: Consejo de Sabias y Sabios Tunjuelito</v>
      </c>
      <c r="C507" s="21">
        <f t="shared" si="211"/>
        <v>45470</v>
      </c>
      <c r="D507" s="20" t="str">
        <f t="shared" si="212"/>
        <v>OPDC</v>
      </c>
      <c r="E507" s="20" t="str">
        <f t="shared" si="213"/>
        <v>NO</v>
      </c>
      <c r="F507" s="20" t="str">
        <f t="shared" si="214"/>
        <v>Gestión en Territorio</v>
      </c>
      <c r="G507" s="20" t="str">
        <f t="shared" si="215"/>
        <v>Presencial</v>
      </c>
      <c r="H507" s="20" t="str">
        <f t="shared" si="216"/>
        <v>Reactivar la comunicación con los grupos de valor locales para incentivar la participación en los instrumentos liderados por SDP</v>
      </c>
      <c r="I507" s="20" t="str">
        <f t="shared" si="217"/>
        <v>Mecanismo de Fortalecimiento Ciudadano para la Planeación Participativa</v>
      </c>
      <c r="J507" s="20" t="str">
        <f t="shared" si="218"/>
        <v>Comunitario</v>
      </c>
      <c r="K507" s="20" t="str">
        <f t="shared" si="219"/>
        <v>Consejo Local</v>
      </c>
      <c r="L507" s="20" t="str">
        <f t="shared" si="220"/>
        <v>Tunjuelito</v>
      </c>
      <c r="M507" s="20" t="str">
        <f t="shared" si="221"/>
        <v>Suroriente</v>
      </c>
      <c r="N507" s="20" t="str">
        <f t="shared" si="222"/>
        <v>Tunjuelito, Arborizadora</v>
      </c>
      <c r="O507" s="20" t="str">
        <f t="shared" si="223"/>
        <v>NO</v>
      </c>
      <c r="P507" s="20" t="str">
        <f t="shared" si="224"/>
        <v>No aplica</v>
      </c>
      <c r="Q507" s="20">
        <f t="shared" si="225"/>
        <v>9</v>
      </c>
      <c r="R507" s="20">
        <f t="shared" si="226"/>
        <v>2</v>
      </c>
      <c r="S507" s="20" t="str">
        <f t="shared" si="227"/>
        <v>Plan de Desarrollo Distrital; Acción de devolución PDD; POT; SPT</v>
      </c>
      <c r="T507" s="20">
        <f t="shared" si="228"/>
        <v>1</v>
      </c>
      <c r="U507" s="20" t="str">
        <f t="shared" ca="1" si="229"/>
        <v>Realizada</v>
      </c>
    </row>
    <row r="508" spans="1:21" ht="61.5">
      <c r="A508" s="20">
        <v>636</v>
      </c>
      <c r="B508" s="20" t="str">
        <f t="shared" si="210"/>
        <v>Activación Actores estratégicos:Pedagógica del Plan Distrital de Desarrollo 2024-2028, con énfasis en el sector Salud.</v>
      </c>
      <c r="C508" s="21">
        <f t="shared" si="211"/>
        <v>45470</v>
      </c>
      <c r="D508" s="20" t="str">
        <f t="shared" si="212"/>
        <v>OPDC</v>
      </c>
      <c r="E508" s="20" t="str">
        <f t="shared" si="213"/>
        <v>NO</v>
      </c>
      <c r="F508" s="20" t="str">
        <f t="shared" si="214"/>
        <v>Gestión en Territorio</v>
      </c>
      <c r="G508" s="20" t="str">
        <f t="shared" si="215"/>
        <v>Presencial</v>
      </c>
      <c r="H508" s="20" t="str">
        <f t="shared" si="216"/>
        <v>Acompañar al personal de Salud que se desempeña en la localidad de Barrios Unidos para que tengan mejor conocimiento y apropiación del Plan Distrital de Desarrollo.</v>
      </c>
      <c r="I508" s="20" t="str">
        <f t="shared" si="217"/>
        <v>Mecanismo de Comunicación para la Participación</v>
      </c>
      <c r="J508" s="20" t="str">
        <f t="shared" si="218"/>
        <v>Público</v>
      </c>
      <c r="K508" s="20" t="str">
        <f t="shared" si="219"/>
        <v>Servidores públicos (Distrital)</v>
      </c>
      <c r="L508" s="20" t="str">
        <f t="shared" si="220"/>
        <v>Barrios Unidos</v>
      </c>
      <c r="M508" s="20" t="str">
        <f t="shared" si="221"/>
        <v>Centro Ampliado</v>
      </c>
      <c r="N508" s="20" t="str">
        <f t="shared" si="222"/>
        <v>Barrios Unidos</v>
      </c>
      <c r="O508" s="20" t="str">
        <f t="shared" si="223"/>
        <v>NO</v>
      </c>
      <c r="P508" s="20" t="str">
        <f t="shared" si="224"/>
        <v>No aplica</v>
      </c>
      <c r="Q508" s="20">
        <f t="shared" si="225"/>
        <v>27</v>
      </c>
      <c r="R508" s="20">
        <f t="shared" si="226"/>
        <v>1</v>
      </c>
      <c r="S508" s="20" t="str">
        <f t="shared" si="227"/>
        <v>ABC del Plan de Desarrollo Distrital. Objetivos de Salud, Devolución del PDD y Mesa local por el Cuidado de la Salud.</v>
      </c>
      <c r="T508" s="20">
        <f t="shared" si="228"/>
        <v>1</v>
      </c>
      <c r="U508" s="20" t="str">
        <f t="shared" ca="1" si="229"/>
        <v>Realizada</v>
      </c>
    </row>
    <row r="509" spans="1:21" ht="61.5">
      <c r="A509" s="20">
        <v>637</v>
      </c>
      <c r="B509" s="20" t="str">
        <f t="shared" si="210"/>
        <v>Gestión con Actores Estratégicos - Sector Occidente (CPL Engativá)</v>
      </c>
      <c r="C509" s="21">
        <f t="shared" si="211"/>
        <v>45470</v>
      </c>
      <c r="D509" s="20" t="str">
        <f t="shared" si="212"/>
        <v>OPDC</v>
      </c>
      <c r="E509" s="20" t="str">
        <f t="shared" si="213"/>
        <v>NO</v>
      </c>
      <c r="F509" s="20" t="str">
        <f t="shared" si="214"/>
        <v>Gestión en Territorio</v>
      </c>
      <c r="G509" s="20" t="str">
        <f t="shared" si="215"/>
        <v>Presencial</v>
      </c>
      <c r="H509" s="20" t="str">
        <f t="shared" si="216"/>
        <v>Fortalecer las relaciones con los actores estratégicos del territorio para articular los procesos de participación. CPL Engativá</v>
      </c>
      <c r="I509" s="20" t="str">
        <f t="shared" si="217"/>
        <v>Mecanismo de Fortalecimiento Ciudadano para la Planeación Participativa</v>
      </c>
      <c r="J509" s="20" t="str">
        <f t="shared" si="218"/>
        <v>Comunitario</v>
      </c>
      <c r="K509" s="20" t="str">
        <f t="shared" si="219"/>
        <v>CPL</v>
      </c>
      <c r="L509" s="20" t="str">
        <f t="shared" si="220"/>
        <v>Engativá</v>
      </c>
      <c r="M509" s="20" t="str">
        <f t="shared" si="221"/>
        <v>Occidente</v>
      </c>
      <c r="N509" s="20" t="str">
        <f t="shared" si="222"/>
        <v>Engativá, Tabora, Salitre</v>
      </c>
      <c r="O509" s="20" t="str">
        <f t="shared" si="223"/>
        <v>NO</v>
      </c>
      <c r="P509" s="20" t="str">
        <f t="shared" si="224"/>
        <v>No aplica</v>
      </c>
      <c r="Q509" s="20">
        <f t="shared" si="225"/>
        <v>8</v>
      </c>
      <c r="R509" s="20">
        <f t="shared" si="226"/>
        <v>2</v>
      </c>
      <c r="S509" s="20" t="str">
        <f t="shared" si="227"/>
        <v>Participación Plan Distrital de Desarrollo, socialización de construcción PDD, reunión con sectores CPL Engativá</v>
      </c>
      <c r="T509" s="20">
        <f t="shared" si="228"/>
        <v>1</v>
      </c>
      <c r="U509" s="20" t="str">
        <f t="shared" ca="1" si="229"/>
        <v>Realizada</v>
      </c>
    </row>
    <row r="510" spans="1:21" ht="61.5">
      <c r="A510" s="20">
        <v>639</v>
      </c>
      <c r="B510" s="20" t="str">
        <f t="shared" si="210"/>
        <v>Gestión con actores estratégicos - Localidad Usaquen (JAC)</v>
      </c>
      <c r="C510" s="21">
        <f t="shared" si="211"/>
        <v>45470</v>
      </c>
      <c r="D510" s="20" t="str">
        <f t="shared" si="212"/>
        <v>OPDC</v>
      </c>
      <c r="E510" s="20" t="str">
        <f t="shared" si="213"/>
        <v>NO</v>
      </c>
      <c r="F510" s="20" t="str">
        <f t="shared" si="214"/>
        <v>Gestión en Territorio</v>
      </c>
      <c r="G510" s="20" t="str">
        <f t="shared" si="215"/>
        <v>Presencial</v>
      </c>
      <c r="H510" s="20" t="str">
        <f t="shared" si="216"/>
        <v>Fortalecer las relaciones con los actores estratégicos del territorio para articular los procesos de participación. JAC</v>
      </c>
      <c r="I510" s="20" t="str">
        <f t="shared" si="217"/>
        <v>Mecanismo de Fortalecimiento Ciudadano para la Planeación Participativa</v>
      </c>
      <c r="J510" s="20" t="str">
        <f t="shared" si="218"/>
        <v>Comunitario</v>
      </c>
      <c r="K510" s="20" t="str">
        <f t="shared" si="219"/>
        <v>ASOJUNTAS - JAC</v>
      </c>
      <c r="L510" s="20" t="str">
        <f t="shared" si="220"/>
        <v>Usaquén</v>
      </c>
      <c r="M510" s="20" t="str">
        <f t="shared" si="221"/>
        <v>Norte</v>
      </c>
      <c r="N510" s="20" t="str">
        <f t="shared" si="222"/>
        <v>Usaquén, Toberín, Torca, Cerros Orientales</v>
      </c>
      <c r="O510" s="20" t="str">
        <f t="shared" si="223"/>
        <v>NO</v>
      </c>
      <c r="P510" s="20" t="str">
        <f t="shared" si="224"/>
        <v>No aplica</v>
      </c>
      <c r="Q510" s="20">
        <f t="shared" si="225"/>
        <v>6</v>
      </c>
      <c r="R510" s="20">
        <f t="shared" si="226"/>
        <v>1</v>
      </c>
      <c r="S510" s="20" t="str">
        <f t="shared" si="227"/>
        <v xml:space="preserve">Plan Distrita de Desarrollo, acuerdo 927/2024, devolución PDD </v>
      </c>
      <c r="T510" s="20">
        <f t="shared" si="228"/>
        <v>1</v>
      </c>
      <c r="U510" s="20" t="str">
        <f t="shared" ca="1" si="229"/>
        <v>Realizada</v>
      </c>
    </row>
    <row r="511" spans="1:21" ht="61.5">
      <c r="A511" s="20">
        <v>640</v>
      </c>
      <c r="B511" s="20" t="str">
        <f t="shared" si="210"/>
        <v xml:space="preserve">Gestión con actores estrategicos - JAC UPL Kennedy </v>
      </c>
      <c r="C511" s="21">
        <f t="shared" si="211"/>
        <v>45470</v>
      </c>
      <c r="D511" s="20" t="str">
        <f t="shared" si="212"/>
        <v>OPDC</v>
      </c>
      <c r="E511" s="20" t="str">
        <f t="shared" si="213"/>
        <v>NO</v>
      </c>
      <c r="F511" s="20" t="str">
        <f t="shared" si="214"/>
        <v>Gestión en Territorio</v>
      </c>
      <c r="G511" s="20" t="str">
        <f t="shared" si="215"/>
        <v>Presencial</v>
      </c>
      <c r="H511" s="20" t="str">
        <f t="shared" si="216"/>
        <v>Fortalecer las relaciones con los actores estratégicos del territorio para articular los procesos de participación. JAC CARVAJAL OSORIO, JAC  FLORALIA, JAC VALENCIA BOMBAY.</v>
      </c>
      <c r="I511" s="20" t="str">
        <f t="shared" si="217"/>
        <v>Mecanismo de Fortalecimiento Ciudadano para la Planeación Participativa</v>
      </c>
      <c r="J511" s="20" t="str">
        <f t="shared" si="218"/>
        <v>Multiactor</v>
      </c>
      <c r="K511" s="20">
        <f t="shared" si="219"/>
        <v>0</v>
      </c>
      <c r="L511" s="20" t="str">
        <f t="shared" si="220"/>
        <v>Kennedy</v>
      </c>
      <c r="M511" s="20" t="str">
        <f t="shared" si="221"/>
        <v>Suroccidente</v>
      </c>
      <c r="N511" s="20" t="str">
        <f t="shared" si="222"/>
        <v>Edén, Patio Bonito, Bosa</v>
      </c>
      <c r="O511" s="20" t="str">
        <f t="shared" si="223"/>
        <v>NO</v>
      </c>
      <c r="P511" s="20" t="str">
        <f t="shared" si="224"/>
        <v>No aplica</v>
      </c>
      <c r="Q511" s="20">
        <f t="shared" si="225"/>
        <v>4</v>
      </c>
      <c r="R511" s="20">
        <f t="shared" si="226"/>
        <v>3</v>
      </c>
      <c r="S511" s="20" t="str">
        <f t="shared" si="227"/>
        <v>Invitación a devolución sector suroccidente a actores estratégicos del territorio para articular los procesos de participación como la JAC Carvajal osorio, Flolaria y Valencia bombay.</v>
      </c>
      <c r="T511" s="20">
        <f t="shared" si="228"/>
        <v>1</v>
      </c>
      <c r="U511" s="20" t="str">
        <f t="shared" ca="1" si="229"/>
        <v>Realizada</v>
      </c>
    </row>
    <row r="512" spans="1:21" ht="61.5">
      <c r="A512" s="20">
        <v>641</v>
      </c>
      <c r="B512" s="20" t="str">
        <f t="shared" si="210"/>
        <v>Gestión con actores estratégicos - Sector Suroccidente UPL El Edén</v>
      </c>
      <c r="C512" s="21">
        <f t="shared" si="211"/>
        <v>45470</v>
      </c>
      <c r="D512" s="20" t="str">
        <f t="shared" si="212"/>
        <v>OPDC</v>
      </c>
      <c r="E512" s="20" t="str">
        <f t="shared" si="213"/>
        <v>NO</v>
      </c>
      <c r="F512" s="20" t="str">
        <f t="shared" si="214"/>
        <v>Gestión en Territorio</v>
      </c>
      <c r="G512" s="20" t="str">
        <f t="shared" si="215"/>
        <v>Presencial</v>
      </c>
      <c r="H512" s="20" t="str">
        <f t="shared" si="216"/>
        <v>Fortalecer las relaciones con los actores estratégicos del territorio para articular los procesos de participación. Asojuntas</v>
      </c>
      <c r="I512" s="20" t="str">
        <f t="shared" si="217"/>
        <v>Mecanismo de Fortalecimiento Ciudadano para la Planeación Participativa</v>
      </c>
      <c r="J512" s="20" t="str">
        <f t="shared" si="218"/>
        <v>Comunitario</v>
      </c>
      <c r="K512" s="20" t="str">
        <f t="shared" si="219"/>
        <v>ASOJUNTAS - JAC</v>
      </c>
      <c r="L512" s="20" t="str">
        <f t="shared" si="220"/>
        <v>Kennedy</v>
      </c>
      <c r="M512" s="20" t="str">
        <f t="shared" si="221"/>
        <v>Suroccidente</v>
      </c>
      <c r="N512" s="20" t="str">
        <f t="shared" si="222"/>
        <v>Edén, Patio Bonito, Bosa</v>
      </c>
      <c r="O512" s="20" t="str">
        <f t="shared" si="223"/>
        <v>NO</v>
      </c>
      <c r="P512" s="20" t="str">
        <f t="shared" si="224"/>
        <v>No aplica</v>
      </c>
      <c r="Q512" s="20">
        <f t="shared" si="225"/>
        <v>5</v>
      </c>
      <c r="R512" s="20">
        <f t="shared" si="226"/>
        <v>2</v>
      </c>
      <c r="S512" s="20" t="str">
        <f t="shared" si="227"/>
        <v>Actividades a desarrollar en el marco del PDD</v>
      </c>
      <c r="T512" s="20">
        <f t="shared" si="228"/>
        <v>1</v>
      </c>
      <c r="U512" s="20" t="str">
        <f t="shared" ca="1" si="229"/>
        <v>Realizada</v>
      </c>
    </row>
    <row r="513" spans="1:21" ht="49.5">
      <c r="A513" s="20">
        <v>642</v>
      </c>
      <c r="B513" s="20" t="str">
        <f t="shared" si="210"/>
        <v>Gestión con Actores Estratégicos – Localidad Chapinero CPL</v>
      </c>
      <c r="C513" s="21">
        <f t="shared" si="211"/>
        <v>45470</v>
      </c>
      <c r="D513" s="20" t="str">
        <f t="shared" si="212"/>
        <v>OPDC</v>
      </c>
      <c r="E513" s="20" t="str">
        <f t="shared" si="213"/>
        <v>NO</v>
      </c>
      <c r="F513" s="20" t="str">
        <f t="shared" si="214"/>
        <v>Gestión en Territorio</v>
      </c>
      <c r="G513" s="20" t="str">
        <f t="shared" si="215"/>
        <v>Presencial</v>
      </c>
      <c r="H513" s="20" t="str">
        <f t="shared" si="216"/>
        <v>Fortalecer las relaciones con los actores estrategicos del territorio para articular los procesos de participación, CPL Chapinero</v>
      </c>
      <c r="I513" s="20" t="str">
        <f t="shared" si="217"/>
        <v>Gestión Institucional</v>
      </c>
      <c r="J513" s="20" t="str">
        <f t="shared" si="218"/>
        <v>Comunitario</v>
      </c>
      <c r="K513" s="20" t="str">
        <f t="shared" si="219"/>
        <v>CPL</v>
      </c>
      <c r="L513" s="20" t="str">
        <f t="shared" si="220"/>
        <v>Chapinero</v>
      </c>
      <c r="M513" s="20" t="str">
        <f t="shared" si="221"/>
        <v>Centro Ampliado</v>
      </c>
      <c r="N513" s="20" t="str">
        <f t="shared" si="222"/>
        <v>Chapinero, Cerros Orientales, Centro Histórico</v>
      </c>
      <c r="O513" s="20" t="str">
        <f t="shared" si="223"/>
        <v>NO</v>
      </c>
      <c r="P513" s="20" t="str">
        <f t="shared" si="224"/>
        <v>No aplica</v>
      </c>
      <c r="Q513" s="20">
        <f t="shared" si="225"/>
        <v>3</v>
      </c>
      <c r="R513" s="20">
        <f t="shared" si="226"/>
        <v>2</v>
      </c>
      <c r="S513" s="20" t="str">
        <f t="shared" si="227"/>
        <v>Plan de desarrollo distrital y POT</v>
      </c>
      <c r="T513" s="20">
        <f t="shared" si="228"/>
        <v>1</v>
      </c>
      <c r="U513" s="20" t="str">
        <f t="shared" ca="1" si="229"/>
        <v>Realizada</v>
      </c>
    </row>
    <row r="514" spans="1:21" ht="61.5">
      <c r="A514" s="20">
        <v>643</v>
      </c>
      <c r="B514" s="20" t="str">
        <f t="shared" si="210"/>
        <v>Gestión con actores estratégicos Suroccidente - Asojuntas Tintal</v>
      </c>
      <c r="C514" s="21">
        <f t="shared" si="211"/>
        <v>45470</v>
      </c>
      <c r="D514" s="20" t="str">
        <f t="shared" si="212"/>
        <v>OPDC</v>
      </c>
      <c r="E514" s="20" t="str">
        <f t="shared" si="213"/>
        <v>NO</v>
      </c>
      <c r="F514" s="20" t="str">
        <f t="shared" si="214"/>
        <v>Gestión en Territorio</v>
      </c>
      <c r="G514" s="20" t="str">
        <f t="shared" si="215"/>
        <v>Presencial</v>
      </c>
      <c r="H514" s="20" t="str">
        <f t="shared" si="216"/>
        <v>Fortalecer las relaciones con los actores estratégicos del territorio para articular los procesos de participación. Asojuntas Tintal</v>
      </c>
      <c r="I514" s="20" t="str">
        <f t="shared" si="217"/>
        <v>Mecanismo de Fortalecimiento Ciudadano para la Planeación Participativa</v>
      </c>
      <c r="J514" s="20" t="str">
        <f t="shared" si="218"/>
        <v>Comunitario</v>
      </c>
      <c r="K514" s="20" t="str">
        <f t="shared" si="219"/>
        <v>ASOJUNTAS - JAC</v>
      </c>
      <c r="L514" s="20" t="str">
        <f t="shared" si="220"/>
        <v>Kennedy</v>
      </c>
      <c r="M514" s="20" t="str">
        <f t="shared" si="221"/>
        <v>Suroccidente</v>
      </c>
      <c r="N514" s="20" t="str">
        <f t="shared" si="222"/>
        <v>Edén, Patio Bonito, Bosa</v>
      </c>
      <c r="O514" s="20" t="str">
        <f t="shared" si="223"/>
        <v>NO</v>
      </c>
      <c r="P514" s="20" t="str">
        <f t="shared" si="224"/>
        <v>No aplica</v>
      </c>
      <c r="Q514" s="20">
        <f t="shared" si="225"/>
        <v>2</v>
      </c>
      <c r="R514" s="20">
        <f t="shared" si="226"/>
        <v>2</v>
      </c>
      <c r="S514" s="20" t="str">
        <f t="shared" si="227"/>
        <v>Invitación a devolución sector suroccidente a actores estratégicos del territorio para articular los procesos de participación como la JAC Villa alsacia y fundavivir  de la UPL Tintal</v>
      </c>
      <c r="T514" s="20">
        <f t="shared" si="228"/>
        <v>1</v>
      </c>
      <c r="U514" s="20" t="str">
        <f t="shared" ca="1" si="229"/>
        <v>Realizada</v>
      </c>
    </row>
    <row r="515" spans="1:21" ht="49.5">
      <c r="A515" s="20">
        <v>644</v>
      </c>
      <c r="B515" s="20" t="str">
        <f t="shared" si="210"/>
        <v>Reunión con gremio de comerciantes y autopartistas AE campin 7 de agosto</v>
      </c>
      <c r="C515" s="21">
        <f t="shared" si="211"/>
        <v>45471</v>
      </c>
      <c r="D515" s="20" t="str">
        <f t="shared" si="212"/>
        <v>OPDC</v>
      </c>
      <c r="E515" s="20" t="str">
        <f t="shared" si="213"/>
        <v>SÍ</v>
      </c>
      <c r="F515" s="20" t="str">
        <f t="shared" si="214"/>
        <v>Construcción de Directrices de Actuaciones Estratégicas</v>
      </c>
      <c r="G515" s="20" t="str">
        <f t="shared" si="215"/>
        <v>Presencial</v>
      </c>
      <c r="H515" s="20" t="str">
        <f t="shared" si="216"/>
        <v>Dialogar con representantes de los colectivos autopartistas y comerciantes ubicados en el área de influencia de la AE campin 7 de agosto.</v>
      </c>
      <c r="I515" s="20" t="str">
        <f t="shared" si="217"/>
        <v>Mecanismo de Diálogo</v>
      </c>
      <c r="J515" s="20" t="str">
        <f t="shared" si="218"/>
        <v>Multiactor</v>
      </c>
      <c r="K515" s="20">
        <f t="shared" si="219"/>
        <v>0</v>
      </c>
      <c r="L515" s="20" t="str">
        <f t="shared" si="220"/>
        <v>Barrios Unidos</v>
      </c>
      <c r="M515" s="20" t="str">
        <f t="shared" si="221"/>
        <v>Centro Ampliado</v>
      </c>
      <c r="N515" s="20" t="str">
        <f t="shared" si="222"/>
        <v>Barrios Unidos</v>
      </c>
      <c r="O515" s="20" t="str">
        <f t="shared" si="223"/>
        <v>NO</v>
      </c>
      <c r="P515" s="20" t="str">
        <f t="shared" si="224"/>
        <v>No aplica</v>
      </c>
      <c r="Q515" s="20">
        <f t="shared" si="225"/>
        <v>3</v>
      </c>
      <c r="R515" s="20">
        <f t="shared" si="226"/>
        <v>4</v>
      </c>
      <c r="S515" s="20" t="str">
        <f t="shared" si="227"/>
        <v>Compartir la fase de directrices y resolver las imprecisiones alrededor de la AE campin 7 de agosto, con actores especializados del sector.</v>
      </c>
      <c r="T515" s="20">
        <f t="shared" si="228"/>
        <v>1</v>
      </c>
      <c r="U515" s="20" t="str">
        <f t="shared" ca="1" si="229"/>
        <v>Realizada</v>
      </c>
    </row>
    <row r="516" spans="1:21" ht="61.5">
      <c r="A516" s="20">
        <v>645</v>
      </c>
      <c r="B516" s="20" t="str">
        <f t="shared" si="210"/>
        <v>Gestión con actores estratégicos -  CPL Tunjuelito</v>
      </c>
      <c r="C516" s="21">
        <f t="shared" si="211"/>
        <v>45471</v>
      </c>
      <c r="D516" s="20" t="str">
        <f t="shared" si="212"/>
        <v>OPDC</v>
      </c>
      <c r="E516" s="20" t="str">
        <f t="shared" si="213"/>
        <v>NO</v>
      </c>
      <c r="F516" s="20" t="str">
        <f t="shared" si="214"/>
        <v>Gestión en Territorio</v>
      </c>
      <c r="G516" s="20" t="str">
        <f t="shared" si="215"/>
        <v>Presencial</v>
      </c>
      <c r="H516" s="20" t="str">
        <f t="shared" si="216"/>
        <v>Fortalecer las relaciones con los actores estratégicos del territorio para articular los procesos de participación. Consejo de Planeación Local (CPL) de Tunjuelito. CPL de Tunjuelito</v>
      </c>
      <c r="I516" s="20" t="str">
        <f t="shared" si="217"/>
        <v>Gestión Institucional</v>
      </c>
      <c r="J516" s="20" t="str">
        <f t="shared" si="218"/>
        <v>Comunitario</v>
      </c>
      <c r="K516" s="20" t="str">
        <f t="shared" si="219"/>
        <v>CPL</v>
      </c>
      <c r="L516" s="20" t="str">
        <f t="shared" si="220"/>
        <v>Tunjuelito</v>
      </c>
      <c r="M516" s="20" t="str">
        <f t="shared" si="221"/>
        <v>Suroriente</v>
      </c>
      <c r="N516" s="20" t="str">
        <f t="shared" si="222"/>
        <v>Tunjuelito, Arborizadora</v>
      </c>
      <c r="O516" s="20" t="str">
        <f t="shared" si="223"/>
        <v>NO</v>
      </c>
      <c r="P516" s="20" t="str">
        <f t="shared" si="224"/>
        <v>No aplica</v>
      </c>
      <c r="Q516" s="20">
        <f t="shared" si="225"/>
        <v>11</v>
      </c>
      <c r="R516" s="20">
        <f t="shared" si="226"/>
        <v>1</v>
      </c>
      <c r="S516" s="20" t="str">
        <f t="shared" si="227"/>
        <v>Plan de Desarrollo Distrital; POT SPT; Acción devoluciín PDD;</v>
      </c>
      <c r="T516" s="20">
        <f t="shared" si="228"/>
        <v>1</v>
      </c>
      <c r="U516" s="20" t="str">
        <f t="shared" ca="1" si="229"/>
        <v>Realizada</v>
      </c>
    </row>
    <row r="517" spans="1:21" ht="49.5">
      <c r="A517" s="20">
        <v>647</v>
      </c>
      <c r="B517" s="20" t="str">
        <f t="shared" si="210"/>
        <v>Apoyo Escuela Nacional León Zuleta</v>
      </c>
      <c r="C517" s="21">
        <f t="shared" si="211"/>
        <v>45471</v>
      </c>
      <c r="D517" s="20" t="str">
        <f t="shared" si="212"/>
        <v>GENERAL SDP</v>
      </c>
      <c r="E517" s="20" t="str">
        <f t="shared" si="213"/>
        <v>NO</v>
      </c>
      <c r="F517" s="20" t="str">
        <f t="shared" si="214"/>
        <v>Política Pública LGBTI</v>
      </c>
      <c r="G517" s="20" t="str">
        <f t="shared" si="215"/>
        <v>Presencial</v>
      </c>
      <c r="H517" s="20" t="str">
        <f t="shared" si="216"/>
        <v>Apoyar la Escuela Nacional León Zuleta Bloque Ideológico-  movimiento social dando cumplimiento al plan de accion de la política publica LGBTI</v>
      </c>
      <c r="I517" s="20" t="str">
        <f t="shared" si="217"/>
        <v>Gestión Institucional</v>
      </c>
      <c r="J517" s="20" t="str">
        <f t="shared" si="218"/>
        <v>Multiactor</v>
      </c>
      <c r="K517" s="20">
        <f t="shared" si="219"/>
        <v>0</v>
      </c>
      <c r="L517" s="20" t="str">
        <f t="shared" si="220"/>
        <v>Distrital</v>
      </c>
      <c r="M517" s="20" t="str">
        <f t="shared" si="221"/>
        <v>Distrital</v>
      </c>
      <c r="N517" s="20" t="str">
        <f t="shared" si="222"/>
        <v>Distrital</v>
      </c>
      <c r="O517" s="20" t="str">
        <f t="shared" si="223"/>
        <v>NO</v>
      </c>
      <c r="P517" s="20" t="str">
        <f t="shared" si="224"/>
        <v>No aplica</v>
      </c>
      <c r="Q517" s="20">
        <f t="shared" si="225"/>
        <v>3</v>
      </c>
      <c r="R517" s="20">
        <f t="shared" si="226"/>
        <v>3</v>
      </c>
      <c r="S517" s="20" t="str">
        <f t="shared" si="227"/>
        <v xml:space="preserve">Acompañamiento y apoyo a escuela del colectivo león Zuleta en el marco del cumplimiento a meta del plan de accion de la política publica LGBTI </v>
      </c>
      <c r="T517" s="20">
        <f t="shared" si="228"/>
        <v>1</v>
      </c>
      <c r="U517" s="20" t="str">
        <f t="shared" ca="1" si="229"/>
        <v>Realizada</v>
      </c>
    </row>
    <row r="518" spans="1:21" ht="61.5">
      <c r="A518" s="20">
        <v>648</v>
      </c>
      <c r="B518" s="20" t="str">
        <f t="shared" si="210"/>
        <v>Activación de actores alcaldía local de Rafael Uribe Uribe</v>
      </c>
      <c r="C518" s="21">
        <f t="shared" si="211"/>
        <v>45471</v>
      </c>
      <c r="D518" s="20" t="str">
        <f t="shared" si="212"/>
        <v>OPDC</v>
      </c>
      <c r="E518" s="20" t="str">
        <f t="shared" si="213"/>
        <v>NO</v>
      </c>
      <c r="F518" s="20" t="str">
        <f t="shared" si="214"/>
        <v>Gestión en Territorio</v>
      </c>
      <c r="G518" s="20" t="str">
        <f t="shared" si="215"/>
        <v>Presencial</v>
      </c>
      <c r="H518" s="20" t="str">
        <f t="shared" si="216"/>
        <v>Socializar con funcionarios de la alcaldía local de Rafael Uribe Uribe el plan de desarrollo distrital</v>
      </c>
      <c r="I518" s="20" t="str">
        <f t="shared" si="217"/>
        <v>Mecanismo de Fortalecimiento Ciudadano para la Planeación Participativa</v>
      </c>
      <c r="J518" s="20" t="str">
        <f t="shared" si="218"/>
        <v>Público</v>
      </c>
      <c r="K518" s="20" t="str">
        <f t="shared" si="219"/>
        <v>Servidores públicos (Distrital)</v>
      </c>
      <c r="L518" s="20" t="str">
        <f t="shared" si="220"/>
        <v>Rafael Uribe Uribe</v>
      </c>
      <c r="M518" s="20" t="str">
        <f t="shared" si="221"/>
        <v>Suroriente</v>
      </c>
      <c r="N518" s="20" t="str">
        <f t="shared" si="222"/>
        <v>Restrepo, Rafael Uribe, San Cristobal</v>
      </c>
      <c r="O518" s="20" t="str">
        <f t="shared" si="223"/>
        <v>NO</v>
      </c>
      <c r="P518" s="20" t="str">
        <f t="shared" si="224"/>
        <v>No aplica</v>
      </c>
      <c r="Q518" s="20">
        <f t="shared" si="225"/>
        <v>10</v>
      </c>
      <c r="R518" s="20">
        <f t="shared" si="226"/>
        <v>1</v>
      </c>
      <c r="S518" s="20" t="str">
        <f t="shared" si="227"/>
        <v>ABC Del Plan De Desarrollo Distrital, Principales Logros</v>
      </c>
      <c r="T518" s="20">
        <f t="shared" si="228"/>
        <v>1</v>
      </c>
      <c r="U518" s="20" t="str">
        <f t="shared" ca="1" si="229"/>
        <v>Realizada</v>
      </c>
    </row>
    <row r="519" spans="1:21" ht="61.5">
      <c r="A519" s="20">
        <v>649</v>
      </c>
      <c r="B519" s="20" t="str">
        <f t="shared" si="210"/>
        <v>Activación de actores líderes comunitarios asistentes a proceso de formación recursos humanos</v>
      </c>
      <c r="C519" s="21">
        <f t="shared" si="211"/>
        <v>45472</v>
      </c>
      <c r="D519" s="20" t="str">
        <f t="shared" si="212"/>
        <v>OPDC</v>
      </c>
      <c r="E519" s="20" t="str">
        <f t="shared" si="213"/>
        <v>NO</v>
      </c>
      <c r="F519" s="20" t="str">
        <f t="shared" si="214"/>
        <v>Gestión en Territorio</v>
      </c>
      <c r="G519" s="20" t="str">
        <f t="shared" si="215"/>
        <v>Presencial</v>
      </c>
      <c r="H519" s="20" t="str">
        <f t="shared" si="216"/>
        <v>Socializar a los asistentes del técnico de recursos humanos acerca deñ Plan Distrital de Desarrollo, el ABC, se les invita a devolución del sector suroriental</v>
      </c>
      <c r="I519" s="20" t="str">
        <f t="shared" si="217"/>
        <v>Mecanismo de Fortalecimiento Ciudadano para la Planeación Participativa</v>
      </c>
      <c r="J519" s="20" t="str">
        <f t="shared" si="218"/>
        <v>Comunitario</v>
      </c>
      <c r="K519" s="20" t="str">
        <f t="shared" si="219"/>
        <v>Grupos focales</v>
      </c>
      <c r="L519" s="20" t="str">
        <f t="shared" si="220"/>
        <v>Rafael Uribe Uribe</v>
      </c>
      <c r="M519" s="20" t="str">
        <f t="shared" si="221"/>
        <v>Suroriente</v>
      </c>
      <c r="N519" s="20" t="str">
        <f t="shared" si="222"/>
        <v>Restrepo, Rafael Uribe, San Cristobal</v>
      </c>
      <c r="O519" s="20" t="str">
        <f t="shared" si="223"/>
        <v>NO</v>
      </c>
      <c r="P519" s="20" t="str">
        <f t="shared" si="224"/>
        <v>No aplica</v>
      </c>
      <c r="Q519" s="20">
        <f t="shared" si="225"/>
        <v>7</v>
      </c>
      <c r="R519" s="20">
        <f t="shared" si="226"/>
        <v>1</v>
      </c>
      <c r="S519" s="20" t="str">
        <f t="shared" si="227"/>
        <v>Socialización del Plan de Desarrollo Distrital,  metas de la localidad, el ABC y se invita a la devolución sector suroriental</v>
      </c>
      <c r="T519" s="20">
        <f t="shared" si="228"/>
        <v>1</v>
      </c>
      <c r="U519" s="20" t="str">
        <f t="shared" ca="1" si="229"/>
        <v>Realizada</v>
      </c>
    </row>
    <row r="520" spans="1:21" ht="61.5">
      <c r="A520" s="20">
        <v>650</v>
      </c>
      <c r="B520" s="20" t="str">
        <f t="shared" si="210"/>
        <v>Reactivación actores JAC La Merced</v>
      </c>
      <c r="C520" s="21">
        <f t="shared" si="211"/>
        <v>45472</v>
      </c>
      <c r="D520" s="20" t="str">
        <f t="shared" si="212"/>
        <v>OPDC</v>
      </c>
      <c r="E520" s="20" t="str">
        <f t="shared" si="213"/>
        <v>NO</v>
      </c>
      <c r="F520" s="20" t="str">
        <f t="shared" si="214"/>
        <v>Gestión en Territorio</v>
      </c>
      <c r="G520" s="20" t="str">
        <f t="shared" si="215"/>
        <v>Presencial</v>
      </c>
      <c r="H520" s="20" t="str">
        <f t="shared" si="216"/>
        <v>Socializar el Plan de Desarrollo Distrital, el ABC, presentar los principales proyectos del plan y convocar a la devolución de la sur oriental</v>
      </c>
      <c r="I520" s="20" t="str">
        <f t="shared" si="217"/>
        <v>Mecanismo de Fortalecimiento Ciudadano para la Planeación Participativa</v>
      </c>
      <c r="J520" s="20" t="str">
        <f t="shared" si="218"/>
        <v>Comunitario</v>
      </c>
      <c r="K520" s="20" t="str">
        <f t="shared" si="219"/>
        <v>ASOJUNTAS - JAC</v>
      </c>
      <c r="L520" s="20" t="str">
        <f t="shared" si="220"/>
        <v>Rafael Uribe Uribe</v>
      </c>
      <c r="M520" s="20" t="str">
        <f t="shared" si="221"/>
        <v>Suroriente</v>
      </c>
      <c r="N520" s="20" t="str">
        <f t="shared" si="222"/>
        <v>Restrepo, Rafael Uribe, San Cristobal</v>
      </c>
      <c r="O520" s="20" t="str">
        <f t="shared" si="223"/>
        <v>NO</v>
      </c>
      <c r="P520" s="20" t="str">
        <f t="shared" si="224"/>
        <v>No aplica</v>
      </c>
      <c r="Q520" s="20">
        <f t="shared" si="225"/>
        <v>2</v>
      </c>
      <c r="R520" s="20">
        <f t="shared" si="226"/>
        <v>1</v>
      </c>
      <c r="S520" s="20" t="str">
        <f t="shared" si="227"/>
        <v>Socialización del Plan de Desarrollo Distrital,  metas de la localidad, el ABC y se invita a la devolución sector suroriental</v>
      </c>
      <c r="T520" s="20">
        <f t="shared" si="228"/>
        <v>1</v>
      </c>
      <c r="U520" s="20" t="str">
        <f t="shared" ca="1" si="229"/>
        <v>Realizada</v>
      </c>
    </row>
    <row r="521" spans="1:21" ht="61.5">
      <c r="A521" s="20">
        <v>651</v>
      </c>
      <c r="B521" s="20" t="str">
        <f t="shared" si="210"/>
        <v>Reactivación de actores</v>
      </c>
      <c r="C521" s="21">
        <f t="shared" si="211"/>
        <v>45472</v>
      </c>
      <c r="D521" s="20" t="str">
        <f t="shared" si="212"/>
        <v>OPDC</v>
      </c>
      <c r="E521" s="20" t="str">
        <f t="shared" si="213"/>
        <v>NO</v>
      </c>
      <c r="F521" s="20" t="str">
        <f t="shared" si="214"/>
        <v>Gestión en Territorio</v>
      </c>
      <c r="G521" s="20" t="str">
        <f t="shared" si="215"/>
        <v>Presencial</v>
      </c>
      <c r="H521" s="20" t="str">
        <f t="shared" si="216"/>
        <v>Socializar el Plan de Desarrollo Distrital, su ABC y convocarlo a devolución de la zona Sur Oriental</v>
      </c>
      <c r="I521" s="20" t="str">
        <f t="shared" si="217"/>
        <v>Mecanismo de Fortalecimiento Ciudadano para la Planeación Participativa</v>
      </c>
      <c r="J521" s="20" t="str">
        <f t="shared" si="218"/>
        <v>Comunitario</v>
      </c>
      <c r="K521" s="20" t="str">
        <f t="shared" si="219"/>
        <v>ASOJUNTAS - JAC</v>
      </c>
      <c r="L521" s="20" t="str">
        <f t="shared" si="220"/>
        <v>Rafael Uribe Uribe</v>
      </c>
      <c r="M521" s="20" t="str">
        <f t="shared" si="221"/>
        <v>Suroriente</v>
      </c>
      <c r="N521" s="20" t="str">
        <f t="shared" si="222"/>
        <v>Restrepo, Rafael Uribe, San Cristobal</v>
      </c>
      <c r="O521" s="20" t="str">
        <f t="shared" si="223"/>
        <v>NO</v>
      </c>
      <c r="P521" s="20" t="str">
        <f t="shared" si="224"/>
        <v>No aplica</v>
      </c>
      <c r="Q521" s="20">
        <f t="shared" si="225"/>
        <v>1</v>
      </c>
      <c r="R521" s="20">
        <f t="shared" si="226"/>
        <v>1</v>
      </c>
      <c r="S521" s="20" t="str">
        <f t="shared" si="227"/>
        <v>Socialización del Plan de Desarrollo Distrital,  metas de la localidad, el ABC y se invita a la devolución sector suroriental</v>
      </c>
      <c r="T521" s="20">
        <f t="shared" si="228"/>
        <v>1</v>
      </c>
      <c r="U521" s="20" t="str">
        <f t="shared" ca="1" si="229"/>
        <v>Realizada</v>
      </c>
    </row>
    <row r="522" spans="1:21" ht="49.5">
      <c r="A522" s="20">
        <v>652</v>
      </c>
      <c r="B522" s="20" t="str">
        <f t="shared" si="210"/>
        <v>Orion Mi orgullo Stonewall Inn</v>
      </c>
      <c r="C522" s="21">
        <f t="shared" si="211"/>
        <v>45472</v>
      </c>
      <c r="D522" s="20" t="str">
        <f t="shared" si="212"/>
        <v>GENERAL SDP</v>
      </c>
      <c r="E522" s="20" t="str">
        <f t="shared" si="213"/>
        <v>NO</v>
      </c>
      <c r="F522" s="20" t="str">
        <f t="shared" si="214"/>
        <v>Política Pública LGBTI</v>
      </c>
      <c r="G522" s="20" t="str">
        <f t="shared" si="215"/>
        <v>Presencial</v>
      </c>
      <c r="H522" s="20" t="str">
        <f t="shared" si="216"/>
        <v>Apoyar Conmemoración Orión Mi orgullo Stonewall Inn, dando cumplimiento al plan de accion de la política publica LGBTI</v>
      </c>
      <c r="I522" s="20" t="str">
        <f t="shared" si="217"/>
        <v>Gestión Institucional</v>
      </c>
      <c r="J522" s="20" t="str">
        <f t="shared" si="218"/>
        <v>Multiactor</v>
      </c>
      <c r="K522" s="20">
        <f t="shared" si="219"/>
        <v>0</v>
      </c>
      <c r="L522" s="20" t="str">
        <f t="shared" si="220"/>
        <v>Distrital</v>
      </c>
      <c r="M522" s="20" t="str">
        <f t="shared" si="221"/>
        <v>Distrital</v>
      </c>
      <c r="N522" s="20" t="str">
        <f t="shared" si="222"/>
        <v>Distrital</v>
      </c>
      <c r="O522" s="20" t="str">
        <f t="shared" si="223"/>
        <v>NO</v>
      </c>
      <c r="P522" s="20" t="str">
        <f t="shared" si="224"/>
        <v>No aplica</v>
      </c>
      <c r="Q522" s="20">
        <f t="shared" si="225"/>
        <v>100</v>
      </c>
      <c r="R522" s="20">
        <f t="shared" si="226"/>
        <v>5</v>
      </c>
      <c r="S522" s="20" t="str">
        <f t="shared" si="227"/>
        <v>Conmemoración Orión Mi orgullo Stonewall Inn</v>
      </c>
      <c r="T522" s="20">
        <f t="shared" si="228"/>
        <v>1</v>
      </c>
      <c r="U522" s="20" t="str">
        <f t="shared" ca="1" si="229"/>
        <v>Realizada</v>
      </c>
    </row>
    <row r="523" spans="1:21" ht="37.5">
      <c r="A523" s="20">
        <v>653</v>
      </c>
      <c r="B523" s="20" t="str">
        <f t="shared" si="210"/>
        <v>Marcha LGBTI 2024</v>
      </c>
      <c r="C523" s="21">
        <f t="shared" si="211"/>
        <v>45473</v>
      </c>
      <c r="D523" s="20" t="str">
        <f t="shared" si="212"/>
        <v>GENERAL SDP</v>
      </c>
      <c r="E523" s="20" t="str">
        <f t="shared" si="213"/>
        <v>NO</v>
      </c>
      <c r="F523" s="20" t="str">
        <f t="shared" si="214"/>
        <v>Política Pública LGBTI</v>
      </c>
      <c r="G523" s="20" t="str">
        <f t="shared" si="215"/>
        <v>Presencial</v>
      </c>
      <c r="H523" s="20" t="str">
        <f t="shared" si="216"/>
        <v>Celebrar la diversidad y el Orgullo Bogotá en la Gran Marcha del Orgullo LGBTI</v>
      </c>
      <c r="I523" s="20" t="str">
        <f t="shared" si="217"/>
        <v>Gestión Institucional</v>
      </c>
      <c r="J523" s="20" t="str">
        <f t="shared" si="218"/>
        <v>Multiactor</v>
      </c>
      <c r="K523" s="20">
        <f t="shared" si="219"/>
        <v>0</v>
      </c>
      <c r="L523" s="20" t="str">
        <f t="shared" si="220"/>
        <v>Distrital</v>
      </c>
      <c r="M523" s="20" t="str">
        <f t="shared" si="221"/>
        <v>Centro Ampliado</v>
      </c>
      <c r="N523" s="20" t="str">
        <f t="shared" si="222"/>
        <v>Centro Histórico, Cerros Orientales</v>
      </c>
      <c r="O523" s="20" t="str">
        <f t="shared" si="223"/>
        <v>NO</v>
      </c>
      <c r="P523" s="20" t="str">
        <f t="shared" si="224"/>
        <v>No aplica</v>
      </c>
      <c r="Q523" s="20">
        <f t="shared" si="225"/>
        <v>1000</v>
      </c>
      <c r="R523" s="20">
        <f t="shared" si="226"/>
        <v>9</v>
      </c>
      <c r="S523" s="20" t="str">
        <f t="shared" si="227"/>
        <v xml:space="preserve">Participación en marcha como parte de la articulación interinstitucional con la DDSPG </v>
      </c>
      <c r="T523" s="20">
        <f t="shared" si="228"/>
        <v>1</v>
      </c>
      <c r="U523" s="20" t="str">
        <f t="shared" ca="1" si="229"/>
        <v>Realizada</v>
      </c>
    </row>
    <row r="524" spans="1:21" ht="49.5">
      <c r="A524" s="20">
        <v>655</v>
      </c>
      <c r="B524" s="20" t="str">
        <f t="shared" si="210"/>
        <v>CLIP Santa Fe</v>
      </c>
      <c r="C524" s="21">
        <f t="shared" si="211"/>
        <v>45475</v>
      </c>
      <c r="D524" s="20" t="str">
        <f t="shared" si="212"/>
        <v>INSTANCIAS</v>
      </c>
      <c r="E524" s="20" t="str">
        <f t="shared" si="213"/>
        <v>NO</v>
      </c>
      <c r="F524" s="20" t="str">
        <f t="shared" si="214"/>
        <v>CLIP (Comisión Local Intersectorial de Participación)</v>
      </c>
      <c r="G524" s="20" t="str">
        <f t="shared" si="215"/>
        <v>Presencial</v>
      </c>
      <c r="H524" s="20" t="str">
        <f t="shared" si="216"/>
        <v>Acompañar la articulación de los esfuerzos institucionales de participación en la localidad de Santa Fe</v>
      </c>
      <c r="I524" s="20" t="str">
        <f t="shared" si="217"/>
        <v>Gestión Institucional</v>
      </c>
      <c r="J524" s="20" t="str">
        <f t="shared" si="218"/>
        <v>Público</v>
      </c>
      <c r="K524" s="20" t="str">
        <f t="shared" si="219"/>
        <v>CLIP</v>
      </c>
      <c r="L524" s="20" t="str">
        <f t="shared" si="220"/>
        <v>Santa Fe</v>
      </c>
      <c r="M524" s="20" t="str">
        <f t="shared" si="221"/>
        <v>Centro Ampliado, Ruralidad</v>
      </c>
      <c r="N524" s="20" t="str">
        <f t="shared" si="222"/>
        <v>Centro Histórico, Cerros Orientales</v>
      </c>
      <c r="O524" s="20" t="str">
        <f t="shared" si="223"/>
        <v>NO</v>
      </c>
      <c r="P524" s="20" t="str">
        <f t="shared" si="224"/>
        <v>No aplica</v>
      </c>
      <c r="Q524" s="20">
        <f t="shared" si="225"/>
        <v>20</v>
      </c>
      <c r="R524" s="20">
        <f t="shared" si="226"/>
        <v>1</v>
      </c>
      <c r="S524" s="20" t="str">
        <f t="shared" si="227"/>
        <v>Socialización talleres en salud en el Laboratorio TIPS - S. Salud,  Presupuestos participativos - Alcaldía Local y Programa de escalamientos de conflictos y acompañamientos - Gobierno</v>
      </c>
      <c r="T524" s="20">
        <f t="shared" si="228"/>
        <v>1</v>
      </c>
      <c r="U524" s="20" t="str">
        <f t="shared" ca="1" si="229"/>
        <v>Realizada</v>
      </c>
    </row>
    <row r="525" spans="1:21" ht="61.5">
      <c r="A525" s="20">
        <v>656</v>
      </c>
      <c r="B525" s="20" t="str">
        <f t="shared" si="210"/>
        <v>Gestión con actores estratégicos - Consejo Local de Ruralidad Usme (UPL CUENCA DEL TUNJUELO)</v>
      </c>
      <c r="C525" s="21">
        <f t="shared" si="211"/>
        <v>45475</v>
      </c>
      <c r="D525" s="20" t="str">
        <f t="shared" si="212"/>
        <v>OPDC</v>
      </c>
      <c r="E525" s="20" t="str">
        <f t="shared" si="213"/>
        <v>NO</v>
      </c>
      <c r="F525" s="20" t="str">
        <f t="shared" si="214"/>
        <v>Gestión en Territorio</v>
      </c>
      <c r="G525" s="20" t="str">
        <f t="shared" si="215"/>
        <v>Presencial</v>
      </c>
      <c r="H525" s="20" t="str">
        <f t="shared" si="216"/>
        <v>Fortalecer las relaciones con los actores estrategicos del territorio para articular los procesos de participación.</v>
      </c>
      <c r="I525" s="20" t="str">
        <f t="shared" si="217"/>
        <v>Mecanismo de Fortalecimiento Ciudadano para la Planeación Participativa</v>
      </c>
      <c r="J525" s="20" t="str">
        <f t="shared" si="218"/>
        <v>Comunitario</v>
      </c>
      <c r="K525" s="20" t="str">
        <f t="shared" si="219"/>
        <v>Consejo Local</v>
      </c>
      <c r="L525" s="20" t="str">
        <f t="shared" si="220"/>
        <v>Usme</v>
      </c>
      <c r="M525" s="20" t="str">
        <f t="shared" si="221"/>
        <v>Ruralidad</v>
      </c>
      <c r="N525" s="20" t="str">
        <f t="shared" si="222"/>
        <v>Usme Entrenubes, Rafael Uribe, Cerros Orientales, Cuenca del Tunjuelo</v>
      </c>
      <c r="O525" s="20" t="str">
        <f t="shared" si="223"/>
        <v>NO</v>
      </c>
      <c r="P525" s="20" t="str">
        <f t="shared" si="224"/>
        <v>No aplica</v>
      </c>
      <c r="Q525" s="20">
        <f t="shared" si="225"/>
        <v>9</v>
      </c>
      <c r="R525" s="20">
        <f t="shared" si="226"/>
        <v>2</v>
      </c>
      <c r="S525" s="20" t="str">
        <f t="shared" si="227"/>
        <v>Plan Distrital de Desarrollo - Política Pública de Ruralidad</v>
      </c>
      <c r="T525" s="20">
        <f t="shared" si="228"/>
        <v>1</v>
      </c>
      <c r="U525" s="20" t="str">
        <f t="shared" ca="1" si="229"/>
        <v>Realizada</v>
      </c>
    </row>
    <row r="526" spans="1:21" ht="49.5">
      <c r="A526" s="20">
        <v>657</v>
      </c>
      <c r="B526" s="20" t="str">
        <f t="shared" si="210"/>
        <v>CLIP Fontibon</v>
      </c>
      <c r="C526" s="21">
        <f t="shared" si="211"/>
        <v>45475</v>
      </c>
      <c r="D526" s="20" t="str">
        <f t="shared" si="212"/>
        <v>INSTANCIAS</v>
      </c>
      <c r="E526" s="20" t="str">
        <f t="shared" si="213"/>
        <v>NO</v>
      </c>
      <c r="F526" s="20" t="str">
        <f t="shared" si="214"/>
        <v>CLIP (Comisión Local Intersectorial de Participación)</v>
      </c>
      <c r="G526" s="20" t="str">
        <f t="shared" si="215"/>
        <v>Presencial</v>
      </c>
      <c r="H526" s="20" t="str">
        <f t="shared" si="216"/>
        <v>Acompañar la articulación de los esfuerzos institucionales de participación en la localidad de Fontibón</v>
      </c>
      <c r="I526" s="20" t="str">
        <f t="shared" si="217"/>
        <v>Gestión Institucional</v>
      </c>
      <c r="J526" s="20" t="str">
        <f t="shared" si="218"/>
        <v>Multiactor</v>
      </c>
      <c r="K526" s="20">
        <f t="shared" si="219"/>
        <v>0</v>
      </c>
      <c r="L526" s="20" t="str">
        <f t="shared" si="220"/>
        <v>Fontibón</v>
      </c>
      <c r="M526" s="20" t="str">
        <f t="shared" si="221"/>
        <v>Occidente</v>
      </c>
      <c r="N526" s="20" t="str">
        <f t="shared" si="222"/>
        <v>Fontibón, Salitre</v>
      </c>
      <c r="O526" s="20" t="str">
        <f t="shared" si="223"/>
        <v>NO</v>
      </c>
      <c r="P526" s="20" t="str">
        <f t="shared" si="224"/>
        <v>No aplica</v>
      </c>
      <c r="Q526" s="20">
        <f t="shared" si="225"/>
        <v>18</v>
      </c>
      <c r="R526" s="20">
        <f t="shared" si="226"/>
        <v>1</v>
      </c>
      <c r="S526" s="20" t="str">
        <f t="shared" si="227"/>
        <v xml:space="preserve">Encuentros Ciudadanos Fontibón, Fortalecimiento Instancias Participación, IV fase del plan de Desarrollo Distrital </v>
      </c>
      <c r="T526" s="20">
        <f t="shared" si="228"/>
        <v>1</v>
      </c>
      <c r="U526" s="20" t="str">
        <f t="shared" ca="1" si="229"/>
        <v>Realizada</v>
      </c>
    </row>
    <row r="527" spans="1:21" ht="49.5">
      <c r="A527" s="20">
        <v>658</v>
      </c>
      <c r="B527" s="20" t="str">
        <f t="shared" si="210"/>
        <v>Mesa Directiva CTPD</v>
      </c>
      <c r="C527" s="21">
        <f t="shared" si="211"/>
        <v>45475</v>
      </c>
      <c r="D527" s="20" t="str">
        <f t="shared" si="212"/>
        <v>INSTANCIAS</v>
      </c>
      <c r="E527" s="20" t="str">
        <f t="shared" si="213"/>
        <v>NO</v>
      </c>
      <c r="F527" s="20" t="str">
        <f t="shared" si="214"/>
        <v>CTPD (Consejo Territorial de Planeación Distrital)</v>
      </c>
      <c r="G527" s="20" t="str">
        <f t="shared" si="215"/>
        <v>Virtual</v>
      </c>
      <c r="H527" s="20" t="str">
        <f t="shared" si="216"/>
        <v>Reunión Ordinaria Mesa Directiva CTPD</v>
      </c>
      <c r="I527" s="20" t="str">
        <f t="shared" si="217"/>
        <v>Mecanismo de Seguimiento y Evaluación</v>
      </c>
      <c r="J527" s="20" t="str">
        <f t="shared" si="218"/>
        <v>Comunitario</v>
      </c>
      <c r="K527" s="20" t="str">
        <f t="shared" si="219"/>
        <v>CTPD</v>
      </c>
      <c r="L527" s="20" t="str">
        <f t="shared" si="220"/>
        <v>Distrital</v>
      </c>
      <c r="M527" s="20" t="str">
        <f t="shared" si="221"/>
        <v>Distrital</v>
      </c>
      <c r="N527" s="20" t="str">
        <f t="shared" si="222"/>
        <v>Distrital</v>
      </c>
      <c r="O527" s="20" t="str">
        <f t="shared" si="223"/>
        <v>NO</v>
      </c>
      <c r="P527" s="20" t="str">
        <f t="shared" si="224"/>
        <v>No aplica</v>
      </c>
      <c r="Q527" s="20">
        <f t="shared" si="225"/>
        <v>29</v>
      </c>
      <c r="R527" s="20">
        <f t="shared" si="226"/>
        <v>1</v>
      </c>
      <c r="S527" s="20" t="str">
        <f t="shared" si="227"/>
        <v>Presupuesto Plan de Acción 2024 y cuentas de correo CTPD/SDP</v>
      </c>
      <c r="T527" s="20">
        <f t="shared" si="228"/>
        <v>1</v>
      </c>
      <c r="U527" s="20" t="str">
        <f t="shared" ca="1" si="229"/>
        <v>Realizada</v>
      </c>
    </row>
    <row r="528" spans="1:21" ht="61.5">
      <c r="A528" s="20">
        <v>659</v>
      </c>
      <c r="B528" s="20" t="str">
        <f t="shared" si="210"/>
        <v>Gestión: Activación de actores UPL San Cristóbal CPL</v>
      </c>
      <c r="C528" s="21">
        <f t="shared" si="211"/>
        <v>45475</v>
      </c>
      <c r="D528" s="20" t="str">
        <f t="shared" si="212"/>
        <v>OPDC</v>
      </c>
      <c r="E528" s="20" t="str">
        <f t="shared" si="213"/>
        <v>NO</v>
      </c>
      <c r="F528" s="20" t="str">
        <f t="shared" si="214"/>
        <v>Gestión en Territorio</v>
      </c>
      <c r="G528" s="20" t="str">
        <f t="shared" si="215"/>
        <v>Presencial</v>
      </c>
      <c r="H528" s="20" t="str">
        <f t="shared" si="216"/>
        <v>Fortalecer las relaciones con los actores estratégicos del territorio para articular los procesos de participación. CPL</v>
      </c>
      <c r="I528" s="20" t="str">
        <f t="shared" si="217"/>
        <v>Mecanismo de Fortalecimiento Ciudadano para la Planeación Participativa</v>
      </c>
      <c r="J528" s="20" t="str">
        <f t="shared" si="218"/>
        <v>Comunitario</v>
      </c>
      <c r="K528" s="20" t="str">
        <f t="shared" si="219"/>
        <v>CPL</v>
      </c>
      <c r="L528" s="20" t="str">
        <f t="shared" si="220"/>
        <v>San Cristóbal</v>
      </c>
      <c r="M528" s="20" t="str">
        <f t="shared" si="221"/>
        <v>Suroriente</v>
      </c>
      <c r="N528" s="20" t="str">
        <f t="shared" si="222"/>
        <v>San Cristobal, Cerros Orientales</v>
      </c>
      <c r="O528" s="20" t="str">
        <f t="shared" si="223"/>
        <v>NO</v>
      </c>
      <c r="P528" s="20" t="str">
        <f t="shared" si="224"/>
        <v>No aplica</v>
      </c>
      <c r="Q528" s="20">
        <f t="shared" si="225"/>
        <v>10</v>
      </c>
      <c r="R528" s="20">
        <f t="shared" si="226"/>
        <v>1</v>
      </c>
      <c r="S528" s="20" t="str">
        <f t="shared" si="227"/>
        <v>Notificación a la comunidad de la última fase del PDD (la devolución) del sector sur oriental, formación de comités ciudadanos y notificación de las asambleas deliberativas.</v>
      </c>
      <c r="T528" s="20">
        <f t="shared" si="228"/>
        <v>1</v>
      </c>
      <c r="U528" s="20" t="str">
        <f t="shared" ca="1" si="229"/>
        <v>Realizada</v>
      </c>
    </row>
    <row r="529" spans="1:21" ht="49.5">
      <c r="A529" s="20">
        <v>662</v>
      </c>
      <c r="B529" s="20" t="str">
        <f t="shared" si="210"/>
        <v>CLIP Sumapaz</v>
      </c>
      <c r="C529" s="21">
        <f t="shared" si="211"/>
        <v>45476</v>
      </c>
      <c r="D529" s="20" t="str">
        <f t="shared" si="212"/>
        <v>INSTANCIAS</v>
      </c>
      <c r="E529" s="20" t="str">
        <f t="shared" si="213"/>
        <v>NO</v>
      </c>
      <c r="F529" s="20" t="str">
        <f t="shared" si="214"/>
        <v>CLIP (Comisión Local Intersectorial de Participación)</v>
      </c>
      <c r="G529" s="20" t="str">
        <f t="shared" si="215"/>
        <v>Virtual</v>
      </c>
      <c r="H529" s="20" t="str">
        <f t="shared" si="216"/>
        <v>Acompañar la articulación de los esfuerzos institucionales de participación en la localidad de Sumapaz</v>
      </c>
      <c r="I529" s="20" t="str">
        <f t="shared" si="217"/>
        <v>Mecanismo de Seguimiento y Evaluación</v>
      </c>
      <c r="J529" s="20" t="str">
        <f t="shared" si="218"/>
        <v>Público</v>
      </c>
      <c r="K529" s="20" t="str">
        <f t="shared" si="219"/>
        <v>CLIP</v>
      </c>
      <c r="L529" s="20" t="str">
        <f t="shared" si="220"/>
        <v>Sumapaz</v>
      </c>
      <c r="M529" s="20" t="str">
        <f t="shared" si="221"/>
        <v>Ruralidad</v>
      </c>
      <c r="N529" s="20" t="str">
        <f t="shared" si="222"/>
        <v>Sumapaz</v>
      </c>
      <c r="O529" s="20" t="str">
        <f t="shared" si="223"/>
        <v>NO</v>
      </c>
      <c r="P529" s="20" t="str">
        <f t="shared" si="224"/>
        <v>No aplica</v>
      </c>
      <c r="Q529" s="20">
        <f t="shared" si="225"/>
        <v>27</v>
      </c>
      <c r="R529" s="20">
        <f t="shared" si="226"/>
        <v>1</v>
      </c>
      <c r="S529" s="20" t="str">
        <f t="shared" si="227"/>
        <v xml:space="preserve">Reglamento de la CLIP, PDD y PDL. </v>
      </c>
      <c r="T529" s="20">
        <f t="shared" si="228"/>
        <v>1</v>
      </c>
      <c r="U529" s="20" t="str">
        <f t="shared" ca="1" si="229"/>
        <v>Realizada</v>
      </c>
    </row>
    <row r="530" spans="1:21" ht="49.5">
      <c r="A530" s="20">
        <v>664</v>
      </c>
      <c r="B530" s="20" t="str">
        <f t="shared" si="210"/>
        <v>CLIP Rafael Uribe Uribe</v>
      </c>
      <c r="C530" s="21">
        <f t="shared" si="211"/>
        <v>45476</v>
      </c>
      <c r="D530" s="20" t="str">
        <f t="shared" si="212"/>
        <v>INSTANCIAS</v>
      </c>
      <c r="E530" s="20" t="str">
        <f t="shared" si="213"/>
        <v>NO</v>
      </c>
      <c r="F530" s="20" t="str">
        <f t="shared" si="214"/>
        <v>CLIP (Comisión Local Intersectorial de Participación)</v>
      </c>
      <c r="G530" s="20" t="str">
        <f t="shared" si="215"/>
        <v>Presencial</v>
      </c>
      <c r="H530" s="20" t="str">
        <f t="shared" si="216"/>
        <v>Acompañar la articulación de los esfuerzos institucionales de participación en la localidad de Rafael Uribe Uribe</v>
      </c>
      <c r="I530" s="20" t="str">
        <f t="shared" si="217"/>
        <v>Mecanismo de Seguimiento y Evaluación</v>
      </c>
      <c r="J530" s="20" t="str">
        <f t="shared" si="218"/>
        <v>Público</v>
      </c>
      <c r="K530" s="20" t="str">
        <f t="shared" si="219"/>
        <v>CLIP</v>
      </c>
      <c r="L530" s="20" t="str">
        <f t="shared" si="220"/>
        <v>Rafael Uribe Uribe</v>
      </c>
      <c r="M530" s="20" t="str">
        <f t="shared" si="221"/>
        <v>Suroriente, Centro Ampliado</v>
      </c>
      <c r="N530" s="20" t="str">
        <f t="shared" si="222"/>
        <v>Restrepo, Rafael Uribe, San Cristobal</v>
      </c>
      <c r="O530" s="20" t="str">
        <f t="shared" si="223"/>
        <v>NO</v>
      </c>
      <c r="P530" s="20" t="str">
        <f t="shared" si="224"/>
        <v>No aplica</v>
      </c>
      <c r="Q530" s="20">
        <f t="shared" si="225"/>
        <v>19</v>
      </c>
      <c r="R530" s="20">
        <f t="shared" si="226"/>
        <v>1</v>
      </c>
      <c r="S530" s="20" t="str">
        <f t="shared" si="227"/>
        <v>Acompañar la articulación de los esfuerzos institucionales de participación en la localidad de RAfael Uribe Uribe</v>
      </c>
      <c r="T530" s="20">
        <f t="shared" si="228"/>
        <v>1</v>
      </c>
      <c r="U530" s="20" t="str">
        <f t="shared" ca="1" si="229"/>
        <v>Realizada</v>
      </c>
    </row>
    <row r="531" spans="1:21" ht="61.5">
      <c r="A531" s="20">
        <v>665</v>
      </c>
      <c r="B531" s="20" t="str">
        <f t="shared" si="210"/>
        <v>Gestión actores estratégicos Norte - JAC Santa Mónica</v>
      </c>
      <c r="C531" s="21">
        <f t="shared" si="211"/>
        <v>45476</v>
      </c>
      <c r="D531" s="20" t="str">
        <f t="shared" si="212"/>
        <v>OPDC</v>
      </c>
      <c r="E531" s="20" t="str">
        <f t="shared" si="213"/>
        <v>NO</v>
      </c>
      <c r="F531" s="20" t="str">
        <f t="shared" si="214"/>
        <v>Gestión en Territorio</v>
      </c>
      <c r="G531" s="20" t="str">
        <f t="shared" si="215"/>
        <v>Presencial</v>
      </c>
      <c r="H531" s="20" t="str">
        <f t="shared" si="216"/>
        <v>Fortalecer las relaciones con los actores estratégicos del territorio para articular los procesos de participación. JAC Santa Mónica</v>
      </c>
      <c r="I531" s="20" t="str">
        <f t="shared" si="217"/>
        <v>Mecanismo de Fortalecimiento Ciudadano para la Planeación Participativa</v>
      </c>
      <c r="J531" s="20" t="str">
        <f t="shared" si="218"/>
        <v>Comunitario</v>
      </c>
      <c r="K531" s="20" t="str">
        <f t="shared" si="219"/>
        <v>ASOJUNTAS - JAC</v>
      </c>
      <c r="L531" s="20" t="str">
        <f t="shared" si="220"/>
        <v>Usaquén</v>
      </c>
      <c r="M531" s="20" t="str">
        <f t="shared" si="221"/>
        <v>Norte</v>
      </c>
      <c r="N531" s="20" t="str">
        <f t="shared" si="222"/>
        <v>Usaquén, Toberín, Torca, Cerros Orientales</v>
      </c>
      <c r="O531" s="20" t="str">
        <f t="shared" si="223"/>
        <v>NO</v>
      </c>
      <c r="P531" s="20" t="str">
        <f t="shared" si="224"/>
        <v>No aplica</v>
      </c>
      <c r="Q531" s="20">
        <f t="shared" si="225"/>
        <v>8</v>
      </c>
      <c r="R531" s="20">
        <f t="shared" si="226"/>
        <v>1</v>
      </c>
      <c r="S531" s="20" t="str">
        <f t="shared" si="227"/>
        <v xml:space="preserve">ABC del Plan Distrital de Desarrollo, Devolución PDD fase IV </v>
      </c>
      <c r="T531" s="20">
        <f t="shared" si="228"/>
        <v>1</v>
      </c>
      <c r="U531" s="20" t="str">
        <f t="shared" ca="1" si="229"/>
        <v>Realizada</v>
      </c>
    </row>
    <row r="532" spans="1:21" ht="37.5">
      <c r="A532" s="20">
        <v>666</v>
      </c>
      <c r="B532" s="20" t="str">
        <f t="shared" si="210"/>
        <v>AE Calle 72 - Taller Ambientalistas Barrios Unidos</v>
      </c>
      <c r="C532" s="21">
        <f t="shared" si="211"/>
        <v>45476</v>
      </c>
      <c r="D532" s="20" t="str">
        <f t="shared" si="212"/>
        <v>OPDC</v>
      </c>
      <c r="E532" s="20" t="str">
        <f t="shared" si="213"/>
        <v>SÍ</v>
      </c>
      <c r="F532" s="20" t="str">
        <f t="shared" si="214"/>
        <v>Formulación de Actuaciones Estratégicas</v>
      </c>
      <c r="G532" s="20" t="str">
        <f t="shared" si="215"/>
        <v>Virtual</v>
      </c>
      <c r="H532" s="20" t="str">
        <f t="shared" si="216"/>
        <v xml:space="preserve">Reunión con líderes ambientalistas del sector AE campin 7 de agosto. </v>
      </c>
      <c r="I532" s="20" t="str">
        <f t="shared" si="217"/>
        <v>Mecanismo de Diálogo</v>
      </c>
      <c r="J532" s="20" t="str">
        <f t="shared" si="218"/>
        <v>Multiactor</v>
      </c>
      <c r="K532" s="20">
        <f t="shared" si="219"/>
        <v>0</v>
      </c>
      <c r="L532" s="20" t="str">
        <f t="shared" si="220"/>
        <v>Barrios Unidos</v>
      </c>
      <c r="M532" s="20" t="str">
        <f t="shared" si="221"/>
        <v>Centro Ampliado</v>
      </c>
      <c r="N532" s="20" t="str">
        <f t="shared" si="222"/>
        <v>Barrios Unidos</v>
      </c>
      <c r="O532" s="20" t="str">
        <f t="shared" si="223"/>
        <v>NO</v>
      </c>
      <c r="P532" s="20" t="str">
        <f t="shared" si="224"/>
        <v>No aplica</v>
      </c>
      <c r="Q532" s="20">
        <f t="shared" si="225"/>
        <v>40</v>
      </c>
      <c r="R532" s="20">
        <f t="shared" si="226"/>
        <v>1</v>
      </c>
      <c r="S532" s="20" t="str">
        <f t="shared" si="227"/>
        <v>Recibir de la comunidad información sobre temas ambientales de la AE Calle 72 correspondiente a la UPL Barrios Unidos.</v>
      </c>
      <c r="T532" s="20">
        <f t="shared" si="228"/>
        <v>1</v>
      </c>
      <c r="U532" s="20" t="str">
        <f t="shared" ca="1" si="229"/>
        <v>Realizada</v>
      </c>
    </row>
    <row r="533" spans="1:21" ht="110.25">
      <c r="A533" s="20">
        <v>667</v>
      </c>
      <c r="B533" s="20" t="str">
        <f t="shared" si="210"/>
        <v>Territorios Progreso Fundación Social</v>
      </c>
      <c r="C533" s="21">
        <f t="shared" si="211"/>
        <v>45477</v>
      </c>
      <c r="D533" s="20" t="str">
        <f t="shared" si="212"/>
        <v>OPDC</v>
      </c>
      <c r="E533" s="20" t="str">
        <f t="shared" si="213"/>
        <v>NO</v>
      </c>
      <c r="F533" s="20" t="str">
        <f t="shared" si="214"/>
        <v>Escenarios individuales</v>
      </c>
      <c r="G533" s="20" t="str">
        <f t="shared" si="215"/>
        <v>Presencial</v>
      </c>
      <c r="H533" s="20" t="str">
        <f t="shared" si="216"/>
        <v>Acompañamiento en la mesa para Territorios de Progreso de la Fundación Social</v>
      </c>
      <c r="I533" s="20" t="str">
        <f t="shared" si="217"/>
        <v>Mecanismo de Diálogo</v>
      </c>
      <c r="J533" s="20" t="str">
        <f t="shared" si="218"/>
        <v>Privado</v>
      </c>
      <c r="K533" s="20" t="str">
        <f t="shared" si="219"/>
        <v>Agremiación o sociedad</v>
      </c>
      <c r="L533" s="20" t="str">
        <f t="shared" si="220"/>
        <v>Suba</v>
      </c>
      <c r="M533" s="20" t="str">
        <f t="shared" si="221"/>
        <v>Norte, Noroccidente</v>
      </c>
      <c r="N533" s="20" t="str">
        <f t="shared" si="222"/>
        <v>Suba, Suba Rincón, Tibabuyes, Niza, Britalia, Torca</v>
      </c>
      <c r="O533" s="20" t="str">
        <f t="shared" si="223"/>
        <v>NO</v>
      </c>
      <c r="P533" s="20" t="str">
        <f t="shared" si="224"/>
        <v>No aplica</v>
      </c>
      <c r="Q533" s="20">
        <f t="shared" si="225"/>
        <v>8</v>
      </c>
      <c r="R533" s="20">
        <f t="shared" si="226"/>
        <v>2</v>
      </c>
      <c r="S533" s="20" t="str">
        <f t="shared" si="227"/>
        <v>Se trabajó en el diseño del componente de participación como parte de la estrategia de fortalecimiento que adelanta la Fundación Grupo Social en los territorios de Bilbao en Suba y Sierra Morena en Ciudad Bolívar y que se denomina Territorios Progreso. A esta mesa de trabajo fuimos como invitados para contribuir al proceso de co-creación de la estrategia y adelantar gestiones de articulación de actores.</v>
      </c>
      <c r="T533" s="20">
        <f t="shared" si="228"/>
        <v>1</v>
      </c>
      <c r="U533" s="20" t="str">
        <f t="shared" ca="1" si="229"/>
        <v>Realizada</v>
      </c>
    </row>
    <row r="534" spans="1:21" ht="49.5">
      <c r="A534" s="20">
        <v>668</v>
      </c>
      <c r="B534" s="20" t="str">
        <f t="shared" ref="B534:B565" si="230">IFERROR(VLOOKUP(A534,DATA_MATRIZ,2,FALSE),"")</f>
        <v>CLIP Usaquén</v>
      </c>
      <c r="C534" s="21">
        <f t="shared" ref="C534:C565" si="231">IFERROR(VLOOKUP(A534,DATA_MATRIZ,3,FALSE),"")</f>
        <v>45477</v>
      </c>
      <c r="D534" s="20" t="str">
        <f t="shared" ref="D534:D565" si="232">IFERROR(VLOOKUP(A534,DATA_MATRIZ,5,FALSE),"")</f>
        <v>OPDC</v>
      </c>
      <c r="E534" s="20" t="str">
        <f t="shared" ref="E534:E565" si="233">IFERROR(VLOOKUP(A534,DATA_MATRIZ,9,FALSE),"")</f>
        <v>NO</v>
      </c>
      <c r="F534" s="20" t="str">
        <f t="shared" ref="F534:F565" si="234">IFERROR(VLOOKUP(A534,DATA_MATRIZ,10,FALSE),"")</f>
        <v>CLIP (Comisión Local Intersectorial de Participación)</v>
      </c>
      <c r="G534" s="20" t="str">
        <f t="shared" ref="G534:G565" si="235">IFERROR(VLOOKUP(A534,DATA_MATRIZ,11,FALSE),"")</f>
        <v>Presencial</v>
      </c>
      <c r="H534" s="20" t="str">
        <f t="shared" ref="H534:H565" si="236">IFERROR(VLOOKUP(A534,DATA_MATRIZ,12,FALSE),"")</f>
        <v>Acompañar la articulación de los esfuerzos institucionales de participación en la localidad de Usaquén</v>
      </c>
      <c r="I534" s="20" t="str">
        <f t="shared" ref="I534:I565" si="237">IFERROR(VLOOKUP(A534,DATA_MATRIZ,13,FALSE),"")</f>
        <v>Mecanismo de Seguimiento y Evaluación</v>
      </c>
      <c r="J534" s="20" t="str">
        <f t="shared" ref="J534:J565" si="238">IFERROR(VLOOKUP(A534,DATA_MATRIZ,41,FALSE),"")</f>
        <v>Público</v>
      </c>
      <c r="K534" s="20" t="str">
        <f t="shared" ref="K534:K565" si="239">IFERROR(VLOOKUP(A534,DATA_MATRIZ,42,FALSE),"")</f>
        <v>CLIP</v>
      </c>
      <c r="L534" s="20" t="str">
        <f t="shared" ref="L534:L565" si="240">IFERROR(VLOOKUP(A534,DATA_MATRIZ,46,FALSE),"")</f>
        <v>Usaquén</v>
      </c>
      <c r="M534" s="20" t="str">
        <f t="shared" ref="M534:M565" si="241">IFERROR(VLOOKUP(A534,DATA_MATRIZ,53,FALSE),"")</f>
        <v>Norte, Ruralidad</v>
      </c>
      <c r="N534" s="20" t="str">
        <f t="shared" ref="N534:N565" si="242">IFERROR(VLOOKUP(A534,DATA_MATRIZ,60,FALSE),"")</f>
        <v>Usaquén, Toberín, Torca, Cerros Orientales</v>
      </c>
      <c r="O534" s="20" t="str">
        <f t="shared" ref="O534:O565" si="243">IFERROR(VLOOKUP(A534,DATA_MATRIZ,75,FALSE),"")</f>
        <v>NO</v>
      </c>
      <c r="P534" s="20" t="str">
        <f t="shared" ref="P534:P565" si="244">IFERROR(VLOOKUP(A534,DATA_MATRIZ,76,FALSE),"")</f>
        <v>No aplica</v>
      </c>
      <c r="Q534" s="20">
        <f t="shared" ref="Q534:Q565" si="245">IFERROR(VLOOKUP(A534,DATA_MATRIZ,78,FALSE),"")</f>
        <v>14</v>
      </c>
      <c r="R534" s="20">
        <f t="shared" ref="R534:R565" si="246">IFERROR(VLOOKUP(A534,DATA_MATRIZ,79,FALSE),"")</f>
        <v>1</v>
      </c>
      <c r="S534" s="20" t="str">
        <f t="shared" ref="S534:S565" si="247">IFERROR(VLOOKUP(A534,DATA_MATRIZ,85,FALSE),"")</f>
        <v xml:space="preserve">Plan de Acción previsto para el desarrollo de la CLIP y se explicó y se realizó un taller sobre la estrategia de Bogotá Distribuye lo Local </v>
      </c>
      <c r="T534" s="20">
        <f t="shared" ref="T534:T565" si="248">COUNTA(A534)</f>
        <v>1</v>
      </c>
      <c r="U534" s="20" t="str">
        <f t="shared" ref="U534:U565" ca="1" si="249">IF(C534="", "Indefinida", (IF(C534&lt;TODAY(),"Realizada","Proyectada")))</f>
        <v>Realizada</v>
      </c>
    </row>
    <row r="535" spans="1:21" ht="49.5">
      <c r="A535" s="20">
        <v>669</v>
      </c>
      <c r="B535" s="20" t="str">
        <f t="shared" si="230"/>
        <v xml:space="preserve">CLIP Candelaria </v>
      </c>
      <c r="C535" s="21">
        <f t="shared" si="231"/>
        <v>45477</v>
      </c>
      <c r="D535" s="20" t="str">
        <f t="shared" si="232"/>
        <v>INSTANCIAS</v>
      </c>
      <c r="E535" s="20" t="str">
        <f t="shared" si="233"/>
        <v>NO</v>
      </c>
      <c r="F535" s="20" t="str">
        <f t="shared" si="234"/>
        <v>CLIP (Comisión Local Intersectorial de Participación)</v>
      </c>
      <c r="G535" s="20" t="str">
        <f t="shared" si="235"/>
        <v>Presencial</v>
      </c>
      <c r="H535" s="20" t="str">
        <f t="shared" si="236"/>
        <v>Acompañar la sesión de la CLIP, para la articulación de los esfuerzos institucionales de participación en la localidad de la Candelaria.</v>
      </c>
      <c r="I535" s="20" t="str">
        <f t="shared" si="237"/>
        <v>Gestión Institucional</v>
      </c>
      <c r="J535" s="20" t="str">
        <f t="shared" si="238"/>
        <v>Público</v>
      </c>
      <c r="K535" s="20" t="str">
        <f t="shared" si="239"/>
        <v>CLIP</v>
      </c>
      <c r="L535" s="20" t="str">
        <f t="shared" si="240"/>
        <v>La Candelaria</v>
      </c>
      <c r="M535" s="20" t="str">
        <f t="shared" si="241"/>
        <v>Centro Ampliado</v>
      </c>
      <c r="N535" s="20" t="str">
        <f t="shared" si="242"/>
        <v>Centro Histórico</v>
      </c>
      <c r="O535" s="20" t="str">
        <f t="shared" si="243"/>
        <v>NO</v>
      </c>
      <c r="P535" s="20" t="str">
        <f t="shared" si="244"/>
        <v>No aplica</v>
      </c>
      <c r="Q535" s="20">
        <f t="shared" si="245"/>
        <v>24</v>
      </c>
      <c r="R535" s="20">
        <f t="shared" si="246"/>
        <v>1</v>
      </c>
      <c r="S535" s="20" t="str">
        <f t="shared" si="247"/>
        <v>Revisión de acta anterior, presentación de equipo territorial del IDPAC, ejercicio de distribución de presupuestos locales</v>
      </c>
      <c r="T535" s="20">
        <f t="shared" si="248"/>
        <v>1</v>
      </c>
      <c r="U535" s="20" t="str">
        <f t="shared" ca="1" si="249"/>
        <v>Realizada</v>
      </c>
    </row>
    <row r="536" spans="1:21" ht="61.5">
      <c r="A536" s="20">
        <v>670</v>
      </c>
      <c r="B536" s="20" t="str">
        <f t="shared" si="230"/>
        <v xml:space="preserve"> Gestión con actores estratégicos - UPL Porvenir (JAC)</v>
      </c>
      <c r="C536" s="21">
        <f t="shared" si="231"/>
        <v>45477</v>
      </c>
      <c r="D536" s="20" t="str">
        <f t="shared" si="232"/>
        <v>OPDC</v>
      </c>
      <c r="E536" s="20" t="str">
        <f t="shared" si="233"/>
        <v>NO</v>
      </c>
      <c r="F536" s="20" t="str">
        <f t="shared" si="234"/>
        <v>Gestión en Territorio</v>
      </c>
      <c r="G536" s="20" t="str">
        <f t="shared" si="235"/>
        <v>Presencial</v>
      </c>
      <c r="H536" s="20" t="str">
        <f t="shared" si="236"/>
        <v>Fortalecer las relaciones con los actores estratégicos del territorio para articular los procesos de participación. JAC en la UPL Porvenir.</v>
      </c>
      <c r="I536" s="20" t="str">
        <f t="shared" si="237"/>
        <v>Mecanismo de Fortalecimiento Ciudadano para la Planeación Participativa</v>
      </c>
      <c r="J536" s="20" t="str">
        <f t="shared" si="238"/>
        <v>Multiactor</v>
      </c>
      <c r="K536" s="20">
        <f t="shared" si="239"/>
        <v>0</v>
      </c>
      <c r="L536" s="20" t="str">
        <f t="shared" si="240"/>
        <v>Bosa</v>
      </c>
      <c r="M536" s="20" t="str">
        <f t="shared" si="241"/>
        <v>Suroccidente</v>
      </c>
      <c r="N536" s="20" t="str">
        <f t="shared" si="242"/>
        <v>Porvenir</v>
      </c>
      <c r="O536" s="20" t="str">
        <f t="shared" si="243"/>
        <v>NO</v>
      </c>
      <c r="P536" s="20" t="str">
        <f t="shared" si="244"/>
        <v>No aplica</v>
      </c>
      <c r="Q536" s="20">
        <f t="shared" si="245"/>
        <v>4</v>
      </c>
      <c r="R536" s="20">
        <f t="shared" si="246"/>
        <v>3</v>
      </c>
      <c r="S536" s="20" t="str">
        <f t="shared" si="247"/>
        <v>Invitación a devolución PDD y sus generalidades.</v>
      </c>
      <c r="T536" s="20">
        <f t="shared" si="248"/>
        <v>1</v>
      </c>
      <c r="U536" s="20" t="str">
        <f t="shared" ca="1" si="249"/>
        <v>Realizada</v>
      </c>
    </row>
    <row r="537" spans="1:21" ht="135">
      <c r="A537" s="20">
        <v>671</v>
      </c>
      <c r="B537" s="20" t="str">
        <f t="shared" si="230"/>
        <v>Sesión Mesa Técnica - CTPD</v>
      </c>
      <c r="C537" s="21">
        <f t="shared" si="231"/>
        <v>45477</v>
      </c>
      <c r="D537" s="20" t="str">
        <f t="shared" si="232"/>
        <v>OPDC</v>
      </c>
      <c r="E537" s="20" t="str">
        <f t="shared" si="233"/>
        <v>NO</v>
      </c>
      <c r="F537" s="20" t="str">
        <f t="shared" si="234"/>
        <v>CTPD (Consejo Territorial de Planeación Distrital)</v>
      </c>
      <c r="G537" s="20" t="str">
        <f t="shared" si="235"/>
        <v>Virtual</v>
      </c>
      <c r="H537" s="20" t="str">
        <f t="shared" si="236"/>
        <v xml:space="preserve">Realizar el acompañamiento como Secretaría Técnica a la sesión de Mesa Técnica del CTPD y continuar con el orden del día. </v>
      </c>
      <c r="I537" s="20" t="str">
        <f t="shared" si="237"/>
        <v>Mecanismo de Seguimiento y Evaluación</v>
      </c>
      <c r="J537" s="20" t="str">
        <f t="shared" si="238"/>
        <v>Comunitario</v>
      </c>
      <c r="K537" s="20" t="str">
        <f t="shared" si="239"/>
        <v>CTPD</v>
      </c>
      <c r="L537" s="20" t="str">
        <f t="shared" si="240"/>
        <v>Distrital</v>
      </c>
      <c r="M537" s="20" t="str">
        <f t="shared" si="241"/>
        <v>Distrital</v>
      </c>
      <c r="N537" s="20" t="str">
        <f t="shared" si="242"/>
        <v>Distrital</v>
      </c>
      <c r="O537" s="20" t="str">
        <f t="shared" si="243"/>
        <v>NO</v>
      </c>
      <c r="P537" s="20" t="str">
        <f t="shared" si="244"/>
        <v>No aplica</v>
      </c>
      <c r="Q537" s="20">
        <f t="shared" si="245"/>
        <v>26</v>
      </c>
      <c r="R537" s="20">
        <f t="shared" si="246"/>
        <v>2</v>
      </c>
      <c r="S537" s="20" t="str">
        <f t="shared" si="247"/>
        <v>Se decidió para el 25 de julio hacer la devolución del PDD por parte de Distrito. - Se dio la explicación del diplomado por pate de la UNAD. - Se mencionó el tema de las inasistencias donde se concluyó que se realizará un informe detallado y será tomadas en plenaria las medidas a tomar. - Se acordó participar de la invitación hecha por D.C. Radio. - Se aprobó la pieza comunicativa sobre el comunicado por el asesinato de la lideresa Alba Rocío Riaño Nossa.</v>
      </c>
      <c r="T537" s="20">
        <f t="shared" si="248"/>
        <v>1</v>
      </c>
      <c r="U537" s="20" t="str">
        <f t="shared" ca="1" si="249"/>
        <v>Realizada</v>
      </c>
    </row>
    <row r="538" spans="1:21" ht="61.5">
      <c r="A538" s="20">
        <v>672</v>
      </c>
      <c r="B538" s="20" t="str">
        <f t="shared" si="230"/>
        <v>Gestión con actores estratégicos - UPL Tintal JACS</v>
      </c>
      <c r="C538" s="21">
        <f t="shared" si="231"/>
        <v>45477</v>
      </c>
      <c r="D538" s="20" t="str">
        <f t="shared" si="232"/>
        <v>OPDC</v>
      </c>
      <c r="E538" s="20" t="str">
        <f t="shared" si="233"/>
        <v>NO</v>
      </c>
      <c r="F538" s="20" t="str">
        <f t="shared" si="234"/>
        <v>Gestión en Territorio</v>
      </c>
      <c r="G538" s="20" t="str">
        <f t="shared" si="235"/>
        <v>Presencial</v>
      </c>
      <c r="H538" s="20" t="str">
        <f t="shared" si="236"/>
        <v>Fortalecer las relaciones con los actores estratégicos del territorio para articular los procesos de participación. JACS  (JAC Tintal, Andalucía 1 y 2,Vision Colombia, Vergel, Santa catalina y Villa Liliana)</v>
      </c>
      <c r="I538" s="20" t="str">
        <f t="shared" si="237"/>
        <v>Mecanismo de Fortalecimiento Ciudadano para la Planeación Participativa</v>
      </c>
      <c r="J538" s="20" t="str">
        <f t="shared" si="238"/>
        <v>Comunitario</v>
      </c>
      <c r="K538" s="20" t="str">
        <f t="shared" si="239"/>
        <v>ASOJUNTAS - JAC</v>
      </c>
      <c r="L538" s="20" t="str">
        <f t="shared" si="240"/>
        <v>Kennedy</v>
      </c>
      <c r="M538" s="20" t="str">
        <f t="shared" si="241"/>
        <v>Suroccidente</v>
      </c>
      <c r="N538" s="20" t="str">
        <f t="shared" si="242"/>
        <v>Edén, Patio Bonito, Bosa, Kennedy, Tintal, Porvenir</v>
      </c>
      <c r="O538" s="20" t="str">
        <f t="shared" si="243"/>
        <v>NO</v>
      </c>
      <c r="P538" s="20" t="str">
        <f t="shared" si="244"/>
        <v>No aplica</v>
      </c>
      <c r="Q538" s="20">
        <f t="shared" si="245"/>
        <v>8</v>
      </c>
      <c r="R538" s="20">
        <f t="shared" si="246"/>
        <v>3</v>
      </c>
      <c r="S538" s="20" t="str">
        <f t="shared" si="247"/>
        <v>Invitación a devolución sector sur occidente de plan distrital de desarrollo</v>
      </c>
      <c r="T538" s="20">
        <f t="shared" si="248"/>
        <v>1</v>
      </c>
      <c r="U538" s="20" t="str">
        <f t="shared" ca="1" si="249"/>
        <v>Realizada</v>
      </c>
    </row>
    <row r="539" spans="1:21" ht="49.5">
      <c r="A539" s="20">
        <v>673</v>
      </c>
      <c r="B539" s="20" t="str">
        <f t="shared" si="230"/>
        <v>Presentación de Resultados del Diálogo Ciudadano - Actuación Estratégica Montevideo</v>
      </c>
      <c r="C539" s="21">
        <f t="shared" si="231"/>
        <v>45478</v>
      </c>
      <c r="D539" s="20" t="str">
        <f t="shared" si="232"/>
        <v>OPDC</v>
      </c>
      <c r="E539" s="20" t="str">
        <f t="shared" si="233"/>
        <v>SÍ</v>
      </c>
      <c r="F539" s="20" t="str">
        <f t="shared" si="234"/>
        <v>Construcción de Directrices de Actuaciones Estratégicas</v>
      </c>
      <c r="G539" s="20" t="str">
        <f t="shared" si="235"/>
        <v>Presencial</v>
      </c>
      <c r="H539" s="20" t="str">
        <f t="shared" si="236"/>
        <v>Presentar los resultados del diálogo ciudadano de directrices de la AE Montevideo</v>
      </c>
      <c r="I539" s="20" t="str">
        <f t="shared" si="237"/>
        <v>Mecanismo de Comunicación para la Participación</v>
      </c>
      <c r="J539" s="20" t="str">
        <f t="shared" si="238"/>
        <v>Multiactor</v>
      </c>
      <c r="K539" s="20">
        <f t="shared" si="239"/>
        <v>0</v>
      </c>
      <c r="L539" s="20" t="str">
        <f t="shared" si="240"/>
        <v>Puente Aranda</v>
      </c>
      <c r="M539" s="20" t="str">
        <f t="shared" si="241"/>
        <v>Centro Ampliado</v>
      </c>
      <c r="N539" s="20" t="str">
        <f t="shared" si="242"/>
        <v>Puente Aranda</v>
      </c>
      <c r="O539" s="20" t="str">
        <f t="shared" si="243"/>
        <v>NO</v>
      </c>
      <c r="P539" s="20" t="str">
        <f t="shared" si="244"/>
        <v>No aplica</v>
      </c>
      <c r="Q539" s="20">
        <f t="shared" si="245"/>
        <v>13</v>
      </c>
      <c r="R539" s="20">
        <f t="shared" si="246"/>
        <v>10</v>
      </c>
      <c r="S539" s="20" t="str">
        <f t="shared" si="247"/>
        <v>Se presentaron los resultados que surgieron del diálogo ciudadano de directrices de la AE Montevideo</v>
      </c>
      <c r="T539" s="20">
        <f t="shared" si="248"/>
        <v>1</v>
      </c>
      <c r="U539" s="20" t="str">
        <f t="shared" ca="1" si="249"/>
        <v>Realizada</v>
      </c>
    </row>
    <row r="540" spans="1:21" ht="49.5">
      <c r="A540" s="20">
        <v>674</v>
      </c>
      <c r="B540" s="20" t="str">
        <f t="shared" si="230"/>
        <v>Comisión POT - CTPD</v>
      </c>
      <c r="C540" s="21">
        <f t="shared" si="231"/>
        <v>45478</v>
      </c>
      <c r="D540" s="20" t="str">
        <f t="shared" si="232"/>
        <v>INSTANCIAS</v>
      </c>
      <c r="E540" s="20" t="str">
        <f t="shared" si="233"/>
        <v>NO</v>
      </c>
      <c r="F540" s="20" t="str">
        <f t="shared" si="234"/>
        <v>CTPD (Consejo Territorial de Planeación Distrital)</v>
      </c>
      <c r="G540" s="20" t="str">
        <f t="shared" si="235"/>
        <v>Virtual</v>
      </c>
      <c r="H540" s="20" t="str">
        <f t="shared" si="236"/>
        <v>Sesión Extraordinaria de la comicion POT CTPD</v>
      </c>
      <c r="I540" s="20" t="str">
        <f t="shared" si="237"/>
        <v>Mecanismo de Seguimiento y Evaluación</v>
      </c>
      <c r="J540" s="20" t="str">
        <f t="shared" si="238"/>
        <v>Comunitario</v>
      </c>
      <c r="K540" s="20" t="str">
        <f t="shared" si="239"/>
        <v>CTPD</v>
      </c>
      <c r="L540" s="20" t="str">
        <f t="shared" si="240"/>
        <v>Distrital</v>
      </c>
      <c r="M540" s="20" t="str">
        <f t="shared" si="241"/>
        <v>Distrital</v>
      </c>
      <c r="N540" s="20" t="str">
        <f t="shared" si="242"/>
        <v>Distrital</v>
      </c>
      <c r="O540" s="20" t="str">
        <f t="shared" si="243"/>
        <v>NO</v>
      </c>
      <c r="P540" s="20" t="str">
        <f t="shared" si="244"/>
        <v>No aplica</v>
      </c>
      <c r="Q540" s="20">
        <f t="shared" si="245"/>
        <v>11</v>
      </c>
      <c r="R540" s="20">
        <f t="shared" si="246"/>
        <v>2</v>
      </c>
      <c r="S540" s="20" t="str">
        <f t="shared" si="247"/>
        <v>Revisión del Presupuesto asignado al plan de acción de la comisión</v>
      </c>
      <c r="T540" s="20">
        <f t="shared" si="248"/>
        <v>1</v>
      </c>
      <c r="U540" s="20" t="str">
        <f t="shared" ca="1" si="249"/>
        <v>Realizada</v>
      </c>
    </row>
    <row r="541" spans="1:21" ht="49.5">
      <c r="A541" s="20">
        <v>675</v>
      </c>
      <c r="B541" s="20" t="str">
        <f t="shared" si="230"/>
        <v>Socialización del Sistema de Participación Territorial y el Plan Distrital de Desarrollo a los Observatorios Ciudadanos Locales de Tunjuelito y Bosa</v>
      </c>
      <c r="C541" s="21">
        <f t="shared" si="231"/>
        <v>45478</v>
      </c>
      <c r="D541" s="20" t="str">
        <f t="shared" si="232"/>
        <v>OPDC</v>
      </c>
      <c r="E541" s="20" t="str">
        <f t="shared" si="233"/>
        <v>NO</v>
      </c>
      <c r="F541" s="20" t="str">
        <f t="shared" si="234"/>
        <v>Sistema de Participación Territorial</v>
      </c>
      <c r="G541" s="20" t="str">
        <f t="shared" si="235"/>
        <v>Presencial</v>
      </c>
      <c r="H541" s="20" t="str">
        <f t="shared" si="236"/>
        <v>Acompañar y socializar los Sistemas de Participación Territorial y el Plan Distrital de Desarrollo en la localidad de Bosa.</v>
      </c>
      <c r="I541" s="20" t="str">
        <f t="shared" si="237"/>
        <v>Mecanismo de Comunicación para la Participación</v>
      </c>
      <c r="J541" s="20" t="str">
        <f t="shared" si="238"/>
        <v>Multiactor</v>
      </c>
      <c r="K541" s="20">
        <f t="shared" si="239"/>
        <v>0</v>
      </c>
      <c r="L541" s="20" t="str">
        <f t="shared" si="240"/>
        <v>Bosa</v>
      </c>
      <c r="M541" s="20" t="str">
        <f t="shared" si="241"/>
        <v>Suroccidente</v>
      </c>
      <c r="N541" s="20" t="str">
        <f t="shared" si="242"/>
        <v>Edén, Patio Bonito, Bosa</v>
      </c>
      <c r="O541" s="20" t="str">
        <f t="shared" si="243"/>
        <v>NO</v>
      </c>
      <c r="P541" s="20" t="str">
        <f t="shared" si="244"/>
        <v>No aplica</v>
      </c>
      <c r="Q541" s="20">
        <f t="shared" si="245"/>
        <v>11</v>
      </c>
      <c r="R541" s="20">
        <f t="shared" si="246"/>
        <v>2</v>
      </c>
      <c r="S541" s="20" t="str">
        <f t="shared" si="247"/>
        <v>Socialización del Sistema de Participación Territorial y el Plan Distrital de Desarrollo.</v>
      </c>
      <c r="T541" s="20">
        <f t="shared" si="248"/>
        <v>1</v>
      </c>
      <c r="U541" s="20" t="str">
        <f t="shared" ca="1" si="249"/>
        <v>Realizada</v>
      </c>
    </row>
    <row r="542" spans="1:21" ht="61.5">
      <c r="A542" s="20">
        <v>676</v>
      </c>
      <c r="B542" s="20" t="str">
        <f t="shared" si="230"/>
        <v>Acompañamiento a citación Bogota te escucha (barrio Coordillera Sur)</v>
      </c>
      <c r="C542" s="21">
        <f t="shared" si="231"/>
        <v>45479</v>
      </c>
      <c r="D542" s="20" t="str">
        <f t="shared" si="232"/>
        <v>OPDC</v>
      </c>
      <c r="E542" s="20" t="str">
        <f t="shared" si="233"/>
        <v>NO</v>
      </c>
      <c r="F542" s="20" t="str">
        <f t="shared" si="234"/>
        <v>Escenarios individuales</v>
      </c>
      <c r="G542" s="20" t="str">
        <f t="shared" si="235"/>
        <v>Presencial</v>
      </c>
      <c r="H542" s="20" t="str">
        <f t="shared" si="236"/>
        <v>Acompañar la reunion convocada el señor Luis Francisco Mártinez en el portal de Bogotá te escucha e invitar a la devolución ciudadana construcción PDD - Sector Suroriente</v>
      </c>
      <c r="I542" s="20" t="str">
        <f t="shared" si="237"/>
        <v>Mecanismo de Diálogo</v>
      </c>
      <c r="J542" s="20" t="str">
        <f t="shared" si="238"/>
        <v>Comunitario</v>
      </c>
      <c r="K542" s="20" t="str">
        <f t="shared" si="239"/>
        <v>ASOJUNTAS - JAC</v>
      </c>
      <c r="L542" s="20" t="str">
        <f t="shared" si="240"/>
        <v>Ciudad Bolívar</v>
      </c>
      <c r="M542" s="20" t="str">
        <f t="shared" si="241"/>
        <v>Suroriente, Ruralidad</v>
      </c>
      <c r="N542" s="20" t="str">
        <f t="shared" si="242"/>
        <v>Arborizadora, Cuenca del Tunjuelo, Cuenca del Tunjuelo</v>
      </c>
      <c r="O542" s="20" t="str">
        <f t="shared" si="243"/>
        <v>NO</v>
      </c>
      <c r="P542" s="20" t="str">
        <f t="shared" si="244"/>
        <v>No aplica</v>
      </c>
      <c r="Q542" s="20">
        <f t="shared" si="245"/>
        <v>28</v>
      </c>
      <c r="R542" s="20">
        <f t="shared" si="246"/>
        <v>2</v>
      </c>
      <c r="S542" s="20" t="str">
        <f t="shared" si="247"/>
        <v>el objetivo de la reunión es escuchar a la ciudadanía referente al DP de bogota te escucha e invitar a la  Devolución ciudadana construcción PDD - Sector Suroriente</v>
      </c>
      <c r="T542" s="20">
        <f t="shared" si="248"/>
        <v>1</v>
      </c>
      <c r="U542" s="20" t="str">
        <f t="shared" ca="1" si="249"/>
        <v>Realizada</v>
      </c>
    </row>
    <row r="543" spans="1:21" ht="61.5">
      <c r="A543" s="20">
        <v>677</v>
      </c>
      <c r="B543" s="20" t="str">
        <f t="shared" si="230"/>
        <v>Jornadas de devolución AE Calle 72.</v>
      </c>
      <c r="C543" s="21">
        <f t="shared" si="231"/>
        <v>45479</v>
      </c>
      <c r="D543" s="20" t="str">
        <f t="shared" si="232"/>
        <v>OPDC</v>
      </c>
      <c r="E543" s="20" t="str">
        <f t="shared" si="233"/>
        <v>SÍ</v>
      </c>
      <c r="F543" s="20" t="str">
        <f t="shared" si="234"/>
        <v>Construcción de Directrices de Actuaciones Estratégicas</v>
      </c>
      <c r="G543" s="20" t="str">
        <f t="shared" si="235"/>
        <v>Presencial</v>
      </c>
      <c r="H543" s="20" t="str">
        <f t="shared" si="236"/>
        <v>Realizar jornada de socialización en la fase de directrices frente a las propuestas que fueron o no incluidas en la AE calle 72, reconociendo la participación ciudadana.</v>
      </c>
      <c r="I543" s="20" t="str">
        <f t="shared" si="237"/>
        <v>Mecanismo de Comunicación para la Participación</v>
      </c>
      <c r="J543" s="20" t="str">
        <f t="shared" si="238"/>
        <v>Multiactor</v>
      </c>
      <c r="K543" s="20">
        <f t="shared" si="239"/>
        <v>0</v>
      </c>
      <c r="L543" s="20" t="str">
        <f t="shared" si="240"/>
        <v>Barrios Unidos</v>
      </c>
      <c r="M543" s="20" t="str">
        <f t="shared" si="241"/>
        <v>Centro Ampliado</v>
      </c>
      <c r="N543" s="20" t="str">
        <f t="shared" si="242"/>
        <v>Barrios Unidos</v>
      </c>
      <c r="O543" s="20" t="str">
        <f t="shared" si="243"/>
        <v>NO</v>
      </c>
      <c r="P543" s="20" t="str">
        <f t="shared" si="244"/>
        <v>No aplica</v>
      </c>
      <c r="Q543" s="20">
        <f t="shared" si="245"/>
        <v>24</v>
      </c>
      <c r="R543" s="20">
        <f t="shared" si="246"/>
        <v>2</v>
      </c>
      <c r="S543" s="20" t="str">
        <f t="shared" si="247"/>
        <v>Presentación de la cartografía social y acciones de la estrategia de participación desarrollada para la AE de la Calle 72.</v>
      </c>
      <c r="T543" s="20">
        <f t="shared" si="248"/>
        <v>1</v>
      </c>
      <c r="U543" s="20" t="str">
        <f t="shared" ca="1" si="249"/>
        <v>Realizada</v>
      </c>
    </row>
    <row r="544" spans="1:21" ht="98.25">
      <c r="A544" s="20">
        <v>678</v>
      </c>
      <c r="B544" s="20" t="str">
        <f t="shared" si="230"/>
        <v xml:space="preserve">Devolución ciudadana construcción PDD - UPL Sumapaz  - Nazareth </v>
      </c>
      <c r="C544" s="21">
        <f t="shared" si="231"/>
        <v>45479</v>
      </c>
      <c r="D544" s="20" t="str">
        <f t="shared" si="232"/>
        <v>OPDC</v>
      </c>
      <c r="E544" s="20" t="str">
        <f t="shared" si="233"/>
        <v>NO</v>
      </c>
      <c r="F544" s="20" t="str">
        <f t="shared" si="234"/>
        <v>Plan Distrital de Desarrollo</v>
      </c>
      <c r="G544" s="20" t="str">
        <f t="shared" si="235"/>
        <v>Presencial</v>
      </c>
      <c r="H544" s="20" t="str">
        <f t="shared" si="236"/>
        <v>Realizar la devolución y rendición de cuentas sobre los resultados de la participación en la formulación del Plan Distrital de Desarrollo y la Socialización del acuerdo adoptado con miras a promover la confianza, apropiación y corresponsabilidad para la futura implementación del plan.</v>
      </c>
      <c r="I544" s="20" t="str">
        <f t="shared" si="237"/>
        <v>Mecanismo de Fortalecimiento Ciudadano para la Planeación Participativa</v>
      </c>
      <c r="J544" s="20" t="str">
        <f t="shared" si="238"/>
        <v>Individual</v>
      </c>
      <c r="K544" s="20">
        <f t="shared" si="239"/>
        <v>0</v>
      </c>
      <c r="L544" s="20" t="str">
        <f t="shared" si="240"/>
        <v>Sumapaz</v>
      </c>
      <c r="M544" s="20" t="str">
        <f t="shared" si="241"/>
        <v>Ruralidad</v>
      </c>
      <c r="N544" s="20" t="str">
        <f t="shared" si="242"/>
        <v>Sumapaz</v>
      </c>
      <c r="O544" s="20" t="str">
        <f t="shared" si="243"/>
        <v>SÍ</v>
      </c>
      <c r="P544" s="20" t="str">
        <f t="shared" si="244"/>
        <v>Fase IV: Reconocimiento a la Acción Colectiva</v>
      </c>
      <c r="Q544" s="20">
        <f t="shared" si="245"/>
        <v>18</v>
      </c>
      <c r="R544" s="20">
        <f t="shared" si="246"/>
        <v>9</v>
      </c>
      <c r="S544" s="20" t="str">
        <f t="shared" si="247"/>
        <v>Logros de la comunidad rural en el Plan Distrital de Desarrollo</v>
      </c>
      <c r="T544" s="20">
        <f t="shared" si="248"/>
        <v>1</v>
      </c>
      <c r="U544" s="20" t="str">
        <f t="shared" ca="1" si="249"/>
        <v>Realizada</v>
      </c>
    </row>
    <row r="545" spans="1:21" ht="98.25">
      <c r="A545" s="20">
        <v>679</v>
      </c>
      <c r="B545" s="20" t="str">
        <f t="shared" si="230"/>
        <v>Devolución ciudadana construcción PDD - UPL Sumapaz - Betania</v>
      </c>
      <c r="C545" s="21">
        <f t="shared" si="231"/>
        <v>45479</v>
      </c>
      <c r="D545" s="20" t="str">
        <f t="shared" si="232"/>
        <v>OPDC</v>
      </c>
      <c r="E545" s="20" t="str">
        <f t="shared" si="233"/>
        <v>NO</v>
      </c>
      <c r="F545" s="20" t="str">
        <f t="shared" si="234"/>
        <v>Plan Distrital de Desarrollo</v>
      </c>
      <c r="G545" s="20" t="str">
        <f t="shared" si="235"/>
        <v>Presencial</v>
      </c>
      <c r="H545" s="20" t="str">
        <f t="shared" si="236"/>
        <v>Realizar la devolución y rendición de cuentas sobre los resultados de la participación en la formulación del Plan Distrital de Desarrollo y la Socialización del acuerdo adoptado con miras a promover la confianza, apropiación y corresponsabilidad para la futura implementación del plan.</v>
      </c>
      <c r="I545" s="20" t="str">
        <f t="shared" si="237"/>
        <v>Mecanismo de Fortalecimiento Ciudadano para la Planeación Participativa</v>
      </c>
      <c r="J545" s="20" t="str">
        <f t="shared" si="238"/>
        <v>Individual</v>
      </c>
      <c r="K545" s="20">
        <f t="shared" si="239"/>
        <v>0</v>
      </c>
      <c r="L545" s="20" t="str">
        <f t="shared" si="240"/>
        <v>Sumapaz</v>
      </c>
      <c r="M545" s="20" t="str">
        <f t="shared" si="241"/>
        <v>Ruralidad</v>
      </c>
      <c r="N545" s="20" t="str">
        <f t="shared" si="242"/>
        <v>Sumapaz</v>
      </c>
      <c r="O545" s="20" t="str">
        <f t="shared" si="243"/>
        <v>SÍ</v>
      </c>
      <c r="P545" s="20" t="str">
        <f t="shared" si="244"/>
        <v>Fase IV: Reconocimiento a la Acción Colectiva</v>
      </c>
      <c r="Q545" s="20">
        <f t="shared" si="245"/>
        <v>19</v>
      </c>
      <c r="R545" s="20">
        <f t="shared" si="246"/>
        <v>10</v>
      </c>
      <c r="S545" s="20" t="str">
        <f t="shared" si="247"/>
        <v>Explicación general del PDD, ruta de la participación en la ruralidad, programas específicos en la ruralidad que se lograron y no se lograron, SPT con los comités ciudadanos como herramienta de veeduría y los PIP en las ruralidades.</v>
      </c>
      <c r="T545" s="20">
        <f t="shared" si="248"/>
        <v>1</v>
      </c>
      <c r="U545" s="20" t="str">
        <f t="shared" ca="1" si="249"/>
        <v>Realizada</v>
      </c>
    </row>
    <row r="546" spans="1:21" ht="74.25">
      <c r="A546" s="20">
        <v>680</v>
      </c>
      <c r="B546" s="20" t="str">
        <f t="shared" si="230"/>
        <v xml:space="preserve">CLIP extraordinaria Kennedy </v>
      </c>
      <c r="C546" s="21">
        <f t="shared" si="231"/>
        <v>45481</v>
      </c>
      <c r="D546" s="20" t="str">
        <f t="shared" si="232"/>
        <v>INSTANCIAS</v>
      </c>
      <c r="E546" s="20" t="str">
        <f t="shared" si="233"/>
        <v>NO</v>
      </c>
      <c r="F546" s="20" t="str">
        <f t="shared" si="234"/>
        <v>CLIP (Comisión Local Intersectorial de Participación)</v>
      </c>
      <c r="G546" s="20" t="str">
        <f t="shared" si="235"/>
        <v>Presencial</v>
      </c>
      <c r="H546" s="20" t="str">
        <f t="shared" si="236"/>
        <v>Acompañar la sesión extraordinaria citada por la secretaría técnica del IDPAC para continuar en el proceso de articulación de los esfuerzos institucionales de participación en la localidad de Kennedy.</v>
      </c>
      <c r="I546" s="20" t="str">
        <f t="shared" si="237"/>
        <v>Gestión Institucional</v>
      </c>
      <c r="J546" s="20" t="str">
        <f t="shared" si="238"/>
        <v>Público</v>
      </c>
      <c r="K546" s="20" t="str">
        <f t="shared" si="239"/>
        <v>CLIP</v>
      </c>
      <c r="L546" s="20" t="str">
        <f t="shared" si="240"/>
        <v>Kennedy</v>
      </c>
      <c r="M546" s="20" t="str">
        <f t="shared" si="241"/>
        <v>Suroccidente</v>
      </c>
      <c r="N546" s="20" t="str">
        <f t="shared" si="242"/>
        <v>Kennedy, Tintal, Patio Bonito, Edén, Porvenir, Bosa</v>
      </c>
      <c r="O546" s="20" t="str">
        <f t="shared" si="243"/>
        <v>NO</v>
      </c>
      <c r="P546" s="20" t="str">
        <f t="shared" si="244"/>
        <v>No aplica</v>
      </c>
      <c r="Q546" s="20">
        <f t="shared" si="245"/>
        <v>13</v>
      </c>
      <c r="R546" s="20">
        <f t="shared" si="246"/>
        <v>1</v>
      </c>
      <c r="S546" s="20" t="str">
        <f t="shared" si="247"/>
        <v>Mesas de concertación y Bogotá distribuye lo local.</v>
      </c>
      <c r="T546" s="20">
        <f t="shared" si="248"/>
        <v>1</v>
      </c>
      <c r="U546" s="20" t="str">
        <f t="shared" ca="1" si="249"/>
        <v>Realizada</v>
      </c>
    </row>
    <row r="547" spans="1:21" ht="61.5">
      <c r="A547" s="20">
        <v>681</v>
      </c>
      <c r="B547" s="20" t="str">
        <f t="shared" si="230"/>
        <v xml:space="preserve">Activación de actores JAL Tunjuelito </v>
      </c>
      <c r="C547" s="21">
        <f t="shared" si="231"/>
        <v>45481</v>
      </c>
      <c r="D547" s="20" t="str">
        <f t="shared" si="232"/>
        <v>OPDC</v>
      </c>
      <c r="E547" s="20" t="str">
        <f t="shared" si="233"/>
        <v>NO</v>
      </c>
      <c r="F547" s="20" t="str">
        <f t="shared" si="234"/>
        <v>Gestión en Territorio</v>
      </c>
      <c r="G547" s="20" t="str">
        <f t="shared" si="235"/>
        <v>Presencial</v>
      </c>
      <c r="H547" s="20" t="str">
        <f t="shared" si="236"/>
        <v xml:space="preserve">Fortalecer las relaciones con los actores estratégicos del territorio para articular los procesos de participación.  JAL Tunjuelito </v>
      </c>
      <c r="I547" s="20" t="str">
        <f t="shared" si="237"/>
        <v>Mecanismo de Fortalecimiento Ciudadano para la Planeación Participativa</v>
      </c>
      <c r="J547" s="20" t="str">
        <f t="shared" si="238"/>
        <v>Público</v>
      </c>
      <c r="K547" s="20" t="str">
        <f t="shared" si="239"/>
        <v>JAL</v>
      </c>
      <c r="L547" s="20" t="str">
        <f t="shared" si="240"/>
        <v>Tunjuelito</v>
      </c>
      <c r="M547" s="20" t="str">
        <f t="shared" si="241"/>
        <v>Suroriente</v>
      </c>
      <c r="N547" s="20" t="str">
        <f t="shared" si="242"/>
        <v>Tunjuelito, Arborizadora</v>
      </c>
      <c r="O547" s="20" t="str">
        <f t="shared" si="243"/>
        <v>NO</v>
      </c>
      <c r="P547" s="20" t="str">
        <f t="shared" si="244"/>
        <v>No aplica</v>
      </c>
      <c r="Q547" s="20">
        <f t="shared" si="245"/>
        <v>13</v>
      </c>
      <c r="R547" s="20">
        <f t="shared" si="246"/>
        <v>2</v>
      </c>
      <c r="S547" s="20" t="str">
        <f t="shared" si="247"/>
        <v>Plan Distrital de Desarrollo - Acción de devolución PDD Suroriente - CONFIS</v>
      </c>
      <c r="T547" s="20">
        <f t="shared" si="248"/>
        <v>1</v>
      </c>
      <c r="U547" s="20" t="str">
        <f t="shared" ca="1" si="249"/>
        <v>Realizada</v>
      </c>
    </row>
    <row r="548" spans="1:21" ht="49.5">
      <c r="A548" s="20">
        <v>682</v>
      </c>
      <c r="B548" s="20" t="str">
        <f t="shared" si="230"/>
        <v>Socialización PIP JAL Tunjuelito</v>
      </c>
      <c r="C548" s="21">
        <f t="shared" si="231"/>
        <v>45481</v>
      </c>
      <c r="D548" s="20" t="str">
        <f t="shared" si="232"/>
        <v>OPDC</v>
      </c>
      <c r="E548" s="20" t="str">
        <f t="shared" si="233"/>
        <v>SÍ</v>
      </c>
      <c r="F548" s="20" t="str">
        <f t="shared" si="234"/>
        <v>Proyectos Integrales de Proximidad</v>
      </c>
      <c r="G548" s="20" t="str">
        <f t="shared" si="235"/>
        <v>Presencial</v>
      </c>
      <c r="H548" s="20" t="str">
        <f t="shared" si="236"/>
        <v>Socializar los PIP para posicionarlos con los actores locales</v>
      </c>
      <c r="I548" s="20" t="str">
        <f t="shared" si="237"/>
        <v>Mecanismo de Comunicación para la Participación</v>
      </c>
      <c r="J548" s="20" t="str">
        <f t="shared" si="238"/>
        <v>Multiactor</v>
      </c>
      <c r="K548" s="20">
        <f t="shared" si="239"/>
        <v>0</v>
      </c>
      <c r="L548" s="20" t="str">
        <f t="shared" si="240"/>
        <v>Tunjuelito</v>
      </c>
      <c r="M548" s="20" t="str">
        <f t="shared" si="241"/>
        <v>Suroriente</v>
      </c>
      <c r="N548" s="20" t="str">
        <f t="shared" si="242"/>
        <v>Tunjuelito</v>
      </c>
      <c r="O548" s="20" t="str">
        <f t="shared" si="243"/>
        <v>NO</v>
      </c>
      <c r="P548" s="20" t="str">
        <f t="shared" si="244"/>
        <v>No aplica</v>
      </c>
      <c r="Q548" s="20">
        <f t="shared" si="245"/>
        <v>12</v>
      </c>
      <c r="R548" s="20">
        <f t="shared" si="246"/>
        <v>3</v>
      </c>
      <c r="S548" s="20" t="str">
        <f t="shared" si="247"/>
        <v xml:space="preserve">Proyectos Integrales de Proximidad - Plan de Desarrollo Local </v>
      </c>
      <c r="T548" s="20">
        <f t="shared" si="248"/>
        <v>1</v>
      </c>
      <c r="U548" s="20" t="str">
        <f t="shared" ca="1" si="249"/>
        <v>Realizada</v>
      </c>
    </row>
    <row r="549" spans="1:21" ht="61.5">
      <c r="A549" s="20">
        <v>683</v>
      </c>
      <c r="B549" s="20" t="str">
        <f t="shared" si="230"/>
        <v>Gestión: Activación de actores UPL San Cristóbal Subred Centro Oriente.</v>
      </c>
      <c r="C549" s="21">
        <f t="shared" si="231"/>
        <v>45481</v>
      </c>
      <c r="D549" s="20" t="str">
        <f t="shared" si="232"/>
        <v>OPDC</v>
      </c>
      <c r="E549" s="20" t="str">
        <f t="shared" si="233"/>
        <v>NO</v>
      </c>
      <c r="F549" s="20" t="str">
        <f t="shared" si="234"/>
        <v>Gestión en Territorio</v>
      </c>
      <c r="G549" s="20" t="str">
        <f t="shared" si="235"/>
        <v>Presencial</v>
      </c>
      <c r="H549" s="20" t="str">
        <f t="shared" si="236"/>
        <v>Fortalecer las relaciones con los actores estratégicos del territorio para articular los procesos de participación. SubSubred Centro Oriente</v>
      </c>
      <c r="I549" s="20" t="str">
        <f t="shared" si="237"/>
        <v>Mecanismo de Fortalecimiento Ciudadano para la Planeación Participativa</v>
      </c>
      <c r="J549" s="20" t="str">
        <f t="shared" si="238"/>
        <v>Comunitario</v>
      </c>
      <c r="K549" s="20" t="str">
        <f t="shared" si="239"/>
        <v>Grupos focales</v>
      </c>
      <c r="L549" s="20" t="str">
        <f t="shared" si="240"/>
        <v>San Cristóbal</v>
      </c>
      <c r="M549" s="20" t="str">
        <f t="shared" si="241"/>
        <v>Suroriente</v>
      </c>
      <c r="N549" s="20" t="str">
        <f t="shared" si="242"/>
        <v>San Cristobal</v>
      </c>
      <c r="O549" s="20" t="str">
        <f t="shared" si="243"/>
        <v>NO</v>
      </c>
      <c r="P549" s="20" t="str">
        <f t="shared" si="244"/>
        <v>No aplica</v>
      </c>
      <c r="Q549" s="20">
        <f t="shared" si="245"/>
        <v>9</v>
      </c>
      <c r="R549" s="20">
        <f t="shared" si="246"/>
        <v>1</v>
      </c>
      <c r="S549" s="20" t="str">
        <f t="shared" si="247"/>
        <v>Notificación a la comunidad de la última fase del PDD (la devolución) del sector sur oriental, formación de comités ciudadanos y notificación de las asambleas deliberativas.</v>
      </c>
      <c r="T549" s="20">
        <f t="shared" si="248"/>
        <v>1</v>
      </c>
      <c r="U549" s="20" t="str">
        <f t="shared" ca="1" si="249"/>
        <v>Realizada</v>
      </c>
    </row>
    <row r="550" spans="1:21" ht="61.5">
      <c r="A550" s="20">
        <v>684</v>
      </c>
      <c r="B550" s="20" t="str">
        <f t="shared" si="230"/>
        <v>Socialización Sistema de Participación Territorial - Observatorio Ciudadano Local de Tunjuelito</v>
      </c>
      <c r="C550" s="21">
        <f t="shared" si="231"/>
        <v>45481</v>
      </c>
      <c r="D550" s="20" t="str">
        <f t="shared" si="232"/>
        <v>OPDC</v>
      </c>
      <c r="E550" s="20" t="str">
        <f t="shared" si="233"/>
        <v>NO</v>
      </c>
      <c r="F550" s="20" t="str">
        <f t="shared" si="234"/>
        <v>Sistema de Participación Territorial</v>
      </c>
      <c r="G550" s="20" t="str">
        <f t="shared" si="235"/>
        <v>Presencial</v>
      </c>
      <c r="H550" s="20" t="str">
        <f t="shared" si="236"/>
        <v>Socializar el Sistema de Participación Territorial y el Plan Distrital de Desarrollo a los Observatorios Ciudadanos Locales de Tunjuelito y Bosa</v>
      </c>
      <c r="I550" s="20" t="str">
        <f t="shared" si="237"/>
        <v>Mecanismo de Comunicación para la Participación</v>
      </c>
      <c r="J550" s="20" t="str">
        <f t="shared" si="238"/>
        <v>Multiactor</v>
      </c>
      <c r="K550" s="20">
        <f t="shared" si="239"/>
        <v>0</v>
      </c>
      <c r="L550" s="20" t="str">
        <f t="shared" si="240"/>
        <v>Tunjuelito</v>
      </c>
      <c r="M550" s="20" t="str">
        <f t="shared" si="241"/>
        <v>Suroriente</v>
      </c>
      <c r="N550" s="20" t="str">
        <f t="shared" si="242"/>
        <v>Tunjuelito</v>
      </c>
      <c r="O550" s="20" t="str">
        <f t="shared" si="243"/>
        <v>NO</v>
      </c>
      <c r="P550" s="20" t="str">
        <f t="shared" si="244"/>
        <v>No aplica</v>
      </c>
      <c r="Q550" s="20">
        <f t="shared" si="245"/>
        <v>8</v>
      </c>
      <c r="R550" s="20">
        <f t="shared" si="246"/>
        <v>2</v>
      </c>
      <c r="S550" s="20" t="str">
        <f t="shared" si="247"/>
        <v xml:space="preserve">Plan de Desarrollo Distrital - Sistema de Participación Territorial - Plan de Desarrollo Local </v>
      </c>
      <c r="T550" s="20">
        <f t="shared" si="248"/>
        <v>1</v>
      </c>
      <c r="U550" s="20" t="str">
        <f t="shared" ca="1" si="249"/>
        <v>Realizada</v>
      </c>
    </row>
    <row r="551" spans="1:21" ht="61.5">
      <c r="A551" s="20">
        <v>685</v>
      </c>
      <c r="B551" s="20" t="str">
        <f t="shared" si="230"/>
        <v xml:space="preserve">Activación de actores Alcalde Local de Tunjuelito </v>
      </c>
      <c r="C551" s="21">
        <f t="shared" si="231"/>
        <v>45481</v>
      </c>
      <c r="D551" s="20" t="str">
        <f t="shared" si="232"/>
        <v>OPDC</v>
      </c>
      <c r="E551" s="20" t="str">
        <f t="shared" si="233"/>
        <v>NO</v>
      </c>
      <c r="F551" s="20" t="str">
        <f t="shared" si="234"/>
        <v>Gestión en Territorio</v>
      </c>
      <c r="G551" s="20" t="str">
        <f t="shared" si="235"/>
        <v>Presencial</v>
      </c>
      <c r="H551" s="20" t="str">
        <f t="shared" si="236"/>
        <v xml:space="preserve">Fortalecer las relaciones con los actores estratégicos del territorio para articular los procesos de participación. Alcalde Local de Tunjuelito </v>
      </c>
      <c r="I551" s="20" t="str">
        <f t="shared" si="237"/>
        <v>Mecanismo de Fortalecimiento Ciudadano para la Planeación Participativa</v>
      </c>
      <c r="J551" s="20" t="str">
        <f t="shared" si="238"/>
        <v>Multiactor</v>
      </c>
      <c r="K551" s="20">
        <f t="shared" si="239"/>
        <v>0</v>
      </c>
      <c r="L551" s="20" t="str">
        <f t="shared" si="240"/>
        <v>Tunjuelito</v>
      </c>
      <c r="M551" s="20" t="str">
        <f t="shared" si="241"/>
        <v>Suroriente</v>
      </c>
      <c r="N551" s="20" t="str">
        <f t="shared" si="242"/>
        <v>Tunjuelito</v>
      </c>
      <c r="O551" s="20" t="str">
        <f t="shared" si="243"/>
        <v>NO</v>
      </c>
      <c r="P551" s="20" t="str">
        <f t="shared" si="244"/>
        <v>No aplica</v>
      </c>
      <c r="Q551" s="20">
        <f t="shared" si="245"/>
        <v>3</v>
      </c>
      <c r="R551" s="20">
        <f t="shared" si="246"/>
        <v>3</v>
      </c>
      <c r="S551" s="20" t="str">
        <f t="shared" si="247"/>
        <v xml:space="preserve">Plan de desarrollo distrital - Proyectos Integrales de Proximidad </v>
      </c>
      <c r="T551" s="20">
        <f t="shared" si="248"/>
        <v>1</v>
      </c>
      <c r="U551" s="20" t="str">
        <f t="shared" ca="1" si="249"/>
        <v>Realizada</v>
      </c>
    </row>
    <row r="552" spans="1:21" ht="49.5">
      <c r="A552" s="20">
        <v>686</v>
      </c>
      <c r="B552" s="20" t="str">
        <f t="shared" si="230"/>
        <v xml:space="preserve">Socialización PIP Alcaldía local Tunjuelito </v>
      </c>
      <c r="C552" s="21">
        <f t="shared" si="231"/>
        <v>45481</v>
      </c>
      <c r="D552" s="20" t="str">
        <f t="shared" si="232"/>
        <v>OPDC</v>
      </c>
      <c r="E552" s="20" t="str">
        <f t="shared" si="233"/>
        <v>SÍ</v>
      </c>
      <c r="F552" s="20" t="str">
        <f t="shared" si="234"/>
        <v>Proyectos Integrales de Proximidad</v>
      </c>
      <c r="G552" s="20" t="str">
        <f t="shared" si="235"/>
        <v>Presencial</v>
      </c>
      <c r="H552" s="20" t="str">
        <f t="shared" si="236"/>
        <v xml:space="preserve">Socializar los PIP para posicionar los proyectos con los actores locales </v>
      </c>
      <c r="I552" s="20" t="str">
        <f t="shared" si="237"/>
        <v>Mecanismo de Comunicación para la Participación</v>
      </c>
      <c r="J552" s="20" t="str">
        <f t="shared" si="238"/>
        <v>Público</v>
      </c>
      <c r="K552" s="20" t="str">
        <f t="shared" si="239"/>
        <v>Servidores públicos (Distrital)</v>
      </c>
      <c r="L552" s="20" t="str">
        <f t="shared" si="240"/>
        <v>Tunjuelito</v>
      </c>
      <c r="M552" s="20" t="str">
        <f t="shared" si="241"/>
        <v>Suroriente</v>
      </c>
      <c r="N552" s="20" t="str">
        <f t="shared" si="242"/>
        <v>Tunjuelito</v>
      </c>
      <c r="O552" s="20" t="str">
        <f t="shared" si="243"/>
        <v>NO</v>
      </c>
      <c r="P552" s="20" t="str">
        <f t="shared" si="244"/>
        <v>No aplica</v>
      </c>
      <c r="Q552" s="20">
        <f t="shared" si="245"/>
        <v>3</v>
      </c>
      <c r="R552" s="20">
        <f t="shared" si="246"/>
        <v>3</v>
      </c>
      <c r="S552" s="20" t="str">
        <f t="shared" si="247"/>
        <v xml:space="preserve">Proyectos Integrales de Proximidad - Plan de desarrollo local </v>
      </c>
      <c r="T552" s="20">
        <f t="shared" si="248"/>
        <v>1</v>
      </c>
      <c r="U552" s="20" t="str">
        <f t="shared" ca="1" si="249"/>
        <v>Realizada</v>
      </c>
    </row>
    <row r="553" spans="1:21" ht="61.5">
      <c r="A553" s="20">
        <v>687</v>
      </c>
      <c r="B553" s="20" t="str">
        <f t="shared" si="230"/>
        <v xml:space="preserve"> Gestión con Actores Estratégicos- JAC San Nicolas UPL Niza </v>
      </c>
      <c r="C553" s="21">
        <f t="shared" si="231"/>
        <v>45481</v>
      </c>
      <c r="D553" s="20" t="str">
        <f t="shared" si="232"/>
        <v>OPDC</v>
      </c>
      <c r="E553" s="20" t="str">
        <f t="shared" si="233"/>
        <v>NO</v>
      </c>
      <c r="F553" s="20" t="str">
        <f t="shared" si="234"/>
        <v>Gestión en Territorio</v>
      </c>
      <c r="G553" s="20" t="str">
        <f t="shared" si="235"/>
        <v>Presencial</v>
      </c>
      <c r="H553" s="20" t="str">
        <f t="shared" si="236"/>
        <v xml:space="preserve">Fortalecer las relaciones con los actores estratégicos del territorio para articular los procesos de participación. JAC San Nicolas </v>
      </c>
      <c r="I553" s="20" t="str">
        <f t="shared" si="237"/>
        <v>Mecanismo de Fortalecimiento Ciudadano para la Planeación Participativa</v>
      </c>
      <c r="J553" s="20" t="str">
        <f t="shared" si="238"/>
        <v>Comunitario</v>
      </c>
      <c r="K553" s="20" t="str">
        <f t="shared" si="239"/>
        <v>ASOJUNTAS - JAC</v>
      </c>
      <c r="L553" s="20" t="str">
        <f t="shared" si="240"/>
        <v>Suba</v>
      </c>
      <c r="M553" s="20" t="str">
        <f t="shared" si="241"/>
        <v>Norte</v>
      </c>
      <c r="N553" s="20" t="str">
        <f t="shared" si="242"/>
        <v>Suba, Suba Rincón, Tibabuyes, Niza, Britalia, Torca</v>
      </c>
      <c r="O553" s="20" t="str">
        <f t="shared" si="243"/>
        <v>NO</v>
      </c>
      <c r="P553" s="20" t="str">
        <f t="shared" si="244"/>
        <v>No aplica</v>
      </c>
      <c r="Q553" s="20">
        <f t="shared" si="245"/>
        <v>10</v>
      </c>
      <c r="R553" s="20">
        <f t="shared" si="246"/>
        <v>1</v>
      </c>
      <c r="S553" s="20" t="str">
        <f t="shared" si="247"/>
        <v xml:space="preserve">Socialización del ABC del PDD; explicación de la matriz de metas del PDD 2024-2027; preguntas y respuestas de otros instrimentos de planeación (POT, políticas públicas) </v>
      </c>
      <c r="T553" s="20">
        <f t="shared" si="248"/>
        <v>1</v>
      </c>
      <c r="U553" s="20" t="str">
        <f t="shared" ca="1" si="249"/>
        <v>Realizada</v>
      </c>
    </row>
    <row r="554" spans="1:21" ht="61.5">
      <c r="A554" s="20">
        <v>688</v>
      </c>
      <c r="B554" s="20" t="str">
        <f t="shared" si="230"/>
        <v>Gestión actores estratégicos Noroccidente - CPL y Asojuntas Suba</v>
      </c>
      <c r="C554" s="21">
        <f t="shared" si="231"/>
        <v>45481</v>
      </c>
      <c r="D554" s="20" t="str">
        <f t="shared" si="232"/>
        <v>OPDC</v>
      </c>
      <c r="E554" s="20" t="str">
        <f t="shared" si="233"/>
        <v>NO</v>
      </c>
      <c r="F554" s="20" t="str">
        <f t="shared" si="234"/>
        <v>Gestión en Territorio</v>
      </c>
      <c r="G554" s="20" t="str">
        <f t="shared" si="235"/>
        <v>Presencial</v>
      </c>
      <c r="H554" s="20" t="str">
        <f t="shared" si="236"/>
        <v>Fortalecer las relaciones con los actores estratégicos del territorio para articular los procesos de participación. CPL y Asojuntas</v>
      </c>
      <c r="I554" s="20" t="str">
        <f t="shared" si="237"/>
        <v>Mecanismo de Fortalecimiento Ciudadano para la Planeación Participativa</v>
      </c>
      <c r="J554" s="20" t="str">
        <f t="shared" si="238"/>
        <v>Comunitario</v>
      </c>
      <c r="K554" s="20" t="str">
        <f t="shared" si="239"/>
        <v>ASOJUNTAS - JAC</v>
      </c>
      <c r="L554" s="20" t="str">
        <f t="shared" si="240"/>
        <v>Suba</v>
      </c>
      <c r="M554" s="20" t="str">
        <f t="shared" si="241"/>
        <v>Noroccidente</v>
      </c>
      <c r="N554" s="20" t="str">
        <f t="shared" si="242"/>
        <v>Suba, Suba Rincón, Tibabuyes, Niza, Britalia, Torca</v>
      </c>
      <c r="O554" s="20" t="str">
        <f t="shared" si="243"/>
        <v>NO</v>
      </c>
      <c r="P554" s="20" t="str">
        <f t="shared" si="244"/>
        <v>No aplica</v>
      </c>
      <c r="Q554" s="20">
        <f t="shared" si="245"/>
        <v>18</v>
      </c>
      <c r="R554" s="20">
        <f t="shared" si="246"/>
        <v>4</v>
      </c>
      <c r="S554" s="20" t="str">
        <f t="shared" si="247"/>
        <v>PDD, POT, PIP, ALO, AE, Ciudadela Educativa y del Cuidado.</v>
      </c>
      <c r="T554" s="20">
        <f t="shared" si="248"/>
        <v>1</v>
      </c>
      <c r="U554" s="20" t="str">
        <f t="shared" ca="1" si="249"/>
        <v>Realizada</v>
      </c>
    </row>
    <row r="555" spans="1:21" ht="49.5">
      <c r="A555" s="20">
        <v>689</v>
      </c>
      <c r="B555" s="20" t="str">
        <f t="shared" si="230"/>
        <v>Socialización Sistema de Participación Territorial UPL Niza</v>
      </c>
      <c r="C555" s="21">
        <f t="shared" si="231"/>
        <v>45481</v>
      </c>
      <c r="D555" s="20" t="str">
        <f t="shared" si="232"/>
        <v>OPDC</v>
      </c>
      <c r="E555" s="20" t="str">
        <f t="shared" si="233"/>
        <v>NO</v>
      </c>
      <c r="F555" s="20" t="str">
        <f t="shared" si="234"/>
        <v>Sistema de Participación Territorial</v>
      </c>
      <c r="G555" s="20" t="str">
        <f t="shared" si="235"/>
        <v>Presencial</v>
      </c>
      <c r="H555" s="20" t="str">
        <f t="shared" si="236"/>
        <v>Socializar el Sistema de Participación Territorial con la UPL Niza motivando para la conformación de los comités ciudadanos de los instrumentos del POT</v>
      </c>
      <c r="I555" s="20" t="str">
        <f t="shared" si="237"/>
        <v>Mecanismo de Comunicación para la Participación</v>
      </c>
      <c r="J555" s="20" t="str">
        <f t="shared" si="238"/>
        <v>Comunitario</v>
      </c>
      <c r="K555" s="20" t="str">
        <f t="shared" si="239"/>
        <v>ASOJUNTAS - JAC</v>
      </c>
      <c r="L555" s="20" t="str">
        <f t="shared" si="240"/>
        <v>Suba</v>
      </c>
      <c r="M555" s="20" t="str">
        <f t="shared" si="241"/>
        <v>Norte</v>
      </c>
      <c r="N555" s="20" t="str">
        <f t="shared" si="242"/>
        <v>Suba, Suba Rincón, Tibabuyes, Niza, Britalia, Torca</v>
      </c>
      <c r="O555" s="20" t="str">
        <f t="shared" si="243"/>
        <v>NO</v>
      </c>
      <c r="P555" s="20" t="str">
        <f t="shared" si="244"/>
        <v>No aplica</v>
      </c>
      <c r="Q555" s="20">
        <f t="shared" si="245"/>
        <v>10</v>
      </c>
      <c r="R555" s="20">
        <f t="shared" si="246"/>
        <v>1</v>
      </c>
      <c r="S555" s="20" t="str">
        <f t="shared" si="247"/>
        <v>Socialización Decreto 599 de 2023; explicación del procedimiento de conformación de los comités ciudadanos del SPT en el marco de los instrumentos de planeación del POT</v>
      </c>
      <c r="T555" s="20">
        <f t="shared" si="248"/>
        <v>1</v>
      </c>
      <c r="U555" s="20" t="str">
        <f t="shared" ca="1" si="249"/>
        <v>Realizada</v>
      </c>
    </row>
    <row r="556" spans="1:21" ht="49.5">
      <c r="A556" s="20">
        <v>690</v>
      </c>
      <c r="B556" s="20" t="str">
        <f t="shared" si="230"/>
        <v xml:space="preserve">Socialización PIP sector Norte - CPL Suba  </v>
      </c>
      <c r="C556" s="21">
        <f t="shared" si="231"/>
        <v>45481</v>
      </c>
      <c r="D556" s="20" t="str">
        <f t="shared" si="232"/>
        <v>OPDC</v>
      </c>
      <c r="E556" s="20" t="str">
        <f t="shared" si="233"/>
        <v>SÍ</v>
      </c>
      <c r="F556" s="20" t="str">
        <f t="shared" si="234"/>
        <v>Proyectos Integrales de Proximidad</v>
      </c>
      <c r="G556" s="20" t="str">
        <f t="shared" si="235"/>
        <v>Presencial</v>
      </c>
      <c r="H556" s="20" t="str">
        <f t="shared" si="236"/>
        <v xml:space="preserve">Socializar las generalidades de los PIP al CPL de la localidad de suba Sector Norte </v>
      </c>
      <c r="I556" s="20" t="str">
        <f t="shared" si="237"/>
        <v>Mecanismo de Comunicación para la Participación</v>
      </c>
      <c r="J556" s="20" t="str">
        <f t="shared" si="238"/>
        <v>Comunitario</v>
      </c>
      <c r="K556" s="20" t="str">
        <f t="shared" si="239"/>
        <v>CPL</v>
      </c>
      <c r="L556" s="20" t="str">
        <f t="shared" si="240"/>
        <v>Suba</v>
      </c>
      <c r="M556" s="20" t="str">
        <f t="shared" si="241"/>
        <v>Norte</v>
      </c>
      <c r="N556" s="20" t="str">
        <f t="shared" si="242"/>
        <v>Niza, Britalia, Torca</v>
      </c>
      <c r="O556" s="20" t="str">
        <f t="shared" si="243"/>
        <v>NO</v>
      </c>
      <c r="P556" s="20" t="str">
        <f t="shared" si="244"/>
        <v>No aplica</v>
      </c>
      <c r="Q556" s="20">
        <f t="shared" si="245"/>
        <v>18</v>
      </c>
      <c r="R556" s="20">
        <f t="shared" si="246"/>
        <v>4</v>
      </c>
      <c r="S556" s="20" t="str">
        <f t="shared" si="247"/>
        <v xml:space="preserve">Socialización del ABC del PDD y  PIP zona Norte y Zona Noroccidente con CPL Suba </v>
      </c>
      <c r="T556" s="20">
        <f t="shared" si="248"/>
        <v>1</v>
      </c>
      <c r="U556" s="20" t="str">
        <f t="shared" ca="1" si="249"/>
        <v>Realizada</v>
      </c>
    </row>
    <row r="557" spans="1:21" ht="61.5">
      <c r="A557" s="20">
        <v>691</v>
      </c>
      <c r="B557" s="20" t="str">
        <f t="shared" si="230"/>
        <v>Sesión Ordinaria Comisión Desarrollo Regional CTPD</v>
      </c>
      <c r="C557" s="21">
        <f t="shared" si="231"/>
        <v>45481</v>
      </c>
      <c r="D557" s="20" t="str">
        <f t="shared" si="232"/>
        <v>INSTANCIAS</v>
      </c>
      <c r="E557" s="20" t="str">
        <f t="shared" si="233"/>
        <v>NO</v>
      </c>
      <c r="F557" s="20" t="str">
        <f t="shared" si="234"/>
        <v>CTPD (Consejo Territorial de Planeación Distrital)</v>
      </c>
      <c r="G557" s="20" t="str">
        <f t="shared" si="235"/>
        <v>Virtual</v>
      </c>
      <c r="H557" s="20" t="str">
        <f t="shared" si="236"/>
        <v>Realizar el acompañamiento como secretaría técnica a la Sesión Ordinaria de la Comisión de Desarrollo Regional del CTPD, para la construcción del Plan de Trabajo de la Comisión.</v>
      </c>
      <c r="I557" s="20" t="str">
        <f t="shared" si="237"/>
        <v>Mecanismo de Seguimiento y Evaluación</v>
      </c>
      <c r="J557" s="20" t="str">
        <f t="shared" si="238"/>
        <v>Comunitario</v>
      </c>
      <c r="K557" s="20" t="str">
        <f t="shared" si="239"/>
        <v>CTPD</v>
      </c>
      <c r="L557" s="20" t="str">
        <f t="shared" si="240"/>
        <v>Distrital</v>
      </c>
      <c r="M557" s="20" t="str">
        <f t="shared" si="241"/>
        <v>Distrital</v>
      </c>
      <c r="N557" s="20" t="str">
        <f t="shared" si="242"/>
        <v>Distrital</v>
      </c>
      <c r="O557" s="20" t="str">
        <f t="shared" si="243"/>
        <v>NO</v>
      </c>
      <c r="P557" s="20" t="str">
        <f t="shared" si="244"/>
        <v>No aplica</v>
      </c>
      <c r="Q557" s="20">
        <f t="shared" si="245"/>
        <v>7</v>
      </c>
      <c r="R557" s="20">
        <f t="shared" si="246"/>
        <v>1</v>
      </c>
      <c r="S557" s="20" t="str">
        <f t="shared" si="247"/>
        <v>Se realizó la priorización y la construcción de las estrategias del Plan de Acción de la comisión con el apoyo de la UNAD.</v>
      </c>
      <c r="T557" s="20">
        <f t="shared" si="248"/>
        <v>1</v>
      </c>
      <c r="U557" s="20" t="str">
        <f t="shared" ca="1" si="249"/>
        <v>Realizada</v>
      </c>
    </row>
    <row r="558" spans="1:21" ht="49.5">
      <c r="A558" s="20">
        <v>692</v>
      </c>
      <c r="B558" s="20" t="str">
        <f t="shared" si="230"/>
        <v xml:space="preserve">Socialización PIP sector Noroccidente - CPL Suba UPL Tibabuyes, Suba y Rincón de Suba </v>
      </c>
      <c r="C558" s="21">
        <f t="shared" si="231"/>
        <v>45481</v>
      </c>
      <c r="D558" s="20" t="str">
        <f t="shared" si="232"/>
        <v>OPDC</v>
      </c>
      <c r="E558" s="20" t="str">
        <f t="shared" si="233"/>
        <v>SÍ</v>
      </c>
      <c r="F558" s="20" t="str">
        <f t="shared" si="234"/>
        <v>Proyectos Integrales de Proximidad</v>
      </c>
      <c r="G558" s="20" t="str">
        <f t="shared" si="235"/>
        <v>Presencial</v>
      </c>
      <c r="H558" s="20" t="str">
        <f t="shared" si="236"/>
        <v xml:space="preserve">Realizar la Socialización PIP  en el sector Noroccidente con la CPL Suba  con las UPLs Tibabuyes, Suba y Rincón de Suba </v>
      </c>
      <c r="I558" s="20" t="str">
        <f t="shared" si="237"/>
        <v>Mecanismo de Comunicación para la Participación</v>
      </c>
      <c r="J558" s="20" t="str">
        <f t="shared" si="238"/>
        <v>Comunitario</v>
      </c>
      <c r="K558" s="20" t="str">
        <f t="shared" si="239"/>
        <v>CPL</v>
      </c>
      <c r="L558" s="20" t="str">
        <f t="shared" si="240"/>
        <v>Suba</v>
      </c>
      <c r="M558" s="20" t="str">
        <f t="shared" si="241"/>
        <v>Noroccidente</v>
      </c>
      <c r="N558" s="20" t="str">
        <f t="shared" si="242"/>
        <v>Suba, Suba Rincón, Tibabuyes</v>
      </c>
      <c r="O558" s="20" t="str">
        <f t="shared" si="243"/>
        <v>NO</v>
      </c>
      <c r="P558" s="20" t="str">
        <f t="shared" si="244"/>
        <v>No aplica</v>
      </c>
      <c r="Q558" s="20">
        <f t="shared" si="245"/>
        <v>18</v>
      </c>
      <c r="R558" s="20">
        <f t="shared" si="246"/>
        <v>4</v>
      </c>
      <c r="S558" s="20" t="str">
        <f t="shared" si="247"/>
        <v>PDD, PIP, Ciudadela Educativa y del Cuidado, ALO Y POT.</v>
      </c>
      <c r="T558" s="20">
        <f t="shared" si="248"/>
        <v>1</v>
      </c>
      <c r="U558" s="20" t="str">
        <f t="shared" ca="1" si="249"/>
        <v>Realizada</v>
      </c>
    </row>
    <row r="559" spans="1:21" ht="61.5">
      <c r="A559" s="20">
        <v>693</v>
      </c>
      <c r="B559" s="20" t="str">
        <f t="shared" si="230"/>
        <v>Activación de actores de participación localidad Fontibon</v>
      </c>
      <c r="C559" s="21">
        <f t="shared" si="231"/>
        <v>45482</v>
      </c>
      <c r="D559" s="20" t="str">
        <f t="shared" si="232"/>
        <v>OPDC</v>
      </c>
      <c r="E559" s="20" t="str">
        <f t="shared" si="233"/>
        <v>NO</v>
      </c>
      <c r="F559" s="20" t="str">
        <f t="shared" si="234"/>
        <v>Gestión en Territorio</v>
      </c>
      <c r="G559" s="20" t="str">
        <f t="shared" si="235"/>
        <v>Presencial</v>
      </c>
      <c r="H559" s="20" t="str">
        <f t="shared" si="236"/>
        <v>Realizar activación y acercamiento a los diferentes actores de participación de la localidad de Fontibón, socializando la 4ta fase del PDD y próximas devoluciones a la ciudadania CPL</v>
      </c>
      <c r="I559" s="20" t="str">
        <f t="shared" si="237"/>
        <v>Mecanismo de Fortalecimiento Ciudadano para la Planeación Participativa</v>
      </c>
      <c r="J559" s="20" t="str">
        <f t="shared" si="238"/>
        <v>Comunitario</v>
      </c>
      <c r="K559" s="20">
        <f t="shared" si="239"/>
        <v>0</v>
      </c>
      <c r="L559" s="20" t="str">
        <f t="shared" si="240"/>
        <v>Fontibón</v>
      </c>
      <c r="M559" s="20" t="str">
        <f t="shared" si="241"/>
        <v>Occidente</v>
      </c>
      <c r="N559" s="20" t="str">
        <f t="shared" si="242"/>
        <v>Fontibón, Salitre</v>
      </c>
      <c r="O559" s="20" t="str">
        <f t="shared" si="243"/>
        <v>NO</v>
      </c>
      <c r="P559" s="20" t="str">
        <f t="shared" si="244"/>
        <v>No aplica</v>
      </c>
      <c r="Q559" s="20">
        <f t="shared" si="245"/>
        <v>1</v>
      </c>
      <c r="R559" s="20">
        <f t="shared" si="246"/>
        <v>1</v>
      </c>
      <c r="S559" s="20" t="str">
        <f t="shared" si="247"/>
        <v>Proyección CLOPS, Activación de actores de participación, jornada de prevención de tuberculosis</v>
      </c>
      <c r="T559" s="20">
        <f t="shared" si="248"/>
        <v>1</v>
      </c>
      <c r="U559" s="20" t="str">
        <f t="shared" ca="1" si="249"/>
        <v>Realizada</v>
      </c>
    </row>
    <row r="560" spans="1:21" ht="61.5">
      <c r="A560" s="20">
        <v>694</v>
      </c>
      <c r="B560" s="20" t="str">
        <f t="shared" si="230"/>
        <v>Gestión Actores Estratégicos Occidente - CPL Sector Cultura Arte y Patrimonio</v>
      </c>
      <c r="C560" s="21">
        <f t="shared" si="231"/>
        <v>45482</v>
      </c>
      <c r="D560" s="20" t="str">
        <f t="shared" si="232"/>
        <v>OPDC</v>
      </c>
      <c r="E560" s="20" t="str">
        <f t="shared" si="233"/>
        <v>NO</v>
      </c>
      <c r="F560" s="20" t="str">
        <f t="shared" si="234"/>
        <v>Gestión en Territorio</v>
      </c>
      <c r="G560" s="20" t="str">
        <f t="shared" si="235"/>
        <v>Presencial</v>
      </c>
      <c r="H560" s="20" t="str">
        <f t="shared" si="236"/>
        <v>Fortalecer las relaciones con los actores estratégicos del territorio para articular los procesos de participación con el Sector Cultura, Arte y Patrimonio del CPL Engativá.</v>
      </c>
      <c r="I560" s="20" t="str">
        <f t="shared" si="237"/>
        <v>Mecanismo de Fortalecimiento Ciudadano para la Planeación Participativa</v>
      </c>
      <c r="J560" s="20" t="str">
        <f t="shared" si="238"/>
        <v>Comunitario</v>
      </c>
      <c r="K560" s="20" t="str">
        <f t="shared" si="239"/>
        <v>CPL</v>
      </c>
      <c r="L560" s="20" t="str">
        <f t="shared" si="240"/>
        <v>Engativá</v>
      </c>
      <c r="M560" s="20" t="str">
        <f t="shared" si="241"/>
        <v>Occidente</v>
      </c>
      <c r="N560" s="20" t="str">
        <f t="shared" si="242"/>
        <v>Engativá, Tabora, Salitre</v>
      </c>
      <c r="O560" s="20" t="str">
        <f t="shared" si="243"/>
        <v>NO</v>
      </c>
      <c r="P560" s="20" t="str">
        <f t="shared" si="244"/>
        <v>No aplica</v>
      </c>
      <c r="Q560" s="20">
        <f t="shared" si="245"/>
        <v>3</v>
      </c>
      <c r="R560" s="20">
        <f t="shared" si="246"/>
        <v>1</v>
      </c>
      <c r="S560" s="20" t="str">
        <f t="shared" si="247"/>
        <v>Se socializó el ABC del Plan Distrital de Desarrollo, específicamente las 37 metas producto que benefician al sector cultura, arte y patrimonio</v>
      </c>
      <c r="T560" s="20">
        <f t="shared" si="248"/>
        <v>1</v>
      </c>
      <c r="U560" s="20" t="str">
        <f t="shared" ca="1" si="249"/>
        <v>Realizada</v>
      </c>
    </row>
    <row r="561" spans="1:21" ht="49.5">
      <c r="A561" s="20">
        <v>696</v>
      </c>
      <c r="B561" s="20" t="str">
        <f t="shared" si="230"/>
        <v>CLIP Engativá</v>
      </c>
      <c r="C561" s="21">
        <f t="shared" si="231"/>
        <v>45482</v>
      </c>
      <c r="D561" s="20" t="str">
        <f t="shared" si="232"/>
        <v>INSTANCIAS</v>
      </c>
      <c r="E561" s="20" t="str">
        <f t="shared" si="233"/>
        <v>NO</v>
      </c>
      <c r="F561" s="20" t="str">
        <f t="shared" si="234"/>
        <v>CLIP (Comisión Local Intersectorial de Participación)</v>
      </c>
      <c r="G561" s="20" t="str">
        <f t="shared" si="235"/>
        <v>Presencial</v>
      </c>
      <c r="H561" s="20" t="str">
        <f t="shared" si="236"/>
        <v>Acompañar la sesión de la CLIP, para la articulación de los esfuerzos institucionales de participación en la localidad de Engatiá.</v>
      </c>
      <c r="I561" s="20" t="str">
        <f t="shared" si="237"/>
        <v>Mecanismo de Seguimiento y Evaluación</v>
      </c>
      <c r="J561" s="20" t="str">
        <f t="shared" si="238"/>
        <v>Público</v>
      </c>
      <c r="K561" s="20" t="str">
        <f t="shared" si="239"/>
        <v>CLIP</v>
      </c>
      <c r="L561" s="20" t="str">
        <f t="shared" si="240"/>
        <v>Engativá</v>
      </c>
      <c r="M561" s="20" t="str">
        <f t="shared" si="241"/>
        <v>Occidente</v>
      </c>
      <c r="N561" s="20" t="str">
        <f t="shared" si="242"/>
        <v>Engativá, Tabora, Salitre</v>
      </c>
      <c r="O561" s="20" t="str">
        <f t="shared" si="243"/>
        <v>NO</v>
      </c>
      <c r="P561" s="20" t="str">
        <f t="shared" si="244"/>
        <v>No aplica</v>
      </c>
      <c r="Q561" s="20">
        <f t="shared" si="245"/>
        <v>24</v>
      </c>
      <c r="R561" s="20">
        <f t="shared" si="246"/>
        <v>0</v>
      </c>
      <c r="S561" s="20" t="str">
        <f t="shared" si="247"/>
        <v>Bogotá distribuye lo local y el contrato 379 de protección y bienestar animal</v>
      </c>
      <c r="T561" s="20">
        <f t="shared" si="248"/>
        <v>1</v>
      </c>
      <c r="U561" s="20" t="str">
        <f t="shared" ca="1" si="249"/>
        <v>Realizada</v>
      </c>
    </row>
    <row r="562" spans="1:21" ht="49.5">
      <c r="A562" s="20">
        <v>697</v>
      </c>
      <c r="B562" s="20" t="str">
        <f t="shared" si="230"/>
        <v>CLIP Tunjuelito</v>
      </c>
      <c r="C562" s="21">
        <f t="shared" si="231"/>
        <v>45482</v>
      </c>
      <c r="D562" s="20" t="str">
        <f t="shared" si="232"/>
        <v>INSTANCIAS</v>
      </c>
      <c r="E562" s="20" t="str">
        <f t="shared" si="233"/>
        <v>NO</v>
      </c>
      <c r="F562" s="20" t="str">
        <f t="shared" si="234"/>
        <v>CLIP (Comisión Local Intersectorial de Participación)</v>
      </c>
      <c r="G562" s="20" t="str">
        <f t="shared" si="235"/>
        <v>Presencial</v>
      </c>
      <c r="H562" s="20" t="str">
        <f t="shared" si="236"/>
        <v>Acompañar la sesión de la CLIP, para la articulación de los esfuerzos institucionales de participación en la localidad de Tunjuelito.</v>
      </c>
      <c r="I562" s="20" t="str">
        <f t="shared" si="237"/>
        <v>Mecanismo de Seguimiento y Evaluación</v>
      </c>
      <c r="J562" s="20" t="str">
        <f t="shared" si="238"/>
        <v>Público</v>
      </c>
      <c r="K562" s="20" t="str">
        <f t="shared" si="239"/>
        <v>CLIP</v>
      </c>
      <c r="L562" s="20" t="str">
        <f t="shared" si="240"/>
        <v>Tunjuelito</v>
      </c>
      <c r="M562" s="20" t="str">
        <f t="shared" si="241"/>
        <v>Suroriente</v>
      </c>
      <c r="N562" s="20" t="str">
        <f t="shared" si="242"/>
        <v>Tunjuelito, Arborizadora</v>
      </c>
      <c r="O562" s="20" t="str">
        <f t="shared" si="243"/>
        <v>NO</v>
      </c>
      <c r="P562" s="20" t="str">
        <f t="shared" si="244"/>
        <v>No aplica</v>
      </c>
      <c r="Q562" s="20">
        <f t="shared" si="245"/>
        <v>19</v>
      </c>
      <c r="R562" s="20">
        <f t="shared" si="246"/>
        <v>1</v>
      </c>
      <c r="S562" s="20" t="str">
        <f t="shared" si="247"/>
        <v xml:space="preserve">Plan de Ordenamiento Territorial - Presupuestos participativos - Invitación Taller de devolución Suroriente </v>
      </c>
      <c r="T562" s="20">
        <f t="shared" si="248"/>
        <v>1</v>
      </c>
      <c r="U562" s="20" t="str">
        <f t="shared" ca="1" si="249"/>
        <v>Realizada</v>
      </c>
    </row>
    <row r="563" spans="1:21" ht="49.5">
      <c r="A563" s="20">
        <v>698</v>
      </c>
      <c r="B563" s="20" t="str">
        <f t="shared" si="230"/>
        <v>CLIP Chapinero</v>
      </c>
      <c r="C563" s="21">
        <f t="shared" si="231"/>
        <v>45482</v>
      </c>
      <c r="D563" s="20" t="str">
        <f t="shared" si="232"/>
        <v>INSTANCIAS</v>
      </c>
      <c r="E563" s="20" t="str">
        <f t="shared" si="233"/>
        <v>NO</v>
      </c>
      <c r="F563" s="20" t="str">
        <f t="shared" si="234"/>
        <v>CLIP (Comisión Local Intersectorial de Participación)</v>
      </c>
      <c r="G563" s="20" t="str">
        <f t="shared" si="235"/>
        <v>Presencial</v>
      </c>
      <c r="H563" s="20" t="str">
        <f t="shared" si="236"/>
        <v>Acompañar la articulación de los esfuerzos institucionales de participación en la localidad de Chapinero</v>
      </c>
      <c r="I563" s="20" t="str">
        <f t="shared" si="237"/>
        <v>Mecanismo de Seguimiento y Evaluación</v>
      </c>
      <c r="J563" s="20" t="str">
        <f t="shared" si="238"/>
        <v>Público</v>
      </c>
      <c r="K563" s="20" t="str">
        <f t="shared" si="239"/>
        <v>CLIP</v>
      </c>
      <c r="L563" s="20" t="str">
        <f t="shared" si="240"/>
        <v>Chapinero</v>
      </c>
      <c r="M563" s="20" t="str">
        <f t="shared" si="241"/>
        <v>Centro Ampliado, Ruralidad</v>
      </c>
      <c r="N563" s="20" t="str">
        <f t="shared" si="242"/>
        <v>Chapinero, Centro Histórico, Cerros Orientales</v>
      </c>
      <c r="O563" s="20" t="str">
        <f t="shared" si="243"/>
        <v>NO</v>
      </c>
      <c r="P563" s="20" t="str">
        <f t="shared" si="244"/>
        <v>No aplica</v>
      </c>
      <c r="Q563" s="20">
        <f t="shared" si="245"/>
        <v>17</v>
      </c>
      <c r="R563" s="20">
        <f t="shared" si="246"/>
        <v>1</v>
      </c>
      <c r="S563" s="20" t="str">
        <f t="shared" si="247"/>
        <v>Bogota distribuye lo local</v>
      </c>
      <c r="T563" s="20">
        <f t="shared" si="248"/>
        <v>1</v>
      </c>
      <c r="U563" s="20" t="str">
        <f t="shared" ca="1" si="249"/>
        <v>Realizada</v>
      </c>
    </row>
    <row r="564" spans="1:21" ht="86.25">
      <c r="A564" s="20">
        <v>700</v>
      </c>
      <c r="B564" s="20" t="str">
        <f t="shared" si="230"/>
        <v>Sesión Ordinaria de la Comisión Plan de Desarrollo Distrital del CTPD</v>
      </c>
      <c r="C564" s="21">
        <f t="shared" si="231"/>
        <v>45482</v>
      </c>
      <c r="D564" s="20" t="str">
        <f t="shared" si="232"/>
        <v>INSTANCIAS</v>
      </c>
      <c r="E564" s="20" t="str">
        <f t="shared" si="233"/>
        <v>NO</v>
      </c>
      <c r="F564" s="20" t="str">
        <f t="shared" si="234"/>
        <v>CTPD (Consejo Territorial de Planeación Distrital)</v>
      </c>
      <c r="G564" s="20" t="str">
        <f t="shared" si="235"/>
        <v>Virtual</v>
      </c>
      <c r="H564" s="20" t="str">
        <f t="shared" si="236"/>
        <v xml:space="preserve">Realizar el acompañamiento como Secretaría Técnica a la sesión ordinaria de la Comisión de Plan Distrital de Desarrollo, con el objetivo de acordar las fechas y presupuesto del Plan de Acción de la comisión.
</v>
      </c>
      <c r="I564" s="20" t="str">
        <f t="shared" si="237"/>
        <v>Mecanismo de Seguimiento y Evaluación</v>
      </c>
      <c r="J564" s="20" t="str">
        <f t="shared" si="238"/>
        <v>Comunitario</v>
      </c>
      <c r="K564" s="20" t="str">
        <f t="shared" si="239"/>
        <v>CTPD</v>
      </c>
      <c r="L564" s="20" t="str">
        <f t="shared" si="240"/>
        <v>Distrital</v>
      </c>
      <c r="M564" s="20" t="str">
        <f t="shared" si="241"/>
        <v>Distrital</v>
      </c>
      <c r="N564" s="20" t="str">
        <f t="shared" si="242"/>
        <v>Distrital</v>
      </c>
      <c r="O564" s="20" t="str">
        <f t="shared" si="243"/>
        <v>NO</v>
      </c>
      <c r="P564" s="20" t="str">
        <f t="shared" si="244"/>
        <v>No aplica</v>
      </c>
      <c r="Q564" s="20">
        <f t="shared" si="245"/>
        <v>29</v>
      </c>
      <c r="R564" s="20">
        <f t="shared" si="246"/>
        <v>1</v>
      </c>
      <c r="S564" s="20" t="str">
        <f t="shared" si="247"/>
        <v>Concertación fechas y presupuesto del Plan de Acción de la comisión.</v>
      </c>
      <c r="T564" s="20">
        <f t="shared" si="248"/>
        <v>1</v>
      </c>
      <c r="U564" s="20" t="str">
        <f t="shared" ca="1" si="249"/>
        <v>Realizada</v>
      </c>
    </row>
    <row r="565" spans="1:21" ht="49.5">
      <c r="A565" s="20">
        <v>701</v>
      </c>
      <c r="B565" s="20" t="str">
        <f t="shared" si="230"/>
        <v>Actuación Estratégica Cll. 72 - Encuentro Veeduría Barrio Colombia</v>
      </c>
      <c r="C565" s="21">
        <f t="shared" si="231"/>
        <v>45482</v>
      </c>
      <c r="D565" s="20" t="str">
        <f t="shared" si="232"/>
        <v>OPDC</v>
      </c>
      <c r="E565" s="20" t="str">
        <f t="shared" si="233"/>
        <v>SÍ</v>
      </c>
      <c r="F565" s="20" t="str">
        <f t="shared" si="234"/>
        <v>Formulación de Actuaciones Estratégicas</v>
      </c>
      <c r="G565" s="20" t="str">
        <f t="shared" si="235"/>
        <v>Presencial</v>
      </c>
      <c r="H565" s="20" t="str">
        <f t="shared" si="236"/>
        <v>Encuentro con la Veeduría Ciudadana conformada por empresarios, residentes y lideres del sector de Barrio Colombia.</v>
      </c>
      <c r="I565" s="20" t="str">
        <f t="shared" si="237"/>
        <v>Mecanismo de Diálogo</v>
      </c>
      <c r="J565" s="20" t="str">
        <f t="shared" si="238"/>
        <v>Multiactor</v>
      </c>
      <c r="K565" s="20">
        <f t="shared" si="239"/>
        <v>0</v>
      </c>
      <c r="L565" s="20" t="str">
        <f t="shared" si="240"/>
        <v>Barrios Unidos</v>
      </c>
      <c r="M565" s="20" t="str">
        <f t="shared" si="241"/>
        <v>Centro Ampliado</v>
      </c>
      <c r="N565" s="20" t="str">
        <f t="shared" si="242"/>
        <v>Barrios Unidos</v>
      </c>
      <c r="O565" s="20" t="str">
        <f t="shared" si="243"/>
        <v>NO</v>
      </c>
      <c r="P565" s="20" t="str">
        <f t="shared" si="244"/>
        <v>No aplica</v>
      </c>
      <c r="Q565" s="20">
        <f t="shared" si="245"/>
        <v>11</v>
      </c>
      <c r="R565" s="20">
        <f t="shared" si="246"/>
        <v>1</v>
      </c>
      <c r="S565" s="20" t="str">
        <f t="shared" si="247"/>
        <v>Reunión con propietarios y comerciantes del sector para informar sobre la AE Calle 72.</v>
      </c>
      <c r="T565" s="20">
        <f t="shared" si="248"/>
        <v>1</v>
      </c>
      <c r="U565" s="20" t="str">
        <f t="shared" ca="1" si="249"/>
        <v>Realizada</v>
      </c>
    </row>
    <row r="566" spans="1:21" ht="98.25">
      <c r="A566" s="20">
        <v>706</v>
      </c>
      <c r="B566" s="20" t="str">
        <f t="shared" ref="B566:B597" si="250">IFERROR(VLOOKUP(A566,DATA_MATRIZ,2,FALSE),"")</f>
        <v>CLIP Teusaquillo.</v>
      </c>
      <c r="C566" s="21">
        <f t="shared" ref="C566:C597" si="251">IFERROR(VLOOKUP(A566,DATA_MATRIZ,3,FALSE),"")</f>
        <v>45483</v>
      </c>
      <c r="D566" s="20" t="str">
        <f t="shared" ref="D566:D597" si="252">IFERROR(VLOOKUP(A566,DATA_MATRIZ,5,FALSE),"")</f>
        <v>INSTANCIAS</v>
      </c>
      <c r="E566" s="20" t="str">
        <f t="shared" ref="E566:E597" si="253">IFERROR(VLOOKUP(A566,DATA_MATRIZ,9,FALSE),"")</f>
        <v>NO</v>
      </c>
      <c r="F566" s="20" t="str">
        <f t="shared" ref="F566:F597" si="254">IFERROR(VLOOKUP(A566,DATA_MATRIZ,10,FALSE),"")</f>
        <v>CLIP (Comisión Local Intersectorial de Participación)</v>
      </c>
      <c r="G566" s="20" t="str">
        <f t="shared" ref="G566:G597" si="255">IFERROR(VLOOKUP(A566,DATA_MATRIZ,11,FALSE),"")</f>
        <v>Presencial</v>
      </c>
      <c r="H566" s="20" t="str">
        <f t="shared" ref="H566:H597" si="256">IFERROR(VLOOKUP(A566,DATA_MATRIZ,12,FALSE),"")</f>
        <v>Acompañar la articulación de los esfuerzos institucionales de participación en la localidad de Teusaquillo y presentar temas locales, PEMP y CUPI Teusaquillo, AE Chapinero reverdece y coordinación interinstitucional a las entidaddes convocadas.</v>
      </c>
      <c r="I566" s="20" t="str">
        <f t="shared" ref="I566:I597" si="257">IFERROR(VLOOKUP(A566,DATA_MATRIZ,13,FALSE),"")</f>
        <v>Mecanismo de Seguimiento y Evaluación</v>
      </c>
      <c r="J566" s="20" t="str">
        <f t="shared" ref="J566:J597" si="258">IFERROR(VLOOKUP(A566,DATA_MATRIZ,41,FALSE),"")</f>
        <v>Público</v>
      </c>
      <c r="K566" s="20" t="str">
        <f t="shared" ref="K566:K597" si="259">IFERROR(VLOOKUP(A566,DATA_MATRIZ,42,FALSE),"")</f>
        <v>CLIP</v>
      </c>
      <c r="L566" s="20" t="str">
        <f t="shared" ref="L566:L597" si="260">IFERROR(VLOOKUP(A566,DATA_MATRIZ,46,FALSE),"")</f>
        <v>Teusaquillo</v>
      </c>
      <c r="M566" s="20" t="str">
        <f t="shared" ref="M566:M597" si="261">IFERROR(VLOOKUP(A566,DATA_MATRIZ,53,FALSE),"")</f>
        <v>Centro Ampliado</v>
      </c>
      <c r="N566" s="20" t="str">
        <f t="shared" ref="N566:N597" si="262">IFERROR(VLOOKUP(A566,DATA_MATRIZ,60,FALSE),"")</f>
        <v>Teusaquillo</v>
      </c>
      <c r="O566" s="20" t="str">
        <f t="shared" ref="O566:O597" si="263">IFERROR(VLOOKUP(A566,DATA_MATRIZ,75,FALSE),"")</f>
        <v>NO</v>
      </c>
      <c r="P566" s="20" t="str">
        <f t="shared" ref="P566:P597" si="264">IFERROR(VLOOKUP(A566,DATA_MATRIZ,76,FALSE),"")</f>
        <v>No aplica</v>
      </c>
      <c r="Q566" s="20">
        <f t="shared" ref="Q566:Q597" si="265">IFERROR(VLOOKUP(A566,DATA_MATRIZ,78,FALSE),"")</f>
        <v>15</v>
      </c>
      <c r="R566" s="20">
        <f t="shared" ref="R566:R597" si="266">IFERROR(VLOOKUP(A566,DATA_MATRIZ,79,FALSE),"")</f>
        <v>0</v>
      </c>
      <c r="S566" s="20" t="str">
        <f t="shared" ref="S566:S597" si="267">IFERROR(VLOOKUP(A566,DATA_MATRIZ,85,FALSE),"")</f>
        <v>Bogotá Distribuye lo local, intervención de la Alcaldía Local, PEMP Teusaquillo y CUPI y actuación estratégica Chapinero Reverdece.</v>
      </c>
      <c r="T566" s="20">
        <f t="shared" ref="T566:T597" si="268">COUNTA(A566)</f>
        <v>1</v>
      </c>
      <c r="U566" s="20" t="str">
        <f t="shared" ref="U566:U597" ca="1" si="269">IF(C566="", "Indefinida", (IF(C566&lt;TODAY(),"Realizada","Proyectada")))</f>
        <v>Realizada</v>
      </c>
    </row>
    <row r="567" spans="1:21" ht="49.5">
      <c r="A567" s="20">
        <v>707</v>
      </c>
      <c r="B567" s="20" t="str">
        <f t="shared" si="250"/>
        <v>CLIP Usme</v>
      </c>
      <c r="C567" s="21">
        <f t="shared" si="251"/>
        <v>45483</v>
      </c>
      <c r="D567" s="20" t="str">
        <f t="shared" si="252"/>
        <v>INSTANCIAS</v>
      </c>
      <c r="E567" s="20" t="str">
        <f t="shared" si="253"/>
        <v>NO</v>
      </c>
      <c r="F567" s="20" t="str">
        <f t="shared" si="254"/>
        <v>CLIP (Comisión Local Intersectorial de Participación)</v>
      </c>
      <c r="G567" s="20" t="str">
        <f t="shared" si="255"/>
        <v>Presencial</v>
      </c>
      <c r="H567" s="20" t="str">
        <f t="shared" si="256"/>
        <v>Acompañar la articulación de los esfuerzos institucionales de participación en la localidad de Usme.</v>
      </c>
      <c r="I567" s="20" t="str">
        <f t="shared" si="257"/>
        <v>Mecanismo de Seguimiento y Evaluación</v>
      </c>
      <c r="J567" s="20" t="str">
        <f t="shared" si="258"/>
        <v>Público</v>
      </c>
      <c r="K567" s="20" t="str">
        <f t="shared" si="259"/>
        <v>CLIP</v>
      </c>
      <c r="L567" s="20" t="str">
        <f t="shared" si="260"/>
        <v>Usme</v>
      </c>
      <c r="M567" s="20" t="str">
        <f t="shared" si="261"/>
        <v>Suroriente</v>
      </c>
      <c r="N567" s="20" t="str">
        <f t="shared" si="262"/>
        <v>Usme Entrenubes</v>
      </c>
      <c r="O567" s="20" t="str">
        <f t="shared" si="263"/>
        <v>NO</v>
      </c>
      <c r="P567" s="20" t="str">
        <f t="shared" si="264"/>
        <v>No aplica</v>
      </c>
      <c r="Q567" s="20">
        <f t="shared" si="265"/>
        <v>11</v>
      </c>
      <c r="R567" s="20">
        <f t="shared" si="266"/>
        <v>0</v>
      </c>
      <c r="S567" s="20" t="str">
        <f t="shared" si="267"/>
        <v>Inicio de los proyectos para Plan de Desarrollo Local, finalización próxima de mesas de concertación para conceptos de gasto y actualización de sectores.</v>
      </c>
      <c r="T567" s="20">
        <f t="shared" si="268"/>
        <v>1</v>
      </c>
      <c r="U567" s="20" t="str">
        <f t="shared" ca="1" si="269"/>
        <v>Realizada</v>
      </c>
    </row>
    <row r="568" spans="1:21" ht="61.5">
      <c r="A568" s="20">
        <v>710</v>
      </c>
      <c r="B568" s="20" t="str">
        <f t="shared" si="250"/>
        <v>Gestión con Actores Estratégicos - CPL, JAC y Federación de Comunidades y Pueblos Artesanos y Originarios - UPL Kennedy y Patio bonito</v>
      </c>
      <c r="C568" s="21">
        <f t="shared" si="251"/>
        <v>45483</v>
      </c>
      <c r="D568" s="20" t="str">
        <f t="shared" si="252"/>
        <v>OPDC</v>
      </c>
      <c r="E568" s="20" t="str">
        <f t="shared" si="253"/>
        <v>NO</v>
      </c>
      <c r="F568" s="20" t="str">
        <f t="shared" si="254"/>
        <v>Gestión en Territorio</v>
      </c>
      <c r="G568" s="20" t="str">
        <f t="shared" si="255"/>
        <v>Presencial</v>
      </c>
      <c r="H568" s="20" t="str">
        <f t="shared" si="256"/>
        <v>Fortalecer las relaciones con los actores estratégicos del territorio para articular los procesos de participación. CPL, JAC y Federación de Comunidades y Pueblos Artesanos y Originarios</v>
      </c>
      <c r="I568" s="20" t="str">
        <f t="shared" si="257"/>
        <v>Mecanismo de Fortalecimiento Ciudadano para la Planeación Participativa</v>
      </c>
      <c r="J568" s="20" t="str">
        <f t="shared" si="258"/>
        <v>Multiactor</v>
      </c>
      <c r="K568" s="20">
        <f t="shared" si="259"/>
        <v>0</v>
      </c>
      <c r="L568" s="20" t="str">
        <f t="shared" si="260"/>
        <v>Kennedy</v>
      </c>
      <c r="M568" s="20" t="str">
        <f t="shared" si="261"/>
        <v>Suroccidente</v>
      </c>
      <c r="N568" s="20" t="str">
        <f t="shared" si="262"/>
        <v>Kennedy, Patio Bonito</v>
      </c>
      <c r="O568" s="20" t="str">
        <f t="shared" si="263"/>
        <v>NO</v>
      </c>
      <c r="P568" s="20" t="str">
        <f t="shared" si="264"/>
        <v>No aplica</v>
      </c>
      <c r="Q568" s="20">
        <f t="shared" si="265"/>
        <v>7</v>
      </c>
      <c r="R568" s="20">
        <f t="shared" si="266"/>
        <v>5</v>
      </c>
      <c r="S568" s="20" t="str">
        <f t="shared" si="267"/>
        <v xml:space="preserve">Plan Distrital de Desarrollo, programas, metas, fases de participación y recursos asignados. </v>
      </c>
      <c r="T568" s="20">
        <f t="shared" si="268"/>
        <v>1</v>
      </c>
      <c r="U568" s="20" t="str">
        <f t="shared" ca="1" si="269"/>
        <v>Realizada</v>
      </c>
    </row>
    <row r="569" spans="1:21" ht="61.5">
      <c r="A569" s="20">
        <v>711</v>
      </c>
      <c r="B569" s="20" t="str">
        <f t="shared" si="250"/>
        <v>Gestión: Consultiva Negra-afrocolombiana: Preparatoria Acción Afirmativa - Cartografía social</v>
      </c>
      <c r="C569" s="21">
        <f t="shared" si="251"/>
        <v>45484</v>
      </c>
      <c r="D569" s="20" t="str">
        <f t="shared" si="252"/>
        <v>OPDC</v>
      </c>
      <c r="E569" s="20" t="str">
        <f t="shared" si="253"/>
        <v>NO</v>
      </c>
      <c r="F569" s="20" t="str">
        <f t="shared" si="254"/>
        <v>Políticas Públicas</v>
      </c>
      <c r="G569" s="20" t="str">
        <f t="shared" si="255"/>
        <v>Presencial</v>
      </c>
      <c r="H569" s="20" t="str">
        <f t="shared" si="256"/>
        <v>Construcción de agenda y de metodologia para la realización de cartografia social con la Comunidad Negra Afrocolombiana en la Localidad de Bosa</v>
      </c>
      <c r="I569" s="20" t="str">
        <f t="shared" si="257"/>
        <v>Gestión Institucional</v>
      </c>
      <c r="J569" s="20" t="str">
        <f t="shared" si="258"/>
        <v>Público</v>
      </c>
      <c r="K569" s="20" t="str">
        <f t="shared" si="259"/>
        <v>Servidores públicos (Distrital)</v>
      </c>
      <c r="L569" s="20" t="str">
        <f t="shared" si="260"/>
        <v>Distrital</v>
      </c>
      <c r="M569" s="20" t="str">
        <f t="shared" si="261"/>
        <v>Distrital</v>
      </c>
      <c r="N569" s="20" t="str">
        <f t="shared" si="262"/>
        <v>Distrital</v>
      </c>
      <c r="O569" s="20" t="str">
        <f t="shared" si="263"/>
        <v>NO</v>
      </c>
      <c r="P569" s="20" t="str">
        <f t="shared" si="264"/>
        <v>No aplica</v>
      </c>
      <c r="Q569" s="20">
        <f t="shared" si="265"/>
        <v>2</v>
      </c>
      <c r="R569" s="20">
        <f t="shared" si="266"/>
        <v>2</v>
      </c>
      <c r="S569" s="20" t="str">
        <f t="shared" si="267"/>
        <v>Acciones afirmativas; cartografia social; UPL; PIP;SPT</v>
      </c>
      <c r="T569" s="20">
        <f t="shared" si="268"/>
        <v>1</v>
      </c>
      <c r="U569" s="20" t="str">
        <f t="shared" ca="1" si="269"/>
        <v>Realizada</v>
      </c>
    </row>
    <row r="570" spans="1:21" ht="49.5">
      <c r="A570" s="20">
        <v>713</v>
      </c>
      <c r="B570" s="20" t="str">
        <f t="shared" si="250"/>
        <v>CLIP Bosa</v>
      </c>
      <c r="C570" s="21">
        <f t="shared" si="251"/>
        <v>45484</v>
      </c>
      <c r="D570" s="20" t="str">
        <f t="shared" si="252"/>
        <v>INSTANCIAS</v>
      </c>
      <c r="E570" s="20" t="str">
        <f t="shared" si="253"/>
        <v>NO</v>
      </c>
      <c r="F570" s="20" t="str">
        <f t="shared" si="254"/>
        <v>CLIP (Comisión Local Intersectorial de Participación)</v>
      </c>
      <c r="G570" s="20" t="str">
        <f t="shared" si="255"/>
        <v>Presencial</v>
      </c>
      <c r="H570" s="20" t="str">
        <f t="shared" si="256"/>
        <v>Acompañar la articulación de los esfuerzos institucionales de participación en la localidad de Bosa</v>
      </c>
      <c r="I570" s="20" t="str">
        <f t="shared" si="257"/>
        <v>Mecanismo de Seguimiento y Evaluación</v>
      </c>
      <c r="J570" s="20" t="str">
        <f t="shared" si="258"/>
        <v>Público</v>
      </c>
      <c r="K570" s="20" t="str">
        <f t="shared" si="259"/>
        <v>CLIP</v>
      </c>
      <c r="L570" s="20" t="str">
        <f t="shared" si="260"/>
        <v>Bosa</v>
      </c>
      <c r="M570" s="20" t="str">
        <f t="shared" si="261"/>
        <v>Suroccidente</v>
      </c>
      <c r="N570" s="20" t="str">
        <f t="shared" si="262"/>
        <v>Bosa</v>
      </c>
      <c r="O570" s="20" t="str">
        <f t="shared" si="263"/>
        <v>NO</v>
      </c>
      <c r="P570" s="20" t="str">
        <f t="shared" si="264"/>
        <v>No aplica</v>
      </c>
      <c r="Q570" s="20">
        <f t="shared" si="265"/>
        <v>20</v>
      </c>
      <c r="R570" s="20">
        <f t="shared" si="266"/>
        <v>1</v>
      </c>
      <c r="S570" s="20" t="str">
        <f t="shared" si="267"/>
        <v xml:space="preserve">Todo lo relacionado con las actuaciones de participación en la localidad de bosa. </v>
      </c>
      <c r="T570" s="20">
        <f t="shared" si="268"/>
        <v>1</v>
      </c>
      <c r="U570" s="20" t="str">
        <f t="shared" ca="1" si="269"/>
        <v>Realizada</v>
      </c>
    </row>
    <row r="571" spans="1:21" ht="110.25">
      <c r="A571" s="20">
        <v>714</v>
      </c>
      <c r="B571" s="20" t="str">
        <f t="shared" si="250"/>
        <v xml:space="preserve">Reunión Consejo Distrital de Vendedores Informales, CTPD y Entidades Distritales. </v>
      </c>
      <c r="C571" s="21">
        <f t="shared" si="251"/>
        <v>45484</v>
      </c>
      <c r="D571" s="20" t="str">
        <f t="shared" si="252"/>
        <v>INSTANCIAS</v>
      </c>
      <c r="E571" s="20" t="str">
        <f t="shared" si="253"/>
        <v>NO</v>
      </c>
      <c r="F571" s="20" t="str">
        <f t="shared" si="254"/>
        <v>CTPD (Consejo Territorial de Planeación Distrital)</v>
      </c>
      <c r="G571" s="20" t="str">
        <f t="shared" si="255"/>
        <v>Presencial</v>
      </c>
      <c r="H571" s="20" t="str">
        <f t="shared" si="256"/>
        <v>Apoyar como Secretaría Técnica del CTPD la reunión entre Consejo Distrital de Vendedores Informales, CTPD y Entidades Distritales, con el fin de generar un espacio de diálogo sobre los demos de cielos abiertos, ferias locales y vendedores informales en Transmilenio, temas de interés para el sector de vendedores informales.</v>
      </c>
      <c r="I571" s="20" t="str">
        <f t="shared" si="257"/>
        <v>Mecanismo de Seguimiento y Evaluación</v>
      </c>
      <c r="J571" s="20" t="str">
        <f t="shared" si="258"/>
        <v>Comunitario</v>
      </c>
      <c r="K571" s="20" t="str">
        <f t="shared" si="259"/>
        <v>CTPD</v>
      </c>
      <c r="L571" s="20" t="str">
        <f t="shared" si="260"/>
        <v>Distrital</v>
      </c>
      <c r="M571" s="20" t="str">
        <f t="shared" si="261"/>
        <v>Distrital</v>
      </c>
      <c r="N571" s="20" t="str">
        <f t="shared" si="262"/>
        <v>Distrital</v>
      </c>
      <c r="O571" s="20" t="str">
        <f t="shared" si="263"/>
        <v>NO</v>
      </c>
      <c r="P571" s="20" t="str">
        <f t="shared" si="264"/>
        <v>No aplica</v>
      </c>
      <c r="Q571" s="20">
        <f t="shared" si="265"/>
        <v>19</v>
      </c>
      <c r="R571" s="20">
        <f t="shared" si="266"/>
        <v>7</v>
      </c>
      <c r="S571" s="20" t="str">
        <f t="shared" si="267"/>
        <v xml:space="preserve">Se desarrolló un espacio de diálogo entre el Consejo Distrital de Vendedores Informales (CDVI), la SDG, DADEP, SDDE y SDP, con el fin de abordar temas de interés como lo son los Demos, Bogotá Cielo Abierto, Vendedores Informales en Transmilenio y Ferias Locales. Y se estableció crear una mesa de trabajo con las entidades asistentes. </v>
      </c>
      <c r="T571" s="20">
        <f t="shared" si="268"/>
        <v>1</v>
      </c>
      <c r="U571" s="20" t="str">
        <f t="shared" ca="1" si="269"/>
        <v>Realizada</v>
      </c>
    </row>
    <row r="572" spans="1:21" ht="49.5">
      <c r="A572" s="20">
        <v>715</v>
      </c>
      <c r="B572" s="20" t="str">
        <f t="shared" si="250"/>
        <v>CLIP Barrios Unidos</v>
      </c>
      <c r="C572" s="21">
        <f t="shared" si="251"/>
        <v>45484</v>
      </c>
      <c r="D572" s="20" t="str">
        <f t="shared" si="252"/>
        <v>INSTANCIAS</v>
      </c>
      <c r="E572" s="20" t="str">
        <f t="shared" si="253"/>
        <v>NO</v>
      </c>
      <c r="F572" s="20" t="str">
        <f t="shared" si="254"/>
        <v>CLIP (Comisión Local Intersectorial de Participación)</v>
      </c>
      <c r="G572" s="20" t="str">
        <f t="shared" si="255"/>
        <v>Presencial</v>
      </c>
      <c r="H572" s="20" t="str">
        <f t="shared" si="256"/>
        <v xml:space="preserve">Acompañar la articulación de los esfuerzos institucionales de participación en la localidad de Barrios Unidos </v>
      </c>
      <c r="I572" s="20" t="str">
        <f t="shared" si="257"/>
        <v>Gestión Institucional</v>
      </c>
      <c r="J572" s="20" t="str">
        <f t="shared" si="258"/>
        <v>Público</v>
      </c>
      <c r="K572" s="20" t="str">
        <f t="shared" si="259"/>
        <v>Servidores públicos (Distrital)</v>
      </c>
      <c r="L572" s="20" t="str">
        <f t="shared" si="260"/>
        <v>Barrios Unidos</v>
      </c>
      <c r="M572" s="20" t="str">
        <f t="shared" si="261"/>
        <v>Centro Ampliado</v>
      </c>
      <c r="N572" s="20" t="str">
        <f t="shared" si="262"/>
        <v>Barrios Unidos</v>
      </c>
      <c r="O572" s="20" t="str">
        <f t="shared" si="263"/>
        <v>NO</v>
      </c>
      <c r="P572" s="20" t="str">
        <f t="shared" si="264"/>
        <v>No aplica</v>
      </c>
      <c r="Q572" s="20">
        <f t="shared" si="265"/>
        <v>16</v>
      </c>
      <c r="R572" s="20">
        <f t="shared" si="266"/>
        <v>1</v>
      </c>
      <c r="S572" s="20" t="str">
        <f t="shared" si="267"/>
        <v>Aprobación acta del mes de junio de 2024, socialización política pública de discapacidad y reporte de las reuniones preparatorias CLOPS.</v>
      </c>
      <c r="T572" s="20">
        <f t="shared" si="268"/>
        <v>1</v>
      </c>
      <c r="U572" s="20" t="str">
        <f t="shared" ca="1" si="269"/>
        <v>Realizada</v>
      </c>
    </row>
    <row r="573" spans="1:21" ht="49.5">
      <c r="A573" s="20">
        <v>716</v>
      </c>
      <c r="B573" s="20" t="str">
        <f t="shared" si="250"/>
        <v>Presentación de Resultados del Diálogo Ciudadano sobre Directrices - AE Campin 7 de agosto</v>
      </c>
      <c r="C573" s="21">
        <f t="shared" si="251"/>
        <v>45484</v>
      </c>
      <c r="D573" s="20" t="str">
        <f t="shared" si="252"/>
        <v>OPDC</v>
      </c>
      <c r="E573" s="20" t="str">
        <f t="shared" si="253"/>
        <v>SÍ</v>
      </c>
      <c r="F573" s="20" t="str">
        <f t="shared" si="254"/>
        <v>Construcción de Directrices de Actuaciones Estratégicas</v>
      </c>
      <c r="G573" s="20" t="str">
        <f t="shared" si="255"/>
        <v>Presencial</v>
      </c>
      <c r="H573" s="20" t="str">
        <f t="shared" si="256"/>
        <v>Presentar y socializar las directrices desde lo público de la AE Campin 7 de agosto</v>
      </c>
      <c r="I573" s="20" t="str">
        <f t="shared" si="257"/>
        <v>Mecanismo de Comunicación para la Participación</v>
      </c>
      <c r="J573" s="20" t="str">
        <f t="shared" si="258"/>
        <v>Multiactor</v>
      </c>
      <c r="K573" s="20">
        <f t="shared" si="259"/>
        <v>0</v>
      </c>
      <c r="L573" s="20" t="str">
        <f t="shared" si="260"/>
        <v>Barrios Unidos</v>
      </c>
      <c r="M573" s="20" t="str">
        <f t="shared" si="261"/>
        <v>Centro Ampliado</v>
      </c>
      <c r="N573" s="20" t="str">
        <f t="shared" si="262"/>
        <v>Barrios Unidos</v>
      </c>
      <c r="O573" s="20" t="str">
        <f t="shared" si="263"/>
        <v>NO</v>
      </c>
      <c r="P573" s="20" t="str">
        <f t="shared" si="264"/>
        <v>No aplica</v>
      </c>
      <c r="Q573" s="20">
        <f t="shared" si="265"/>
        <v>27</v>
      </c>
      <c r="R573" s="20">
        <f t="shared" si="266"/>
        <v>12</v>
      </c>
      <c r="S573" s="20" t="str">
        <f t="shared" si="267"/>
        <v>No se pudo desarrollar la actividad por "boikot" de dos ciudadanos principalmente</v>
      </c>
      <c r="T573" s="20">
        <f t="shared" si="268"/>
        <v>1</v>
      </c>
      <c r="U573" s="20" t="str">
        <f t="shared" ca="1" si="269"/>
        <v>Realizada</v>
      </c>
    </row>
    <row r="574" spans="1:21" ht="49.5">
      <c r="A574" s="20">
        <v>717</v>
      </c>
      <c r="B574" s="20" t="str">
        <f t="shared" si="250"/>
        <v>AE Calle 72 - Jornada de devolución JAC Barrios Unidos</v>
      </c>
      <c r="C574" s="21">
        <f t="shared" si="251"/>
        <v>45484</v>
      </c>
      <c r="D574" s="20" t="str">
        <f t="shared" si="252"/>
        <v>OPDC</v>
      </c>
      <c r="E574" s="20" t="str">
        <f t="shared" si="253"/>
        <v>SÍ</v>
      </c>
      <c r="F574" s="20" t="str">
        <f t="shared" si="254"/>
        <v>Formulación de Actuaciones Estratégicas</v>
      </c>
      <c r="G574" s="20" t="str">
        <f t="shared" si="255"/>
        <v>Presencial</v>
      </c>
      <c r="H574" s="20" t="str">
        <f t="shared" si="256"/>
        <v>Presentar los aportes ciudadanos de la AE Calle 72 a miembros de las JAC Barrios Unidos</v>
      </c>
      <c r="I574" s="20" t="str">
        <f t="shared" si="257"/>
        <v>Mecanismo de Comunicación para la Participación</v>
      </c>
      <c r="J574" s="20" t="str">
        <f t="shared" si="258"/>
        <v>Multiactor</v>
      </c>
      <c r="K574" s="20">
        <f t="shared" si="259"/>
        <v>0</v>
      </c>
      <c r="L574" s="20" t="str">
        <f t="shared" si="260"/>
        <v>Barrios Unidos</v>
      </c>
      <c r="M574" s="20" t="str">
        <f t="shared" si="261"/>
        <v>Centro Ampliado</v>
      </c>
      <c r="N574" s="20" t="str">
        <f t="shared" si="262"/>
        <v>Barrios Unidos</v>
      </c>
      <c r="O574" s="20" t="str">
        <f t="shared" si="263"/>
        <v>NO</v>
      </c>
      <c r="P574" s="20" t="str">
        <f t="shared" si="264"/>
        <v>No aplica</v>
      </c>
      <c r="Q574" s="20">
        <f t="shared" si="265"/>
        <v>17</v>
      </c>
      <c r="R574" s="20">
        <f t="shared" si="266"/>
        <v>1</v>
      </c>
      <c r="S574" s="20" t="str">
        <f t="shared" si="267"/>
        <v>Presentar a la comunidad el resultado de los aportes ciudadanos dentro de la formulación de la AE Calle 72.</v>
      </c>
      <c r="T574" s="20">
        <f t="shared" si="268"/>
        <v>1</v>
      </c>
      <c r="U574" s="20" t="str">
        <f t="shared" ca="1" si="269"/>
        <v>Realizada</v>
      </c>
    </row>
    <row r="575" spans="1:21" ht="49.5">
      <c r="A575" s="20">
        <v>718</v>
      </c>
      <c r="B575" s="20" t="str">
        <f t="shared" si="250"/>
        <v>Mesa Directiva del CTPD</v>
      </c>
      <c r="C575" s="21">
        <f t="shared" si="251"/>
        <v>45484</v>
      </c>
      <c r="D575" s="20" t="str">
        <f t="shared" si="252"/>
        <v>INSTANCIAS</v>
      </c>
      <c r="E575" s="20" t="str">
        <f t="shared" si="253"/>
        <v>NO</v>
      </c>
      <c r="F575" s="20" t="str">
        <f t="shared" si="254"/>
        <v>CTPD (Consejo Territorial de Planeación Distrital)</v>
      </c>
      <c r="G575" s="20" t="str">
        <f t="shared" si="255"/>
        <v>Virtual</v>
      </c>
      <c r="H575" s="20" t="str">
        <f t="shared" si="256"/>
        <v>Sesión Ordinaria de la mesa Directiva del CTPD</v>
      </c>
      <c r="I575" s="20" t="str">
        <f t="shared" si="257"/>
        <v>Mecanismo de Seguimiento y Evaluación</v>
      </c>
      <c r="J575" s="20" t="str">
        <f t="shared" si="258"/>
        <v>Comunitario</v>
      </c>
      <c r="K575" s="20" t="str">
        <f t="shared" si="259"/>
        <v>CTPD</v>
      </c>
      <c r="L575" s="20" t="str">
        <f t="shared" si="260"/>
        <v>Distrital</v>
      </c>
      <c r="M575" s="20" t="str">
        <f t="shared" si="261"/>
        <v>Distrital</v>
      </c>
      <c r="N575" s="20" t="str">
        <f t="shared" si="262"/>
        <v>Distrital</v>
      </c>
      <c r="O575" s="20" t="str">
        <f t="shared" si="263"/>
        <v>NO</v>
      </c>
      <c r="P575" s="20" t="str">
        <f t="shared" si="264"/>
        <v>No aplica</v>
      </c>
      <c r="Q575" s="20">
        <f t="shared" si="265"/>
        <v>25</v>
      </c>
      <c r="R575" s="20">
        <f t="shared" si="266"/>
        <v>2</v>
      </c>
      <c r="S575" s="20" t="str">
        <f t="shared" si="267"/>
        <v>Aprobación del Plan de Acción del CTPD</v>
      </c>
      <c r="T575" s="20">
        <f t="shared" si="268"/>
        <v>1</v>
      </c>
      <c r="U575" s="20" t="str">
        <f t="shared" ca="1" si="269"/>
        <v>Realizada</v>
      </c>
    </row>
    <row r="576" spans="1:21" ht="61.5">
      <c r="A576" s="20">
        <v>719</v>
      </c>
      <c r="B576" s="20" t="str">
        <f t="shared" si="250"/>
        <v>Gestión territorio - Activación actores JAC Eduardo Frey</v>
      </c>
      <c r="C576" s="21">
        <f t="shared" si="251"/>
        <v>45484</v>
      </c>
      <c r="D576" s="20" t="str">
        <f t="shared" si="252"/>
        <v>OPDC</v>
      </c>
      <c r="E576" s="20" t="str">
        <f t="shared" si="253"/>
        <v>NO</v>
      </c>
      <c r="F576" s="20" t="str">
        <f t="shared" si="254"/>
        <v>Gestión en Territorio</v>
      </c>
      <c r="G576" s="20" t="str">
        <f t="shared" si="255"/>
        <v>Presencial</v>
      </c>
      <c r="H576" s="20" t="str">
        <f t="shared" si="256"/>
        <v>Fortalecer las relaciones con los actores estratégicos del territorio para articular los procesos de participación con el Sector Cultura, Arte y Patrimonio del JAC Eduardo Frey</v>
      </c>
      <c r="I576" s="20" t="str">
        <f t="shared" si="257"/>
        <v>Mecanismo de Fortalecimiento Ciudadano para la Planeación Participativa</v>
      </c>
      <c r="J576" s="20" t="str">
        <f t="shared" si="258"/>
        <v>Comunitario</v>
      </c>
      <c r="K576" s="20" t="str">
        <f t="shared" si="259"/>
        <v>ASOJUNTAS - JAC</v>
      </c>
      <c r="L576" s="20" t="str">
        <f t="shared" si="260"/>
        <v>Antonio Nariño</v>
      </c>
      <c r="M576" s="20" t="str">
        <f t="shared" si="261"/>
        <v>Centro Ampliado</v>
      </c>
      <c r="N576" s="20" t="str">
        <f t="shared" si="262"/>
        <v>Restrepo</v>
      </c>
      <c r="O576" s="20" t="str">
        <f t="shared" si="263"/>
        <v>NO</v>
      </c>
      <c r="P576" s="20" t="str">
        <f t="shared" si="264"/>
        <v>No aplica</v>
      </c>
      <c r="Q576" s="20">
        <f t="shared" si="265"/>
        <v>8</v>
      </c>
      <c r="R576" s="20">
        <f t="shared" si="266"/>
        <v>1</v>
      </c>
      <c r="S576" s="20" t="str">
        <f t="shared" si="267"/>
        <v>Activación de actores, indicación de los procesos de devolución ciudadana sobre el PDD</v>
      </c>
      <c r="T576" s="20">
        <f t="shared" si="268"/>
        <v>1</v>
      </c>
      <c r="U576" s="20" t="str">
        <f t="shared" ca="1" si="269"/>
        <v>Realizada</v>
      </c>
    </row>
    <row r="577" spans="1:21" ht="49.5">
      <c r="A577" s="20">
        <v>722</v>
      </c>
      <c r="B577" s="20" t="str">
        <f t="shared" si="250"/>
        <v>CLIP Ciudad Bolivar</v>
      </c>
      <c r="C577" s="21">
        <f t="shared" si="251"/>
        <v>45485</v>
      </c>
      <c r="D577" s="20" t="str">
        <f t="shared" si="252"/>
        <v>INSTANCIAS</v>
      </c>
      <c r="E577" s="20" t="str">
        <f t="shared" si="253"/>
        <v>NO</v>
      </c>
      <c r="F577" s="20" t="str">
        <f t="shared" si="254"/>
        <v>CLIP (Comisión Local Intersectorial de Participación)</v>
      </c>
      <c r="G577" s="20" t="str">
        <f t="shared" si="255"/>
        <v>Presencial</v>
      </c>
      <c r="H577" s="20" t="str">
        <f t="shared" si="256"/>
        <v>Acompañar la articulación de los esfuerzos institucionales de participación en la localidad de Ciudad Bolivar</v>
      </c>
      <c r="I577" s="20" t="str">
        <f t="shared" si="257"/>
        <v>Mecanismo de Seguimiento y Evaluación</v>
      </c>
      <c r="J577" s="20" t="str">
        <f t="shared" si="258"/>
        <v>Público</v>
      </c>
      <c r="K577" s="20" t="str">
        <f t="shared" si="259"/>
        <v>CLIP</v>
      </c>
      <c r="L577" s="20" t="str">
        <f t="shared" si="260"/>
        <v>Ciudad Bolívar</v>
      </c>
      <c r="M577" s="20" t="str">
        <f t="shared" si="261"/>
        <v>Suroriente, Ruralidad</v>
      </c>
      <c r="N577" s="20" t="str">
        <f t="shared" si="262"/>
        <v>Arborizadora, Lucero</v>
      </c>
      <c r="O577" s="20" t="str">
        <f t="shared" si="263"/>
        <v>NO</v>
      </c>
      <c r="P577" s="20" t="str">
        <f t="shared" si="264"/>
        <v>No aplica</v>
      </c>
      <c r="Q577" s="20">
        <f t="shared" si="265"/>
        <v>11</v>
      </c>
      <c r="R577" s="20">
        <f t="shared" si="266"/>
        <v>1</v>
      </c>
      <c r="S577" s="20" t="str">
        <f t="shared" si="267"/>
        <v>Acompañar la articulación de los esfuerzos institucionales de participación en la localidad de Ciudad Bolivar</v>
      </c>
      <c r="T577" s="20">
        <f t="shared" si="268"/>
        <v>1</v>
      </c>
      <c r="U577" s="20" t="str">
        <f t="shared" ca="1" si="269"/>
        <v>Realizada</v>
      </c>
    </row>
    <row r="578" spans="1:21" ht="61.5">
      <c r="A578" s="20">
        <v>724</v>
      </c>
      <c r="B578" s="20" t="str">
        <f t="shared" si="250"/>
        <v>Gestion de actores estrategicos sector noroccidente UPL Tibabuyes - JAC</v>
      </c>
      <c r="C578" s="21">
        <f t="shared" si="251"/>
        <v>45485</v>
      </c>
      <c r="D578" s="20" t="str">
        <f t="shared" si="252"/>
        <v>OPDC</v>
      </c>
      <c r="E578" s="20" t="str">
        <f t="shared" si="253"/>
        <v>NO</v>
      </c>
      <c r="F578" s="20" t="str">
        <f t="shared" si="254"/>
        <v>Gestión en Territorio</v>
      </c>
      <c r="G578" s="20" t="str">
        <f t="shared" si="255"/>
        <v>Presencial</v>
      </c>
      <c r="H578" s="20" t="str">
        <f t="shared" si="256"/>
        <v>Fortalecer las relaciones con los actores estratégicos del territorio para articular los procesos de participación.UPL Tibabuyes JAC</v>
      </c>
      <c r="I578" s="20" t="str">
        <f t="shared" si="257"/>
        <v>Mecanismo de Fortalecimiento Ciudadano para la Planeación Participativa</v>
      </c>
      <c r="J578" s="20" t="str">
        <f t="shared" si="258"/>
        <v>Comunitario</v>
      </c>
      <c r="K578" s="20" t="str">
        <f t="shared" si="259"/>
        <v>ASOJUNTAS - JAC</v>
      </c>
      <c r="L578" s="20" t="str">
        <f t="shared" si="260"/>
        <v>Suba</v>
      </c>
      <c r="M578" s="20" t="str">
        <f t="shared" si="261"/>
        <v>Noroccidente</v>
      </c>
      <c r="N578" s="20" t="str">
        <f t="shared" si="262"/>
        <v>Tibabuyes</v>
      </c>
      <c r="O578" s="20" t="str">
        <f t="shared" si="263"/>
        <v>NO</v>
      </c>
      <c r="P578" s="20" t="str">
        <f t="shared" si="264"/>
        <v>No aplica</v>
      </c>
      <c r="Q578" s="20">
        <f t="shared" si="265"/>
        <v>20</v>
      </c>
      <c r="R578" s="20">
        <f t="shared" si="266"/>
        <v>2</v>
      </c>
      <c r="S578" s="20" t="str">
        <f t="shared" si="267"/>
        <v>Plan Distrital de Desarroll</v>
      </c>
      <c r="T578" s="20">
        <f t="shared" si="268"/>
        <v>1</v>
      </c>
      <c r="U578" s="20" t="str">
        <f t="shared" ca="1" si="269"/>
        <v>Realizada</v>
      </c>
    </row>
    <row r="579" spans="1:21" ht="61.5">
      <c r="A579" s="20">
        <v>725</v>
      </c>
      <c r="B579" s="20" t="str">
        <f t="shared" si="250"/>
        <v xml:space="preserve"> Gestión con Actores Estratégicos Puente Aranda - CPL</v>
      </c>
      <c r="C579" s="21">
        <f t="shared" si="251"/>
        <v>45485</v>
      </c>
      <c r="D579" s="20" t="str">
        <f t="shared" si="252"/>
        <v>OPDC</v>
      </c>
      <c r="E579" s="20" t="str">
        <f t="shared" si="253"/>
        <v>NO</v>
      </c>
      <c r="F579" s="20" t="str">
        <f t="shared" si="254"/>
        <v>Gestión en Territorio</v>
      </c>
      <c r="G579" s="20" t="str">
        <f t="shared" si="255"/>
        <v>Presencial</v>
      </c>
      <c r="H579" s="20" t="str">
        <f t="shared" si="256"/>
        <v>Fortalecer las relaciones con los actores estratégicos del territorio para articular los procesos de participación. Puente Aranda - CPL</v>
      </c>
      <c r="I579" s="20" t="str">
        <f t="shared" si="257"/>
        <v>Mecanismo de Fortalecimiento Ciudadano para la Planeación Participativa</v>
      </c>
      <c r="J579" s="20" t="str">
        <f t="shared" si="258"/>
        <v>Comunitario</v>
      </c>
      <c r="K579" s="20" t="str">
        <f t="shared" si="259"/>
        <v>CPL</v>
      </c>
      <c r="L579" s="20" t="str">
        <f t="shared" si="260"/>
        <v>Puente Aranda</v>
      </c>
      <c r="M579" s="20" t="str">
        <f t="shared" si="261"/>
        <v>Centro Ampliado</v>
      </c>
      <c r="N579" s="20" t="str">
        <f t="shared" si="262"/>
        <v>Puente Aranda</v>
      </c>
      <c r="O579" s="20" t="str">
        <f t="shared" si="263"/>
        <v>NO</v>
      </c>
      <c r="P579" s="20" t="str">
        <f t="shared" si="264"/>
        <v>No aplica</v>
      </c>
      <c r="Q579" s="20">
        <f t="shared" si="265"/>
        <v>2</v>
      </c>
      <c r="R579" s="20">
        <f t="shared" si="266"/>
        <v>1</v>
      </c>
      <c r="S579" s="20" t="str">
        <f t="shared" si="267"/>
        <v>Presentación de los resultados del PDD, invitación al espacio de devolución Centro Ampliado</v>
      </c>
      <c r="T579" s="20">
        <f t="shared" si="268"/>
        <v>1</v>
      </c>
      <c r="U579" s="20" t="str">
        <f t="shared" ca="1" si="269"/>
        <v>Realizada</v>
      </c>
    </row>
    <row r="580" spans="1:21" ht="98.25">
      <c r="A580" s="20">
        <v>726</v>
      </c>
      <c r="B580" s="20" t="str">
        <f t="shared" si="250"/>
        <v>Devolución ciudadana étnica PDD - Comunidad Raizal</v>
      </c>
      <c r="C580" s="21">
        <f t="shared" si="251"/>
        <v>45486</v>
      </c>
      <c r="D580" s="20" t="str">
        <f t="shared" si="252"/>
        <v>OPDC</v>
      </c>
      <c r="E580" s="20" t="str">
        <f t="shared" si="253"/>
        <v>NO</v>
      </c>
      <c r="F580" s="20" t="str">
        <f t="shared" si="254"/>
        <v>Plan Distrital de Desarrollo</v>
      </c>
      <c r="G580" s="20" t="str">
        <f t="shared" si="255"/>
        <v>Presencial</v>
      </c>
      <c r="H580" s="20" t="str">
        <f t="shared" si="256"/>
        <v>Realizar la devolución y rendición de cuentas sobre los resultados de la participación en la formulación del Plan Distrital de Desarrollo y la Socialización del acuerdo adoptado con miras a promover la confianza, apropiación y corresponsabilidad para la futura implementación del plan.</v>
      </c>
      <c r="I580" s="20" t="str">
        <f t="shared" si="257"/>
        <v>Mecanismo de Fortalecimiento Ciudadano para la Planeación Participativa</v>
      </c>
      <c r="J580" s="20" t="str">
        <f t="shared" si="258"/>
        <v>Comunitario</v>
      </c>
      <c r="K580" s="20" t="str">
        <f t="shared" si="259"/>
        <v>Consejo Consultivo</v>
      </c>
      <c r="L580" s="20" t="str">
        <f t="shared" si="260"/>
        <v>Distrital</v>
      </c>
      <c r="M580" s="20" t="str">
        <f t="shared" si="261"/>
        <v>Distrital</v>
      </c>
      <c r="N580" s="20" t="str">
        <f t="shared" si="262"/>
        <v>Distrital</v>
      </c>
      <c r="O580" s="20" t="str">
        <f t="shared" si="263"/>
        <v>SÍ</v>
      </c>
      <c r="P580" s="20" t="str">
        <f t="shared" si="264"/>
        <v>Fase IV: Reconocimiento a la Acción Colectiva</v>
      </c>
      <c r="Q580" s="20">
        <f t="shared" si="265"/>
        <v>39</v>
      </c>
      <c r="R580" s="20">
        <f t="shared" si="266"/>
        <v>7</v>
      </c>
      <c r="S580" s="20" t="str">
        <f t="shared" si="267"/>
        <v>Resultados del proceso de participación de la comunidad Raizal en la formulación del PDD</v>
      </c>
      <c r="T580" s="20">
        <f t="shared" si="268"/>
        <v>1</v>
      </c>
      <c r="U580" s="20" t="str">
        <f t="shared" ca="1" si="269"/>
        <v>Realizada</v>
      </c>
    </row>
    <row r="581" spans="1:21" ht="98.25">
      <c r="A581" s="20">
        <v>727</v>
      </c>
      <c r="B581" s="20" t="str">
        <f t="shared" si="250"/>
        <v>Devolución ciudadana construcción PDD - Sector Suroccidente</v>
      </c>
      <c r="C581" s="21">
        <f t="shared" si="251"/>
        <v>45486</v>
      </c>
      <c r="D581" s="20" t="str">
        <f t="shared" si="252"/>
        <v>OPDC</v>
      </c>
      <c r="E581" s="20" t="str">
        <f t="shared" si="253"/>
        <v>NO</v>
      </c>
      <c r="F581" s="20" t="str">
        <f t="shared" si="254"/>
        <v>Plan Distrital de Desarrollo</v>
      </c>
      <c r="G581" s="20" t="str">
        <f t="shared" si="255"/>
        <v>Presencial</v>
      </c>
      <c r="H581" s="20" t="str">
        <f t="shared" si="256"/>
        <v>Realizar la devolución y rendición de cuentas sobre los resultados de la participación en la formulación del Plan Distrital de Desarrollo y la Socialización del acuerdo adoptado con miras a promover la confianza, apropiación y corresponsabilidad para la futura implementación del plan.</v>
      </c>
      <c r="I581" s="20" t="str">
        <f t="shared" si="257"/>
        <v>Mecanismo de Fortalecimiento Ciudadano para la Planeación Participativa</v>
      </c>
      <c r="J581" s="20" t="str">
        <f t="shared" si="258"/>
        <v>Multiactor</v>
      </c>
      <c r="K581" s="20">
        <f t="shared" si="259"/>
        <v>0</v>
      </c>
      <c r="L581" s="20" t="str">
        <f t="shared" si="260"/>
        <v>Kennedy</v>
      </c>
      <c r="M581" s="20" t="str">
        <f t="shared" si="261"/>
        <v>Suroccidente</v>
      </c>
      <c r="N581" s="20" t="str">
        <f t="shared" si="262"/>
        <v>Bosa, Porvenir, Patio Bonito, Edén, Kennedy, Tintal</v>
      </c>
      <c r="O581" s="20" t="str">
        <f t="shared" si="263"/>
        <v>SÍ</v>
      </c>
      <c r="P581" s="20" t="str">
        <f t="shared" si="264"/>
        <v>Fase IV: Reconocimiento a la Acción Colectiva</v>
      </c>
      <c r="Q581" s="20">
        <f t="shared" si="265"/>
        <v>71</v>
      </c>
      <c r="R581" s="20">
        <f t="shared" si="266"/>
        <v>18</v>
      </c>
      <c r="S581" s="20" t="str">
        <f t="shared" si="267"/>
        <v>Como leer el PDD, Ruta de Participación, fases, Victorias poblacionales, POT, UPL, PIP, metas estrategicas y producto.</v>
      </c>
      <c r="T581" s="20">
        <f t="shared" si="268"/>
        <v>1</v>
      </c>
      <c r="U581" s="20" t="str">
        <f t="shared" ca="1" si="269"/>
        <v>Realizada</v>
      </c>
    </row>
    <row r="582" spans="1:21" ht="98.25">
      <c r="A582" s="20">
        <v>728</v>
      </c>
      <c r="B582" s="20" t="str">
        <f t="shared" si="250"/>
        <v>Devolución ciudadana construcción PDD - Cerros (Verjones)</v>
      </c>
      <c r="C582" s="21">
        <f t="shared" si="251"/>
        <v>45487</v>
      </c>
      <c r="D582" s="20" t="str">
        <f t="shared" si="252"/>
        <v>OPDC</v>
      </c>
      <c r="E582" s="20" t="str">
        <f t="shared" si="253"/>
        <v>NO</v>
      </c>
      <c r="F582" s="20" t="str">
        <f t="shared" si="254"/>
        <v>Plan Distrital de Desarrollo</v>
      </c>
      <c r="G582" s="20" t="str">
        <f t="shared" si="255"/>
        <v>Presencial</v>
      </c>
      <c r="H582" s="20" t="str">
        <f t="shared" si="256"/>
        <v>Realizar la devolución y rendición de cuentas sobre los resultados de la participación en la formulación del Plan Distrital de Desarrollo y la Socialización del acuerdo adoptado con miras a promover la confianza, apropiación y corresponsabilidad para la futura implementación del plan.</v>
      </c>
      <c r="I582" s="20" t="str">
        <f t="shared" si="257"/>
        <v>Mecanismo de Fortalecimiento Ciudadano para la Planeación Participativa</v>
      </c>
      <c r="J582" s="20" t="str">
        <f t="shared" si="258"/>
        <v>Multiactor</v>
      </c>
      <c r="K582" s="20">
        <f t="shared" si="259"/>
        <v>0</v>
      </c>
      <c r="L582" s="20" t="str">
        <f t="shared" si="260"/>
        <v>Distrital</v>
      </c>
      <c r="M582" s="20" t="str">
        <f t="shared" si="261"/>
        <v>Ruralidad</v>
      </c>
      <c r="N582" s="20" t="str">
        <f t="shared" si="262"/>
        <v>Cerros Orientales</v>
      </c>
      <c r="O582" s="20" t="str">
        <f t="shared" si="263"/>
        <v>SÍ</v>
      </c>
      <c r="P582" s="20" t="str">
        <f t="shared" si="264"/>
        <v>Fase IV: Reconocimiento a la Acción Colectiva</v>
      </c>
      <c r="Q582" s="20">
        <f t="shared" si="265"/>
        <v>38</v>
      </c>
      <c r="R582" s="20">
        <f t="shared" si="266"/>
        <v>9</v>
      </c>
      <c r="S582" s="20" t="str">
        <f t="shared" si="267"/>
        <v>Objetivos, programas y metas del Plan Distrital de Desarrollo.</v>
      </c>
      <c r="T582" s="20">
        <f t="shared" si="268"/>
        <v>1</v>
      </c>
      <c r="U582" s="20" t="str">
        <f t="shared" ca="1" si="269"/>
        <v>Realizada</v>
      </c>
    </row>
    <row r="583" spans="1:21" ht="98.25">
      <c r="A583" s="20">
        <v>729</v>
      </c>
      <c r="B583" s="20" t="str">
        <f t="shared" si="250"/>
        <v>Devolución ciudadana construcción PDD - Cerros (San Luis)</v>
      </c>
      <c r="C583" s="21">
        <f t="shared" si="251"/>
        <v>45487</v>
      </c>
      <c r="D583" s="20" t="str">
        <f t="shared" si="252"/>
        <v>OPDC</v>
      </c>
      <c r="E583" s="20" t="str">
        <f t="shared" si="253"/>
        <v>NO</v>
      </c>
      <c r="F583" s="20" t="str">
        <f t="shared" si="254"/>
        <v>Plan Distrital de Desarrollo</v>
      </c>
      <c r="G583" s="20" t="str">
        <f t="shared" si="255"/>
        <v>Presencial</v>
      </c>
      <c r="H583" s="20" t="str">
        <f t="shared" si="256"/>
        <v>Realizar la devolución y rendición de cuentas sobre los resultados de la participación en la formulación del Plan Distrital de Desarrollo y la Socialización del acuerdo adoptado con miras a promover la confianza, apropiación y corresponsabilidad para la futura implementación del plan.</v>
      </c>
      <c r="I583" s="20" t="str">
        <f t="shared" si="257"/>
        <v>Mecanismo de Fortalecimiento Ciudadano para la Planeación Participativa</v>
      </c>
      <c r="J583" s="20" t="str">
        <f t="shared" si="258"/>
        <v>Multiactor</v>
      </c>
      <c r="K583" s="20">
        <f t="shared" si="259"/>
        <v>0</v>
      </c>
      <c r="L583" s="20" t="str">
        <f t="shared" si="260"/>
        <v>Distrital</v>
      </c>
      <c r="M583" s="20" t="str">
        <f t="shared" si="261"/>
        <v>Ruralidad</v>
      </c>
      <c r="N583" s="20" t="str">
        <f t="shared" si="262"/>
        <v>Cerros Orientales</v>
      </c>
      <c r="O583" s="20" t="str">
        <f t="shared" si="263"/>
        <v>SÍ</v>
      </c>
      <c r="P583" s="20" t="str">
        <f t="shared" si="264"/>
        <v>Fase IV: Reconocimiento a la Acción Colectiva</v>
      </c>
      <c r="Q583" s="20">
        <f t="shared" si="265"/>
        <v>51</v>
      </c>
      <c r="R583" s="20">
        <f t="shared" si="266"/>
        <v>11</v>
      </c>
      <c r="S583" s="20" t="str">
        <f t="shared" si="267"/>
        <v>PDD, ruta de la participación PDD, victorias poblacionales, POT, STP</v>
      </c>
      <c r="T583" s="20">
        <f t="shared" si="268"/>
        <v>1</v>
      </c>
      <c r="U583" s="20" t="str">
        <f t="shared" ca="1" si="269"/>
        <v>Realizada</v>
      </c>
    </row>
    <row r="584" spans="1:21" ht="74.25">
      <c r="A584" s="20">
        <v>730</v>
      </c>
      <c r="B584" s="20" t="str">
        <f t="shared" si="250"/>
        <v>Gestión con actores estratégicos - JAL de Usme - UPL Usme Entrenubes y UPL Cuenca Tunjuelo</v>
      </c>
      <c r="C584" s="21">
        <f t="shared" si="251"/>
        <v>45489</v>
      </c>
      <c r="D584" s="20" t="str">
        <f t="shared" si="252"/>
        <v>OPDC</v>
      </c>
      <c r="E584" s="20" t="str">
        <f t="shared" si="253"/>
        <v>NO</v>
      </c>
      <c r="F584" s="20" t="str">
        <f t="shared" si="254"/>
        <v>Gestión en Territorio</v>
      </c>
      <c r="G584" s="20" t="str">
        <f t="shared" si="255"/>
        <v>Presencial</v>
      </c>
      <c r="H584" s="20" t="str">
        <f t="shared" si="256"/>
        <v xml:space="preserve">Fortalecer las relaciones con los actores estratégicos del territorio para articular los procesos de participación y realizar pedagogía sobre el Plan Distrital de Desarrollo y demás instrumentos liderados por la SDP. </v>
      </c>
      <c r="I584" s="20" t="str">
        <f t="shared" si="257"/>
        <v>Mecanismo de Fortalecimiento Ciudadano para la Planeación Participativa</v>
      </c>
      <c r="J584" s="20" t="str">
        <f t="shared" si="258"/>
        <v>Público</v>
      </c>
      <c r="K584" s="20" t="str">
        <f t="shared" si="259"/>
        <v>JAL</v>
      </c>
      <c r="L584" s="20" t="str">
        <f t="shared" si="260"/>
        <v>Usme</v>
      </c>
      <c r="M584" s="20" t="str">
        <f t="shared" si="261"/>
        <v>Suroriente</v>
      </c>
      <c r="N584" s="20" t="str">
        <f t="shared" si="262"/>
        <v>Usme Entrenubes</v>
      </c>
      <c r="O584" s="20" t="str">
        <f t="shared" si="263"/>
        <v>NO</v>
      </c>
      <c r="P584" s="20" t="str">
        <f t="shared" si="264"/>
        <v>No aplica</v>
      </c>
      <c r="Q584" s="20">
        <f t="shared" si="265"/>
        <v>10</v>
      </c>
      <c r="R584" s="20">
        <f t="shared" si="266"/>
        <v>2</v>
      </c>
      <c r="S584" s="20" t="str">
        <f t="shared" si="267"/>
        <v>Notificación a la comunidad de la última fase del PDD (la devolución) del sector suroriental, formación de comités ciudadanos y notificación de las asambleas deliberativas.</v>
      </c>
      <c r="T584" s="20">
        <f t="shared" si="268"/>
        <v>1</v>
      </c>
      <c r="U584" s="20" t="str">
        <f t="shared" ca="1" si="269"/>
        <v>Realizada</v>
      </c>
    </row>
    <row r="585" spans="1:21" ht="61.5">
      <c r="A585" s="20">
        <v>731</v>
      </c>
      <c r="B585" s="20" t="str">
        <f t="shared" si="250"/>
        <v>Gestión con Actores Estratégicos – Localidad Usaquén Comité Local de Envejecimiento  y Vejez de la Localidad de Usaquén (COLEV) UPL Usaquén</v>
      </c>
      <c r="C585" s="21">
        <f t="shared" si="251"/>
        <v>45489</v>
      </c>
      <c r="D585" s="20" t="str">
        <f t="shared" si="252"/>
        <v>OPDC</v>
      </c>
      <c r="E585" s="20" t="str">
        <f t="shared" si="253"/>
        <v>NO</v>
      </c>
      <c r="F585" s="20" t="str">
        <f t="shared" si="254"/>
        <v>Gestión en Territorio</v>
      </c>
      <c r="G585" s="20" t="str">
        <f t="shared" si="255"/>
        <v>Presencial</v>
      </c>
      <c r="H585" s="20" t="str">
        <f t="shared" si="256"/>
        <v>Fortalecer las relaciones con los actores estratégicos del territorio para articular los procesos de participación con el Comité Local de Envejecimiento  y Vejez de la Localidad de Usaquén (COLEV).</v>
      </c>
      <c r="I585" s="20" t="str">
        <f t="shared" si="257"/>
        <v>Mecanismo de Fortalecimiento Ciudadano para la Planeación Participativa</v>
      </c>
      <c r="J585" s="20" t="str">
        <f t="shared" si="258"/>
        <v>Público</v>
      </c>
      <c r="K585" s="20">
        <f t="shared" si="259"/>
        <v>0</v>
      </c>
      <c r="L585" s="20" t="str">
        <f t="shared" si="260"/>
        <v>Usaquén</v>
      </c>
      <c r="M585" s="20" t="str">
        <f t="shared" si="261"/>
        <v>Norte, Ruralidad</v>
      </c>
      <c r="N585" s="20" t="str">
        <f t="shared" si="262"/>
        <v>Usaquén, Cerros Orientales</v>
      </c>
      <c r="O585" s="20" t="str">
        <f t="shared" si="263"/>
        <v>NO</v>
      </c>
      <c r="P585" s="20" t="str">
        <f t="shared" si="264"/>
        <v>No aplica</v>
      </c>
      <c r="Q585" s="20">
        <f t="shared" si="265"/>
        <v>18</v>
      </c>
      <c r="R585" s="20">
        <f t="shared" si="266"/>
        <v>2</v>
      </c>
      <c r="S585" s="20" t="str">
        <f t="shared" si="267"/>
        <v>Pedagogía del PDD, explicación de las fases de planeación participativa de la formulación del PDD y descripción y manejo de cómo leer los documentos que componen el PDD</v>
      </c>
      <c r="T585" s="20">
        <f t="shared" si="268"/>
        <v>1</v>
      </c>
      <c r="U585" s="20" t="str">
        <f t="shared" ca="1" si="269"/>
        <v>Realizada</v>
      </c>
    </row>
    <row r="586" spans="1:21" ht="49.5">
      <c r="A586" s="20">
        <v>732</v>
      </c>
      <c r="B586" s="20" t="str">
        <f t="shared" si="250"/>
        <v>Socializacion PIP JAL Usaquen</v>
      </c>
      <c r="C586" s="21">
        <f t="shared" si="251"/>
        <v>45489</v>
      </c>
      <c r="D586" s="20" t="str">
        <f t="shared" si="252"/>
        <v>OPDC</v>
      </c>
      <c r="E586" s="20" t="str">
        <f t="shared" si="253"/>
        <v>SÍ</v>
      </c>
      <c r="F586" s="20" t="str">
        <f t="shared" si="254"/>
        <v>Proyectos Integrales de Proximidad</v>
      </c>
      <c r="G586" s="20" t="str">
        <f t="shared" si="255"/>
        <v>Presencial</v>
      </c>
      <c r="H586" s="20" t="str">
        <f t="shared" si="256"/>
        <v>Realizar pedagogía sobre POT-PIP Sector Norte a la JAL de Usaquén</v>
      </c>
      <c r="I586" s="20" t="str">
        <f t="shared" si="257"/>
        <v>Mecanismo de Comunicación para la Participación</v>
      </c>
      <c r="J586" s="20" t="str">
        <f t="shared" si="258"/>
        <v>Público</v>
      </c>
      <c r="K586" s="20" t="str">
        <f t="shared" si="259"/>
        <v>JAL</v>
      </c>
      <c r="L586" s="20" t="str">
        <f t="shared" si="260"/>
        <v>Usaquén</v>
      </c>
      <c r="M586" s="20" t="str">
        <f t="shared" si="261"/>
        <v>Norte</v>
      </c>
      <c r="N586" s="20" t="str">
        <f t="shared" si="262"/>
        <v>Usaquén, Toberín, Torca</v>
      </c>
      <c r="O586" s="20" t="str">
        <f t="shared" si="263"/>
        <v>NO</v>
      </c>
      <c r="P586" s="20" t="str">
        <f t="shared" si="264"/>
        <v>No aplica</v>
      </c>
      <c r="Q586" s="20">
        <f t="shared" si="265"/>
        <v>7</v>
      </c>
      <c r="R586" s="20">
        <f t="shared" si="266"/>
        <v>7</v>
      </c>
      <c r="S586" s="20" t="str">
        <f t="shared" si="267"/>
        <v xml:space="preserve">Socialización de los PIP de las UPL Usaquén, Toberín y Torca a la JAL de Usaquén </v>
      </c>
      <c r="T586" s="20">
        <f t="shared" si="268"/>
        <v>1</v>
      </c>
      <c r="U586" s="20" t="str">
        <f t="shared" ca="1" si="269"/>
        <v>Realizada</v>
      </c>
    </row>
    <row r="587" spans="1:21" ht="49.5">
      <c r="A587" s="20">
        <v>734</v>
      </c>
      <c r="B587" s="20" t="str">
        <f t="shared" si="250"/>
        <v>CLIP extraordinaria Sumapaz</v>
      </c>
      <c r="C587" s="21">
        <f t="shared" si="251"/>
        <v>45489</v>
      </c>
      <c r="D587" s="20" t="str">
        <f t="shared" si="252"/>
        <v>INSTANCIAS</v>
      </c>
      <c r="E587" s="20" t="str">
        <f t="shared" si="253"/>
        <v>NO</v>
      </c>
      <c r="F587" s="20" t="str">
        <f t="shared" si="254"/>
        <v>CLIP (Comisión Local Intersectorial de Participación)</v>
      </c>
      <c r="G587" s="20" t="str">
        <f t="shared" si="255"/>
        <v>Virtual</v>
      </c>
      <c r="H587" s="20" t="str">
        <f t="shared" si="256"/>
        <v xml:space="preserve">Articulación institucional para la gestión de la participación en la localidad de Sumapaz. </v>
      </c>
      <c r="I587" s="20" t="str">
        <f t="shared" si="257"/>
        <v>Mecanismo de Seguimiento y Evaluación</v>
      </c>
      <c r="J587" s="20" t="str">
        <f t="shared" si="258"/>
        <v>Público</v>
      </c>
      <c r="K587" s="20" t="str">
        <f t="shared" si="259"/>
        <v>CLIP</v>
      </c>
      <c r="L587" s="20" t="str">
        <f t="shared" si="260"/>
        <v>Sumapaz</v>
      </c>
      <c r="M587" s="20" t="str">
        <f t="shared" si="261"/>
        <v>Ruralidad</v>
      </c>
      <c r="N587" s="20" t="str">
        <f t="shared" si="262"/>
        <v>Sumapaz</v>
      </c>
      <c r="O587" s="20" t="str">
        <f t="shared" si="263"/>
        <v>NO</v>
      </c>
      <c r="P587" s="20" t="str">
        <f t="shared" si="264"/>
        <v>No aplica</v>
      </c>
      <c r="Q587" s="20">
        <f t="shared" si="265"/>
        <v>8</v>
      </c>
      <c r="R587" s="20">
        <f t="shared" si="266"/>
        <v>1</v>
      </c>
      <c r="S587" s="20" t="str">
        <f t="shared" si="267"/>
        <v>Plan de Desarrollo Local</v>
      </c>
      <c r="T587" s="20">
        <f t="shared" si="268"/>
        <v>1</v>
      </c>
      <c r="U587" s="20" t="str">
        <f t="shared" ca="1" si="269"/>
        <v>Realizada</v>
      </c>
    </row>
    <row r="588" spans="1:21" ht="37.5">
      <c r="A588" s="20">
        <v>735</v>
      </c>
      <c r="B588" s="20" t="str">
        <f t="shared" si="250"/>
        <v>Reunion seguimiento Fundación 2050</v>
      </c>
      <c r="C588" s="21">
        <f t="shared" si="251"/>
        <v>45489</v>
      </c>
      <c r="D588" s="20" t="str">
        <f t="shared" si="252"/>
        <v>OPDC</v>
      </c>
      <c r="E588" s="20" t="str">
        <f t="shared" si="253"/>
        <v>NO</v>
      </c>
      <c r="F588" s="20" t="str">
        <f t="shared" si="254"/>
        <v>Escenarios individuales</v>
      </c>
      <c r="G588" s="20" t="str">
        <f t="shared" si="255"/>
        <v>Presencial</v>
      </c>
      <c r="H588" s="20" t="str">
        <f t="shared" si="256"/>
        <v xml:space="preserve">Realizar el eguimiento a las propuestas de participación presentadas que viene desarrollando la fundación </v>
      </c>
      <c r="I588" s="20" t="str">
        <f t="shared" si="257"/>
        <v>Gestión Institucional</v>
      </c>
      <c r="J588" s="20" t="str">
        <f t="shared" si="258"/>
        <v>Multiactor</v>
      </c>
      <c r="K588" s="20">
        <f t="shared" si="259"/>
        <v>0</v>
      </c>
      <c r="L588" s="20" t="str">
        <f t="shared" si="260"/>
        <v>Distrital</v>
      </c>
      <c r="M588" s="20" t="str">
        <f t="shared" si="261"/>
        <v>Distrital</v>
      </c>
      <c r="N588" s="20" t="str">
        <f t="shared" si="262"/>
        <v>Distrital</v>
      </c>
      <c r="O588" s="20" t="str">
        <f t="shared" si="263"/>
        <v>NO</v>
      </c>
      <c r="P588" s="20" t="str">
        <f t="shared" si="264"/>
        <v>No aplica</v>
      </c>
      <c r="Q588" s="20">
        <f t="shared" si="265"/>
        <v>3</v>
      </c>
      <c r="R588" s="20">
        <f t="shared" si="266"/>
        <v>4</v>
      </c>
      <c r="S588" s="20" t="str">
        <f t="shared" si="267"/>
        <v xml:space="preserve">Seguimiento a las propuestas de la Fundación 2050 para los procesos estratégicos de la Oficina de Participación y Diálogo de Ciudad. </v>
      </c>
      <c r="T588" s="20">
        <f t="shared" si="268"/>
        <v>1</v>
      </c>
      <c r="U588" s="20" t="str">
        <f t="shared" ca="1" si="269"/>
        <v>Realizada</v>
      </c>
    </row>
    <row r="589" spans="1:21" ht="61.5">
      <c r="A589" s="20">
        <v>736</v>
      </c>
      <c r="B589" s="20" t="str">
        <f t="shared" si="250"/>
        <v xml:space="preserve">Socialización PIP sector Noroccidente  - CPL Suba: Tibabuyes, Suba y Rincon de Suba </v>
      </c>
      <c r="C589" s="21">
        <f t="shared" si="251"/>
        <v>45489</v>
      </c>
      <c r="D589" s="20" t="str">
        <f t="shared" si="252"/>
        <v>OPDC</v>
      </c>
      <c r="E589" s="20" t="str">
        <f t="shared" si="253"/>
        <v>SÍ</v>
      </c>
      <c r="F589" s="20" t="str">
        <f t="shared" si="254"/>
        <v>Proyectos Integrales de Proximidad</v>
      </c>
      <c r="G589" s="20" t="str">
        <f t="shared" si="255"/>
        <v>Presencial</v>
      </c>
      <c r="H589" s="20" t="str">
        <f t="shared" si="256"/>
        <v xml:space="preserve">Socializar las generalidades de los PIP al CPL de la localidad de suba. Sector Noroccidente y Norte </v>
      </c>
      <c r="I589" s="20" t="str">
        <f t="shared" si="257"/>
        <v>Mecanismo de Fortalecimiento Ciudadano para la Planeación Participativa</v>
      </c>
      <c r="J589" s="20" t="str">
        <f t="shared" si="258"/>
        <v>Comunitario</v>
      </c>
      <c r="K589" s="20" t="str">
        <f t="shared" si="259"/>
        <v>CPL</v>
      </c>
      <c r="L589" s="20" t="str">
        <f t="shared" si="260"/>
        <v>Suba</v>
      </c>
      <c r="M589" s="20" t="str">
        <f t="shared" si="261"/>
        <v>Noroccidente</v>
      </c>
      <c r="N589" s="20" t="str">
        <f t="shared" si="262"/>
        <v>Suba, Suba Rincón, Tibabuyes</v>
      </c>
      <c r="O589" s="20" t="str">
        <f t="shared" si="263"/>
        <v>NO</v>
      </c>
      <c r="P589" s="20" t="str">
        <f t="shared" si="264"/>
        <v>No aplica</v>
      </c>
      <c r="Q589" s="20">
        <f t="shared" si="265"/>
        <v>20</v>
      </c>
      <c r="R589" s="20">
        <f t="shared" si="266"/>
        <v>9</v>
      </c>
      <c r="S589" s="20" t="str">
        <f t="shared" si="267"/>
        <v>Entrega de compromisos respecto a las metas de PDD en Suba</v>
      </c>
      <c r="T589" s="20">
        <f t="shared" si="268"/>
        <v>1</v>
      </c>
      <c r="U589" s="20" t="str">
        <f t="shared" ca="1" si="269"/>
        <v>Realizada</v>
      </c>
    </row>
    <row r="590" spans="1:21" ht="49.5">
      <c r="A590" s="20">
        <v>737</v>
      </c>
      <c r="B590" s="20" t="str">
        <f t="shared" si="250"/>
        <v xml:space="preserve">Socialización PIP sector Norte - CPL Suba </v>
      </c>
      <c r="C590" s="21">
        <f t="shared" si="251"/>
        <v>45489</v>
      </c>
      <c r="D590" s="20" t="str">
        <f t="shared" si="252"/>
        <v>OPDC</v>
      </c>
      <c r="E590" s="20" t="str">
        <f t="shared" si="253"/>
        <v>SÍ</v>
      </c>
      <c r="F590" s="20" t="str">
        <f t="shared" si="254"/>
        <v>Proyectos Integrales de Proximidad</v>
      </c>
      <c r="G590" s="20" t="str">
        <f t="shared" si="255"/>
        <v>Presencial</v>
      </c>
      <c r="H590" s="20" t="str">
        <f t="shared" si="256"/>
        <v xml:space="preserve">Socializar las generalidades de los PIP al CPL de la localidad de suba. Sector Noroccidente y Norte </v>
      </c>
      <c r="I590" s="20" t="str">
        <f t="shared" si="257"/>
        <v>Mecanismo de Comunicación para la Participación</v>
      </c>
      <c r="J590" s="20" t="str">
        <f t="shared" si="258"/>
        <v>Comunitario</v>
      </c>
      <c r="K590" s="20" t="str">
        <f t="shared" si="259"/>
        <v>CPL</v>
      </c>
      <c r="L590" s="20" t="str">
        <f t="shared" si="260"/>
        <v>Suba</v>
      </c>
      <c r="M590" s="20" t="str">
        <f t="shared" si="261"/>
        <v>Norte</v>
      </c>
      <c r="N590" s="20" t="str">
        <f t="shared" si="262"/>
        <v>Niza, Britalia, Torca</v>
      </c>
      <c r="O590" s="20" t="str">
        <f t="shared" si="263"/>
        <v>NO</v>
      </c>
      <c r="P590" s="20" t="str">
        <f t="shared" si="264"/>
        <v>No aplica</v>
      </c>
      <c r="Q590" s="20">
        <f t="shared" si="265"/>
        <v>19</v>
      </c>
      <c r="R590" s="20">
        <f t="shared" si="266"/>
        <v>10</v>
      </c>
      <c r="S590" s="20" t="str">
        <f t="shared" si="267"/>
        <v>Generalidades PIP - zona norte UPL NIza,Torca, Britalia</v>
      </c>
      <c r="T590" s="20">
        <f t="shared" si="268"/>
        <v>1</v>
      </c>
      <c r="U590" s="20" t="str">
        <f t="shared" ca="1" si="269"/>
        <v>Realizada</v>
      </c>
    </row>
    <row r="591" spans="1:21" ht="37.5">
      <c r="A591" s="20">
        <v>739</v>
      </c>
      <c r="B591" s="20" t="str">
        <f t="shared" si="250"/>
        <v>Conformación del Comité Único de Participación Integral – CUPI en la UPL Teusaquillo.</v>
      </c>
      <c r="C591" s="21">
        <f t="shared" si="251"/>
        <v>45490</v>
      </c>
      <c r="D591" s="20" t="str">
        <f t="shared" si="252"/>
        <v>OPDC</v>
      </c>
      <c r="E591" s="20" t="str">
        <f t="shared" si="253"/>
        <v>NO</v>
      </c>
      <c r="F591" s="20" t="str">
        <f t="shared" si="254"/>
        <v>Plan Especial de Manejo y Protección - PEMP</v>
      </c>
      <c r="G591" s="20" t="str">
        <f t="shared" si="255"/>
        <v>Presencial</v>
      </c>
      <c r="H591" s="20" t="str">
        <f t="shared" si="256"/>
        <v>Recibir los avances en la conformación del Comité Único de Participación Integral – CUPI</v>
      </c>
      <c r="I591" s="20" t="str">
        <f t="shared" si="257"/>
        <v>Mecanismo de Seguimiento y Evaluación</v>
      </c>
      <c r="J591" s="20" t="str">
        <f t="shared" si="258"/>
        <v>Multiactor</v>
      </c>
      <c r="K591" s="20">
        <f t="shared" si="259"/>
        <v>0</v>
      </c>
      <c r="L591" s="20" t="str">
        <f t="shared" si="260"/>
        <v>La Candelaria</v>
      </c>
      <c r="M591" s="20" t="str">
        <f t="shared" si="261"/>
        <v>Centro Ampliado</v>
      </c>
      <c r="N591" s="20" t="str">
        <f t="shared" si="262"/>
        <v>Centro Histórico</v>
      </c>
      <c r="O591" s="20" t="str">
        <f t="shared" si="263"/>
        <v>NO</v>
      </c>
      <c r="P591" s="20" t="str">
        <f t="shared" si="264"/>
        <v>No aplica</v>
      </c>
      <c r="Q591" s="20">
        <f t="shared" si="265"/>
        <v>3</v>
      </c>
      <c r="R591" s="20">
        <f t="shared" si="266"/>
        <v>2</v>
      </c>
      <c r="S591" s="20" t="str">
        <f t="shared" si="267"/>
        <v xml:space="preserve">Reunión de articulación para coordinar con la OPDC y Gerencia de Instrumentos del IDPC el CUPI Teusaquillo propuesto.. </v>
      </c>
      <c r="T591" s="20">
        <f t="shared" si="268"/>
        <v>1</v>
      </c>
      <c r="U591" s="20" t="str">
        <f t="shared" ca="1" si="269"/>
        <v>Realizada</v>
      </c>
    </row>
    <row r="592" spans="1:21" ht="61.5">
      <c r="A592" s="20">
        <v>741</v>
      </c>
      <c r="B592" s="20" t="str">
        <f t="shared" si="250"/>
        <v xml:space="preserve">Gestión con actores estratégicos - CCPH (Consejo Consultivo de Propiedad Horizontal) localidad Usaquen </v>
      </c>
      <c r="C592" s="21">
        <f t="shared" si="251"/>
        <v>45490</v>
      </c>
      <c r="D592" s="20" t="str">
        <f t="shared" si="252"/>
        <v>OPDC</v>
      </c>
      <c r="E592" s="20" t="str">
        <f t="shared" si="253"/>
        <v>NO</v>
      </c>
      <c r="F592" s="20" t="str">
        <f t="shared" si="254"/>
        <v>Gestión en Territorio</v>
      </c>
      <c r="G592" s="20" t="str">
        <f t="shared" si="255"/>
        <v>Presencial</v>
      </c>
      <c r="H592" s="20" t="str">
        <f t="shared" si="256"/>
        <v xml:space="preserve">Fortalecer las relaciones con los actores estratégicos del territorio para articular los procesos de participación y realizar pedagogía sobre el Plan Distrital de Desarrollo y demás instrumentos </v>
      </c>
      <c r="I592" s="20" t="str">
        <f t="shared" si="257"/>
        <v>Mecanismo de Fortalecimiento Ciudadano para la Planeación Participativa</v>
      </c>
      <c r="J592" s="20" t="str">
        <f t="shared" si="258"/>
        <v>Comunitario</v>
      </c>
      <c r="K592" s="20" t="str">
        <f t="shared" si="259"/>
        <v>Consejo Consultivo</v>
      </c>
      <c r="L592" s="20" t="str">
        <f t="shared" si="260"/>
        <v>Usaquén</v>
      </c>
      <c r="M592" s="20" t="str">
        <f t="shared" si="261"/>
        <v>Norte</v>
      </c>
      <c r="N592" s="20" t="str">
        <f t="shared" si="262"/>
        <v>Usaquén</v>
      </c>
      <c r="O592" s="20" t="str">
        <f t="shared" si="263"/>
        <v>NO</v>
      </c>
      <c r="P592" s="20" t="str">
        <f t="shared" si="264"/>
        <v>No aplica</v>
      </c>
      <c r="Q592" s="20">
        <f t="shared" si="265"/>
        <v>1</v>
      </c>
      <c r="R592" s="20">
        <f t="shared" si="266"/>
        <v>1</v>
      </c>
      <c r="S592" s="20" t="str">
        <f t="shared" si="267"/>
        <v xml:space="preserve"> ABC del Plan Distrital de Desarrollo, Devolución PDD fase IV, Acuerdo 927  </v>
      </c>
      <c r="T592" s="20">
        <f t="shared" si="268"/>
        <v>1</v>
      </c>
      <c r="U592" s="20" t="str">
        <f t="shared" ca="1" si="269"/>
        <v>Realizada</v>
      </c>
    </row>
    <row r="593" spans="1:21" ht="37.5">
      <c r="A593" s="20">
        <v>742</v>
      </c>
      <c r="B593" s="20" t="str">
        <f t="shared" si="250"/>
        <v>Mesa de Seguimiento Ágora Metropolitana RMBC</v>
      </c>
      <c r="C593" s="21">
        <f t="shared" si="251"/>
        <v>45490</v>
      </c>
      <c r="D593" s="20" t="str">
        <f t="shared" si="252"/>
        <v>OPDC</v>
      </c>
      <c r="E593" s="20" t="str">
        <f t="shared" si="253"/>
        <v>NO</v>
      </c>
      <c r="F593" s="20" t="str">
        <f t="shared" si="254"/>
        <v>Reglamentación de Ágora Metropolitana</v>
      </c>
      <c r="G593" s="20" t="str">
        <f t="shared" si="255"/>
        <v>Presencial</v>
      </c>
      <c r="H593" s="20" t="str">
        <f t="shared" si="256"/>
        <v>Reglamentacion Ágora Metropolitana</v>
      </c>
      <c r="I593" s="20" t="str">
        <f t="shared" si="257"/>
        <v>Mecanismo de Seguimiento y Evaluación</v>
      </c>
      <c r="J593" s="20" t="str">
        <f t="shared" si="258"/>
        <v>Público</v>
      </c>
      <c r="K593" s="20" t="str">
        <f t="shared" si="259"/>
        <v>Servidores públicos (Distrital)</v>
      </c>
      <c r="L593" s="20" t="str">
        <f t="shared" si="260"/>
        <v>Distrital</v>
      </c>
      <c r="M593" s="20" t="str">
        <f t="shared" si="261"/>
        <v>Distrital</v>
      </c>
      <c r="N593" s="20" t="str">
        <f t="shared" si="262"/>
        <v>Distrital</v>
      </c>
      <c r="O593" s="20" t="str">
        <f t="shared" si="263"/>
        <v>NO</v>
      </c>
      <c r="P593" s="20" t="str">
        <f t="shared" si="264"/>
        <v>No aplica</v>
      </c>
      <c r="Q593" s="20">
        <f t="shared" si="265"/>
        <v>5</v>
      </c>
      <c r="R593" s="20">
        <f t="shared" si="266"/>
        <v>8</v>
      </c>
      <c r="S593" s="20" t="str">
        <f t="shared" si="267"/>
        <v>Reglamentacion Agora Metropolitana</v>
      </c>
      <c r="T593" s="20">
        <f t="shared" si="268"/>
        <v>1</v>
      </c>
      <c r="U593" s="20" t="str">
        <f t="shared" ca="1" si="269"/>
        <v>Realizada</v>
      </c>
    </row>
    <row r="594" spans="1:21" ht="49.5">
      <c r="A594" s="20">
        <v>743</v>
      </c>
      <c r="B594" s="20" t="str">
        <f t="shared" si="250"/>
        <v xml:space="preserve">CLIP Kennedy </v>
      </c>
      <c r="C594" s="21">
        <f t="shared" si="251"/>
        <v>45490</v>
      </c>
      <c r="D594" s="20" t="str">
        <f t="shared" si="252"/>
        <v>INSTANCIAS</v>
      </c>
      <c r="E594" s="20" t="str">
        <f t="shared" si="253"/>
        <v>NO</v>
      </c>
      <c r="F594" s="20" t="str">
        <f t="shared" si="254"/>
        <v>CLIP (Comisión Local Intersectorial de Participación)</v>
      </c>
      <c r="G594" s="20" t="str">
        <f t="shared" si="255"/>
        <v>Presencial</v>
      </c>
      <c r="H594" s="20" t="str">
        <f t="shared" si="256"/>
        <v>Acompañar la sesión de la CLIP, para la articulación de los esfuerzos institucionales de participación en la localidad de Kennedy.</v>
      </c>
      <c r="I594" s="20" t="str">
        <f t="shared" si="257"/>
        <v>Mecanismo de Seguimiento y Evaluación</v>
      </c>
      <c r="J594" s="20" t="str">
        <f t="shared" si="258"/>
        <v>Público</v>
      </c>
      <c r="K594" s="20" t="str">
        <f t="shared" si="259"/>
        <v>CLIP</v>
      </c>
      <c r="L594" s="20" t="str">
        <f t="shared" si="260"/>
        <v>Kennedy</v>
      </c>
      <c r="M594" s="20" t="str">
        <f t="shared" si="261"/>
        <v>Suroccidente</v>
      </c>
      <c r="N594" s="20" t="str">
        <f t="shared" si="262"/>
        <v>Kennedy</v>
      </c>
      <c r="O594" s="20" t="str">
        <f t="shared" si="263"/>
        <v>NO</v>
      </c>
      <c r="P594" s="20" t="str">
        <f t="shared" si="264"/>
        <v>No aplica</v>
      </c>
      <c r="Q594" s="20">
        <f t="shared" si="265"/>
        <v>14</v>
      </c>
      <c r="R594" s="20">
        <f t="shared" si="266"/>
        <v>1</v>
      </c>
      <c r="S594" s="20" t="str">
        <f t="shared" si="267"/>
        <v>Mesas de concertación, cronograma, instalación y cierre; fase final del PDL.</v>
      </c>
      <c r="T594" s="20">
        <f t="shared" si="268"/>
        <v>1</v>
      </c>
      <c r="U594" s="20" t="str">
        <f t="shared" ca="1" si="269"/>
        <v>Realizada</v>
      </c>
    </row>
    <row r="595" spans="1:21" ht="49.5">
      <c r="A595" s="20">
        <v>745</v>
      </c>
      <c r="B595" s="20" t="str">
        <f t="shared" si="250"/>
        <v>Gestión: Reunión preparatoria cartografia social AF Comunidad Negra Afrocolombiana</v>
      </c>
      <c r="C595" s="21">
        <f t="shared" si="251"/>
        <v>45490</v>
      </c>
      <c r="D595" s="20" t="str">
        <f t="shared" si="252"/>
        <v>OPDC</v>
      </c>
      <c r="E595" s="20" t="str">
        <f t="shared" si="253"/>
        <v>NO</v>
      </c>
      <c r="F595" s="20" t="str">
        <f t="shared" si="254"/>
        <v>Políticas Públicas</v>
      </c>
      <c r="G595" s="20" t="str">
        <f t="shared" si="255"/>
        <v>Presencial</v>
      </c>
      <c r="H595" s="20" t="str">
        <f t="shared" si="256"/>
        <v xml:space="preserve">Reunión preparatoria para la metodología de la actividad de cartografía social con comunidad negra afrocolombiana </v>
      </c>
      <c r="I595" s="20" t="str">
        <f t="shared" si="257"/>
        <v>Gestión Institucional</v>
      </c>
      <c r="J595" s="20" t="str">
        <f t="shared" si="258"/>
        <v>Público</v>
      </c>
      <c r="K595" s="20" t="str">
        <f t="shared" si="259"/>
        <v>Servidores públicos (Distrital)</v>
      </c>
      <c r="L595" s="20" t="str">
        <f t="shared" si="260"/>
        <v>Distrital</v>
      </c>
      <c r="M595" s="20" t="str">
        <f t="shared" si="261"/>
        <v>Distrital</v>
      </c>
      <c r="N595" s="20" t="str">
        <f t="shared" si="262"/>
        <v>Distrital</v>
      </c>
      <c r="O595" s="20" t="str">
        <f t="shared" si="263"/>
        <v>NO</v>
      </c>
      <c r="P595" s="20" t="str">
        <f t="shared" si="264"/>
        <v>No aplica</v>
      </c>
      <c r="Q595" s="20">
        <f t="shared" si="265"/>
        <v>0</v>
      </c>
      <c r="R595" s="20">
        <f t="shared" si="266"/>
        <v>6</v>
      </c>
      <c r="S595" s="20" t="str">
        <f t="shared" si="267"/>
        <v xml:space="preserve">Acciones afirmativas; cartografía social; PIPs </v>
      </c>
      <c r="T595" s="20">
        <f t="shared" si="268"/>
        <v>1</v>
      </c>
      <c r="U595" s="20" t="str">
        <f t="shared" ca="1" si="269"/>
        <v>Realizada</v>
      </c>
    </row>
    <row r="596" spans="1:21" ht="61.5">
      <c r="A596" s="20">
        <v>746</v>
      </c>
      <c r="B596" s="20" t="str">
        <f t="shared" si="250"/>
        <v>Gestión con actores estrategicos - UPL El Edén</v>
      </c>
      <c r="C596" s="21">
        <f t="shared" si="251"/>
        <v>45490</v>
      </c>
      <c r="D596" s="20" t="str">
        <f t="shared" si="252"/>
        <v>OPDC</v>
      </c>
      <c r="E596" s="20" t="str">
        <f t="shared" si="253"/>
        <v>NO</v>
      </c>
      <c r="F596" s="20" t="str">
        <f t="shared" si="254"/>
        <v>Gestión en Territorio</v>
      </c>
      <c r="G596" s="20" t="str">
        <f t="shared" si="255"/>
        <v>Presencial</v>
      </c>
      <c r="H596" s="20" t="str">
        <f t="shared" si="256"/>
        <v>Fortalecer las relaciones con los actores estratégicos del territorio para articular los procesos de participación.UPL El Edén</v>
      </c>
      <c r="I596" s="20" t="str">
        <f t="shared" si="257"/>
        <v>Mecanismo de Fortalecimiento Ciudadano para la Planeación Participativa</v>
      </c>
      <c r="J596" s="20" t="str">
        <f t="shared" si="258"/>
        <v>Comunitario</v>
      </c>
      <c r="K596" s="20" t="str">
        <f t="shared" si="259"/>
        <v>ASOJUNTAS - JAC</v>
      </c>
      <c r="L596" s="20" t="str">
        <f t="shared" si="260"/>
        <v>Kennedy</v>
      </c>
      <c r="M596" s="20" t="str">
        <f t="shared" si="261"/>
        <v>Suroccidente</v>
      </c>
      <c r="N596" s="20" t="str">
        <f t="shared" si="262"/>
        <v>Edén</v>
      </c>
      <c r="O596" s="20" t="str">
        <f t="shared" si="263"/>
        <v>NO</v>
      </c>
      <c r="P596" s="20" t="str">
        <f t="shared" si="264"/>
        <v>No aplica</v>
      </c>
      <c r="Q596" s="20">
        <f t="shared" si="265"/>
        <v>7</v>
      </c>
      <c r="R596" s="20">
        <f t="shared" si="266"/>
        <v>1</v>
      </c>
      <c r="S596" s="20" t="str">
        <f t="shared" si="267"/>
        <v>Plan Distrital de Desarrollo, Proyectos Integrales de Proximidad y Sistema de Participación Territorial</v>
      </c>
      <c r="T596" s="20">
        <f t="shared" si="268"/>
        <v>1</v>
      </c>
      <c r="U596" s="20" t="str">
        <f t="shared" ca="1" si="269"/>
        <v>Realizada</v>
      </c>
    </row>
    <row r="597" spans="1:21" ht="61.5">
      <c r="A597" s="20">
        <v>748</v>
      </c>
      <c r="B597" s="20" t="str">
        <f t="shared" si="250"/>
        <v>Activación de Actores estratégicos CPL Santafe</v>
      </c>
      <c r="C597" s="21">
        <f t="shared" si="251"/>
        <v>45491</v>
      </c>
      <c r="D597" s="20" t="str">
        <f t="shared" si="252"/>
        <v>OPDC</v>
      </c>
      <c r="E597" s="20" t="str">
        <f t="shared" si="253"/>
        <v>NO</v>
      </c>
      <c r="F597" s="20" t="str">
        <f t="shared" si="254"/>
        <v>Gestión en Territorio</v>
      </c>
      <c r="G597" s="20" t="str">
        <f t="shared" si="255"/>
        <v>Presencial</v>
      </c>
      <c r="H597" s="20" t="str">
        <f t="shared" si="256"/>
        <v>Activación de actores estratégicos, socializar las próximas actividades de participación</v>
      </c>
      <c r="I597" s="20" t="str">
        <f t="shared" si="257"/>
        <v>Mecanismo de Fortalecimiento Ciudadano para la Planeación Participativa</v>
      </c>
      <c r="J597" s="20" t="str">
        <f t="shared" si="258"/>
        <v>Comunitario</v>
      </c>
      <c r="K597" s="20" t="str">
        <f t="shared" si="259"/>
        <v>CPL</v>
      </c>
      <c r="L597" s="20" t="str">
        <f t="shared" si="260"/>
        <v>Santa Fe</v>
      </c>
      <c r="M597" s="20" t="str">
        <f t="shared" si="261"/>
        <v>Centro Ampliado</v>
      </c>
      <c r="N597" s="20" t="str">
        <f t="shared" si="262"/>
        <v>Centro Histórico</v>
      </c>
      <c r="O597" s="20" t="str">
        <f t="shared" si="263"/>
        <v>NO</v>
      </c>
      <c r="P597" s="20" t="str">
        <f t="shared" si="264"/>
        <v>No aplica</v>
      </c>
      <c r="Q597" s="20">
        <f t="shared" si="265"/>
        <v>4</v>
      </c>
      <c r="R597" s="20">
        <f t="shared" si="266"/>
        <v>1</v>
      </c>
      <c r="S597" s="20" t="str">
        <f t="shared" si="267"/>
        <v>Activación de actores estratégicos, invitación a las devoluciones del PDD y comentarios sobre PIP</v>
      </c>
      <c r="T597" s="20">
        <f t="shared" si="268"/>
        <v>1</v>
      </c>
      <c r="U597" s="20" t="str">
        <f t="shared" ca="1" si="269"/>
        <v>Realizada</v>
      </c>
    </row>
    <row r="598" spans="1:21" ht="49.5">
      <c r="A598" s="20">
        <v>750</v>
      </c>
      <c r="B598" s="20" t="str">
        <f t="shared" ref="B598:B629" si="270">IFERROR(VLOOKUP(A598,DATA_MATRIZ,2,FALSE),"")</f>
        <v xml:space="preserve">Gestión: reunión intersectorial productos Políticas Públicas Étnicas </v>
      </c>
      <c r="C598" s="21">
        <f t="shared" ref="C598:C626" si="271">IFERROR(VLOOKUP(A598,DATA_MATRIZ,3,FALSE),"")</f>
        <v>45491</v>
      </c>
      <c r="D598" s="20" t="str">
        <f t="shared" ref="D598:D626" si="272">IFERROR(VLOOKUP(A598,DATA_MATRIZ,5,FALSE),"")</f>
        <v>OPDC</v>
      </c>
      <c r="E598" s="20" t="str">
        <f t="shared" ref="E598:E626" si="273">IFERROR(VLOOKUP(A598,DATA_MATRIZ,9,FALSE),"")</f>
        <v>NO</v>
      </c>
      <c r="F598" s="20" t="str">
        <f t="shared" ref="F598:F626" si="274">IFERROR(VLOOKUP(A598,DATA_MATRIZ,10,FALSE),"")</f>
        <v>Políticas Públicas</v>
      </c>
      <c r="G598" s="20" t="str">
        <f t="shared" ref="G598:G626" si="275">IFERROR(VLOOKUP(A598,DATA_MATRIZ,11,FALSE),"")</f>
        <v>Virtual</v>
      </c>
      <c r="H598" s="20" t="str">
        <f t="shared" ref="H598:H626" si="276">IFERROR(VLOOKUP(A598,DATA_MATRIZ,12,FALSE),"")</f>
        <v xml:space="preserve">Reunión preparatoria con la Dirección de Asuntos Étnicos sobre los productos de las políticas públicas étnicas a definir con las consultivas distritales </v>
      </c>
      <c r="I598" s="20" t="str">
        <f t="shared" ref="I598:I626" si="277">IFERROR(VLOOKUP(A598,DATA_MATRIZ,13,FALSE),"")</f>
        <v>Mecanismo de Seguimiento y Evaluación</v>
      </c>
      <c r="J598" s="20" t="str">
        <f t="shared" ref="J598:J626" si="278">IFERROR(VLOOKUP(A598,DATA_MATRIZ,41,FALSE),"")</f>
        <v>Público</v>
      </c>
      <c r="K598" s="20" t="str">
        <f t="shared" ref="K598:K626" si="279">IFERROR(VLOOKUP(A598,DATA_MATRIZ,42,FALSE),"")</f>
        <v>Servidores públicos (Distrital)</v>
      </c>
      <c r="L598" s="20" t="str">
        <f t="shared" ref="L598:L626" si="280">IFERROR(VLOOKUP(A598,DATA_MATRIZ,46,FALSE),"")</f>
        <v>Distrital</v>
      </c>
      <c r="M598" s="20" t="str">
        <f t="shared" ref="M598:M626" si="281">IFERROR(VLOOKUP(A598,DATA_MATRIZ,53,FALSE),"")</f>
        <v>Distrital</v>
      </c>
      <c r="N598" s="20" t="str">
        <f t="shared" ref="N598:N626" si="282">IFERROR(VLOOKUP(A598,DATA_MATRIZ,60,FALSE),"")</f>
        <v>Distrital</v>
      </c>
      <c r="O598" s="20" t="str">
        <f t="shared" ref="O598:O626" si="283">IFERROR(VLOOKUP(A598,DATA_MATRIZ,75,FALSE),"")</f>
        <v>NO</v>
      </c>
      <c r="P598" s="20" t="str">
        <f t="shared" ref="P598:P626" si="284">IFERROR(VLOOKUP(A598,DATA_MATRIZ,76,FALSE),"")</f>
        <v>No aplica</v>
      </c>
      <c r="Q598" s="20">
        <f t="shared" ref="Q598:Q626" si="285">IFERROR(VLOOKUP(A598,DATA_MATRIZ,78,FALSE),"")</f>
        <v>5</v>
      </c>
      <c r="R598" s="20">
        <f t="shared" ref="R598:R626" si="286">IFERROR(VLOOKUP(A598,DATA_MATRIZ,79,FALSE),"")</f>
        <v>4</v>
      </c>
      <c r="S598" s="20" t="str">
        <f t="shared" ref="S598:S626" si="287">IFERROR(VLOOKUP(A598,DATA_MATRIZ,85,FALSE),"")</f>
        <v>Concertación de lineamientos para la definición de los productos de Políticas Públicas Étnicas</v>
      </c>
      <c r="T598" s="20">
        <f t="shared" ref="T598:T609" si="288">COUNTA(A598)</f>
        <v>1</v>
      </c>
      <c r="U598" s="20" t="str">
        <f t="shared" ref="U598:U609" ca="1" si="289">IF(C598="", "Indefinida", (IF(C598&lt;TODAY(),"Realizada","Proyectada")))</f>
        <v>Realizada</v>
      </c>
    </row>
    <row r="599" spans="1:21" ht="61.5">
      <c r="A599" s="20">
        <v>751</v>
      </c>
      <c r="B599" s="20" t="str">
        <f t="shared" si="270"/>
        <v>Sesión Ordinaria Plenaria - CTPD</v>
      </c>
      <c r="C599" s="21">
        <f t="shared" si="271"/>
        <v>45491</v>
      </c>
      <c r="D599" s="20" t="str">
        <f t="shared" si="272"/>
        <v>INSTANCIAS</v>
      </c>
      <c r="E599" s="20" t="str">
        <f t="shared" si="273"/>
        <v>NO</v>
      </c>
      <c r="F599" s="20" t="str">
        <f t="shared" si="274"/>
        <v>CTPD (Consejo Territorial de Planeación Distrital)</v>
      </c>
      <c r="G599" s="20" t="str">
        <f t="shared" si="275"/>
        <v>Virtual</v>
      </c>
      <c r="H599" s="20" t="str">
        <f t="shared" si="276"/>
        <v xml:space="preserve">Realizar el acompañamiento como Secretaría Técnica a la sesión ordinaria de la Plenaria del CTPD de acuerdo al orden del día.  </v>
      </c>
      <c r="I599" s="20" t="str">
        <f t="shared" si="277"/>
        <v>Mecanismo de Seguimiento y Evaluación</v>
      </c>
      <c r="J599" s="20" t="str">
        <f t="shared" si="278"/>
        <v>Comunitario</v>
      </c>
      <c r="K599" s="20" t="str">
        <f t="shared" si="279"/>
        <v>CTPD</v>
      </c>
      <c r="L599" s="20" t="str">
        <f t="shared" si="280"/>
        <v>Distrital</v>
      </c>
      <c r="M599" s="20" t="str">
        <f t="shared" si="281"/>
        <v>Distrital</v>
      </c>
      <c r="N599" s="20" t="str">
        <f t="shared" si="282"/>
        <v>Distrital</v>
      </c>
      <c r="O599" s="20" t="str">
        <f t="shared" si="283"/>
        <v>NO</v>
      </c>
      <c r="P599" s="20" t="str">
        <f t="shared" si="284"/>
        <v>No aplica</v>
      </c>
      <c r="Q599" s="20">
        <f t="shared" si="285"/>
        <v>74</v>
      </c>
      <c r="R599" s="20">
        <f t="shared" si="286"/>
        <v>1</v>
      </c>
      <c r="S599" s="20" t="str">
        <f t="shared" si="287"/>
        <v xml:space="preserve">Se dio inició al orden del día y se abordaron dos temas, el de inasistencias de los y las consejeras a las plenarias del CTPD y el tema de las recargas de datos a los consejeros. Se declara Plenaria Permanente. </v>
      </c>
      <c r="T599" s="20">
        <f t="shared" si="288"/>
        <v>1</v>
      </c>
      <c r="U599" s="20" t="str">
        <f t="shared" ca="1" si="289"/>
        <v>Realizada</v>
      </c>
    </row>
    <row r="600" spans="1:21" ht="61.5">
      <c r="A600" s="20">
        <v>752</v>
      </c>
      <c r="B600" s="20" t="str">
        <f t="shared" si="270"/>
        <v xml:space="preserve"> Gestión con Actores Estratégicos- UPL Niza </v>
      </c>
      <c r="C600" s="21">
        <f t="shared" si="271"/>
        <v>45491</v>
      </c>
      <c r="D600" s="20" t="str">
        <f t="shared" si="272"/>
        <v>OPDC</v>
      </c>
      <c r="E600" s="20" t="str">
        <f t="shared" si="273"/>
        <v>NO</v>
      </c>
      <c r="F600" s="20" t="str">
        <f t="shared" si="274"/>
        <v>Gestión en Territorio</v>
      </c>
      <c r="G600" s="20" t="str">
        <f t="shared" si="275"/>
        <v>Presencial</v>
      </c>
      <c r="H600" s="20" t="str">
        <f t="shared" si="276"/>
        <v>Fortalecer las relaciones con los actores estratégicos del territorio para articular los procesos de participación en la UPL Niza</v>
      </c>
      <c r="I600" s="20" t="str">
        <f t="shared" si="277"/>
        <v>Mecanismo de Fortalecimiento Ciudadano para la Planeación Participativa</v>
      </c>
      <c r="J600" s="20" t="str">
        <f t="shared" si="278"/>
        <v>Comunitario</v>
      </c>
      <c r="K600" s="20" t="str">
        <f t="shared" si="279"/>
        <v>ASOJUNTAS - JAC</v>
      </c>
      <c r="L600" s="20" t="str">
        <f t="shared" si="280"/>
        <v>Suba</v>
      </c>
      <c r="M600" s="20" t="str">
        <f t="shared" si="281"/>
        <v>Norte</v>
      </c>
      <c r="N600" s="20" t="str">
        <f t="shared" si="282"/>
        <v>Niza</v>
      </c>
      <c r="O600" s="20" t="str">
        <f t="shared" si="283"/>
        <v>NO</v>
      </c>
      <c r="P600" s="20" t="str">
        <f t="shared" si="284"/>
        <v>No aplica</v>
      </c>
      <c r="Q600" s="20">
        <f t="shared" si="285"/>
        <v>25</v>
      </c>
      <c r="R600" s="20">
        <f t="shared" si="286"/>
        <v>1</v>
      </c>
      <c r="S600" s="20" t="str">
        <f t="shared" si="287"/>
        <v>Sensibilización Plan de Desarrollo Distrital y conformación comité ciudadano SPT</v>
      </c>
      <c r="T600" s="20">
        <f t="shared" si="288"/>
        <v>1</v>
      </c>
      <c r="U600" s="20" t="str">
        <f t="shared" ca="1" si="289"/>
        <v>Realizada</v>
      </c>
    </row>
    <row r="601" spans="1:21" ht="61.5">
      <c r="A601" s="20">
        <v>753</v>
      </c>
      <c r="B601" s="20" t="str">
        <f t="shared" si="270"/>
        <v>Gestión con Actores Estratégicos - UPL Tabora - CPL Sector Ambiente</v>
      </c>
      <c r="C601" s="21">
        <f t="shared" si="271"/>
        <v>45491</v>
      </c>
      <c r="D601" s="20" t="str">
        <f t="shared" si="272"/>
        <v>OPDC</v>
      </c>
      <c r="E601" s="20" t="str">
        <f t="shared" si="273"/>
        <v>NO</v>
      </c>
      <c r="F601" s="20" t="str">
        <f t="shared" si="274"/>
        <v>Gestión en Territorio</v>
      </c>
      <c r="G601" s="20" t="str">
        <f t="shared" si="275"/>
        <v>Presencial</v>
      </c>
      <c r="H601" s="20" t="str">
        <f t="shared" si="276"/>
        <v>Fortalecer las relaciones con los actores estratégicos del territorio para articular los procesos de participación con el CPL Engativá, sector ambiente</v>
      </c>
      <c r="I601" s="20" t="str">
        <f t="shared" si="277"/>
        <v>Mecanismo de Fortalecimiento Ciudadano para la Planeación Participativa</v>
      </c>
      <c r="J601" s="20" t="str">
        <f t="shared" si="278"/>
        <v>Comunitario</v>
      </c>
      <c r="K601" s="20" t="str">
        <f t="shared" si="279"/>
        <v>CPL</v>
      </c>
      <c r="L601" s="20" t="str">
        <f t="shared" si="280"/>
        <v>Engativá</v>
      </c>
      <c r="M601" s="20" t="str">
        <f t="shared" si="281"/>
        <v>Occidente</v>
      </c>
      <c r="N601" s="20" t="str">
        <f t="shared" si="282"/>
        <v>Engativá</v>
      </c>
      <c r="O601" s="20" t="str">
        <f t="shared" si="283"/>
        <v>NO</v>
      </c>
      <c r="P601" s="20" t="str">
        <f t="shared" si="284"/>
        <v>No aplica</v>
      </c>
      <c r="Q601" s="20">
        <f t="shared" si="285"/>
        <v>8</v>
      </c>
      <c r="R601" s="20">
        <f t="shared" si="286"/>
        <v>1</v>
      </c>
      <c r="S601" s="20" t="str">
        <f t="shared" si="287"/>
        <v>Socialización ABC Plan Distrital de Desarrollo, específicamente las 37 metas producto del sector ambiente incluidas en PDD</v>
      </c>
      <c r="T601" s="20">
        <f t="shared" si="288"/>
        <v>1</v>
      </c>
      <c r="U601" s="20" t="str">
        <f t="shared" ca="1" si="289"/>
        <v>Realizada</v>
      </c>
    </row>
    <row r="602" spans="1:21" ht="74.25">
      <c r="A602" s="20">
        <v>755</v>
      </c>
      <c r="B602" s="20" t="str">
        <f t="shared" si="270"/>
        <v xml:space="preserve">Activación actores estratégicos: JAL Ciudad Bolívar (UPL Lucero, Arborizadora y Cuenca Tunjuelo) </v>
      </c>
      <c r="C602" s="21">
        <f t="shared" si="271"/>
        <v>45492</v>
      </c>
      <c r="D602" s="20" t="str">
        <f t="shared" si="272"/>
        <v>OPDC</v>
      </c>
      <c r="E602" s="20" t="str">
        <f t="shared" si="273"/>
        <v>NO</v>
      </c>
      <c r="F602" s="20" t="str">
        <f t="shared" si="274"/>
        <v>Gestión en Territorio</v>
      </c>
      <c r="G602" s="20" t="str">
        <f t="shared" si="275"/>
        <v>Presencial</v>
      </c>
      <c r="H602" s="20" t="str">
        <f t="shared" si="276"/>
        <v xml:space="preserve">Fortalecer las relaciones con los actores estratégicos del territorio para articular los procesos de participación y realizar pedagogía sobre el Plan Distrital de Desarrollo y demás instrumentos liderados por la SDP. </v>
      </c>
      <c r="I602" s="20" t="str">
        <f t="shared" si="277"/>
        <v>Mecanismo de Fortalecimiento Ciudadano para la Planeación Participativa</v>
      </c>
      <c r="J602" s="20" t="str">
        <f t="shared" si="278"/>
        <v>Público</v>
      </c>
      <c r="K602" s="20" t="str">
        <f t="shared" si="279"/>
        <v>JAL</v>
      </c>
      <c r="L602" s="20" t="str">
        <f t="shared" si="280"/>
        <v>Ciudad Bolívar</v>
      </c>
      <c r="M602" s="20" t="str">
        <f t="shared" si="281"/>
        <v>Suroriente</v>
      </c>
      <c r="N602" s="20" t="str">
        <f t="shared" si="282"/>
        <v>Lucero, Arborizadora, Cuenca del Tunjuelo</v>
      </c>
      <c r="O602" s="20" t="str">
        <f t="shared" si="283"/>
        <v>NO</v>
      </c>
      <c r="P602" s="20" t="str">
        <f t="shared" si="284"/>
        <v>No aplica</v>
      </c>
      <c r="Q602" s="20">
        <f t="shared" si="285"/>
        <v>12</v>
      </c>
      <c r="R602" s="20">
        <f t="shared" si="286"/>
        <v>3</v>
      </c>
      <c r="S602" s="20" t="str">
        <f t="shared" si="287"/>
        <v>Se hace la reactivación de actores con los ediles integrantes de la JAL de Ciudad Bolivar, quienes manifestaron su molestia frente a la construcción del Plan de Desarrollo Local</v>
      </c>
      <c r="T602" s="20">
        <f t="shared" si="288"/>
        <v>1</v>
      </c>
      <c r="U602" s="20" t="str">
        <f t="shared" ca="1" si="289"/>
        <v>Realizada</v>
      </c>
    </row>
    <row r="603" spans="1:21" ht="61.5">
      <c r="A603" s="20">
        <v>757</v>
      </c>
      <c r="B603" s="20" t="str">
        <f t="shared" si="270"/>
        <v>Activación de actores - Corporación Nativos de Colombia</v>
      </c>
      <c r="C603" s="21">
        <f t="shared" si="271"/>
        <v>45494</v>
      </c>
      <c r="D603" s="20" t="str">
        <f t="shared" si="272"/>
        <v>OPDC</v>
      </c>
      <c r="E603" s="20" t="str">
        <f t="shared" si="273"/>
        <v>NO</v>
      </c>
      <c r="F603" s="20" t="str">
        <f t="shared" si="274"/>
        <v>Gestión en Territorio</v>
      </c>
      <c r="G603" s="20" t="str">
        <f t="shared" si="275"/>
        <v>Presencial</v>
      </c>
      <c r="H603" s="20" t="str">
        <f t="shared" si="276"/>
        <v xml:space="preserve">
Socializar el Plan de Desarrollo Distrital, su ABC y convocar a devolución la zona centro ampliado.</v>
      </c>
      <c r="I603" s="20" t="str">
        <f t="shared" si="277"/>
        <v>Mecanismo de Fortalecimiento Ciudadano para la Planeación Participativa</v>
      </c>
      <c r="J603" s="20" t="str">
        <f t="shared" si="278"/>
        <v>Comunitario</v>
      </c>
      <c r="K603" s="20" t="str">
        <f t="shared" si="279"/>
        <v>Organización o veeduría ciudadana</v>
      </c>
      <c r="L603" s="20" t="str">
        <f t="shared" si="280"/>
        <v>Barrios Unidos</v>
      </c>
      <c r="M603" s="20" t="str">
        <f t="shared" si="281"/>
        <v>Centro Ampliado</v>
      </c>
      <c r="N603" s="20" t="str">
        <f t="shared" si="282"/>
        <v>Barrios Unidos</v>
      </c>
      <c r="O603" s="20" t="str">
        <f t="shared" si="283"/>
        <v>NO</v>
      </c>
      <c r="P603" s="20" t="str">
        <f t="shared" si="284"/>
        <v>No aplica</v>
      </c>
      <c r="Q603" s="20">
        <f t="shared" si="285"/>
        <v>4</v>
      </c>
      <c r="R603" s="20">
        <f t="shared" si="286"/>
        <v>1</v>
      </c>
      <c r="S603" s="20" t="str">
        <f t="shared" si="287"/>
        <v>ABC del Plan de Desarrollo Distrital para fortalecer y articular procesos de participación con comunidades indígenas de la corporación Nativos Unidos de Colombia en Barrios Unidos</v>
      </c>
      <c r="T603" s="20">
        <f t="shared" si="288"/>
        <v>1</v>
      </c>
      <c r="U603" s="20" t="str">
        <f t="shared" ca="1" si="289"/>
        <v>Realizada</v>
      </c>
    </row>
    <row r="604" spans="1:21" ht="37.5">
      <c r="A604" s="20">
        <v>758</v>
      </c>
      <c r="B604" s="20" t="str">
        <f t="shared" si="270"/>
        <v xml:space="preserve"> Mesa de Seguimiento Ágora Metropolitana RMBC</v>
      </c>
      <c r="C604" s="21">
        <f t="shared" si="271"/>
        <v>45495</v>
      </c>
      <c r="D604" s="20" t="str">
        <f t="shared" si="272"/>
        <v>OPDC</v>
      </c>
      <c r="E604" s="20" t="str">
        <f t="shared" si="273"/>
        <v>NO</v>
      </c>
      <c r="F604" s="20" t="str">
        <f t="shared" si="274"/>
        <v>Reglamentación de Ágora Metropolitana</v>
      </c>
      <c r="G604" s="20" t="str">
        <f t="shared" si="275"/>
        <v>Presencial</v>
      </c>
      <c r="H604" s="20" t="str">
        <f t="shared" si="276"/>
        <v>Reglamentacion Ágora Metropolitana</v>
      </c>
      <c r="I604" s="20" t="str">
        <f t="shared" si="277"/>
        <v>Mecanismo de Seguimiento y Evaluación</v>
      </c>
      <c r="J604" s="20" t="str">
        <f t="shared" si="278"/>
        <v>Público</v>
      </c>
      <c r="K604" s="20" t="str">
        <f t="shared" si="279"/>
        <v>Servidores públicos (Distrital)</v>
      </c>
      <c r="L604" s="20" t="str">
        <f t="shared" si="280"/>
        <v>Distrital</v>
      </c>
      <c r="M604" s="20" t="str">
        <f t="shared" si="281"/>
        <v>Distrital</v>
      </c>
      <c r="N604" s="20" t="str">
        <f t="shared" si="282"/>
        <v>Distrital</v>
      </c>
      <c r="O604" s="20" t="str">
        <f t="shared" si="283"/>
        <v>NO</v>
      </c>
      <c r="P604" s="20" t="str">
        <f t="shared" si="284"/>
        <v>No aplica</v>
      </c>
      <c r="Q604" s="20">
        <f t="shared" si="285"/>
        <v>12</v>
      </c>
      <c r="R604" s="20">
        <f t="shared" si="286"/>
        <v>5</v>
      </c>
      <c r="S604" s="20" t="str">
        <f t="shared" si="287"/>
        <v>Reglamentación ágora metropolitana, objetivo, alcance, roles</v>
      </c>
      <c r="T604" s="20">
        <f t="shared" si="288"/>
        <v>1</v>
      </c>
      <c r="U604" s="20" t="str">
        <f t="shared" ca="1" si="289"/>
        <v>Realizada</v>
      </c>
    </row>
    <row r="605" spans="1:21" ht="37.5">
      <c r="A605" s="20">
        <v>759</v>
      </c>
      <c r="B605" s="20" t="str">
        <f t="shared" si="270"/>
        <v xml:space="preserve">Sesión JAL Tunjuelito </v>
      </c>
      <c r="C605" s="21">
        <f t="shared" si="271"/>
        <v>45495</v>
      </c>
      <c r="D605" s="20" t="str">
        <f t="shared" si="272"/>
        <v>OPDC</v>
      </c>
      <c r="E605" s="20" t="str">
        <f t="shared" si="273"/>
        <v>NO</v>
      </c>
      <c r="F605" s="20" t="str">
        <f t="shared" si="274"/>
        <v>Escenarios individuales</v>
      </c>
      <c r="G605" s="20" t="str">
        <f t="shared" si="275"/>
        <v>Virtual</v>
      </c>
      <c r="H605" s="20" t="str">
        <f t="shared" si="276"/>
        <v>Dar respuesta de una solicitud radicada por la corporación sobre el CONFIS 004 de 2024</v>
      </c>
      <c r="I605" s="20" t="str">
        <f t="shared" si="277"/>
        <v>Gestión Institucional</v>
      </c>
      <c r="J605" s="20" t="str">
        <f t="shared" si="278"/>
        <v>Multiactor</v>
      </c>
      <c r="K605" s="20">
        <f t="shared" si="279"/>
        <v>0</v>
      </c>
      <c r="L605" s="20" t="str">
        <f t="shared" si="280"/>
        <v>Tunjuelito</v>
      </c>
      <c r="M605" s="20" t="str">
        <f t="shared" si="281"/>
        <v>Suroriente</v>
      </c>
      <c r="N605" s="20" t="str">
        <f t="shared" si="282"/>
        <v>Tunjuelito</v>
      </c>
      <c r="O605" s="20" t="str">
        <f t="shared" si="283"/>
        <v>NO</v>
      </c>
      <c r="P605" s="20" t="str">
        <f t="shared" si="284"/>
        <v>No aplica</v>
      </c>
      <c r="Q605" s="20">
        <f t="shared" si="285"/>
        <v>11</v>
      </c>
      <c r="R605" s="20">
        <f t="shared" si="286"/>
        <v>1</v>
      </c>
      <c r="S605" s="20" t="str">
        <f t="shared" si="287"/>
        <v xml:space="preserve">Plan de Desarrollo Local; CONFIS 04 de 2024; Mesas de concertación locales </v>
      </c>
      <c r="T605" s="20">
        <f t="shared" si="288"/>
        <v>1</v>
      </c>
      <c r="U605" s="20" t="str">
        <f t="shared" ca="1" si="289"/>
        <v>Realizada</v>
      </c>
    </row>
    <row r="606" spans="1:21" ht="61.5">
      <c r="A606" s="20">
        <v>760</v>
      </c>
      <c r="B606" s="20" t="str">
        <f t="shared" si="270"/>
        <v>Activación de actores con el Comité de participación comunitaria en salud COPACOS Barrios Unidos</v>
      </c>
      <c r="C606" s="21">
        <f t="shared" si="271"/>
        <v>45495</v>
      </c>
      <c r="D606" s="20" t="str">
        <f t="shared" si="272"/>
        <v>OPDC</v>
      </c>
      <c r="E606" s="20" t="str">
        <f t="shared" si="273"/>
        <v>NO</v>
      </c>
      <c r="F606" s="20" t="str">
        <f t="shared" si="274"/>
        <v>Gestión en Territorio</v>
      </c>
      <c r="G606" s="20" t="str">
        <f t="shared" si="275"/>
        <v>Presencial</v>
      </c>
      <c r="H606" s="20" t="str">
        <f t="shared" si="276"/>
        <v>Activar nuevos actores de participación y socializar el Plan de Desarrollo Distrital, su ABC y convocar la devolución de la zona centro ampliado.</v>
      </c>
      <c r="I606" s="20" t="str">
        <f t="shared" si="277"/>
        <v>Mecanismo de Fortalecimiento Ciudadano para la Planeación Participativa</v>
      </c>
      <c r="J606" s="20" t="str">
        <f t="shared" si="278"/>
        <v>Multiactor</v>
      </c>
      <c r="K606" s="20">
        <f t="shared" si="279"/>
        <v>0</v>
      </c>
      <c r="L606" s="20" t="str">
        <f t="shared" si="280"/>
        <v>Barrios Unidos</v>
      </c>
      <c r="M606" s="20" t="str">
        <f t="shared" si="281"/>
        <v>Centro Ampliado</v>
      </c>
      <c r="N606" s="20" t="str">
        <f t="shared" si="282"/>
        <v>Barrios Unidos</v>
      </c>
      <c r="O606" s="20" t="str">
        <f t="shared" si="283"/>
        <v>NO</v>
      </c>
      <c r="P606" s="20" t="str">
        <f t="shared" si="284"/>
        <v>No aplica</v>
      </c>
      <c r="Q606" s="20">
        <f t="shared" si="285"/>
        <v>2</v>
      </c>
      <c r="R606" s="20">
        <f t="shared" si="286"/>
        <v>1</v>
      </c>
      <c r="S606" s="20" t="str">
        <f t="shared" si="287"/>
        <v>Activacion de nuevos actores de participación en Barrios Unidos</v>
      </c>
      <c r="T606" s="20">
        <f t="shared" si="288"/>
        <v>1</v>
      </c>
      <c r="U606" s="20" t="str">
        <f t="shared" ca="1" si="289"/>
        <v>Realizada</v>
      </c>
    </row>
    <row r="607" spans="1:21" ht="49.5">
      <c r="A607" s="20">
        <v>761</v>
      </c>
      <c r="B607" s="20" t="str">
        <f t="shared" si="270"/>
        <v>CLIP San Cristóbal</v>
      </c>
      <c r="C607" s="21">
        <f t="shared" si="271"/>
        <v>45495</v>
      </c>
      <c r="D607" s="20" t="str">
        <f t="shared" si="272"/>
        <v>INSTANCIAS</v>
      </c>
      <c r="E607" s="20" t="str">
        <f t="shared" si="273"/>
        <v>NO</v>
      </c>
      <c r="F607" s="20" t="str">
        <f t="shared" si="274"/>
        <v>CLIP (Comisión Local Intersectorial de Participación)</v>
      </c>
      <c r="G607" s="20" t="str">
        <f t="shared" si="275"/>
        <v>Virtual</v>
      </c>
      <c r="H607" s="20" t="str">
        <f t="shared" si="276"/>
        <v>Acompañar la sesión de la CLIP, para la articulación de los esfuerzos institucionales de participación en la localidad de San Cristóbal.</v>
      </c>
      <c r="I607" s="20" t="str">
        <f t="shared" si="277"/>
        <v>Mecanismo de Seguimiento y Evaluación</v>
      </c>
      <c r="J607" s="20" t="str">
        <f t="shared" si="278"/>
        <v>Público</v>
      </c>
      <c r="K607" s="20" t="str">
        <f t="shared" si="279"/>
        <v>CLIP</v>
      </c>
      <c r="L607" s="20" t="str">
        <f t="shared" si="280"/>
        <v>San Cristóbal</v>
      </c>
      <c r="M607" s="20" t="str">
        <f t="shared" si="281"/>
        <v>Suroriente</v>
      </c>
      <c r="N607" s="20" t="str">
        <f t="shared" si="282"/>
        <v>San Cristobal</v>
      </c>
      <c r="O607" s="20" t="str">
        <f t="shared" si="283"/>
        <v>NO</v>
      </c>
      <c r="P607" s="20" t="str">
        <f t="shared" si="284"/>
        <v>No aplica</v>
      </c>
      <c r="Q607" s="20">
        <f t="shared" si="285"/>
        <v>10</v>
      </c>
      <c r="R607" s="20">
        <f t="shared" si="286"/>
        <v>1</v>
      </c>
      <c r="S607" s="20" t="str">
        <f t="shared" si="287"/>
        <v>Inicio de las mesas de concertación y finalización de contratos de los trabajadores de las entidades distritales.</v>
      </c>
      <c r="T607" s="20">
        <f t="shared" si="288"/>
        <v>1</v>
      </c>
      <c r="U607" s="20" t="str">
        <f t="shared" ca="1" si="289"/>
        <v>Realizada</v>
      </c>
    </row>
    <row r="608" spans="1:21" ht="61.5">
      <c r="A608" s="20">
        <v>762</v>
      </c>
      <c r="B608" s="20" t="str">
        <f t="shared" si="270"/>
        <v xml:space="preserve">Gestión de actores: UPL Cerros Orientales - Sector Manantial </v>
      </c>
      <c r="C608" s="21">
        <f t="shared" si="271"/>
        <v>45495</v>
      </c>
      <c r="D608" s="20" t="str">
        <f t="shared" si="272"/>
        <v>OPDC</v>
      </c>
      <c r="E608" s="20" t="str">
        <f t="shared" si="273"/>
        <v>NO</v>
      </c>
      <c r="F608" s="20" t="str">
        <f t="shared" si="274"/>
        <v>Gestión en Territorio</v>
      </c>
      <c r="G608" s="20" t="str">
        <f t="shared" si="275"/>
        <v>Virtual</v>
      </c>
      <c r="H608" s="20" t="str">
        <f t="shared" si="276"/>
        <v xml:space="preserve">Fortalecer las relaciones con los actores estratégicos del territorio para articular los procesos de participación con el sector de Manantial y los Triángulos </v>
      </c>
      <c r="I608" s="20" t="str">
        <f t="shared" si="277"/>
        <v>Mecanismo de Fortalecimiento Ciudadano para la Planeación Participativa</v>
      </c>
      <c r="J608" s="20" t="str">
        <f t="shared" si="278"/>
        <v>Individual</v>
      </c>
      <c r="K608" s="20">
        <f t="shared" si="279"/>
        <v>0</v>
      </c>
      <c r="L608" s="20" t="str">
        <f t="shared" si="280"/>
        <v>San Cristóbal</v>
      </c>
      <c r="M608" s="20" t="str">
        <f t="shared" si="281"/>
        <v>Ruralidad</v>
      </c>
      <c r="N608" s="20" t="str">
        <f t="shared" si="282"/>
        <v>Cerros Orientales</v>
      </c>
      <c r="O608" s="20" t="str">
        <f t="shared" si="283"/>
        <v>NO</v>
      </c>
      <c r="P608" s="20" t="str">
        <f t="shared" si="284"/>
        <v>No aplica</v>
      </c>
      <c r="Q608" s="20">
        <f t="shared" si="285"/>
        <v>1</v>
      </c>
      <c r="R608" s="20">
        <f t="shared" si="286"/>
        <v>2</v>
      </c>
      <c r="S608" s="20" t="str">
        <f t="shared" si="287"/>
        <v xml:space="preserve">Plan Distrital de Desarrollo, Plan de Ordenamiento Territorial y Unidades de Planeamiento Local </v>
      </c>
      <c r="T608" s="20">
        <f t="shared" si="288"/>
        <v>1</v>
      </c>
      <c r="U608" s="20" t="str">
        <f t="shared" ca="1" si="289"/>
        <v>Realizada</v>
      </c>
    </row>
    <row r="609" spans="1:21" ht="49.5">
      <c r="A609" s="20">
        <v>763</v>
      </c>
      <c r="B609" s="20" t="str">
        <f t="shared" si="270"/>
        <v>Acción afirmativa Negra-afrocolombiana: Cartografía social Bosa</v>
      </c>
      <c r="C609" s="21">
        <f t="shared" si="271"/>
        <v>45495</v>
      </c>
      <c r="D609" s="20" t="str">
        <f t="shared" si="272"/>
        <v>OPDC</v>
      </c>
      <c r="E609" s="20" t="str">
        <f t="shared" si="273"/>
        <v>NO</v>
      </c>
      <c r="F609" s="20" t="str">
        <f t="shared" si="274"/>
        <v>Políticas Públicas</v>
      </c>
      <c r="G609" s="20" t="str">
        <f t="shared" si="275"/>
        <v>Presencial</v>
      </c>
      <c r="H609" s="20" t="str">
        <f t="shared" si="276"/>
        <v>Recorrido por puntos estratégicos a consideración de la comunidad en la Localidad de Bosa</v>
      </c>
      <c r="I609" s="20" t="str">
        <f t="shared" si="277"/>
        <v>Mecanismo de Comunicación para la Participación</v>
      </c>
      <c r="J609" s="20" t="str">
        <f t="shared" si="278"/>
        <v>Comunitario</v>
      </c>
      <c r="K609" s="20" t="str">
        <f t="shared" si="279"/>
        <v>Consejo Consultivo</v>
      </c>
      <c r="L609" s="20" t="str">
        <f t="shared" si="280"/>
        <v>Distrital</v>
      </c>
      <c r="M609" s="20" t="str">
        <f t="shared" si="281"/>
        <v>Distrital</v>
      </c>
      <c r="N609" s="20" t="str">
        <f t="shared" si="282"/>
        <v>Distrital</v>
      </c>
      <c r="O609" s="20" t="str">
        <f t="shared" si="283"/>
        <v>NO</v>
      </c>
      <c r="P609" s="20" t="str">
        <f t="shared" si="284"/>
        <v>No aplica</v>
      </c>
      <c r="Q609" s="20">
        <f t="shared" si="285"/>
        <v>21</v>
      </c>
      <c r="R609" s="20">
        <f t="shared" si="286"/>
        <v>11</v>
      </c>
      <c r="S609" s="20" t="str">
        <f t="shared" si="287"/>
        <v xml:space="preserve">Lineamientos metodológicos construcción PDL; apuestas territoriales de la DPL en la Localidad de Bosa. </v>
      </c>
      <c r="T609" s="20">
        <f t="shared" si="288"/>
        <v>1</v>
      </c>
      <c r="U609" s="20" t="str">
        <f t="shared" ca="1" si="289"/>
        <v>Realizada</v>
      </c>
    </row>
    <row r="610" spans="1:21" ht="74.25">
      <c r="A610" s="20">
        <v>764</v>
      </c>
      <c r="B610" s="20" t="str">
        <f t="shared" si="270"/>
        <v>Gestión: Temas Reservas POT UPL - Espacios de Participación</v>
      </c>
      <c r="C610" s="21">
        <f t="shared" si="271"/>
        <v>45495</v>
      </c>
      <c r="D610" s="20" t="str">
        <f t="shared" si="272"/>
        <v>OPDC</v>
      </c>
      <c r="E610" s="20" t="str">
        <f t="shared" si="273"/>
        <v>NO</v>
      </c>
      <c r="F610" s="20" t="str">
        <f t="shared" si="274"/>
        <v>Gestión del Plan Institucional de Participación Ciudadana</v>
      </c>
      <c r="G610" s="20" t="str">
        <f t="shared" si="275"/>
        <v>Presencial</v>
      </c>
      <c r="H610" s="20" t="str">
        <f t="shared" si="276"/>
        <v>Definir la ruta sobre la comunicación de las reservas generadas a través de POT y UPL, que tienen restricciones urbanísticas (art 379), de cara a los diferentes procesos con las comunidades.</v>
      </c>
      <c r="I610" s="20" t="str">
        <f t="shared" si="277"/>
        <v>Mecanismo de Seguimiento y Evaluación</v>
      </c>
      <c r="J610" s="20" t="str">
        <f t="shared" si="278"/>
        <v>Público</v>
      </c>
      <c r="K610" s="20" t="str">
        <f t="shared" si="279"/>
        <v>Servidores públicos (Distrital)</v>
      </c>
      <c r="L610" s="20" t="str">
        <f t="shared" si="280"/>
        <v>Distrital</v>
      </c>
      <c r="M610" s="20" t="str">
        <f t="shared" si="281"/>
        <v>Distrital</v>
      </c>
      <c r="N610" s="20" t="str">
        <f t="shared" si="282"/>
        <v>Distrital</v>
      </c>
      <c r="O610" s="20" t="str">
        <f t="shared" si="283"/>
        <v>NO</v>
      </c>
      <c r="P610" s="20" t="str">
        <f t="shared" si="284"/>
        <v>No aplica</v>
      </c>
      <c r="Q610" s="20">
        <f t="shared" si="285"/>
        <v>0</v>
      </c>
      <c r="R610" s="20">
        <f t="shared" si="286"/>
        <v>9</v>
      </c>
      <c r="S610" s="20" t="str">
        <f t="shared" si="287"/>
        <v xml:space="preserve">Definir la ruta sobre la comunicación de las reservas generadas a través de POT y UPL, que tienen restricciones urbanísticas (art 379), de cara a los diferentes procesos con las comunidades, Reservas urbanísticas, PIP, POT, UPL. </v>
      </c>
      <c r="T610" s="20">
        <f t="shared" ref="T610:T626" si="290">COUNTA(A610)</f>
        <v>1</v>
      </c>
      <c r="U610" s="20" t="str">
        <f t="shared" ref="U610:U626" ca="1" si="291">IF(C610="", "Indefinida", (IF(C610&lt;TODAY(),"Realizada","Proyectada")))</f>
        <v>Realizada</v>
      </c>
    </row>
    <row r="611" spans="1:21" ht="123">
      <c r="A611" s="20">
        <v>765</v>
      </c>
      <c r="B611" s="20" t="str">
        <f t="shared" si="270"/>
        <v>Plenaria permanente CTPD</v>
      </c>
      <c r="C611" s="21">
        <f t="shared" si="271"/>
        <v>45495</v>
      </c>
      <c r="D611" s="20" t="str">
        <f t="shared" si="272"/>
        <v>INSTANCIAS</v>
      </c>
      <c r="E611" s="20" t="str">
        <f t="shared" si="273"/>
        <v>NO</v>
      </c>
      <c r="F611" s="20" t="str">
        <f t="shared" si="274"/>
        <v>CTPD (Consejo Territorial de Planeación Distrital)</v>
      </c>
      <c r="G611" s="20" t="str">
        <f t="shared" si="275"/>
        <v>Virtual</v>
      </c>
      <c r="H611" s="20" t="str">
        <f t="shared" si="276"/>
        <v xml:space="preserve">Elección del consejero que falta en el comité de convivencia, Plan de acción con presupuesto por parte de la UNAD, Diplomado UNAD, Concertación fecha devolución PDD-SDP, Propuesta tema inasistencias, participación D.C Radio, Comunicado CTPD Lideresa Social Alba Rocío Riaño Nossa y varios.
</v>
      </c>
      <c r="I611" s="20" t="str">
        <f t="shared" si="277"/>
        <v>Mecanismo de Seguimiento y Evaluación</v>
      </c>
      <c r="J611" s="20" t="str">
        <f t="shared" si="278"/>
        <v>Comunitario</v>
      </c>
      <c r="K611" s="20" t="str">
        <f t="shared" si="279"/>
        <v>CTPD</v>
      </c>
      <c r="L611" s="20" t="str">
        <f t="shared" si="280"/>
        <v>Distrital</v>
      </c>
      <c r="M611" s="20" t="str">
        <f t="shared" si="281"/>
        <v>Distrital</v>
      </c>
      <c r="N611" s="20" t="str">
        <f t="shared" si="282"/>
        <v>Distrital</v>
      </c>
      <c r="O611" s="20" t="str">
        <f t="shared" si="283"/>
        <v>NO</v>
      </c>
      <c r="P611" s="20" t="str">
        <f t="shared" si="284"/>
        <v>No aplica</v>
      </c>
      <c r="Q611" s="20">
        <f t="shared" si="285"/>
        <v>76</v>
      </c>
      <c r="R611" s="20">
        <f t="shared" si="286"/>
        <v>2</v>
      </c>
      <c r="S611" s="20" t="str">
        <f t="shared" si="287"/>
        <v>Se realizó la elección de los representantes del Comité de Convivencia, la UNAD presentó el Plan de acción con presupuesto, se solicitó enviar a las consejeras y consejeros la matriz y contrato de bolsa logística, se realizará una carta de inconformidad con respecto a que los valores presentados (por ejemplo en el tema de las recargas), no corresponden a los verdaderos valores del mercado y se deben optimizar los recursos.</v>
      </c>
      <c r="T611" s="20">
        <f t="shared" si="290"/>
        <v>1</v>
      </c>
      <c r="U611" s="20" t="str">
        <f t="shared" ca="1" si="291"/>
        <v>Realizada</v>
      </c>
    </row>
    <row r="612" spans="1:21" ht="61.5">
      <c r="A612" s="20">
        <v>766</v>
      </c>
      <c r="B612" s="20" t="str">
        <f t="shared" si="270"/>
        <v xml:space="preserve">Gestión de actores estratégicos UPL Cerros orientales - Sector Altos de Serrezuela </v>
      </c>
      <c r="C612" s="21">
        <f t="shared" si="271"/>
        <v>45496</v>
      </c>
      <c r="D612" s="20" t="str">
        <f t="shared" si="272"/>
        <v>OPDC</v>
      </c>
      <c r="E612" s="20" t="str">
        <f t="shared" si="273"/>
        <v>NO</v>
      </c>
      <c r="F612" s="20" t="str">
        <f t="shared" si="274"/>
        <v>Gestión en Territorio</v>
      </c>
      <c r="G612" s="20" t="str">
        <f t="shared" si="275"/>
        <v>Virtual</v>
      </c>
      <c r="H612" s="20" t="str">
        <f t="shared" si="276"/>
        <v xml:space="preserve">Fortalecer las relaciones con los actores estratégicos del territorio para articular los procesos de participación con Altos de Serrezuela </v>
      </c>
      <c r="I612" s="20" t="str">
        <f t="shared" si="277"/>
        <v>Mecanismo de Fortalecimiento Ciudadano para la Planeación Participativa</v>
      </c>
      <c r="J612" s="20" t="str">
        <f t="shared" si="278"/>
        <v>Comunitario</v>
      </c>
      <c r="K612" s="20" t="str">
        <f t="shared" si="279"/>
        <v>ASOJUNTAS - JAC</v>
      </c>
      <c r="L612" s="20" t="str">
        <f t="shared" si="280"/>
        <v>Usaquén</v>
      </c>
      <c r="M612" s="20" t="str">
        <f t="shared" si="281"/>
        <v>Ruralidad</v>
      </c>
      <c r="N612" s="20" t="str">
        <f t="shared" si="282"/>
        <v>Cerros Orientales</v>
      </c>
      <c r="O612" s="20" t="str">
        <f t="shared" si="283"/>
        <v>NO</v>
      </c>
      <c r="P612" s="20" t="str">
        <f t="shared" si="284"/>
        <v>No aplica</v>
      </c>
      <c r="Q612" s="20">
        <f t="shared" si="285"/>
        <v>3</v>
      </c>
      <c r="R612" s="20">
        <f t="shared" si="286"/>
        <v>1</v>
      </c>
      <c r="S612" s="20" t="str">
        <f t="shared" si="287"/>
        <v xml:space="preserve">Plan Distrital de Desarrollo </v>
      </c>
      <c r="T612" s="20">
        <f t="shared" si="290"/>
        <v>1</v>
      </c>
      <c r="U612" s="20" t="str">
        <f t="shared" ca="1" si="291"/>
        <v>Realizada</v>
      </c>
    </row>
    <row r="613" spans="1:21" ht="61.5">
      <c r="A613" s="20">
        <v>767</v>
      </c>
      <c r="B613" s="20" t="str">
        <f t="shared" si="270"/>
        <v>Sesión Ordinaria Plenaria - CTPD</v>
      </c>
      <c r="C613" s="21">
        <f t="shared" si="271"/>
        <v>45496</v>
      </c>
      <c r="D613" s="20" t="str">
        <f t="shared" si="272"/>
        <v>INSTANCIAS</v>
      </c>
      <c r="E613" s="20" t="str">
        <f t="shared" si="273"/>
        <v>NO</v>
      </c>
      <c r="F613" s="20" t="str">
        <f t="shared" si="274"/>
        <v>CTPD (Consejo Territorial de Planeación Distrital)</v>
      </c>
      <c r="G613" s="20" t="str">
        <f t="shared" si="275"/>
        <v>Virtual</v>
      </c>
      <c r="H613" s="20" t="str">
        <f t="shared" si="276"/>
        <v xml:space="preserve">Realizar el acompañamiento como Secretaría Técnica a la sesión ordinaria de la Plenaria del CTPD de acuerdo al orden del día.  </v>
      </c>
      <c r="I613" s="20" t="str">
        <f t="shared" si="277"/>
        <v>Mecanismo de Seguimiento y Evaluación</v>
      </c>
      <c r="J613" s="20" t="str">
        <f t="shared" si="278"/>
        <v>Comunitario</v>
      </c>
      <c r="K613" s="20" t="str">
        <f t="shared" si="279"/>
        <v>CTPD</v>
      </c>
      <c r="L613" s="20" t="str">
        <f t="shared" si="280"/>
        <v>Distrital</v>
      </c>
      <c r="M613" s="20" t="str">
        <f t="shared" si="281"/>
        <v>Distrital</v>
      </c>
      <c r="N613" s="20" t="str">
        <f t="shared" si="282"/>
        <v>Distrital</v>
      </c>
      <c r="O613" s="20" t="str">
        <f t="shared" si="283"/>
        <v>NO</v>
      </c>
      <c r="P613" s="20" t="str">
        <f t="shared" si="284"/>
        <v>No aplica</v>
      </c>
      <c r="Q613" s="20">
        <f t="shared" si="285"/>
        <v>73</v>
      </c>
      <c r="R613" s="20">
        <f t="shared" si="286"/>
        <v>2</v>
      </c>
      <c r="S613" s="20" t="str">
        <f t="shared" si="287"/>
        <v>Se trataron los siguientes temas: Plan de Acción Diplomado- UNAD, Concertación fecha devolución PDD-SDP, Propuesta tema inasistencias, D.C Radio, Comunicado CTPD Lideresa Social Alba Rocío Riaño Nossa</v>
      </c>
      <c r="T613" s="20">
        <f t="shared" si="290"/>
        <v>1</v>
      </c>
      <c r="U613" s="20" t="str">
        <f t="shared" ca="1" si="291"/>
        <v>Realizada</v>
      </c>
    </row>
    <row r="614" spans="1:21" ht="98.25">
      <c r="A614" s="20">
        <v>768</v>
      </c>
      <c r="B614" s="20" t="str">
        <f t="shared" si="270"/>
        <v xml:space="preserve"> Devolución ciudadana construcción PDD - Subregión Occidente</v>
      </c>
      <c r="C614" s="21">
        <f t="shared" si="271"/>
        <v>45497</v>
      </c>
      <c r="D614" s="20" t="str">
        <f t="shared" si="272"/>
        <v>OPDC</v>
      </c>
      <c r="E614" s="20" t="str">
        <f t="shared" si="273"/>
        <v>NO</v>
      </c>
      <c r="F614" s="20" t="str">
        <f t="shared" si="274"/>
        <v>Plan Distrital de Desarrollo</v>
      </c>
      <c r="G614" s="20" t="str">
        <f t="shared" si="275"/>
        <v>Presencial</v>
      </c>
      <c r="H614" s="20" t="str">
        <f t="shared" si="276"/>
        <v>Realizar la devolución y rendición de cuentas sobre los resultados de la participación en la formulación del Plan Distrital de Desarrollo y la Socialización del acuerdo adoptado con miras a promover la confianza, apropiación y corresponsabilidad para la futura implementación del plan.</v>
      </c>
      <c r="I614" s="20" t="str">
        <f t="shared" si="277"/>
        <v>Mecanismo de Fortalecimiento Ciudadano para la Planeación Participativa</v>
      </c>
      <c r="J614" s="20" t="str">
        <f t="shared" si="278"/>
        <v>Multiactor</v>
      </c>
      <c r="K614" s="20">
        <f t="shared" si="279"/>
        <v>0</v>
      </c>
      <c r="L614" s="20" t="str">
        <f t="shared" si="280"/>
        <v>Distrital</v>
      </c>
      <c r="M614" s="20" t="str">
        <f t="shared" si="281"/>
        <v>Distrital</v>
      </c>
      <c r="N614" s="20" t="str">
        <f t="shared" si="282"/>
        <v>Distrital</v>
      </c>
      <c r="O614" s="20" t="str">
        <f t="shared" si="283"/>
        <v>SÍ</v>
      </c>
      <c r="P614" s="20" t="str">
        <f t="shared" si="284"/>
        <v>Fase IV: Reconocimiento a la Acción Colectiva</v>
      </c>
      <c r="Q614" s="20">
        <f t="shared" si="285"/>
        <v>58</v>
      </c>
      <c r="R614" s="20">
        <f t="shared" si="286"/>
        <v>14</v>
      </c>
      <c r="S614" s="20" t="str">
        <f t="shared" si="287"/>
        <v>Plan de desarrollo distrital, objetivos y metas para la Región.</v>
      </c>
      <c r="T614" s="20">
        <f t="shared" si="290"/>
        <v>1</v>
      </c>
      <c r="U614" s="20" t="str">
        <f t="shared" ca="1" si="291"/>
        <v>Realizada</v>
      </c>
    </row>
    <row r="615" spans="1:21" ht="49.5">
      <c r="A615" s="20">
        <v>769</v>
      </c>
      <c r="B615" s="20" t="str">
        <f t="shared" si="270"/>
        <v>Seguimiento evento Smart City</v>
      </c>
      <c r="C615" s="21">
        <f t="shared" si="271"/>
        <v>45497</v>
      </c>
      <c r="D615" s="20" t="str">
        <f t="shared" si="272"/>
        <v>OPDC</v>
      </c>
      <c r="E615" s="20" t="str">
        <f t="shared" si="273"/>
        <v>NO</v>
      </c>
      <c r="F615" s="20" t="str">
        <f t="shared" si="274"/>
        <v>Ferias de Alto Nivel</v>
      </c>
      <c r="G615" s="20" t="str">
        <f t="shared" si="275"/>
        <v>Presencial</v>
      </c>
      <c r="H615" s="20" t="str">
        <f t="shared" si="276"/>
        <v>Hacer seguimiento a las propuestas de los funcionarios para el evento Smart City Expo</v>
      </c>
      <c r="I615" s="20" t="str">
        <f t="shared" si="277"/>
        <v>Mecanismo de Seguimiento y Evaluación</v>
      </c>
      <c r="J615" s="20" t="str">
        <f t="shared" si="278"/>
        <v>Público</v>
      </c>
      <c r="K615" s="20">
        <f t="shared" si="279"/>
        <v>0</v>
      </c>
      <c r="L615" s="20" t="str">
        <f t="shared" si="280"/>
        <v>Distrital</v>
      </c>
      <c r="M615" s="20" t="str">
        <f t="shared" si="281"/>
        <v>Distrital</v>
      </c>
      <c r="N615" s="20" t="str">
        <f t="shared" si="282"/>
        <v>Distrital</v>
      </c>
      <c r="O615" s="20" t="str">
        <f t="shared" si="283"/>
        <v>NO</v>
      </c>
      <c r="P615" s="20" t="str">
        <f t="shared" si="284"/>
        <v>No aplica</v>
      </c>
      <c r="Q615" s="20">
        <f t="shared" si="285"/>
        <v>0</v>
      </c>
      <c r="R615" s="20">
        <f t="shared" si="286"/>
        <v>9</v>
      </c>
      <c r="S615" s="20" t="str">
        <f t="shared" si="287"/>
        <v xml:space="preserve">Avances de las propuestas que serian presentadas para el evento de Smart City Expo, ambos haciendo parte de la presentación que se realizo para la reunión. </v>
      </c>
      <c r="T615" s="20">
        <f t="shared" si="290"/>
        <v>1</v>
      </c>
      <c r="U615" s="20" t="str">
        <f t="shared" ca="1" si="291"/>
        <v>Realizada</v>
      </c>
    </row>
    <row r="616" spans="1:21" ht="98.25">
      <c r="A616" s="20">
        <v>770</v>
      </c>
      <c r="B616" s="20" t="str">
        <f t="shared" si="270"/>
        <v>Devolución ciudadana construcción PDD - Subregión Sur</v>
      </c>
      <c r="C616" s="21">
        <f t="shared" si="271"/>
        <v>45497</v>
      </c>
      <c r="D616" s="20" t="str">
        <f t="shared" si="272"/>
        <v>OPDC</v>
      </c>
      <c r="E616" s="20" t="str">
        <f t="shared" si="273"/>
        <v>NO</v>
      </c>
      <c r="F616" s="20" t="str">
        <f t="shared" si="274"/>
        <v>Plan Distrital de Desarrollo</v>
      </c>
      <c r="G616" s="20" t="str">
        <f t="shared" si="275"/>
        <v>Presencial</v>
      </c>
      <c r="H616" s="20" t="str">
        <f t="shared" si="276"/>
        <v>Realizar la devolución y rendición de cuentas sobre los resultados de la participación en la formulación del Plan Distrital de Desarrollo y la Socialización del acuerdo adoptado con miras a promover la confianza, apropiación y corresponsabilidad para la futura implementación del plan.</v>
      </c>
      <c r="I616" s="20" t="str">
        <f t="shared" si="277"/>
        <v>Mecanismo de Fortalecimiento Ciudadano para la Planeación Participativa</v>
      </c>
      <c r="J616" s="20" t="str">
        <f t="shared" si="278"/>
        <v>Multiactor</v>
      </c>
      <c r="K616" s="20">
        <f t="shared" si="279"/>
        <v>0</v>
      </c>
      <c r="L616" s="20" t="str">
        <f t="shared" si="280"/>
        <v>Distrital</v>
      </c>
      <c r="M616" s="20" t="str">
        <f t="shared" si="281"/>
        <v>Distrital</v>
      </c>
      <c r="N616" s="20" t="str">
        <f t="shared" si="282"/>
        <v>Distrital</v>
      </c>
      <c r="O616" s="20" t="str">
        <f t="shared" si="283"/>
        <v>SÍ</v>
      </c>
      <c r="P616" s="20" t="str">
        <f t="shared" si="284"/>
        <v>Fase IV: Reconocimiento a la Acción Colectiva</v>
      </c>
      <c r="Q616" s="20">
        <f t="shared" si="285"/>
        <v>10</v>
      </c>
      <c r="R616" s="20">
        <f t="shared" si="286"/>
        <v>14</v>
      </c>
      <c r="S616" s="20" t="str">
        <f t="shared" si="287"/>
        <v xml:space="preserve">Plan Distrital de Desarrollo, región metropolitana </v>
      </c>
      <c r="T616" s="20">
        <f t="shared" si="290"/>
        <v>1</v>
      </c>
      <c r="U616" s="20" t="str">
        <f t="shared" ca="1" si="291"/>
        <v>Realizada</v>
      </c>
    </row>
    <row r="617" spans="1:21" ht="37.5">
      <c r="A617" s="20">
        <v>771</v>
      </c>
      <c r="B617" s="20" t="str">
        <f t="shared" si="270"/>
        <v>Presentación Asambleas Ciudadanas Fundación 2050</v>
      </c>
      <c r="C617" s="21">
        <f t="shared" si="271"/>
        <v>45497</v>
      </c>
      <c r="D617" s="20" t="str">
        <f t="shared" si="272"/>
        <v>OPDC</v>
      </c>
      <c r="E617" s="20" t="str">
        <f t="shared" si="273"/>
        <v>NO</v>
      </c>
      <c r="F617" s="20" t="str">
        <f t="shared" si="274"/>
        <v>Asambleas Ciudadanas Colaborativas</v>
      </c>
      <c r="G617" s="20" t="str">
        <f t="shared" si="275"/>
        <v>Presencial</v>
      </c>
      <c r="H617" s="20" t="str">
        <f t="shared" si="276"/>
        <v>Formalizar propuesta de la Fundación 2050 para su presentación con el CTPD</v>
      </c>
      <c r="I617" s="20" t="str">
        <f t="shared" si="277"/>
        <v>Gestión Institucional</v>
      </c>
      <c r="J617" s="20" t="str">
        <f t="shared" si="278"/>
        <v>Multiactor</v>
      </c>
      <c r="K617" s="20">
        <f t="shared" si="279"/>
        <v>0</v>
      </c>
      <c r="L617" s="20" t="str">
        <f t="shared" si="280"/>
        <v>Distrital</v>
      </c>
      <c r="M617" s="20" t="str">
        <f t="shared" si="281"/>
        <v>Distrital</v>
      </c>
      <c r="N617" s="20" t="str">
        <f t="shared" si="282"/>
        <v>Distrital</v>
      </c>
      <c r="O617" s="20" t="str">
        <f t="shared" si="283"/>
        <v>NO</v>
      </c>
      <c r="P617" s="20" t="str">
        <f t="shared" si="284"/>
        <v>No aplica</v>
      </c>
      <c r="Q617" s="20">
        <f t="shared" si="285"/>
        <v>3</v>
      </c>
      <c r="R617" s="20">
        <f t="shared" si="286"/>
        <v>3</v>
      </c>
      <c r="S617" s="20" t="str">
        <f t="shared" si="287"/>
        <v>Se presento la propuesta de la Fundación 2050 y se asocio a las posibles propuestas que se han venido llevando acabo por parte de la oficina</v>
      </c>
      <c r="T617" s="20">
        <f t="shared" si="290"/>
        <v>1</v>
      </c>
      <c r="U617" s="20" t="str">
        <f t="shared" ca="1" si="291"/>
        <v>Realizada</v>
      </c>
    </row>
    <row r="618" spans="1:21" ht="74.25">
      <c r="A618" s="20">
        <v>773</v>
      </c>
      <c r="B618" s="20" t="str">
        <f t="shared" si="270"/>
        <v xml:space="preserve">Taller de Legalización Urbanística Villa Angél </v>
      </c>
      <c r="C618" s="21">
        <f t="shared" si="271"/>
        <v>45497</v>
      </c>
      <c r="D618" s="20" t="str">
        <f t="shared" si="272"/>
        <v>OPDC</v>
      </c>
      <c r="E618" s="20" t="str">
        <f t="shared" si="273"/>
        <v>SÍ</v>
      </c>
      <c r="F618" s="20" t="str">
        <f t="shared" si="274"/>
        <v>Legalización Urbanística</v>
      </c>
      <c r="G618" s="20" t="str">
        <f t="shared" si="275"/>
        <v>Presencial</v>
      </c>
      <c r="H618" s="20" t="str">
        <f t="shared" si="276"/>
        <v xml:space="preserve">Informar y dialogar, mediante la pedagogía sobre el trámite de legalización de barrios y promover mediante esta, una aceptación y apropiación por parte de los habitantes en los asentamientos. </v>
      </c>
      <c r="I618" s="20" t="str">
        <f t="shared" si="277"/>
        <v>Mecanismo de Comunicación para la Participación</v>
      </c>
      <c r="J618" s="20" t="str">
        <f t="shared" si="278"/>
        <v>Individual</v>
      </c>
      <c r="K618" s="20">
        <f t="shared" si="279"/>
        <v>0</v>
      </c>
      <c r="L618" s="20" t="str">
        <f t="shared" si="280"/>
        <v>Rafael Uribe Uribe</v>
      </c>
      <c r="M618" s="20" t="str">
        <f t="shared" si="281"/>
        <v>Centro Ampliado, Suroriente</v>
      </c>
      <c r="N618" s="20" t="str">
        <f t="shared" si="282"/>
        <v>Rafael Uribe, San Cristobal, Rafael Uribe</v>
      </c>
      <c r="O618" s="20" t="str">
        <f t="shared" si="283"/>
        <v>NO</v>
      </c>
      <c r="P618" s="20" t="str">
        <f t="shared" si="284"/>
        <v>No aplica</v>
      </c>
      <c r="Q618" s="20">
        <f t="shared" si="285"/>
        <v>31</v>
      </c>
      <c r="R618" s="20">
        <f t="shared" si="286"/>
        <v>6</v>
      </c>
      <c r="S618" s="20" t="str">
        <f t="shared" si="287"/>
        <v>Reglamentación legalización de barrio decreto 199 y decreto 555 del 2021 (POT)</v>
      </c>
      <c r="T618" s="20">
        <f t="shared" si="290"/>
        <v>1</v>
      </c>
      <c r="U618" s="20" t="str">
        <f t="shared" ca="1" si="291"/>
        <v>Realizada</v>
      </c>
    </row>
    <row r="619" spans="1:21" ht="98.25">
      <c r="A619" s="20">
        <v>774</v>
      </c>
      <c r="B619" s="20" t="str">
        <f t="shared" si="270"/>
        <v>Devolución ciudadana construcción PDD - Subregión Norte</v>
      </c>
      <c r="C619" s="21">
        <f t="shared" si="271"/>
        <v>45498</v>
      </c>
      <c r="D619" s="20" t="str">
        <f t="shared" si="272"/>
        <v>OPDC</v>
      </c>
      <c r="E619" s="20" t="str">
        <f t="shared" si="273"/>
        <v>NO</v>
      </c>
      <c r="F619" s="20" t="str">
        <f t="shared" si="274"/>
        <v>Plan Distrital de Desarrollo</v>
      </c>
      <c r="G619" s="20" t="str">
        <f t="shared" si="275"/>
        <v>Presencial</v>
      </c>
      <c r="H619" s="20" t="str">
        <f t="shared" si="276"/>
        <v>Realizar la devolución y rendición de cuentas sobre los resultados de la participación en la formulación del Plan Distrital de Desarrollo y la Socialización del acuerdo adoptado con miras a promover la confianza, apropiación y corresponsabilidad para la futura implementación del plan.</v>
      </c>
      <c r="I619" s="20" t="str">
        <f t="shared" si="277"/>
        <v>Mecanismo de Fortalecimiento Ciudadano para la Planeación Participativa</v>
      </c>
      <c r="J619" s="20" t="str">
        <f t="shared" si="278"/>
        <v>Individual</v>
      </c>
      <c r="K619" s="20">
        <f t="shared" si="279"/>
        <v>0</v>
      </c>
      <c r="L619" s="20" t="str">
        <f t="shared" si="280"/>
        <v>Distrital</v>
      </c>
      <c r="M619" s="20" t="str">
        <f t="shared" si="281"/>
        <v>Distrital</v>
      </c>
      <c r="N619" s="20" t="str">
        <f t="shared" si="282"/>
        <v>Distrital</v>
      </c>
      <c r="O619" s="20" t="str">
        <f t="shared" si="283"/>
        <v>SÍ</v>
      </c>
      <c r="P619" s="20" t="str">
        <f t="shared" si="284"/>
        <v>Fase IV: Reconocimiento a la Acción Colectiva</v>
      </c>
      <c r="Q619" s="20">
        <f t="shared" si="285"/>
        <v>28</v>
      </c>
      <c r="R619" s="20">
        <f t="shared" si="286"/>
        <v>12</v>
      </c>
      <c r="S619" s="20" t="str">
        <f t="shared" si="287"/>
        <v>Retroalimentacion Regional PDD, Integración Regional en el PDD, Aportes de la Región al PDD</v>
      </c>
      <c r="T619" s="20">
        <f t="shared" si="290"/>
        <v>1</v>
      </c>
      <c r="U619" s="20" t="str">
        <f t="shared" ca="1" si="291"/>
        <v>Realizada</v>
      </c>
    </row>
    <row r="620" spans="1:21" ht="61.5">
      <c r="A620" s="20">
        <v>775</v>
      </c>
      <c r="B620" s="20" t="str">
        <f t="shared" si="270"/>
        <v>Activación de actores - Mesa local de salud de Barrios unidos</v>
      </c>
      <c r="C620" s="21">
        <f t="shared" si="271"/>
        <v>45498</v>
      </c>
      <c r="D620" s="20" t="str">
        <f t="shared" si="272"/>
        <v>OPDC</v>
      </c>
      <c r="E620" s="20" t="str">
        <f t="shared" si="273"/>
        <v>NO</v>
      </c>
      <c r="F620" s="20" t="str">
        <f t="shared" si="274"/>
        <v>Gestión en Territorio</v>
      </c>
      <c r="G620" s="20" t="str">
        <f t="shared" si="275"/>
        <v>Presencial</v>
      </c>
      <c r="H620" s="20" t="str">
        <f t="shared" si="276"/>
        <v>Activar nuevos actores de participacion en la UPL Barrios Unidos.</v>
      </c>
      <c r="I620" s="20" t="str">
        <f t="shared" si="277"/>
        <v>Mecanismo de Fortalecimiento Ciudadano para la Planeación Participativa</v>
      </c>
      <c r="J620" s="20" t="str">
        <f t="shared" si="278"/>
        <v>Multiactor</v>
      </c>
      <c r="K620" s="20">
        <f t="shared" si="279"/>
        <v>0</v>
      </c>
      <c r="L620" s="20" t="str">
        <f t="shared" si="280"/>
        <v>Barrios Unidos</v>
      </c>
      <c r="M620" s="20" t="str">
        <f t="shared" si="281"/>
        <v>Centro Ampliado</v>
      </c>
      <c r="N620" s="20" t="str">
        <f t="shared" si="282"/>
        <v>Barrios Unidos</v>
      </c>
      <c r="O620" s="20" t="str">
        <f t="shared" si="283"/>
        <v>NO</v>
      </c>
      <c r="P620" s="20" t="str">
        <f t="shared" si="284"/>
        <v>No aplica</v>
      </c>
      <c r="Q620" s="20">
        <f t="shared" si="285"/>
        <v>25</v>
      </c>
      <c r="R620" s="20">
        <f t="shared" si="286"/>
        <v>1</v>
      </c>
      <c r="S620" s="20" t="str">
        <f t="shared" si="287"/>
        <v>Rendicion de cuentas y devolución a actores locales y activacion de actores en Barrios Unidos</v>
      </c>
      <c r="T620" s="20">
        <f t="shared" si="290"/>
        <v>1</v>
      </c>
      <c r="U620" s="20" t="str">
        <f t="shared" ca="1" si="291"/>
        <v>Realizada</v>
      </c>
    </row>
    <row r="621" spans="1:21" ht="49.5">
      <c r="A621" s="20">
        <v>776</v>
      </c>
      <c r="B621" s="20" t="str">
        <f t="shared" si="270"/>
        <v>CLIP Suba</v>
      </c>
      <c r="C621" s="21">
        <f t="shared" si="271"/>
        <v>45498</v>
      </c>
      <c r="D621" s="20" t="str">
        <f t="shared" si="272"/>
        <v>INSTANCIAS</v>
      </c>
      <c r="E621" s="20" t="str">
        <f t="shared" si="273"/>
        <v>NO</v>
      </c>
      <c r="F621" s="20" t="str">
        <f t="shared" si="274"/>
        <v>CLIP (Comisión Local Intersectorial de Participación)</v>
      </c>
      <c r="G621" s="20" t="str">
        <f t="shared" si="275"/>
        <v>Presencial</v>
      </c>
      <c r="H621" s="20" t="str">
        <f t="shared" si="276"/>
        <v xml:space="preserve">Socializar resultados de la participacion en la localidad y convocar a las instancias de participacion a la actividad de devolución </v>
      </c>
      <c r="I621" s="20" t="str">
        <f t="shared" si="277"/>
        <v>Mecanismo de Seguimiento y Evaluación</v>
      </c>
      <c r="J621" s="20" t="str">
        <f t="shared" si="278"/>
        <v>Público</v>
      </c>
      <c r="K621" s="20" t="str">
        <f t="shared" si="279"/>
        <v>CLIP</v>
      </c>
      <c r="L621" s="20" t="str">
        <f t="shared" si="280"/>
        <v>Suba</v>
      </c>
      <c r="M621" s="20" t="str">
        <f t="shared" si="281"/>
        <v>Noroccidente</v>
      </c>
      <c r="N621" s="20" t="str">
        <f t="shared" si="282"/>
        <v>Suba</v>
      </c>
      <c r="O621" s="20" t="str">
        <f t="shared" si="283"/>
        <v>NO</v>
      </c>
      <c r="P621" s="20" t="str">
        <f t="shared" si="284"/>
        <v>No aplica</v>
      </c>
      <c r="Q621" s="20">
        <f t="shared" si="285"/>
        <v>18</v>
      </c>
      <c r="R621" s="20">
        <f t="shared" si="286"/>
        <v>1</v>
      </c>
      <c r="S621" s="20" t="str">
        <f t="shared" si="287"/>
        <v>Presentación de resultados de participación para la formulación del PDD, iniciativa "Bogotá distribuye lo local" y Metodología de las mesas de concertación</v>
      </c>
      <c r="T621" s="20">
        <f t="shared" si="290"/>
        <v>1</v>
      </c>
      <c r="U621" s="20" t="str">
        <f t="shared" ca="1" si="291"/>
        <v>Realizada</v>
      </c>
    </row>
    <row r="622" spans="1:21" ht="74.25">
      <c r="A622" s="20">
        <v>778</v>
      </c>
      <c r="B622" s="20" t="str">
        <f t="shared" si="270"/>
        <v>Devolución PDD al Consejo Territorial de Planeación Distrital (CTPD)</v>
      </c>
      <c r="C622" s="21">
        <f t="shared" si="271"/>
        <v>45498</v>
      </c>
      <c r="D622" s="20" t="str">
        <f t="shared" si="272"/>
        <v>OPDC</v>
      </c>
      <c r="E622" s="20" t="str">
        <f t="shared" si="273"/>
        <v>NO</v>
      </c>
      <c r="F622" s="20" t="str">
        <f t="shared" si="274"/>
        <v>Plan Distrital de Desarrollo</v>
      </c>
      <c r="G622" s="20" t="str">
        <f t="shared" si="275"/>
        <v>Presencial</v>
      </c>
      <c r="H622" s="20" t="str">
        <f t="shared" si="276"/>
        <v>Socializar con los(as) consejeros(as) del Consejo Territorial de Planeación
Distrital (CTPD) los contenidos del Plan Distrital de Desarrollo, y resolver dudas respecto al
Acuerdo 927 de 2024.</v>
      </c>
      <c r="I622" s="20" t="str">
        <f t="shared" si="277"/>
        <v>Mecanismo de Fortalecimiento Ciudadano para la Planeación Participativa</v>
      </c>
      <c r="J622" s="20" t="str">
        <f t="shared" si="278"/>
        <v>Comunitario</v>
      </c>
      <c r="K622" s="20" t="str">
        <f t="shared" si="279"/>
        <v>CTPD</v>
      </c>
      <c r="L622" s="20" t="str">
        <f t="shared" si="280"/>
        <v>Distrital</v>
      </c>
      <c r="M622" s="20" t="str">
        <f t="shared" si="281"/>
        <v>Distrital</v>
      </c>
      <c r="N622" s="20" t="str">
        <f t="shared" si="282"/>
        <v>Distrital</v>
      </c>
      <c r="O622" s="20" t="str">
        <f t="shared" si="283"/>
        <v>SÍ</v>
      </c>
      <c r="P622" s="20" t="str">
        <f t="shared" si="284"/>
        <v>Fase IV: Reconocimiento a la Acción Colectiva</v>
      </c>
      <c r="Q622" s="20">
        <f t="shared" si="285"/>
        <v>37</v>
      </c>
      <c r="R622" s="20">
        <f t="shared" si="286"/>
        <v>7</v>
      </c>
      <c r="S622" s="20" t="str">
        <f t="shared" si="287"/>
        <v>Devolución del Plan Distrital de Desarrollo al CTPD</v>
      </c>
      <c r="T622" s="20">
        <f t="shared" si="290"/>
        <v>1</v>
      </c>
      <c r="U622" s="20" t="str">
        <f t="shared" ca="1" si="291"/>
        <v>Realizada</v>
      </c>
    </row>
    <row r="623" spans="1:21" ht="37.5">
      <c r="A623" s="20">
        <v>779</v>
      </c>
      <c r="B623" s="20" t="str">
        <f t="shared" si="270"/>
        <v>Mesa de Seguimiento Ágora Metropolitana RMBC</v>
      </c>
      <c r="C623" s="21">
        <f t="shared" si="271"/>
        <v>45499</v>
      </c>
      <c r="D623" s="20" t="str">
        <f t="shared" si="272"/>
        <v>OPDC</v>
      </c>
      <c r="E623" s="20" t="str">
        <f t="shared" si="273"/>
        <v>NO</v>
      </c>
      <c r="F623" s="20" t="str">
        <f t="shared" si="274"/>
        <v>Reglamentación de Ágora Metropolitana</v>
      </c>
      <c r="G623" s="20" t="str">
        <f t="shared" si="275"/>
        <v>Presencial</v>
      </c>
      <c r="H623" s="20" t="str">
        <f t="shared" si="276"/>
        <v>Reglamentacion Ágora Metropolitana</v>
      </c>
      <c r="I623" s="20" t="str">
        <f t="shared" si="277"/>
        <v>Mecanismo de Seguimiento y Evaluación</v>
      </c>
      <c r="J623" s="20" t="str">
        <f t="shared" si="278"/>
        <v>Público</v>
      </c>
      <c r="K623" s="20" t="str">
        <f t="shared" si="279"/>
        <v>Servidores públicos (Distrital)</v>
      </c>
      <c r="L623" s="20" t="str">
        <f t="shared" si="280"/>
        <v>Distrital</v>
      </c>
      <c r="M623" s="20" t="str">
        <f t="shared" si="281"/>
        <v>Distrital</v>
      </c>
      <c r="N623" s="20" t="str">
        <f t="shared" si="282"/>
        <v>Distrital</v>
      </c>
      <c r="O623" s="20" t="str">
        <f t="shared" si="283"/>
        <v>NO</v>
      </c>
      <c r="P623" s="20" t="str">
        <f t="shared" si="284"/>
        <v>No aplica</v>
      </c>
      <c r="Q623" s="20">
        <f t="shared" si="285"/>
        <v>14</v>
      </c>
      <c r="R623" s="20">
        <f t="shared" si="286"/>
        <v>3</v>
      </c>
      <c r="S623" s="20" t="str">
        <f t="shared" si="287"/>
        <v>Reglamentacion Agora Metropolitana</v>
      </c>
      <c r="T623" s="20">
        <f t="shared" si="290"/>
        <v>1</v>
      </c>
      <c r="U623" s="20" t="str">
        <f t="shared" ca="1" si="291"/>
        <v>Realizada</v>
      </c>
    </row>
    <row r="624" spans="1:21" ht="61.5">
      <c r="A624" s="20">
        <v>780</v>
      </c>
      <c r="B624" s="20" t="str">
        <f t="shared" si="270"/>
        <v xml:space="preserve">Socialización UPL Sector Occidente - JAL Engativá </v>
      </c>
      <c r="C624" s="21">
        <f t="shared" si="271"/>
        <v>45499</v>
      </c>
      <c r="D624" s="20" t="str">
        <f t="shared" si="272"/>
        <v>OPDC</v>
      </c>
      <c r="E624" s="20" t="str">
        <f t="shared" si="273"/>
        <v>SÍ</v>
      </c>
      <c r="F624" s="20" t="str">
        <f t="shared" si="274"/>
        <v>Generalidades POT</v>
      </c>
      <c r="G624" s="20" t="str">
        <f t="shared" si="275"/>
        <v>Presencial</v>
      </c>
      <c r="H624" s="20" t="str">
        <f t="shared" si="276"/>
        <v xml:space="preserve">Socializar las generalidades de las Unidades de Planeamiento Local (UPL) ante la Junta Administradora Local de la localidad de Engativá.  </v>
      </c>
      <c r="I624" s="20" t="str">
        <f t="shared" si="277"/>
        <v>Mecanismo de Fortalecimiento Ciudadano para la Planeación Participativa</v>
      </c>
      <c r="J624" s="20" t="str">
        <f t="shared" si="278"/>
        <v>Público</v>
      </c>
      <c r="K624" s="20" t="str">
        <f t="shared" si="279"/>
        <v>JAL</v>
      </c>
      <c r="L624" s="20" t="str">
        <f t="shared" si="280"/>
        <v>Engativá</v>
      </c>
      <c r="M624" s="20" t="str">
        <f t="shared" si="281"/>
        <v>Occidente</v>
      </c>
      <c r="N624" s="20" t="str">
        <f t="shared" si="282"/>
        <v>Tabora, Engativá</v>
      </c>
      <c r="O624" s="20" t="str">
        <f t="shared" si="283"/>
        <v>NO</v>
      </c>
      <c r="P624" s="20" t="str">
        <f t="shared" si="284"/>
        <v>No aplica</v>
      </c>
      <c r="Q624" s="20">
        <f t="shared" si="285"/>
        <v>11</v>
      </c>
      <c r="R624" s="20">
        <f t="shared" si="286"/>
        <v>5</v>
      </c>
      <c r="S624" s="20" t="str">
        <f t="shared" si="287"/>
        <v>Georreferenciación UPL's de la Localidad de Engativá y sector occidente</v>
      </c>
      <c r="T624" s="20">
        <f t="shared" si="290"/>
        <v>1</v>
      </c>
      <c r="U624" s="20" t="str">
        <f t="shared" ca="1" si="291"/>
        <v>Realizada</v>
      </c>
    </row>
    <row r="625" spans="1:21" ht="49.5">
      <c r="A625" s="20">
        <v>781</v>
      </c>
      <c r="B625" s="20" t="str">
        <f t="shared" si="270"/>
        <v xml:space="preserve">Socialización PIP Sector Occidente - JAL Engativá </v>
      </c>
      <c r="C625" s="21">
        <f t="shared" si="271"/>
        <v>45499</v>
      </c>
      <c r="D625" s="20" t="str">
        <f t="shared" si="272"/>
        <v>OPDC</v>
      </c>
      <c r="E625" s="20" t="str">
        <f t="shared" si="273"/>
        <v>SÍ</v>
      </c>
      <c r="F625" s="20" t="str">
        <f t="shared" si="274"/>
        <v>Proyectos Integrales de Proximidad</v>
      </c>
      <c r="G625" s="20" t="str">
        <f t="shared" si="275"/>
        <v>Presencial</v>
      </c>
      <c r="H625" s="20" t="str">
        <f t="shared" si="276"/>
        <v>Socializar las generalidades de los PIP a la JAL de la localidad de Engativá - Sector Occidente</v>
      </c>
      <c r="I625" s="20" t="str">
        <f t="shared" si="277"/>
        <v>Mecanismo de Comunicación para la Participación</v>
      </c>
      <c r="J625" s="20" t="str">
        <f t="shared" si="278"/>
        <v>Público</v>
      </c>
      <c r="K625" s="20" t="str">
        <f t="shared" si="279"/>
        <v>JAL</v>
      </c>
      <c r="L625" s="20" t="str">
        <f t="shared" si="280"/>
        <v>Engativá</v>
      </c>
      <c r="M625" s="20" t="str">
        <f t="shared" si="281"/>
        <v>Occidente</v>
      </c>
      <c r="N625" s="20" t="str">
        <f t="shared" si="282"/>
        <v>Tabora, Engativá</v>
      </c>
      <c r="O625" s="20" t="str">
        <f t="shared" si="283"/>
        <v>NO</v>
      </c>
      <c r="P625" s="20" t="str">
        <f t="shared" si="284"/>
        <v>No aplica</v>
      </c>
      <c r="Q625" s="20">
        <f t="shared" si="285"/>
        <v>11</v>
      </c>
      <c r="R625" s="20">
        <f t="shared" si="286"/>
        <v>5</v>
      </c>
      <c r="S625" s="20" t="str">
        <f t="shared" si="287"/>
        <v>Socialización Proyectos Integrales de Proximidad para sector occidente y aquellos priorizados para la localidad de Engativá</v>
      </c>
      <c r="T625" s="20">
        <f t="shared" si="290"/>
        <v>1</v>
      </c>
      <c r="U625" s="20" t="str">
        <f t="shared" ca="1" si="291"/>
        <v>Realizada</v>
      </c>
    </row>
    <row r="626" spans="1:21" ht="49.5">
      <c r="A626" s="20">
        <v>782</v>
      </c>
      <c r="B626" s="20" t="str">
        <f t="shared" si="270"/>
        <v>Sesión Ordinaria de Consejo de Propiedad Horizontal</v>
      </c>
      <c r="C626" s="21">
        <f t="shared" si="271"/>
        <v>45499</v>
      </c>
      <c r="D626" s="20" t="str">
        <f t="shared" si="272"/>
        <v>INSTANCIAS</v>
      </c>
      <c r="E626" s="20" t="str">
        <f t="shared" si="273"/>
        <v>NO</v>
      </c>
      <c r="F626" s="20" t="str">
        <f t="shared" si="274"/>
        <v>CCPH (Consejo Consultivo de Propiedad Horizontal)</v>
      </c>
      <c r="G626" s="20" t="str">
        <f t="shared" si="275"/>
        <v>Presencial</v>
      </c>
      <c r="H626" s="20" t="str">
        <f t="shared" si="276"/>
        <v xml:space="preserve">Acompañar Institucionalmente la Sesión del Consejo de Propiedad Horizontal </v>
      </c>
      <c r="I626" s="20" t="str">
        <f t="shared" si="277"/>
        <v>Mecanismo de Seguimiento y Evaluación</v>
      </c>
      <c r="J626" s="20" t="str">
        <f t="shared" si="278"/>
        <v>Multiactor</v>
      </c>
      <c r="K626" s="20">
        <f t="shared" si="279"/>
        <v>0</v>
      </c>
      <c r="L626" s="20" t="str">
        <f t="shared" si="280"/>
        <v>No Especifica</v>
      </c>
      <c r="M626" s="20" t="str">
        <f t="shared" si="281"/>
        <v>Distrital</v>
      </c>
      <c r="N626" s="20" t="str">
        <f t="shared" si="282"/>
        <v>Distrital</v>
      </c>
      <c r="O626" s="20" t="str">
        <f t="shared" si="283"/>
        <v>NO</v>
      </c>
      <c r="P626" s="20" t="str">
        <f t="shared" si="284"/>
        <v>No aplica</v>
      </c>
      <c r="Q626" s="20">
        <f t="shared" si="285"/>
        <v>18</v>
      </c>
      <c r="R626" s="20">
        <f t="shared" si="286"/>
        <v>1</v>
      </c>
      <c r="S626" s="20" t="str">
        <f t="shared" si="287"/>
        <v xml:space="preserve">Modificación de la resolución 223 DE 2020, Tercer encuentro del Consejo de Propiedad Horizontal, Política Pública de Propiedad Horizontal </v>
      </c>
      <c r="T626" s="20">
        <f t="shared" si="290"/>
        <v>1</v>
      </c>
      <c r="U626" s="20" t="str">
        <f t="shared" ca="1" si="291"/>
        <v>Realizada</v>
      </c>
    </row>
    <row r="627" spans="1:21" ht="61.5">
      <c r="A627" s="20">
        <v>783</v>
      </c>
      <c r="B627" s="20" t="str">
        <f>IFERROR(VLOOKUP(A627,DATA_MATRIZ,2,FALSE),"")</f>
        <v>Activación de actores JAC Villa Carmenza</v>
      </c>
      <c r="C627" s="21">
        <f>IFERROR(VLOOKUP(A627,DATA_MATRIZ,3,FALSE),"")</f>
        <v>45499</v>
      </c>
      <c r="D627" s="20" t="str">
        <f>IFERROR(VLOOKUP(A627,DATA_MATRIZ,5,FALSE),"")</f>
        <v>OPDC</v>
      </c>
      <c r="E627" s="20" t="str">
        <f>IFERROR(VLOOKUP(A627,DATA_MATRIZ,9,FALSE),"")</f>
        <v>NO</v>
      </c>
      <c r="F627" s="20" t="str">
        <f>IFERROR(VLOOKUP(A627,DATA_MATRIZ,10,FALSE),"")</f>
        <v>Gestión en Territorio</v>
      </c>
      <c r="G627" s="20" t="str">
        <f>IFERROR(VLOOKUP(A627,DATA_MATRIZ,11,FALSE),"")</f>
        <v>Presencial</v>
      </c>
      <c r="H627" s="20" t="str">
        <f>IFERROR(VLOOKUP(A627,DATA_MATRIZ,12,FALSE),"")</f>
        <v>Activacion de actores</v>
      </c>
      <c r="I627" s="20" t="str">
        <f>IFERROR(VLOOKUP(A627,DATA_MATRIZ,13,FALSE),"")</f>
        <v>Mecanismo de Fortalecimiento Ciudadano para la Planeación Participativa</v>
      </c>
      <c r="J627" s="20" t="str">
        <f>IFERROR(VLOOKUP(A627,DATA_MATRIZ,41,FALSE),"")</f>
        <v>Comunitario</v>
      </c>
      <c r="K627" s="20" t="str">
        <f>IFERROR(VLOOKUP(A627,DATA_MATRIZ,42,FALSE),"")</f>
        <v>ASOJUNTAS - JAC</v>
      </c>
      <c r="L627" s="20" t="str">
        <f>IFERROR(VLOOKUP(A627,DATA_MATRIZ,46,FALSE),"")</f>
        <v>Fontibón</v>
      </c>
      <c r="M627" s="20" t="str">
        <f>IFERROR(VLOOKUP(A627,DATA_MATRIZ,53,FALSE),"")</f>
        <v>Occidente</v>
      </c>
      <c r="N627" s="20" t="str">
        <f>IFERROR(VLOOKUP(A627,DATA_MATRIZ,60,FALSE),"")</f>
        <v>Fontibón</v>
      </c>
      <c r="O627" s="20" t="str">
        <f>IFERROR(VLOOKUP(A627,DATA_MATRIZ,75,FALSE),"")</f>
        <v>NO</v>
      </c>
      <c r="P627" s="20" t="str">
        <f>IFERROR(VLOOKUP(A627,DATA_MATRIZ,76,FALSE),"")</f>
        <v>No aplica</v>
      </c>
      <c r="Q627" s="20">
        <f>IFERROR(VLOOKUP(A627,DATA_MATRIZ,78,FALSE),"")</f>
        <v>5</v>
      </c>
      <c r="R627" s="20">
        <f>IFERROR(VLOOKUP(A627,DATA_MATRIZ,79,FALSE),"")</f>
        <v>1</v>
      </c>
      <c r="S627" s="20" t="str">
        <f>IFERROR(VLOOKUP(A627,DATA_MATRIZ,85,FALSE),"")</f>
        <v>Temas PDD, POT y PIP</v>
      </c>
      <c r="T627" s="20">
        <f>COUNTA(A627)</f>
        <v>1</v>
      </c>
      <c r="U627" s="20" t="str">
        <f ca="1">IF(C627="", "Indefinida", (IF(C627&lt;TODAY(),"Realizada","Proyectada")))</f>
        <v>Realizada</v>
      </c>
    </row>
    <row r="628" spans="1:21" ht="98.25">
      <c r="A628" s="20">
        <v>784</v>
      </c>
      <c r="B628" s="20" t="str">
        <f>IFERROR(VLOOKUP(A628,DATA_MATRIZ,2,FALSE),"")</f>
        <v>Comisón POT - CTPD</v>
      </c>
      <c r="C628" s="21">
        <f>IFERROR(VLOOKUP(A628,DATA_MATRIZ,3,FALSE),"")</f>
        <v>45499</v>
      </c>
      <c r="D628" s="20" t="str">
        <f>IFERROR(VLOOKUP(A628,DATA_MATRIZ,5,FALSE),"")</f>
        <v>INSTANCIAS</v>
      </c>
      <c r="E628" s="20" t="str">
        <f>IFERROR(VLOOKUP(A628,DATA_MATRIZ,9,FALSE),"")</f>
        <v>NO</v>
      </c>
      <c r="F628" s="20" t="str">
        <f>IFERROR(VLOOKUP(A628,DATA_MATRIZ,10,FALSE),"")</f>
        <v>CTPD (Consejo Territorial de Planeación Distrital)</v>
      </c>
      <c r="G628" s="20" t="str">
        <f>IFERROR(VLOOKUP(A628,DATA_MATRIZ,11,FALSE),"")</f>
        <v>Virtual</v>
      </c>
      <c r="H628" s="20" t="str">
        <f>IFERROR(VLOOKUP(A628,DATA_MATRIZ,12,FALSE),"")</f>
        <v>Sesión Ordinaria Comisión POT</v>
      </c>
      <c r="I628" s="20" t="str">
        <f>IFERROR(VLOOKUP(A628,DATA_MATRIZ,13,FALSE),"")</f>
        <v>Mecanismo de Seguimiento y Evaluación</v>
      </c>
      <c r="J628" s="20" t="str">
        <f>IFERROR(VLOOKUP(A628,DATA_MATRIZ,41,FALSE),"")</f>
        <v>Comunitario</v>
      </c>
      <c r="K628" s="20" t="str">
        <f>IFERROR(VLOOKUP(A628,DATA_MATRIZ,42,FALSE),"")</f>
        <v>CTPD</v>
      </c>
      <c r="L628" s="20" t="str">
        <f>IFERROR(VLOOKUP(A628,DATA_MATRIZ,46,FALSE),"")</f>
        <v>Distrital</v>
      </c>
      <c r="M628" s="20" t="str">
        <f>IFERROR(VLOOKUP(A628,DATA_MATRIZ,53,FALSE),"")</f>
        <v>Distrital</v>
      </c>
      <c r="N628" s="20" t="str">
        <f>IFERROR(VLOOKUP(A628,DATA_MATRIZ,60,FALSE),"")</f>
        <v>Distrital</v>
      </c>
      <c r="O628" s="20" t="str">
        <f>IFERROR(VLOOKUP(A628,DATA_MATRIZ,75,FALSE),"")</f>
        <v>NO</v>
      </c>
      <c r="P628" s="20" t="str">
        <f>IFERROR(VLOOKUP(A628,DATA_MATRIZ,76,FALSE),"")</f>
        <v>No aplica</v>
      </c>
      <c r="Q628" s="20">
        <f>IFERROR(VLOOKUP(A628,DATA_MATRIZ,78,FALSE),"")</f>
        <v>10</v>
      </c>
      <c r="R628" s="20">
        <f>IFERROR(VLOOKUP(A628,DATA_MATRIZ,79,FALSE),"")</f>
        <v>1</v>
      </c>
      <c r="S628" s="20" t="str">
        <f>IFERROR(VLOOKUP(A628,DATA_MATRIZ,85,FALSE),"")</f>
        <v>Se discuten 2 eventos a realizar por la comisión.  El primero se programa para el 31 de Agosto como un encuentro Ciudadano en la UNAD. El segundo para el 23 de NoviembreSe discuten 2 eventos a realizar por la comisión.  El primero se programa para el 31 de Agosto como un encuentro Ciudadano en la UNAD. El segundo para el 23 de Noviembre</v>
      </c>
      <c r="T628" s="20">
        <f>COUNTA(A628)</f>
        <v>1</v>
      </c>
      <c r="U628" s="20" t="str">
        <f ca="1">IF(C628="", "Indefinida", (IF(C628&lt;TODAY(),"Realizada","Proyectada")))</f>
        <v>Realizada</v>
      </c>
    </row>
    <row r="629" spans="1:21" ht="98.25">
      <c r="A629" s="20">
        <v>785</v>
      </c>
      <c r="B629" s="20" t="str">
        <f>IFERROR(VLOOKUP(A629,DATA_MATRIZ,2,FALSE),"")</f>
        <v>Devolución ciudadana construcción PDD - Sector Norte + Rurarlidad (Altos de Serrezuela)</v>
      </c>
      <c r="C629" s="21">
        <f>IFERROR(VLOOKUP(A629,DATA_MATRIZ,3,FALSE),"")</f>
        <v>45500</v>
      </c>
      <c r="D629" s="20" t="str">
        <f>IFERROR(VLOOKUP(A629,DATA_MATRIZ,5,FALSE),"")</f>
        <v>OPDC</v>
      </c>
      <c r="E629" s="20" t="str">
        <f>IFERROR(VLOOKUP(A629,DATA_MATRIZ,9,FALSE),"")</f>
        <v>NO</v>
      </c>
      <c r="F629" s="20" t="str">
        <f>IFERROR(VLOOKUP(A629,DATA_MATRIZ,10,FALSE),"")</f>
        <v>Plan Distrital de Desarrollo</v>
      </c>
      <c r="G629" s="20" t="str">
        <f>IFERROR(VLOOKUP(A629,DATA_MATRIZ,11,FALSE),"")</f>
        <v>Presencial</v>
      </c>
      <c r="H629" s="20" t="str">
        <f>IFERROR(VLOOKUP(A629,DATA_MATRIZ,12,FALSE),"")</f>
        <v>Realizar la devolución y rendición de cuentas sobre los resultados de la participación en la formulación del Plan Distrital de Desarrollo y la Socialización del acuerdo adoptado con miras a promover la confianza, apropiación y corresponsabilidad para la futura implementación del plan.</v>
      </c>
      <c r="I629" s="20" t="str">
        <f>IFERROR(VLOOKUP(A629,DATA_MATRIZ,13,FALSE),"")</f>
        <v>Mecanismo de Fortalecimiento Ciudadano para la Planeación Participativa</v>
      </c>
      <c r="J629" s="20" t="str">
        <f>IFERROR(VLOOKUP(A629,DATA_MATRIZ,41,FALSE),"")</f>
        <v>Multiactor</v>
      </c>
      <c r="K629" s="20">
        <f>IFERROR(VLOOKUP(A629,DATA_MATRIZ,42,FALSE),"")</f>
        <v>0</v>
      </c>
      <c r="L629" s="20" t="str">
        <f>IFERROR(VLOOKUP(A629,DATA_MATRIZ,46,FALSE),"")</f>
        <v>Usaquén</v>
      </c>
      <c r="M629" s="20" t="str">
        <f>IFERROR(VLOOKUP(A629,DATA_MATRIZ,53,FALSE),"")</f>
        <v>Norte</v>
      </c>
      <c r="N629" s="20" t="str">
        <f>IFERROR(VLOOKUP(A629,DATA_MATRIZ,60,FALSE),"")</f>
        <v>Usaquén, Britalia, Torca, Toberín, Niza</v>
      </c>
      <c r="O629" s="20" t="str">
        <f>IFERROR(VLOOKUP(A629,DATA_MATRIZ,75,FALSE),"")</f>
        <v>SÍ</v>
      </c>
      <c r="P629" s="20" t="str">
        <f>IFERROR(VLOOKUP(A629,DATA_MATRIZ,76,FALSE),"")</f>
        <v>Fase IV: Reconocimiento a la Acción Colectiva</v>
      </c>
      <c r="Q629" s="20">
        <f>IFERROR(VLOOKUP(A629,DATA_MATRIZ,78,FALSE),"")</f>
        <v>70</v>
      </c>
      <c r="R629" s="20">
        <f>IFERROR(VLOOKUP(A629,DATA_MATRIZ,79,FALSE),"")</f>
        <v>24</v>
      </c>
      <c r="S629" s="20" t="str">
        <f>IFERROR(VLOOKUP(A629,DATA_MATRIZ,85,FALSE),"")</f>
        <v>Devolución del PDD y rendición de cuentas sobre los resultados de la participación en la formulación del Plan Distrital de Desarrollo y la Socialización de los PIP de Norte y Ruralidad</v>
      </c>
      <c r="T629" s="20">
        <f>COUNTA(A629)</f>
        <v>1</v>
      </c>
      <c r="U629" s="20" t="str">
        <f ca="1">IF(C629="", "Indefinida", (IF(C629&lt;TODAY(),"Realizada","Proyectada")))</f>
        <v>Realizada</v>
      </c>
    </row>
    <row r="630" spans="1:21" ht="74.25">
      <c r="A630" s="20">
        <v>786</v>
      </c>
      <c r="B630" s="20" t="str">
        <f>IFERROR(VLOOKUP(A630,DATA_MATRIZ,2,FALSE),"")</f>
        <v>Acción afirmativa: pedagogía cosmovisión palenquera y su Política Pública en Bogotá.</v>
      </c>
      <c r="C630" s="21">
        <f>IFERROR(VLOOKUP(A630,DATA_MATRIZ,3,FALSE),"")</f>
        <v>45500</v>
      </c>
      <c r="D630" s="20" t="str">
        <f>IFERROR(VLOOKUP(A630,DATA_MATRIZ,5,FALSE),"")</f>
        <v>OPDC</v>
      </c>
      <c r="E630" s="20" t="str">
        <f>IFERROR(VLOOKUP(A630,DATA_MATRIZ,9,FALSE),"")</f>
        <v>NO</v>
      </c>
      <c r="F630" s="20" t="str">
        <f>IFERROR(VLOOKUP(A630,DATA_MATRIZ,10,FALSE),"")</f>
        <v>Políticas Públicas</v>
      </c>
      <c r="G630" s="20" t="str">
        <f>IFERROR(VLOOKUP(A630,DATA_MATRIZ,11,FALSE),"")</f>
        <v>Presencial</v>
      </c>
      <c r="H630" s="20" t="str">
        <f>IFERROR(VLOOKUP(A630,DATA_MATRIZ,12,FALSE),"")</f>
        <v xml:space="preserve">Socialización de los elementos representativos del Patrimonio Cultural Inmaterial de la Humanidad del pueblo palenquero y su capitulo dentro de la Política Pública Negra, Afrocolombiana y Palenquera. </v>
      </c>
      <c r="I630" s="20" t="str">
        <f>IFERROR(VLOOKUP(A630,DATA_MATRIZ,13,FALSE),"")</f>
        <v>Mecanismo de Comunicación para la Participación</v>
      </c>
      <c r="J630" s="20" t="str">
        <f>IFERROR(VLOOKUP(A630,DATA_MATRIZ,41,FALSE),"")</f>
        <v>Comunitario</v>
      </c>
      <c r="K630" s="20" t="str">
        <f>IFERROR(VLOOKUP(A630,DATA_MATRIZ,42,FALSE),"")</f>
        <v>Consejo Consultivo</v>
      </c>
      <c r="L630" s="20" t="str">
        <f>IFERROR(VLOOKUP(A630,DATA_MATRIZ,46,FALSE),"")</f>
        <v>Distrital</v>
      </c>
      <c r="M630" s="20" t="str">
        <f>IFERROR(VLOOKUP(A630,DATA_MATRIZ,53,FALSE),"")</f>
        <v>Distrital</v>
      </c>
      <c r="N630" s="20" t="str">
        <f>IFERROR(VLOOKUP(A630,DATA_MATRIZ,60,FALSE),"")</f>
        <v>Distrital</v>
      </c>
      <c r="O630" s="20" t="str">
        <f>IFERROR(VLOOKUP(A630,DATA_MATRIZ,75,FALSE),"")</f>
        <v>NO</v>
      </c>
      <c r="P630" s="20" t="str">
        <f>IFERROR(VLOOKUP(A630,DATA_MATRIZ,76,FALSE),"")</f>
        <v>No aplica</v>
      </c>
      <c r="Q630" s="20">
        <f>IFERROR(VLOOKUP(A630,DATA_MATRIZ,78,FALSE),"")</f>
        <v>46</v>
      </c>
      <c r="R630" s="20">
        <f>IFERROR(VLOOKUP(A630,DATA_MATRIZ,79,FALSE),"")</f>
        <v>9</v>
      </c>
      <c r="S630" s="20" t="str">
        <f>IFERROR(VLOOKUP(A630,DATA_MATRIZ,85,FALSE),"")</f>
        <v>Comunidad palenquera; san Basilio de palenque; unesco</v>
      </c>
      <c r="T630" s="20">
        <f>COUNTA(A630)</f>
        <v>1</v>
      </c>
      <c r="U630" s="20" t="str">
        <f ca="1">IF(C630="", "Indefinida", (IF(C630&lt;TODAY(),"Realizada","Proyectada")))</f>
        <v>Realizada</v>
      </c>
    </row>
    <row r="631" spans="1:21" ht="61.5">
      <c r="A631" s="20">
        <v>787</v>
      </c>
      <c r="B631" s="20" t="str">
        <f>IFERROR(VLOOKUP(A631,DATA_MATRIZ,2,FALSE),"")</f>
        <v>Activación de actores JAC villa Alsacia JAC La Felicidad y Frente de seguridad Hayuelos occidental</v>
      </c>
      <c r="C631" s="21">
        <f>IFERROR(VLOOKUP(A631,DATA_MATRIZ,3,FALSE),"")</f>
        <v>45500</v>
      </c>
      <c r="D631" s="20" t="str">
        <f>IFERROR(VLOOKUP(A631,DATA_MATRIZ,5,FALSE),"")</f>
        <v>OPDC</v>
      </c>
      <c r="E631" s="20" t="str">
        <f>IFERROR(VLOOKUP(A631,DATA_MATRIZ,9,FALSE),"")</f>
        <v>NO</v>
      </c>
      <c r="F631" s="20" t="str">
        <f>IFERROR(VLOOKUP(A631,DATA_MATRIZ,10,FALSE),"")</f>
        <v>Gestión en Territorio</v>
      </c>
      <c r="G631" s="20" t="str">
        <f>IFERROR(VLOOKUP(A631,DATA_MATRIZ,11,FALSE),"")</f>
        <v>Presencial</v>
      </c>
      <c r="H631" s="20" t="str">
        <f>IFERROR(VLOOKUP(A631,DATA_MATRIZ,12,FALSE),"")</f>
        <v>Activar nuevos actores de participacion en la JAC Villa Alsacia y la felicidad</v>
      </c>
      <c r="I631" s="20" t="str">
        <f>IFERROR(VLOOKUP(A631,DATA_MATRIZ,13,FALSE),"")</f>
        <v>Mecanismo de Fortalecimiento Ciudadano para la Planeación Participativa</v>
      </c>
      <c r="J631" s="20" t="str">
        <f>IFERROR(VLOOKUP(A631,DATA_MATRIZ,41,FALSE),"")</f>
        <v>Comunitario</v>
      </c>
      <c r="K631" s="20" t="str">
        <f>IFERROR(VLOOKUP(A631,DATA_MATRIZ,42,FALSE),"")</f>
        <v>ASOJUNTAS - JAC</v>
      </c>
      <c r="L631" s="20" t="str">
        <f>IFERROR(VLOOKUP(A631,DATA_MATRIZ,46,FALSE),"")</f>
        <v>Fontibón</v>
      </c>
      <c r="M631" s="20" t="str">
        <f>IFERROR(VLOOKUP(A631,DATA_MATRIZ,53,FALSE),"")</f>
        <v>Occidente</v>
      </c>
      <c r="N631" s="20" t="str">
        <f>IFERROR(VLOOKUP(A631,DATA_MATRIZ,60,FALSE),"")</f>
        <v>Fontibón</v>
      </c>
      <c r="O631" s="20" t="str">
        <f>IFERROR(VLOOKUP(A631,DATA_MATRIZ,75,FALSE),"")</f>
        <v>NO</v>
      </c>
      <c r="P631" s="20" t="str">
        <f>IFERROR(VLOOKUP(A631,DATA_MATRIZ,76,FALSE),"")</f>
        <v>No aplica</v>
      </c>
      <c r="Q631" s="20">
        <f>IFERROR(VLOOKUP(A631,DATA_MATRIZ,78,FALSE),"")</f>
        <v>2</v>
      </c>
      <c r="R631" s="20">
        <f>IFERROR(VLOOKUP(A631,DATA_MATRIZ,79,FALSE),"")</f>
        <v>1</v>
      </c>
      <c r="S631" s="20" t="str">
        <f>IFERROR(VLOOKUP(A631,DATA_MATRIZ,85,FALSE),"")</f>
        <v>Temas generalidades POT, PIP y PDD</v>
      </c>
      <c r="T631" s="20">
        <f>COUNTA(A631)</f>
        <v>1</v>
      </c>
      <c r="U631" s="20" t="str">
        <f ca="1">IF(C631="", "Indefinida", (IF(C631&lt;TODAY(),"Realizada","Proyectada")))</f>
        <v>Realizada</v>
      </c>
    </row>
    <row r="632" spans="1:21" ht="98.25">
      <c r="A632" s="20">
        <v>788</v>
      </c>
      <c r="B632" s="20" t="str">
        <f>IFERROR(VLOOKUP(A632,DATA_MATRIZ,2,FALSE),"")</f>
        <v>Devolución ciudadana construcción PDD - Sector Suroriente + Ruralidad (Manantial)</v>
      </c>
      <c r="C632" s="21">
        <f>IFERROR(VLOOKUP(A632,DATA_MATRIZ,3,FALSE),"")</f>
        <v>45501</v>
      </c>
      <c r="D632" s="20" t="str">
        <f>IFERROR(VLOOKUP(A632,DATA_MATRIZ,5,FALSE),"")</f>
        <v>OPDC</v>
      </c>
      <c r="E632" s="20" t="str">
        <f>IFERROR(VLOOKUP(A632,DATA_MATRIZ,9,FALSE),"")</f>
        <v>NO</v>
      </c>
      <c r="F632" s="20" t="str">
        <f>IFERROR(VLOOKUP(A632,DATA_MATRIZ,10,FALSE),"")</f>
        <v>Plan Distrital de Desarrollo</v>
      </c>
      <c r="G632" s="20" t="str">
        <f>IFERROR(VLOOKUP(A632,DATA_MATRIZ,11,FALSE),"")</f>
        <v>Presencial</v>
      </c>
      <c r="H632" s="20" t="str">
        <f>IFERROR(VLOOKUP(A632,DATA_MATRIZ,12,FALSE),"")</f>
        <v>Realizar la devolución y rendición de cuentas sobre los resultados de la participación en la formulación del Plan Distrital de Desarrollo y la Socialización del acuerdo adoptado con miras a promover la confianza, apropiación y corresponsabilidad para la futura implementación del plan.</v>
      </c>
      <c r="I632" s="20" t="str">
        <f>IFERROR(VLOOKUP(A632,DATA_MATRIZ,13,FALSE),"")</f>
        <v>Mecanismo de Fortalecimiento Ciudadano para la Planeación Participativa</v>
      </c>
      <c r="J632" s="20" t="str">
        <f>IFERROR(VLOOKUP(A632,DATA_MATRIZ,41,FALSE),"")</f>
        <v>Multiactor</v>
      </c>
      <c r="K632" s="20">
        <f>IFERROR(VLOOKUP(A632,DATA_MATRIZ,42,FALSE),"")</f>
        <v>0</v>
      </c>
      <c r="L632" s="20" t="str">
        <f>IFERROR(VLOOKUP(A632,DATA_MATRIZ,46,FALSE),"")</f>
        <v>Rafael Uribe Uribe</v>
      </c>
      <c r="M632" s="20" t="str">
        <f>IFERROR(VLOOKUP(A632,DATA_MATRIZ,53,FALSE),"")</f>
        <v>Suroriente</v>
      </c>
      <c r="N632" s="20" t="str">
        <f>IFERROR(VLOOKUP(A632,DATA_MATRIZ,60,FALSE),"")</f>
        <v>San Cristobal, Usme Entrenubes, Rafael Uribe, Tunjuelito, Lucero, Arborizadora</v>
      </c>
      <c r="O632" s="20" t="str">
        <f>IFERROR(VLOOKUP(A632,DATA_MATRIZ,75,FALSE),"")</f>
        <v>SÍ</v>
      </c>
      <c r="P632" s="20" t="str">
        <f>IFERROR(VLOOKUP(A632,DATA_MATRIZ,76,FALSE),"")</f>
        <v>Fase IV: Reconocimiento a la Acción Colectiva</v>
      </c>
      <c r="Q632" s="20">
        <f>IFERROR(VLOOKUP(A632,DATA_MATRIZ,78,FALSE),"")</f>
        <v>52</v>
      </c>
      <c r="R632" s="20">
        <f>IFERROR(VLOOKUP(A632,DATA_MATRIZ,79,FALSE),"")</f>
        <v>13</v>
      </c>
      <c r="S632" s="20" t="str">
        <f>IFERROR(VLOOKUP(A632,DATA_MATRIZ,85,FALSE),"")</f>
        <v>Se hace la devolución del Plan Distrital de Desarrrollo para la comunidad del sector sur oriental  San Cristobal, Rafael Uribe Uribe, Tunjuelito, Usme, Ciudad Bolivar.  Se cuenta con una mesa para contarle a la comunidad sobre las actuaciones estratégicas, POT y ruralidad.</v>
      </c>
      <c r="T632" s="20">
        <f>COUNTA(A632)</f>
        <v>1</v>
      </c>
      <c r="U632" s="20" t="str">
        <f ca="1">IF(C632="", "Indefinida", (IF(C632&lt;TODAY(),"Realizada","Proyectada")))</f>
        <v>Realizada</v>
      </c>
    </row>
    <row r="633" spans="1:21" ht="61.5">
      <c r="A633" s="20">
        <v>789</v>
      </c>
      <c r="B633" s="20" t="str">
        <f>IFERROR(VLOOKUP(A633,DATA_MATRIZ,2,FALSE),"")</f>
        <v>Mesa de trabajo - Medios Comunitarios y Alternativos</v>
      </c>
      <c r="C633" s="21">
        <f>IFERROR(VLOOKUP(A633,DATA_MATRIZ,3,FALSE),"")</f>
        <v>45502</v>
      </c>
      <c r="D633" s="20" t="str">
        <f>IFERROR(VLOOKUP(A633,DATA_MATRIZ,5,FALSE),"")</f>
        <v>OPDC</v>
      </c>
      <c r="E633" s="20" t="str">
        <f>IFERROR(VLOOKUP(A633,DATA_MATRIZ,9,FALSE),"")</f>
        <v>NO</v>
      </c>
      <c r="F633" s="20" t="str">
        <f>IFERROR(VLOOKUP(A633,DATA_MATRIZ,10,FALSE),"")</f>
        <v>Planes de Desarrollo Local</v>
      </c>
      <c r="G633" s="20" t="str">
        <f>IFERROR(VLOOKUP(A633,DATA_MATRIZ,11,FALSE),"")</f>
        <v>Virtual</v>
      </c>
      <c r="H633" s="20" t="str">
        <f>IFERROR(VLOOKUP(A633,DATA_MATRIZ,12,FALSE),"")</f>
        <v>Acompañamiento para la aclaración de dudas a la Mesa Distrital de Medios Comunitarios sobre el desarrollo de los Encuentros Ciudadanos para efectos de los planes de inversión para 2024</v>
      </c>
      <c r="I633" s="20" t="str">
        <f>IFERROR(VLOOKUP(A633,DATA_MATRIZ,13,FALSE),"")</f>
        <v>Mecanismo de Diálogo</v>
      </c>
      <c r="J633" s="20" t="str">
        <f>IFERROR(VLOOKUP(A633,DATA_MATRIZ,41,FALSE),"")</f>
        <v>Formador de opinión</v>
      </c>
      <c r="K633" s="20">
        <f>IFERROR(VLOOKUP(A633,DATA_MATRIZ,42,FALSE),"")</f>
        <v>0</v>
      </c>
      <c r="L633" s="20" t="str">
        <f>IFERROR(VLOOKUP(A633,DATA_MATRIZ,46,FALSE),"")</f>
        <v>Distrital</v>
      </c>
      <c r="M633" s="20" t="str">
        <f>IFERROR(VLOOKUP(A633,DATA_MATRIZ,53,FALSE),"")</f>
        <v>Distrital</v>
      </c>
      <c r="N633" s="20" t="str">
        <f>IFERROR(VLOOKUP(A633,DATA_MATRIZ,60,FALSE),"")</f>
        <v>Distrital</v>
      </c>
      <c r="O633" s="20" t="str">
        <f>IFERROR(VLOOKUP(A633,DATA_MATRIZ,75,FALSE),"")</f>
        <v>NO</v>
      </c>
      <c r="P633" s="20" t="str">
        <f>IFERROR(VLOOKUP(A633,DATA_MATRIZ,76,FALSE),"")</f>
        <v>No aplica</v>
      </c>
      <c r="Q633" s="20">
        <f>IFERROR(VLOOKUP(A633,DATA_MATRIZ,78,FALSE),"")</f>
        <v>5</v>
      </c>
      <c r="R633" s="20">
        <f>IFERROR(VLOOKUP(A633,DATA_MATRIZ,79,FALSE),"")</f>
        <v>2</v>
      </c>
      <c r="S633" s="20" t="str">
        <f>IFERROR(VLOOKUP(A633,DATA_MATRIZ,85,FALSE),"")</f>
        <v>Dudas de la Mesa Distrital de Medios Comunitarios sobre el PDD y los presupuestos participativos</v>
      </c>
      <c r="T633" s="20">
        <f>COUNTA(A633)</f>
        <v>1</v>
      </c>
      <c r="U633" s="20" t="str">
        <f ca="1">IF(C633="", "Indefinida", (IF(C633&lt;TODAY(),"Realizada","Proyectada")))</f>
        <v>Realizada</v>
      </c>
    </row>
    <row r="634" spans="1:21" ht="49.5">
      <c r="A634" s="20">
        <v>790</v>
      </c>
      <c r="B634" s="20" t="str">
        <f>IFERROR(VLOOKUP(A634,DATA_MATRIZ,2,FALSE),"")</f>
        <v>Comité Técnico CTPD</v>
      </c>
      <c r="C634" s="21">
        <f>IFERROR(VLOOKUP(A634,DATA_MATRIZ,3,FALSE),"")</f>
        <v>45502</v>
      </c>
      <c r="D634" s="20" t="str">
        <f>IFERROR(VLOOKUP(A634,DATA_MATRIZ,5,FALSE),"")</f>
        <v>INSTANCIAS</v>
      </c>
      <c r="E634" s="20" t="str">
        <f>IFERROR(VLOOKUP(A634,DATA_MATRIZ,9,FALSE),"")</f>
        <v>NO</v>
      </c>
      <c r="F634" s="20" t="str">
        <f>IFERROR(VLOOKUP(A634,DATA_MATRIZ,10,FALSE),"")</f>
        <v>CTPD (Consejo Territorial de Planeación Distrital)</v>
      </c>
      <c r="G634" s="20" t="str">
        <f>IFERROR(VLOOKUP(A634,DATA_MATRIZ,11,FALSE),"")</f>
        <v>Presencial</v>
      </c>
      <c r="H634" s="20" t="str">
        <f>IFERROR(VLOOKUP(A634,DATA_MATRIZ,12,FALSE),"")</f>
        <v>Revisar el avance del convenio interadministrativo UNAD</v>
      </c>
      <c r="I634" s="20" t="str">
        <f>IFERROR(VLOOKUP(A634,DATA_MATRIZ,13,FALSE),"")</f>
        <v>Mecanismo de Seguimiento y Evaluación</v>
      </c>
      <c r="J634" s="20" t="str">
        <f>IFERROR(VLOOKUP(A634,DATA_MATRIZ,41,FALSE),"")</f>
        <v>Comunitario</v>
      </c>
      <c r="K634" s="20" t="str">
        <f>IFERROR(VLOOKUP(A634,DATA_MATRIZ,42,FALSE),"")</f>
        <v>CTPD</v>
      </c>
      <c r="L634" s="20" t="str">
        <f>IFERROR(VLOOKUP(A634,DATA_MATRIZ,46,FALSE),"")</f>
        <v>Distrital</v>
      </c>
      <c r="M634" s="20" t="str">
        <f>IFERROR(VLOOKUP(A634,DATA_MATRIZ,53,FALSE),"")</f>
        <v>Distrital</v>
      </c>
      <c r="N634" s="20" t="str">
        <f>IFERROR(VLOOKUP(A634,DATA_MATRIZ,60,FALSE),"")</f>
        <v>Distrital</v>
      </c>
      <c r="O634" s="20" t="str">
        <f>IFERROR(VLOOKUP(A634,DATA_MATRIZ,75,FALSE),"")</f>
        <v>NO</v>
      </c>
      <c r="P634" s="20" t="str">
        <f>IFERROR(VLOOKUP(A634,DATA_MATRIZ,76,FALSE),"")</f>
        <v>No aplica</v>
      </c>
      <c r="Q634" s="20">
        <f>IFERROR(VLOOKUP(A634,DATA_MATRIZ,78,FALSE),"")</f>
        <v>4</v>
      </c>
      <c r="R634" s="20">
        <f>IFERROR(VLOOKUP(A634,DATA_MATRIZ,79,FALSE),"")</f>
        <v>4</v>
      </c>
      <c r="S634" s="20" t="str">
        <f>IFERROR(VLOOKUP(A634,DATA_MATRIZ,85,FALSE),"")</f>
        <v>Prorróga del Convenio Interadministrativo</v>
      </c>
      <c r="T634" s="20">
        <f>COUNTA(A634)</f>
        <v>1</v>
      </c>
      <c r="U634" s="20" t="str">
        <f ca="1">IF(C634="", "Indefinida", (IF(C634&lt;TODAY(),"Realizada","Proyectada")))</f>
        <v>Realizada</v>
      </c>
    </row>
    <row r="635" spans="1:21" ht="61.5">
      <c r="A635" s="20">
        <v>791</v>
      </c>
      <c r="B635" s="20" t="str">
        <f>IFERROR(VLOOKUP(A635,DATA_MATRIZ,2,FALSE),"")</f>
        <v>CLIP Martires</v>
      </c>
      <c r="C635" s="21">
        <f>IFERROR(VLOOKUP(A635,DATA_MATRIZ,3,FALSE),"")</f>
        <v>45503</v>
      </c>
      <c r="D635" s="20" t="str">
        <f>IFERROR(VLOOKUP(A635,DATA_MATRIZ,5,FALSE),"")</f>
        <v>INSTANCIAS</v>
      </c>
      <c r="E635" s="20" t="str">
        <f>IFERROR(VLOOKUP(A635,DATA_MATRIZ,9,FALSE),"")</f>
        <v>NO</v>
      </c>
      <c r="F635" s="20" t="str">
        <f>IFERROR(VLOOKUP(A635,DATA_MATRIZ,10,FALSE),"")</f>
        <v>CLIP (Comisión Local Intersectorial de Participación)</v>
      </c>
      <c r="G635" s="20" t="str">
        <f>IFERROR(VLOOKUP(A635,DATA_MATRIZ,11,FALSE),"")</f>
        <v>Presencial</v>
      </c>
      <c r="H635" s="20" t="str">
        <f>IFERROR(VLOOKUP(A635,DATA_MATRIZ,12,FALSE),"")</f>
        <v xml:space="preserve">Acompañar la sesión de la CLIP, para la articulación de los esfuerzos institucionales de participación en la localidad de Los Martires.
</v>
      </c>
      <c r="I635" s="20" t="str">
        <f>IFERROR(VLOOKUP(A635,DATA_MATRIZ,13,FALSE),"")</f>
        <v>Mecanismo de Seguimiento y Evaluación</v>
      </c>
      <c r="J635" s="20" t="str">
        <f>IFERROR(VLOOKUP(A635,DATA_MATRIZ,41,FALSE),"")</f>
        <v>Público</v>
      </c>
      <c r="K635" s="20" t="str">
        <f>IFERROR(VLOOKUP(A635,DATA_MATRIZ,42,FALSE),"")</f>
        <v>CLIP</v>
      </c>
      <c r="L635" s="20" t="str">
        <f>IFERROR(VLOOKUP(A635,DATA_MATRIZ,46,FALSE),"")</f>
        <v>Los Mártires</v>
      </c>
      <c r="M635" s="20" t="str">
        <f>IFERROR(VLOOKUP(A635,DATA_MATRIZ,53,FALSE),"")</f>
        <v>Centro Ampliado</v>
      </c>
      <c r="N635" s="20" t="str">
        <f>IFERROR(VLOOKUP(A635,DATA_MATRIZ,60,FALSE),"")</f>
        <v>Centro Histórico</v>
      </c>
      <c r="O635" s="20" t="str">
        <f>IFERROR(VLOOKUP(A635,DATA_MATRIZ,75,FALSE),"")</f>
        <v>NO</v>
      </c>
      <c r="P635" s="20" t="str">
        <f>IFERROR(VLOOKUP(A635,DATA_MATRIZ,76,FALSE),"")</f>
        <v>No aplica</v>
      </c>
      <c r="Q635" s="20">
        <f>IFERROR(VLOOKUP(A635,DATA_MATRIZ,78,FALSE),"")</f>
        <v>14</v>
      </c>
      <c r="R635" s="20">
        <f>IFERROR(VLOOKUP(A635,DATA_MATRIZ,79,FALSE),"")</f>
        <v>1</v>
      </c>
      <c r="S635" s="20" t="str">
        <f>IFERROR(VLOOKUP(A635,DATA_MATRIZ,85,FALSE),"")</f>
        <v>Los temas tratados fueron las mesas de concertación para el PLD - Plan Local de Desarrollo y las fechas en la que podrian llevarse acabo.</v>
      </c>
      <c r="T635" s="20">
        <f>COUNTA(A635)</f>
        <v>1</v>
      </c>
      <c r="U635" s="20" t="str">
        <f ca="1">IF(C635="", "Indefinida", (IF(C635&lt;TODAY(),"Realizada","Proyectada")))</f>
        <v>Realizada</v>
      </c>
    </row>
    <row r="636" spans="1:21" ht="49.5">
      <c r="A636" s="20">
        <v>792</v>
      </c>
      <c r="B636" s="20" t="str">
        <f>IFERROR(VLOOKUP(A636,DATA_MATRIZ,2,FALSE),"")</f>
        <v>Plenaria CTPD</v>
      </c>
      <c r="C636" s="21">
        <f>IFERROR(VLOOKUP(A636,DATA_MATRIZ,3,FALSE),"")</f>
        <v>45503</v>
      </c>
      <c r="D636" s="20" t="str">
        <f>IFERROR(VLOOKUP(A636,DATA_MATRIZ,5,FALSE),"")</f>
        <v>INSTANCIAS</v>
      </c>
      <c r="E636" s="20" t="str">
        <f>IFERROR(VLOOKUP(A636,DATA_MATRIZ,9,FALSE),"")</f>
        <v>NO</v>
      </c>
      <c r="F636" s="20" t="str">
        <f>IFERROR(VLOOKUP(A636,DATA_MATRIZ,10,FALSE),"")</f>
        <v>CTPD (Consejo Territorial de Planeación Distrital)</v>
      </c>
      <c r="G636" s="20" t="str">
        <f>IFERROR(VLOOKUP(A636,DATA_MATRIZ,11,FALSE),"")</f>
        <v>Virtual</v>
      </c>
      <c r="H636" s="20" t="str">
        <f>IFERROR(VLOOKUP(A636,DATA_MATRIZ,12,FALSE),"")</f>
        <v>Sesión Ordinaria Plenaria CTPD</v>
      </c>
      <c r="I636" s="20" t="str">
        <f>IFERROR(VLOOKUP(A636,DATA_MATRIZ,13,FALSE),"")</f>
        <v>Mecanismo de Seguimiento y Evaluación</v>
      </c>
      <c r="J636" s="20" t="str">
        <f>IFERROR(VLOOKUP(A636,DATA_MATRIZ,41,FALSE),"")</f>
        <v>Comunitario</v>
      </c>
      <c r="K636" s="20" t="str">
        <f>IFERROR(VLOOKUP(A636,DATA_MATRIZ,42,FALSE),"")</f>
        <v>CTPD</v>
      </c>
      <c r="L636" s="20" t="str">
        <f>IFERROR(VLOOKUP(A636,DATA_MATRIZ,46,FALSE),"")</f>
        <v>Distrital</v>
      </c>
      <c r="M636" s="20" t="str">
        <f>IFERROR(VLOOKUP(A636,DATA_MATRIZ,53,FALSE),"")</f>
        <v>Distrital</v>
      </c>
      <c r="N636" s="20" t="str">
        <f>IFERROR(VLOOKUP(A636,DATA_MATRIZ,60,FALSE),"")</f>
        <v>Distrital</v>
      </c>
      <c r="O636" s="20" t="str">
        <f>IFERROR(VLOOKUP(A636,DATA_MATRIZ,75,FALSE),"")</f>
        <v>NO</v>
      </c>
      <c r="P636" s="20" t="str">
        <f>IFERROR(VLOOKUP(A636,DATA_MATRIZ,76,FALSE),"")</f>
        <v>No aplica</v>
      </c>
      <c r="Q636" s="20">
        <f>IFERROR(VLOOKUP(A636,DATA_MATRIZ,78,FALSE),"")</f>
        <v>73</v>
      </c>
      <c r="R636" s="20">
        <f>IFERROR(VLOOKUP(A636,DATA_MATRIZ,79,FALSE),"")</f>
        <v>2</v>
      </c>
      <c r="S636" s="20" t="str">
        <f>IFERROR(VLOOKUP(A636,DATA_MATRIZ,85,FALSE),"")</f>
        <v>Elección del Delegado al RAP-E</v>
      </c>
      <c r="T636" s="20">
        <f>COUNTA(A636)</f>
        <v>1</v>
      </c>
      <c r="U636" s="20" t="str">
        <f ca="1">IF(C636="", "Indefinida", (IF(C636&lt;TODAY(),"Realizada","Proyectada")))</f>
        <v>Realizada</v>
      </c>
    </row>
    <row r="637" spans="1:21" ht="61.5">
      <c r="A637" s="20">
        <v>793</v>
      </c>
      <c r="B637" s="20" t="str">
        <f>IFERROR(VLOOKUP(A637,DATA_MATRIZ,2,FALSE),"")</f>
        <v>Activación actores UPL Salitre - JAC Normandia</v>
      </c>
      <c r="C637" s="21">
        <f>IFERROR(VLOOKUP(A637,DATA_MATRIZ,3,FALSE),"")</f>
        <v>45504</v>
      </c>
      <c r="D637" s="20" t="str">
        <f>IFERROR(VLOOKUP(A637,DATA_MATRIZ,5,FALSE),"")</f>
        <v>OPDC</v>
      </c>
      <c r="E637" s="20" t="str">
        <f>IFERROR(VLOOKUP(A637,DATA_MATRIZ,9,FALSE),"")</f>
        <v>NO</v>
      </c>
      <c r="F637" s="20" t="str">
        <f>IFERROR(VLOOKUP(A637,DATA_MATRIZ,10,FALSE),"")</f>
        <v>Gestión en Territorio</v>
      </c>
      <c r="G637" s="20" t="str">
        <f>IFERROR(VLOOKUP(A637,DATA_MATRIZ,11,FALSE),"")</f>
        <v>Presencial</v>
      </c>
      <c r="H637" s="20" t="str">
        <f>IFERROR(VLOOKUP(A637,DATA_MATRIZ,12,FALSE),"")</f>
        <v>Activar nuevos actores de participacion en la UPL Salitre.</v>
      </c>
      <c r="I637" s="20" t="str">
        <f>IFERROR(VLOOKUP(A637,DATA_MATRIZ,13,FALSE),"")</f>
        <v>Mecanismo de Fortalecimiento Ciudadano para la Planeación Participativa</v>
      </c>
      <c r="J637" s="20" t="str">
        <f>IFERROR(VLOOKUP(A637,DATA_MATRIZ,41,FALSE),"")</f>
        <v>Comunitario</v>
      </c>
      <c r="K637" s="20" t="str">
        <f>IFERROR(VLOOKUP(A637,DATA_MATRIZ,42,FALSE),"")</f>
        <v>ASOJUNTAS - JAC</v>
      </c>
      <c r="L637" s="20" t="str">
        <f>IFERROR(VLOOKUP(A637,DATA_MATRIZ,46,FALSE),"")</f>
        <v>Engativá</v>
      </c>
      <c r="M637" s="20" t="str">
        <f>IFERROR(VLOOKUP(A637,DATA_MATRIZ,53,FALSE),"")</f>
        <v>Occidente</v>
      </c>
      <c r="N637" s="20" t="str">
        <f>IFERROR(VLOOKUP(A637,DATA_MATRIZ,60,FALSE),"")</f>
        <v>Engativá</v>
      </c>
      <c r="O637" s="20" t="str">
        <f>IFERROR(VLOOKUP(A637,DATA_MATRIZ,75,FALSE),"")</f>
        <v>NO</v>
      </c>
      <c r="P637" s="20" t="str">
        <f>IFERROR(VLOOKUP(A637,DATA_MATRIZ,76,FALSE),"")</f>
        <v>No aplica</v>
      </c>
      <c r="Q637" s="20">
        <f>IFERROR(VLOOKUP(A637,DATA_MATRIZ,78,FALSE),"")</f>
        <v>4</v>
      </c>
      <c r="R637" s="20">
        <f>IFERROR(VLOOKUP(A637,DATA_MATRIZ,79,FALSE),"")</f>
        <v>1</v>
      </c>
      <c r="S637" s="20" t="str">
        <f>IFERROR(VLOOKUP(A637,DATA_MATRIZ,85,FALSE),"")</f>
        <v>Devolución PDD sector Occidente, POT y PIP UPL Salitre</v>
      </c>
      <c r="T637" s="20">
        <f>COUNTA(A637)</f>
        <v>1</v>
      </c>
      <c r="U637" s="20" t="str">
        <f ca="1">IF(C637="", "Indefinida", (IF(C637&lt;TODAY(),"Realizada","Proyectada")))</f>
        <v>Realizada</v>
      </c>
    </row>
    <row r="638" spans="1:21" ht="37.5">
      <c r="A638" s="20">
        <v>794</v>
      </c>
      <c r="B638" s="20" t="str">
        <f>IFERROR(VLOOKUP(A638,DATA_MATRIZ,2,FALSE),"")</f>
        <v>Reunión de articulación Fundación 2050 y SIS</v>
      </c>
      <c r="C638" s="21">
        <f>IFERROR(VLOOKUP(A638,DATA_MATRIZ,3,FALSE),"")</f>
        <v>45505</v>
      </c>
      <c r="D638" s="20" t="str">
        <f>IFERROR(VLOOKUP(A638,DATA_MATRIZ,5,FALSE),"")</f>
        <v>OPDC</v>
      </c>
      <c r="E638" s="20" t="str">
        <f>IFERROR(VLOOKUP(A638,DATA_MATRIZ,9,FALSE),"")</f>
        <v>NO</v>
      </c>
      <c r="F638" s="20" t="str">
        <f>IFERROR(VLOOKUP(A638,DATA_MATRIZ,10,FALSE),"")</f>
        <v>Escenarios individuales</v>
      </c>
      <c r="G638" s="20" t="str">
        <f>IFERROR(VLOOKUP(A638,DATA_MATRIZ,11,FALSE),"")</f>
        <v>Presencial</v>
      </c>
      <c r="H638" s="20" t="str">
        <f>IFERROR(VLOOKUP(A638,DATA_MATRIZ,12,FALSE),"")</f>
        <v xml:space="preserve">Articular propuesta de la Fundación 2050 con la agenda de la SIS </v>
      </c>
      <c r="I638" s="20" t="str">
        <f>IFERROR(VLOOKUP(A638,DATA_MATRIZ,13,FALSE),"")</f>
        <v>Gestión Institucional</v>
      </c>
      <c r="J638" s="20" t="str">
        <f>IFERROR(VLOOKUP(A638,DATA_MATRIZ,41,FALSE),"")</f>
        <v>Multiactor</v>
      </c>
      <c r="K638" s="20">
        <f>IFERROR(VLOOKUP(A638,DATA_MATRIZ,42,FALSE),"")</f>
        <v>0</v>
      </c>
      <c r="L638" s="20" t="str">
        <f>IFERROR(VLOOKUP(A638,DATA_MATRIZ,46,FALSE),"")</f>
        <v>Distrital</v>
      </c>
      <c r="M638" s="20" t="str">
        <f>IFERROR(VLOOKUP(A638,DATA_MATRIZ,53,FALSE),"")</f>
        <v>Distrital</v>
      </c>
      <c r="N638" s="20" t="str">
        <f>IFERROR(VLOOKUP(A638,DATA_MATRIZ,60,FALSE),"")</f>
        <v>Distrital</v>
      </c>
      <c r="O638" s="20" t="str">
        <f>IFERROR(VLOOKUP(A638,DATA_MATRIZ,75,FALSE),"")</f>
        <v>NO</v>
      </c>
      <c r="P638" s="20" t="str">
        <f>IFERROR(VLOOKUP(A638,DATA_MATRIZ,76,FALSE),"")</f>
        <v>No aplica</v>
      </c>
      <c r="Q638" s="20">
        <f>IFERROR(VLOOKUP(A638,DATA_MATRIZ,78,FALSE),"")</f>
        <v>3</v>
      </c>
      <c r="R638" s="20">
        <f>IFERROR(VLOOKUP(A638,DATA_MATRIZ,79,FALSE),"")</f>
        <v>2</v>
      </c>
      <c r="S638" s="20" t="str">
        <f>IFERROR(VLOOKUP(A638,DATA_MATRIZ,85,FALSE),"")</f>
        <v>Se presento la propuesta de articulación entre la Fundación 2050 y la Subsecretaria de juventud en el tema de concejos de juventud.</v>
      </c>
      <c r="T638" s="20">
        <f>COUNTA(A638)</f>
        <v>1</v>
      </c>
      <c r="U638" s="20" t="str">
        <f ca="1">IF(C638="", "Indefinida", (IF(C638&lt;TODAY(),"Realizada","Proyectada")))</f>
        <v>Realizada</v>
      </c>
    </row>
    <row r="639" spans="1:21" ht="61.5">
      <c r="A639" s="20">
        <v>795</v>
      </c>
      <c r="B639" s="20" t="str">
        <f>IFERROR(VLOOKUP(A639,DATA_MATRIZ,2,FALSE),"")</f>
        <v>Devolución PDD población LGBTI</v>
      </c>
      <c r="C639" s="21">
        <f>IFERROR(VLOOKUP(A639,DATA_MATRIZ,3,FALSE),"")</f>
        <v>45505</v>
      </c>
      <c r="D639" s="20" t="str">
        <f>IFERROR(VLOOKUP(A639,DATA_MATRIZ,5,FALSE),"")</f>
        <v>GENERAL SDP</v>
      </c>
      <c r="E639" s="20" t="str">
        <f>IFERROR(VLOOKUP(A639,DATA_MATRIZ,9,FALSE),"")</f>
        <v>NO</v>
      </c>
      <c r="F639" s="20" t="str">
        <f>IFERROR(VLOOKUP(A639,DATA_MATRIZ,10,FALSE),"")</f>
        <v>Política Pública LGBTI</v>
      </c>
      <c r="G639" s="20" t="str">
        <f>IFERROR(VLOOKUP(A639,DATA_MATRIZ,11,FALSE),"")</f>
        <v>Presencial</v>
      </c>
      <c r="H639" s="20" t="str">
        <f>IFERROR(VLOOKUP(A639,DATA_MATRIZ,12,FALSE),"")</f>
        <v>Realizar evento para devolución de plan distrital de desarrollo a sector poblacional LGBTI</v>
      </c>
      <c r="I639" s="20" t="str">
        <f>IFERROR(VLOOKUP(A639,DATA_MATRIZ,13,FALSE),"")</f>
        <v>Mecanismo de Fortalecimiento Ciudadano para la Planeación Participativa</v>
      </c>
      <c r="J639" s="20" t="str">
        <f>IFERROR(VLOOKUP(A639,DATA_MATRIZ,41,FALSE),"")</f>
        <v>Multiactor</v>
      </c>
      <c r="K639" s="20">
        <f>IFERROR(VLOOKUP(A639,DATA_MATRIZ,42,FALSE),"")</f>
        <v>0</v>
      </c>
      <c r="L639" s="20" t="str">
        <f>IFERROR(VLOOKUP(A639,DATA_MATRIZ,46,FALSE),"")</f>
        <v>Teusaquillo</v>
      </c>
      <c r="M639" s="20" t="str">
        <f>IFERROR(VLOOKUP(A639,DATA_MATRIZ,53,FALSE),"")</f>
        <v>Centro Ampliado</v>
      </c>
      <c r="N639" s="20" t="str">
        <f>IFERROR(VLOOKUP(A639,DATA_MATRIZ,60,FALSE),"")</f>
        <v>Teusaquillo</v>
      </c>
      <c r="O639" s="20" t="str">
        <f>IFERROR(VLOOKUP(A639,DATA_MATRIZ,75,FALSE),"")</f>
        <v>SÍ</v>
      </c>
      <c r="P639" s="20" t="str">
        <f>IFERROR(VLOOKUP(A639,DATA_MATRIZ,76,FALSE),"")</f>
        <v>Fase IV: Reconocimiento a la Acción Colectiva</v>
      </c>
      <c r="Q639" s="20">
        <f>IFERROR(VLOOKUP(A639,DATA_MATRIZ,78,FALSE),"")</f>
        <v>17</v>
      </c>
      <c r="R639" s="20">
        <f>IFERROR(VLOOKUP(A639,DATA_MATRIZ,79,FALSE),"")</f>
        <v>4</v>
      </c>
      <c r="S639" s="20" t="str">
        <f>IFERROR(VLOOKUP(A639,DATA_MATRIZ,85,FALSE),"")</f>
        <v>Se realizo dialogo ciudadano donde se presentaron que metas quedaron en el plan distrital de desarrollo para el sector poblacional LGBTI.</v>
      </c>
      <c r="T639" s="20">
        <f>COUNTA(A639)</f>
        <v>1</v>
      </c>
      <c r="U639" s="20" t="str">
        <f ca="1">IF(C639="", "Indefinida", (IF(C639&lt;TODAY(),"Realizada","Proyectada")))</f>
        <v>Realizada</v>
      </c>
    </row>
    <row r="640" spans="1:21" ht="37.5">
      <c r="A640" s="20">
        <v>796</v>
      </c>
      <c r="B640" s="20" t="str">
        <f>IFERROR(VLOOKUP(A640,DATA_MATRIZ,2,FALSE),"")</f>
        <v>Mesa de trabajo - Comité Ciudadano AEDA Fontibón</v>
      </c>
      <c r="C640" s="21">
        <f>IFERROR(VLOOKUP(A640,DATA_MATRIZ,3,FALSE),"")</f>
        <v>45506</v>
      </c>
      <c r="D640" s="20" t="str">
        <f>IFERROR(VLOOKUP(A640,DATA_MATRIZ,5,FALSE),"")</f>
        <v>OPDC</v>
      </c>
      <c r="E640" s="20" t="str">
        <f>IFERROR(VLOOKUP(A640,DATA_MATRIZ,9,FALSE),"")</f>
        <v>SÍ</v>
      </c>
      <c r="F640" s="20" t="str">
        <f>IFERROR(VLOOKUP(A640,DATA_MATRIZ,10,FALSE),"")</f>
        <v>Formulación de Actuaciones Estratégicas</v>
      </c>
      <c r="G640" s="20" t="str">
        <f>IFERROR(VLOOKUP(A640,DATA_MATRIZ,11,FALSE),"")</f>
        <v>Presencial</v>
      </c>
      <c r="H640" s="20" t="str">
        <f>IFERROR(VLOOKUP(A640,DATA_MATRIZ,12,FALSE),"")</f>
        <v>Establecer el alcance del comité ciudadano frente a la AEDA Fontibón</v>
      </c>
      <c r="I640" s="20" t="str">
        <f>IFERROR(VLOOKUP(A640,DATA_MATRIZ,13,FALSE),"")</f>
        <v>Mecanismo de Diálogo</v>
      </c>
      <c r="J640" s="20" t="str">
        <f>IFERROR(VLOOKUP(A640,DATA_MATRIZ,41,FALSE),"")</f>
        <v>Comunitario</v>
      </c>
      <c r="K640" s="20" t="str">
        <f>IFERROR(VLOOKUP(A640,DATA_MATRIZ,42,FALSE),"")</f>
        <v>Organización o veeduría ciudadana</v>
      </c>
      <c r="L640" s="20" t="str">
        <f>IFERROR(VLOOKUP(A640,DATA_MATRIZ,46,FALSE),"")</f>
        <v>Fontibón, Engativá</v>
      </c>
      <c r="M640" s="20" t="str">
        <f>IFERROR(VLOOKUP(A640,DATA_MATRIZ,53,FALSE),"")</f>
        <v>Occidente</v>
      </c>
      <c r="N640" s="20" t="str">
        <f>IFERROR(VLOOKUP(A640,DATA_MATRIZ,60,FALSE),"")</f>
        <v>Fontibón</v>
      </c>
      <c r="O640" s="20" t="str">
        <f>IFERROR(VLOOKUP(A640,DATA_MATRIZ,75,FALSE),"")</f>
        <v>NO</v>
      </c>
      <c r="P640" s="20" t="str">
        <f>IFERROR(VLOOKUP(A640,DATA_MATRIZ,76,FALSE),"")</f>
        <v>No aplica</v>
      </c>
      <c r="Q640" s="20">
        <f>IFERROR(VLOOKUP(A640,DATA_MATRIZ,78,FALSE),"")</f>
        <v>5</v>
      </c>
      <c r="R640" s="20">
        <f>IFERROR(VLOOKUP(A640,DATA_MATRIZ,79,FALSE),"")</f>
        <v>5</v>
      </c>
      <c r="S640" s="20" t="str">
        <f>IFERROR(VLOOKUP(A640,DATA_MATRIZ,85,FALSE),"")</f>
        <v>Avances en la formulación de la AE y definiciones frente al alcance del Comité Ciudadano.</v>
      </c>
      <c r="T640" s="20">
        <f>COUNTA(A640)</f>
        <v>1</v>
      </c>
      <c r="U640" s="20" t="str">
        <f ca="1">IF(C640="", "Indefinida", (IF(C640&lt;TODAY(),"Realizada","Proyectada")))</f>
        <v>Realizada</v>
      </c>
    </row>
    <row r="641" spans="1:21" ht="61.5">
      <c r="A641" s="20">
        <v>797</v>
      </c>
      <c r="B641" s="20" t="str">
        <f>IFERROR(VLOOKUP(A641,DATA_MATRIZ,2,FALSE),"")</f>
        <v>Fortalecimiento de actores 20 encuestas SISBEN UPL 3 - Arborizadora</v>
      </c>
      <c r="C641" s="21">
        <f>IFERROR(VLOOKUP(A641,DATA_MATRIZ,3,FALSE),"")</f>
        <v>45508</v>
      </c>
      <c r="D641" s="20" t="str">
        <f>IFERROR(VLOOKUP(A641,DATA_MATRIZ,5,FALSE),"")</f>
        <v>OPDC</v>
      </c>
      <c r="E641" s="20" t="str">
        <f>IFERROR(VLOOKUP(A641,DATA_MATRIZ,9,FALSE),"")</f>
        <v>NO</v>
      </c>
      <c r="F641" s="20" t="str">
        <f>IFERROR(VLOOKUP(A641,DATA_MATRIZ,10,FALSE),"")</f>
        <v xml:space="preserve">Fortalecimiento de actores por UPL - Encuestas SISBÉN </v>
      </c>
      <c r="G641" s="20" t="str">
        <f>IFERROR(VLOOKUP(A641,DATA_MATRIZ,11,FALSE),"")</f>
        <v>Presencial</v>
      </c>
      <c r="H641" s="20" t="str">
        <f>IFERROR(VLOOKUP(A641,DATA_MATRIZ,12,FALSE),"")</f>
        <v>Vincular nuevos actores estratégicos a la planeación para la participación a través de la aplicación de las encuestas SISBEN</v>
      </c>
      <c r="I641" s="20" t="str">
        <f>IFERROR(VLOOKUP(A641,DATA_MATRIZ,13,FALSE),"")</f>
        <v>Mecanismo de Fortalecimiento Ciudadano para la Planeación Participativa</v>
      </c>
      <c r="J641" s="20" t="str">
        <f>IFERROR(VLOOKUP(A641,DATA_MATRIZ,41,FALSE),"")</f>
        <v>Individual</v>
      </c>
      <c r="K641" s="20">
        <f>IFERROR(VLOOKUP(A641,DATA_MATRIZ,42,FALSE),"")</f>
        <v>0</v>
      </c>
      <c r="L641" s="20" t="str">
        <f>IFERROR(VLOOKUP(A641,DATA_MATRIZ,46,FALSE),"")</f>
        <v>Ciudad Bolívar, Tunjuelito</v>
      </c>
      <c r="M641" s="20" t="str">
        <f>IFERROR(VLOOKUP(A641,DATA_MATRIZ,53,FALSE),"")</f>
        <v>Suroriente</v>
      </c>
      <c r="N641" s="20" t="str">
        <f>IFERROR(VLOOKUP(A641,DATA_MATRIZ,60,FALSE),"")</f>
        <v>Arborizadora</v>
      </c>
      <c r="O641" s="20" t="str">
        <f>IFERROR(VLOOKUP(A641,DATA_MATRIZ,75,FALSE),"")</f>
        <v>NO</v>
      </c>
      <c r="P641" s="20" t="str">
        <f>IFERROR(VLOOKUP(A641,DATA_MATRIZ,76,FALSE),"")</f>
        <v>No aplica</v>
      </c>
      <c r="Q641" s="20">
        <f>IFERROR(VLOOKUP(A641,DATA_MATRIZ,78,FALSE),"")</f>
        <v>0</v>
      </c>
      <c r="R641" s="20">
        <f>IFERROR(VLOOKUP(A641,DATA_MATRIZ,79,FALSE),"")</f>
        <v>1</v>
      </c>
      <c r="S641" s="20">
        <f>IFERROR(VLOOKUP(A641,DATA_MATRIZ,85,FALSE),"")</f>
        <v>0</v>
      </c>
      <c r="T641" s="20">
        <f>COUNTA(A641)</f>
        <v>1</v>
      </c>
      <c r="U641" s="20" t="str">
        <f ca="1">IF(C641="", "Indefinida", (IF(C641&lt;TODAY(),"Realizada","Proyectada")))</f>
        <v>Realizada</v>
      </c>
    </row>
    <row r="642" spans="1:21" ht="61.5">
      <c r="A642" s="20">
        <v>798</v>
      </c>
      <c r="B642" s="20" t="str">
        <f>IFERROR(VLOOKUP(A642,DATA_MATRIZ,2,FALSE),"")</f>
        <v>Fortalecimiento de actores 20 encuestas SISBEN UPL 4 - Lucero</v>
      </c>
      <c r="C642" s="21">
        <f>IFERROR(VLOOKUP(A642,DATA_MATRIZ,3,FALSE),"")</f>
        <v>45508</v>
      </c>
      <c r="D642" s="20" t="str">
        <f>IFERROR(VLOOKUP(A642,DATA_MATRIZ,5,FALSE),"")</f>
        <v>OPDC</v>
      </c>
      <c r="E642" s="20" t="str">
        <f>IFERROR(VLOOKUP(A642,DATA_MATRIZ,9,FALSE),"")</f>
        <v>NO</v>
      </c>
      <c r="F642" s="20" t="str">
        <f>IFERROR(VLOOKUP(A642,DATA_MATRIZ,10,FALSE),"")</f>
        <v xml:space="preserve">Fortalecimiento de actores por UPL - Encuestas SISBÉN </v>
      </c>
      <c r="G642" s="20" t="str">
        <f>IFERROR(VLOOKUP(A642,DATA_MATRIZ,11,FALSE),"")</f>
        <v>Presencial</v>
      </c>
      <c r="H642" s="20" t="str">
        <f>IFERROR(VLOOKUP(A642,DATA_MATRIZ,12,FALSE),"")</f>
        <v>Vincular nuevos actores estratégicos a la planeación para la participación a través de la aplicación de las encuestas SISBEN</v>
      </c>
      <c r="I642" s="20" t="str">
        <f>IFERROR(VLOOKUP(A642,DATA_MATRIZ,13,FALSE),"")</f>
        <v>Mecanismo de Fortalecimiento Ciudadano para la Planeación Participativa</v>
      </c>
      <c r="J642" s="20" t="str">
        <f>IFERROR(VLOOKUP(A642,DATA_MATRIZ,41,FALSE),"")</f>
        <v>Individual</v>
      </c>
      <c r="K642" s="20">
        <f>IFERROR(VLOOKUP(A642,DATA_MATRIZ,42,FALSE),"")</f>
        <v>0</v>
      </c>
      <c r="L642" s="20" t="str">
        <f>IFERROR(VLOOKUP(A642,DATA_MATRIZ,46,FALSE),"")</f>
        <v>Ciudad Bolívar</v>
      </c>
      <c r="M642" s="20" t="str">
        <f>IFERROR(VLOOKUP(A642,DATA_MATRIZ,53,FALSE),"")</f>
        <v>Suroriente</v>
      </c>
      <c r="N642" s="20" t="str">
        <f>IFERROR(VLOOKUP(A642,DATA_MATRIZ,60,FALSE),"")</f>
        <v>Lucero</v>
      </c>
      <c r="O642" s="20" t="str">
        <f>IFERROR(VLOOKUP(A642,DATA_MATRIZ,75,FALSE),"")</f>
        <v>NO</v>
      </c>
      <c r="P642" s="20" t="str">
        <f>IFERROR(VLOOKUP(A642,DATA_MATRIZ,76,FALSE),"")</f>
        <v>No aplica</v>
      </c>
      <c r="Q642" s="20">
        <f>IFERROR(VLOOKUP(A642,DATA_MATRIZ,78,FALSE),"")</f>
        <v>4</v>
      </c>
      <c r="R642" s="20">
        <f>IFERROR(VLOOKUP(A642,DATA_MATRIZ,79,FALSE),"")</f>
        <v>1</v>
      </c>
      <c r="S642" s="20">
        <f>IFERROR(VLOOKUP(A642,DATA_MATRIZ,85,FALSE),"")</f>
        <v>0</v>
      </c>
      <c r="T642" s="20">
        <f>COUNTA(A642)</f>
        <v>1</v>
      </c>
      <c r="U642" s="20" t="str">
        <f ca="1">IF(C642="", "Indefinida", (IF(C642&lt;TODAY(),"Realizada","Proyectada")))</f>
        <v>Realizada</v>
      </c>
    </row>
    <row r="643" spans="1:21" ht="61.5">
      <c r="A643" s="20">
        <v>799</v>
      </c>
      <c r="B643" s="20" t="str">
        <f>IFERROR(VLOOKUP(A643,DATA_MATRIZ,2,FALSE),"")</f>
        <v>Fortalecimiento de actores 20 encuestas SISBEN UPL 5 - Usme Entrenubes</v>
      </c>
      <c r="C643" s="21">
        <f>IFERROR(VLOOKUP(A643,DATA_MATRIZ,3,FALSE),"")</f>
        <v>45508</v>
      </c>
      <c r="D643" s="20" t="str">
        <f>IFERROR(VLOOKUP(A643,DATA_MATRIZ,5,FALSE),"")</f>
        <v>OPDC</v>
      </c>
      <c r="E643" s="20" t="str">
        <f>IFERROR(VLOOKUP(A643,DATA_MATRIZ,9,FALSE),"")</f>
        <v>NO</v>
      </c>
      <c r="F643" s="20" t="str">
        <f>IFERROR(VLOOKUP(A643,DATA_MATRIZ,10,FALSE),"")</f>
        <v xml:space="preserve">Fortalecimiento de actores por UPL - Encuestas SISBÉN </v>
      </c>
      <c r="G643" s="20" t="str">
        <f>IFERROR(VLOOKUP(A643,DATA_MATRIZ,11,FALSE),"")</f>
        <v>Presencial</v>
      </c>
      <c r="H643" s="20" t="str">
        <f>IFERROR(VLOOKUP(A643,DATA_MATRIZ,12,FALSE),"")</f>
        <v>Vincular nuevos actores estratégicos a la planeación para la participación a través de la aplicación de las encuestas SISBEN</v>
      </c>
      <c r="I643" s="20" t="str">
        <f>IFERROR(VLOOKUP(A643,DATA_MATRIZ,13,FALSE),"")</f>
        <v>Mecanismo de Fortalecimiento Ciudadano para la Planeación Participativa</v>
      </c>
      <c r="J643" s="20" t="str">
        <f>IFERROR(VLOOKUP(A643,DATA_MATRIZ,41,FALSE),"")</f>
        <v>Individual</v>
      </c>
      <c r="K643" s="20">
        <f>IFERROR(VLOOKUP(A643,DATA_MATRIZ,42,FALSE),"")</f>
        <v>0</v>
      </c>
      <c r="L643" s="20" t="str">
        <f>IFERROR(VLOOKUP(A643,DATA_MATRIZ,46,FALSE),"")</f>
        <v>Usme</v>
      </c>
      <c r="M643" s="20" t="str">
        <f>IFERROR(VLOOKUP(A643,DATA_MATRIZ,53,FALSE),"")</f>
        <v>Suroriente</v>
      </c>
      <c r="N643" s="20" t="str">
        <f>IFERROR(VLOOKUP(A643,DATA_MATRIZ,60,FALSE),"")</f>
        <v>Usme Entrenubes</v>
      </c>
      <c r="O643" s="20" t="str">
        <f>IFERROR(VLOOKUP(A643,DATA_MATRIZ,75,FALSE),"")</f>
        <v>NO</v>
      </c>
      <c r="P643" s="20" t="str">
        <f>IFERROR(VLOOKUP(A643,DATA_MATRIZ,76,FALSE),"")</f>
        <v>No aplica</v>
      </c>
      <c r="Q643" s="20">
        <f>IFERROR(VLOOKUP(A643,DATA_MATRIZ,78,FALSE),"")</f>
        <v>4</v>
      </c>
      <c r="R643" s="20">
        <f>IFERROR(VLOOKUP(A643,DATA_MATRIZ,79,FALSE),"")</f>
        <v>1</v>
      </c>
      <c r="S643" s="20">
        <f>IFERROR(VLOOKUP(A643,DATA_MATRIZ,85,FALSE),"")</f>
        <v>0</v>
      </c>
      <c r="T643" s="20">
        <f>COUNTA(A643)</f>
        <v>1</v>
      </c>
      <c r="U643" s="20" t="str">
        <f ca="1">IF(C643="", "Indefinida", (IF(C643&lt;TODAY(),"Realizada","Proyectada")))</f>
        <v>Realizada</v>
      </c>
    </row>
    <row r="644" spans="1:21" ht="61.5">
      <c r="A644" s="20">
        <v>800</v>
      </c>
      <c r="B644" s="20" t="str">
        <f>IFERROR(VLOOKUP(A644,DATA_MATRIZ,2,FALSE),"")</f>
        <v>Fortalecimiento de actores 20 encuestas SISBEN UPL 7 - Torca</v>
      </c>
      <c r="C644" s="21">
        <f>IFERROR(VLOOKUP(A644,DATA_MATRIZ,3,FALSE),"")</f>
        <v>45508</v>
      </c>
      <c r="D644" s="20" t="str">
        <f>IFERROR(VLOOKUP(A644,DATA_MATRIZ,5,FALSE),"")</f>
        <v>OPDC</v>
      </c>
      <c r="E644" s="20" t="str">
        <f>IFERROR(VLOOKUP(A644,DATA_MATRIZ,9,FALSE),"")</f>
        <v>NO</v>
      </c>
      <c r="F644" s="20" t="str">
        <f>IFERROR(VLOOKUP(A644,DATA_MATRIZ,10,FALSE),"")</f>
        <v xml:space="preserve">Fortalecimiento de actores por UPL - Encuestas SISBÉN </v>
      </c>
      <c r="G644" s="20" t="str">
        <f>IFERROR(VLOOKUP(A644,DATA_MATRIZ,11,FALSE),"")</f>
        <v>Presencial</v>
      </c>
      <c r="H644" s="20" t="str">
        <f>IFERROR(VLOOKUP(A644,DATA_MATRIZ,12,FALSE),"")</f>
        <v>Vincular nuevos actores estratégicos a la planeación para la participación a través de la aplicación de las encuestas SISBEN</v>
      </c>
      <c r="I644" s="20" t="str">
        <f>IFERROR(VLOOKUP(A644,DATA_MATRIZ,13,FALSE),"")</f>
        <v>Mecanismo de Fortalecimiento Ciudadano para la Planeación Participativa</v>
      </c>
      <c r="J644" s="20" t="str">
        <f>IFERROR(VLOOKUP(A644,DATA_MATRIZ,41,FALSE),"")</f>
        <v>Individual</v>
      </c>
      <c r="K644" s="20">
        <f>IFERROR(VLOOKUP(A644,DATA_MATRIZ,42,FALSE),"")</f>
        <v>0</v>
      </c>
      <c r="L644" s="20" t="str">
        <f>IFERROR(VLOOKUP(A644,DATA_MATRIZ,46,FALSE),"")</f>
        <v>Suba, Usaquén</v>
      </c>
      <c r="M644" s="20" t="str">
        <f>IFERROR(VLOOKUP(A644,DATA_MATRIZ,53,FALSE),"")</f>
        <v>Norte</v>
      </c>
      <c r="N644" s="20" t="str">
        <f>IFERROR(VLOOKUP(A644,DATA_MATRIZ,60,FALSE),"")</f>
        <v>Torca</v>
      </c>
      <c r="O644" s="20" t="str">
        <f>IFERROR(VLOOKUP(A644,DATA_MATRIZ,75,FALSE),"")</f>
        <v>NO</v>
      </c>
      <c r="P644" s="20" t="str">
        <f>IFERROR(VLOOKUP(A644,DATA_MATRIZ,76,FALSE),"")</f>
        <v>No aplica</v>
      </c>
      <c r="Q644" s="20">
        <f>IFERROR(VLOOKUP(A644,DATA_MATRIZ,78,FALSE),"")</f>
        <v>0</v>
      </c>
      <c r="R644" s="20">
        <f>IFERROR(VLOOKUP(A644,DATA_MATRIZ,79,FALSE),"")</f>
        <v>1</v>
      </c>
      <c r="S644" s="20">
        <f>IFERROR(VLOOKUP(A644,DATA_MATRIZ,85,FALSE),"")</f>
        <v>0</v>
      </c>
      <c r="T644" s="20">
        <f>COUNTA(A644)</f>
        <v>1</v>
      </c>
      <c r="U644" s="20" t="str">
        <f ca="1">IF(C644="", "Indefinida", (IF(C644&lt;TODAY(),"Realizada","Proyectada")))</f>
        <v>Realizada</v>
      </c>
    </row>
    <row r="645" spans="1:21" ht="61.5">
      <c r="A645" s="20">
        <v>801</v>
      </c>
      <c r="B645" s="20" t="str">
        <f>IFERROR(VLOOKUP(A645,DATA_MATRIZ,2,FALSE),"")</f>
        <v>Fortalecimiento de actores 20 encuestas SISBEN UPL 8 - Britalia</v>
      </c>
      <c r="C645" s="21">
        <f>IFERROR(VLOOKUP(A645,DATA_MATRIZ,3,FALSE),"")</f>
        <v>45508</v>
      </c>
      <c r="D645" s="20" t="str">
        <f>IFERROR(VLOOKUP(A645,DATA_MATRIZ,5,FALSE),"")</f>
        <v>OPDC</v>
      </c>
      <c r="E645" s="20" t="str">
        <f>IFERROR(VLOOKUP(A645,DATA_MATRIZ,9,FALSE),"")</f>
        <v>NO</v>
      </c>
      <c r="F645" s="20" t="str">
        <f>IFERROR(VLOOKUP(A645,DATA_MATRIZ,10,FALSE),"")</f>
        <v xml:space="preserve">Fortalecimiento de actores por UPL - Encuestas SISBÉN </v>
      </c>
      <c r="G645" s="20" t="str">
        <f>IFERROR(VLOOKUP(A645,DATA_MATRIZ,11,FALSE),"")</f>
        <v>Presencial</v>
      </c>
      <c r="H645" s="20" t="str">
        <f>IFERROR(VLOOKUP(A645,DATA_MATRIZ,12,FALSE),"")</f>
        <v>Vincular nuevos actores estratégicos a la planeación para la participación a través de la aplicación de las encuestas SISBEN</v>
      </c>
      <c r="I645" s="20" t="str">
        <f>IFERROR(VLOOKUP(A645,DATA_MATRIZ,13,FALSE),"")</f>
        <v>Mecanismo de Fortalecimiento Ciudadano para la Planeación Participativa</v>
      </c>
      <c r="J645" s="20" t="str">
        <f>IFERROR(VLOOKUP(A645,DATA_MATRIZ,41,FALSE),"")</f>
        <v>Individual</v>
      </c>
      <c r="K645" s="20">
        <f>IFERROR(VLOOKUP(A645,DATA_MATRIZ,42,FALSE),"")</f>
        <v>0</v>
      </c>
      <c r="L645" s="20" t="str">
        <f>IFERROR(VLOOKUP(A645,DATA_MATRIZ,46,FALSE),"")</f>
        <v>Suba</v>
      </c>
      <c r="M645" s="20" t="str">
        <f>IFERROR(VLOOKUP(A645,DATA_MATRIZ,53,FALSE),"")</f>
        <v>Norte</v>
      </c>
      <c r="N645" s="20" t="str">
        <f>IFERROR(VLOOKUP(A645,DATA_MATRIZ,60,FALSE),"")</f>
        <v>Britalia</v>
      </c>
      <c r="O645" s="20" t="str">
        <f>IFERROR(VLOOKUP(A645,DATA_MATRIZ,75,FALSE),"")</f>
        <v>NO</v>
      </c>
      <c r="P645" s="20" t="str">
        <f>IFERROR(VLOOKUP(A645,DATA_MATRIZ,76,FALSE),"")</f>
        <v>No aplica</v>
      </c>
      <c r="Q645" s="20">
        <f>IFERROR(VLOOKUP(A645,DATA_MATRIZ,78,FALSE),"")</f>
        <v>0</v>
      </c>
      <c r="R645" s="20">
        <f>IFERROR(VLOOKUP(A645,DATA_MATRIZ,79,FALSE),"")</f>
        <v>1</v>
      </c>
      <c r="S645" s="20">
        <f>IFERROR(VLOOKUP(A645,DATA_MATRIZ,85,FALSE),"")</f>
        <v>0</v>
      </c>
      <c r="T645" s="20">
        <f>COUNTA(A645)</f>
        <v>1</v>
      </c>
      <c r="U645" s="20" t="str">
        <f ca="1">IF(C645="", "Indefinida", (IF(C645&lt;TODAY(),"Realizada","Proyectada")))</f>
        <v>Realizada</v>
      </c>
    </row>
    <row r="646" spans="1:21" ht="61.5">
      <c r="A646" s="20">
        <v>802</v>
      </c>
      <c r="B646" s="20" t="str">
        <f>IFERROR(VLOOKUP(A646,DATA_MATRIZ,2,FALSE),"")</f>
        <v>Fortalecimiento de actores 20 encuestas SISBEN UPL 9 - Suba</v>
      </c>
      <c r="C646" s="21">
        <f>IFERROR(VLOOKUP(A646,DATA_MATRIZ,3,FALSE),"")</f>
        <v>45508</v>
      </c>
      <c r="D646" s="20" t="str">
        <f>IFERROR(VLOOKUP(A646,DATA_MATRIZ,5,FALSE),"")</f>
        <v>OPDC</v>
      </c>
      <c r="E646" s="20" t="str">
        <f>IFERROR(VLOOKUP(A646,DATA_MATRIZ,9,FALSE),"")</f>
        <v>NO</v>
      </c>
      <c r="F646" s="20" t="str">
        <f>IFERROR(VLOOKUP(A646,DATA_MATRIZ,10,FALSE),"")</f>
        <v xml:space="preserve">Fortalecimiento de actores por UPL - Encuestas SISBÉN </v>
      </c>
      <c r="G646" s="20" t="str">
        <f>IFERROR(VLOOKUP(A646,DATA_MATRIZ,11,FALSE),"")</f>
        <v>Presencial</v>
      </c>
      <c r="H646" s="20" t="str">
        <f>IFERROR(VLOOKUP(A646,DATA_MATRIZ,12,FALSE),"")</f>
        <v>Vincular nuevos actores estratégicos a la planeación para la participación a través de la aplicación de las encuestas SISBEN</v>
      </c>
      <c r="I646" s="20" t="str">
        <f>IFERROR(VLOOKUP(A646,DATA_MATRIZ,13,FALSE),"")</f>
        <v>Mecanismo de Fortalecimiento Ciudadano para la Planeación Participativa</v>
      </c>
      <c r="J646" s="20" t="str">
        <f>IFERROR(VLOOKUP(A646,DATA_MATRIZ,41,FALSE),"")</f>
        <v>Individual</v>
      </c>
      <c r="K646" s="20">
        <f>IFERROR(VLOOKUP(A646,DATA_MATRIZ,42,FALSE),"")</f>
        <v>0</v>
      </c>
      <c r="L646" s="20" t="str">
        <f>IFERROR(VLOOKUP(A646,DATA_MATRIZ,46,FALSE),"")</f>
        <v>Suba</v>
      </c>
      <c r="M646" s="20" t="str">
        <f>IFERROR(VLOOKUP(A646,DATA_MATRIZ,53,FALSE),"")</f>
        <v>Noroccidente</v>
      </c>
      <c r="N646" s="20" t="str">
        <f>IFERROR(VLOOKUP(A646,DATA_MATRIZ,60,FALSE),"")</f>
        <v>Suba</v>
      </c>
      <c r="O646" s="20" t="str">
        <f>IFERROR(VLOOKUP(A646,DATA_MATRIZ,75,FALSE),"")</f>
        <v>NO</v>
      </c>
      <c r="P646" s="20" t="str">
        <f>IFERROR(VLOOKUP(A646,DATA_MATRIZ,76,FALSE),"")</f>
        <v>No aplica</v>
      </c>
      <c r="Q646" s="20">
        <f>IFERROR(VLOOKUP(A646,DATA_MATRIZ,78,FALSE),"")</f>
        <v>15</v>
      </c>
      <c r="R646" s="20">
        <f>IFERROR(VLOOKUP(A646,DATA_MATRIZ,79,FALSE),"")</f>
        <v>1</v>
      </c>
      <c r="S646" s="20">
        <f>IFERROR(VLOOKUP(A646,DATA_MATRIZ,85,FALSE),"")</f>
        <v>0</v>
      </c>
      <c r="T646" s="20">
        <f>COUNTA(A646)</f>
        <v>1</v>
      </c>
      <c r="U646" s="20" t="str">
        <f ca="1">IF(C646="", "Indefinida", (IF(C646&lt;TODAY(),"Realizada","Proyectada")))</f>
        <v>Realizada</v>
      </c>
    </row>
    <row r="647" spans="1:21" ht="61.5">
      <c r="A647" s="20">
        <v>803</v>
      </c>
      <c r="B647" s="20" t="str">
        <f>IFERROR(VLOOKUP(A647,DATA_MATRIZ,2,FALSE),"")</f>
        <v>Fortalecimiento de actores 20 encuestas SISBEN UPL 10 - Tibabuyes</v>
      </c>
      <c r="C647" s="21">
        <f>IFERROR(VLOOKUP(A647,DATA_MATRIZ,3,FALSE),"")</f>
        <v>45508</v>
      </c>
      <c r="D647" s="20" t="str">
        <f>IFERROR(VLOOKUP(A647,DATA_MATRIZ,5,FALSE),"")</f>
        <v>OPDC</v>
      </c>
      <c r="E647" s="20" t="str">
        <f>IFERROR(VLOOKUP(A647,DATA_MATRIZ,9,FALSE),"")</f>
        <v>NO</v>
      </c>
      <c r="F647" s="20" t="str">
        <f>IFERROR(VLOOKUP(A647,DATA_MATRIZ,10,FALSE),"")</f>
        <v xml:space="preserve">Fortalecimiento de actores por UPL - Encuestas SISBÉN </v>
      </c>
      <c r="G647" s="20" t="str">
        <f>IFERROR(VLOOKUP(A647,DATA_MATRIZ,11,FALSE),"")</f>
        <v>Presencial</v>
      </c>
      <c r="H647" s="20" t="str">
        <f>IFERROR(VLOOKUP(A647,DATA_MATRIZ,12,FALSE),"")</f>
        <v>Vincular nuevos actores estratégicos a la planeación para la participación a través de la aplicación de las encuestas SISBEN</v>
      </c>
      <c r="I647" s="20" t="str">
        <f>IFERROR(VLOOKUP(A647,DATA_MATRIZ,13,FALSE),"")</f>
        <v>Mecanismo de Fortalecimiento Ciudadano para la Planeación Participativa</v>
      </c>
      <c r="J647" s="20" t="str">
        <f>IFERROR(VLOOKUP(A647,DATA_MATRIZ,41,FALSE),"")</f>
        <v>Individual</v>
      </c>
      <c r="K647" s="20">
        <f>IFERROR(VLOOKUP(A647,DATA_MATRIZ,42,FALSE),"")</f>
        <v>0</v>
      </c>
      <c r="L647" s="20" t="str">
        <f>IFERROR(VLOOKUP(A647,DATA_MATRIZ,46,FALSE),"")</f>
        <v>Suba</v>
      </c>
      <c r="M647" s="20" t="str">
        <f>IFERROR(VLOOKUP(A647,DATA_MATRIZ,53,FALSE),"")</f>
        <v>Noroccidente</v>
      </c>
      <c r="N647" s="20" t="str">
        <f>IFERROR(VLOOKUP(A647,DATA_MATRIZ,60,FALSE),"")</f>
        <v>Tibabuyes</v>
      </c>
      <c r="O647" s="20" t="str">
        <f>IFERROR(VLOOKUP(A647,DATA_MATRIZ,75,FALSE),"")</f>
        <v>NO</v>
      </c>
      <c r="P647" s="20" t="str">
        <f>IFERROR(VLOOKUP(A647,DATA_MATRIZ,76,FALSE),"")</f>
        <v>No aplica</v>
      </c>
      <c r="Q647" s="20">
        <f>IFERROR(VLOOKUP(A647,DATA_MATRIZ,78,FALSE),"")</f>
        <v>14</v>
      </c>
      <c r="R647" s="20">
        <f>IFERROR(VLOOKUP(A647,DATA_MATRIZ,79,FALSE),"")</f>
        <v>1</v>
      </c>
      <c r="S647" s="20">
        <f>IFERROR(VLOOKUP(A647,DATA_MATRIZ,85,FALSE),"")</f>
        <v>0</v>
      </c>
      <c r="T647" s="20">
        <f>COUNTA(A647)</f>
        <v>1</v>
      </c>
      <c r="U647" s="20" t="str">
        <f ca="1">IF(C647="", "Indefinida", (IF(C647&lt;TODAY(),"Realizada","Proyectada")))</f>
        <v>Realizada</v>
      </c>
    </row>
    <row r="648" spans="1:21" ht="61.5">
      <c r="A648" s="20">
        <v>804</v>
      </c>
      <c r="B648" s="20" t="str">
        <f>IFERROR(VLOOKUP(A648,DATA_MATRIZ,2,FALSE),"")</f>
        <v>Fortalecimiento de actores 20 encuestas SISBEN UPL 11 - Engativá</v>
      </c>
      <c r="C648" s="21">
        <f>IFERROR(VLOOKUP(A648,DATA_MATRIZ,3,FALSE),"")</f>
        <v>45508</v>
      </c>
      <c r="D648" s="20" t="str">
        <f>IFERROR(VLOOKUP(A648,DATA_MATRIZ,5,FALSE),"")</f>
        <v>OPDC</v>
      </c>
      <c r="E648" s="20" t="str">
        <f>IFERROR(VLOOKUP(A648,DATA_MATRIZ,9,FALSE),"")</f>
        <v>NO</v>
      </c>
      <c r="F648" s="20" t="str">
        <f>IFERROR(VLOOKUP(A648,DATA_MATRIZ,10,FALSE),"")</f>
        <v xml:space="preserve">Fortalecimiento de actores por UPL - Encuestas SISBÉN </v>
      </c>
      <c r="G648" s="20" t="str">
        <f>IFERROR(VLOOKUP(A648,DATA_MATRIZ,11,FALSE),"")</f>
        <v>Presencial</v>
      </c>
      <c r="H648" s="20" t="str">
        <f>IFERROR(VLOOKUP(A648,DATA_MATRIZ,12,FALSE),"")</f>
        <v>Vincular nuevos actores estratégicos a la planeación para la participación a través de la aplicación de las encuestas SISBEN</v>
      </c>
      <c r="I648" s="20" t="str">
        <f>IFERROR(VLOOKUP(A648,DATA_MATRIZ,13,FALSE),"")</f>
        <v>Mecanismo de Fortalecimiento Ciudadano para la Planeación Participativa</v>
      </c>
      <c r="J648" s="20" t="str">
        <f>IFERROR(VLOOKUP(A648,DATA_MATRIZ,41,FALSE),"")</f>
        <v>Individual</v>
      </c>
      <c r="K648" s="20">
        <f>IFERROR(VLOOKUP(A648,DATA_MATRIZ,42,FALSE),"")</f>
        <v>0</v>
      </c>
      <c r="L648" s="20" t="str">
        <f>IFERROR(VLOOKUP(A648,DATA_MATRIZ,46,FALSE),"")</f>
        <v>Engativá</v>
      </c>
      <c r="M648" s="20" t="str">
        <f>IFERROR(VLOOKUP(A648,DATA_MATRIZ,53,FALSE),"")</f>
        <v>Occidente</v>
      </c>
      <c r="N648" s="20" t="str">
        <f>IFERROR(VLOOKUP(A648,DATA_MATRIZ,60,FALSE),"")</f>
        <v>Engativá</v>
      </c>
      <c r="O648" s="20" t="str">
        <f>IFERROR(VLOOKUP(A648,DATA_MATRIZ,75,FALSE),"")</f>
        <v>NO</v>
      </c>
      <c r="P648" s="20" t="str">
        <f>IFERROR(VLOOKUP(A648,DATA_MATRIZ,76,FALSE),"")</f>
        <v>No aplica</v>
      </c>
      <c r="Q648" s="20">
        <f>IFERROR(VLOOKUP(A648,DATA_MATRIZ,78,FALSE),"")</f>
        <v>0</v>
      </c>
      <c r="R648" s="20">
        <f>IFERROR(VLOOKUP(A648,DATA_MATRIZ,79,FALSE),"")</f>
        <v>1</v>
      </c>
      <c r="S648" s="20">
        <f>IFERROR(VLOOKUP(A648,DATA_MATRIZ,85,FALSE),"")</f>
        <v>0</v>
      </c>
      <c r="T648" s="20">
        <f>COUNTA(A648)</f>
        <v>1</v>
      </c>
      <c r="U648" s="20" t="str">
        <f ca="1">IF(C648="", "Indefinida", (IF(C648&lt;TODAY(),"Realizada","Proyectada")))</f>
        <v>Realizada</v>
      </c>
    </row>
    <row r="649" spans="1:21" ht="61.5">
      <c r="A649" s="20">
        <v>805</v>
      </c>
      <c r="B649" s="20" t="str">
        <f>IFERROR(VLOOKUP(A649,DATA_MATRIZ,2,FALSE),"")</f>
        <v>Fortalecimiento de actores 20 encuestas SISBEN UPL 12 - Fontibón</v>
      </c>
      <c r="C649" s="21">
        <f>IFERROR(VLOOKUP(A649,DATA_MATRIZ,3,FALSE),"")</f>
        <v>45508</v>
      </c>
      <c r="D649" s="20" t="str">
        <f>IFERROR(VLOOKUP(A649,DATA_MATRIZ,5,FALSE),"")</f>
        <v>OPDC</v>
      </c>
      <c r="E649" s="20" t="str">
        <f>IFERROR(VLOOKUP(A649,DATA_MATRIZ,9,FALSE),"")</f>
        <v>NO</v>
      </c>
      <c r="F649" s="20" t="str">
        <f>IFERROR(VLOOKUP(A649,DATA_MATRIZ,10,FALSE),"")</f>
        <v xml:space="preserve">Fortalecimiento de actores por UPL - Encuestas SISBÉN </v>
      </c>
      <c r="G649" s="20" t="str">
        <f>IFERROR(VLOOKUP(A649,DATA_MATRIZ,11,FALSE),"")</f>
        <v>Presencial</v>
      </c>
      <c r="H649" s="20" t="str">
        <f>IFERROR(VLOOKUP(A649,DATA_MATRIZ,12,FALSE),"")</f>
        <v>Vincular nuevos actores estratégicos a la planeación para la participación a través de la aplicación de las encuestas SISBEN</v>
      </c>
      <c r="I649" s="20" t="str">
        <f>IFERROR(VLOOKUP(A649,DATA_MATRIZ,13,FALSE),"")</f>
        <v>Mecanismo de Fortalecimiento Ciudadano para la Planeación Participativa</v>
      </c>
      <c r="J649" s="20" t="str">
        <f>IFERROR(VLOOKUP(A649,DATA_MATRIZ,41,FALSE),"")</f>
        <v>Individual</v>
      </c>
      <c r="K649" s="20">
        <f>IFERROR(VLOOKUP(A649,DATA_MATRIZ,42,FALSE),"")</f>
        <v>0</v>
      </c>
      <c r="L649" s="20" t="str">
        <f>IFERROR(VLOOKUP(A649,DATA_MATRIZ,46,FALSE),"")</f>
        <v>Fontibón</v>
      </c>
      <c r="M649" s="20" t="str">
        <f>IFERROR(VLOOKUP(A649,DATA_MATRIZ,53,FALSE),"")</f>
        <v>Occidente</v>
      </c>
      <c r="N649" s="20" t="str">
        <f>IFERROR(VLOOKUP(A649,DATA_MATRIZ,60,FALSE),"")</f>
        <v>Fontibón</v>
      </c>
      <c r="O649" s="20" t="str">
        <f>IFERROR(VLOOKUP(A649,DATA_MATRIZ,75,FALSE),"")</f>
        <v>NO</v>
      </c>
      <c r="P649" s="20" t="str">
        <f>IFERROR(VLOOKUP(A649,DATA_MATRIZ,76,FALSE),"")</f>
        <v>No aplica</v>
      </c>
      <c r="Q649" s="20">
        <f>IFERROR(VLOOKUP(A649,DATA_MATRIZ,78,FALSE),"")</f>
        <v>4</v>
      </c>
      <c r="R649" s="20">
        <f>IFERROR(VLOOKUP(A649,DATA_MATRIZ,79,FALSE),"")</f>
        <v>1</v>
      </c>
      <c r="S649" s="20">
        <f>IFERROR(VLOOKUP(A649,DATA_MATRIZ,85,FALSE),"")</f>
        <v>0</v>
      </c>
      <c r="T649" s="20">
        <f>COUNTA(A649)</f>
        <v>1</v>
      </c>
      <c r="U649" s="20" t="str">
        <f ca="1">IF(C649="", "Indefinida", (IF(C649&lt;TODAY(),"Realizada","Proyectada")))</f>
        <v>Realizada</v>
      </c>
    </row>
    <row r="650" spans="1:21" ht="61.5">
      <c r="A650" s="20">
        <v>806</v>
      </c>
      <c r="B650" s="20" t="str">
        <f>IFERROR(VLOOKUP(A650,DATA_MATRIZ,2,FALSE),"")</f>
        <v>Fortalecimiento de actores 20 encuestas SISBEN UPL 13 - Tintal</v>
      </c>
      <c r="C650" s="21">
        <f>IFERROR(VLOOKUP(A650,DATA_MATRIZ,3,FALSE),"")</f>
        <v>45508</v>
      </c>
      <c r="D650" s="20" t="str">
        <f>IFERROR(VLOOKUP(A650,DATA_MATRIZ,5,FALSE),"")</f>
        <v>OPDC</v>
      </c>
      <c r="E650" s="20" t="str">
        <f>IFERROR(VLOOKUP(A650,DATA_MATRIZ,9,FALSE),"")</f>
        <v>NO</v>
      </c>
      <c r="F650" s="20" t="str">
        <f>IFERROR(VLOOKUP(A650,DATA_MATRIZ,10,FALSE),"")</f>
        <v xml:space="preserve">Fortalecimiento de actores por UPL - Encuestas SISBÉN </v>
      </c>
      <c r="G650" s="20" t="str">
        <f>IFERROR(VLOOKUP(A650,DATA_MATRIZ,11,FALSE),"")</f>
        <v>Presencial</v>
      </c>
      <c r="H650" s="20" t="str">
        <f>IFERROR(VLOOKUP(A650,DATA_MATRIZ,12,FALSE),"")</f>
        <v>Vincular nuevos actores estratégicos a la planeación para la participación a través de la aplicación de las encuestas SISBEN</v>
      </c>
      <c r="I650" s="20" t="str">
        <f>IFERROR(VLOOKUP(A650,DATA_MATRIZ,13,FALSE),"")</f>
        <v>Mecanismo de Fortalecimiento Ciudadano para la Planeación Participativa</v>
      </c>
      <c r="J650" s="20" t="str">
        <f>IFERROR(VLOOKUP(A650,DATA_MATRIZ,41,FALSE),"")</f>
        <v>Individual</v>
      </c>
      <c r="K650" s="20">
        <f>IFERROR(VLOOKUP(A650,DATA_MATRIZ,42,FALSE),"")</f>
        <v>0</v>
      </c>
      <c r="L650" s="20" t="str">
        <f>IFERROR(VLOOKUP(A650,DATA_MATRIZ,46,FALSE),"")</f>
        <v>Kennedy</v>
      </c>
      <c r="M650" s="20" t="str">
        <f>IFERROR(VLOOKUP(A650,DATA_MATRIZ,53,FALSE),"")</f>
        <v>Suroccidente</v>
      </c>
      <c r="N650" s="20" t="str">
        <f>IFERROR(VLOOKUP(A650,DATA_MATRIZ,60,FALSE),"")</f>
        <v>Tintal</v>
      </c>
      <c r="O650" s="20" t="str">
        <f>IFERROR(VLOOKUP(A650,DATA_MATRIZ,75,FALSE),"")</f>
        <v>NO</v>
      </c>
      <c r="P650" s="20" t="str">
        <f>IFERROR(VLOOKUP(A650,DATA_MATRIZ,76,FALSE),"")</f>
        <v>No aplica</v>
      </c>
      <c r="Q650" s="20">
        <f>IFERROR(VLOOKUP(A650,DATA_MATRIZ,78,FALSE),"")</f>
        <v>0</v>
      </c>
      <c r="R650" s="20">
        <f>IFERROR(VLOOKUP(A650,DATA_MATRIZ,79,FALSE),"")</f>
        <v>1</v>
      </c>
      <c r="S650" s="20">
        <f>IFERROR(VLOOKUP(A650,DATA_MATRIZ,85,FALSE),"")</f>
        <v>0</v>
      </c>
      <c r="T650" s="20">
        <f>COUNTA(A650)</f>
        <v>1</v>
      </c>
      <c r="U650" s="20" t="str">
        <f ca="1">IF(C650="", "Indefinida", (IF(C650&lt;TODAY(),"Realizada","Proyectada")))</f>
        <v>Realizada</v>
      </c>
    </row>
    <row r="651" spans="1:21" ht="61.5">
      <c r="A651" s="20">
        <v>807</v>
      </c>
      <c r="B651" s="20" t="str">
        <f>IFERROR(VLOOKUP(A651,DATA_MATRIZ,2,FALSE),"")</f>
        <v>Fortalecimiento de actores 20 encuestas SISBEN UPL 14 - Patio Bonito</v>
      </c>
      <c r="C651" s="21">
        <f>IFERROR(VLOOKUP(A651,DATA_MATRIZ,3,FALSE),"")</f>
        <v>45508</v>
      </c>
      <c r="D651" s="20" t="str">
        <f>IFERROR(VLOOKUP(A651,DATA_MATRIZ,5,FALSE),"")</f>
        <v>OPDC</v>
      </c>
      <c r="E651" s="20" t="str">
        <f>IFERROR(VLOOKUP(A651,DATA_MATRIZ,9,FALSE),"")</f>
        <v>NO</v>
      </c>
      <c r="F651" s="20" t="str">
        <f>IFERROR(VLOOKUP(A651,DATA_MATRIZ,10,FALSE),"")</f>
        <v xml:space="preserve">Fortalecimiento de actores por UPL - Encuestas SISBÉN </v>
      </c>
      <c r="G651" s="20" t="str">
        <f>IFERROR(VLOOKUP(A651,DATA_MATRIZ,11,FALSE),"")</f>
        <v>Presencial</v>
      </c>
      <c r="H651" s="20" t="str">
        <f>IFERROR(VLOOKUP(A651,DATA_MATRIZ,12,FALSE),"")</f>
        <v>Vincular nuevos actores estratégicos a la planeación para la participación a través de la aplicación de las encuestas SISBEN</v>
      </c>
      <c r="I651" s="20" t="str">
        <f>IFERROR(VLOOKUP(A651,DATA_MATRIZ,13,FALSE),"")</f>
        <v>Mecanismo de Fortalecimiento Ciudadano para la Planeación Participativa</v>
      </c>
      <c r="J651" s="20" t="str">
        <f>IFERROR(VLOOKUP(A651,DATA_MATRIZ,41,FALSE),"")</f>
        <v>Individual</v>
      </c>
      <c r="K651" s="20">
        <f>IFERROR(VLOOKUP(A651,DATA_MATRIZ,42,FALSE),"")</f>
        <v>0</v>
      </c>
      <c r="L651" s="20" t="str">
        <f>IFERROR(VLOOKUP(A651,DATA_MATRIZ,46,FALSE),"")</f>
        <v>Kennedy</v>
      </c>
      <c r="M651" s="20" t="str">
        <f>IFERROR(VLOOKUP(A651,DATA_MATRIZ,53,FALSE),"")</f>
        <v>Suroccidente</v>
      </c>
      <c r="N651" s="20" t="str">
        <f>IFERROR(VLOOKUP(A651,DATA_MATRIZ,60,FALSE),"")</f>
        <v>Patio Bonito</v>
      </c>
      <c r="O651" s="20" t="str">
        <f>IFERROR(VLOOKUP(A651,DATA_MATRIZ,75,FALSE),"")</f>
        <v>NO</v>
      </c>
      <c r="P651" s="20" t="str">
        <f>IFERROR(VLOOKUP(A651,DATA_MATRIZ,76,FALSE),"")</f>
        <v>No aplica</v>
      </c>
      <c r="Q651" s="20">
        <f>IFERROR(VLOOKUP(A651,DATA_MATRIZ,78,FALSE),"")</f>
        <v>0</v>
      </c>
      <c r="R651" s="20">
        <f>IFERROR(VLOOKUP(A651,DATA_MATRIZ,79,FALSE),"")</f>
        <v>1</v>
      </c>
      <c r="S651" s="20">
        <f>IFERROR(VLOOKUP(A651,DATA_MATRIZ,85,FALSE),"")</f>
        <v>0</v>
      </c>
      <c r="T651" s="20">
        <f>COUNTA(A651)</f>
        <v>1</v>
      </c>
      <c r="U651" s="20" t="str">
        <f ca="1">IF(C651="", "Indefinida", (IF(C651&lt;TODAY(),"Realizada","Proyectada")))</f>
        <v>Realizada</v>
      </c>
    </row>
    <row r="652" spans="1:21" ht="61.5">
      <c r="A652" s="20">
        <v>808</v>
      </c>
      <c r="B652" s="20" t="str">
        <f>IFERROR(VLOOKUP(A652,DATA_MATRIZ,2,FALSE),"")</f>
        <v>Fortalecimiento de actores 20 encuestas SISBEN UPL 15 - Porvenir</v>
      </c>
      <c r="C652" s="21">
        <f>IFERROR(VLOOKUP(A652,DATA_MATRIZ,3,FALSE),"")</f>
        <v>45508</v>
      </c>
      <c r="D652" s="20" t="str">
        <f>IFERROR(VLOOKUP(A652,DATA_MATRIZ,5,FALSE),"")</f>
        <v>OPDC</v>
      </c>
      <c r="E652" s="20" t="str">
        <f>IFERROR(VLOOKUP(A652,DATA_MATRIZ,9,FALSE),"")</f>
        <v>NO</v>
      </c>
      <c r="F652" s="20" t="str">
        <f>IFERROR(VLOOKUP(A652,DATA_MATRIZ,10,FALSE),"")</f>
        <v xml:space="preserve">Fortalecimiento de actores por UPL - Encuestas SISBÉN </v>
      </c>
      <c r="G652" s="20" t="str">
        <f>IFERROR(VLOOKUP(A652,DATA_MATRIZ,11,FALSE),"")</f>
        <v>Presencial</v>
      </c>
      <c r="H652" s="20" t="str">
        <f>IFERROR(VLOOKUP(A652,DATA_MATRIZ,12,FALSE),"")</f>
        <v>Vincular nuevos actores estratégicos a la planeación para la participación a través de la aplicación de las encuestas SISBEN</v>
      </c>
      <c r="I652" s="20" t="str">
        <f>IFERROR(VLOOKUP(A652,DATA_MATRIZ,13,FALSE),"")</f>
        <v>Mecanismo de Fortalecimiento Ciudadano para la Planeación Participativa</v>
      </c>
      <c r="J652" s="20" t="str">
        <f>IFERROR(VLOOKUP(A652,DATA_MATRIZ,41,FALSE),"")</f>
        <v>Individual</v>
      </c>
      <c r="K652" s="20">
        <f>IFERROR(VLOOKUP(A652,DATA_MATRIZ,42,FALSE),"")</f>
        <v>0</v>
      </c>
      <c r="L652" s="20" t="str">
        <f>IFERROR(VLOOKUP(A652,DATA_MATRIZ,46,FALSE),"")</f>
        <v>Kennedy</v>
      </c>
      <c r="M652" s="20" t="str">
        <f>IFERROR(VLOOKUP(A652,DATA_MATRIZ,53,FALSE),"")</f>
        <v>Suroccidente</v>
      </c>
      <c r="N652" s="20" t="str">
        <f>IFERROR(VLOOKUP(A652,DATA_MATRIZ,60,FALSE),"")</f>
        <v>Porvenir</v>
      </c>
      <c r="O652" s="20" t="str">
        <f>IFERROR(VLOOKUP(A652,DATA_MATRIZ,75,FALSE),"")</f>
        <v>NO</v>
      </c>
      <c r="P652" s="20" t="str">
        <f>IFERROR(VLOOKUP(A652,DATA_MATRIZ,76,FALSE),"")</f>
        <v>No aplica</v>
      </c>
      <c r="Q652" s="20">
        <f>IFERROR(VLOOKUP(A652,DATA_MATRIZ,78,FALSE),"")</f>
        <v>0</v>
      </c>
      <c r="R652" s="20">
        <f>IFERROR(VLOOKUP(A652,DATA_MATRIZ,79,FALSE),"")</f>
        <v>1</v>
      </c>
      <c r="S652" s="20">
        <f>IFERROR(VLOOKUP(A652,DATA_MATRIZ,85,FALSE),"")</f>
        <v>0</v>
      </c>
      <c r="T652" s="20">
        <f>COUNTA(A652)</f>
        <v>1</v>
      </c>
      <c r="U652" s="20" t="str">
        <f ca="1">IF(C652="", "Indefinida", (IF(C652&lt;TODAY(),"Realizada","Proyectada")))</f>
        <v>Realizada</v>
      </c>
    </row>
    <row r="653" spans="1:21" ht="61.5">
      <c r="A653" s="20">
        <v>809</v>
      </c>
      <c r="B653" s="20" t="str">
        <f>IFERROR(VLOOKUP(A653,DATA_MATRIZ,2,FALSE),"")</f>
        <v>Fortalecimiento de actores 20 encuestas SISBEN UPL 16 - Edén</v>
      </c>
      <c r="C653" s="21">
        <f>IFERROR(VLOOKUP(A653,DATA_MATRIZ,3,FALSE),"")</f>
        <v>45508</v>
      </c>
      <c r="D653" s="20" t="str">
        <f>IFERROR(VLOOKUP(A653,DATA_MATRIZ,5,FALSE),"")</f>
        <v>OPDC</v>
      </c>
      <c r="E653" s="20" t="str">
        <f>IFERROR(VLOOKUP(A653,DATA_MATRIZ,9,FALSE),"")</f>
        <v>NO</v>
      </c>
      <c r="F653" s="20" t="str">
        <f>IFERROR(VLOOKUP(A653,DATA_MATRIZ,10,FALSE),"")</f>
        <v xml:space="preserve">Fortalecimiento de actores por UPL - Encuestas SISBÉN </v>
      </c>
      <c r="G653" s="20" t="str">
        <f>IFERROR(VLOOKUP(A653,DATA_MATRIZ,11,FALSE),"")</f>
        <v>Presencial</v>
      </c>
      <c r="H653" s="20" t="str">
        <f>IFERROR(VLOOKUP(A653,DATA_MATRIZ,12,FALSE),"")</f>
        <v>Vincular nuevos actores estratégicos a la planeación para la participación a través de la aplicación de las encuestas SISBEN</v>
      </c>
      <c r="I653" s="20" t="str">
        <f>IFERROR(VLOOKUP(A653,DATA_MATRIZ,13,FALSE),"")</f>
        <v>Mecanismo de Fortalecimiento Ciudadano para la Planeación Participativa</v>
      </c>
      <c r="J653" s="20" t="str">
        <f>IFERROR(VLOOKUP(A653,DATA_MATRIZ,41,FALSE),"")</f>
        <v>Individual</v>
      </c>
      <c r="K653" s="20">
        <f>IFERROR(VLOOKUP(A653,DATA_MATRIZ,42,FALSE),"")</f>
        <v>0</v>
      </c>
      <c r="L653" s="20" t="str">
        <f>IFERROR(VLOOKUP(A653,DATA_MATRIZ,46,FALSE),"")</f>
        <v>Kennedy</v>
      </c>
      <c r="M653" s="20" t="str">
        <f>IFERROR(VLOOKUP(A653,DATA_MATRIZ,53,FALSE),"")</f>
        <v>Suroccidente</v>
      </c>
      <c r="N653" s="20" t="str">
        <f>IFERROR(VLOOKUP(A653,DATA_MATRIZ,60,FALSE),"")</f>
        <v>Edén</v>
      </c>
      <c r="O653" s="20" t="str">
        <f>IFERROR(VLOOKUP(A653,DATA_MATRIZ,75,FALSE),"")</f>
        <v>NO</v>
      </c>
      <c r="P653" s="20" t="str">
        <f>IFERROR(VLOOKUP(A653,DATA_MATRIZ,76,FALSE),"")</f>
        <v>No aplica</v>
      </c>
      <c r="Q653" s="20">
        <f>IFERROR(VLOOKUP(A653,DATA_MATRIZ,78,FALSE),"")</f>
        <v>0</v>
      </c>
      <c r="R653" s="20">
        <f>IFERROR(VLOOKUP(A653,DATA_MATRIZ,79,FALSE),"")</f>
        <v>1</v>
      </c>
      <c r="S653" s="20">
        <f>IFERROR(VLOOKUP(A653,DATA_MATRIZ,85,FALSE),"")</f>
        <v>0</v>
      </c>
      <c r="T653" s="20">
        <f>COUNTA(A653)</f>
        <v>1</v>
      </c>
      <c r="U653" s="20" t="str">
        <f ca="1">IF(C653="", "Indefinida", (IF(C653&lt;TODAY(),"Realizada","Proyectada")))</f>
        <v>Realizada</v>
      </c>
    </row>
    <row r="654" spans="1:21" ht="61.5">
      <c r="A654" s="20">
        <v>810</v>
      </c>
      <c r="B654" s="20" t="str">
        <f>IFERROR(VLOOKUP(A654,DATA_MATRIZ,2,FALSE),"")</f>
        <v>Fortalecimiento de actores 10 encuestas SISBEN UPL 17 - Bosa</v>
      </c>
      <c r="C654" s="21">
        <f>IFERROR(VLOOKUP(A654,DATA_MATRIZ,3,FALSE),"")</f>
        <v>45508</v>
      </c>
      <c r="D654" s="20" t="str">
        <f>IFERROR(VLOOKUP(A654,DATA_MATRIZ,5,FALSE),"")</f>
        <v>OPDC</v>
      </c>
      <c r="E654" s="20" t="str">
        <f>IFERROR(VLOOKUP(A654,DATA_MATRIZ,9,FALSE),"")</f>
        <v>NO</v>
      </c>
      <c r="F654" s="20" t="str">
        <f>IFERROR(VLOOKUP(A654,DATA_MATRIZ,10,FALSE),"")</f>
        <v xml:space="preserve">Fortalecimiento de actores por UPL - Encuestas SISBÉN </v>
      </c>
      <c r="G654" s="20" t="str">
        <f>IFERROR(VLOOKUP(A654,DATA_MATRIZ,11,FALSE),"")</f>
        <v>Presencial</v>
      </c>
      <c r="H654" s="20" t="str">
        <f>IFERROR(VLOOKUP(A654,DATA_MATRIZ,12,FALSE),"")</f>
        <v>Vincular nuevos actores estratégicos a la planeación para la participación a través de la aplicación de las encuestas SISBEN</v>
      </c>
      <c r="I654" s="20" t="str">
        <f>IFERROR(VLOOKUP(A654,DATA_MATRIZ,13,FALSE),"")</f>
        <v>Mecanismo de Fortalecimiento Ciudadano para la Planeación Participativa</v>
      </c>
      <c r="J654" s="20" t="str">
        <f>IFERROR(VLOOKUP(A654,DATA_MATRIZ,41,FALSE),"")</f>
        <v>Individual</v>
      </c>
      <c r="K654" s="20">
        <f>IFERROR(VLOOKUP(A654,DATA_MATRIZ,42,FALSE),"")</f>
        <v>0</v>
      </c>
      <c r="L654" s="20" t="str">
        <f>IFERROR(VLOOKUP(A654,DATA_MATRIZ,46,FALSE),"")</f>
        <v>Kennedy</v>
      </c>
      <c r="M654" s="20" t="str">
        <f>IFERROR(VLOOKUP(A654,DATA_MATRIZ,53,FALSE),"")</f>
        <v>Suroccidente</v>
      </c>
      <c r="N654" s="20" t="str">
        <f>IFERROR(VLOOKUP(A654,DATA_MATRIZ,60,FALSE),"")</f>
        <v>Bosa</v>
      </c>
      <c r="O654" s="20" t="str">
        <f>IFERROR(VLOOKUP(A654,DATA_MATRIZ,75,FALSE),"")</f>
        <v>NO</v>
      </c>
      <c r="P654" s="20" t="str">
        <f>IFERROR(VLOOKUP(A654,DATA_MATRIZ,76,FALSE),"")</f>
        <v>No aplica</v>
      </c>
      <c r="Q654" s="20">
        <f>IFERROR(VLOOKUP(A654,DATA_MATRIZ,78,FALSE),"")</f>
        <v>0</v>
      </c>
      <c r="R654" s="20">
        <f>IFERROR(VLOOKUP(A654,DATA_MATRIZ,79,FALSE),"")</f>
        <v>1</v>
      </c>
      <c r="S654" s="20">
        <f>IFERROR(VLOOKUP(A654,DATA_MATRIZ,85,FALSE),"")</f>
        <v>0</v>
      </c>
      <c r="T654" s="20">
        <f>COUNTA(A654)</f>
        <v>1</v>
      </c>
      <c r="U654" s="20" t="str">
        <f ca="1">IF(C654="", "Indefinida", (IF(C654&lt;TODAY(),"Realizada","Proyectada")))</f>
        <v>Realizada</v>
      </c>
    </row>
    <row r="655" spans="1:21" ht="61.5">
      <c r="A655" s="20">
        <v>811</v>
      </c>
      <c r="B655" s="20" t="str">
        <f>IFERROR(VLOOKUP(A655,DATA_MATRIZ,2,FALSE),"")</f>
        <v>Fortalecimiento de actores 20 encuestas SISBEN UPL 18 - Kennedy</v>
      </c>
      <c r="C655" s="21">
        <f>IFERROR(VLOOKUP(A655,DATA_MATRIZ,3,FALSE),"")</f>
        <v>45508</v>
      </c>
      <c r="D655" s="20" t="str">
        <f>IFERROR(VLOOKUP(A655,DATA_MATRIZ,5,FALSE),"")</f>
        <v>OPDC</v>
      </c>
      <c r="E655" s="20" t="str">
        <f>IFERROR(VLOOKUP(A655,DATA_MATRIZ,9,FALSE),"")</f>
        <v>NO</v>
      </c>
      <c r="F655" s="20" t="str">
        <f>IFERROR(VLOOKUP(A655,DATA_MATRIZ,10,FALSE),"")</f>
        <v xml:space="preserve">Fortalecimiento de actores por UPL - Encuestas SISBÉN </v>
      </c>
      <c r="G655" s="20" t="str">
        <f>IFERROR(VLOOKUP(A655,DATA_MATRIZ,11,FALSE),"")</f>
        <v>Presencial</v>
      </c>
      <c r="H655" s="20" t="str">
        <f>IFERROR(VLOOKUP(A655,DATA_MATRIZ,12,FALSE),"")</f>
        <v>Vincular nuevos actores estratégicos a la planeación para la participación a través de la aplicación de las encuestas SISBEN</v>
      </c>
      <c r="I655" s="20" t="str">
        <f>IFERROR(VLOOKUP(A655,DATA_MATRIZ,13,FALSE),"")</f>
        <v>Mecanismo de Fortalecimiento Ciudadano para la Planeación Participativa</v>
      </c>
      <c r="J655" s="20" t="str">
        <f>IFERROR(VLOOKUP(A655,DATA_MATRIZ,41,FALSE),"")</f>
        <v>Individual</v>
      </c>
      <c r="K655" s="20">
        <f>IFERROR(VLOOKUP(A655,DATA_MATRIZ,42,FALSE),"")</f>
        <v>0</v>
      </c>
      <c r="L655" s="20" t="str">
        <f>IFERROR(VLOOKUP(A655,DATA_MATRIZ,46,FALSE),"")</f>
        <v>Kennedy</v>
      </c>
      <c r="M655" s="20" t="str">
        <f>IFERROR(VLOOKUP(A655,DATA_MATRIZ,53,FALSE),"")</f>
        <v>Suroccidente</v>
      </c>
      <c r="N655" s="20" t="str">
        <f>IFERROR(VLOOKUP(A655,DATA_MATRIZ,60,FALSE),"")</f>
        <v>Kennedy</v>
      </c>
      <c r="O655" s="20" t="str">
        <f>IFERROR(VLOOKUP(A655,DATA_MATRIZ,75,FALSE),"")</f>
        <v>NO</v>
      </c>
      <c r="P655" s="20" t="str">
        <f>IFERROR(VLOOKUP(A655,DATA_MATRIZ,76,FALSE),"")</f>
        <v>No aplica</v>
      </c>
      <c r="Q655" s="20">
        <f>IFERROR(VLOOKUP(A655,DATA_MATRIZ,78,FALSE),"")</f>
        <v>0</v>
      </c>
      <c r="R655" s="20">
        <f>IFERROR(VLOOKUP(A655,DATA_MATRIZ,79,FALSE),"")</f>
        <v>1</v>
      </c>
      <c r="S655" s="20">
        <f>IFERROR(VLOOKUP(A655,DATA_MATRIZ,85,FALSE),"")</f>
        <v>0</v>
      </c>
      <c r="T655" s="20">
        <f>COUNTA(A655)</f>
        <v>1</v>
      </c>
      <c r="U655" s="20" t="str">
        <f ca="1">IF(C655="", "Indefinida", (IF(C655&lt;TODAY(),"Realizada","Proyectada")))</f>
        <v>Realizada</v>
      </c>
    </row>
    <row r="656" spans="1:21" ht="61.5">
      <c r="A656" s="20">
        <v>812</v>
      </c>
      <c r="B656" s="20" t="str">
        <f>IFERROR(VLOOKUP(A656,DATA_MATRIZ,2,FALSE),"")</f>
        <v>Fortalecimiento de actores 20 encuestas SISBEN UPL 19 - Tunjuelito</v>
      </c>
      <c r="C656" s="21">
        <f>IFERROR(VLOOKUP(A656,DATA_MATRIZ,3,FALSE),"")</f>
        <v>45508</v>
      </c>
      <c r="D656" s="20" t="str">
        <f>IFERROR(VLOOKUP(A656,DATA_MATRIZ,5,FALSE),"")</f>
        <v>OPDC</v>
      </c>
      <c r="E656" s="20" t="str">
        <f>IFERROR(VLOOKUP(A656,DATA_MATRIZ,9,FALSE),"")</f>
        <v>NO</v>
      </c>
      <c r="F656" s="20" t="str">
        <f>IFERROR(VLOOKUP(A656,DATA_MATRIZ,10,FALSE),"")</f>
        <v xml:space="preserve">Fortalecimiento de actores por UPL - Encuestas SISBÉN </v>
      </c>
      <c r="G656" s="20" t="str">
        <f>IFERROR(VLOOKUP(A656,DATA_MATRIZ,11,FALSE),"")</f>
        <v>Presencial</v>
      </c>
      <c r="H656" s="20" t="str">
        <f>IFERROR(VLOOKUP(A656,DATA_MATRIZ,12,FALSE),"")</f>
        <v>Vincular nuevos actores estratégicos a la planeación para la participación a través de la aplicación de las encuestas SISBEN</v>
      </c>
      <c r="I656" s="20" t="str">
        <f>IFERROR(VLOOKUP(A656,DATA_MATRIZ,13,FALSE),"")</f>
        <v>Mecanismo de Fortalecimiento Ciudadano para la Planeación Participativa</v>
      </c>
      <c r="J656" s="20" t="str">
        <f>IFERROR(VLOOKUP(A656,DATA_MATRIZ,41,FALSE),"")</f>
        <v>Individual</v>
      </c>
      <c r="K656" s="20">
        <f>IFERROR(VLOOKUP(A656,DATA_MATRIZ,42,FALSE),"")</f>
        <v>0</v>
      </c>
      <c r="L656" s="20" t="str">
        <f>IFERROR(VLOOKUP(A656,DATA_MATRIZ,46,FALSE),"")</f>
        <v>Tunjuelito</v>
      </c>
      <c r="M656" s="20" t="str">
        <f>IFERROR(VLOOKUP(A656,DATA_MATRIZ,53,FALSE),"")</f>
        <v>Suroriente</v>
      </c>
      <c r="N656" s="20" t="str">
        <f>IFERROR(VLOOKUP(A656,DATA_MATRIZ,60,FALSE),"")</f>
        <v>Tunjuelito</v>
      </c>
      <c r="O656" s="20" t="str">
        <f>IFERROR(VLOOKUP(A656,DATA_MATRIZ,75,FALSE),"")</f>
        <v>NO</v>
      </c>
      <c r="P656" s="20" t="str">
        <f>IFERROR(VLOOKUP(A656,DATA_MATRIZ,76,FALSE),"")</f>
        <v>No aplica</v>
      </c>
      <c r="Q656" s="20">
        <f>IFERROR(VLOOKUP(A656,DATA_MATRIZ,78,FALSE),"")</f>
        <v>0</v>
      </c>
      <c r="R656" s="20">
        <f>IFERROR(VLOOKUP(A656,DATA_MATRIZ,79,FALSE),"")</f>
        <v>1</v>
      </c>
      <c r="S656" s="20">
        <f>IFERROR(VLOOKUP(A656,DATA_MATRIZ,85,FALSE),"")</f>
        <v>0</v>
      </c>
      <c r="T656" s="20">
        <f>COUNTA(A656)</f>
        <v>1</v>
      </c>
      <c r="U656" s="20" t="str">
        <f ca="1">IF(C656="", "Indefinida", (IF(C656&lt;TODAY(),"Realizada","Proyectada")))</f>
        <v>Realizada</v>
      </c>
    </row>
    <row r="657" spans="1:21" ht="61.5">
      <c r="A657" s="20">
        <v>813</v>
      </c>
      <c r="B657" s="20" t="str">
        <f>IFERROR(VLOOKUP(A657,DATA_MATRIZ,2,FALSE),"")</f>
        <v>Fortalecimiento de actores 20 encuestas SISBEN UPL 20 - Rafel Uribe Uribe</v>
      </c>
      <c r="C657" s="21">
        <f>IFERROR(VLOOKUP(A657,DATA_MATRIZ,3,FALSE),"")</f>
        <v>45508</v>
      </c>
      <c r="D657" s="20" t="str">
        <f>IFERROR(VLOOKUP(A657,DATA_MATRIZ,5,FALSE),"")</f>
        <v>OPDC</v>
      </c>
      <c r="E657" s="20" t="str">
        <f>IFERROR(VLOOKUP(A657,DATA_MATRIZ,9,FALSE),"")</f>
        <v>NO</v>
      </c>
      <c r="F657" s="20" t="str">
        <f>IFERROR(VLOOKUP(A657,DATA_MATRIZ,10,FALSE),"")</f>
        <v xml:space="preserve">Fortalecimiento de actores por UPL - Encuestas SISBÉN </v>
      </c>
      <c r="G657" s="20" t="str">
        <f>IFERROR(VLOOKUP(A657,DATA_MATRIZ,11,FALSE),"")</f>
        <v>Presencial</v>
      </c>
      <c r="H657" s="20" t="str">
        <f>IFERROR(VLOOKUP(A657,DATA_MATRIZ,12,FALSE),"")</f>
        <v>Vincular nuevos actores estratégicos a la planeación para la participación a través de la aplicación de las encuestas SISBEN</v>
      </c>
      <c r="I657" s="20" t="str">
        <f>IFERROR(VLOOKUP(A657,DATA_MATRIZ,13,FALSE),"")</f>
        <v>Mecanismo de Fortalecimiento Ciudadano para la Planeación Participativa</v>
      </c>
      <c r="J657" s="20" t="str">
        <f>IFERROR(VLOOKUP(A657,DATA_MATRIZ,41,FALSE),"")</f>
        <v>Individual</v>
      </c>
      <c r="K657" s="20">
        <f>IFERROR(VLOOKUP(A657,DATA_MATRIZ,42,FALSE),"")</f>
        <v>0</v>
      </c>
      <c r="L657" s="20" t="str">
        <f>IFERROR(VLOOKUP(A657,DATA_MATRIZ,46,FALSE),"")</f>
        <v>Rafael Uribe Uribe</v>
      </c>
      <c r="M657" s="20" t="str">
        <f>IFERROR(VLOOKUP(A657,DATA_MATRIZ,53,FALSE),"")</f>
        <v>Suroriente</v>
      </c>
      <c r="N657" s="20" t="str">
        <f>IFERROR(VLOOKUP(A657,DATA_MATRIZ,60,FALSE),"")</f>
        <v>Rafael Uribe</v>
      </c>
      <c r="O657" s="20" t="str">
        <f>IFERROR(VLOOKUP(A657,DATA_MATRIZ,75,FALSE),"")</f>
        <v>NO</v>
      </c>
      <c r="P657" s="20" t="str">
        <f>IFERROR(VLOOKUP(A657,DATA_MATRIZ,76,FALSE),"")</f>
        <v>No aplica</v>
      </c>
      <c r="Q657" s="20">
        <f>IFERROR(VLOOKUP(A657,DATA_MATRIZ,78,FALSE),"")</f>
        <v>10</v>
      </c>
      <c r="R657" s="20">
        <f>IFERROR(VLOOKUP(A657,DATA_MATRIZ,79,FALSE),"")</f>
        <v>1</v>
      </c>
      <c r="S657" s="20">
        <f>IFERROR(VLOOKUP(A657,DATA_MATRIZ,85,FALSE),"")</f>
        <v>0</v>
      </c>
      <c r="T657" s="20">
        <f>COUNTA(A657)</f>
        <v>1</v>
      </c>
      <c r="U657" s="20" t="str">
        <f ca="1">IF(C657="", "Indefinida", (IF(C657&lt;TODAY(),"Realizada","Proyectada")))</f>
        <v>Realizada</v>
      </c>
    </row>
    <row r="658" spans="1:21" ht="61.5">
      <c r="A658" s="20">
        <v>814</v>
      </c>
      <c r="B658" s="20" t="str">
        <f>IFERROR(VLOOKUP(A658,DATA_MATRIZ,2,FALSE),"")</f>
        <v>Fortalecimiento de actores 20 encuestas SISBEN UPL 21 - San Cristóbal</v>
      </c>
      <c r="C658" s="21">
        <f>IFERROR(VLOOKUP(A658,DATA_MATRIZ,3,FALSE),"")</f>
        <v>45508</v>
      </c>
      <c r="D658" s="20" t="str">
        <f>IFERROR(VLOOKUP(A658,DATA_MATRIZ,5,FALSE),"")</f>
        <v>OPDC</v>
      </c>
      <c r="E658" s="20" t="str">
        <f>IFERROR(VLOOKUP(A658,DATA_MATRIZ,9,FALSE),"")</f>
        <v>NO</v>
      </c>
      <c r="F658" s="20" t="str">
        <f>IFERROR(VLOOKUP(A658,DATA_MATRIZ,10,FALSE),"")</f>
        <v xml:space="preserve">Fortalecimiento de actores por UPL - Encuestas SISBÉN </v>
      </c>
      <c r="G658" s="20" t="str">
        <f>IFERROR(VLOOKUP(A658,DATA_MATRIZ,11,FALSE),"")</f>
        <v>Presencial</v>
      </c>
      <c r="H658" s="20" t="str">
        <f>IFERROR(VLOOKUP(A658,DATA_MATRIZ,12,FALSE),"")</f>
        <v>Vincular nuevos actores estratégicos a la planeación para la participación a través de la aplicación de las encuestas SISBEN</v>
      </c>
      <c r="I658" s="20" t="str">
        <f>IFERROR(VLOOKUP(A658,DATA_MATRIZ,13,FALSE),"")</f>
        <v>Mecanismo de Fortalecimiento Ciudadano para la Planeación Participativa</v>
      </c>
      <c r="J658" s="20" t="str">
        <f>IFERROR(VLOOKUP(A658,DATA_MATRIZ,41,FALSE),"")</f>
        <v>Individual</v>
      </c>
      <c r="K658" s="20">
        <f>IFERROR(VLOOKUP(A658,DATA_MATRIZ,42,FALSE),"")</f>
        <v>0</v>
      </c>
      <c r="L658" s="20" t="str">
        <f>IFERROR(VLOOKUP(A658,DATA_MATRIZ,46,FALSE),"")</f>
        <v>San Cristóbal</v>
      </c>
      <c r="M658" s="20" t="str">
        <f>IFERROR(VLOOKUP(A658,DATA_MATRIZ,53,FALSE),"")</f>
        <v>Suroriente</v>
      </c>
      <c r="N658" s="20" t="str">
        <f>IFERROR(VLOOKUP(A658,DATA_MATRIZ,60,FALSE),"")</f>
        <v>San Cristobal</v>
      </c>
      <c r="O658" s="20" t="str">
        <f>IFERROR(VLOOKUP(A658,DATA_MATRIZ,75,FALSE),"")</f>
        <v>NO</v>
      </c>
      <c r="P658" s="20" t="str">
        <f>IFERROR(VLOOKUP(A658,DATA_MATRIZ,76,FALSE),"")</f>
        <v>No aplica</v>
      </c>
      <c r="Q658" s="20">
        <f>IFERROR(VLOOKUP(A658,DATA_MATRIZ,78,FALSE),"")</f>
        <v>3</v>
      </c>
      <c r="R658" s="20">
        <f>IFERROR(VLOOKUP(A658,DATA_MATRIZ,79,FALSE),"")</f>
        <v>1</v>
      </c>
      <c r="S658" s="20">
        <f>IFERROR(VLOOKUP(A658,DATA_MATRIZ,85,FALSE),"")</f>
        <v>0</v>
      </c>
      <c r="T658" s="20">
        <f>COUNTA(A658)</f>
        <v>1</v>
      </c>
      <c r="U658" s="20" t="str">
        <f ca="1">IF(C658="", "Indefinida", (IF(C658&lt;TODAY(),"Realizada","Proyectada")))</f>
        <v>Realizada</v>
      </c>
    </row>
    <row r="659" spans="1:21" ht="61.5">
      <c r="A659" s="20">
        <v>815</v>
      </c>
      <c r="B659" s="20" t="str">
        <f>IFERROR(VLOOKUP(A659,DATA_MATRIZ,2,FALSE),"")</f>
        <v>Fortalecimiento de actores 20 encuestas SISBEN UPL 22 - Restrepo</v>
      </c>
      <c r="C659" s="21">
        <f>IFERROR(VLOOKUP(A659,DATA_MATRIZ,3,FALSE),"")</f>
        <v>45508</v>
      </c>
      <c r="D659" s="20" t="str">
        <f>IFERROR(VLOOKUP(A659,DATA_MATRIZ,5,FALSE),"")</f>
        <v>OPDC</v>
      </c>
      <c r="E659" s="20" t="str">
        <f>IFERROR(VLOOKUP(A659,DATA_MATRIZ,9,FALSE),"")</f>
        <v>NO</v>
      </c>
      <c r="F659" s="20" t="str">
        <f>IFERROR(VLOOKUP(A659,DATA_MATRIZ,10,FALSE),"")</f>
        <v xml:space="preserve">Fortalecimiento de actores por UPL - Encuestas SISBÉN </v>
      </c>
      <c r="G659" s="20" t="str">
        <f>IFERROR(VLOOKUP(A659,DATA_MATRIZ,11,FALSE),"")</f>
        <v>Presencial</v>
      </c>
      <c r="H659" s="20" t="str">
        <f>IFERROR(VLOOKUP(A659,DATA_MATRIZ,12,FALSE),"")</f>
        <v>Vincular nuevos actores estratégicos a la planeación para la participación a través de la aplicación de las encuestas SISBEN</v>
      </c>
      <c r="I659" s="20" t="str">
        <f>IFERROR(VLOOKUP(A659,DATA_MATRIZ,13,FALSE),"")</f>
        <v>Mecanismo de Fortalecimiento Ciudadano para la Planeación Participativa</v>
      </c>
      <c r="J659" s="20" t="str">
        <f>IFERROR(VLOOKUP(A659,DATA_MATRIZ,41,FALSE),"")</f>
        <v>Individual</v>
      </c>
      <c r="K659" s="20">
        <f>IFERROR(VLOOKUP(A659,DATA_MATRIZ,42,FALSE),"")</f>
        <v>0</v>
      </c>
      <c r="L659" s="20" t="str">
        <f>IFERROR(VLOOKUP(A659,DATA_MATRIZ,46,FALSE),"")</f>
        <v>Antonio Nariño</v>
      </c>
      <c r="M659" s="20" t="str">
        <f>IFERROR(VLOOKUP(A659,DATA_MATRIZ,53,FALSE),"")</f>
        <v>Centro Ampliado</v>
      </c>
      <c r="N659" s="20" t="str">
        <f>IFERROR(VLOOKUP(A659,DATA_MATRIZ,60,FALSE),"")</f>
        <v>Restrepo</v>
      </c>
      <c r="O659" s="20" t="str">
        <f>IFERROR(VLOOKUP(A659,DATA_MATRIZ,75,FALSE),"")</f>
        <v>NO</v>
      </c>
      <c r="P659" s="20" t="str">
        <f>IFERROR(VLOOKUP(A659,DATA_MATRIZ,76,FALSE),"")</f>
        <v>No aplica</v>
      </c>
      <c r="Q659" s="20">
        <f>IFERROR(VLOOKUP(A659,DATA_MATRIZ,78,FALSE),"")</f>
        <v>0</v>
      </c>
      <c r="R659" s="20">
        <f>IFERROR(VLOOKUP(A659,DATA_MATRIZ,79,FALSE),"")</f>
        <v>1</v>
      </c>
      <c r="S659" s="20">
        <f>IFERROR(VLOOKUP(A659,DATA_MATRIZ,85,FALSE),"")</f>
        <v>0</v>
      </c>
      <c r="T659" s="20">
        <f>COUNTA(A659)</f>
        <v>1</v>
      </c>
      <c r="U659" s="20" t="str">
        <f ca="1">IF(C659="", "Indefinida", (IF(C659&lt;TODAY(),"Realizada","Proyectada")))</f>
        <v>Realizada</v>
      </c>
    </row>
    <row r="660" spans="1:21" ht="61.5">
      <c r="A660" s="20">
        <v>816</v>
      </c>
      <c r="B660" s="20" t="str">
        <f>IFERROR(VLOOKUP(A660,DATA_MATRIZ,2,FALSE),"")</f>
        <v>Fortalecimiento de actores 10 encuestas SISBEN UPL 23 - Centro Histórico</v>
      </c>
      <c r="C660" s="21">
        <f>IFERROR(VLOOKUP(A660,DATA_MATRIZ,3,FALSE),"")</f>
        <v>45508</v>
      </c>
      <c r="D660" s="20" t="str">
        <f>IFERROR(VLOOKUP(A660,DATA_MATRIZ,5,FALSE),"")</f>
        <v>OPDC</v>
      </c>
      <c r="E660" s="20" t="str">
        <f>IFERROR(VLOOKUP(A660,DATA_MATRIZ,9,FALSE),"")</f>
        <v>NO</v>
      </c>
      <c r="F660" s="20" t="str">
        <f>IFERROR(VLOOKUP(A660,DATA_MATRIZ,10,FALSE),"")</f>
        <v xml:space="preserve">Fortalecimiento de actores por UPL - Encuestas SISBÉN </v>
      </c>
      <c r="G660" s="20" t="str">
        <f>IFERROR(VLOOKUP(A660,DATA_MATRIZ,11,FALSE),"")</f>
        <v>Presencial</v>
      </c>
      <c r="H660" s="20" t="str">
        <f>IFERROR(VLOOKUP(A660,DATA_MATRIZ,12,FALSE),"")</f>
        <v>Vincular nuevos actores estratégicos a la planeación para la participación a través de la aplicación de las encuestas SISBEN</v>
      </c>
      <c r="I660" s="20" t="str">
        <f>IFERROR(VLOOKUP(A660,DATA_MATRIZ,13,FALSE),"")</f>
        <v>Mecanismo de Fortalecimiento Ciudadano para la Planeación Participativa</v>
      </c>
      <c r="J660" s="20" t="str">
        <f>IFERROR(VLOOKUP(A660,DATA_MATRIZ,41,FALSE),"")</f>
        <v>Individual</v>
      </c>
      <c r="K660" s="20">
        <f>IFERROR(VLOOKUP(A660,DATA_MATRIZ,42,FALSE),"")</f>
        <v>0</v>
      </c>
      <c r="L660" s="20" t="str">
        <f>IFERROR(VLOOKUP(A660,DATA_MATRIZ,46,FALSE),"")</f>
        <v>Los Mártires, La Candelaria, Chapinero</v>
      </c>
      <c r="M660" s="20" t="str">
        <f>IFERROR(VLOOKUP(A660,DATA_MATRIZ,53,FALSE),"")</f>
        <v>Centro Ampliado</v>
      </c>
      <c r="N660" s="20" t="str">
        <f>IFERROR(VLOOKUP(A660,DATA_MATRIZ,60,FALSE),"")</f>
        <v>Centro Histórico</v>
      </c>
      <c r="O660" s="20" t="str">
        <f>IFERROR(VLOOKUP(A660,DATA_MATRIZ,75,FALSE),"")</f>
        <v>NO</v>
      </c>
      <c r="P660" s="20" t="str">
        <f>IFERROR(VLOOKUP(A660,DATA_MATRIZ,76,FALSE),"")</f>
        <v>No aplica</v>
      </c>
      <c r="Q660" s="20">
        <f>IFERROR(VLOOKUP(A660,DATA_MATRIZ,78,FALSE),"")</f>
        <v>0</v>
      </c>
      <c r="R660" s="20">
        <f>IFERROR(VLOOKUP(A660,DATA_MATRIZ,79,FALSE),"")</f>
        <v>1</v>
      </c>
      <c r="S660" s="20">
        <f>IFERROR(VLOOKUP(A660,DATA_MATRIZ,85,FALSE),"")</f>
        <v>0</v>
      </c>
      <c r="T660" s="20">
        <f>COUNTA(A660)</f>
        <v>1</v>
      </c>
      <c r="U660" s="20" t="str">
        <f ca="1">IF(C660="", "Indefinida", (IF(C660&lt;TODAY(),"Realizada","Proyectada")))</f>
        <v>Realizada</v>
      </c>
    </row>
    <row r="661" spans="1:21" ht="61.5">
      <c r="A661" s="20">
        <v>817</v>
      </c>
      <c r="B661" s="20" t="str">
        <f>IFERROR(VLOOKUP(A661,DATA_MATRIZ,2,FALSE),"")</f>
        <v>Fortalecimiento de actores 20 encuestas SISBEN UPL 24 - Chapinero</v>
      </c>
      <c r="C661" s="21">
        <f>IFERROR(VLOOKUP(A661,DATA_MATRIZ,3,FALSE),"")</f>
        <v>45508</v>
      </c>
      <c r="D661" s="20" t="str">
        <f>IFERROR(VLOOKUP(A661,DATA_MATRIZ,5,FALSE),"")</f>
        <v>OPDC</v>
      </c>
      <c r="E661" s="20" t="str">
        <f>IFERROR(VLOOKUP(A661,DATA_MATRIZ,9,FALSE),"")</f>
        <v>NO</v>
      </c>
      <c r="F661" s="20" t="str">
        <f>IFERROR(VLOOKUP(A661,DATA_MATRIZ,10,FALSE),"")</f>
        <v xml:space="preserve">Fortalecimiento de actores por UPL - Encuestas SISBÉN </v>
      </c>
      <c r="G661" s="20" t="str">
        <f>IFERROR(VLOOKUP(A661,DATA_MATRIZ,11,FALSE),"")</f>
        <v>Presencial</v>
      </c>
      <c r="H661" s="20" t="str">
        <f>IFERROR(VLOOKUP(A661,DATA_MATRIZ,12,FALSE),"")</f>
        <v>Vincular nuevos actores estratégicos a la planeación para la participación a través de la aplicación de las encuestas SISBEN</v>
      </c>
      <c r="I661" s="20" t="str">
        <f>IFERROR(VLOOKUP(A661,DATA_MATRIZ,13,FALSE),"")</f>
        <v>Mecanismo de Fortalecimiento Ciudadano para la Planeación Participativa</v>
      </c>
      <c r="J661" s="20" t="str">
        <f>IFERROR(VLOOKUP(A661,DATA_MATRIZ,41,FALSE),"")</f>
        <v>Individual</v>
      </c>
      <c r="K661" s="20">
        <f>IFERROR(VLOOKUP(A661,DATA_MATRIZ,42,FALSE),"")</f>
        <v>0</v>
      </c>
      <c r="L661" s="20" t="str">
        <f>IFERROR(VLOOKUP(A661,DATA_MATRIZ,46,FALSE),"")</f>
        <v>Chapinero</v>
      </c>
      <c r="M661" s="20" t="str">
        <f>IFERROR(VLOOKUP(A661,DATA_MATRIZ,53,FALSE),"")</f>
        <v>Centro Ampliado</v>
      </c>
      <c r="N661" s="20" t="str">
        <f>IFERROR(VLOOKUP(A661,DATA_MATRIZ,60,FALSE),"")</f>
        <v>Chapinero</v>
      </c>
      <c r="O661" s="20" t="str">
        <f>IFERROR(VLOOKUP(A661,DATA_MATRIZ,75,FALSE),"")</f>
        <v>NO</v>
      </c>
      <c r="P661" s="20" t="str">
        <f>IFERROR(VLOOKUP(A661,DATA_MATRIZ,76,FALSE),"")</f>
        <v>No aplica</v>
      </c>
      <c r="Q661" s="20">
        <f>IFERROR(VLOOKUP(A661,DATA_MATRIZ,78,FALSE),"")</f>
        <v>0</v>
      </c>
      <c r="R661" s="20">
        <f>IFERROR(VLOOKUP(A661,DATA_MATRIZ,79,FALSE),"")</f>
        <v>1</v>
      </c>
      <c r="S661" s="20">
        <f>IFERROR(VLOOKUP(A661,DATA_MATRIZ,85,FALSE),"")</f>
        <v>0</v>
      </c>
      <c r="T661" s="20">
        <f>COUNTA(A661)</f>
        <v>1</v>
      </c>
      <c r="U661" s="20" t="str">
        <f ca="1">IF(C661="", "Indefinida", (IF(C661&lt;TODAY(),"Realizada","Proyectada")))</f>
        <v>Realizada</v>
      </c>
    </row>
    <row r="662" spans="1:21" ht="61.5">
      <c r="A662" s="20">
        <v>818</v>
      </c>
      <c r="B662" s="20" t="str">
        <f>IFERROR(VLOOKUP(A662,DATA_MATRIZ,2,FALSE),"")</f>
        <v>Fortalecimiento de actores 20 encuestas SISBEN UPL 25 - Usaquén</v>
      </c>
      <c r="C662" s="21">
        <f>IFERROR(VLOOKUP(A662,DATA_MATRIZ,3,FALSE),"")</f>
        <v>45508</v>
      </c>
      <c r="D662" s="20" t="str">
        <f>IFERROR(VLOOKUP(A662,DATA_MATRIZ,5,FALSE),"")</f>
        <v>OPDC</v>
      </c>
      <c r="E662" s="20" t="str">
        <f>IFERROR(VLOOKUP(A662,DATA_MATRIZ,9,FALSE),"")</f>
        <v>NO</v>
      </c>
      <c r="F662" s="20" t="str">
        <f>IFERROR(VLOOKUP(A662,DATA_MATRIZ,10,FALSE),"")</f>
        <v xml:space="preserve">Fortalecimiento de actores por UPL - Encuestas SISBÉN </v>
      </c>
      <c r="G662" s="20" t="str">
        <f>IFERROR(VLOOKUP(A662,DATA_MATRIZ,11,FALSE),"")</f>
        <v>Presencial</v>
      </c>
      <c r="H662" s="20" t="str">
        <f>IFERROR(VLOOKUP(A662,DATA_MATRIZ,12,FALSE),"")</f>
        <v>Vincular nuevos actores estratégicos a la planeación para la participación a través de la aplicación de las encuestas SISBEN</v>
      </c>
      <c r="I662" s="20" t="str">
        <f>IFERROR(VLOOKUP(A662,DATA_MATRIZ,13,FALSE),"")</f>
        <v>Mecanismo de Fortalecimiento Ciudadano para la Planeación Participativa</v>
      </c>
      <c r="J662" s="20" t="str">
        <f>IFERROR(VLOOKUP(A662,DATA_MATRIZ,41,FALSE),"")</f>
        <v>Individual</v>
      </c>
      <c r="K662" s="20">
        <f>IFERROR(VLOOKUP(A662,DATA_MATRIZ,42,FALSE),"")</f>
        <v>0</v>
      </c>
      <c r="L662" s="20" t="str">
        <f>IFERROR(VLOOKUP(A662,DATA_MATRIZ,46,FALSE),"")</f>
        <v>Usaquén</v>
      </c>
      <c r="M662" s="20" t="str">
        <f>IFERROR(VLOOKUP(A662,DATA_MATRIZ,53,FALSE),"")</f>
        <v>Norte</v>
      </c>
      <c r="N662" s="20" t="str">
        <f>IFERROR(VLOOKUP(A662,DATA_MATRIZ,60,FALSE),"")</f>
        <v>Usaquén</v>
      </c>
      <c r="O662" s="20" t="str">
        <f>IFERROR(VLOOKUP(A662,DATA_MATRIZ,75,FALSE),"")</f>
        <v>NO</v>
      </c>
      <c r="P662" s="20" t="str">
        <f>IFERROR(VLOOKUP(A662,DATA_MATRIZ,76,FALSE),"")</f>
        <v>No aplica</v>
      </c>
      <c r="Q662" s="20">
        <f>IFERROR(VLOOKUP(A662,DATA_MATRIZ,78,FALSE),"")</f>
        <v>1</v>
      </c>
      <c r="R662" s="20">
        <f>IFERROR(VLOOKUP(A662,DATA_MATRIZ,79,FALSE),"")</f>
        <v>1</v>
      </c>
      <c r="S662" s="20">
        <f>IFERROR(VLOOKUP(A662,DATA_MATRIZ,85,FALSE),"")</f>
        <v>0</v>
      </c>
      <c r="T662" s="20">
        <f>COUNTA(A662)</f>
        <v>1</v>
      </c>
      <c r="U662" s="20" t="str">
        <f ca="1">IF(C662="", "Indefinida", (IF(C662&lt;TODAY(),"Realizada","Proyectada")))</f>
        <v>Realizada</v>
      </c>
    </row>
    <row r="663" spans="1:21" ht="61.5">
      <c r="A663" s="20">
        <v>819</v>
      </c>
      <c r="B663" s="20" t="str">
        <f>IFERROR(VLOOKUP(A663,DATA_MATRIZ,2,FALSE),"")</f>
        <v>Fortalecimiento de actores 20 encuestas SISBEN UPL 26 - Toberín</v>
      </c>
      <c r="C663" s="21">
        <f>IFERROR(VLOOKUP(A663,DATA_MATRIZ,3,FALSE),"")</f>
        <v>45508</v>
      </c>
      <c r="D663" s="20" t="str">
        <f>IFERROR(VLOOKUP(A663,DATA_MATRIZ,5,FALSE),"")</f>
        <v>OPDC</v>
      </c>
      <c r="E663" s="20" t="str">
        <f>IFERROR(VLOOKUP(A663,DATA_MATRIZ,9,FALSE),"")</f>
        <v>NO</v>
      </c>
      <c r="F663" s="20" t="str">
        <f>IFERROR(VLOOKUP(A663,DATA_MATRIZ,10,FALSE),"")</f>
        <v xml:space="preserve">Fortalecimiento de actores por UPL - Encuestas SISBÉN </v>
      </c>
      <c r="G663" s="20" t="str">
        <f>IFERROR(VLOOKUP(A663,DATA_MATRIZ,11,FALSE),"")</f>
        <v>Presencial</v>
      </c>
      <c r="H663" s="20" t="str">
        <f>IFERROR(VLOOKUP(A663,DATA_MATRIZ,12,FALSE),"")</f>
        <v>Vincular nuevos actores estratégicos a la planeación para la participación a través de la aplicación de las encuestas SISBEN</v>
      </c>
      <c r="I663" s="20" t="str">
        <f>IFERROR(VLOOKUP(A663,DATA_MATRIZ,13,FALSE),"")</f>
        <v>Mecanismo de Fortalecimiento Ciudadano para la Planeación Participativa</v>
      </c>
      <c r="J663" s="20" t="str">
        <f>IFERROR(VLOOKUP(A663,DATA_MATRIZ,41,FALSE),"")</f>
        <v>Individual</v>
      </c>
      <c r="K663" s="20">
        <f>IFERROR(VLOOKUP(A663,DATA_MATRIZ,42,FALSE),"")</f>
        <v>0</v>
      </c>
      <c r="L663" s="20" t="str">
        <f>IFERROR(VLOOKUP(A663,DATA_MATRIZ,46,FALSE),"")</f>
        <v>Usaquén</v>
      </c>
      <c r="M663" s="20" t="str">
        <f>IFERROR(VLOOKUP(A663,DATA_MATRIZ,53,FALSE),"")</f>
        <v>Norte</v>
      </c>
      <c r="N663" s="20" t="str">
        <f>IFERROR(VLOOKUP(A663,DATA_MATRIZ,60,FALSE),"")</f>
        <v>Toberín</v>
      </c>
      <c r="O663" s="20" t="str">
        <f>IFERROR(VLOOKUP(A663,DATA_MATRIZ,75,FALSE),"")</f>
        <v>NO</v>
      </c>
      <c r="P663" s="20" t="str">
        <f>IFERROR(VLOOKUP(A663,DATA_MATRIZ,76,FALSE),"")</f>
        <v>No aplica</v>
      </c>
      <c r="Q663" s="20">
        <f>IFERROR(VLOOKUP(A663,DATA_MATRIZ,78,FALSE),"")</f>
        <v>6</v>
      </c>
      <c r="R663" s="20">
        <f>IFERROR(VLOOKUP(A663,DATA_MATRIZ,79,FALSE),"")</f>
        <v>1</v>
      </c>
      <c r="S663" s="20">
        <f>IFERROR(VLOOKUP(A663,DATA_MATRIZ,85,FALSE),"")</f>
        <v>0</v>
      </c>
      <c r="T663" s="20">
        <f>COUNTA(A663)</f>
        <v>1</v>
      </c>
      <c r="U663" s="20" t="str">
        <f ca="1">IF(C663="", "Indefinida", (IF(C663&lt;TODAY(),"Realizada","Proyectada")))</f>
        <v>Realizada</v>
      </c>
    </row>
    <row r="664" spans="1:21" ht="61.5">
      <c r="A664" s="20">
        <v>820</v>
      </c>
      <c r="B664" s="20" t="str">
        <f>IFERROR(VLOOKUP(A664,DATA_MATRIZ,2,FALSE),"")</f>
        <v>Fortalecimiento de actores 20 encuestas SISBEN UPL 27 - Niza</v>
      </c>
      <c r="C664" s="21">
        <f>IFERROR(VLOOKUP(A664,DATA_MATRIZ,3,FALSE),"")</f>
        <v>45508</v>
      </c>
      <c r="D664" s="20" t="str">
        <f>IFERROR(VLOOKUP(A664,DATA_MATRIZ,5,FALSE),"")</f>
        <v>OPDC</v>
      </c>
      <c r="E664" s="20" t="str">
        <f>IFERROR(VLOOKUP(A664,DATA_MATRIZ,9,FALSE),"")</f>
        <v>NO</v>
      </c>
      <c r="F664" s="20" t="str">
        <f>IFERROR(VLOOKUP(A664,DATA_MATRIZ,10,FALSE),"")</f>
        <v xml:space="preserve">Fortalecimiento de actores por UPL - Encuestas SISBÉN </v>
      </c>
      <c r="G664" s="20" t="str">
        <f>IFERROR(VLOOKUP(A664,DATA_MATRIZ,11,FALSE),"")</f>
        <v>Presencial</v>
      </c>
      <c r="H664" s="20" t="str">
        <f>IFERROR(VLOOKUP(A664,DATA_MATRIZ,12,FALSE),"")</f>
        <v>Vincular nuevos actores estratégicos a la planeación para la participación a través de la aplicación de las encuestas SISBEN</v>
      </c>
      <c r="I664" s="20" t="str">
        <f>IFERROR(VLOOKUP(A664,DATA_MATRIZ,13,FALSE),"")</f>
        <v>Mecanismo de Fortalecimiento Ciudadano para la Planeación Participativa</v>
      </c>
      <c r="J664" s="20" t="str">
        <f>IFERROR(VLOOKUP(A664,DATA_MATRIZ,41,FALSE),"")</f>
        <v>Individual</v>
      </c>
      <c r="K664" s="20">
        <f>IFERROR(VLOOKUP(A664,DATA_MATRIZ,42,FALSE),"")</f>
        <v>0</v>
      </c>
      <c r="L664" s="20" t="str">
        <f>IFERROR(VLOOKUP(A664,DATA_MATRIZ,46,FALSE),"")</f>
        <v>Suba</v>
      </c>
      <c r="M664" s="20" t="str">
        <f>IFERROR(VLOOKUP(A664,DATA_MATRIZ,53,FALSE),"")</f>
        <v>Norte</v>
      </c>
      <c r="N664" s="20" t="str">
        <f>IFERROR(VLOOKUP(A664,DATA_MATRIZ,60,FALSE),"")</f>
        <v>Niza</v>
      </c>
      <c r="O664" s="20" t="str">
        <f>IFERROR(VLOOKUP(A664,DATA_MATRIZ,75,FALSE),"")</f>
        <v>NO</v>
      </c>
      <c r="P664" s="20" t="str">
        <f>IFERROR(VLOOKUP(A664,DATA_MATRIZ,76,FALSE),"")</f>
        <v>No aplica</v>
      </c>
      <c r="Q664" s="20">
        <f>IFERROR(VLOOKUP(A664,DATA_MATRIZ,78,FALSE),"")</f>
        <v>0</v>
      </c>
      <c r="R664" s="20">
        <f>IFERROR(VLOOKUP(A664,DATA_MATRIZ,79,FALSE),"")</f>
        <v>1</v>
      </c>
      <c r="S664" s="20">
        <f>IFERROR(VLOOKUP(A664,DATA_MATRIZ,85,FALSE),"")</f>
        <v>0</v>
      </c>
      <c r="T664" s="20">
        <f>COUNTA(A664)</f>
        <v>1</v>
      </c>
      <c r="U664" s="20" t="str">
        <f ca="1">IF(C664="", "Indefinida", (IF(C664&lt;TODAY(),"Realizada","Proyectada")))</f>
        <v>Realizada</v>
      </c>
    </row>
    <row r="665" spans="1:21" ht="61.5">
      <c r="A665" s="20">
        <v>821</v>
      </c>
      <c r="B665" s="20" t="str">
        <f>IFERROR(VLOOKUP(A665,DATA_MATRIZ,2,FALSE),"")</f>
        <v>Fortalecimiento de actores 20 encuestas SISBEN UPL 28 - Ricón de Suba</v>
      </c>
      <c r="C665" s="21">
        <f>IFERROR(VLOOKUP(A665,DATA_MATRIZ,3,FALSE),"")</f>
        <v>45508</v>
      </c>
      <c r="D665" s="20" t="str">
        <f>IFERROR(VLOOKUP(A665,DATA_MATRIZ,5,FALSE),"")</f>
        <v>OPDC</v>
      </c>
      <c r="E665" s="20" t="str">
        <f>IFERROR(VLOOKUP(A665,DATA_MATRIZ,9,FALSE),"")</f>
        <v>NO</v>
      </c>
      <c r="F665" s="20" t="str">
        <f>IFERROR(VLOOKUP(A665,DATA_MATRIZ,10,FALSE),"")</f>
        <v xml:space="preserve">Fortalecimiento de actores por UPL - Encuestas SISBÉN </v>
      </c>
      <c r="G665" s="20" t="str">
        <f>IFERROR(VLOOKUP(A665,DATA_MATRIZ,11,FALSE),"")</f>
        <v>Presencial</v>
      </c>
      <c r="H665" s="20" t="str">
        <f>IFERROR(VLOOKUP(A665,DATA_MATRIZ,12,FALSE),"")</f>
        <v>Vincular nuevos actores estratégicos a la planeación para la participación a través de la aplicación de las encuestas SISBEN</v>
      </c>
      <c r="I665" s="20" t="str">
        <f>IFERROR(VLOOKUP(A665,DATA_MATRIZ,13,FALSE),"")</f>
        <v>Mecanismo de Fortalecimiento Ciudadano para la Planeación Participativa</v>
      </c>
      <c r="J665" s="20" t="str">
        <f>IFERROR(VLOOKUP(A665,DATA_MATRIZ,41,FALSE),"")</f>
        <v>Individual</v>
      </c>
      <c r="K665" s="20">
        <f>IFERROR(VLOOKUP(A665,DATA_MATRIZ,42,FALSE),"")</f>
        <v>0</v>
      </c>
      <c r="L665" s="20" t="str">
        <f>IFERROR(VLOOKUP(A665,DATA_MATRIZ,46,FALSE),"")</f>
        <v>Suba</v>
      </c>
      <c r="M665" s="20" t="str">
        <f>IFERROR(VLOOKUP(A665,DATA_MATRIZ,53,FALSE),"")</f>
        <v>Noroccidente</v>
      </c>
      <c r="N665" s="20" t="str">
        <f>IFERROR(VLOOKUP(A665,DATA_MATRIZ,60,FALSE),"")</f>
        <v>Suba Rincón</v>
      </c>
      <c r="O665" s="20" t="str">
        <f>IFERROR(VLOOKUP(A665,DATA_MATRIZ,75,FALSE),"")</f>
        <v>NO</v>
      </c>
      <c r="P665" s="20" t="str">
        <f>IFERROR(VLOOKUP(A665,DATA_MATRIZ,76,FALSE),"")</f>
        <v>No aplica</v>
      </c>
      <c r="Q665" s="20">
        <f>IFERROR(VLOOKUP(A665,DATA_MATRIZ,78,FALSE),"")</f>
        <v>0</v>
      </c>
      <c r="R665" s="20">
        <f>IFERROR(VLOOKUP(A665,DATA_MATRIZ,79,FALSE),"")</f>
        <v>1</v>
      </c>
      <c r="S665" s="20">
        <f>IFERROR(VLOOKUP(A665,DATA_MATRIZ,85,FALSE),"")</f>
        <v>0</v>
      </c>
      <c r="T665" s="20">
        <f>COUNTA(A665)</f>
        <v>1</v>
      </c>
      <c r="U665" s="20" t="str">
        <f ca="1">IF(C665="", "Indefinida", (IF(C665&lt;TODAY(),"Realizada","Proyectada")))</f>
        <v>Realizada</v>
      </c>
    </row>
    <row r="666" spans="1:21" ht="61.5">
      <c r="A666" s="20">
        <v>822</v>
      </c>
      <c r="B666" s="20" t="str">
        <f>IFERROR(VLOOKUP(A666,DATA_MATRIZ,2,FALSE),"")</f>
        <v>Fortalecimiento de actores 20 encuestas SISBEN UPL 29 - Tabora</v>
      </c>
      <c r="C666" s="21">
        <f>IFERROR(VLOOKUP(A666,DATA_MATRIZ,3,FALSE),"")</f>
        <v>45508</v>
      </c>
      <c r="D666" s="20" t="str">
        <f>IFERROR(VLOOKUP(A666,DATA_MATRIZ,5,FALSE),"")</f>
        <v>OPDC</v>
      </c>
      <c r="E666" s="20" t="str">
        <f>IFERROR(VLOOKUP(A666,DATA_MATRIZ,9,FALSE),"")</f>
        <v>NO</v>
      </c>
      <c r="F666" s="20" t="str">
        <f>IFERROR(VLOOKUP(A666,DATA_MATRIZ,10,FALSE),"")</f>
        <v xml:space="preserve">Fortalecimiento de actores por UPL - Encuestas SISBÉN </v>
      </c>
      <c r="G666" s="20" t="str">
        <f>IFERROR(VLOOKUP(A666,DATA_MATRIZ,11,FALSE),"")</f>
        <v>Presencial</v>
      </c>
      <c r="H666" s="20" t="str">
        <f>IFERROR(VLOOKUP(A666,DATA_MATRIZ,12,FALSE),"")</f>
        <v>Vincular nuevos actores estratégicos a la planeación para la participación a través de la aplicación de las encuestas SISBEN</v>
      </c>
      <c r="I666" s="20" t="str">
        <f>IFERROR(VLOOKUP(A666,DATA_MATRIZ,13,FALSE),"")</f>
        <v>Mecanismo de Fortalecimiento Ciudadano para la Planeación Participativa</v>
      </c>
      <c r="J666" s="20" t="str">
        <f>IFERROR(VLOOKUP(A666,DATA_MATRIZ,41,FALSE),"")</f>
        <v>Individual</v>
      </c>
      <c r="K666" s="20">
        <f>IFERROR(VLOOKUP(A666,DATA_MATRIZ,42,FALSE),"")</f>
        <v>0</v>
      </c>
      <c r="L666" s="20" t="str">
        <f>IFERROR(VLOOKUP(A666,DATA_MATRIZ,46,FALSE),"")</f>
        <v>Engativá</v>
      </c>
      <c r="M666" s="20" t="str">
        <f>IFERROR(VLOOKUP(A666,DATA_MATRIZ,53,FALSE),"")</f>
        <v>Occidente</v>
      </c>
      <c r="N666" s="20" t="str">
        <f>IFERROR(VLOOKUP(A666,DATA_MATRIZ,60,FALSE),"")</f>
        <v>Tabora</v>
      </c>
      <c r="O666" s="20" t="str">
        <f>IFERROR(VLOOKUP(A666,DATA_MATRIZ,75,FALSE),"")</f>
        <v>NO</v>
      </c>
      <c r="P666" s="20" t="str">
        <f>IFERROR(VLOOKUP(A666,DATA_MATRIZ,76,FALSE),"")</f>
        <v>No aplica</v>
      </c>
      <c r="Q666" s="20">
        <f>IFERROR(VLOOKUP(A666,DATA_MATRIZ,78,FALSE),"")</f>
        <v>8</v>
      </c>
      <c r="R666" s="20">
        <f>IFERROR(VLOOKUP(A666,DATA_MATRIZ,79,FALSE),"")</f>
        <v>1</v>
      </c>
      <c r="S666" s="20">
        <f>IFERROR(VLOOKUP(A666,DATA_MATRIZ,85,FALSE),"")</f>
        <v>0</v>
      </c>
      <c r="T666" s="20">
        <f>COUNTA(A666)</f>
        <v>1</v>
      </c>
      <c r="U666" s="20" t="str">
        <f ca="1">IF(C666="", "Indefinida", (IF(C666&lt;TODAY(),"Realizada","Proyectada")))</f>
        <v>Realizada</v>
      </c>
    </row>
    <row r="667" spans="1:21" ht="61.5">
      <c r="A667" s="20">
        <v>823</v>
      </c>
      <c r="B667" s="20" t="str">
        <f>IFERROR(VLOOKUP(A667,DATA_MATRIZ,2,FALSE),"")</f>
        <v>Fortalecimiento de actores 20 encuestas SISBEN UPL 30 - Salitre</v>
      </c>
      <c r="C667" s="21">
        <f>IFERROR(VLOOKUP(A667,DATA_MATRIZ,3,FALSE),"")</f>
        <v>45508</v>
      </c>
      <c r="D667" s="20" t="str">
        <f>IFERROR(VLOOKUP(A667,DATA_MATRIZ,5,FALSE),"")</f>
        <v>OPDC</v>
      </c>
      <c r="E667" s="20" t="str">
        <f>IFERROR(VLOOKUP(A667,DATA_MATRIZ,9,FALSE),"")</f>
        <v>NO</v>
      </c>
      <c r="F667" s="20" t="str">
        <f>IFERROR(VLOOKUP(A667,DATA_MATRIZ,10,FALSE),"")</f>
        <v xml:space="preserve">Fortalecimiento de actores por UPL - Encuestas SISBÉN </v>
      </c>
      <c r="G667" s="20" t="str">
        <f>IFERROR(VLOOKUP(A667,DATA_MATRIZ,11,FALSE),"")</f>
        <v>Presencial</v>
      </c>
      <c r="H667" s="20" t="str">
        <f>IFERROR(VLOOKUP(A667,DATA_MATRIZ,12,FALSE),"")</f>
        <v>Vincular nuevos actores estratégicos a la planeación para la participación a través de la aplicación de las encuestas SISBEN</v>
      </c>
      <c r="I667" s="20" t="str">
        <f>IFERROR(VLOOKUP(A667,DATA_MATRIZ,13,FALSE),"")</f>
        <v>Mecanismo de Fortalecimiento Ciudadano para la Planeación Participativa</v>
      </c>
      <c r="J667" s="20" t="str">
        <f>IFERROR(VLOOKUP(A667,DATA_MATRIZ,41,FALSE),"")</f>
        <v>Individual</v>
      </c>
      <c r="K667" s="20">
        <f>IFERROR(VLOOKUP(A667,DATA_MATRIZ,42,FALSE),"")</f>
        <v>0</v>
      </c>
      <c r="L667" s="20" t="str">
        <f>IFERROR(VLOOKUP(A667,DATA_MATRIZ,46,FALSE),"")</f>
        <v>Engativá</v>
      </c>
      <c r="M667" s="20" t="str">
        <f>IFERROR(VLOOKUP(A667,DATA_MATRIZ,53,FALSE),"")</f>
        <v>Occidente</v>
      </c>
      <c r="N667" s="20" t="str">
        <f>IFERROR(VLOOKUP(A667,DATA_MATRIZ,60,FALSE),"")</f>
        <v>Salitre</v>
      </c>
      <c r="O667" s="20" t="str">
        <f>IFERROR(VLOOKUP(A667,DATA_MATRIZ,75,FALSE),"")</f>
        <v>NO</v>
      </c>
      <c r="P667" s="20" t="str">
        <f>IFERROR(VLOOKUP(A667,DATA_MATRIZ,76,FALSE),"")</f>
        <v>No aplica</v>
      </c>
      <c r="Q667" s="20">
        <f>IFERROR(VLOOKUP(A667,DATA_MATRIZ,78,FALSE),"")</f>
        <v>0</v>
      </c>
      <c r="R667" s="20">
        <f>IFERROR(VLOOKUP(A667,DATA_MATRIZ,79,FALSE),"")</f>
        <v>1</v>
      </c>
      <c r="S667" s="20">
        <f>IFERROR(VLOOKUP(A667,DATA_MATRIZ,85,FALSE),"")</f>
        <v>0</v>
      </c>
      <c r="T667" s="20">
        <f>COUNTA(A667)</f>
        <v>1</v>
      </c>
      <c r="U667" s="20" t="str">
        <f ca="1">IF(C667="", "Indefinida", (IF(C667&lt;TODAY(),"Realizada","Proyectada")))</f>
        <v>Realizada</v>
      </c>
    </row>
    <row r="668" spans="1:21" ht="61.5">
      <c r="A668" s="20">
        <v>824</v>
      </c>
      <c r="B668" s="20" t="str">
        <f>IFERROR(VLOOKUP(A668,DATA_MATRIZ,2,FALSE),"")</f>
        <v>Fortalecimiento de actores 20 encuestas SISBEN UPL 31 - Puente Aranda</v>
      </c>
      <c r="C668" s="21">
        <f>IFERROR(VLOOKUP(A668,DATA_MATRIZ,3,FALSE),"")</f>
        <v>45508</v>
      </c>
      <c r="D668" s="20" t="str">
        <f>IFERROR(VLOOKUP(A668,DATA_MATRIZ,5,FALSE),"")</f>
        <v>OPDC</v>
      </c>
      <c r="E668" s="20" t="str">
        <f>IFERROR(VLOOKUP(A668,DATA_MATRIZ,9,FALSE),"")</f>
        <v>NO</v>
      </c>
      <c r="F668" s="20" t="str">
        <f>IFERROR(VLOOKUP(A668,DATA_MATRIZ,10,FALSE),"")</f>
        <v xml:space="preserve">Fortalecimiento de actores por UPL - Encuestas SISBÉN </v>
      </c>
      <c r="G668" s="20" t="str">
        <f>IFERROR(VLOOKUP(A668,DATA_MATRIZ,11,FALSE),"")</f>
        <v>Presencial</v>
      </c>
      <c r="H668" s="20" t="str">
        <f>IFERROR(VLOOKUP(A668,DATA_MATRIZ,12,FALSE),"")</f>
        <v>Vincular nuevos actores estratégicos a la planeación para la participación a través de la aplicación de las encuestas SISBEN</v>
      </c>
      <c r="I668" s="20" t="str">
        <f>IFERROR(VLOOKUP(A668,DATA_MATRIZ,13,FALSE),"")</f>
        <v>Mecanismo de Fortalecimiento Ciudadano para la Planeación Participativa</v>
      </c>
      <c r="J668" s="20" t="str">
        <f>IFERROR(VLOOKUP(A668,DATA_MATRIZ,41,FALSE),"")</f>
        <v>Individual</v>
      </c>
      <c r="K668" s="20">
        <f>IFERROR(VLOOKUP(A668,DATA_MATRIZ,42,FALSE),"")</f>
        <v>0</v>
      </c>
      <c r="L668" s="20" t="str">
        <f>IFERROR(VLOOKUP(A668,DATA_MATRIZ,46,FALSE),"")</f>
        <v>Puente Aranda</v>
      </c>
      <c r="M668" s="20" t="str">
        <f>IFERROR(VLOOKUP(A668,DATA_MATRIZ,53,FALSE),"")</f>
        <v>Centro Ampliado</v>
      </c>
      <c r="N668" s="20" t="str">
        <f>IFERROR(VLOOKUP(A668,DATA_MATRIZ,60,FALSE),"")</f>
        <v>Puente Aranda</v>
      </c>
      <c r="O668" s="20" t="str">
        <f>IFERROR(VLOOKUP(A668,DATA_MATRIZ,75,FALSE),"")</f>
        <v>NO</v>
      </c>
      <c r="P668" s="20" t="str">
        <f>IFERROR(VLOOKUP(A668,DATA_MATRIZ,76,FALSE),"")</f>
        <v>No aplica</v>
      </c>
      <c r="Q668" s="20">
        <f>IFERROR(VLOOKUP(A668,DATA_MATRIZ,78,FALSE),"")</f>
        <v>0</v>
      </c>
      <c r="R668" s="20">
        <f>IFERROR(VLOOKUP(A668,DATA_MATRIZ,79,FALSE),"")</f>
        <v>1</v>
      </c>
      <c r="S668" s="20">
        <f>IFERROR(VLOOKUP(A668,DATA_MATRIZ,85,FALSE),"")</f>
        <v>0</v>
      </c>
      <c r="T668" s="20">
        <f>COUNTA(A668)</f>
        <v>1</v>
      </c>
      <c r="U668" s="20" t="str">
        <f ca="1">IF(C668="", "Indefinida", (IF(C668&lt;TODAY(),"Realizada","Proyectada")))</f>
        <v>Realizada</v>
      </c>
    </row>
    <row r="669" spans="1:21" ht="61.5">
      <c r="A669" s="20">
        <v>825</v>
      </c>
      <c r="B669" s="20" t="str">
        <f>IFERROR(VLOOKUP(A669,DATA_MATRIZ,2,FALSE),"")</f>
        <v>Fortalecimiento de actores 10 encuestas SISBEN UPL 32 - Teusaquillo</v>
      </c>
      <c r="C669" s="21">
        <f>IFERROR(VLOOKUP(A669,DATA_MATRIZ,3,FALSE),"")</f>
        <v>45508</v>
      </c>
      <c r="D669" s="20" t="str">
        <f>IFERROR(VLOOKUP(A669,DATA_MATRIZ,5,FALSE),"")</f>
        <v>OPDC</v>
      </c>
      <c r="E669" s="20" t="str">
        <f>IFERROR(VLOOKUP(A669,DATA_MATRIZ,9,FALSE),"")</f>
        <v>NO</v>
      </c>
      <c r="F669" s="20" t="str">
        <f>IFERROR(VLOOKUP(A669,DATA_MATRIZ,10,FALSE),"")</f>
        <v xml:space="preserve">Fortalecimiento de actores por UPL - Encuestas SISBÉN </v>
      </c>
      <c r="G669" s="20" t="str">
        <f>IFERROR(VLOOKUP(A669,DATA_MATRIZ,11,FALSE),"")</f>
        <v>Presencial</v>
      </c>
      <c r="H669" s="20" t="str">
        <f>IFERROR(VLOOKUP(A669,DATA_MATRIZ,12,FALSE),"")</f>
        <v>Vincular nuevos actores estratégicos a la planeación para la participación a través de la aplicación de las encuestas SISBEN</v>
      </c>
      <c r="I669" s="20" t="str">
        <f>IFERROR(VLOOKUP(A669,DATA_MATRIZ,13,FALSE),"")</f>
        <v>Mecanismo de Fortalecimiento Ciudadano para la Planeación Participativa</v>
      </c>
      <c r="J669" s="20" t="str">
        <f>IFERROR(VLOOKUP(A669,DATA_MATRIZ,41,FALSE),"")</f>
        <v>Individual</v>
      </c>
      <c r="K669" s="20">
        <f>IFERROR(VLOOKUP(A669,DATA_MATRIZ,42,FALSE),"")</f>
        <v>0</v>
      </c>
      <c r="L669" s="20" t="str">
        <f>IFERROR(VLOOKUP(A669,DATA_MATRIZ,46,FALSE),"")</f>
        <v>Teusaquillo</v>
      </c>
      <c r="M669" s="20" t="str">
        <f>IFERROR(VLOOKUP(A669,DATA_MATRIZ,53,FALSE),"")</f>
        <v>Centro Ampliado</v>
      </c>
      <c r="N669" s="20" t="str">
        <f>IFERROR(VLOOKUP(A669,DATA_MATRIZ,60,FALSE),"")</f>
        <v>Teusaquillo</v>
      </c>
      <c r="O669" s="20" t="str">
        <f>IFERROR(VLOOKUP(A669,DATA_MATRIZ,75,FALSE),"")</f>
        <v>NO</v>
      </c>
      <c r="P669" s="20" t="str">
        <f>IFERROR(VLOOKUP(A669,DATA_MATRIZ,76,FALSE),"")</f>
        <v>No aplica</v>
      </c>
      <c r="Q669" s="20">
        <f>IFERROR(VLOOKUP(A669,DATA_MATRIZ,78,FALSE),"")</f>
        <v>0</v>
      </c>
      <c r="R669" s="20">
        <f>IFERROR(VLOOKUP(A669,DATA_MATRIZ,79,FALSE),"")</f>
        <v>1</v>
      </c>
      <c r="S669" s="20">
        <f>IFERROR(VLOOKUP(A669,DATA_MATRIZ,85,FALSE),"")</f>
        <v>0</v>
      </c>
      <c r="T669" s="20">
        <f>COUNTA(A669)</f>
        <v>1</v>
      </c>
      <c r="U669" s="20" t="str">
        <f ca="1">IF(C669="", "Indefinida", (IF(C669&lt;TODAY(),"Realizada","Proyectada")))</f>
        <v>Realizada</v>
      </c>
    </row>
    <row r="670" spans="1:21" ht="61.5">
      <c r="A670" s="20">
        <v>826</v>
      </c>
      <c r="B670" s="20" t="str">
        <f>IFERROR(VLOOKUP(A670,DATA_MATRIZ,2,FALSE),"")</f>
        <v>Fortalecimiento de actores 10 encuestas SISBEN UPL 33 - Barrios Unidos</v>
      </c>
      <c r="C670" s="21">
        <f>IFERROR(VLOOKUP(A670,DATA_MATRIZ,3,FALSE),"")</f>
        <v>45508</v>
      </c>
      <c r="D670" s="20" t="str">
        <f>IFERROR(VLOOKUP(A670,DATA_MATRIZ,5,FALSE),"")</f>
        <v>OPDC</v>
      </c>
      <c r="E670" s="20" t="str">
        <f>IFERROR(VLOOKUP(A670,DATA_MATRIZ,9,FALSE),"")</f>
        <v>NO</v>
      </c>
      <c r="F670" s="20" t="str">
        <f>IFERROR(VLOOKUP(A670,DATA_MATRIZ,10,FALSE),"")</f>
        <v xml:space="preserve">Fortalecimiento de actores por UPL - Encuestas SISBÉN </v>
      </c>
      <c r="G670" s="20" t="str">
        <f>IFERROR(VLOOKUP(A670,DATA_MATRIZ,11,FALSE),"")</f>
        <v>Presencial</v>
      </c>
      <c r="H670" s="20" t="str">
        <f>IFERROR(VLOOKUP(A670,DATA_MATRIZ,12,FALSE),"")</f>
        <v>Vincular nuevos actores estratégicos a la planeación para la participación a través de la aplicación de las encuestas SISBEN</v>
      </c>
      <c r="I670" s="20" t="str">
        <f>IFERROR(VLOOKUP(A670,DATA_MATRIZ,13,FALSE),"")</f>
        <v>Mecanismo de Fortalecimiento Ciudadano para la Planeación Participativa</v>
      </c>
      <c r="J670" s="20" t="str">
        <f>IFERROR(VLOOKUP(A670,DATA_MATRIZ,41,FALSE),"")</f>
        <v>Individual</v>
      </c>
      <c r="K670" s="20">
        <f>IFERROR(VLOOKUP(A670,DATA_MATRIZ,42,FALSE),"")</f>
        <v>0</v>
      </c>
      <c r="L670" s="20" t="str">
        <f>IFERROR(VLOOKUP(A670,DATA_MATRIZ,46,FALSE),"")</f>
        <v>Barrios Unidos</v>
      </c>
      <c r="M670" s="20" t="str">
        <f>IFERROR(VLOOKUP(A670,DATA_MATRIZ,53,FALSE),"")</f>
        <v>Centro Ampliado</v>
      </c>
      <c r="N670" s="20" t="str">
        <f>IFERROR(VLOOKUP(A670,DATA_MATRIZ,60,FALSE),"")</f>
        <v>Barrios Unidos</v>
      </c>
      <c r="O670" s="20" t="str">
        <f>IFERROR(VLOOKUP(A670,DATA_MATRIZ,75,FALSE),"")</f>
        <v>NO</v>
      </c>
      <c r="P670" s="20" t="str">
        <f>IFERROR(VLOOKUP(A670,DATA_MATRIZ,76,FALSE),"")</f>
        <v>No aplica</v>
      </c>
      <c r="Q670" s="20">
        <f>IFERROR(VLOOKUP(A670,DATA_MATRIZ,78,FALSE),"")</f>
        <v>0</v>
      </c>
      <c r="R670" s="20">
        <f>IFERROR(VLOOKUP(A670,DATA_MATRIZ,79,FALSE),"")</f>
        <v>1</v>
      </c>
      <c r="S670" s="20">
        <f>IFERROR(VLOOKUP(A670,DATA_MATRIZ,85,FALSE),"")</f>
        <v>0</v>
      </c>
      <c r="T670" s="20">
        <f>COUNTA(A670)</f>
        <v>1</v>
      </c>
      <c r="U670" s="20" t="str">
        <f ca="1">IF(C670="", "Indefinida", (IF(C670&lt;TODAY(),"Realizada","Proyectada")))</f>
        <v>Realizada</v>
      </c>
    </row>
    <row r="671" spans="1:21" ht="86.25">
      <c r="A671" s="20">
        <v>827</v>
      </c>
      <c r="B671" s="20" t="str">
        <f>IFERROR(VLOOKUP(A671,DATA_MATRIZ,2,FALSE),"")</f>
        <v>Mesa de Seguimiento Ágora Metropolitana RMBC</v>
      </c>
      <c r="C671" s="21">
        <f>IFERROR(VLOOKUP(A671,DATA_MATRIZ,3,FALSE),"")</f>
        <v>45509</v>
      </c>
      <c r="D671" s="20" t="str">
        <f>IFERROR(VLOOKUP(A671,DATA_MATRIZ,5,FALSE),"")</f>
        <v>OPDC</v>
      </c>
      <c r="E671" s="20" t="str">
        <f>IFERROR(VLOOKUP(A671,DATA_MATRIZ,9,FALSE),"")</f>
        <v>NO</v>
      </c>
      <c r="F671" s="20" t="str">
        <f>IFERROR(VLOOKUP(A671,DATA_MATRIZ,10,FALSE),"")</f>
        <v>Reglamentación de Ágora Metropolitana</v>
      </c>
      <c r="G671" s="20" t="str">
        <f>IFERROR(VLOOKUP(A671,DATA_MATRIZ,11,FALSE),"")</f>
        <v>Presencial</v>
      </c>
      <c r="H671" s="20" t="str">
        <f>IFERROR(VLOOKUP(A671,DATA_MATRIZ,12,FALSE),"")</f>
        <v>Revisar los avances en la elaboración del reglamento para la creación y puesta en funcionamiento del AGORA Metropolitana.</v>
      </c>
      <c r="I671" s="20" t="str">
        <f>IFERROR(VLOOKUP(A671,DATA_MATRIZ,13,FALSE),"")</f>
        <v>Mecanismo de Seguimiento y Evaluación</v>
      </c>
      <c r="J671" s="20" t="str">
        <f>IFERROR(VLOOKUP(A671,DATA_MATRIZ,41,FALSE),"")</f>
        <v>Público</v>
      </c>
      <c r="K671" s="20">
        <f>IFERROR(VLOOKUP(A671,DATA_MATRIZ,42,FALSE),"")</f>
        <v>0</v>
      </c>
      <c r="L671" s="20" t="str">
        <f>IFERROR(VLOOKUP(A671,DATA_MATRIZ,46,FALSE),"")</f>
        <v>Distrital</v>
      </c>
      <c r="M671" s="20" t="str">
        <f>IFERROR(VLOOKUP(A671,DATA_MATRIZ,53,FALSE),"")</f>
        <v>Distrital</v>
      </c>
      <c r="N671" s="20" t="str">
        <f>IFERROR(VLOOKUP(A671,DATA_MATRIZ,60,FALSE),"")</f>
        <v>Distrital</v>
      </c>
      <c r="O671" s="20" t="str">
        <f>IFERROR(VLOOKUP(A671,DATA_MATRIZ,75,FALSE),"")</f>
        <v>NO</v>
      </c>
      <c r="P671" s="20" t="str">
        <f>IFERROR(VLOOKUP(A671,DATA_MATRIZ,76,FALSE),"")</f>
        <v>No aplica</v>
      </c>
      <c r="Q671" s="20">
        <f>IFERROR(VLOOKUP(A671,DATA_MATRIZ,78,FALSE),"")</f>
        <v>8</v>
      </c>
      <c r="R671" s="20">
        <f>IFERROR(VLOOKUP(A671,DATA_MATRIZ,79,FALSE),"")</f>
        <v>3</v>
      </c>
      <c r="S671" s="20" t="str">
        <f>IFERROR(VLOOKUP(A671,DATA_MATRIZ,85,FALSE),"")</f>
        <v>Avances en la formulación del Acuerdo de Reglamentación. Se avanzó en definir las formas de participación que se habilitarán y los tipos de organización ciudadana que se convocarán por parte de los tres socios de la Región Metropolitana de Bogotá y Cundinamarca.</v>
      </c>
      <c r="T671" s="20">
        <f>COUNTA(A671)</f>
        <v>1</v>
      </c>
      <c r="U671" s="20" t="str">
        <f ca="1">IF(C671="", "Indefinida", (IF(C671&lt;TODAY(),"Realizada","Proyectada")))</f>
        <v>Realizada</v>
      </c>
    </row>
    <row r="672" spans="1:21" ht="49.5">
      <c r="A672" s="20">
        <v>828</v>
      </c>
      <c r="B672" s="20" t="str">
        <f>IFERROR(VLOOKUP(A672,DATA_MATRIZ,2,FALSE),"")</f>
        <v>Sesión JAL Kennedy - AE Chucua La Vaca</v>
      </c>
      <c r="C672" s="21">
        <f>IFERROR(VLOOKUP(A672,DATA_MATRIZ,3,FALSE),"")</f>
        <v>45509</v>
      </c>
      <c r="D672" s="20" t="str">
        <f>IFERROR(VLOOKUP(A672,DATA_MATRIZ,5,FALSE),"")</f>
        <v>OPDC</v>
      </c>
      <c r="E672" s="20" t="str">
        <f>IFERROR(VLOOKUP(A672,DATA_MATRIZ,9,FALSE),"")</f>
        <v>SÍ</v>
      </c>
      <c r="F672" s="20" t="str">
        <f>IFERROR(VLOOKUP(A672,DATA_MATRIZ,10,FALSE),"")</f>
        <v>Formulación de Actuaciones Estratégicas</v>
      </c>
      <c r="G672" s="20" t="str">
        <f>IFERROR(VLOOKUP(A672,DATA_MATRIZ,11,FALSE),"")</f>
        <v>Presencial</v>
      </c>
      <c r="H672" s="20" t="str">
        <f>IFERROR(VLOOKUP(A672,DATA_MATRIZ,12,FALSE),"")</f>
        <v>Socializar el estado de avance de la Actuación Estratégica Chucua La Vaca</v>
      </c>
      <c r="I672" s="20" t="str">
        <f>IFERROR(VLOOKUP(A672,DATA_MATRIZ,13,FALSE),"")</f>
        <v>Mecanismo de Comunicación para la Participación</v>
      </c>
      <c r="J672" s="20" t="str">
        <f>IFERROR(VLOOKUP(A672,DATA_MATRIZ,41,FALSE),"")</f>
        <v>Público</v>
      </c>
      <c r="K672" s="20" t="str">
        <f>IFERROR(VLOOKUP(A672,DATA_MATRIZ,42,FALSE),"")</f>
        <v>JAL</v>
      </c>
      <c r="L672" s="20" t="str">
        <f>IFERROR(VLOOKUP(A672,DATA_MATRIZ,46,FALSE),"")</f>
        <v>Kennedy</v>
      </c>
      <c r="M672" s="20" t="str">
        <f>IFERROR(VLOOKUP(A672,DATA_MATRIZ,53,FALSE),"")</f>
        <v>Suroccidente</v>
      </c>
      <c r="N672" s="20" t="str">
        <f>IFERROR(VLOOKUP(A672,DATA_MATRIZ,60,FALSE),"")</f>
        <v>Patio Bonito, Tintal</v>
      </c>
      <c r="O672" s="20" t="str">
        <f>IFERROR(VLOOKUP(A672,DATA_MATRIZ,75,FALSE),"")</f>
        <v>NO</v>
      </c>
      <c r="P672" s="20" t="str">
        <f>IFERROR(VLOOKUP(A672,DATA_MATRIZ,76,FALSE),"")</f>
        <v>No aplica</v>
      </c>
      <c r="Q672" s="20">
        <f>IFERROR(VLOOKUP(A672,DATA_MATRIZ,78,FALSE),"")</f>
        <v>10</v>
      </c>
      <c r="R672" s="20">
        <f>IFERROR(VLOOKUP(A672,DATA_MATRIZ,79,FALSE),"")</f>
        <v>4</v>
      </c>
      <c r="S672" s="20" t="str">
        <f>IFERROR(VLOOKUP(A672,DATA_MATRIZ,85,FALSE),"")</f>
        <v>Estado de avance de la AE y generalidades de la Política de Protección a Moradores y Actividades Productivas.</v>
      </c>
      <c r="T672" s="20">
        <f>COUNTA(A672)</f>
        <v>1</v>
      </c>
      <c r="U672" s="20" t="str">
        <f ca="1">IF(C672="", "Indefinida", (IF(C672&lt;TODAY(),"Realizada","Proyectada")))</f>
        <v>Realizada</v>
      </c>
    </row>
    <row r="673" spans="1:21" ht="61.5">
      <c r="A673" s="20">
        <v>829</v>
      </c>
      <c r="B673" s="20" t="str">
        <f>IFERROR(VLOOKUP(A673,DATA_MATRIZ,2,FALSE),"")</f>
        <v>Devolución PDD de niños, niñas y adolescentes (SED)</v>
      </c>
      <c r="C673" s="21">
        <f>IFERROR(VLOOKUP(A673,DATA_MATRIZ,3,FALSE),"")</f>
        <v>45509</v>
      </c>
      <c r="D673" s="20" t="str">
        <f>IFERROR(VLOOKUP(A673,DATA_MATRIZ,5,FALSE),"")</f>
        <v>OPDC</v>
      </c>
      <c r="E673" s="20" t="str">
        <f>IFERROR(VLOOKUP(A673,DATA_MATRIZ,9,FALSE),"")</f>
        <v>NO</v>
      </c>
      <c r="F673" s="20" t="str">
        <f>IFERROR(VLOOKUP(A673,DATA_MATRIZ,10,FALSE),"")</f>
        <v>Plan Distrital de Desarrollo</v>
      </c>
      <c r="G673" s="20" t="str">
        <f>IFERROR(VLOOKUP(A673,DATA_MATRIZ,11,FALSE),"")</f>
        <v>Presencial</v>
      </c>
      <c r="H673" s="20" t="str">
        <f>IFERROR(VLOOKUP(A673,DATA_MATRIZ,12,FALSE),"")</f>
        <v>Acompañar a la SED en el proceso de Devolución con niñas, niños y adolescentes</v>
      </c>
      <c r="I673" s="20" t="str">
        <f>IFERROR(VLOOKUP(A673,DATA_MATRIZ,13,FALSE),"")</f>
        <v>Mecanismo de Fortalecimiento Ciudadano para la Planeación Participativa</v>
      </c>
      <c r="J673" s="20" t="str">
        <f>IFERROR(VLOOKUP(A673,DATA_MATRIZ,41,FALSE),"")</f>
        <v>Individual</v>
      </c>
      <c r="K673" s="20">
        <f>IFERROR(VLOOKUP(A673,DATA_MATRIZ,42,FALSE),"")</f>
        <v>0</v>
      </c>
      <c r="L673" s="20" t="str">
        <f>IFERROR(VLOOKUP(A673,DATA_MATRIZ,46,FALSE),"")</f>
        <v>Distrital</v>
      </c>
      <c r="M673" s="20" t="str">
        <f>IFERROR(VLOOKUP(A673,DATA_MATRIZ,53,FALSE),"")</f>
        <v>Distrital</v>
      </c>
      <c r="N673" s="20" t="str">
        <f>IFERROR(VLOOKUP(A673,DATA_MATRIZ,60,FALSE),"")</f>
        <v>Distrital</v>
      </c>
      <c r="O673" s="20" t="str">
        <f>IFERROR(VLOOKUP(A673,DATA_MATRIZ,75,FALSE),"")</f>
        <v>SÍ</v>
      </c>
      <c r="P673" s="20" t="str">
        <f>IFERROR(VLOOKUP(A673,DATA_MATRIZ,76,FALSE),"")</f>
        <v>Fase IV: Reconocimiento a la Acción Colectiva</v>
      </c>
      <c r="Q673" s="20">
        <f>IFERROR(VLOOKUP(A673,DATA_MATRIZ,78,FALSE),"")</f>
        <v>10</v>
      </c>
      <c r="R673" s="20">
        <f>IFERROR(VLOOKUP(A673,DATA_MATRIZ,79,FALSE),"")</f>
        <v>3</v>
      </c>
      <c r="S673" s="20" t="str">
        <f>IFERROR(VLOOKUP(A673,DATA_MATRIZ,85,FALSE),"")</f>
        <v>Resultados Plan de Desarrollo Distrital.</v>
      </c>
      <c r="T673" s="20">
        <f>COUNTA(A673)</f>
        <v>1</v>
      </c>
      <c r="U673" s="20" t="str">
        <f ca="1">IF(C673="", "Indefinida", (IF(C673&lt;TODAY(),"Realizada","Proyectada")))</f>
        <v>Realizada</v>
      </c>
    </row>
    <row r="674" spans="1:21" ht="74.25">
      <c r="A674" s="20">
        <v>830</v>
      </c>
      <c r="B674" s="20" t="str">
        <f>IFERROR(VLOOKUP(A674,DATA_MATRIZ,2,FALSE),"")</f>
        <v xml:space="preserve">Meta Asamblea - Comité de Diseño </v>
      </c>
      <c r="C674" s="21">
        <f>IFERROR(VLOOKUP(A674,DATA_MATRIZ,3,FALSE),"")</f>
        <v>45512</v>
      </c>
      <c r="D674" s="20" t="str">
        <f>IFERROR(VLOOKUP(A674,DATA_MATRIZ,5,FALSE),"")</f>
        <v>OPDC</v>
      </c>
      <c r="E674" s="20" t="str">
        <f>IFERROR(VLOOKUP(A674,DATA_MATRIZ,9,FALSE),"")</f>
        <v>NO</v>
      </c>
      <c r="F674" s="20" t="str">
        <f>IFERROR(VLOOKUP(A674,DATA_MATRIZ,10,FALSE),"")</f>
        <v>Asambleas Ciudadanas Colaborativas</v>
      </c>
      <c r="G674" s="20" t="str">
        <f>IFERROR(VLOOKUP(A674,DATA_MATRIZ,11,FALSE),"")</f>
        <v>Virtual</v>
      </c>
      <c r="H674" s="20" t="str">
        <f>IFERROR(VLOOKUP(A674,DATA_MATRIZ,12,FALSE),"")</f>
        <v>Revisar avances del proceso de alistamiento de la Meta Asamblea Deliberativa en tres temas: 
1. Convocatoria, 2. Preparación evento de sorteo, 3. Propuesta de metodología deliberativa.</v>
      </c>
      <c r="I674" s="20" t="str">
        <f>IFERROR(VLOOKUP(A674,DATA_MATRIZ,13,FALSE),"")</f>
        <v>Mecanismo de Seguimiento y Evaluación</v>
      </c>
      <c r="J674" s="20" t="str">
        <f>IFERROR(VLOOKUP(A674,DATA_MATRIZ,41,FALSE),"")</f>
        <v>Multiactor</v>
      </c>
      <c r="K674" s="20">
        <f>IFERROR(VLOOKUP(A674,DATA_MATRIZ,42,FALSE),"")</f>
        <v>0</v>
      </c>
      <c r="L674" s="20" t="str">
        <f>IFERROR(VLOOKUP(A674,DATA_MATRIZ,46,FALSE),"")</f>
        <v>Distrital</v>
      </c>
      <c r="M674" s="20" t="str">
        <f>IFERROR(VLOOKUP(A674,DATA_MATRIZ,53,FALSE),"")</f>
        <v>Distrital</v>
      </c>
      <c r="N674" s="20" t="str">
        <f>IFERROR(VLOOKUP(A674,DATA_MATRIZ,60,FALSE),"")</f>
        <v>Distrital</v>
      </c>
      <c r="O674" s="20" t="str">
        <f>IFERROR(VLOOKUP(A674,DATA_MATRIZ,75,FALSE),"")</f>
        <v>NO</v>
      </c>
      <c r="P674" s="20" t="str">
        <f>IFERROR(VLOOKUP(A674,DATA_MATRIZ,76,FALSE),"")</f>
        <v>No aplica</v>
      </c>
      <c r="Q674" s="20">
        <f>IFERROR(VLOOKUP(A674,DATA_MATRIZ,78,FALSE),"")</f>
        <v>6</v>
      </c>
      <c r="R674" s="20">
        <f>IFERROR(VLOOKUP(A674,DATA_MATRIZ,79,FALSE),"")</f>
        <v>1</v>
      </c>
      <c r="S674" s="20" t="str">
        <f>IFERROR(VLOOKUP(A674,DATA_MATRIZ,85,FALSE),"")</f>
        <v xml:space="preserve">Alternativas de convocatoria ciudadana a la Meta Asamblea; propuesta de estrategia de metodología de deliberación; propuesta de evento para la realización del sorteo ciudadano. </v>
      </c>
      <c r="T674" s="20">
        <f>COUNTA(A674)</f>
        <v>1</v>
      </c>
      <c r="U674" s="20" t="str">
        <f ca="1">IF(C674="", "Indefinida", (IF(C674&lt;TODAY(),"Realizada","Proyectada")))</f>
        <v>Realizada</v>
      </c>
    </row>
    <row r="675" spans="1:21" ht="61.5">
      <c r="A675" s="20">
        <v>831</v>
      </c>
      <c r="B675" s="20" t="str">
        <f>IFERROR(VLOOKUP(A675,DATA_MATRIZ,2,FALSE),"")</f>
        <v>Devolución PDD de niños, niñas y adolescentes (SED)</v>
      </c>
      <c r="C675" s="21">
        <f>IFERROR(VLOOKUP(A675,DATA_MATRIZ,3,FALSE),"")</f>
        <v>45512</v>
      </c>
      <c r="D675" s="20" t="str">
        <f>IFERROR(VLOOKUP(A675,DATA_MATRIZ,5,FALSE),"")</f>
        <v>OPDC</v>
      </c>
      <c r="E675" s="20" t="str">
        <f>IFERROR(VLOOKUP(A675,DATA_MATRIZ,9,FALSE),"")</f>
        <v>NO</v>
      </c>
      <c r="F675" s="20" t="str">
        <f>IFERROR(VLOOKUP(A675,DATA_MATRIZ,10,FALSE),"")</f>
        <v>Plan Distrital de Desarrollo</v>
      </c>
      <c r="G675" s="20" t="str">
        <f>IFERROR(VLOOKUP(A675,DATA_MATRIZ,11,FALSE),"")</f>
        <v>Presencial</v>
      </c>
      <c r="H675" s="20" t="str">
        <f>IFERROR(VLOOKUP(A675,DATA_MATRIZ,12,FALSE),"")</f>
        <v>Acompañar a la SED en el proceso de Devolución con niñas, niños y adolescentes</v>
      </c>
      <c r="I675" s="20" t="str">
        <f>IFERROR(VLOOKUP(A675,DATA_MATRIZ,13,FALSE),"")</f>
        <v>Mecanismo de Fortalecimiento Ciudadano para la Planeación Participativa</v>
      </c>
      <c r="J675" s="20" t="str">
        <f>IFERROR(VLOOKUP(A675,DATA_MATRIZ,41,FALSE),"")</f>
        <v>Individual</v>
      </c>
      <c r="K675" s="20">
        <f>IFERROR(VLOOKUP(A675,DATA_MATRIZ,42,FALSE),"")</f>
        <v>0</v>
      </c>
      <c r="L675" s="20" t="str">
        <f>IFERROR(VLOOKUP(A675,DATA_MATRIZ,46,FALSE),"")</f>
        <v>Distrital</v>
      </c>
      <c r="M675" s="20" t="str">
        <f>IFERROR(VLOOKUP(A675,DATA_MATRIZ,53,FALSE),"")</f>
        <v>Distrital</v>
      </c>
      <c r="N675" s="20" t="str">
        <f>IFERROR(VLOOKUP(A675,DATA_MATRIZ,60,FALSE),"")</f>
        <v>Distrital</v>
      </c>
      <c r="O675" s="20" t="str">
        <f>IFERROR(VLOOKUP(A675,DATA_MATRIZ,75,FALSE),"")</f>
        <v>SÍ</v>
      </c>
      <c r="P675" s="20" t="str">
        <f>IFERROR(VLOOKUP(A675,DATA_MATRIZ,76,FALSE),"")</f>
        <v>Fase IV: Reconocimiento a la Acción Colectiva</v>
      </c>
      <c r="Q675" s="20">
        <f>IFERROR(VLOOKUP(A675,DATA_MATRIZ,78,FALSE),"")</f>
        <v>20</v>
      </c>
      <c r="R675" s="20">
        <f>IFERROR(VLOOKUP(A675,DATA_MATRIZ,79,FALSE),"")</f>
        <v>4</v>
      </c>
      <c r="S675" s="20" t="str">
        <f>IFERROR(VLOOKUP(A675,DATA_MATRIZ,85,FALSE),"")</f>
        <v>Devolución PDD.</v>
      </c>
      <c r="T675" s="20">
        <f>COUNTA(A675)</f>
        <v>1</v>
      </c>
      <c r="U675" s="20" t="str">
        <f ca="1">IF(C675="", "Indefinida", (IF(C675&lt;TODAY(),"Realizada","Proyectada")))</f>
        <v>Realizada</v>
      </c>
    </row>
    <row r="676" spans="1:21" ht="37.5">
      <c r="A676" s="20">
        <v>832</v>
      </c>
      <c r="B676" s="20" t="str">
        <f>IFERROR(VLOOKUP(A676,DATA_MATRIZ,2,FALSE),"")</f>
        <v xml:space="preserve">Mesa de Páramos - Ministerio de Ambiente </v>
      </c>
      <c r="C676" s="21">
        <f>IFERROR(VLOOKUP(A676,DATA_MATRIZ,3,FALSE),"")</f>
        <v>45512</v>
      </c>
      <c r="D676" s="20" t="str">
        <f>IFERROR(VLOOKUP(A676,DATA_MATRIZ,5,FALSE),"")</f>
        <v>OPDC</v>
      </c>
      <c r="E676" s="20" t="str">
        <f>IFERROR(VLOOKUP(A676,DATA_MATRIZ,9,FALSE),"")</f>
        <v>NO</v>
      </c>
      <c r="F676" s="20" t="str">
        <f>IFERROR(VLOOKUP(A676,DATA_MATRIZ,10,FALSE),"")</f>
        <v>Escenarios individuales</v>
      </c>
      <c r="G676" s="20" t="str">
        <f>IFERROR(VLOOKUP(A676,DATA_MATRIZ,11,FALSE),"")</f>
        <v>Presencial</v>
      </c>
      <c r="H676" s="20" t="str">
        <f>IFERROR(VLOOKUP(A676,DATA_MATRIZ,12,FALSE),"")</f>
        <v xml:space="preserve">Acompañar a la SPRS en la mesa de páramos liderada por el Ministerio de Ambiente </v>
      </c>
      <c r="I676" s="20" t="str">
        <f>IFERROR(VLOOKUP(A676,DATA_MATRIZ,13,FALSE),"")</f>
        <v>Gestión Institucional</v>
      </c>
      <c r="J676" s="20" t="str">
        <f>IFERROR(VLOOKUP(A676,DATA_MATRIZ,41,FALSE),"")</f>
        <v>Público</v>
      </c>
      <c r="K676" s="20">
        <f>IFERROR(VLOOKUP(A676,DATA_MATRIZ,42,FALSE),"")</f>
        <v>0</v>
      </c>
      <c r="L676" s="20" t="str">
        <f>IFERROR(VLOOKUP(A676,DATA_MATRIZ,46,FALSE),"")</f>
        <v>Distrital</v>
      </c>
      <c r="M676" s="20" t="str">
        <f>IFERROR(VLOOKUP(A676,DATA_MATRIZ,53,FALSE),"")</f>
        <v>Distrital</v>
      </c>
      <c r="N676" s="20" t="str">
        <f>IFERROR(VLOOKUP(A676,DATA_MATRIZ,60,FALSE),"")</f>
        <v>Distrital</v>
      </c>
      <c r="O676" s="20" t="str">
        <f>IFERROR(VLOOKUP(A676,DATA_MATRIZ,75,FALSE),"")</f>
        <v>NO</v>
      </c>
      <c r="P676" s="20" t="str">
        <f>IFERROR(VLOOKUP(A676,DATA_MATRIZ,76,FALSE),"")</f>
        <v>No aplica</v>
      </c>
      <c r="Q676" s="20">
        <f>IFERROR(VLOOKUP(A676,DATA_MATRIZ,78,FALSE),"")</f>
        <v>37</v>
      </c>
      <c r="R676" s="20">
        <f>IFERROR(VLOOKUP(A676,DATA_MATRIZ,79,FALSE),"")</f>
        <v>1</v>
      </c>
      <c r="S676" s="20" t="str">
        <f>IFERROR(VLOOKUP(A676,DATA_MATRIZ,85,FALSE),"")</f>
        <v xml:space="preserve">Antecedentes normativos de la delimitación de páramos, temas de dialogo que dicta la sentencia al respecto y fases de este proceso. </v>
      </c>
      <c r="T676" s="20">
        <f>COUNTA(A676)</f>
        <v>1</v>
      </c>
      <c r="U676" s="20" t="str">
        <f ca="1">IF(C676="", "Indefinida", (IF(C676&lt;TODAY(),"Realizada","Proyectada")))</f>
        <v>Realizada</v>
      </c>
    </row>
    <row r="677" spans="1:21" ht="74.25">
      <c r="A677" s="20">
        <v>833</v>
      </c>
      <c r="B677" s="20" t="str">
        <f>IFERROR(VLOOKUP(A677,DATA_MATRIZ,2,FALSE),"")</f>
        <v>Presentación AE Campín - 7 de agosto</v>
      </c>
      <c r="C677" s="21">
        <f>IFERROR(VLOOKUP(A677,DATA_MATRIZ,3,FALSE),"")</f>
        <v>45512</v>
      </c>
      <c r="D677" s="20" t="str">
        <f>IFERROR(VLOOKUP(A677,DATA_MATRIZ,5,FALSE),"")</f>
        <v>OPDC</v>
      </c>
      <c r="E677" s="20" t="str">
        <f>IFERROR(VLOOKUP(A677,DATA_MATRIZ,9,FALSE),"")</f>
        <v>SÍ</v>
      </c>
      <c r="F677" s="20" t="str">
        <f>IFERROR(VLOOKUP(A677,DATA_MATRIZ,10,FALSE),"")</f>
        <v>Construcción de Directrices de Actuaciones Estratégicas</v>
      </c>
      <c r="G677" s="20" t="str">
        <f>IFERROR(VLOOKUP(A677,DATA_MATRIZ,11,FALSE),"")</f>
        <v>Presencial</v>
      </c>
      <c r="H677" s="20" t="str">
        <f>IFERROR(VLOOKUP(A677,DATA_MATRIZ,12,FALSE),"")</f>
        <v>Socializar los resultados de los aportes de la comunidad y presentación de las directrices de lo público para la Actuación Estratégica (AE) Campin 7 de agosto.</v>
      </c>
      <c r="I677" s="20" t="str">
        <f>IFERROR(VLOOKUP(A677,DATA_MATRIZ,13,FALSE),"")</f>
        <v>Mecanismo de Comunicación para la Participación</v>
      </c>
      <c r="J677" s="20" t="str">
        <f>IFERROR(VLOOKUP(A677,DATA_MATRIZ,41,FALSE),"")</f>
        <v>Privado</v>
      </c>
      <c r="K677" s="20" t="str">
        <f>IFERROR(VLOOKUP(A677,DATA_MATRIZ,42,FALSE),"")</f>
        <v>Gremio</v>
      </c>
      <c r="L677" s="20" t="str">
        <f>IFERROR(VLOOKUP(A677,DATA_MATRIZ,46,FALSE),"")</f>
        <v>Barrios Unidos</v>
      </c>
      <c r="M677" s="20" t="str">
        <f>IFERROR(VLOOKUP(A677,DATA_MATRIZ,53,FALSE),"")</f>
        <v>Centro Ampliado</v>
      </c>
      <c r="N677" s="20" t="str">
        <f>IFERROR(VLOOKUP(A677,DATA_MATRIZ,60,FALSE),"")</f>
        <v>Barrios Unidos</v>
      </c>
      <c r="O677" s="20" t="str">
        <f>IFERROR(VLOOKUP(A677,DATA_MATRIZ,75,FALSE),"")</f>
        <v>NO</v>
      </c>
      <c r="P677" s="20" t="str">
        <f>IFERROR(VLOOKUP(A677,DATA_MATRIZ,76,FALSE),"")</f>
        <v>No aplica</v>
      </c>
      <c r="Q677" s="20">
        <f>IFERROR(VLOOKUP(A677,DATA_MATRIZ,78,FALSE),"")</f>
        <v>3</v>
      </c>
      <c r="R677" s="20">
        <f>IFERROR(VLOOKUP(A677,DATA_MATRIZ,79,FALSE),"")</f>
        <v>3</v>
      </c>
      <c r="S677" s="20" t="str">
        <f>IFERROR(VLOOKUP(A677,DATA_MATRIZ,85,FALSE),"")</f>
        <v>Se socializó la vocación de la AE Campin - 7 de Agosto. Oportunidades y Retos de la AE Campin - 7 de Agosto. Se explicó cuales fueron los aportes ciudadanos en la AE Campin - 7 de Agosto. Responder dudas y preguntas de los asistentes.</v>
      </c>
      <c r="T677" s="20">
        <f>COUNTA(A677)</f>
        <v>1</v>
      </c>
      <c r="U677" s="20" t="str">
        <f ca="1">IF(C677="", "Indefinida", (IF(C677&lt;TODAY(),"Realizada","Proyectada")))</f>
        <v>Realizada</v>
      </c>
    </row>
    <row r="678" spans="1:21" ht="74.25">
      <c r="A678" s="20">
        <v>834</v>
      </c>
      <c r="B678" s="20" t="str">
        <f>IFERROR(VLOOKUP(A678,DATA_MATRIZ,2,FALSE),"")</f>
        <v>Revisión de Memorando de Entendimiento SDP-EX-FC</v>
      </c>
      <c r="C678" s="21">
        <f>IFERROR(VLOOKUP(A678,DATA_MATRIZ,3,FALSE),"")</f>
        <v>45513</v>
      </c>
      <c r="D678" s="20" t="str">
        <f>IFERROR(VLOOKUP(A678,DATA_MATRIZ,5,FALSE),"")</f>
        <v>OPDC</v>
      </c>
      <c r="E678" s="20" t="str">
        <f>IFERROR(VLOOKUP(A678,DATA_MATRIZ,9,FALSE),"")</f>
        <v>NO</v>
      </c>
      <c r="F678" s="20" t="str">
        <f>IFERROR(VLOOKUP(A678,DATA_MATRIZ,10,FALSE),"")</f>
        <v>Asambleas Ciudadanas Colaborativas</v>
      </c>
      <c r="G678" s="20" t="str">
        <f>IFERROR(VLOOKUP(A678,DATA_MATRIZ,11,FALSE),"")</f>
        <v>Virtual</v>
      </c>
      <c r="H678" s="20" t="str">
        <f>IFERROR(VLOOKUP(A678,DATA_MATRIZ,12,FALSE),"")</f>
        <v>Culminar el proceso de proyección del Memorando de Entendimiento para el desarrollo de las Asambleas Deliberativas, entre la Secretaría Distrital de Planeación, la Fundación Corona y el Extituto de Política Abierta.</v>
      </c>
      <c r="I678" s="20" t="str">
        <f>IFERROR(VLOOKUP(A678,DATA_MATRIZ,13,FALSE),"")</f>
        <v>Gestión Institucional</v>
      </c>
      <c r="J678" s="20" t="str">
        <f>IFERROR(VLOOKUP(A678,DATA_MATRIZ,41,FALSE),"")</f>
        <v>Multiactor</v>
      </c>
      <c r="K678" s="20">
        <f>IFERROR(VLOOKUP(A678,DATA_MATRIZ,42,FALSE),"")</f>
        <v>0</v>
      </c>
      <c r="L678" s="20" t="str">
        <f>IFERROR(VLOOKUP(A678,DATA_MATRIZ,46,FALSE),"")</f>
        <v>Distrital</v>
      </c>
      <c r="M678" s="20" t="str">
        <f>IFERROR(VLOOKUP(A678,DATA_MATRIZ,53,FALSE),"")</f>
        <v>Distrital</v>
      </c>
      <c r="N678" s="20" t="str">
        <f>IFERROR(VLOOKUP(A678,DATA_MATRIZ,60,FALSE),"")</f>
        <v>Distrital</v>
      </c>
      <c r="O678" s="20" t="str">
        <f>IFERROR(VLOOKUP(A678,DATA_MATRIZ,75,FALSE),"")</f>
        <v>NO</v>
      </c>
      <c r="P678" s="20" t="str">
        <f>IFERROR(VLOOKUP(A678,DATA_MATRIZ,76,FALSE),"")</f>
        <v>No aplica</v>
      </c>
      <c r="Q678" s="20">
        <f>IFERROR(VLOOKUP(A678,DATA_MATRIZ,78,FALSE),"")</f>
        <v>4</v>
      </c>
      <c r="R678" s="20">
        <f>IFERROR(VLOOKUP(A678,DATA_MATRIZ,79,FALSE),"")</f>
        <v>1</v>
      </c>
      <c r="S678" s="20" t="str">
        <f>IFERROR(VLOOKUP(A678,DATA_MATRIZ,85,FALSE),"")</f>
        <v>Definición de acuerdos para un Memorando de Entendimiento entre la Secretaría de Planeación, la Fundación Corona y el Extituto de Política Abierta, con el cual crear un marco de colaboración para el desarrollo de las asambleas deliberativas.</v>
      </c>
      <c r="T678" s="20">
        <f>COUNTA(A678)</f>
        <v>1</v>
      </c>
      <c r="U678" s="20" t="str">
        <f ca="1">IF(C678="", "Indefinida", (IF(C678&lt;TODAY(),"Realizada","Proyectada")))</f>
        <v>Realizada</v>
      </c>
    </row>
    <row r="679" spans="1:21" ht="183.75">
      <c r="A679" s="20">
        <v>835</v>
      </c>
      <c r="B679" s="20" t="str">
        <f>IFERROR(VLOOKUP(A679,DATA_MATRIZ,2,FALSE),"")</f>
        <v>Estrategia de Convocatoria Meta Asambleas Deliberativas</v>
      </c>
      <c r="C679" s="21">
        <f>IFERROR(VLOOKUP(A679,DATA_MATRIZ,3,FALSE),"")</f>
        <v>45513</v>
      </c>
      <c r="D679" s="20" t="str">
        <f>IFERROR(VLOOKUP(A679,DATA_MATRIZ,5,FALSE),"")</f>
        <v>OPDC</v>
      </c>
      <c r="E679" s="20" t="str">
        <f>IFERROR(VLOOKUP(A679,DATA_MATRIZ,9,FALSE),"")</f>
        <v>NO</v>
      </c>
      <c r="F679" s="20" t="str">
        <f>IFERROR(VLOOKUP(A679,DATA_MATRIZ,10,FALSE),"")</f>
        <v>Asambleas Ciudadanas Colaborativas</v>
      </c>
      <c r="G679" s="20" t="str">
        <f>IFERROR(VLOOKUP(A679,DATA_MATRIZ,11,FALSE),"")</f>
        <v>Virtual</v>
      </c>
      <c r="H679" s="20" t="str">
        <f>IFERROR(VLOOKUP(A679,DATA_MATRIZ,12,FALSE),"")</f>
        <v>Formular una propuesta de estrategia de convocatoria para la Meta Asamblea Deliberativa.</v>
      </c>
      <c r="I679" s="20" t="str">
        <f>IFERROR(VLOOKUP(A679,DATA_MATRIZ,13,FALSE),"")</f>
        <v>Mecanismo de Seguimiento y Evaluación</v>
      </c>
      <c r="J679" s="20" t="str">
        <f>IFERROR(VLOOKUP(A679,DATA_MATRIZ,41,FALSE),"")</f>
        <v>Multiactor</v>
      </c>
      <c r="K679" s="20">
        <f>IFERROR(VLOOKUP(A679,DATA_MATRIZ,42,FALSE),"")</f>
        <v>0</v>
      </c>
      <c r="L679" s="20" t="str">
        <f>IFERROR(VLOOKUP(A679,DATA_MATRIZ,46,FALSE),"")</f>
        <v>Distrital</v>
      </c>
      <c r="M679" s="20" t="str">
        <f>IFERROR(VLOOKUP(A679,DATA_MATRIZ,53,FALSE),"")</f>
        <v>Distrital</v>
      </c>
      <c r="N679" s="20" t="str">
        <f>IFERROR(VLOOKUP(A679,DATA_MATRIZ,60,FALSE),"")</f>
        <v>Distrital</v>
      </c>
      <c r="O679" s="20" t="str">
        <f>IFERROR(VLOOKUP(A679,DATA_MATRIZ,75,FALSE),"")</f>
        <v>NO</v>
      </c>
      <c r="P679" s="20" t="str">
        <f>IFERROR(VLOOKUP(A679,DATA_MATRIZ,76,FALSE),"")</f>
        <v>No aplica</v>
      </c>
      <c r="Q679" s="20">
        <f>IFERROR(VLOOKUP(A679,DATA_MATRIZ,78,FALSE),"")</f>
        <v>4</v>
      </c>
      <c r="R679" s="20">
        <f>IFERROR(VLOOKUP(A679,DATA_MATRIZ,79,FALSE),"")</f>
        <v>2</v>
      </c>
      <c r="S679" s="20" t="str">
        <f>IFERROR(VLOOKUP(A679,DATA_MATRIZ,85,FALSE),"")</f>
        <v>Se acordó lo siguiente: Para el desarrollo de la convocatoria se contará con tres frentes de invitación a la ciudadanía para su postulación al sorteo de selección de participantes a la Meta Asamblea:  a). Carta de invitación por correo certificado a los seis mil destinatarios. b). Call Center para invitación y seguimiento vía telefónica a los seis mil destinatarios. c). Inscripción en territorio mediante recorridos presenciales por lugares estratégicos de las 20 localidades como plazas, universidades, centros comerciales, parques, etc. Todos los frentes de convocatoria aplicarán los criterios de representatividad del modelo estadístico definido.</v>
      </c>
      <c r="T679" s="20">
        <f>COUNTA(A679)</f>
        <v>1</v>
      </c>
      <c r="U679" s="20" t="str">
        <f ca="1">IF(C679="", "Indefinida", (IF(C679&lt;TODAY(),"Realizada","Proyectada")))</f>
        <v>Realizada</v>
      </c>
    </row>
    <row r="680" spans="1:21" ht="61.5">
      <c r="A680" s="20">
        <v>836</v>
      </c>
      <c r="B680" s="20" t="str">
        <f>IFERROR(VLOOKUP(A680,DATA_MATRIZ,2,FALSE),"")</f>
        <v>Devolución PDD de niños, niñas y adolescentes (SED)</v>
      </c>
      <c r="C680" s="21">
        <f>IFERROR(VLOOKUP(A680,DATA_MATRIZ,3,FALSE),"")</f>
        <v>45513</v>
      </c>
      <c r="D680" s="20" t="str">
        <f>IFERROR(VLOOKUP(A680,DATA_MATRIZ,5,FALSE),"")</f>
        <v>OPDC</v>
      </c>
      <c r="E680" s="20" t="str">
        <f>IFERROR(VLOOKUP(A680,DATA_MATRIZ,9,FALSE),"")</f>
        <v>NO</v>
      </c>
      <c r="F680" s="20" t="str">
        <f>IFERROR(VLOOKUP(A680,DATA_MATRIZ,10,FALSE),"")</f>
        <v>Plan Distrital de Desarrollo</v>
      </c>
      <c r="G680" s="20" t="str">
        <f>IFERROR(VLOOKUP(A680,DATA_MATRIZ,11,FALSE),"")</f>
        <v>Presencial</v>
      </c>
      <c r="H680" s="20" t="str">
        <f>IFERROR(VLOOKUP(A680,DATA_MATRIZ,12,FALSE),"")</f>
        <v>Acompañar a la SED en el proceso de Devolución con niñas, niños y adolescentes</v>
      </c>
      <c r="I680" s="20" t="str">
        <f>IFERROR(VLOOKUP(A680,DATA_MATRIZ,13,FALSE),"")</f>
        <v>Mecanismo de Fortalecimiento Ciudadano para la Planeación Participativa</v>
      </c>
      <c r="J680" s="20" t="str">
        <f>IFERROR(VLOOKUP(A680,DATA_MATRIZ,41,FALSE),"")</f>
        <v>Individual</v>
      </c>
      <c r="K680" s="20">
        <f>IFERROR(VLOOKUP(A680,DATA_MATRIZ,42,FALSE),"")</f>
        <v>0</v>
      </c>
      <c r="L680" s="20" t="str">
        <f>IFERROR(VLOOKUP(A680,DATA_MATRIZ,46,FALSE),"")</f>
        <v>Distrital</v>
      </c>
      <c r="M680" s="20" t="str">
        <f>IFERROR(VLOOKUP(A680,DATA_MATRIZ,53,FALSE),"")</f>
        <v>Distrital</v>
      </c>
      <c r="N680" s="20" t="str">
        <f>IFERROR(VLOOKUP(A680,DATA_MATRIZ,60,FALSE),"")</f>
        <v>Distrital</v>
      </c>
      <c r="O680" s="20" t="str">
        <f>IFERROR(VLOOKUP(A680,DATA_MATRIZ,75,FALSE),"")</f>
        <v>SÍ</v>
      </c>
      <c r="P680" s="20" t="str">
        <f>IFERROR(VLOOKUP(A680,DATA_MATRIZ,76,FALSE),"")</f>
        <v>Fase IV: Reconocimiento a la Acción Colectiva</v>
      </c>
      <c r="Q680" s="20">
        <f>IFERROR(VLOOKUP(A680,DATA_MATRIZ,78,FALSE),"")</f>
        <v>32</v>
      </c>
      <c r="R680" s="20">
        <f>IFERROR(VLOOKUP(A680,DATA_MATRIZ,79,FALSE),"")</f>
        <v>2</v>
      </c>
      <c r="S680" s="20" t="str">
        <f>IFERROR(VLOOKUP(A680,DATA_MATRIZ,85,FALSE),"")</f>
        <v>Devolución PDD control social.</v>
      </c>
      <c r="T680" s="20">
        <f>COUNTA(A680)</f>
        <v>1</v>
      </c>
      <c r="U680" s="20" t="str">
        <f ca="1">IF(C680="", "Indefinida", (IF(C680&lt;TODAY(),"Realizada","Proyectada")))</f>
        <v>Realizada</v>
      </c>
    </row>
    <row r="681" spans="1:21" ht="49.5">
      <c r="A681" s="20">
        <v>837</v>
      </c>
      <c r="B681" s="20" t="str">
        <f>IFERROR(VLOOKUP(A681,DATA_MATRIZ,2,FALSE),"")</f>
        <v xml:space="preserve">Comisión POT - CTPD </v>
      </c>
      <c r="C681" s="21">
        <f>IFERROR(VLOOKUP(A681,DATA_MATRIZ,3,FALSE),"")</f>
        <v>45516</v>
      </c>
      <c r="D681" s="20" t="str">
        <f>IFERROR(VLOOKUP(A681,DATA_MATRIZ,5,FALSE),"")</f>
        <v>INSTANCIAS</v>
      </c>
      <c r="E681" s="20" t="str">
        <f>IFERROR(VLOOKUP(A681,DATA_MATRIZ,9,FALSE),"")</f>
        <v>NO</v>
      </c>
      <c r="F681" s="20" t="str">
        <f>IFERROR(VLOOKUP(A681,DATA_MATRIZ,10,FALSE),"")</f>
        <v>CTPD (Consejo Territorial de Planeación Distrital)</v>
      </c>
      <c r="G681" s="20" t="str">
        <f>IFERROR(VLOOKUP(A681,DATA_MATRIZ,11,FALSE),"")</f>
        <v>Virtual</v>
      </c>
      <c r="H681" s="20" t="str">
        <f>IFERROR(VLOOKUP(A681,DATA_MATRIZ,12,FALSE),"")</f>
        <v>Atender la comisión ordinaria POT.</v>
      </c>
      <c r="I681" s="20" t="str">
        <f>IFERROR(VLOOKUP(A681,DATA_MATRIZ,13,FALSE),"")</f>
        <v>Mecanismo de Seguimiento y Evaluación</v>
      </c>
      <c r="J681" s="20" t="str">
        <f>IFERROR(VLOOKUP(A681,DATA_MATRIZ,41,FALSE),"")</f>
        <v>Multiactor</v>
      </c>
      <c r="K681" s="20">
        <f>IFERROR(VLOOKUP(A681,DATA_MATRIZ,42,FALSE),"")</f>
        <v>0</v>
      </c>
      <c r="L681" s="20" t="str">
        <f>IFERROR(VLOOKUP(A681,DATA_MATRIZ,46,FALSE),"")</f>
        <v>Distrital</v>
      </c>
      <c r="M681" s="20" t="str">
        <f>IFERROR(VLOOKUP(A681,DATA_MATRIZ,53,FALSE),"")</f>
        <v>Distrital</v>
      </c>
      <c r="N681" s="20" t="str">
        <f>IFERROR(VLOOKUP(A681,DATA_MATRIZ,60,FALSE),"")</f>
        <v>Distrital</v>
      </c>
      <c r="O681" s="20" t="str">
        <f>IFERROR(VLOOKUP(A681,DATA_MATRIZ,75,FALSE),"")</f>
        <v>NO</v>
      </c>
      <c r="P681" s="20" t="str">
        <f>IFERROR(VLOOKUP(A681,DATA_MATRIZ,76,FALSE),"")</f>
        <v>No aplica</v>
      </c>
      <c r="Q681" s="20">
        <f>IFERROR(VLOOKUP(A681,DATA_MATRIZ,78,FALSE),"")</f>
        <v>9</v>
      </c>
      <c r="R681" s="20">
        <f>IFERROR(VLOOKUP(A681,DATA_MATRIZ,79,FALSE),"")</f>
        <v>2</v>
      </c>
      <c r="S681" s="20" t="str">
        <f>IFERROR(VLOOKUP(A681,DATA_MATRIZ,85,FALSE),"")</f>
        <v xml:space="preserve">Coordinación sobre el evento para el 31 de agosto (urbano) del encuentro urbano pedagogía con enfoque en temas relacionados al POT. </v>
      </c>
      <c r="T681" s="20">
        <f>COUNTA(A681)</f>
        <v>1</v>
      </c>
      <c r="U681" s="20" t="str">
        <f ca="1">IF(C681="", "Indefinida", (IF(C681&lt;TODAY(),"Realizada","Proyectada")))</f>
        <v>Realizada</v>
      </c>
    </row>
    <row r="682" spans="1:21" ht="49.5">
      <c r="A682" s="20">
        <v>838</v>
      </c>
      <c r="B682" s="20" t="str">
        <f>IFERROR(VLOOKUP(A682,DATA_MATRIZ,2,FALSE),"")</f>
        <v>Comisión PDD - CTPD</v>
      </c>
      <c r="C682" s="21">
        <f>IFERROR(VLOOKUP(A682,DATA_MATRIZ,3,FALSE),"")</f>
        <v>45517</v>
      </c>
      <c r="D682" s="20" t="str">
        <f>IFERROR(VLOOKUP(A682,DATA_MATRIZ,5,FALSE),"")</f>
        <v>INSTANCIAS</v>
      </c>
      <c r="E682" s="20" t="str">
        <f>IFERROR(VLOOKUP(A682,DATA_MATRIZ,9,FALSE),"")</f>
        <v>NO</v>
      </c>
      <c r="F682" s="20" t="str">
        <f>IFERROR(VLOOKUP(A682,DATA_MATRIZ,10,FALSE),"")</f>
        <v>CTPD (Consejo Territorial de Planeación Distrital)</v>
      </c>
      <c r="G682" s="20" t="str">
        <f>IFERROR(VLOOKUP(A682,DATA_MATRIZ,11,FALSE),"")</f>
        <v>Virtual</v>
      </c>
      <c r="H682" s="20" t="str">
        <f>IFERROR(VLOOKUP(A682,DATA_MATRIZ,12,FALSE),"")</f>
        <v>Planear y organizar la actividad planteada en el plan de acción con la UNAD.</v>
      </c>
      <c r="I682" s="20" t="str">
        <f>IFERROR(VLOOKUP(A682,DATA_MATRIZ,13,FALSE),"")</f>
        <v>Mecanismo de Seguimiento y Evaluación</v>
      </c>
      <c r="J682" s="20" t="str">
        <f>IFERROR(VLOOKUP(A682,DATA_MATRIZ,41,FALSE),"")</f>
        <v>Multiactor</v>
      </c>
      <c r="K682" s="20">
        <f>IFERROR(VLOOKUP(A682,DATA_MATRIZ,42,FALSE),"")</f>
        <v>0</v>
      </c>
      <c r="L682" s="20" t="str">
        <f>IFERROR(VLOOKUP(A682,DATA_MATRIZ,46,FALSE),"")</f>
        <v>Distrital</v>
      </c>
      <c r="M682" s="20" t="str">
        <f>IFERROR(VLOOKUP(A682,DATA_MATRIZ,53,FALSE),"")</f>
        <v>Distrital</v>
      </c>
      <c r="N682" s="20" t="str">
        <f>IFERROR(VLOOKUP(A682,DATA_MATRIZ,60,FALSE),"")</f>
        <v>Distrital</v>
      </c>
      <c r="O682" s="20" t="str">
        <f>IFERROR(VLOOKUP(A682,DATA_MATRIZ,75,FALSE),"")</f>
        <v>NO</v>
      </c>
      <c r="P682" s="20" t="str">
        <f>IFERROR(VLOOKUP(A682,DATA_MATRIZ,76,FALSE),"")</f>
        <v>No aplica</v>
      </c>
      <c r="Q682" s="20">
        <f>IFERROR(VLOOKUP(A682,DATA_MATRIZ,78,FALSE),"")</f>
        <v>33</v>
      </c>
      <c r="R682" s="20">
        <f>IFERROR(VLOOKUP(A682,DATA_MATRIZ,79,FALSE),"")</f>
        <v>2</v>
      </c>
      <c r="S682" s="20" t="str">
        <f>IFERROR(VLOOKUP(A682,DATA_MATRIZ,85,FALSE),"")</f>
        <v>Definición de la agenda y metodología de la actividad del Plan de Acción del PDD, a desarrollar mediante el apoyo logístico de la UNAD.</v>
      </c>
      <c r="T682" s="20">
        <f>COUNTA(A682)</f>
        <v>1</v>
      </c>
      <c r="U682" s="20" t="str">
        <f ca="1">IF(C682="", "Indefinida", (IF(C682&lt;TODAY(),"Realizada","Proyectada")))</f>
        <v>Realizada</v>
      </c>
    </row>
    <row r="683" spans="1:21" ht="49.5">
      <c r="A683" s="20">
        <v>839</v>
      </c>
      <c r="B683" s="20" t="str">
        <f>IFERROR(VLOOKUP(A683,DATA_MATRIZ,2,FALSE),"")</f>
        <v xml:space="preserve">Comisión Poblacional - CTPD </v>
      </c>
      <c r="C683" s="21">
        <f>IFERROR(VLOOKUP(A683,DATA_MATRIZ,3,FALSE),"")</f>
        <v>45518</v>
      </c>
      <c r="D683" s="20" t="str">
        <f>IFERROR(VLOOKUP(A683,DATA_MATRIZ,5,FALSE),"")</f>
        <v>INSTANCIAS</v>
      </c>
      <c r="E683" s="20" t="str">
        <f>IFERROR(VLOOKUP(A683,DATA_MATRIZ,9,FALSE),"")</f>
        <v>NO</v>
      </c>
      <c r="F683" s="20" t="str">
        <f>IFERROR(VLOOKUP(A683,DATA_MATRIZ,10,FALSE),"")</f>
        <v>CTPD (Consejo Territorial de Planeación Distrital)</v>
      </c>
      <c r="G683" s="20" t="str">
        <f>IFERROR(VLOOKUP(A683,DATA_MATRIZ,11,FALSE),"")</f>
        <v>Virtual</v>
      </c>
      <c r="H683" s="20" t="str">
        <f>IFERROR(VLOOKUP(A683,DATA_MATRIZ,12,FALSE),"")</f>
        <v>Realizar la preparatoria del encuentro de cuidadores-as, para el próximo 23 de agosto.</v>
      </c>
      <c r="I683" s="20" t="str">
        <f>IFERROR(VLOOKUP(A683,DATA_MATRIZ,13,FALSE),"")</f>
        <v>Mecanismo de Seguimiento y Evaluación</v>
      </c>
      <c r="J683" s="20" t="str">
        <f>IFERROR(VLOOKUP(A683,DATA_MATRIZ,41,FALSE),"")</f>
        <v>Multiactor</v>
      </c>
      <c r="K683" s="20">
        <f>IFERROR(VLOOKUP(A683,DATA_MATRIZ,42,FALSE),"")</f>
        <v>0</v>
      </c>
      <c r="L683" s="20" t="str">
        <f>IFERROR(VLOOKUP(A683,DATA_MATRIZ,46,FALSE),"")</f>
        <v>Distrital</v>
      </c>
      <c r="M683" s="20" t="str">
        <f>IFERROR(VLOOKUP(A683,DATA_MATRIZ,53,FALSE),"")</f>
        <v>Distrital</v>
      </c>
      <c r="N683" s="20" t="str">
        <f>IFERROR(VLOOKUP(A683,DATA_MATRIZ,60,FALSE),"")</f>
        <v>Distrital</v>
      </c>
      <c r="O683" s="20" t="str">
        <f>IFERROR(VLOOKUP(A683,DATA_MATRIZ,75,FALSE),"")</f>
        <v>NO</v>
      </c>
      <c r="P683" s="20" t="str">
        <f>IFERROR(VLOOKUP(A683,DATA_MATRIZ,76,FALSE),"")</f>
        <v>No aplica</v>
      </c>
      <c r="Q683" s="20">
        <f>IFERROR(VLOOKUP(A683,DATA_MATRIZ,78,FALSE),"")</f>
        <v>14</v>
      </c>
      <c r="R683" s="20">
        <f>IFERROR(VLOOKUP(A683,DATA_MATRIZ,79,FALSE),"")</f>
        <v>2</v>
      </c>
      <c r="S683" s="20" t="str">
        <f>IFERROR(VLOOKUP(A683,DATA_MATRIZ,85,FALSE),"")</f>
        <v>Metodología y logística del encuentro de cuidadores-as para el próximo 23 de agosto.</v>
      </c>
      <c r="T683" s="20">
        <f t="shared" ref="T683:T696" si="292">COUNTA(A683)</f>
        <v>1</v>
      </c>
      <c r="U683" s="20" t="str">
        <f t="shared" ref="U683:U696" ca="1" si="293">IF(C683="", "Indefinida", (IF(C683&lt;TODAY(),"Realizada","Proyectada")))</f>
        <v>Realizada</v>
      </c>
    </row>
    <row r="684" spans="1:21" ht="74.25">
      <c r="A684" s="20">
        <v>840</v>
      </c>
      <c r="B684" s="20" t="str">
        <f>IFERROR(VLOOKUP(A684,DATA_MATRIZ,2,FALSE),"")</f>
        <v>Devolución Plan Distrital de Desarrollo al CCLBGTI</v>
      </c>
      <c r="C684" s="21">
        <f>IFERROR(VLOOKUP(A684,DATA_MATRIZ,3,FALSE),"")</f>
        <v>45519</v>
      </c>
      <c r="D684" s="20" t="str">
        <f>IFERROR(VLOOKUP(A684,DATA_MATRIZ,5,FALSE),"")</f>
        <v>INSTANCIAS</v>
      </c>
      <c r="E684" s="20" t="str">
        <f>IFERROR(VLOOKUP(A684,DATA_MATRIZ,9,FALSE),"")</f>
        <v>NO</v>
      </c>
      <c r="F684" s="20" t="str">
        <f>IFERROR(VLOOKUP(A684,DATA_MATRIZ,10,FALSE),"")</f>
        <v>CCLGTBI (Consejo Consultivo LGBTIQ+)</v>
      </c>
      <c r="G684" s="20" t="str">
        <f>IFERROR(VLOOKUP(A684,DATA_MATRIZ,11,FALSE),"")</f>
        <v>Presencial</v>
      </c>
      <c r="H684" s="20" t="str">
        <f>IFERROR(VLOOKUP(A684,DATA_MATRIZ,12,FALSE),"")</f>
        <v>Realizar la socialización de  Planes y programas aprobados en el Plan Distrital de Desarrollo 2024-2028 para personas de los sectores sociales LGBTI.</v>
      </c>
      <c r="I684" s="20" t="str">
        <f>IFERROR(VLOOKUP(A684,DATA_MATRIZ,13,FALSE),"")</f>
        <v>Mecanismo de Comunicación para la Participación</v>
      </c>
      <c r="J684" s="20" t="str">
        <f>IFERROR(VLOOKUP(A684,DATA_MATRIZ,41,FALSE),"")</f>
        <v>Multiactor</v>
      </c>
      <c r="K684" s="20">
        <f>IFERROR(VLOOKUP(A684,DATA_MATRIZ,42,FALSE),"")</f>
        <v>0</v>
      </c>
      <c r="L684" s="20" t="str">
        <f>IFERROR(VLOOKUP(A684,DATA_MATRIZ,46,FALSE),"")</f>
        <v>Distrital</v>
      </c>
      <c r="M684" s="20" t="str">
        <f>IFERROR(VLOOKUP(A684,DATA_MATRIZ,53,FALSE),"")</f>
        <v>Distrital</v>
      </c>
      <c r="N684" s="20" t="str">
        <f>IFERROR(VLOOKUP(A684,DATA_MATRIZ,60,FALSE),"")</f>
        <v>Teusaquillo</v>
      </c>
      <c r="O684" s="20" t="str">
        <f>IFERROR(VLOOKUP(A684,DATA_MATRIZ,75,FALSE),"")</f>
        <v>SÍ</v>
      </c>
      <c r="P684" s="20" t="str">
        <f>IFERROR(VLOOKUP(A684,DATA_MATRIZ,76,FALSE),"")</f>
        <v>Fase IV: Reconocimiento a la Acción Colectiva</v>
      </c>
      <c r="Q684" s="20">
        <f>IFERROR(VLOOKUP(A684,DATA_MATRIZ,78,FALSE),"")</f>
        <v>20</v>
      </c>
      <c r="R684" s="20">
        <f>IFERROR(VLOOKUP(A684,DATA_MATRIZ,79,FALSE),"")</f>
        <v>2</v>
      </c>
      <c r="S684" s="20" t="str">
        <f>IFERROR(VLOOKUP(A684,DATA_MATRIZ,85,FALSE),"")</f>
        <v>segunda sesión del Consejo Consultivo LGBTI del año 2024, con el objetivo de tratar el tema de Avances del plan de acción de la PPLGBTI 2024 y Planes y programas aprobados en el Plan Distrital de Desarrollo 2024-2028 para personas de los sectores sociales LGBTI.</v>
      </c>
      <c r="T684" s="20">
        <f t="shared" si="292"/>
        <v>1</v>
      </c>
      <c r="U684" s="20" t="str">
        <f t="shared" ca="1" si="293"/>
        <v>Realizada</v>
      </c>
    </row>
    <row r="685" spans="1:21" ht="61.5">
      <c r="A685" s="20">
        <v>841</v>
      </c>
      <c r="B685" s="20" t="str">
        <f>IFERROR(VLOOKUP(A685,DATA_MATRIZ,2,FALSE),"")</f>
        <v>CLIP Usme</v>
      </c>
      <c r="C685" s="21">
        <f>IFERROR(VLOOKUP(A685,DATA_MATRIZ,3,FALSE),"")</f>
        <v>45518</v>
      </c>
      <c r="D685" s="20" t="str">
        <f>IFERROR(VLOOKUP(A685,DATA_MATRIZ,5,FALSE),"")</f>
        <v>INSTANCIAS</v>
      </c>
      <c r="E685" s="20" t="str">
        <f>IFERROR(VLOOKUP(A685,DATA_MATRIZ,9,FALSE),"")</f>
        <v>NO</v>
      </c>
      <c r="F685" s="20" t="str">
        <f>IFERROR(VLOOKUP(A685,DATA_MATRIZ,10,FALSE),"")</f>
        <v>CLIP (Comisión Local Intersectorial de Participación)</v>
      </c>
      <c r="G685" s="20" t="str">
        <f>IFERROR(VLOOKUP(A685,DATA_MATRIZ,11,FALSE),"")</f>
        <v>Presencial</v>
      </c>
      <c r="H685" s="20" t="str">
        <f>IFERROR(VLOOKUP(A685,DATA_MATRIZ,12,FALSE),"")</f>
        <v>Acompañar la articulación de acciones y estrategias, en esta oportunidad relacionadas con la política pública sobre el fenómeno de habitabilidad en calle.</v>
      </c>
      <c r="I685" s="20" t="str">
        <f>IFERROR(VLOOKUP(A685,DATA_MATRIZ,13,FALSE),"")</f>
        <v>Mecanismo de Seguimiento y Evaluación</v>
      </c>
      <c r="J685" s="20" t="str">
        <f>IFERROR(VLOOKUP(A685,DATA_MATRIZ,41,FALSE),"")</f>
        <v>Multiactor</v>
      </c>
      <c r="K685" s="20">
        <f>IFERROR(VLOOKUP(A685,DATA_MATRIZ,42,FALSE),"")</f>
        <v>0</v>
      </c>
      <c r="L685" s="20" t="str">
        <f>IFERROR(VLOOKUP(A685,DATA_MATRIZ,46,FALSE),"")</f>
        <v>Usme</v>
      </c>
      <c r="M685" s="20" t="str">
        <f>IFERROR(VLOOKUP(A685,DATA_MATRIZ,53,FALSE),"")</f>
        <v>Suroriente</v>
      </c>
      <c r="N685" s="20" t="str">
        <f>IFERROR(VLOOKUP(A685,DATA_MATRIZ,60,FALSE),"")</f>
        <v>Usme Entrenubes</v>
      </c>
      <c r="O685" s="20" t="str">
        <f>IFERROR(VLOOKUP(A685,DATA_MATRIZ,75,FALSE),"")</f>
        <v>NO</v>
      </c>
      <c r="P685" s="20" t="str">
        <f>IFERROR(VLOOKUP(A685,DATA_MATRIZ,76,FALSE),"")</f>
        <v>No aplica</v>
      </c>
      <c r="Q685" s="20">
        <f>IFERROR(VLOOKUP(A685,DATA_MATRIZ,78,FALSE),"")</f>
        <v>17</v>
      </c>
      <c r="R685" s="20">
        <f>IFERROR(VLOOKUP(A685,DATA_MATRIZ,79,FALSE),"")</f>
        <v>1</v>
      </c>
      <c r="S685" s="20" t="str">
        <f>IFERROR(VLOOKUP(A685,DATA_MATRIZ,85,FALSE),"")</f>
        <v>Política pública sobre el fenómeno de habitabilidad en calle.</v>
      </c>
      <c r="T685" s="20">
        <f t="shared" si="292"/>
        <v>1</v>
      </c>
      <c r="U685" s="20" t="str">
        <f t="shared" ca="1" si="293"/>
        <v>Realizada</v>
      </c>
    </row>
    <row r="686" spans="1:21" ht="49.5">
      <c r="A686" s="20">
        <v>842</v>
      </c>
      <c r="B686" s="20" t="str">
        <f>IFERROR(VLOOKUP(A686,DATA_MATRIZ,2,FALSE),"")</f>
        <v>Conversatorio sobre la importancia de la Comisión de Desarrollo Regional: Un Café y un diálogo_CTPD</v>
      </c>
      <c r="C686" s="21">
        <f>IFERROR(VLOOKUP(A686,DATA_MATRIZ,3,FALSE),"")</f>
        <v>45521</v>
      </c>
      <c r="D686" s="20" t="str">
        <f>IFERROR(VLOOKUP(A686,DATA_MATRIZ,5,FALSE),"")</f>
        <v>INSTANCIAS</v>
      </c>
      <c r="E686" s="20" t="str">
        <f>IFERROR(VLOOKUP(A686,DATA_MATRIZ,9,FALSE),"")</f>
        <v>NO</v>
      </c>
      <c r="F686" s="20" t="str">
        <f>IFERROR(VLOOKUP(A686,DATA_MATRIZ,10,FALSE),"")</f>
        <v>CTPD (Consejo Territorial de Planeación Distrital)</v>
      </c>
      <c r="G686" s="20" t="str">
        <f>IFERROR(VLOOKUP(A686,DATA_MATRIZ,11,FALSE),"")</f>
        <v>Presencial</v>
      </c>
      <c r="H686" s="20" t="str">
        <f>IFERROR(VLOOKUP(A686,DATA_MATRIZ,12,FALSE),"")</f>
        <v>Apoyar el conversatorio sobre la importancia de la Comisión de Desarrollo Regional: Un Café y un diálogo.</v>
      </c>
      <c r="I686" s="20" t="str">
        <f>IFERROR(VLOOKUP(A686,DATA_MATRIZ,13,FALSE),"")</f>
        <v>Mecanismo de Seguimiento y Evaluación</v>
      </c>
      <c r="J686" s="20" t="str">
        <f>IFERROR(VLOOKUP(A686,DATA_MATRIZ,41,FALSE),"")</f>
        <v>Comunitario</v>
      </c>
      <c r="K686" s="20">
        <f>IFERROR(VLOOKUP(A686,DATA_MATRIZ,42,FALSE),"")</f>
        <v>0</v>
      </c>
      <c r="L686" s="20" t="str">
        <f>IFERROR(VLOOKUP(A686,DATA_MATRIZ,46,FALSE),"")</f>
        <v>Distrital</v>
      </c>
      <c r="M686" s="20" t="str">
        <f>IFERROR(VLOOKUP(A686,DATA_MATRIZ,53,FALSE),"")</f>
        <v>Distrital</v>
      </c>
      <c r="N686" s="20" t="str">
        <f>IFERROR(VLOOKUP(A686,DATA_MATRIZ,60,FALSE),"")</f>
        <v>Distrital</v>
      </c>
      <c r="O686" s="20" t="str">
        <f>IFERROR(VLOOKUP(A686,DATA_MATRIZ,75,FALSE),"")</f>
        <v>NO</v>
      </c>
      <c r="P686" s="20" t="str">
        <f>IFERROR(VLOOKUP(A686,DATA_MATRIZ,76,FALSE),"")</f>
        <v>No aplica</v>
      </c>
      <c r="Q686" s="20">
        <f>IFERROR(VLOOKUP(A686,DATA_MATRIZ,78,FALSE),"")</f>
        <v>8</v>
      </c>
      <c r="R686" s="20">
        <f>IFERROR(VLOOKUP(A686,DATA_MATRIZ,79,FALSE),"")</f>
        <v>2</v>
      </c>
      <c r="S686" s="20" t="str">
        <f>IFERROR(VLOOKUP(A686,DATA_MATRIZ,85,FALSE),"")</f>
        <v>Apuestas y oportunidades de mejora en la comisión regional del CTPD.</v>
      </c>
      <c r="T686" s="20">
        <f t="shared" si="292"/>
        <v>1</v>
      </c>
      <c r="U686" s="20" t="str">
        <f t="shared" ca="1" si="293"/>
        <v>Realizada</v>
      </c>
    </row>
    <row r="687" spans="1:21" ht="49.5">
      <c r="A687" s="20">
        <v>843</v>
      </c>
      <c r="B687" s="20" t="str">
        <f>IFERROR(VLOOKUP(A687,DATA_MATRIZ,2,FALSE),"")</f>
        <v xml:space="preserve">Gestión: Reunión presencial Consejera Claudia Solorzano - CTPD </v>
      </c>
      <c r="C687" s="21">
        <f>IFERROR(VLOOKUP(A687,DATA_MATRIZ,3,FALSE),"")</f>
        <v>45524</v>
      </c>
      <c r="D687" s="20" t="str">
        <f>IFERROR(VLOOKUP(A687,DATA_MATRIZ,5,FALSE),"")</f>
        <v>INSTANCIAS</v>
      </c>
      <c r="E687" s="20" t="str">
        <f>IFERROR(VLOOKUP(A687,DATA_MATRIZ,9,FALSE),"")</f>
        <v>NO</v>
      </c>
      <c r="F687" s="20" t="str">
        <f>IFERROR(VLOOKUP(A687,DATA_MATRIZ,10,FALSE),"")</f>
        <v>CTPD (Consejo Territorial de Planeación Distrital)</v>
      </c>
      <c r="G687" s="20" t="str">
        <f>IFERROR(VLOOKUP(A687,DATA_MATRIZ,11,FALSE),"")</f>
        <v>Presencial</v>
      </c>
      <c r="H687" s="20" t="str">
        <f>IFERROR(VLOOKUP(A687,DATA_MATRIZ,12,FALSE),"")</f>
        <v xml:space="preserve">Atender la solicitud de la Consejera en relación a la solicitud de Bolsa Logística </v>
      </c>
      <c r="I687" s="20" t="str">
        <f>IFERROR(VLOOKUP(A687,DATA_MATRIZ,13,FALSE),"")</f>
        <v>Mecanismo de Seguimiento y Evaluación</v>
      </c>
      <c r="J687" s="20" t="str">
        <f>IFERROR(VLOOKUP(A687,DATA_MATRIZ,41,FALSE),"")</f>
        <v>Multiactor</v>
      </c>
      <c r="K687" s="20">
        <f>IFERROR(VLOOKUP(A687,DATA_MATRIZ,42,FALSE),"")</f>
        <v>0</v>
      </c>
      <c r="L687" s="20" t="str">
        <f>IFERROR(VLOOKUP(A687,DATA_MATRIZ,46,FALSE),"")</f>
        <v>Distrital</v>
      </c>
      <c r="M687" s="20" t="str">
        <f>IFERROR(VLOOKUP(A687,DATA_MATRIZ,53,FALSE),"")</f>
        <v>Distrital</v>
      </c>
      <c r="N687" s="20" t="str">
        <f>IFERROR(VLOOKUP(A687,DATA_MATRIZ,60,FALSE),"")</f>
        <v>Distrital</v>
      </c>
      <c r="O687" s="20" t="str">
        <f>IFERROR(VLOOKUP(A687,DATA_MATRIZ,75,FALSE),"")</f>
        <v>NO</v>
      </c>
      <c r="P687" s="20" t="str">
        <f>IFERROR(VLOOKUP(A687,DATA_MATRIZ,76,FALSE),"")</f>
        <v>No aplica</v>
      </c>
      <c r="Q687" s="20">
        <f>IFERROR(VLOOKUP(A687,DATA_MATRIZ,78,FALSE),"")</f>
        <v>3</v>
      </c>
      <c r="R687" s="20">
        <f>IFERROR(VLOOKUP(A687,DATA_MATRIZ,79,FALSE),"")</f>
        <v>2</v>
      </c>
      <c r="S687" s="20" t="str">
        <f>IFERROR(VLOOKUP(A687,DATA_MATRIZ,85,FALSE),"")</f>
        <v>Cambio de Plataforma para conexión, plan de acción del CTPD y bolsa logística.</v>
      </c>
      <c r="T687" s="20">
        <f t="shared" si="292"/>
        <v>1</v>
      </c>
      <c r="U687" s="20" t="str">
        <f t="shared" ca="1" si="293"/>
        <v>Realizada</v>
      </c>
    </row>
    <row r="688" spans="1:21" ht="49.5">
      <c r="A688" s="20">
        <v>844</v>
      </c>
      <c r="B688" s="20" t="str">
        <f>IFERROR(VLOOKUP(A688,DATA_MATRIZ,2,FALSE),"")</f>
        <v xml:space="preserve">Comisión de Participación - CTPD </v>
      </c>
      <c r="C688" s="21">
        <f>IFERROR(VLOOKUP(A688,DATA_MATRIZ,3,FALSE),"")</f>
        <v>45524</v>
      </c>
      <c r="D688" s="20" t="str">
        <f>IFERROR(VLOOKUP(A688,DATA_MATRIZ,5,FALSE),"")</f>
        <v>INSTANCIAS</v>
      </c>
      <c r="E688" s="20" t="str">
        <f>IFERROR(VLOOKUP(A688,DATA_MATRIZ,9,FALSE),"")</f>
        <v>NO</v>
      </c>
      <c r="F688" s="20" t="str">
        <f>IFERROR(VLOOKUP(A688,DATA_MATRIZ,10,FALSE),"")</f>
        <v>CTPD (Consejo Territorial de Planeación Distrital)</v>
      </c>
      <c r="G688" s="20" t="str">
        <f>IFERROR(VLOOKUP(A688,DATA_MATRIZ,11,FALSE),"")</f>
        <v>Virtual</v>
      </c>
      <c r="H688" s="20" t="str">
        <f>IFERROR(VLOOKUP(A688,DATA_MATRIZ,12,FALSE),"")</f>
        <v>Realizar una capacitación de Legalbog con la Secretaría Jurídica.</v>
      </c>
      <c r="I688" s="20" t="str">
        <f>IFERROR(VLOOKUP(A688,DATA_MATRIZ,13,FALSE),"")</f>
        <v>Mecanismo de Seguimiento y Evaluación</v>
      </c>
      <c r="J688" s="20" t="str">
        <f>IFERROR(VLOOKUP(A688,DATA_MATRIZ,41,FALSE),"")</f>
        <v>Multiactor</v>
      </c>
      <c r="K688" s="20">
        <f>IFERROR(VLOOKUP(A688,DATA_MATRIZ,42,FALSE),"")</f>
        <v>0</v>
      </c>
      <c r="L688" s="20" t="str">
        <f>IFERROR(VLOOKUP(A688,DATA_MATRIZ,46,FALSE),"")</f>
        <v>Distrital</v>
      </c>
      <c r="M688" s="20" t="str">
        <f>IFERROR(VLOOKUP(A688,DATA_MATRIZ,53,FALSE),"")</f>
        <v>Distrital</v>
      </c>
      <c r="N688" s="20" t="str">
        <f>IFERROR(VLOOKUP(A688,DATA_MATRIZ,60,FALSE),"")</f>
        <v>Distrital</v>
      </c>
      <c r="O688" s="20" t="str">
        <f>IFERROR(VLOOKUP(A688,DATA_MATRIZ,75,FALSE),"")</f>
        <v>NO</v>
      </c>
      <c r="P688" s="20" t="str">
        <f>IFERROR(VLOOKUP(A688,DATA_MATRIZ,76,FALSE),"")</f>
        <v>No aplica</v>
      </c>
      <c r="Q688" s="20">
        <f>IFERROR(VLOOKUP(A688,DATA_MATRIZ,78,FALSE),"")</f>
        <v>10</v>
      </c>
      <c r="R688" s="20">
        <f>IFERROR(VLOOKUP(A688,DATA_MATRIZ,79,FALSE),"")</f>
        <v>1</v>
      </c>
      <c r="S688" s="20" t="str">
        <f>IFERROR(VLOOKUP(A688,DATA_MATRIZ,85,FALSE),"")</f>
        <v>Capacitación en LegalBog.</v>
      </c>
      <c r="T688" s="20">
        <f t="shared" si="292"/>
        <v>1</v>
      </c>
      <c r="U688" s="20" t="str">
        <f t="shared" ca="1" si="293"/>
        <v>Realizada</v>
      </c>
    </row>
    <row r="689" spans="1:21" ht="49.5">
      <c r="A689" s="20">
        <v>846</v>
      </c>
      <c r="B689" s="20" t="str">
        <f>IFERROR(VLOOKUP(A689,DATA_MATRIZ,2,FALSE),"")</f>
        <v>Gestión: Bolsa logística con la subsecretaria - CTPD</v>
      </c>
      <c r="C689" s="21">
        <f>IFERROR(VLOOKUP(A689,DATA_MATRIZ,3,FALSE),"")</f>
        <v>45525</v>
      </c>
      <c r="D689" s="20" t="str">
        <f>IFERROR(VLOOKUP(A689,DATA_MATRIZ,5,FALSE),"")</f>
        <v>INSTANCIAS</v>
      </c>
      <c r="E689" s="20" t="str">
        <f>IFERROR(VLOOKUP(A689,DATA_MATRIZ,9,FALSE),"")</f>
        <v>NO</v>
      </c>
      <c r="F689" s="20" t="str">
        <f>IFERROR(VLOOKUP(A689,DATA_MATRIZ,10,FALSE),"")</f>
        <v>CTPD (Consejo Territorial de Planeación Distrital)</v>
      </c>
      <c r="G689" s="20" t="str">
        <f>IFERROR(VLOOKUP(A689,DATA_MATRIZ,11,FALSE),"")</f>
        <v>Presencial</v>
      </c>
      <c r="H689" s="20" t="str">
        <f>IFERROR(VLOOKUP(A689,DATA_MATRIZ,12,FALSE),"")</f>
        <v xml:space="preserve">Socializar los temas de bolsa logística a la Subsecretaria y al CTPD. </v>
      </c>
      <c r="I689" s="20" t="str">
        <f>IFERROR(VLOOKUP(A689,DATA_MATRIZ,13,FALSE),"")</f>
        <v>Gestión Institucional</v>
      </c>
      <c r="J689" s="20" t="str">
        <f>IFERROR(VLOOKUP(A689,DATA_MATRIZ,41,FALSE),"")</f>
        <v>Multiactor</v>
      </c>
      <c r="K689" s="20">
        <f>IFERROR(VLOOKUP(A689,DATA_MATRIZ,42,FALSE),"")</f>
        <v>0</v>
      </c>
      <c r="L689" s="20" t="str">
        <f>IFERROR(VLOOKUP(A689,DATA_MATRIZ,46,FALSE),"")</f>
        <v>Distrital</v>
      </c>
      <c r="M689" s="20" t="str">
        <f>IFERROR(VLOOKUP(A689,DATA_MATRIZ,53,FALSE),"")</f>
        <v>Distrital</v>
      </c>
      <c r="N689" s="20" t="str">
        <f>IFERROR(VLOOKUP(A689,DATA_MATRIZ,60,FALSE),"")</f>
        <v>Distrital</v>
      </c>
      <c r="O689" s="20" t="str">
        <f>IFERROR(VLOOKUP(A689,DATA_MATRIZ,75,FALSE),"")</f>
        <v>NO</v>
      </c>
      <c r="P689" s="20" t="str">
        <f>IFERROR(VLOOKUP(A689,DATA_MATRIZ,76,FALSE),"")</f>
        <v>No aplica</v>
      </c>
      <c r="Q689" s="20">
        <f>IFERROR(VLOOKUP(A689,DATA_MATRIZ,78,FALSE),"")</f>
        <v>3</v>
      </c>
      <c r="R689" s="20">
        <f>IFERROR(VLOOKUP(A689,DATA_MATRIZ,79,FALSE),"")</f>
        <v>9</v>
      </c>
      <c r="S689" s="20" t="str">
        <f>IFERROR(VLOOKUP(A689,DATA_MATRIZ,85,FALSE),"")</f>
        <v xml:space="preserve">Bolsa logística y anexo técnico. </v>
      </c>
      <c r="T689" s="20">
        <f t="shared" si="292"/>
        <v>1</v>
      </c>
      <c r="U689" s="20" t="str">
        <f t="shared" ca="1" si="293"/>
        <v>Realizada</v>
      </c>
    </row>
    <row r="690" spans="1:21" ht="49.5">
      <c r="A690" s="20">
        <v>847</v>
      </c>
      <c r="B690" s="20" t="str">
        <f>IFERROR(VLOOKUP(A690,DATA_MATRIZ,2,FALSE),"")</f>
        <v xml:space="preserve">Gestión: Reunión preparatoria para reunión con indígenas </v>
      </c>
      <c r="C690" s="21">
        <f>IFERROR(VLOOKUP(A690,DATA_MATRIZ,3,FALSE),"")</f>
        <v>45526</v>
      </c>
      <c r="D690" s="20" t="str">
        <f>IFERROR(VLOOKUP(A690,DATA_MATRIZ,5,FALSE),"")</f>
        <v>OPDC</v>
      </c>
      <c r="E690" s="20" t="str">
        <f>IFERROR(VLOOKUP(A690,DATA_MATRIZ,9,FALSE),"")</f>
        <v>NO</v>
      </c>
      <c r="F690" s="20" t="str">
        <f>IFERROR(VLOOKUP(A690,DATA_MATRIZ,10,FALSE),"")</f>
        <v>Políticas Públicas</v>
      </c>
      <c r="G690" s="20" t="str">
        <f>IFERROR(VLOOKUP(A690,DATA_MATRIZ,11,FALSE),"")</f>
        <v>Presencial</v>
      </c>
      <c r="H690" s="20" t="str">
        <f>IFERROR(VLOOKUP(A690,DATA_MATRIZ,12,FALSE),"")</f>
        <v>Realizar reunión preparatoria para el encuentro con los indígenas el día lunes 27 de agosto en el marco de las políticas públicas étnicas.</v>
      </c>
      <c r="I690" s="20" t="str">
        <f>IFERROR(VLOOKUP(A690,DATA_MATRIZ,13,FALSE),"")</f>
        <v>Mecanismo de Seguimiento y Evaluación</v>
      </c>
      <c r="J690" s="20" t="str">
        <f>IFERROR(VLOOKUP(A690,DATA_MATRIZ,41,FALSE),"")</f>
        <v>Público</v>
      </c>
      <c r="K690" s="20" t="str">
        <f>IFERROR(VLOOKUP(A690,DATA_MATRIZ,42,FALSE),"")</f>
        <v>Servidores públicos (Distrital)</v>
      </c>
      <c r="L690" s="20" t="str">
        <f>IFERROR(VLOOKUP(A690,DATA_MATRIZ,46,FALSE),"")</f>
        <v>Distrital</v>
      </c>
      <c r="M690" s="20" t="str">
        <f>IFERROR(VLOOKUP(A690,DATA_MATRIZ,53,FALSE),"")</f>
        <v>Distrital</v>
      </c>
      <c r="N690" s="20" t="str">
        <f>IFERROR(VLOOKUP(A690,DATA_MATRIZ,60,FALSE),"")</f>
        <v>Distrital</v>
      </c>
      <c r="O690" s="20" t="str">
        <f>IFERROR(VLOOKUP(A690,DATA_MATRIZ,75,FALSE),"")</f>
        <v>NO</v>
      </c>
      <c r="P690" s="20" t="str">
        <f>IFERROR(VLOOKUP(A690,DATA_MATRIZ,76,FALSE),"")</f>
        <v>No aplica</v>
      </c>
      <c r="Q690" s="20">
        <f>IFERROR(VLOOKUP(A690,DATA_MATRIZ,78,FALSE),"")</f>
        <v>0</v>
      </c>
      <c r="R690" s="20">
        <f>IFERROR(VLOOKUP(A690,DATA_MATRIZ,79,FALSE),"")</f>
        <v>6</v>
      </c>
      <c r="S690" s="20" t="str">
        <f>IFERROR(VLOOKUP(A690,DATA_MATRIZ,85,FALSE),"")</f>
        <v xml:space="preserve">Productos de política pública del Conpes 37 </v>
      </c>
      <c r="T690" s="20">
        <f t="shared" si="292"/>
        <v>1</v>
      </c>
      <c r="U690" s="20" t="str">
        <f t="shared" ca="1" si="293"/>
        <v>Realizada</v>
      </c>
    </row>
    <row r="691" spans="1:21" ht="74.25">
      <c r="A691" s="20">
        <v>848</v>
      </c>
      <c r="B691" s="20" t="str">
        <f>IFERROR(VLOOKUP(A691,DATA_MATRIZ,2,FALSE),"")</f>
        <v xml:space="preserve">Sesión ordinaria Mesa directiva - CTPD </v>
      </c>
      <c r="C691" s="21">
        <f>IFERROR(VLOOKUP(A691,DATA_MATRIZ,3,FALSE),"")</f>
        <v>45526</v>
      </c>
      <c r="D691" s="20" t="str">
        <f>IFERROR(VLOOKUP(A691,DATA_MATRIZ,5,FALSE),"")</f>
        <v>INSTANCIAS</v>
      </c>
      <c r="E691" s="20" t="str">
        <f>IFERROR(VLOOKUP(A691,DATA_MATRIZ,9,FALSE),"")</f>
        <v>NO</v>
      </c>
      <c r="F691" s="20" t="str">
        <f>IFERROR(VLOOKUP(A691,DATA_MATRIZ,10,FALSE),"")</f>
        <v>CTPD (Consejo Territorial de Planeación Distrital)</v>
      </c>
      <c r="G691" s="20" t="str">
        <f>IFERROR(VLOOKUP(A691,DATA_MATRIZ,11,FALSE),"")</f>
        <v>Virtual</v>
      </c>
      <c r="H691" s="20" t="str">
        <f>IFERROR(VLOOKUP(A691,DATA_MATRIZ,12,FALSE),"")</f>
        <v>Dar cumplimiento a lo establecido en el reglamento interno del CTPD con relación al desarrollo de la reunión de la mesa directiva de esta instancia una vez al mes.</v>
      </c>
      <c r="I691" s="20" t="str">
        <f>IFERROR(VLOOKUP(A691,DATA_MATRIZ,13,FALSE),"")</f>
        <v>Mecanismo de Seguimiento y Evaluación</v>
      </c>
      <c r="J691" s="20" t="str">
        <f>IFERROR(VLOOKUP(A691,DATA_MATRIZ,41,FALSE),"")</f>
        <v>Multiactor</v>
      </c>
      <c r="K691" s="20">
        <f>IFERROR(VLOOKUP(A691,DATA_MATRIZ,42,FALSE),"")</f>
        <v>0</v>
      </c>
      <c r="L691" s="20" t="str">
        <f>IFERROR(VLOOKUP(A691,DATA_MATRIZ,46,FALSE),"")</f>
        <v>Distrital</v>
      </c>
      <c r="M691" s="20" t="str">
        <f>IFERROR(VLOOKUP(A691,DATA_MATRIZ,53,FALSE),"")</f>
        <v>Distrital</v>
      </c>
      <c r="N691" s="20" t="str">
        <f>IFERROR(VLOOKUP(A691,DATA_MATRIZ,60,FALSE),"")</f>
        <v>Distrital</v>
      </c>
      <c r="O691" s="20" t="str">
        <f>IFERROR(VLOOKUP(A691,DATA_MATRIZ,75,FALSE),"")</f>
        <v>NO</v>
      </c>
      <c r="P691" s="20" t="str">
        <f>IFERROR(VLOOKUP(A691,DATA_MATRIZ,76,FALSE),"")</f>
        <v>No aplica</v>
      </c>
      <c r="Q691" s="20">
        <f>IFERROR(VLOOKUP(A691,DATA_MATRIZ,78,FALSE),"")</f>
        <v>25</v>
      </c>
      <c r="R691" s="20">
        <f>IFERROR(VLOOKUP(A691,DATA_MATRIZ,79,FALSE),"")</f>
        <v>2</v>
      </c>
      <c r="S691" s="20" t="str">
        <f>IFERROR(VLOOKUP(A691,DATA_MATRIZ,85,FALSE),"")</f>
        <v>Información de la página web y el cambio en la plataforma de conexión para el CTPD, y también en la elección de consejeros y consejeras delegados a las instancias de participación en las cuales el CTPD no tiene delegado aún.</v>
      </c>
      <c r="T691" s="20">
        <f t="shared" si="292"/>
        <v>1</v>
      </c>
      <c r="U691" s="20" t="str">
        <f t="shared" ca="1" si="293"/>
        <v>Realizada</v>
      </c>
    </row>
    <row r="692" spans="1:21" ht="49.5">
      <c r="A692" s="20">
        <v>849</v>
      </c>
      <c r="B692" s="20" t="str">
        <f>IFERROR(VLOOKUP(A692,DATA_MATRIZ,2,FALSE),"")</f>
        <v xml:space="preserve">Segundo encuentro de cuidadores y cuidadoras - CTPD </v>
      </c>
      <c r="C692" s="21">
        <f>IFERROR(VLOOKUP(A692,DATA_MATRIZ,3,FALSE),"")</f>
        <v>45527</v>
      </c>
      <c r="D692" s="20" t="str">
        <f>IFERROR(VLOOKUP(A692,DATA_MATRIZ,5,FALSE),"")</f>
        <v>INSTANCIAS</v>
      </c>
      <c r="E692" s="20" t="str">
        <f>IFERROR(VLOOKUP(A692,DATA_MATRIZ,9,FALSE),"")</f>
        <v>NO</v>
      </c>
      <c r="F692" s="20" t="str">
        <f>IFERROR(VLOOKUP(A692,DATA_MATRIZ,10,FALSE),"")</f>
        <v>CTPD (Consejo Territorial de Planeación Distrital)</v>
      </c>
      <c r="G692" s="20" t="str">
        <f>IFERROR(VLOOKUP(A692,DATA_MATRIZ,11,FALSE),"")</f>
        <v>Presencial</v>
      </c>
      <c r="H692" s="20" t="str">
        <f>IFERROR(VLOOKUP(A692,DATA_MATRIZ,12,FALSE),"")</f>
        <v>Acompañar y apoyar la comisión poblacional quien lidera el  2° Encuentro de Cuidadores - as 2024.</v>
      </c>
      <c r="I692" s="20" t="str">
        <f>IFERROR(VLOOKUP(A692,DATA_MATRIZ,13,FALSE),"")</f>
        <v>Mecanismo de Seguimiento y Evaluación</v>
      </c>
      <c r="J692" s="20" t="str">
        <f>IFERROR(VLOOKUP(A692,DATA_MATRIZ,41,FALSE),"")</f>
        <v>Multiactor</v>
      </c>
      <c r="K692" s="20">
        <f>IFERROR(VLOOKUP(A692,DATA_MATRIZ,42,FALSE),"")</f>
        <v>0</v>
      </c>
      <c r="L692" s="20" t="str">
        <f>IFERROR(VLOOKUP(A692,DATA_MATRIZ,46,FALSE),"")</f>
        <v>Distrital</v>
      </c>
      <c r="M692" s="20" t="str">
        <f>IFERROR(VLOOKUP(A692,DATA_MATRIZ,53,FALSE),"")</f>
        <v>Distrital</v>
      </c>
      <c r="N692" s="20" t="str">
        <f>IFERROR(VLOOKUP(A692,DATA_MATRIZ,60,FALSE),"")</f>
        <v>Distrital</v>
      </c>
      <c r="O692" s="20" t="str">
        <f>IFERROR(VLOOKUP(A692,DATA_MATRIZ,75,FALSE),"")</f>
        <v>NO</v>
      </c>
      <c r="P692" s="20" t="str">
        <f>IFERROR(VLOOKUP(A692,DATA_MATRIZ,76,FALSE),"")</f>
        <v>No aplica</v>
      </c>
      <c r="Q692" s="20">
        <f>IFERROR(VLOOKUP(A692,DATA_MATRIZ,78,FALSE),"")</f>
        <v>60</v>
      </c>
      <c r="R692" s="20">
        <f>IFERROR(VLOOKUP(A692,DATA_MATRIZ,79,FALSE),"")</f>
        <v>6</v>
      </c>
      <c r="S692" s="20" t="str">
        <f>IFERROR(VLOOKUP(A692,DATA_MATRIZ,85,FALSE),"")</f>
        <v>Generalidades relacionadas a temas del cuidado, preocupaciones sobre implementación del Sistema del Cuidado en el PDD.</v>
      </c>
      <c r="T692" s="20">
        <f t="shared" si="292"/>
        <v>1</v>
      </c>
      <c r="U692" s="20" t="str">
        <f t="shared" ca="1" si="293"/>
        <v>Realizada</v>
      </c>
    </row>
    <row r="693" spans="1:21" ht="49.5">
      <c r="A693" s="20">
        <v>850</v>
      </c>
      <c r="B693" s="20" t="str">
        <f>IFERROR(VLOOKUP(A693,DATA_MATRIZ,2,FALSE),"")</f>
        <v xml:space="preserve">Comisión de Participación - CTPD </v>
      </c>
      <c r="C693" s="21">
        <f>IFERROR(VLOOKUP(A693,DATA_MATRIZ,3,FALSE),"")</f>
        <v>45530</v>
      </c>
      <c r="D693" s="20" t="str">
        <f>IFERROR(VLOOKUP(A693,DATA_MATRIZ,5,FALSE),"")</f>
        <v>INSTANCIAS</v>
      </c>
      <c r="E693" s="20" t="str">
        <f>IFERROR(VLOOKUP(A693,DATA_MATRIZ,9,FALSE),"")</f>
        <v>NO</v>
      </c>
      <c r="F693" s="20" t="str">
        <f>IFERROR(VLOOKUP(A693,DATA_MATRIZ,10,FALSE),"")</f>
        <v>CTPD (Consejo Territorial de Planeación Distrital)</v>
      </c>
      <c r="G693" s="20" t="str">
        <f>IFERROR(VLOOKUP(A693,DATA_MATRIZ,11,FALSE),"")</f>
        <v>Virtual</v>
      </c>
      <c r="H693" s="20" t="str">
        <f>IFERROR(VLOOKUP(A693,DATA_MATRIZ,12,FALSE),"")</f>
        <v>Comisión ordinaria de Participación.</v>
      </c>
      <c r="I693" s="20" t="str">
        <f>IFERROR(VLOOKUP(A693,DATA_MATRIZ,13,FALSE),"")</f>
        <v>Mecanismo de Seguimiento y Evaluación</v>
      </c>
      <c r="J693" s="20" t="str">
        <f>IFERROR(VLOOKUP(A693,DATA_MATRIZ,41,FALSE),"")</f>
        <v>Multiactor</v>
      </c>
      <c r="K693" s="20">
        <f>IFERROR(VLOOKUP(A693,DATA_MATRIZ,42,FALSE),"")</f>
        <v>0</v>
      </c>
      <c r="L693" s="20" t="str">
        <f>IFERROR(VLOOKUP(A693,DATA_MATRIZ,46,FALSE),"")</f>
        <v>Distrital</v>
      </c>
      <c r="M693" s="20" t="str">
        <f>IFERROR(VLOOKUP(A693,DATA_MATRIZ,53,FALSE),"")</f>
        <v>Distrital</v>
      </c>
      <c r="N693" s="20" t="str">
        <f>IFERROR(VLOOKUP(A693,DATA_MATRIZ,60,FALSE),"")</f>
        <v>Distrital</v>
      </c>
      <c r="O693" s="20" t="str">
        <f>IFERROR(VLOOKUP(A693,DATA_MATRIZ,75,FALSE),"")</f>
        <v>NO</v>
      </c>
      <c r="P693" s="20" t="str">
        <f>IFERROR(VLOOKUP(A693,DATA_MATRIZ,76,FALSE),"")</f>
        <v>No aplica</v>
      </c>
      <c r="Q693" s="20">
        <f>IFERROR(VLOOKUP(A693,DATA_MATRIZ,78,FALSE),"")</f>
        <v>10</v>
      </c>
      <c r="R693" s="20">
        <f>IFERROR(VLOOKUP(A693,DATA_MATRIZ,79,FALSE),"")</f>
        <v>1</v>
      </c>
      <c r="S693" s="20" t="str">
        <f>IFERROR(VLOOKUP(A693,DATA_MATRIZ,85,FALSE),"")</f>
        <v>Foro de la comisión de participación del CTPD.</v>
      </c>
      <c r="T693" s="20">
        <f t="shared" si="292"/>
        <v>1</v>
      </c>
      <c r="U693" s="20" t="str">
        <f t="shared" ca="1" si="293"/>
        <v>Realizada</v>
      </c>
    </row>
    <row r="694" spans="1:21" ht="49.5">
      <c r="A694" s="20">
        <v>851</v>
      </c>
      <c r="B694" s="20" t="str">
        <f>IFERROR(VLOOKUP(A694,DATA_MATRIZ,2,FALSE),"")</f>
        <v>CLIP Mártires</v>
      </c>
      <c r="C694" s="21">
        <f>IFERROR(VLOOKUP(A694,DATA_MATRIZ,3,FALSE),"")</f>
        <v>45531</v>
      </c>
      <c r="D694" s="20" t="str">
        <f>IFERROR(VLOOKUP(A694,DATA_MATRIZ,5,FALSE),"")</f>
        <v>INSTANCIAS</v>
      </c>
      <c r="E694" s="20" t="str">
        <f>IFERROR(VLOOKUP(A694,DATA_MATRIZ,9,FALSE),"")</f>
        <v>NO</v>
      </c>
      <c r="F694" s="20" t="str">
        <f>IFERROR(VLOOKUP(A694,DATA_MATRIZ,10,FALSE),"")</f>
        <v>CLIP (Comisión Local Intersectorial de Participación)</v>
      </c>
      <c r="G694" s="20" t="str">
        <f>IFERROR(VLOOKUP(A694,DATA_MATRIZ,11,FALSE),"")</f>
        <v>Presencial</v>
      </c>
      <c r="H694" s="20" t="str">
        <f>IFERROR(VLOOKUP(A694,DATA_MATRIZ,12,FALSE),"")</f>
        <v>Acompañar la articulacion de acciones y estragtegias de participacion a nivel local.</v>
      </c>
      <c r="I694" s="20" t="str">
        <f>IFERROR(VLOOKUP(A694,DATA_MATRIZ,13,FALSE),"")</f>
        <v>Mecanismo de Seguimiento y Evaluación</v>
      </c>
      <c r="J694" s="20" t="str">
        <f>IFERROR(VLOOKUP(A694,DATA_MATRIZ,41,FALSE),"")</f>
        <v>Público</v>
      </c>
      <c r="K694" s="20" t="str">
        <f>IFERROR(VLOOKUP(A694,DATA_MATRIZ,42,FALSE),"")</f>
        <v>CLIP</v>
      </c>
      <c r="L694" s="20" t="str">
        <f>IFERROR(VLOOKUP(A694,DATA_MATRIZ,46,FALSE),"")</f>
        <v>Los Mártires</v>
      </c>
      <c r="M694" s="20" t="str">
        <f>IFERROR(VLOOKUP(A694,DATA_MATRIZ,53,FALSE),"")</f>
        <v>Centro Ampliado</v>
      </c>
      <c r="N694" s="20" t="str">
        <f>IFERROR(VLOOKUP(A694,DATA_MATRIZ,60,FALSE),"")</f>
        <v>Centro Histórico</v>
      </c>
      <c r="O694" s="20" t="str">
        <f>IFERROR(VLOOKUP(A694,DATA_MATRIZ,75,FALSE),"")</f>
        <v>NO</v>
      </c>
      <c r="P694" s="20" t="str">
        <f>IFERROR(VLOOKUP(A694,DATA_MATRIZ,76,FALSE),"")</f>
        <v>No aplica</v>
      </c>
      <c r="Q694" s="20">
        <f>IFERROR(VLOOKUP(A694,DATA_MATRIZ,78,FALSE),"")</f>
        <v>18</v>
      </c>
      <c r="R694" s="20">
        <f>IFERROR(VLOOKUP(A694,DATA_MATRIZ,79,FALSE),"")</f>
        <v>1</v>
      </c>
      <c r="S694" s="20" t="str">
        <f>IFERROR(VLOOKUP(A694,DATA_MATRIZ,85,FALSE),"")</f>
        <v xml:space="preserve">Incio de la preinscripción para el curso virtual de presupuestos participativos (22-31 de agosto. Inicio 5 de septiembre) - Socialización IDPAC estratégia pactos. </v>
      </c>
      <c r="T694" s="20">
        <f t="shared" si="292"/>
        <v>1</v>
      </c>
      <c r="U694" s="20" t="str">
        <f t="shared" ca="1" si="293"/>
        <v>Realizada</v>
      </c>
    </row>
    <row r="695" spans="1:21" ht="61.5">
      <c r="A695" s="20">
        <v>852</v>
      </c>
      <c r="B695" s="20" t="str">
        <f>IFERROR(VLOOKUP(A695,DATA_MATRIZ,2,FALSE),"")</f>
        <v>Mesa de trabajo SDP - SDMujer devolución PDD Consejo Consultivo</v>
      </c>
      <c r="C695" s="21">
        <f>IFERROR(VLOOKUP(A695,DATA_MATRIZ,3,FALSE),"")</f>
        <v>45531</v>
      </c>
      <c r="D695" s="20" t="str">
        <f>IFERROR(VLOOKUP(A695,DATA_MATRIZ,5,FALSE),"")</f>
        <v>OPDC</v>
      </c>
      <c r="E695" s="20" t="str">
        <f>IFERROR(VLOOKUP(A695,DATA_MATRIZ,9,FALSE),"")</f>
        <v>NO</v>
      </c>
      <c r="F695" s="20" t="str">
        <f>IFERROR(VLOOKUP(A695,DATA_MATRIZ,10,FALSE),"")</f>
        <v>Plan Distrital de Desarrollo</v>
      </c>
      <c r="G695" s="20" t="str">
        <f>IFERROR(VLOOKUP(A695,DATA_MATRIZ,11,FALSE),"")</f>
        <v>Virtual</v>
      </c>
      <c r="H695" s="20" t="str">
        <f>IFERROR(VLOOKUP(A695,DATA_MATRIZ,12,FALSE),"")</f>
        <v>Apoyar técnicamente a la Secretaría Distrital de la Mujer en el proceso de Devolución del Plan Distrital de Desarrollo con el Consejo Consultivo de Mujeres-CCM y demás mujeres.</v>
      </c>
      <c r="I695" s="20" t="str">
        <f>IFERROR(VLOOKUP(A695,DATA_MATRIZ,13,FALSE),"")</f>
        <v>Mecanismo de Fortalecimiento Ciudadano para la Planeación Participativa</v>
      </c>
      <c r="J695" s="20" t="str">
        <f>IFERROR(VLOOKUP(A695,DATA_MATRIZ,41,FALSE),"")</f>
        <v>Multiactor</v>
      </c>
      <c r="K695" s="20">
        <f>IFERROR(VLOOKUP(A695,DATA_MATRIZ,42,FALSE),"")</f>
        <v>0</v>
      </c>
      <c r="L695" s="20" t="str">
        <f>IFERROR(VLOOKUP(A695,DATA_MATRIZ,46,FALSE),"")</f>
        <v>Distrital</v>
      </c>
      <c r="M695" s="20" t="str">
        <f>IFERROR(VLOOKUP(A695,DATA_MATRIZ,53,FALSE),"")</f>
        <v>Distrital</v>
      </c>
      <c r="N695" s="20" t="str">
        <f>IFERROR(VLOOKUP(A695,DATA_MATRIZ,60,FALSE),"")</f>
        <v>Distrital</v>
      </c>
      <c r="O695" s="20" t="str">
        <f>IFERROR(VLOOKUP(A695,DATA_MATRIZ,75,FALSE),"")</f>
        <v>SÍ</v>
      </c>
      <c r="P695" s="20" t="str">
        <f>IFERROR(VLOOKUP(A695,DATA_MATRIZ,76,FALSE),"")</f>
        <v>Fase IV: Reconocimiento a la Acción Colectiva</v>
      </c>
      <c r="Q695" s="20">
        <f>IFERROR(VLOOKUP(A695,DATA_MATRIZ,78,FALSE),"")</f>
        <v>7</v>
      </c>
      <c r="R695" s="20">
        <f>IFERROR(VLOOKUP(A695,DATA_MATRIZ,79,FALSE),"")</f>
        <v>3</v>
      </c>
      <c r="S695" s="20" t="str">
        <f>IFERROR(VLOOKUP(A695,DATA_MATRIZ,85,FALSE),"")</f>
        <v>Plan Distrital Desarrollo.</v>
      </c>
      <c r="T695" s="20">
        <f t="shared" si="292"/>
        <v>1</v>
      </c>
      <c r="U695" s="20" t="str">
        <f t="shared" ca="1" si="293"/>
        <v>Realizada</v>
      </c>
    </row>
    <row r="696" spans="1:21" ht="49.5">
      <c r="A696" s="20">
        <v>853</v>
      </c>
      <c r="B696" s="20" t="str">
        <f>IFERROR(VLOOKUP(A696,DATA_MATRIZ,2,FALSE),"")</f>
        <v xml:space="preserve">Sesión permanente de la Mesa Directiva - CTPD </v>
      </c>
      <c r="C696" s="21">
        <f>IFERROR(VLOOKUP(A696,DATA_MATRIZ,3,FALSE),"")</f>
        <v>45531</v>
      </c>
      <c r="D696" s="20" t="str">
        <f>IFERROR(VLOOKUP(A696,DATA_MATRIZ,5,FALSE),"")</f>
        <v>INSTANCIAS</v>
      </c>
      <c r="E696" s="20" t="str">
        <f>IFERROR(VLOOKUP(A696,DATA_MATRIZ,9,FALSE),"")</f>
        <v>NO</v>
      </c>
      <c r="F696" s="20" t="str">
        <f>IFERROR(VLOOKUP(A696,DATA_MATRIZ,10,FALSE),"")</f>
        <v>CTPD (Consejo Territorial de Planeación Distrital)</v>
      </c>
      <c r="G696" s="20" t="str">
        <f>IFERROR(VLOOKUP(A696,DATA_MATRIZ,11,FALSE),"")</f>
        <v>Virtual</v>
      </c>
      <c r="H696" s="20" t="str">
        <f>IFERROR(VLOOKUP(A696,DATA_MATRIZ,12,FALSE),"")</f>
        <v>Continuar con el orden del día aprobado en mesa directiva del 22 de agosto de 2024.</v>
      </c>
      <c r="I696" s="20" t="str">
        <f>IFERROR(VLOOKUP(A696,DATA_MATRIZ,13,FALSE),"")</f>
        <v>Mecanismo de Seguimiento y Evaluación</v>
      </c>
      <c r="J696" s="20" t="str">
        <f>IFERROR(VLOOKUP(A696,DATA_MATRIZ,41,FALSE),"")</f>
        <v>Multiactor</v>
      </c>
      <c r="K696" s="20">
        <f>IFERROR(VLOOKUP(A696,DATA_MATRIZ,42,FALSE),"")</f>
        <v>0</v>
      </c>
      <c r="L696" s="20" t="str">
        <f>IFERROR(VLOOKUP(A696,DATA_MATRIZ,46,FALSE),"")</f>
        <v>Distrital</v>
      </c>
      <c r="M696" s="20" t="str">
        <f>IFERROR(VLOOKUP(A696,DATA_MATRIZ,53,FALSE),"")</f>
        <v>Distrital</v>
      </c>
      <c r="N696" s="20" t="str">
        <f>IFERROR(VLOOKUP(A696,DATA_MATRIZ,60,FALSE),"")</f>
        <v>Distrital</v>
      </c>
      <c r="O696" s="20" t="str">
        <f>IFERROR(VLOOKUP(A696,DATA_MATRIZ,75,FALSE),"")</f>
        <v>NO</v>
      </c>
      <c r="P696" s="20" t="str">
        <f>IFERROR(VLOOKUP(A696,DATA_MATRIZ,76,FALSE),"")</f>
        <v>No aplica</v>
      </c>
      <c r="Q696" s="20">
        <f>IFERROR(VLOOKUP(A696,DATA_MATRIZ,78,FALSE),"")</f>
        <v>28</v>
      </c>
      <c r="R696" s="20">
        <f>IFERROR(VLOOKUP(A696,DATA_MATRIZ,79,FALSE),"")</f>
        <v>2</v>
      </c>
      <c r="S696" s="20" t="str">
        <f>IFERROR(VLOOKUP(A696,DATA_MATRIZ,85,FALSE),"")</f>
        <v>Informe de consolidado de excusas. Definir el evento Congreso De Mujeres Consejeras Territoriales.</v>
      </c>
      <c r="T696" s="20">
        <f t="shared" si="292"/>
        <v>1</v>
      </c>
      <c r="U696" s="20" t="str">
        <f t="shared" ca="1" si="293"/>
        <v>Realizada</v>
      </c>
    </row>
    <row r="697" spans="1:21">
      <c r="A697">
        <v>854</v>
      </c>
    </row>
    <row r="698" spans="1:21">
      <c r="A698">
        <v>856</v>
      </c>
    </row>
    <row r="699" spans="1:21">
      <c r="A699">
        <v>857</v>
      </c>
    </row>
    <row r="700" spans="1:21">
      <c r="A700">
        <v>858</v>
      </c>
    </row>
    <row r="701" spans="1:21">
      <c r="A701">
        <v>859</v>
      </c>
    </row>
    <row r="702" spans="1:21">
      <c r="A702">
        <v>860</v>
      </c>
    </row>
    <row r="703" spans="1:21">
      <c r="A703">
        <v>861</v>
      </c>
    </row>
    <row r="704" spans="1:21">
      <c r="A704">
        <v>862</v>
      </c>
    </row>
    <row r="705" spans="1:1">
      <c r="A705">
        <v>863</v>
      </c>
    </row>
    <row r="706" spans="1:1">
      <c r="A706">
        <v>864</v>
      </c>
    </row>
    <row r="707" spans="1:1">
      <c r="A707">
        <v>865</v>
      </c>
    </row>
    <row r="708" spans="1:1">
      <c r="A708">
        <v>866</v>
      </c>
    </row>
    <row r="709" spans="1:1">
      <c r="A709">
        <v>867</v>
      </c>
    </row>
    <row r="710" spans="1:1">
      <c r="A710">
        <v>868</v>
      </c>
    </row>
    <row r="711" spans="1:1">
      <c r="A711">
        <v>869</v>
      </c>
    </row>
    <row r="712" spans="1:1">
      <c r="A712">
        <v>870</v>
      </c>
    </row>
    <row r="713" spans="1:1">
      <c r="A713">
        <v>871</v>
      </c>
    </row>
    <row r="714" spans="1:1">
      <c r="A714">
        <v>872</v>
      </c>
    </row>
    <row r="715" spans="1:1">
      <c r="A715">
        <v>873</v>
      </c>
    </row>
    <row r="716" spans="1:1">
      <c r="A716">
        <v>874</v>
      </c>
    </row>
    <row r="717" spans="1:1">
      <c r="A717">
        <v>875</v>
      </c>
    </row>
    <row r="718" spans="1:1">
      <c r="A718">
        <v>876</v>
      </c>
    </row>
    <row r="719" spans="1:1">
      <c r="A719">
        <v>877</v>
      </c>
    </row>
    <row r="720" spans="1:1">
      <c r="A720">
        <v>879</v>
      </c>
    </row>
    <row r="721" spans="1:1">
      <c r="A721">
        <v>880</v>
      </c>
    </row>
    <row r="722" spans="1:1">
      <c r="A722">
        <v>881</v>
      </c>
    </row>
    <row r="723" spans="1:1">
      <c r="A723">
        <v>883</v>
      </c>
    </row>
    <row r="724" spans="1:1">
      <c r="A724">
        <v>884</v>
      </c>
    </row>
    <row r="725" spans="1:1">
      <c r="A725">
        <v>886</v>
      </c>
    </row>
    <row r="726" spans="1:1">
      <c r="A726">
        <v>887</v>
      </c>
    </row>
    <row r="727" spans="1:1">
      <c r="A727">
        <v>888</v>
      </c>
    </row>
    <row r="728" spans="1:1">
      <c r="A728">
        <v>889</v>
      </c>
    </row>
    <row r="729" spans="1:1">
      <c r="A729">
        <v>890</v>
      </c>
    </row>
    <row r="730" spans="1:1">
      <c r="A730">
        <v>891</v>
      </c>
    </row>
    <row r="731" spans="1:1">
      <c r="A731">
        <v>892</v>
      </c>
    </row>
    <row r="732" spans="1:1">
      <c r="A732">
        <v>893</v>
      </c>
    </row>
    <row r="733" spans="1:1">
      <c r="A733">
        <v>894</v>
      </c>
    </row>
    <row r="734" spans="1:1">
      <c r="A734">
        <v>895</v>
      </c>
    </row>
    <row r="735" spans="1:1">
      <c r="A735">
        <v>896</v>
      </c>
    </row>
    <row r="736" spans="1:1">
      <c r="A736">
        <v>897</v>
      </c>
    </row>
    <row r="737" spans="1:1">
      <c r="A737">
        <v>898</v>
      </c>
    </row>
    <row r="738" spans="1:1">
      <c r="A738">
        <v>900</v>
      </c>
    </row>
    <row r="739" spans="1:1">
      <c r="A739">
        <v>901</v>
      </c>
    </row>
    <row r="740" spans="1:1">
      <c r="A740">
        <v>902</v>
      </c>
    </row>
    <row r="741" spans="1:1">
      <c r="A741">
        <v>904</v>
      </c>
    </row>
    <row r="742" spans="1:1">
      <c r="A742">
        <v>905</v>
      </c>
    </row>
    <row r="743" spans="1:1">
      <c r="A743">
        <v>906</v>
      </c>
    </row>
    <row r="744" spans="1:1">
      <c r="A744">
        <v>907</v>
      </c>
    </row>
    <row r="745" spans="1:1">
      <c r="A745">
        <v>908</v>
      </c>
    </row>
    <row r="746" spans="1:1">
      <c r="A746">
        <v>909</v>
      </c>
    </row>
    <row r="747" spans="1:1">
      <c r="A747">
        <v>910</v>
      </c>
    </row>
    <row r="748" spans="1:1">
      <c r="A748">
        <v>911</v>
      </c>
    </row>
    <row r="749" spans="1:1">
      <c r="A749">
        <v>912</v>
      </c>
    </row>
    <row r="750" spans="1:1">
      <c r="A750">
        <v>913</v>
      </c>
    </row>
    <row r="751" spans="1:1">
      <c r="A751">
        <v>914</v>
      </c>
    </row>
    <row r="752" spans="1:1">
      <c r="A752">
        <v>915</v>
      </c>
    </row>
    <row r="753" spans="1:1">
      <c r="A753">
        <v>916</v>
      </c>
    </row>
    <row r="754" spans="1:1">
      <c r="A754">
        <v>917</v>
      </c>
    </row>
    <row r="755" spans="1:1">
      <c r="A755">
        <v>918</v>
      </c>
    </row>
    <row r="756" spans="1:1">
      <c r="A756">
        <v>919</v>
      </c>
    </row>
    <row r="757" spans="1:1">
      <c r="A757">
        <v>920</v>
      </c>
    </row>
    <row r="758" spans="1:1">
      <c r="A758">
        <v>921</v>
      </c>
    </row>
    <row r="759" spans="1:1">
      <c r="A759">
        <v>922</v>
      </c>
    </row>
  </sheetData>
  <sheetProtection algorithmName="SHA-512" hashValue="RJKOVnMUNz6JVsUDHUqepgDT3DcZS7S57/8ipbKT8h4bHiin8/Q8IO2OLxyewM7YjN2jmX9Qm8aR0DK8iko6Xw==" saltValue="5FOOtiOIMlXNopE35nB6z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6E821F12DD0B64F82FE6575BB9A4925" ma:contentTypeVersion="16" ma:contentTypeDescription="Crear nuevo documento." ma:contentTypeScope="" ma:versionID="db46bb3e99b68b7a2c1ef11381a5c200">
  <xsd:schema xmlns:xsd="http://www.w3.org/2001/XMLSchema" xmlns:xs="http://www.w3.org/2001/XMLSchema" xmlns:p="http://schemas.microsoft.com/office/2006/metadata/properties" xmlns:ns2="6d6b0736-4c70-43a2-b048-f44e187f41fb" xmlns:ns3="630142d8-fae8-4102-bf16-64a49700c719" targetNamespace="http://schemas.microsoft.com/office/2006/metadata/properties" ma:root="true" ma:fieldsID="51859062a094bf52cc4037413cf83773" ns2:_="" ns3:_="">
    <xsd:import namespace="6d6b0736-4c70-43a2-b048-f44e187f41fb"/>
    <xsd:import namespace="630142d8-fae8-4102-bf16-64a49700c7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3:SharedWithUsers" minOccurs="0"/>
                <xsd:element ref="ns3:SharedWithDetail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6b0736-4c70-43a2-b048-f44e187f41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568608f6-42bb-40be-97e3-695ad113e9a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3" nillable="true" ma:displayName="Estado de aprobación" ma:internalName="Estado_x0020_de_x0020_aprobaci_x00f3_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0142d8-fae8-4102-bf16-64a49700c71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57fd767-5ce3-4d6c-a917-71f0c4220336}" ma:internalName="TaxCatchAll" ma:showField="CatchAllData" ma:web="630142d8-fae8-4102-bf16-64a49700c719">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d6b0736-4c70-43a2-b048-f44e187f41fb">
      <Terms xmlns="http://schemas.microsoft.com/office/infopath/2007/PartnerControls"/>
    </lcf76f155ced4ddcb4097134ff3c332f>
    <TaxCatchAll xmlns="630142d8-fae8-4102-bf16-64a49700c719" xsi:nil="true"/>
    <SharedWithUsers xmlns="630142d8-fae8-4102-bf16-64a49700c719">
      <UserInfo>
        <DisplayName>Ana Maria Ulloa Camacho</DisplayName>
        <AccountId>115</AccountId>
        <AccountType/>
      </UserInfo>
      <UserInfo>
        <DisplayName>Mario Andres Castro Latorre</DisplayName>
        <AccountId>116</AccountId>
        <AccountType/>
      </UserInfo>
      <UserInfo>
        <DisplayName>Armando Alberto Montanez Delgado</DisplayName>
        <AccountId>117</AccountId>
        <AccountType/>
      </UserInfo>
      <UserInfo>
        <DisplayName>Camilo Andres Vasquez Vesga</DisplayName>
        <AccountId>118</AccountId>
        <AccountType/>
      </UserInfo>
      <UserInfo>
        <DisplayName>Carlos Eduardo Escandon Vargas</DisplayName>
        <AccountId>119</AccountId>
        <AccountType/>
      </UserInfo>
      <UserInfo>
        <DisplayName>Claudia Fernanda Pineda Diaz</DisplayName>
        <AccountId>120</AccountId>
        <AccountType/>
      </UserInfo>
      <UserInfo>
        <DisplayName>Lizeth Daniela Velasco Vega</DisplayName>
        <AccountId>121</AccountId>
        <AccountType/>
      </UserInfo>
      <UserInfo>
        <DisplayName>David Alejandro Mendieta Espinosa</DisplayName>
        <AccountId>122</AccountId>
        <AccountType/>
      </UserInfo>
      <UserInfo>
        <DisplayName>Derly Adriana Castillo Rodriguez</DisplayName>
        <AccountId>123</AccountId>
        <AccountType/>
      </UserInfo>
      <UserInfo>
        <DisplayName>Diego Nicolas Gutierrez Gonzalez</DisplayName>
        <AccountId>124</AccountId>
        <AccountType/>
      </UserInfo>
      <UserInfo>
        <DisplayName>James Fernando Nunez Rodriguez</DisplayName>
        <AccountId>125</AccountId>
        <AccountType/>
      </UserInfo>
      <UserInfo>
        <DisplayName>Jimmy Alejandro Osorio Tarazona</DisplayName>
        <AccountId>126</AccountId>
        <AccountType/>
      </UserInfo>
      <UserInfo>
        <DisplayName>Joan Sebastian Garcia Pulido</DisplayName>
        <AccountId>127</AccountId>
        <AccountType/>
      </UserInfo>
      <UserInfo>
        <DisplayName>Jose Ignacio Melendez Albarracin</DisplayName>
        <AccountId>128</AccountId>
        <AccountType/>
      </UserInfo>
      <UserInfo>
        <DisplayName>Juan Pablo Serna Cardona</DisplayName>
        <AccountId>129</AccountId>
        <AccountType/>
      </UserInfo>
      <UserInfo>
        <DisplayName>Laura Camila Bechara Cordoba</DisplayName>
        <AccountId>130</AccountId>
        <AccountType/>
      </UserInfo>
      <UserInfo>
        <DisplayName>Laura Sofia Morales Alvarado</DisplayName>
        <AccountId>131</AccountId>
        <AccountType/>
      </UserInfo>
      <UserInfo>
        <DisplayName>Luis Fernando Barreto Gonzalez</DisplayName>
        <AccountId>132</AccountId>
        <AccountType/>
      </UserInfo>
      <UserInfo>
        <DisplayName>Maria Angelica Higuera Gelvez</DisplayName>
        <AccountId>133</AccountId>
        <AccountType/>
      </UserInfo>
      <UserInfo>
        <DisplayName>Nancy Stella Villa Ososrio</DisplayName>
        <AccountId>134</AccountId>
        <AccountType/>
      </UserInfo>
      <UserInfo>
        <DisplayName>Nestor Jecfrid Sanchez Santan</DisplayName>
        <AccountId>135</AccountId>
        <AccountType/>
      </UserInfo>
      <UserInfo>
        <DisplayName>Nicolas Enrique Moncaleano Calderon</DisplayName>
        <AccountId>136</AccountId>
        <AccountType/>
      </UserInfo>
      <UserInfo>
        <DisplayName>Nicolas Esteban Hernandez Moncada</DisplayName>
        <AccountId>137</AccountId>
        <AccountType/>
      </UserInfo>
      <UserInfo>
        <DisplayName>Nixon Sandoval Mateus</DisplayName>
        <AccountId>138</AccountId>
        <AccountType/>
      </UserInfo>
      <UserInfo>
        <DisplayName>Paula Andrea Gonzalez Rodriguez</DisplayName>
        <AccountId>139</AccountId>
        <AccountType/>
      </UserInfo>
      <UserInfo>
        <DisplayName>Reinaldo Terrios Andrade</DisplayName>
        <AccountId>140</AccountId>
        <AccountType/>
      </UserInfo>
      <UserInfo>
        <DisplayName>Renata Rengifo Moyano</DisplayName>
        <AccountId>141</AccountId>
        <AccountType/>
      </UserInfo>
      <UserInfo>
        <DisplayName>William Arturo Gonzalez Melo</DisplayName>
        <AccountId>142</AccountId>
        <AccountType/>
      </UserInfo>
      <UserInfo>
        <DisplayName>Yeiker Jose Guerra Sarmiento</DisplayName>
        <AccountId>143</AccountId>
        <AccountType/>
      </UserInfo>
      <UserInfo>
        <DisplayName>Zuly Marcela Mesa Casas</DisplayName>
        <AccountId>144</AccountId>
        <AccountType/>
      </UserInfo>
      <UserInfo>
        <DisplayName>Cesar Augusto Barrantes Bohorquez</DisplayName>
        <AccountId>112</AccountId>
        <AccountType/>
      </UserInfo>
      <UserInfo>
        <DisplayName>Manuel Fernando Vergara Leon</DisplayName>
        <AccountId>59</AccountId>
        <AccountType/>
      </UserInfo>
    </SharedWithUsers>
    <_Flow_SignoffStatus xmlns="6d6b0736-4c70-43a2-b048-f44e187f41f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AB3DF8-6C43-4540-97E1-9C1B4B169BB8}"/>
</file>

<file path=customXml/itemProps2.xml><?xml version="1.0" encoding="utf-8"?>
<ds:datastoreItem xmlns:ds="http://schemas.openxmlformats.org/officeDocument/2006/customXml" ds:itemID="{F770F5FD-A628-4DCC-B73E-91EDC799E950}"/>
</file>

<file path=customXml/itemProps3.xml><?xml version="1.0" encoding="utf-8"?>
<ds:datastoreItem xmlns:ds="http://schemas.openxmlformats.org/officeDocument/2006/customXml" ds:itemID="{639E6E7B-B6E2-4DFC-98EE-C672214B3D6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Nicolas Esteban Florez Castaneda</cp:lastModifiedBy>
  <cp:revision/>
  <dcterms:created xsi:type="dcterms:W3CDTF">2024-06-07T14:28:47Z</dcterms:created>
  <dcterms:modified xsi:type="dcterms:W3CDTF">2024-09-07T23:46:24Z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0x01010036E821F12DD0B64F82FE6575BB9A4925</vt:lpwstr>
  </property>
  <property fmtid="{D5CDD505-2E9C-101B-9397-08002B2CF9AE}" pid="3" name="MediaServiceImageTags">
    <vt:lpwstr/>
  </property>
</Properties>
</file>